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ummins365-my.sharepoint.com/personal/at24l_cummins_com/Documents/Documents/IPLT/IPLT 4x2 tractor trailer/CAN data IPLT 4x2 tractor Assam Lanka location/TN61AC3987/"/>
    </mc:Choice>
  </mc:AlternateContent>
  <xr:revisionPtr revIDLastSave="4" documentId="13_ncr:40009_{FFFE43DD-CBA2-48C6-8633-DB7A46DE5EA0}" xr6:coauthVersionLast="47" xr6:coauthVersionMax="47" xr10:uidLastSave="{0D7F04F5-E126-47B4-9E44-FF02C14641E4}"/>
  <bookViews>
    <workbookView xWindow="-108" yWindow="-108" windowWidth="23256" windowHeight="13896" xr2:uid="{00000000-000D-0000-FFFF-FFFF00000000}"/>
  </bookViews>
  <sheets>
    <sheet name="vehicle-data-report (4)" sheetId="1" r:id="rId1"/>
  </sheets>
  <definedNames>
    <definedName name="_xlnm._FilterDatabase" localSheetId="0" hidden="1">'vehicle-data-report (4)'!$A$1:$AN$8634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2" i="1" l="1"/>
  <c r="AN3" i="1"/>
  <c r="AN4" i="1"/>
  <c r="AN6" i="1"/>
  <c r="AN7" i="1"/>
  <c r="AN8" i="1"/>
  <c r="AN9" i="1"/>
  <c r="AN10" i="1"/>
  <c r="AN12" i="1"/>
  <c r="AN13" i="1"/>
  <c r="AN14" i="1"/>
  <c r="AN15" i="1"/>
  <c r="AN16" i="1"/>
  <c r="AN18" i="1"/>
  <c r="AN19" i="1"/>
  <c r="AN20" i="1"/>
  <c r="AN21" i="1"/>
  <c r="AN23" i="1"/>
  <c r="AN24" i="1"/>
  <c r="AN25" i="1"/>
  <c r="AN26" i="1"/>
  <c r="AN27" i="1"/>
  <c r="AN29" i="1"/>
  <c r="AN30" i="1"/>
  <c r="AN31" i="1"/>
  <c r="AN32" i="1"/>
  <c r="AN33" i="1"/>
  <c r="AN35" i="1"/>
  <c r="AN36" i="1"/>
  <c r="AN37" i="1"/>
  <c r="AN38" i="1"/>
  <c r="AN40" i="1"/>
  <c r="AN41" i="1"/>
  <c r="AN42" i="1"/>
  <c r="AN43" i="1"/>
  <c r="AN44" i="1"/>
  <c r="AN46" i="1"/>
  <c r="AN47" i="1"/>
  <c r="AN48" i="1"/>
  <c r="AN49" i="1"/>
  <c r="AN50" i="1"/>
  <c r="AN52" i="1"/>
  <c r="AN53" i="1"/>
  <c r="AN54" i="1"/>
  <c r="AN55" i="1"/>
  <c r="AN57" i="1"/>
  <c r="AN58" i="1"/>
  <c r="AN59" i="1"/>
  <c r="AN60" i="1"/>
  <c r="AN61" i="1"/>
  <c r="AN63" i="1"/>
  <c r="AN64" i="1"/>
  <c r="AN65" i="1"/>
  <c r="AN66" i="1"/>
  <c r="AN67" i="1"/>
  <c r="AN69" i="1"/>
  <c r="AN70" i="1"/>
  <c r="AN71" i="1"/>
  <c r="AN74" i="1"/>
  <c r="AN75" i="1"/>
  <c r="AN76" i="1"/>
  <c r="AN77" i="1"/>
  <c r="AN80" i="1"/>
  <c r="AN81" i="1"/>
  <c r="AN82" i="1"/>
  <c r="AN83" i="1"/>
  <c r="AN86" i="1"/>
  <c r="AN87" i="1"/>
  <c r="AN88" i="1"/>
  <c r="AN89" i="1"/>
  <c r="AN91" i="1"/>
  <c r="AN92" i="1"/>
  <c r="AN93" i="1"/>
  <c r="AN94" i="1"/>
  <c r="AN95" i="1"/>
  <c r="AN97" i="1"/>
  <c r="AN98" i="1"/>
  <c r="AN99" i="1"/>
  <c r="AN100" i="1"/>
  <c r="AN101" i="1"/>
  <c r="AN103" i="1"/>
  <c r="AN104" i="1"/>
  <c r="AN105" i="1"/>
  <c r="AN106" i="1"/>
  <c r="AN107" i="1"/>
  <c r="AN109" i="1"/>
  <c r="AN110" i="1"/>
  <c r="AN111" i="1"/>
  <c r="AN112" i="1"/>
  <c r="AN114" i="1"/>
  <c r="AN115" i="1"/>
  <c r="AN116" i="1"/>
  <c r="AN117" i="1"/>
  <c r="AN118" i="1"/>
  <c r="AN120" i="1"/>
  <c r="AN121" i="1"/>
  <c r="AN122" i="1"/>
  <c r="AN123" i="1"/>
  <c r="AN124" i="1"/>
  <c r="AN126" i="1"/>
  <c r="AN127" i="1"/>
  <c r="AN128" i="1"/>
  <c r="AN129" i="1"/>
  <c r="AN131" i="1"/>
  <c r="AN132" i="1"/>
  <c r="AN133" i="1"/>
  <c r="AN134" i="1"/>
  <c r="AN135" i="1"/>
  <c r="AN137" i="1"/>
  <c r="AN138" i="1"/>
  <c r="AN139" i="1"/>
  <c r="AN140" i="1"/>
  <c r="AN141" i="1"/>
  <c r="AN143" i="1"/>
  <c r="AN144" i="1"/>
  <c r="AN145" i="1"/>
  <c r="AN146" i="1"/>
  <c r="AN148" i="1"/>
  <c r="AN149" i="1"/>
  <c r="AN150" i="1"/>
  <c r="AN151" i="1"/>
  <c r="AN152" i="1"/>
  <c r="AN154" i="1"/>
  <c r="AN155" i="1"/>
  <c r="AN156" i="1"/>
  <c r="AN157" i="1"/>
  <c r="AN158" i="1"/>
  <c r="AN160" i="1"/>
  <c r="AN161" i="1"/>
  <c r="AN162" i="1"/>
  <c r="AN163" i="1"/>
  <c r="AN165" i="1"/>
  <c r="AN166" i="1"/>
  <c r="AN167" i="1"/>
  <c r="AN168" i="1"/>
  <c r="AN169" i="1"/>
  <c r="AN171" i="1"/>
  <c r="AN172" i="1"/>
  <c r="AN173" i="1"/>
  <c r="AN174" i="1"/>
  <c r="AN175" i="1"/>
  <c r="AN177" i="1"/>
  <c r="AN178" i="1"/>
  <c r="AN179" i="1"/>
  <c r="AN180" i="1"/>
  <c r="AN182" i="1"/>
  <c r="AN183" i="1"/>
  <c r="AN184" i="1"/>
  <c r="AN185" i="1"/>
  <c r="AN186" i="1"/>
  <c r="AN188" i="1"/>
  <c r="AN189" i="1"/>
  <c r="AN190" i="1"/>
  <c r="AN191" i="1"/>
  <c r="AN192" i="1"/>
  <c r="AN194" i="1"/>
  <c r="AN195" i="1"/>
  <c r="AN196" i="1"/>
  <c r="AN197" i="1"/>
  <c r="AN199" i="1"/>
  <c r="AN200" i="1"/>
  <c r="AN201" i="1"/>
  <c r="AN202" i="1"/>
  <c r="AN203" i="1"/>
  <c r="AN205" i="1"/>
  <c r="AN206" i="1"/>
  <c r="AN207" i="1"/>
  <c r="AN208" i="1"/>
  <c r="AN209" i="1"/>
  <c r="AN211" i="1"/>
  <c r="AN212" i="1"/>
  <c r="AN213" i="1"/>
  <c r="AN214" i="1"/>
  <c r="AN216" i="1"/>
  <c r="AN217" i="1"/>
  <c r="AN218" i="1"/>
  <c r="AN219" i="1"/>
  <c r="AN220" i="1"/>
  <c r="AN222" i="1"/>
  <c r="AN223" i="1"/>
  <c r="AN224" i="1"/>
  <c r="AN225" i="1"/>
  <c r="AN226" i="1"/>
  <c r="AN228" i="1"/>
  <c r="AN229" i="1"/>
  <c r="AN230" i="1"/>
  <c r="AN231" i="1"/>
  <c r="AN233" i="1"/>
  <c r="AN234" i="1"/>
  <c r="AN235" i="1"/>
  <c r="AN236" i="1"/>
  <c r="AN237" i="1"/>
  <c r="AN239" i="1"/>
  <c r="AN240" i="1"/>
  <c r="AN241" i="1"/>
  <c r="AN242" i="1"/>
  <c r="AN243" i="1"/>
  <c r="AN245" i="1"/>
  <c r="AN246" i="1"/>
  <c r="AN247" i="1"/>
  <c r="AN248" i="1"/>
  <c r="AN250" i="1"/>
  <c r="AN251" i="1"/>
  <c r="AN252" i="1"/>
  <c r="AN253" i="1"/>
  <c r="AN254" i="1"/>
  <c r="AN256" i="1"/>
  <c r="AN257" i="1"/>
  <c r="AN258" i="1"/>
  <c r="AN259" i="1"/>
  <c r="AN262" i="1"/>
  <c r="AN264" i="1"/>
  <c r="AN265" i="1"/>
  <c r="AN267" i="1"/>
  <c r="AN268" i="1"/>
  <c r="AN269" i="1"/>
  <c r="AN270" i="1"/>
  <c r="AN272" i="1"/>
  <c r="AN273" i="1"/>
  <c r="AN274" i="1"/>
  <c r="AN275" i="1"/>
  <c r="AN276" i="1"/>
  <c r="AN278" i="1"/>
  <c r="AN279" i="1"/>
  <c r="AN280" i="1"/>
  <c r="AN281" i="1"/>
  <c r="AN282" i="1"/>
  <c r="AN284" i="1"/>
  <c r="AN285" i="1"/>
  <c r="AN286" i="1"/>
  <c r="AN287" i="1"/>
  <c r="AN288" i="1"/>
  <c r="AN290" i="1"/>
  <c r="AN291" i="1"/>
  <c r="AN292" i="1"/>
  <c r="AN293" i="1"/>
  <c r="AN295" i="1"/>
  <c r="AN296" i="1"/>
  <c r="AN297" i="1"/>
  <c r="AN298" i="1"/>
  <c r="AN299" i="1"/>
  <c r="AN301" i="1"/>
  <c r="AN302" i="1"/>
  <c r="AN303" i="1"/>
  <c r="AN304" i="1"/>
  <c r="AN305" i="1"/>
  <c r="AN307" i="1"/>
  <c r="AN308" i="1"/>
  <c r="AN309" i="1"/>
  <c r="AN310" i="1"/>
  <c r="AN312" i="1"/>
  <c r="AN313" i="1"/>
  <c r="AN314" i="1"/>
  <c r="AN315" i="1"/>
  <c r="AN316" i="1"/>
  <c r="AN318" i="1"/>
  <c r="AN319" i="1"/>
  <c r="AN320" i="1"/>
  <c r="AN321" i="1"/>
  <c r="AN322" i="1"/>
  <c r="AN324" i="1"/>
  <c r="AN325" i="1"/>
  <c r="AN326" i="1"/>
  <c r="AN327" i="1"/>
  <c r="AN329" i="1"/>
  <c r="AN330" i="1"/>
  <c r="AN331" i="1"/>
  <c r="AN332" i="1"/>
  <c r="AN333" i="1"/>
  <c r="AN335" i="1"/>
  <c r="AN336" i="1"/>
  <c r="AN337" i="1"/>
  <c r="AN338" i="1"/>
  <c r="AN339" i="1"/>
  <c r="AN341" i="1"/>
  <c r="AN342" i="1"/>
  <c r="AN343" i="1"/>
  <c r="AN344" i="1"/>
  <c r="AN346" i="1"/>
  <c r="AN349" i="1"/>
  <c r="AN350" i="1"/>
  <c r="AN351" i="1"/>
  <c r="AN352" i="1"/>
  <c r="AN353" i="1"/>
  <c r="AN355" i="1"/>
  <c r="AN356" i="1"/>
  <c r="AN357" i="1"/>
  <c r="AN358" i="1"/>
  <c r="AN360" i="1"/>
  <c r="AN361" i="1"/>
  <c r="AN362" i="1"/>
  <c r="AN363" i="1"/>
  <c r="AN364" i="1"/>
  <c r="AN366" i="1"/>
  <c r="AN367" i="1"/>
  <c r="AN368" i="1"/>
  <c r="AN369" i="1"/>
  <c r="AN370" i="1"/>
  <c r="AN372" i="1"/>
  <c r="AN373" i="1"/>
  <c r="AN374" i="1"/>
  <c r="AN375" i="1"/>
  <c r="AN377" i="1"/>
  <c r="AN378" i="1"/>
  <c r="AN379" i="1"/>
  <c r="AN380" i="1"/>
  <c r="AN381" i="1"/>
  <c r="AN383" i="1"/>
  <c r="AN384" i="1"/>
  <c r="AN385" i="1"/>
  <c r="AN386" i="1"/>
  <c r="AN387" i="1"/>
  <c r="AN389" i="1"/>
  <c r="AN390" i="1"/>
  <c r="AN391" i="1"/>
  <c r="AN392" i="1"/>
  <c r="AN394" i="1"/>
  <c r="AN395" i="1"/>
  <c r="AN396" i="1"/>
  <c r="AN397" i="1"/>
  <c r="AN398" i="1"/>
  <c r="AN400" i="1"/>
  <c r="AN401" i="1"/>
  <c r="AN402" i="1"/>
  <c r="AN403" i="1"/>
  <c r="AN404" i="1"/>
  <c r="AN406" i="1"/>
  <c r="AN407" i="1"/>
  <c r="AN408" i="1"/>
  <c r="AN409" i="1"/>
  <c r="AN411" i="1"/>
  <c r="AN412" i="1"/>
  <c r="AN413" i="1"/>
  <c r="AN414" i="1"/>
  <c r="AN415" i="1"/>
  <c r="AN417" i="1"/>
  <c r="AN418" i="1"/>
  <c r="AN419" i="1"/>
  <c r="AN420" i="1"/>
  <c r="AN421" i="1"/>
  <c r="AN423" i="1"/>
  <c r="AN424" i="1"/>
  <c r="AN425" i="1"/>
  <c r="AN426" i="1"/>
  <c r="AN428" i="1"/>
  <c r="AN429" i="1"/>
  <c r="AN430" i="1"/>
  <c r="AN431" i="1"/>
  <c r="AN432" i="1"/>
  <c r="AN434" i="1"/>
  <c r="AN435" i="1"/>
  <c r="AN436" i="1"/>
  <c r="AN437" i="1"/>
  <c r="AN438" i="1"/>
  <c r="AN440" i="1"/>
  <c r="AN441" i="1"/>
  <c r="AN442" i="1"/>
  <c r="AN443" i="1"/>
  <c r="AN444" i="1"/>
  <c r="AN446" i="1"/>
  <c r="AN447" i="1"/>
  <c r="AN448" i="1"/>
  <c r="AN449" i="1"/>
  <c r="AN451" i="1"/>
  <c r="AN452" i="1"/>
  <c r="AN453" i="1"/>
  <c r="AN454" i="1"/>
  <c r="AN455" i="1"/>
  <c r="AN457" i="1"/>
  <c r="AN458" i="1"/>
  <c r="AN459" i="1"/>
  <c r="AN460" i="1"/>
  <c r="AN461" i="1"/>
  <c r="AN463" i="1"/>
  <c r="AN464" i="1"/>
  <c r="AN465" i="1"/>
  <c r="AN466" i="1"/>
  <c r="AN469" i="1"/>
  <c r="AN470" i="1"/>
  <c r="AN471" i="1"/>
  <c r="AN472" i="1"/>
  <c r="AN475" i="1"/>
  <c r="AN476" i="1"/>
  <c r="AN477" i="1"/>
  <c r="AN478" i="1"/>
  <c r="AN481" i="1"/>
  <c r="AN482" i="1"/>
  <c r="AN483" i="1"/>
  <c r="AN485" i="1"/>
  <c r="AN487" i="1"/>
  <c r="AN488" i="1"/>
  <c r="AN489" i="1"/>
  <c r="AN491" i="1"/>
  <c r="AN492" i="1"/>
  <c r="AN493" i="1"/>
  <c r="AN494" i="1"/>
  <c r="AN495" i="1"/>
  <c r="AN497" i="1"/>
  <c r="AN498" i="1"/>
  <c r="AN499" i="1"/>
  <c r="AN500" i="1"/>
  <c r="AN502" i="1"/>
  <c r="AN503" i="1"/>
  <c r="AN504" i="1"/>
  <c r="AN505" i="1"/>
  <c r="AN506" i="1"/>
  <c r="AN508" i="1"/>
  <c r="AN509" i="1"/>
  <c r="AN510" i="1"/>
  <c r="AN511" i="1"/>
  <c r="AN512" i="1"/>
  <c r="AN514" i="1"/>
  <c r="AN515" i="1"/>
  <c r="AN516" i="1"/>
  <c r="AN517" i="1"/>
  <c r="AN519" i="1"/>
  <c r="AN520" i="1"/>
  <c r="AN521" i="1"/>
  <c r="AN522" i="1"/>
  <c r="AN523" i="1"/>
  <c r="AN525" i="1"/>
  <c r="AN526" i="1"/>
  <c r="AN527" i="1"/>
  <c r="AN528" i="1"/>
  <c r="AN529" i="1"/>
  <c r="AN531" i="1"/>
  <c r="AN532" i="1"/>
  <c r="AN533" i="1"/>
  <c r="AN534" i="1"/>
  <c r="AN536" i="1"/>
  <c r="AN537" i="1"/>
  <c r="AN538" i="1"/>
  <c r="AN539" i="1"/>
  <c r="AN540" i="1"/>
  <c r="AN542" i="1"/>
  <c r="AN543" i="1"/>
  <c r="AN544" i="1"/>
  <c r="AN545" i="1"/>
  <c r="AN546" i="1"/>
  <c r="AN548" i="1"/>
  <c r="AN549" i="1"/>
  <c r="AN550" i="1"/>
  <c r="AN551" i="1"/>
  <c r="AN553" i="1"/>
  <c r="AN554" i="1"/>
  <c r="AN555" i="1"/>
  <c r="AN556" i="1"/>
  <c r="AN557" i="1"/>
  <c r="AN559" i="1"/>
  <c r="AN560" i="1"/>
  <c r="AN561" i="1"/>
  <c r="AN562" i="1"/>
  <c r="AN563" i="1"/>
  <c r="AN565" i="1"/>
  <c r="AN566" i="1"/>
  <c r="AN568" i="1"/>
  <c r="AN571" i="1"/>
  <c r="AN572" i="1"/>
  <c r="AN573" i="1"/>
  <c r="AN574" i="1"/>
  <c r="AN576" i="1"/>
  <c r="AN577" i="1"/>
  <c r="AN578" i="1"/>
  <c r="AN579" i="1"/>
  <c r="AN580" i="1"/>
  <c r="AN582" i="1"/>
  <c r="AN583" i="1"/>
  <c r="AN584" i="1"/>
  <c r="AN585" i="1"/>
  <c r="AN587" i="1"/>
  <c r="AN588" i="1"/>
  <c r="AN589" i="1"/>
  <c r="AN590" i="1"/>
  <c r="AN591" i="1"/>
  <c r="AN593" i="1"/>
  <c r="AN594" i="1"/>
  <c r="AN595" i="1"/>
  <c r="AN596" i="1"/>
  <c r="AN597" i="1"/>
  <c r="AN599" i="1"/>
  <c r="AN600" i="1"/>
  <c r="AN601" i="1"/>
  <c r="AN602" i="1"/>
  <c r="AN604" i="1"/>
  <c r="AN605" i="1"/>
  <c r="AN606" i="1"/>
  <c r="AN607" i="1"/>
  <c r="AN608" i="1"/>
  <c r="AN610" i="1"/>
  <c r="AN611" i="1"/>
  <c r="AN612" i="1"/>
  <c r="AN613" i="1"/>
  <c r="AN614" i="1"/>
  <c r="AN616" i="1"/>
  <c r="AN617" i="1"/>
  <c r="AN618" i="1"/>
  <c r="AN619" i="1"/>
  <c r="AN621" i="1"/>
  <c r="AN623" i="1"/>
  <c r="AN625" i="1"/>
  <c r="AN626" i="1"/>
  <c r="AN627" i="1"/>
  <c r="AN628" i="1"/>
  <c r="AN630" i="1"/>
  <c r="AN631" i="1"/>
  <c r="AN632" i="1"/>
  <c r="AN633" i="1"/>
  <c r="AN634" i="1"/>
  <c r="AN636" i="1"/>
  <c r="AN637" i="1"/>
  <c r="AN638" i="1"/>
  <c r="AN639" i="1"/>
  <c r="AN641" i="1"/>
  <c r="AN642" i="1"/>
  <c r="AN643" i="1"/>
  <c r="AN644" i="1"/>
  <c r="AN645" i="1"/>
  <c r="AN647" i="1"/>
  <c r="AN648" i="1"/>
  <c r="AN649" i="1"/>
  <c r="AN650" i="1"/>
  <c r="AN651" i="1"/>
  <c r="AN653" i="1"/>
  <c r="AN654" i="1"/>
  <c r="AN655" i="1"/>
  <c r="AN656" i="1"/>
  <c r="AN658" i="1"/>
  <c r="AN659" i="1"/>
  <c r="AN660" i="1"/>
  <c r="AN661" i="1"/>
  <c r="AN662" i="1"/>
  <c r="AN664" i="1"/>
  <c r="AN665" i="1"/>
  <c r="AN666" i="1"/>
  <c r="AN667" i="1"/>
  <c r="AN668" i="1"/>
  <c r="AN670" i="1"/>
  <c r="AN671" i="1"/>
  <c r="AN672" i="1"/>
  <c r="AN673" i="1"/>
  <c r="AN675" i="1"/>
  <c r="AN676" i="1"/>
  <c r="AN677" i="1"/>
  <c r="AN678" i="1"/>
  <c r="AN679" i="1"/>
  <c r="AN681" i="1"/>
  <c r="AN682" i="1"/>
  <c r="AN683" i="1"/>
  <c r="AN684" i="1"/>
  <c r="AN685" i="1"/>
  <c r="AN687" i="1"/>
  <c r="AN688" i="1"/>
  <c r="AN689" i="1"/>
  <c r="AN690" i="1"/>
  <c r="AN692" i="1"/>
  <c r="AN693" i="1"/>
  <c r="AN694" i="1"/>
  <c r="AN695" i="1"/>
  <c r="AN696" i="1"/>
  <c r="AN698" i="1"/>
  <c r="AN699" i="1"/>
  <c r="AN700" i="1"/>
  <c r="AN701" i="1"/>
  <c r="AN702" i="1"/>
  <c r="AN704" i="1"/>
  <c r="AN705" i="1"/>
  <c r="AN706" i="1"/>
  <c r="AN707" i="1"/>
  <c r="AN709" i="1"/>
  <c r="AN710" i="1"/>
  <c r="AN711" i="1"/>
  <c r="AN712" i="1"/>
  <c r="AN713" i="1"/>
  <c r="AN715" i="1"/>
  <c r="AN716" i="1"/>
  <c r="AN717" i="1"/>
  <c r="AN718" i="1"/>
  <c r="AN719" i="1"/>
  <c r="AN721" i="1"/>
  <c r="AN722" i="1"/>
  <c r="AN723" i="1"/>
  <c r="AN724" i="1"/>
  <c r="AN726" i="1"/>
  <c r="AN727" i="1"/>
  <c r="AN728" i="1"/>
  <c r="AN729" i="1"/>
  <c r="AN730" i="1"/>
  <c r="AN732" i="1"/>
  <c r="AN733" i="1"/>
  <c r="AN734" i="1"/>
  <c r="AN735" i="1"/>
  <c r="AN736" i="1"/>
  <c r="AN738" i="1"/>
  <c r="AN739" i="1"/>
  <c r="AN740" i="1"/>
  <c r="AN741" i="1"/>
  <c r="AN743" i="1"/>
  <c r="AN744" i="1"/>
  <c r="AN745" i="1"/>
  <c r="AN746" i="1"/>
  <c r="AN747" i="1"/>
  <c r="AN749" i="1"/>
  <c r="AN750" i="1"/>
  <c r="AN751" i="1"/>
  <c r="AN752" i="1"/>
  <c r="AN753" i="1"/>
  <c r="AN755" i="1"/>
  <c r="AN756" i="1"/>
  <c r="AN757" i="1"/>
  <c r="AN758" i="1"/>
  <c r="AN760" i="1"/>
  <c r="AN761" i="1"/>
  <c r="AN762" i="1"/>
  <c r="AN763" i="1"/>
  <c r="AN764" i="1"/>
  <c r="AN766" i="1"/>
  <c r="AN767" i="1"/>
  <c r="AN768" i="1"/>
  <c r="AN769" i="1"/>
  <c r="AN770" i="1"/>
  <c r="AN772" i="1"/>
  <c r="AN773" i="1"/>
  <c r="AN774" i="1"/>
  <c r="AN775" i="1"/>
  <c r="AN777" i="1"/>
  <c r="AN778" i="1"/>
  <c r="AN779" i="1"/>
  <c r="AN780" i="1"/>
  <c r="AN781" i="1"/>
  <c r="AN783" i="1"/>
  <c r="AN784" i="1"/>
  <c r="AN785" i="1"/>
  <c r="AN786" i="1"/>
  <c r="AN787" i="1"/>
  <c r="AN789" i="1"/>
  <c r="AN790" i="1"/>
  <c r="AN791" i="1"/>
  <c r="AN792" i="1"/>
  <c r="AN794" i="1"/>
  <c r="AN795" i="1"/>
  <c r="AN796" i="1"/>
  <c r="AN797" i="1"/>
  <c r="AN798" i="1"/>
  <c r="AN800" i="1"/>
  <c r="AN801" i="1"/>
  <c r="AN802" i="1"/>
  <c r="AN803" i="1"/>
  <c r="AN804" i="1"/>
  <c r="AN806" i="1"/>
  <c r="AN807" i="1"/>
  <c r="AN808" i="1"/>
  <c r="AN809" i="1"/>
  <c r="AN811" i="1"/>
  <c r="AN812" i="1"/>
  <c r="AN813" i="1"/>
  <c r="AN814" i="1"/>
  <c r="AN815" i="1"/>
  <c r="AN817" i="1"/>
  <c r="AN818" i="1"/>
  <c r="AN819" i="1"/>
  <c r="AN820" i="1"/>
  <c r="AN821" i="1"/>
  <c r="AN823" i="1"/>
  <c r="AN824" i="1"/>
  <c r="AN825" i="1"/>
  <c r="AN826" i="1"/>
  <c r="AN828" i="1"/>
  <c r="AN829" i="1"/>
  <c r="AN830" i="1"/>
  <c r="AN831" i="1"/>
  <c r="AN832" i="1"/>
  <c r="AN834" i="1"/>
  <c r="AN835" i="1"/>
  <c r="AN836" i="1"/>
  <c r="AN837" i="1"/>
  <c r="AN838" i="1"/>
  <c r="AN840" i="1"/>
  <c r="AN841" i="1"/>
  <c r="AN842" i="1"/>
  <c r="AN843" i="1"/>
  <c r="AN845" i="1"/>
  <c r="AN846" i="1"/>
  <c r="AN847" i="1"/>
  <c r="AN848" i="1"/>
  <c r="AN849" i="1"/>
  <c r="AN851" i="1"/>
  <c r="AN852" i="1"/>
  <c r="AN853" i="1"/>
  <c r="AN854" i="1"/>
  <c r="AN855" i="1"/>
  <c r="AN857" i="1"/>
  <c r="AN858" i="1"/>
  <c r="AN859" i="1"/>
  <c r="AN860" i="1"/>
  <c r="AN862" i="1"/>
  <c r="AN863" i="1"/>
  <c r="AN864" i="1"/>
  <c r="AN865" i="1"/>
  <c r="AN866" i="1"/>
  <c r="AN868" i="1"/>
  <c r="AN869" i="1"/>
  <c r="AN870" i="1"/>
  <c r="AN871" i="1"/>
  <c r="AN872" i="1"/>
  <c r="AN874" i="1"/>
  <c r="AN875" i="1"/>
  <c r="AN876" i="1"/>
  <c r="AN877" i="1"/>
  <c r="AN879" i="1"/>
  <c r="AN880" i="1"/>
  <c r="AN881" i="1"/>
  <c r="AN882" i="1"/>
  <c r="AN883" i="1"/>
  <c r="AN885" i="1"/>
  <c r="AN886" i="1"/>
  <c r="AN887" i="1"/>
  <c r="AN888" i="1"/>
  <c r="AN889" i="1"/>
  <c r="AN891" i="1"/>
  <c r="AN892" i="1"/>
  <c r="AN893" i="1"/>
  <c r="AN894" i="1"/>
  <c r="AN895" i="1"/>
  <c r="AN897" i="1"/>
  <c r="AN898" i="1"/>
  <c r="AN899" i="1"/>
  <c r="AN900" i="1"/>
  <c r="AN902" i="1"/>
  <c r="AN903" i="1"/>
  <c r="AN904" i="1"/>
  <c r="AN905" i="1"/>
  <c r="AN906" i="1"/>
  <c r="AN908" i="1"/>
  <c r="AN909" i="1"/>
  <c r="AN910" i="1"/>
  <c r="AN911" i="1"/>
  <c r="AN912" i="1"/>
  <c r="AN914" i="1"/>
  <c r="AN915" i="1"/>
  <c r="AN916" i="1"/>
  <c r="AN917" i="1"/>
  <c r="AN919" i="1"/>
  <c r="AN920" i="1"/>
  <c r="AN921" i="1"/>
  <c r="AN922" i="1"/>
  <c r="AN923" i="1"/>
  <c r="AN925" i="1"/>
  <c r="AN926" i="1"/>
  <c r="AN927" i="1"/>
  <c r="AN928" i="1"/>
  <c r="AN929" i="1"/>
  <c r="AN931" i="1"/>
  <c r="AN932" i="1"/>
  <c r="AN933" i="1"/>
  <c r="AN934" i="1"/>
  <c r="AN936" i="1"/>
  <c r="AN937" i="1"/>
  <c r="AN938" i="1"/>
  <c r="AN939" i="1"/>
  <c r="AN940" i="1"/>
  <c r="AN942" i="1"/>
  <c r="AN943" i="1"/>
  <c r="AN944" i="1"/>
  <c r="AN945" i="1"/>
  <c r="AN946" i="1"/>
  <c r="AN948" i="1"/>
  <c r="AN949" i="1"/>
  <c r="AN950" i="1"/>
  <c r="AN951" i="1"/>
  <c r="AN953" i="1"/>
  <c r="AN954" i="1"/>
  <c r="AN955" i="1"/>
  <c r="AN956" i="1"/>
  <c r="AN957" i="1"/>
  <c r="AN959" i="1"/>
  <c r="AN960" i="1"/>
  <c r="AN961" i="1"/>
  <c r="AN962" i="1"/>
  <c r="AN963" i="1"/>
  <c r="AN965" i="1"/>
  <c r="AN966" i="1"/>
  <c r="AN967" i="1"/>
  <c r="AN968" i="1"/>
  <c r="AN970" i="1"/>
  <c r="AN971" i="1"/>
  <c r="AN972" i="1"/>
  <c r="AN973" i="1"/>
  <c r="AN974" i="1"/>
  <c r="AN976" i="1"/>
  <c r="AN977" i="1"/>
  <c r="AN978" i="1"/>
  <c r="AN979" i="1"/>
  <c r="AN980" i="1"/>
  <c r="AN982" i="1"/>
  <c r="AN983" i="1"/>
  <c r="AN985" i="1"/>
  <c r="AN987" i="1"/>
  <c r="AN988" i="1"/>
  <c r="AN989" i="1"/>
  <c r="AN991" i="1"/>
  <c r="AN992" i="1"/>
  <c r="AN993" i="1"/>
  <c r="AN994" i="1"/>
  <c r="AN995" i="1"/>
  <c r="AN997" i="1"/>
  <c r="AN998" i="1"/>
  <c r="AN999" i="1"/>
  <c r="AN1000" i="1"/>
  <c r="AN1001" i="1"/>
  <c r="AN1003" i="1"/>
  <c r="AN1004" i="1"/>
  <c r="AN1005" i="1"/>
  <c r="AN1006" i="1"/>
  <c r="AN1008" i="1"/>
  <c r="AN1009" i="1"/>
  <c r="AN1010" i="1"/>
  <c r="AN1011" i="1"/>
  <c r="AN1012" i="1"/>
  <c r="AN1014" i="1"/>
  <c r="AN1015" i="1"/>
  <c r="AN1016" i="1"/>
  <c r="AN1017" i="1"/>
  <c r="AN1018" i="1"/>
  <c r="AN1020" i="1"/>
  <c r="AN1021" i="1"/>
  <c r="AN1022" i="1"/>
  <c r="AN1023" i="1"/>
  <c r="AN1025" i="1"/>
  <c r="AN1026" i="1"/>
  <c r="AN1027" i="1"/>
  <c r="AN1028" i="1"/>
  <c r="AN1029" i="1"/>
  <c r="AN1031" i="1"/>
  <c r="AN1032" i="1"/>
  <c r="AN1033" i="1"/>
  <c r="AN1034" i="1"/>
  <c r="AN1035" i="1"/>
  <c r="AN1037" i="1"/>
  <c r="AN1038" i="1"/>
  <c r="AN1039" i="1"/>
  <c r="AN1040" i="1"/>
  <c r="AN1042" i="1"/>
  <c r="AN1043" i="1"/>
  <c r="AN1044" i="1"/>
  <c r="AN1045" i="1"/>
  <c r="AN1046" i="1"/>
  <c r="AN1048" i="1"/>
  <c r="AN1049" i="1"/>
  <c r="AN1050" i="1"/>
  <c r="AN1051" i="1"/>
  <c r="AN1052" i="1"/>
  <c r="AN1054" i="1"/>
  <c r="AN1055" i="1"/>
  <c r="AN1056" i="1"/>
  <c r="AN1057" i="1"/>
  <c r="AN1059" i="1"/>
  <c r="AN1060" i="1"/>
  <c r="AN1061" i="1"/>
  <c r="AN1062" i="1"/>
  <c r="AN1063" i="1"/>
  <c r="AN1065" i="1"/>
  <c r="AN1066" i="1"/>
  <c r="AN1067" i="1"/>
  <c r="AN1068" i="1"/>
  <c r="AN1069" i="1"/>
  <c r="AN1071" i="1"/>
  <c r="AN1072" i="1"/>
  <c r="AN1073" i="1"/>
  <c r="AN1074" i="1"/>
  <c r="AN1076" i="1"/>
  <c r="AN1077" i="1"/>
  <c r="AN1078" i="1"/>
  <c r="AN1079" i="1"/>
  <c r="AN1080" i="1"/>
  <c r="AN1082" i="1"/>
  <c r="AN1083" i="1"/>
  <c r="AN1084" i="1"/>
  <c r="AN1085" i="1"/>
  <c r="AN1086" i="1"/>
  <c r="AN1088" i="1"/>
  <c r="AN1089" i="1"/>
  <c r="AN1090" i="1"/>
  <c r="AN1091" i="1"/>
  <c r="AN1093" i="1"/>
  <c r="AN1094" i="1"/>
  <c r="AN1095" i="1"/>
  <c r="AN1096" i="1"/>
  <c r="AN1097" i="1"/>
  <c r="AN1099" i="1"/>
  <c r="AN1100" i="1"/>
  <c r="AN1101" i="1"/>
  <c r="AN1102" i="1"/>
  <c r="AN1103" i="1"/>
  <c r="AN1105" i="1"/>
  <c r="AN1106" i="1"/>
  <c r="AN1107" i="1"/>
  <c r="AN1108" i="1"/>
  <c r="AN1110" i="1"/>
  <c r="AN1111" i="1"/>
  <c r="AN1112" i="1"/>
  <c r="AN1113" i="1"/>
  <c r="AN1114" i="1"/>
  <c r="AN1116" i="1"/>
  <c r="AN1117" i="1"/>
  <c r="AN1118" i="1"/>
  <c r="AN1119" i="1"/>
  <c r="AN1120" i="1"/>
  <c r="AN1122" i="1"/>
  <c r="AN1123" i="1"/>
  <c r="AN1124" i="1"/>
  <c r="AN1125" i="1"/>
  <c r="AN1127" i="1"/>
  <c r="AN1128" i="1"/>
  <c r="AN1129" i="1"/>
  <c r="AN1130" i="1"/>
  <c r="AN1131" i="1"/>
  <c r="AN1133" i="1"/>
  <c r="AN1134" i="1"/>
  <c r="AN1135" i="1"/>
  <c r="AN1136" i="1"/>
  <c r="AN1137" i="1"/>
  <c r="AN1139" i="1"/>
  <c r="AN1140" i="1"/>
  <c r="AN1141" i="1"/>
  <c r="AN1142" i="1"/>
  <c r="AN1144" i="1"/>
  <c r="AN1145" i="1"/>
  <c r="AN1146" i="1"/>
  <c r="AN1147" i="1"/>
  <c r="AN1148" i="1"/>
  <c r="AN1150" i="1"/>
  <c r="AN1151" i="1"/>
  <c r="AN1152" i="1"/>
  <c r="AN1153" i="1"/>
  <c r="AN1154" i="1"/>
  <c r="AN1156" i="1"/>
  <c r="AN1157" i="1"/>
  <c r="AN1158" i="1"/>
  <c r="AN1159" i="1"/>
  <c r="AN1160" i="1"/>
  <c r="AN1162" i="1"/>
  <c r="AN1163" i="1"/>
  <c r="AN1164" i="1"/>
  <c r="AN1165" i="1"/>
  <c r="AN1167" i="1"/>
  <c r="AN1168" i="1"/>
  <c r="AN1169" i="1"/>
  <c r="AN1170" i="1"/>
  <c r="AN1171" i="1"/>
  <c r="AN1173" i="1"/>
  <c r="AN1174" i="1"/>
  <c r="AN1175" i="1"/>
  <c r="AN1176" i="1"/>
  <c r="AN1177" i="1"/>
  <c r="AN1179" i="1"/>
  <c r="AN1180" i="1"/>
  <c r="AN1181" i="1"/>
  <c r="AN1182" i="1"/>
  <c r="AN1184" i="1"/>
  <c r="AN1185" i="1"/>
  <c r="AN1186" i="1"/>
  <c r="AN1187" i="1"/>
  <c r="AN1188" i="1"/>
  <c r="AN1190" i="1"/>
  <c r="AN1191" i="1"/>
  <c r="AN1192" i="1"/>
  <c r="AN1193" i="1"/>
  <c r="AN1194" i="1"/>
  <c r="AN1196" i="1"/>
  <c r="AN1197" i="1"/>
  <c r="AN1198" i="1"/>
  <c r="AN1199" i="1"/>
  <c r="AN1201" i="1"/>
  <c r="AN1202" i="1"/>
  <c r="AN1203" i="1"/>
  <c r="AN1204" i="1"/>
  <c r="AN1205" i="1"/>
  <c r="AN1207" i="1"/>
  <c r="AN1208" i="1"/>
  <c r="AN1209" i="1"/>
  <c r="AN1210" i="1"/>
  <c r="AN1211" i="1"/>
  <c r="AN1213" i="1"/>
  <c r="AN1214" i="1"/>
  <c r="AN1215" i="1"/>
  <c r="AN1216" i="1"/>
  <c r="AN1218" i="1"/>
  <c r="AN1219" i="1"/>
  <c r="AN1220" i="1"/>
  <c r="AN1221" i="1"/>
  <c r="AN1222" i="1"/>
  <c r="AN1224" i="1"/>
  <c r="AN1225" i="1"/>
  <c r="AN1226" i="1"/>
  <c r="AN1227" i="1"/>
  <c r="AN1228" i="1"/>
  <c r="AN1230" i="1"/>
  <c r="AN1231" i="1"/>
  <c r="AN1232" i="1"/>
  <c r="AN1233" i="1"/>
  <c r="AN1235" i="1"/>
  <c r="AN1236" i="1"/>
  <c r="AN1237" i="1"/>
  <c r="AN1238" i="1"/>
  <c r="AN1239" i="1"/>
  <c r="AN1241" i="1"/>
  <c r="AN1242" i="1"/>
  <c r="AN1243" i="1"/>
  <c r="AN1244" i="1"/>
  <c r="AN1245" i="1"/>
  <c r="AN1247" i="1"/>
  <c r="AN1248" i="1"/>
  <c r="AN1249" i="1"/>
  <c r="AN1250" i="1"/>
  <c r="AN1252" i="1"/>
  <c r="AN1253" i="1"/>
  <c r="AN1254" i="1"/>
  <c r="AN1255" i="1"/>
  <c r="AN1256" i="1"/>
  <c r="AN1258" i="1"/>
  <c r="AN1259" i="1"/>
  <c r="AN1260" i="1"/>
  <c r="AN1261" i="1"/>
  <c r="AN1262" i="1"/>
  <c r="AN1264" i="1"/>
  <c r="AN1265" i="1"/>
  <c r="AN1266" i="1"/>
  <c r="AN1267" i="1"/>
  <c r="AN1269" i="1"/>
  <c r="AN1270" i="1"/>
  <c r="AN1271" i="1"/>
  <c r="AN1272" i="1"/>
  <c r="AN1273" i="1"/>
  <c r="AN1275" i="1"/>
  <c r="AN1276" i="1"/>
  <c r="AN1277" i="1"/>
  <c r="AN1278" i="1"/>
  <c r="AN1279" i="1"/>
  <c r="AN1281" i="1"/>
  <c r="AN1282" i="1"/>
  <c r="AN1283" i="1"/>
  <c r="AN1284" i="1"/>
  <c r="AN1286" i="1"/>
  <c r="AN1287" i="1"/>
  <c r="AN1288" i="1"/>
  <c r="AN1289" i="1"/>
  <c r="AN1290" i="1"/>
  <c r="AN1292" i="1"/>
  <c r="AN1293" i="1"/>
  <c r="AN1294" i="1"/>
  <c r="AN1295" i="1"/>
  <c r="AN1296" i="1"/>
  <c r="AN1298" i="1"/>
  <c r="AN1299" i="1"/>
  <c r="AN1300" i="1"/>
  <c r="AN1301" i="1"/>
  <c r="AN1303" i="1"/>
  <c r="AN1304" i="1"/>
  <c r="AN1305" i="1"/>
  <c r="AN1306" i="1"/>
  <c r="AN1307" i="1"/>
  <c r="AN1309" i="1"/>
  <c r="AN1310" i="1"/>
  <c r="AN1311" i="1"/>
  <c r="AN1312" i="1"/>
  <c r="AN1313" i="1"/>
  <c r="AN1315" i="1"/>
  <c r="AN1316" i="1"/>
  <c r="AN1317" i="1"/>
  <c r="AN1318" i="1"/>
  <c r="AN1320" i="1"/>
  <c r="AN1321" i="1"/>
  <c r="AN1322" i="1"/>
  <c r="AN1323" i="1"/>
  <c r="AN1324" i="1"/>
  <c r="AN1326" i="1"/>
  <c r="AN1327" i="1"/>
  <c r="AN1328" i="1"/>
  <c r="AN1329" i="1"/>
  <c r="AN1330" i="1"/>
  <c r="AN1332" i="1"/>
  <c r="AN1333" i="1"/>
  <c r="AN1334" i="1"/>
  <c r="AN1335" i="1"/>
  <c r="AN1337" i="1"/>
  <c r="AN1338" i="1"/>
  <c r="AN1339" i="1"/>
  <c r="AN1340" i="1"/>
  <c r="AN1341" i="1"/>
  <c r="AN1343" i="1"/>
  <c r="AN1344" i="1"/>
  <c r="AN1345" i="1"/>
  <c r="AN1347" i="1"/>
  <c r="AN1349" i="1"/>
  <c r="AN1350" i="1"/>
  <c r="AN1352" i="1"/>
  <c r="AN1353" i="1"/>
  <c r="AN1354" i="1"/>
  <c r="AN1355" i="1"/>
  <c r="AN1357" i="1"/>
  <c r="AN1358" i="1"/>
  <c r="AN1359" i="1"/>
  <c r="AN1360" i="1"/>
  <c r="AN1361" i="1"/>
  <c r="AN1363" i="1"/>
  <c r="AN1364" i="1"/>
  <c r="AN1365" i="1"/>
  <c r="AN1366" i="1"/>
  <c r="AN1367" i="1"/>
  <c r="AN1369" i="1"/>
  <c r="AN1370" i="1"/>
  <c r="AN1371" i="1"/>
  <c r="AN1372" i="1"/>
  <c r="AN1374" i="1"/>
  <c r="AN1375" i="1"/>
  <c r="AN1376" i="1"/>
  <c r="AN1377" i="1"/>
  <c r="AN1378" i="1"/>
  <c r="AN1380" i="1"/>
  <c r="AN1381" i="1"/>
  <c r="AN1382" i="1"/>
  <c r="AN1383" i="1"/>
  <c r="AN1384" i="1"/>
  <c r="AN1386" i="1"/>
  <c r="AN1387" i="1"/>
  <c r="AN1388" i="1"/>
  <c r="AN1389" i="1"/>
  <c r="AN1391" i="1"/>
  <c r="AN1392" i="1"/>
  <c r="AN1393" i="1"/>
  <c r="AN1394" i="1"/>
  <c r="AN1395" i="1"/>
  <c r="AN1397" i="1"/>
  <c r="AN1398" i="1"/>
  <c r="AN1399" i="1"/>
  <c r="AN1400" i="1"/>
  <c r="AN1401" i="1"/>
  <c r="AN1403" i="1"/>
  <c r="AN1404" i="1"/>
  <c r="AN1405" i="1"/>
  <c r="AN1406" i="1"/>
  <c r="AN1408" i="1"/>
  <c r="AN1409" i="1"/>
  <c r="AN1410" i="1"/>
  <c r="AN1411" i="1"/>
  <c r="AN1412" i="1"/>
  <c r="AN1414" i="1"/>
  <c r="AN1415" i="1"/>
  <c r="AN1416" i="1"/>
  <c r="AN1417" i="1"/>
  <c r="AN1418" i="1"/>
  <c r="AN1420" i="1"/>
  <c r="AN1421" i="1"/>
  <c r="AN1422" i="1"/>
  <c r="AN1423" i="1"/>
  <c r="AN1425" i="1"/>
  <c r="AN1426" i="1"/>
  <c r="AN1427" i="1"/>
  <c r="AN1428" i="1"/>
  <c r="AN1429" i="1"/>
  <c r="AN1431" i="1"/>
  <c r="AN1432" i="1"/>
  <c r="AN1433" i="1"/>
  <c r="AN1434" i="1"/>
  <c r="AN1435" i="1"/>
  <c r="AN1437" i="1"/>
  <c r="AN1438" i="1"/>
  <c r="AN1439" i="1"/>
  <c r="AN1440" i="1"/>
  <c r="AN1442" i="1"/>
  <c r="AN1443" i="1"/>
  <c r="AN1444" i="1"/>
  <c r="AN1445" i="1"/>
  <c r="AN1446" i="1"/>
  <c r="AN1448" i="1"/>
  <c r="AN1449" i="1"/>
  <c r="AN1450" i="1"/>
  <c r="AN1451" i="1"/>
  <c r="AN1452" i="1"/>
  <c r="AN1454" i="1"/>
  <c r="AN1455" i="1"/>
  <c r="AN1456" i="1"/>
  <c r="AN1457" i="1"/>
  <c r="AN1459" i="1"/>
  <c r="AN1460" i="1"/>
  <c r="AN1461" i="1"/>
  <c r="AN1462" i="1"/>
  <c r="AN1463" i="1"/>
  <c r="AN1465" i="1"/>
  <c r="AN1466" i="1"/>
  <c r="AN1467" i="1"/>
  <c r="AN1468" i="1"/>
  <c r="AN1469" i="1"/>
  <c r="AN1471" i="1"/>
  <c r="AN1472" i="1"/>
  <c r="AN1473" i="1"/>
  <c r="AN1474" i="1"/>
  <c r="AN1476" i="1"/>
  <c r="AN1477" i="1"/>
  <c r="AN1478" i="1"/>
  <c r="AN1479" i="1"/>
  <c r="AN1480" i="1"/>
  <c r="AN1482" i="1"/>
  <c r="AN1483" i="1"/>
  <c r="AN1484" i="1"/>
  <c r="AN1485" i="1"/>
  <c r="AN1486" i="1"/>
  <c r="AN1488" i="1"/>
  <c r="AN1489" i="1"/>
  <c r="AN1490" i="1"/>
  <c r="AN1491" i="1"/>
  <c r="AN1493" i="1"/>
  <c r="AN1494" i="1"/>
  <c r="AN1495" i="1"/>
  <c r="AN1496" i="1"/>
  <c r="AN1497" i="1"/>
  <c r="AN1499" i="1"/>
  <c r="AN1500" i="1"/>
  <c r="AN1501" i="1"/>
  <c r="AN1502" i="1"/>
  <c r="AN1503" i="1"/>
  <c r="AN1505" i="1"/>
  <c r="AN1506" i="1"/>
  <c r="AN1507" i="1"/>
  <c r="AN1508" i="1"/>
  <c r="AN1510" i="1"/>
  <c r="AN1511" i="1"/>
  <c r="AN1512" i="1"/>
  <c r="AN1513" i="1"/>
  <c r="AN1514" i="1"/>
  <c r="AN1516" i="1"/>
  <c r="AN1517" i="1"/>
  <c r="AN1518" i="1"/>
  <c r="AN1519" i="1"/>
  <c r="AN1520" i="1"/>
  <c r="AN1522" i="1"/>
  <c r="AN1523" i="1"/>
  <c r="AN1524" i="1"/>
  <c r="AN1525" i="1"/>
  <c r="AN1527" i="1"/>
  <c r="AN1528" i="1"/>
  <c r="AN1529" i="1"/>
  <c r="AN1530" i="1"/>
  <c r="AN1531" i="1"/>
  <c r="AN1533" i="1"/>
  <c r="AN1534" i="1"/>
  <c r="AN1535" i="1"/>
  <c r="AN1536" i="1"/>
  <c r="AN1537" i="1"/>
  <c r="AN1539" i="1"/>
  <c r="AN1540" i="1"/>
  <c r="AN1541" i="1"/>
  <c r="AN1542" i="1"/>
  <c r="AN1544" i="1"/>
  <c r="AN1545" i="1"/>
  <c r="AN1546" i="1"/>
  <c r="AN1547" i="1"/>
  <c r="AN1548" i="1"/>
  <c r="AN1550" i="1"/>
  <c r="AN1551" i="1"/>
  <c r="AN1552" i="1"/>
  <c r="AN1553" i="1"/>
  <c r="AN1554" i="1"/>
  <c r="AN1556" i="1"/>
  <c r="AN1557" i="1"/>
  <c r="AN1558" i="1"/>
  <c r="AN1559" i="1"/>
  <c r="AN1561" i="1"/>
  <c r="AN1562" i="1"/>
  <c r="AN1563" i="1"/>
  <c r="AN1564" i="1"/>
  <c r="AN1565" i="1"/>
  <c r="AN1567" i="1"/>
  <c r="AN1568" i="1"/>
  <c r="AN1569" i="1"/>
  <c r="AN1570" i="1"/>
  <c r="AN1571" i="1"/>
  <c r="AN1573" i="1"/>
  <c r="AN1574" i="1"/>
  <c r="AN1575" i="1"/>
  <c r="AN1576" i="1"/>
  <c r="AN1578" i="1"/>
  <c r="AN1579" i="1"/>
  <c r="AN1580" i="1"/>
  <c r="AN1581" i="1"/>
  <c r="AN1582" i="1"/>
  <c r="AN1584" i="1"/>
  <c r="AN1585" i="1"/>
  <c r="AN1586" i="1"/>
  <c r="AN1587" i="1"/>
  <c r="AN1588" i="1"/>
  <c r="AN1590" i="1"/>
  <c r="AN1591" i="1"/>
  <c r="AN1592" i="1"/>
  <c r="AN1593" i="1"/>
  <c r="AN1595" i="1"/>
  <c r="AN1596" i="1"/>
  <c r="AN1597" i="1"/>
  <c r="AN1598" i="1"/>
  <c r="AN1599" i="1"/>
  <c r="AN1601" i="1"/>
  <c r="AN1602" i="1"/>
  <c r="AN1603" i="1"/>
  <c r="AN1604" i="1"/>
  <c r="AN1605" i="1"/>
  <c r="AN1607" i="1"/>
  <c r="AN1608" i="1"/>
  <c r="AN1609" i="1"/>
  <c r="AN1610" i="1"/>
  <c r="AN1612" i="1"/>
  <c r="AN1613" i="1"/>
  <c r="AN1614" i="1"/>
  <c r="AN1615" i="1"/>
  <c r="AN1616" i="1"/>
  <c r="AN1618" i="1"/>
  <c r="AN1619" i="1"/>
  <c r="AN1620" i="1"/>
  <c r="AN1621" i="1"/>
  <c r="AN1622" i="1"/>
  <c r="AN1624" i="1"/>
  <c r="AN1625" i="1"/>
  <c r="AN1626" i="1"/>
  <c r="AN1627" i="1"/>
  <c r="AN1629" i="1"/>
  <c r="AN1630" i="1"/>
  <c r="AN1631" i="1"/>
  <c r="AN1632" i="1"/>
  <c r="AN1633" i="1"/>
  <c r="AN1635" i="1"/>
  <c r="AN1636" i="1"/>
  <c r="AN1637" i="1"/>
  <c r="AN1638" i="1"/>
  <c r="AN1639" i="1"/>
  <c r="AN1641" i="1"/>
  <c r="AN1642" i="1"/>
  <c r="AN1643" i="1"/>
  <c r="AN1644" i="1"/>
  <c r="AN1646" i="1"/>
  <c r="AN1647" i="1"/>
  <c r="AN1648" i="1"/>
  <c r="AN1649" i="1"/>
  <c r="AN1650" i="1"/>
  <c r="AN1652" i="1"/>
  <c r="AN1653" i="1"/>
  <c r="AN1654" i="1"/>
  <c r="AN1655" i="1"/>
  <c r="AN1656" i="1"/>
  <c r="AN1658" i="1"/>
  <c r="AN1659" i="1"/>
  <c r="AN1660" i="1"/>
  <c r="AN1661" i="1"/>
  <c r="AN1663" i="1"/>
  <c r="AN1664" i="1"/>
  <c r="AN1665" i="1"/>
  <c r="AN1666" i="1"/>
  <c r="AN1667" i="1"/>
  <c r="AN1669" i="1"/>
  <c r="AN1670" i="1"/>
  <c r="AN1671" i="1"/>
  <c r="AN1672" i="1"/>
  <c r="AN1673" i="1"/>
  <c r="AN1675" i="1"/>
  <c r="AN1676" i="1"/>
  <c r="AN1677" i="1"/>
  <c r="AN1678" i="1"/>
  <c r="AN1679" i="1"/>
  <c r="AN1681" i="1"/>
  <c r="AN1682" i="1"/>
  <c r="AN1683" i="1"/>
  <c r="AN1684" i="1"/>
  <c r="AN1686" i="1"/>
  <c r="AN1687" i="1"/>
  <c r="AN1688" i="1"/>
  <c r="AN1689" i="1"/>
  <c r="AN1690" i="1"/>
  <c r="AN1692" i="1"/>
  <c r="AN1693" i="1"/>
  <c r="AN1694" i="1"/>
  <c r="AN1695" i="1"/>
  <c r="AN1696" i="1"/>
  <c r="AN1698" i="1"/>
  <c r="AN1699" i="1"/>
  <c r="AN1700" i="1"/>
  <c r="AN1701" i="1"/>
  <c r="AN1703" i="1"/>
  <c r="AN1704" i="1"/>
  <c r="AN1705" i="1"/>
  <c r="AN1706" i="1"/>
  <c r="AN1707" i="1"/>
  <c r="AN1710" i="1"/>
  <c r="AN1711" i="1"/>
  <c r="AN1713" i="1"/>
  <c r="AN1714" i="1"/>
  <c r="AN1715" i="1"/>
  <c r="AN1716" i="1"/>
  <c r="AN1717" i="1"/>
  <c r="AN1719" i="1"/>
  <c r="AN1720" i="1"/>
  <c r="AN1721" i="1"/>
  <c r="AN1722" i="1"/>
  <c r="AN1724" i="1"/>
  <c r="AN1725" i="1"/>
  <c r="AN1726" i="1"/>
  <c r="AN1727" i="1"/>
  <c r="AN1728" i="1"/>
  <c r="AN1730" i="1"/>
  <c r="AN1731" i="1"/>
  <c r="AN1732" i="1"/>
  <c r="AN1733" i="1"/>
  <c r="AN1734" i="1"/>
  <c r="AN1736" i="1"/>
  <c r="AN1737" i="1"/>
  <c r="AN1738" i="1"/>
  <c r="AN1739" i="1"/>
  <c r="AN1741" i="1"/>
  <c r="AN1742" i="1"/>
  <c r="AN1743" i="1"/>
  <c r="AN1744" i="1"/>
  <c r="AN1745" i="1"/>
  <c r="AN1747" i="1"/>
  <c r="AN1748" i="1"/>
  <c r="AN1749" i="1"/>
  <c r="AN1750" i="1"/>
  <c r="AN1751" i="1"/>
  <c r="AN1753" i="1"/>
  <c r="AN1754" i="1"/>
  <c r="AN1755" i="1"/>
  <c r="AN1756" i="1"/>
  <c r="AN1757" i="1"/>
  <c r="AN1759" i="1"/>
  <c r="AN1760" i="1"/>
  <c r="AN1761" i="1"/>
  <c r="AN1762" i="1"/>
  <c r="AN1764" i="1"/>
  <c r="AN1765" i="1"/>
  <c r="AN1766" i="1"/>
  <c r="AN1767" i="1"/>
  <c r="AN1768" i="1"/>
  <c r="AN1770" i="1"/>
  <c r="AN1771" i="1"/>
  <c r="AN1772" i="1"/>
  <c r="AN1773" i="1"/>
  <c r="AN1774" i="1"/>
  <c r="AN1776" i="1"/>
  <c r="AN1777" i="1"/>
  <c r="AN1778" i="1"/>
  <c r="AN1779" i="1"/>
  <c r="AN1781" i="1"/>
  <c r="AN1782" i="1"/>
  <c r="AN1783" i="1"/>
  <c r="AN1784" i="1"/>
  <c r="AN1785" i="1"/>
  <c r="AN1787" i="1"/>
  <c r="AN1788" i="1"/>
  <c r="AN1789" i="1"/>
  <c r="AN1790" i="1"/>
  <c r="AN1791" i="1"/>
  <c r="AN1793" i="1"/>
  <c r="AN1794" i="1"/>
  <c r="AN1795" i="1"/>
  <c r="AN1796" i="1"/>
  <c r="AN1798" i="1"/>
  <c r="AN1799" i="1"/>
  <c r="AN1800" i="1"/>
  <c r="AN1801" i="1"/>
  <c r="AN1802" i="1"/>
  <c r="AN1804" i="1"/>
  <c r="AN1805" i="1"/>
  <c r="AN1806" i="1"/>
  <c r="AN1807" i="1"/>
  <c r="AN1808" i="1"/>
  <c r="AN1810" i="1"/>
  <c r="AN1811" i="1"/>
  <c r="AN1812" i="1"/>
  <c r="AN1813" i="1"/>
  <c r="AN1815" i="1"/>
  <c r="AN1816" i="1"/>
  <c r="AN1817" i="1"/>
  <c r="AN1818" i="1"/>
  <c r="AN1819" i="1"/>
  <c r="AN1821" i="1"/>
  <c r="AN1822" i="1"/>
  <c r="AN1823" i="1"/>
  <c r="AN1824" i="1"/>
  <c r="AN1825" i="1"/>
  <c r="AN1827" i="1"/>
  <c r="AN1828" i="1"/>
  <c r="AN1829" i="1"/>
  <c r="AN1830" i="1"/>
  <c r="AN1832" i="1"/>
  <c r="AN1833" i="1"/>
  <c r="AN1834" i="1"/>
  <c r="AN1835" i="1"/>
  <c r="AN1836" i="1"/>
  <c r="AN1838" i="1"/>
  <c r="AN1839" i="1"/>
  <c r="AN1840" i="1"/>
  <c r="AN1841" i="1"/>
  <c r="AN1842" i="1"/>
  <c r="AN1844" i="1"/>
  <c r="AN1845" i="1"/>
  <c r="AN1846" i="1"/>
  <c r="AN1847" i="1"/>
  <c r="AN1849" i="1"/>
  <c r="AN1850" i="1"/>
  <c r="AN1851" i="1"/>
  <c r="AN1852" i="1"/>
  <c r="AN1853" i="1"/>
  <c r="AN1855" i="1"/>
  <c r="AN1856" i="1"/>
  <c r="AN1857" i="1"/>
  <c r="AN1858" i="1"/>
  <c r="AN1859" i="1"/>
  <c r="AN1861" i="1"/>
  <c r="AN1862" i="1"/>
  <c r="AN1863" i="1"/>
  <c r="AN1864" i="1"/>
  <c r="AN1866" i="1"/>
  <c r="AN1867" i="1"/>
  <c r="AN1868" i="1"/>
  <c r="AN1869" i="1"/>
  <c r="AN1870" i="1"/>
  <c r="AN1872" i="1"/>
  <c r="AN1873" i="1"/>
  <c r="AN1874" i="1"/>
  <c r="AN1875" i="1"/>
  <c r="AN1876" i="1"/>
  <c r="AN1878" i="1"/>
  <c r="AN1879" i="1"/>
  <c r="AN1880" i="1"/>
  <c r="AN1881" i="1"/>
  <c r="AN1883" i="1"/>
  <c r="AN1884" i="1"/>
  <c r="AN1885" i="1"/>
  <c r="AN1886" i="1"/>
  <c r="AN1887" i="1"/>
  <c r="AN1889" i="1"/>
  <c r="AN1890" i="1"/>
  <c r="AN1891" i="1"/>
  <c r="AN1892" i="1"/>
  <c r="AN1893" i="1"/>
  <c r="AN1895" i="1"/>
  <c r="AN1896" i="1"/>
  <c r="AN1897" i="1"/>
  <c r="AN1898" i="1"/>
  <c r="AN1900" i="1"/>
  <c r="AN1901" i="1"/>
  <c r="AN1902" i="1"/>
  <c r="AN1903" i="1"/>
  <c r="AN1904" i="1"/>
  <c r="AN1906" i="1"/>
  <c r="AN1907" i="1"/>
  <c r="AN1908" i="1"/>
  <c r="AN1909" i="1"/>
  <c r="AN1910" i="1"/>
  <c r="AN1912" i="1"/>
  <c r="AN1913" i="1"/>
  <c r="AN1914" i="1"/>
  <c r="AN1915" i="1"/>
  <c r="AN1917" i="1"/>
  <c r="AN1918" i="1"/>
  <c r="AN1919" i="1"/>
  <c r="AN1920" i="1"/>
  <c r="AN1921" i="1"/>
  <c r="AN1923" i="1"/>
  <c r="AN1924" i="1"/>
  <c r="AN1925" i="1"/>
  <c r="AN1926" i="1"/>
  <c r="AN1927" i="1"/>
  <c r="AN1929" i="1"/>
  <c r="AN1930" i="1"/>
  <c r="AN1931" i="1"/>
  <c r="AN1932" i="1"/>
  <c r="AN1934" i="1"/>
  <c r="AN1935" i="1"/>
  <c r="AN1936" i="1"/>
  <c r="AN1937" i="1"/>
  <c r="AN1938" i="1"/>
  <c r="AN1940" i="1"/>
  <c r="AN1941" i="1"/>
  <c r="AN1942" i="1"/>
  <c r="AN1943" i="1"/>
  <c r="AN1944" i="1"/>
  <c r="AN1946" i="1"/>
  <c r="AN1947" i="1"/>
  <c r="AN1948" i="1"/>
  <c r="AN1949" i="1"/>
  <c r="AN1951" i="1"/>
  <c r="AN1952" i="1"/>
  <c r="AN1953" i="1"/>
  <c r="AN1954" i="1"/>
  <c r="AN1955" i="1"/>
  <c r="AN1957" i="1"/>
  <c r="AN1958" i="1"/>
  <c r="AN1959" i="1"/>
  <c r="AN1960" i="1"/>
  <c r="AN1962" i="1"/>
  <c r="AN1963" i="1"/>
  <c r="AN1964" i="1"/>
  <c r="AN1965" i="1"/>
  <c r="AN1966" i="1"/>
  <c r="AN1968" i="1"/>
  <c r="AN1969" i="1"/>
  <c r="AN1970" i="1"/>
  <c r="AN1971" i="1"/>
  <c r="AN1972" i="1"/>
  <c r="AN1974" i="1"/>
  <c r="AN1975" i="1"/>
  <c r="AN1976" i="1"/>
  <c r="AN1977" i="1"/>
  <c r="AN1979" i="1"/>
  <c r="AN1980" i="1"/>
  <c r="AN1981" i="1"/>
  <c r="AN1982" i="1"/>
  <c r="AN1983" i="1"/>
  <c r="AN1985" i="1"/>
  <c r="AN1986" i="1"/>
  <c r="AN1987" i="1"/>
  <c r="AN1989" i="1"/>
  <c r="AN1991" i="1"/>
  <c r="AN1992" i="1"/>
  <c r="AN1993" i="1"/>
  <c r="AN1994" i="1"/>
  <c r="AN1996" i="1"/>
  <c r="AN1997" i="1"/>
  <c r="AN1998" i="1"/>
  <c r="AN1999" i="1"/>
  <c r="AN2002" i="1"/>
  <c r="AN2003" i="1"/>
  <c r="AN2004" i="1"/>
  <c r="AN2005" i="1"/>
  <c r="AN2008" i="1"/>
  <c r="AN2009" i="1"/>
  <c r="AN2010" i="1"/>
  <c r="AN2011" i="1"/>
  <c r="AN2013" i="1"/>
  <c r="AN2014" i="1"/>
  <c r="AN2015" i="1"/>
  <c r="AN2016" i="1"/>
  <c r="AN2017" i="1"/>
  <c r="AN2019" i="1"/>
  <c r="AN2020" i="1"/>
  <c r="AN2021" i="1"/>
  <c r="AN2022" i="1"/>
  <c r="AN2023" i="1"/>
  <c r="AN2025" i="1"/>
  <c r="AN2026" i="1"/>
  <c r="AN2027" i="1"/>
  <c r="AN2028" i="1"/>
  <c r="AN2030" i="1"/>
  <c r="AN2031" i="1"/>
  <c r="AN2032" i="1"/>
  <c r="AN2033" i="1"/>
  <c r="AN2034" i="1"/>
  <c r="AN2036" i="1"/>
  <c r="AN2037" i="1"/>
  <c r="AN2038" i="1"/>
  <c r="AN2039" i="1"/>
  <c r="AN2040" i="1"/>
  <c r="AN2042" i="1"/>
  <c r="AN2043" i="1"/>
  <c r="AN2044" i="1"/>
  <c r="AN2045" i="1"/>
  <c r="AN2047" i="1"/>
  <c r="AN2048" i="1"/>
  <c r="AN2049" i="1"/>
  <c r="AN2050" i="1"/>
  <c r="AN2051" i="1"/>
  <c r="AN2053" i="1"/>
  <c r="AN2054" i="1"/>
  <c r="AN2055" i="1"/>
  <c r="AN2056" i="1"/>
  <c r="AN2057" i="1"/>
  <c r="AN2059" i="1"/>
  <c r="AN2060" i="1"/>
  <c r="AN2061" i="1"/>
  <c r="AN2062" i="1"/>
  <c r="AN2064" i="1"/>
  <c r="AN2065" i="1"/>
  <c r="AN2066" i="1"/>
  <c r="AN2067" i="1"/>
  <c r="AN2068" i="1"/>
  <c r="AN2070" i="1"/>
  <c r="AN2072" i="1"/>
  <c r="AN2074" i="1"/>
  <c r="AN2075" i="1"/>
  <c r="AN2076" i="1"/>
  <c r="AN2077" i="1"/>
  <c r="AN2080" i="1"/>
  <c r="AN2081" i="1"/>
  <c r="AN2082" i="1"/>
  <c r="AN2083" i="1"/>
  <c r="AN2085" i="1"/>
  <c r="AN2086" i="1"/>
  <c r="AN2087" i="1"/>
  <c r="AN2088" i="1"/>
  <c r="AN2089" i="1"/>
  <c r="AN2091" i="1"/>
  <c r="AN2092" i="1"/>
  <c r="AN2093" i="1"/>
  <c r="AN2094" i="1"/>
  <c r="AN2096" i="1"/>
  <c r="AN2097" i="1"/>
  <c r="AN2098" i="1"/>
  <c r="AN2099" i="1"/>
  <c r="AN2100" i="1"/>
  <c r="AN2102" i="1"/>
  <c r="AN2103" i="1"/>
  <c r="AN2104" i="1"/>
  <c r="AN2105" i="1"/>
  <c r="AN2108" i="1"/>
  <c r="AN2109" i="1"/>
  <c r="AN2110" i="1"/>
  <c r="AN2111" i="1"/>
  <c r="AN2113" i="1"/>
  <c r="AN2114" i="1"/>
  <c r="AN2115" i="1"/>
  <c r="AN2116" i="1"/>
  <c r="AN2117" i="1"/>
  <c r="AN2119" i="1"/>
  <c r="AN2120" i="1"/>
  <c r="AN2121" i="1"/>
  <c r="AN2123" i="1"/>
  <c r="AN2125" i="1"/>
  <c r="AN2126" i="1"/>
  <c r="AN2127" i="1"/>
  <c r="AN2128" i="1"/>
  <c r="AN2130" i="1"/>
  <c r="AN2131" i="1"/>
  <c r="AN2132" i="1"/>
  <c r="AN2133" i="1"/>
  <c r="AN2134" i="1"/>
  <c r="AN2136" i="1"/>
  <c r="AN2137" i="1"/>
  <c r="AN2138" i="1"/>
  <c r="AN2139" i="1"/>
  <c r="AN2140" i="1"/>
  <c r="AN2142" i="1"/>
  <c r="AN2143" i="1"/>
  <c r="AN2144" i="1"/>
  <c r="AN2145" i="1"/>
  <c r="AN2148" i="1"/>
  <c r="AN2149" i="1"/>
  <c r="AN2150" i="1"/>
  <c r="AN2151" i="1"/>
  <c r="AN2153" i="1"/>
  <c r="AN2154" i="1"/>
  <c r="AN2155" i="1"/>
  <c r="AN2156" i="1"/>
  <c r="AN2157" i="1"/>
  <c r="AN2159" i="1"/>
  <c r="AN2160" i="1"/>
  <c r="AN2161" i="1"/>
  <c r="AN2164" i="1"/>
  <c r="AN2165" i="1"/>
  <c r="AN2166" i="1"/>
  <c r="AN2167" i="1"/>
  <c r="AN2170" i="1"/>
  <c r="AN2171" i="1"/>
  <c r="AN2172" i="1"/>
  <c r="AN2173" i="1"/>
  <c r="AN2176" i="1"/>
  <c r="AN2177" i="1"/>
  <c r="AN2178" i="1"/>
  <c r="AN2179" i="1"/>
  <c r="AN2182" i="1"/>
  <c r="AN2183" i="1"/>
  <c r="AN2184" i="1"/>
  <c r="AN2185" i="1"/>
  <c r="AN2187" i="1"/>
  <c r="AN2188" i="1"/>
  <c r="AN2189" i="1"/>
  <c r="AN2190" i="1"/>
  <c r="AN2192" i="1"/>
  <c r="AN2193" i="1"/>
  <c r="AN2194" i="1"/>
  <c r="AN2195" i="1"/>
  <c r="AN2196" i="1"/>
  <c r="AN2198" i="1"/>
  <c r="AN2199" i="1"/>
  <c r="AN2200" i="1"/>
  <c r="AN2201" i="1"/>
  <c r="AN2202" i="1"/>
  <c r="AN2204" i="1"/>
  <c r="AN2205" i="1"/>
  <c r="AN2206" i="1"/>
  <c r="AN2207" i="1"/>
  <c r="AN2208" i="1"/>
  <c r="AN2210" i="1"/>
  <c r="AN2211" i="1"/>
  <c r="AN2212" i="1"/>
  <c r="AN2213" i="1"/>
  <c r="AN2215" i="1"/>
  <c r="AN2216" i="1"/>
  <c r="AN2217" i="1"/>
  <c r="AN2218" i="1"/>
  <c r="AN2219" i="1"/>
  <c r="AN2221" i="1"/>
  <c r="AN2222" i="1"/>
  <c r="AN2223" i="1"/>
  <c r="AN2224" i="1"/>
  <c r="AN2226" i="1"/>
  <c r="AN2227" i="1"/>
  <c r="AN2228" i="1"/>
  <c r="AN2229" i="1"/>
  <c r="AN2230" i="1"/>
  <c r="AN2232" i="1"/>
  <c r="AN2233" i="1"/>
  <c r="AN2234" i="1"/>
  <c r="AN2235" i="1"/>
  <c r="AN2236" i="1"/>
  <c r="AN2238" i="1"/>
  <c r="AN2239" i="1"/>
  <c r="AN2240" i="1"/>
  <c r="AN2241" i="1"/>
  <c r="AN2242" i="1"/>
  <c r="AN2244" i="1"/>
  <c r="AN2245" i="1"/>
  <c r="AN2246" i="1"/>
  <c r="AN2247" i="1"/>
  <c r="AN2249" i="1"/>
  <c r="AN2250" i="1"/>
  <c r="AN2251" i="1"/>
  <c r="AN2252" i="1"/>
  <c r="AN2253" i="1"/>
  <c r="AN2255" i="1"/>
  <c r="AN2256" i="1"/>
  <c r="AN2257" i="1"/>
  <c r="AN2258" i="1"/>
  <c r="AN2259" i="1"/>
  <c r="AN2261" i="1"/>
  <c r="AN2262" i="1"/>
  <c r="AN2263" i="1"/>
  <c r="AN2264" i="1"/>
  <c r="AN2266" i="1"/>
  <c r="AN2267" i="1"/>
  <c r="AN2268" i="1"/>
  <c r="AN2269" i="1"/>
  <c r="AN2270" i="1"/>
  <c r="AN2272" i="1"/>
  <c r="AN2273" i="1"/>
  <c r="AN2274" i="1"/>
  <c r="AN2275" i="1"/>
  <c r="AN2277" i="1"/>
  <c r="AN2278" i="1"/>
  <c r="AN2279" i="1"/>
  <c r="AN2280" i="1"/>
  <c r="AN2281" i="1"/>
  <c r="AN2283" i="1"/>
  <c r="AN2284" i="1"/>
  <c r="AN2285" i="1"/>
  <c r="AN2286" i="1"/>
  <c r="AN2287" i="1"/>
  <c r="AN2289" i="1"/>
  <c r="AN2290" i="1"/>
  <c r="AN2291" i="1"/>
  <c r="AN2292" i="1"/>
  <c r="AN2293" i="1"/>
  <c r="AN2295" i="1"/>
  <c r="AN2296" i="1"/>
  <c r="AN2297" i="1"/>
  <c r="AN2298" i="1"/>
  <c r="AN2300" i="1"/>
  <c r="AN2301" i="1"/>
  <c r="AN2302" i="1"/>
  <c r="AN2303" i="1"/>
  <c r="AN2304" i="1"/>
  <c r="AN2306" i="1"/>
  <c r="AN2307" i="1"/>
  <c r="AN2308" i="1"/>
  <c r="AN2309" i="1"/>
  <c r="AN2310" i="1"/>
  <c r="AN2312" i="1"/>
  <c r="AN2313" i="1"/>
  <c r="AN2314" i="1"/>
  <c r="AN2315" i="1"/>
  <c r="AN2317" i="1"/>
  <c r="AN2318" i="1"/>
  <c r="AN2319" i="1"/>
  <c r="AN2320" i="1"/>
  <c r="AN2321" i="1"/>
  <c r="AN2323" i="1"/>
  <c r="AN2324" i="1"/>
  <c r="AN2325" i="1"/>
  <c r="AN2326" i="1"/>
  <c r="AN2327" i="1"/>
  <c r="AN2329" i="1"/>
  <c r="AN2330" i="1"/>
  <c r="AN2331" i="1"/>
  <c r="AN2332" i="1"/>
  <c r="AN2334" i="1"/>
  <c r="AN2335" i="1"/>
  <c r="AN2336" i="1"/>
  <c r="AN2337" i="1"/>
  <c r="AN2338" i="1"/>
  <c r="AN2340" i="1"/>
  <c r="AN2341" i="1"/>
  <c r="AN2342" i="1"/>
  <c r="AN2343" i="1"/>
  <c r="AN2344" i="1"/>
  <c r="AN2346" i="1"/>
  <c r="AN2347" i="1"/>
  <c r="AN2348" i="1"/>
  <c r="AN2349" i="1"/>
  <c r="AN2351" i="1"/>
  <c r="AN2352" i="1"/>
  <c r="AN2353" i="1"/>
  <c r="AN2354" i="1"/>
  <c r="AN2355" i="1"/>
  <c r="AN2357" i="1"/>
  <c r="AN2358" i="1"/>
  <c r="AN2359" i="1"/>
  <c r="AN2360" i="1"/>
  <c r="AN2361" i="1"/>
  <c r="AN2363" i="1"/>
  <c r="AN2364" i="1"/>
  <c r="AN2365" i="1"/>
  <c r="AN2366" i="1"/>
  <c r="AN2368" i="1"/>
  <c r="AN2369" i="1"/>
  <c r="AN2370" i="1"/>
  <c r="AN2371" i="1"/>
  <c r="AN2372" i="1"/>
  <c r="AN2374" i="1"/>
  <c r="AN2375" i="1"/>
  <c r="AN2376" i="1"/>
  <c r="AN2377" i="1"/>
  <c r="AN2378" i="1"/>
  <c r="AN2380" i="1"/>
  <c r="AN2381" i="1"/>
  <c r="AN2382" i="1"/>
  <c r="AN2383" i="1"/>
  <c r="AN2385" i="1"/>
  <c r="AN2386" i="1"/>
  <c r="AN2387" i="1"/>
  <c r="AN2388" i="1"/>
  <c r="AN2389" i="1"/>
  <c r="AN2391" i="1"/>
  <c r="AN2393" i="1"/>
  <c r="AN2394" i="1"/>
  <c r="AN2396" i="1"/>
  <c r="AN2397" i="1"/>
  <c r="AN2398" i="1"/>
  <c r="AN2399" i="1"/>
  <c r="AN2401" i="1"/>
  <c r="AN2402" i="1"/>
  <c r="AN2403" i="1"/>
  <c r="AN2404" i="1"/>
  <c r="AN2405" i="1"/>
  <c r="AN2407" i="1"/>
  <c r="AN2408" i="1"/>
  <c r="AN2409" i="1"/>
  <c r="AN2410" i="1"/>
  <c r="AN2411" i="1"/>
  <c r="AN2413" i="1"/>
  <c r="AN2414" i="1"/>
  <c r="AN2415" i="1"/>
  <c r="AN2416" i="1"/>
  <c r="AN2418" i="1"/>
  <c r="AN2419" i="1"/>
  <c r="AN2420" i="1"/>
  <c r="AN2421" i="1"/>
  <c r="AN2422" i="1"/>
  <c r="AN2424" i="1"/>
  <c r="AN2425" i="1"/>
  <c r="AN2426" i="1"/>
  <c r="AN2427" i="1"/>
  <c r="AN2428" i="1"/>
  <c r="AN2430" i="1"/>
  <c r="AN2431" i="1"/>
  <c r="AN2433" i="1"/>
  <c r="AN2436" i="1"/>
  <c r="AN2437" i="1"/>
  <c r="AN2438" i="1"/>
  <c r="AN2439" i="1"/>
  <c r="AN2440" i="1"/>
  <c r="AN2443" i="1"/>
  <c r="AN2444" i="1"/>
  <c r="AN2445" i="1"/>
  <c r="AN2447" i="1"/>
  <c r="AN2448" i="1"/>
  <c r="AN2449" i="1"/>
  <c r="AN2450" i="1"/>
  <c r="AN2451" i="1"/>
  <c r="AN2453" i="1"/>
  <c r="AN2454" i="1"/>
  <c r="AN2455" i="1"/>
  <c r="AN2456" i="1"/>
  <c r="AN2457" i="1"/>
  <c r="AN2459" i="1"/>
  <c r="AN2460" i="1"/>
  <c r="AN2461" i="1"/>
  <c r="AN2462" i="1"/>
  <c r="AN2464" i="1"/>
  <c r="AN2465" i="1"/>
  <c r="AN2466" i="1"/>
  <c r="AN2467" i="1"/>
  <c r="AN2468" i="1"/>
  <c r="AN2470" i="1"/>
  <c r="AN2471" i="1"/>
  <c r="AN2472" i="1"/>
  <c r="AN2473" i="1"/>
  <c r="AN2474" i="1"/>
  <c r="AN2476" i="1"/>
  <c r="AN2477" i="1"/>
  <c r="AN2478" i="1"/>
  <c r="AN2479" i="1"/>
  <c r="AN2481" i="1"/>
  <c r="AN2482" i="1"/>
  <c r="AN2483" i="1"/>
  <c r="AN2484" i="1"/>
  <c r="AN2485" i="1"/>
  <c r="AN2487" i="1"/>
  <c r="AN2488" i="1"/>
  <c r="AN2489" i="1"/>
  <c r="AN2490" i="1"/>
  <c r="AN2491" i="1"/>
  <c r="AN2493" i="1"/>
  <c r="AN2494" i="1"/>
  <c r="AN2495" i="1"/>
  <c r="AN2496" i="1"/>
  <c r="AN2498" i="1"/>
  <c r="AN2499" i="1"/>
  <c r="AN2500" i="1"/>
  <c r="AN2501" i="1"/>
  <c r="AN2502" i="1"/>
  <c r="AN2504" i="1"/>
  <c r="AN2505" i="1"/>
  <c r="AN2506" i="1"/>
  <c r="AN2507" i="1"/>
  <c r="AN2509" i="1"/>
  <c r="AN2510" i="1"/>
  <c r="AN2511" i="1"/>
  <c r="AN2512" i="1"/>
  <c r="AN2513" i="1"/>
  <c r="AN2515" i="1"/>
  <c r="AN2516" i="1"/>
  <c r="AN2517" i="1"/>
  <c r="AN2518" i="1"/>
  <c r="AN2519" i="1"/>
  <c r="AN2521" i="1"/>
  <c r="AN2522" i="1"/>
  <c r="AN2523" i="1"/>
  <c r="AN2524" i="1"/>
  <c r="AN2526" i="1"/>
  <c r="AN2527" i="1"/>
  <c r="AN2528" i="1"/>
  <c r="AN2529" i="1"/>
  <c r="AN2530" i="1"/>
  <c r="AN2532" i="1"/>
  <c r="AN2533" i="1"/>
  <c r="AN2534" i="1"/>
  <c r="AN2535" i="1"/>
  <c r="AN2536" i="1"/>
  <c r="AN2538" i="1"/>
  <c r="AN2539" i="1"/>
  <c r="AN2540" i="1"/>
  <c r="AN2541" i="1"/>
  <c r="AN2543" i="1"/>
  <c r="AN2544" i="1"/>
  <c r="AN2545" i="1"/>
  <c r="AN2546" i="1"/>
  <c r="AN2547" i="1"/>
  <c r="AN2549" i="1"/>
  <c r="AN2550" i="1"/>
  <c r="AN2551" i="1"/>
  <c r="AN2552" i="1"/>
  <c r="AN2553" i="1"/>
  <c r="AN2555" i="1"/>
  <c r="AN2556" i="1"/>
  <c r="AN2557" i="1"/>
  <c r="AN2558" i="1"/>
  <c r="AN2560" i="1"/>
  <c r="AN2561" i="1"/>
  <c r="AN2562" i="1"/>
  <c r="AN2563" i="1"/>
  <c r="AN2564" i="1"/>
  <c r="AN2566" i="1"/>
  <c r="AN2567" i="1"/>
  <c r="AN2568" i="1"/>
  <c r="AN2569" i="1"/>
  <c r="AN2570" i="1"/>
  <c r="AN2572" i="1"/>
  <c r="AN2573" i="1"/>
  <c r="AN2574" i="1"/>
  <c r="AN2575" i="1"/>
  <c r="AN2577" i="1"/>
  <c r="AN2578" i="1"/>
  <c r="AN2579" i="1"/>
  <c r="AN2580" i="1"/>
  <c r="AN2581" i="1"/>
  <c r="AN2583" i="1"/>
  <c r="AN2584" i="1"/>
  <c r="AN2585" i="1"/>
  <c r="AN2586" i="1"/>
  <c r="AN2589" i="1"/>
  <c r="AN2590" i="1"/>
  <c r="AN2591" i="1"/>
  <c r="AN2592" i="1"/>
  <c r="AN2595" i="1"/>
  <c r="AN2596" i="1"/>
  <c r="AN2597" i="1"/>
  <c r="AN2598" i="1"/>
  <c r="AN2600" i="1"/>
  <c r="AN2601" i="1"/>
  <c r="AN2602" i="1"/>
  <c r="AN2603" i="1"/>
  <c r="AN2604" i="1"/>
  <c r="AN2607" i="1"/>
  <c r="AN2608" i="1"/>
  <c r="AN2609" i="1"/>
  <c r="AN2611" i="1"/>
  <c r="AN2613" i="1"/>
  <c r="AN2614" i="1"/>
  <c r="AN2615" i="1"/>
  <c r="AN2617" i="1"/>
  <c r="AN2618" i="1"/>
  <c r="AN2619" i="1"/>
  <c r="AN2620" i="1"/>
  <c r="AN2621" i="1"/>
  <c r="AN2623" i="1"/>
  <c r="AN2624" i="1"/>
  <c r="AN2625" i="1"/>
  <c r="AN2626" i="1"/>
  <c r="AN2628" i="1"/>
  <c r="AN2629" i="1"/>
  <c r="AN2630" i="1"/>
  <c r="AN2631" i="1"/>
  <c r="AN2632" i="1"/>
  <c r="AN2634" i="1"/>
  <c r="AN2635" i="1"/>
  <c r="AN2636" i="1"/>
  <c r="AN2637" i="1"/>
  <c r="AN2638" i="1"/>
  <c r="AN2640" i="1"/>
  <c r="AN2641" i="1"/>
  <c r="AN2642" i="1"/>
  <c r="AN2643" i="1"/>
  <c r="AN2645" i="1"/>
  <c r="AN2646" i="1"/>
  <c r="AN2647" i="1"/>
  <c r="AN2648" i="1"/>
  <c r="AN2649" i="1"/>
  <c r="AN2651" i="1"/>
  <c r="AN2652" i="1"/>
  <c r="AN2653" i="1"/>
  <c r="AN2654" i="1"/>
  <c r="AN2655" i="1"/>
  <c r="AN2657" i="1"/>
  <c r="AN2658" i="1"/>
  <c r="AN2659" i="1"/>
  <c r="AN2660" i="1"/>
  <c r="AN2662" i="1"/>
  <c r="AN2663" i="1"/>
  <c r="AN2664" i="1"/>
  <c r="AN2665" i="1"/>
  <c r="AN2666" i="1"/>
  <c r="AN2668" i="1"/>
  <c r="AN2669" i="1"/>
  <c r="AN2670" i="1"/>
  <c r="AN2671" i="1"/>
  <c r="AN2672" i="1"/>
  <c r="AN2674" i="1"/>
  <c r="AN2675" i="1"/>
  <c r="AN2676" i="1"/>
  <c r="AN2677" i="1"/>
  <c r="AN2679" i="1"/>
  <c r="AN2680" i="1"/>
  <c r="AN2681" i="1"/>
  <c r="AN2682" i="1"/>
  <c r="AN2685" i="1"/>
  <c r="AN2686" i="1"/>
  <c r="AN2687" i="1"/>
  <c r="AN2688" i="1"/>
  <c r="AN2691" i="1"/>
  <c r="AN2692" i="1"/>
  <c r="AN2693" i="1"/>
  <c r="AN2694" i="1"/>
  <c r="AN2697" i="1"/>
  <c r="AN2698" i="1"/>
  <c r="AN2699" i="1"/>
  <c r="AN2700" i="1"/>
  <c r="AN2703" i="1"/>
  <c r="AN2704" i="1"/>
  <c r="AN2705" i="1"/>
  <c r="AN2707" i="1"/>
  <c r="AN2709" i="1"/>
  <c r="AN2710" i="1"/>
  <c r="AN2711" i="1"/>
  <c r="AN2713" i="1"/>
  <c r="AN2715" i="1"/>
  <c r="AN2716" i="1"/>
  <c r="AN2717" i="1"/>
  <c r="AN2719" i="1"/>
  <c r="AN2721" i="1"/>
  <c r="AN2722" i="1"/>
  <c r="AN2724" i="1"/>
  <c r="AN2725" i="1"/>
  <c r="AN2726" i="1"/>
  <c r="AN2727" i="1"/>
  <c r="AN2728" i="1"/>
  <c r="AN2730" i="1"/>
  <c r="AN2731" i="1"/>
  <c r="AN2732" i="1"/>
  <c r="AN2733" i="1"/>
  <c r="AN2734" i="1"/>
  <c r="AN2735" i="1"/>
  <c r="AN2737" i="1"/>
  <c r="AN2738" i="1"/>
  <c r="AN2739" i="1"/>
  <c r="AN2740" i="1"/>
  <c r="AN2742" i="1"/>
  <c r="AN2743" i="1"/>
  <c r="AN2744" i="1"/>
  <c r="AN2745" i="1"/>
  <c r="AN2746" i="1"/>
  <c r="AN2748" i="1"/>
  <c r="AN2749" i="1"/>
  <c r="AN2750" i="1"/>
  <c r="AN2751" i="1"/>
  <c r="AN2752" i="1"/>
  <c r="AN2754" i="1"/>
  <c r="AN2755" i="1"/>
  <c r="AN2756" i="1"/>
  <c r="AN2757" i="1"/>
  <c r="AN2759" i="1"/>
  <c r="AN2760" i="1"/>
  <c r="AN2761" i="1"/>
  <c r="AN2762" i="1"/>
  <c r="AN2763" i="1"/>
  <c r="AN2765" i="1"/>
  <c r="AN2766" i="1"/>
  <c r="AN2767" i="1"/>
  <c r="AN2768" i="1"/>
  <c r="AN2769" i="1"/>
  <c r="AN2771" i="1"/>
  <c r="AN2772" i="1"/>
  <c r="AN2773" i="1"/>
  <c r="AN2774" i="1"/>
  <c r="AN2776" i="1"/>
  <c r="AN2777" i="1"/>
  <c r="AN2778" i="1"/>
  <c r="AN2779" i="1"/>
  <c r="AN2780" i="1"/>
  <c r="AN2782" i="1"/>
  <c r="AN2784" i="1"/>
  <c r="AN2785" i="1"/>
  <c r="AN2786" i="1"/>
  <c r="AN2788" i="1"/>
  <c r="AN2790" i="1"/>
  <c r="AN2791" i="1"/>
  <c r="AN2793" i="1"/>
  <c r="AN2795" i="1"/>
  <c r="AN2797" i="1"/>
  <c r="AN2798" i="1"/>
  <c r="AN2799" i="1"/>
  <c r="AN2800" i="1"/>
  <c r="AN2801" i="1"/>
  <c r="AN2803" i="1"/>
  <c r="AN2804" i="1"/>
  <c r="AN2805" i="1"/>
  <c r="AN2806" i="1"/>
  <c r="AN2808" i="1"/>
  <c r="AN2809" i="1"/>
  <c r="AN2810" i="1"/>
  <c r="AN2811" i="1"/>
  <c r="AN2812" i="1"/>
  <c r="AN2814" i="1"/>
  <c r="AN2815" i="1"/>
  <c r="AN2816" i="1"/>
  <c r="AN2817" i="1"/>
  <c r="AN2818" i="1"/>
  <c r="AN2820" i="1"/>
  <c r="AN2821" i="1"/>
  <c r="AN2822" i="1"/>
  <c r="AN2823" i="1"/>
  <c r="AN2825" i="1"/>
  <c r="AN2826" i="1"/>
  <c r="AN2827" i="1"/>
  <c r="AN2828" i="1"/>
  <c r="AN2829" i="1"/>
  <c r="AN2831" i="1"/>
  <c r="AN2832" i="1"/>
  <c r="AN2833" i="1"/>
  <c r="AN2834" i="1"/>
  <c r="AN2835" i="1"/>
  <c r="AN2837" i="1"/>
  <c r="AN2838" i="1"/>
  <c r="AN2839" i="1"/>
  <c r="AN2840" i="1"/>
  <c r="AN2842" i="1"/>
  <c r="AN2843" i="1"/>
  <c r="AN2844" i="1"/>
  <c r="AN2845" i="1"/>
  <c r="AN2846" i="1"/>
  <c r="AN2848" i="1"/>
  <c r="AN2849" i="1"/>
  <c r="AN2850" i="1"/>
  <c r="AN2851" i="1"/>
  <c r="AN2852" i="1"/>
  <c r="AN2854" i="1"/>
  <c r="AN2855" i="1"/>
  <c r="AN2856" i="1"/>
  <c r="AN2857" i="1"/>
  <c r="AN2858" i="1"/>
  <c r="AN2860" i="1"/>
  <c r="AN2861" i="1"/>
  <c r="AN2862" i="1"/>
  <c r="AN2863" i="1"/>
  <c r="AN2865" i="1"/>
  <c r="AN2866" i="1"/>
  <c r="AN2867" i="1"/>
  <c r="AN2868" i="1"/>
  <c r="AN2869" i="1"/>
  <c r="AN2871" i="1"/>
  <c r="AN2872" i="1"/>
  <c r="AN2873" i="1"/>
  <c r="AN2874" i="1"/>
  <c r="AN2876" i="1"/>
  <c r="AN2877" i="1"/>
  <c r="AN2878" i="1"/>
  <c r="AN2879" i="1"/>
  <c r="AN2880" i="1"/>
  <c r="AN2882" i="1"/>
  <c r="AN2883" i="1"/>
  <c r="AN2884" i="1"/>
  <c r="AN2885" i="1"/>
  <c r="AN2886" i="1"/>
  <c r="AN2888" i="1"/>
  <c r="AN2889" i="1"/>
  <c r="AN2890" i="1"/>
  <c r="AN2891" i="1"/>
  <c r="AN2893" i="1"/>
  <c r="AN2894" i="1"/>
  <c r="AN2895" i="1"/>
  <c r="AN2896" i="1"/>
  <c r="AN2897" i="1"/>
  <c r="AN2899" i="1"/>
  <c r="AN2900" i="1"/>
  <c r="AN2901" i="1"/>
  <c r="AN2902" i="1"/>
  <c r="AN2903" i="1"/>
  <c r="AN2905" i="1"/>
  <c r="AN2906" i="1"/>
  <c r="AN2907" i="1"/>
  <c r="AN2908" i="1"/>
  <c r="AN2910" i="1"/>
  <c r="AN2911" i="1"/>
  <c r="AN2912" i="1"/>
  <c r="AN2913" i="1"/>
  <c r="AN2914" i="1"/>
  <c r="AN2916" i="1"/>
  <c r="AN2917" i="1"/>
  <c r="AN2918" i="1"/>
  <c r="AN2919" i="1"/>
  <c r="AN2920" i="1"/>
  <c r="AN2922" i="1"/>
  <c r="AN2923" i="1"/>
  <c r="AN2924" i="1"/>
  <c r="AN2925" i="1"/>
  <c r="AN2927" i="1"/>
  <c r="AN2928" i="1"/>
  <c r="AN2929" i="1"/>
  <c r="AN2930" i="1"/>
  <c r="AN2931" i="1"/>
  <c r="AN2933" i="1"/>
  <c r="AN2934" i="1"/>
  <c r="AN2935" i="1"/>
  <c r="AN2936" i="1"/>
  <c r="AN2937" i="1"/>
  <c r="AN2939" i="1"/>
  <c r="AN2940" i="1"/>
  <c r="AN2941" i="1"/>
  <c r="AN2942" i="1"/>
  <c r="AN2944" i="1"/>
  <c r="AN2945" i="1"/>
  <c r="AN2946" i="1"/>
  <c r="AN2947" i="1"/>
  <c r="AN2948" i="1"/>
  <c r="AN2950" i="1"/>
  <c r="AN2951" i="1"/>
  <c r="AN2952" i="1"/>
  <c r="AN2953" i="1"/>
  <c r="AN2954" i="1"/>
  <c r="AN2956" i="1"/>
  <c r="AN2957" i="1"/>
  <c r="AN2958" i="1"/>
  <c r="AN2959" i="1"/>
  <c r="AN2961" i="1"/>
  <c r="AN2962" i="1"/>
  <c r="AN2963" i="1"/>
  <c r="AN2964" i="1"/>
  <c r="AN2967" i="1"/>
  <c r="AN2968" i="1"/>
  <c r="AN2969" i="1"/>
  <c r="AN2970" i="1"/>
  <c r="AN2971" i="1"/>
  <c r="AN2973" i="1"/>
  <c r="AN2974" i="1"/>
  <c r="AN2975" i="1"/>
  <c r="AN2976" i="1"/>
  <c r="AN2978" i="1"/>
  <c r="AN2979" i="1"/>
  <c r="AN2980" i="1"/>
  <c r="AN2981" i="1"/>
  <c r="AN2982" i="1"/>
  <c r="AN2984" i="1"/>
  <c r="AN2985" i="1"/>
  <c r="AN2986" i="1"/>
  <c r="AN2987" i="1"/>
  <c r="AN2988" i="1"/>
  <c r="AN2990" i="1"/>
  <c r="AN2991" i="1"/>
  <c r="AN2992" i="1"/>
  <c r="AN2993" i="1"/>
  <c r="AN2995" i="1"/>
  <c r="AN2996" i="1"/>
  <c r="AN2997" i="1"/>
  <c r="AN2998" i="1"/>
  <c r="AN2999" i="1"/>
  <c r="AN3001" i="1"/>
  <c r="AN3002" i="1"/>
  <c r="AN3003" i="1"/>
  <c r="AN3004" i="1"/>
  <c r="AN3005" i="1"/>
  <c r="AN3007" i="1"/>
  <c r="AN3008" i="1"/>
  <c r="AN3009" i="1"/>
  <c r="AN3010" i="1"/>
  <c r="AN3012" i="1"/>
  <c r="AN3013" i="1"/>
  <c r="AN3014" i="1"/>
  <c r="AN3015" i="1"/>
  <c r="AN3016" i="1"/>
  <c r="AN3018" i="1"/>
  <c r="AN3019" i="1"/>
  <c r="AN3020" i="1"/>
  <c r="AN3021" i="1"/>
  <c r="AN3022" i="1"/>
  <c r="AN3024" i="1"/>
  <c r="AN3025" i="1"/>
  <c r="AN3026" i="1"/>
  <c r="AN3027" i="1"/>
  <c r="AN3029" i="1"/>
  <c r="AN3030" i="1"/>
  <c r="AN3031" i="1"/>
  <c r="AN3032" i="1"/>
  <c r="AN3033" i="1"/>
  <c r="AN3035" i="1"/>
  <c r="AN3036" i="1"/>
  <c r="AN3037" i="1"/>
  <c r="AN3038" i="1"/>
  <c r="AN3039" i="1"/>
  <c r="AN3041" i="1"/>
  <c r="AN3042" i="1"/>
  <c r="AN3043" i="1"/>
  <c r="AN3044" i="1"/>
  <c r="AN3046" i="1"/>
  <c r="AN3047" i="1"/>
  <c r="AN3048" i="1"/>
  <c r="AN3049" i="1"/>
  <c r="AN3050" i="1"/>
  <c r="AN3052" i="1"/>
  <c r="AN3053" i="1"/>
  <c r="AN3054" i="1"/>
  <c r="AN3055" i="1"/>
  <c r="AN3056" i="1"/>
  <c r="AN3058" i="1"/>
  <c r="AN3059" i="1"/>
  <c r="AN3060" i="1"/>
  <c r="AN3061" i="1"/>
  <c r="AN3063" i="1"/>
  <c r="AN3064" i="1"/>
  <c r="AN3065" i="1"/>
  <c r="AN3066" i="1"/>
  <c r="AN3067" i="1"/>
  <c r="AN3069" i="1"/>
  <c r="AN3070" i="1"/>
  <c r="AN3071" i="1"/>
  <c r="AN3072" i="1"/>
  <c r="AN3075" i="1"/>
  <c r="AN3076" i="1"/>
  <c r="AN3077" i="1"/>
  <c r="AN3078" i="1"/>
  <c r="AN3080" i="1"/>
  <c r="AN3081" i="1"/>
  <c r="AN3082" i="1"/>
  <c r="AN3083" i="1"/>
  <c r="AN3084" i="1"/>
  <c r="AN3086" i="1"/>
  <c r="AN3087" i="1"/>
  <c r="AN3088" i="1"/>
  <c r="AN3089" i="1"/>
  <c r="AN3090" i="1"/>
  <c r="AN3092" i="1"/>
  <c r="AN3093" i="1"/>
  <c r="AN3094" i="1"/>
  <c r="AN3095" i="1"/>
  <c r="AN3097" i="1"/>
  <c r="AN3098" i="1"/>
  <c r="AN3099" i="1"/>
  <c r="AN3100" i="1"/>
  <c r="AN3101" i="1"/>
  <c r="AN3103" i="1"/>
  <c r="AN3104" i="1"/>
  <c r="AN3105" i="1"/>
  <c r="AN3106" i="1"/>
  <c r="AN3107" i="1"/>
  <c r="AN3109" i="1"/>
  <c r="AN3110" i="1"/>
  <c r="AN3111" i="1"/>
  <c r="AN3112" i="1"/>
  <c r="AN3114" i="1"/>
  <c r="AN3115" i="1"/>
  <c r="AN3116" i="1"/>
  <c r="AN3117" i="1"/>
  <c r="AN3118" i="1"/>
  <c r="AN3120" i="1"/>
  <c r="AN3121" i="1"/>
  <c r="AN3122" i="1"/>
  <c r="AN3123" i="1"/>
  <c r="AN3124" i="1"/>
  <c r="AN3126" i="1"/>
  <c r="AN3127" i="1"/>
  <c r="AN3128" i="1"/>
  <c r="AN3129" i="1"/>
  <c r="AN3131" i="1"/>
  <c r="AN3132" i="1"/>
  <c r="AN3133" i="1"/>
  <c r="AN3134" i="1"/>
  <c r="AN3135" i="1"/>
  <c r="AN3137" i="1"/>
  <c r="AN3138" i="1"/>
  <c r="AN3139" i="1"/>
  <c r="AN3140" i="1"/>
  <c r="AN3141" i="1"/>
  <c r="AN3143" i="1"/>
  <c r="AN3144" i="1"/>
  <c r="AN3145" i="1"/>
  <c r="AN3146" i="1"/>
  <c r="AN3148" i="1"/>
  <c r="AN3149" i="1"/>
  <c r="AN3150" i="1"/>
  <c r="AN3151" i="1"/>
  <c r="AN3152" i="1"/>
  <c r="AN3154" i="1"/>
  <c r="AN3155" i="1"/>
  <c r="AN3157" i="1"/>
  <c r="AN3159" i="1"/>
  <c r="AN3160" i="1"/>
  <c r="AN3163" i="1"/>
  <c r="AN3164" i="1"/>
  <c r="AN3165" i="1"/>
  <c r="AN3166" i="1"/>
  <c r="AN3168" i="1"/>
  <c r="AN3169" i="1"/>
  <c r="AN3170" i="1"/>
  <c r="AN3171" i="1"/>
  <c r="AN3172" i="1"/>
  <c r="AN3174" i="1"/>
  <c r="AN3175" i="1"/>
  <c r="AN3176" i="1"/>
  <c r="AN3177" i="1"/>
  <c r="AN3179" i="1"/>
  <c r="AN3180" i="1"/>
  <c r="AN3181" i="1"/>
  <c r="AN3182" i="1"/>
  <c r="AN3183" i="1"/>
  <c r="AN3185" i="1"/>
  <c r="AN3186" i="1"/>
  <c r="AN3187" i="1"/>
  <c r="AN3188" i="1"/>
  <c r="AN3189" i="1"/>
  <c r="AN3191" i="1"/>
  <c r="AN3192" i="1"/>
  <c r="AN3193" i="1"/>
  <c r="AN3194" i="1"/>
  <c r="AN3196" i="1"/>
  <c r="AN3197" i="1"/>
  <c r="AN3198" i="1"/>
  <c r="AN3199" i="1"/>
  <c r="AN3200" i="1"/>
  <c r="AN3202" i="1"/>
  <c r="AN3203" i="1"/>
  <c r="AN3204" i="1"/>
  <c r="AN3205" i="1"/>
  <c r="AN3206" i="1"/>
  <c r="AN3208" i="1"/>
  <c r="AN3209" i="1"/>
  <c r="AN3210" i="1"/>
  <c r="AN3211" i="1"/>
  <c r="AN3213" i="1"/>
  <c r="AN3214" i="1"/>
  <c r="AN3215" i="1"/>
  <c r="AN3216" i="1"/>
  <c r="AN3217" i="1"/>
  <c r="AN3219" i="1"/>
  <c r="AN3220" i="1"/>
  <c r="AN3221" i="1"/>
  <c r="AN3222" i="1"/>
  <c r="AN3223" i="1"/>
  <c r="AN3225" i="1"/>
  <c r="AN3226" i="1"/>
  <c r="AN3227" i="1"/>
  <c r="AN3228" i="1"/>
  <c r="AN3230" i="1"/>
  <c r="AN3231" i="1"/>
  <c r="AN3232" i="1"/>
  <c r="AN3233" i="1"/>
  <c r="AN3234" i="1"/>
  <c r="AN3236" i="1"/>
  <c r="AN3237" i="1"/>
  <c r="AN3238" i="1"/>
  <c r="AN3239" i="1"/>
  <c r="AN3240" i="1"/>
  <c r="AN3242" i="1"/>
  <c r="AN3243" i="1"/>
  <c r="AN3244" i="1"/>
  <c r="AN3245" i="1"/>
  <c r="AN3247" i="1"/>
  <c r="AN3248" i="1"/>
  <c r="AN3249" i="1"/>
  <c r="AN3250" i="1"/>
  <c r="AN3251" i="1"/>
  <c r="AN3253" i="1"/>
  <c r="AN3254" i="1"/>
  <c r="AN3255" i="1"/>
  <c r="AN3256" i="1"/>
  <c r="AN3257" i="1"/>
  <c r="AN3259" i="1"/>
  <c r="AN3260" i="1"/>
  <c r="AN3261" i="1"/>
  <c r="AN3262" i="1"/>
  <c r="AN3265" i="1"/>
  <c r="AN3266" i="1"/>
  <c r="AN3267" i="1"/>
  <c r="AN3268" i="1"/>
  <c r="AN3270" i="1"/>
  <c r="AN3271" i="1"/>
  <c r="AN3272" i="1"/>
  <c r="AN3273" i="1"/>
  <c r="AN3274" i="1"/>
  <c r="AN3276" i="1"/>
  <c r="AN3277" i="1"/>
  <c r="AN3278" i="1"/>
  <c r="AN3279" i="1"/>
  <c r="AN3281" i="1"/>
  <c r="AN3282" i="1"/>
  <c r="AN3283" i="1"/>
  <c r="AN3284" i="1"/>
  <c r="AN3285" i="1"/>
  <c r="AN3287" i="1"/>
  <c r="AN3288" i="1"/>
  <c r="AN3289" i="1"/>
  <c r="AN3290" i="1"/>
  <c r="AN3293" i="1"/>
  <c r="AN3294" i="1"/>
  <c r="AN3295" i="1"/>
  <c r="AN3296" i="1"/>
  <c r="AN3299" i="1"/>
  <c r="AN3300" i="1"/>
  <c r="AN3301" i="1"/>
  <c r="AN3302" i="1"/>
  <c r="AN3304" i="1"/>
  <c r="AN3305" i="1"/>
  <c r="AN3306" i="1"/>
  <c r="AN3307" i="1"/>
  <c r="AN3308" i="1"/>
  <c r="AN3310" i="1"/>
  <c r="AN3311" i="1"/>
  <c r="AN3312" i="1"/>
  <c r="AN3313" i="1"/>
  <c r="AN3315" i="1"/>
  <c r="AN3316" i="1"/>
  <c r="AN3317" i="1"/>
  <c r="AN3318" i="1"/>
  <c r="AN3319" i="1"/>
  <c r="AN3321" i="1"/>
  <c r="AN3322" i="1"/>
  <c r="AN3323" i="1"/>
  <c r="AN3324" i="1"/>
  <c r="AN3325" i="1"/>
  <c r="AN3327" i="1"/>
  <c r="AN3328" i="1"/>
  <c r="AN3329" i="1"/>
  <c r="AN3330" i="1"/>
  <c r="AN3332" i="1"/>
  <c r="AN3333" i="1"/>
  <c r="AN3334" i="1"/>
  <c r="AN3335" i="1"/>
  <c r="AN3336" i="1"/>
  <c r="AN3338" i="1"/>
  <c r="AN3339" i="1"/>
  <c r="AN3340" i="1"/>
  <c r="AN3341" i="1"/>
  <c r="AN3342" i="1"/>
  <c r="AN3344" i="1"/>
  <c r="AN3345" i="1"/>
  <c r="AN3346" i="1"/>
  <c r="AN3347" i="1"/>
  <c r="AN3349" i="1"/>
  <c r="AN3350" i="1"/>
  <c r="AN3351" i="1"/>
  <c r="AN3352" i="1"/>
  <c r="AN3353" i="1"/>
  <c r="AN3355" i="1"/>
  <c r="AN3356" i="1"/>
  <c r="AN3357" i="1"/>
  <c r="AN3358" i="1"/>
  <c r="AN3359" i="1"/>
  <c r="AN3361" i="1"/>
  <c r="AN3362" i="1"/>
  <c r="AN3363" i="1"/>
  <c r="AN3364" i="1"/>
  <c r="AN3366" i="1"/>
  <c r="AN3367" i="1"/>
  <c r="AN3368" i="1"/>
  <c r="AN3369" i="1"/>
  <c r="AN3370" i="1"/>
  <c r="AN3372" i="1"/>
  <c r="AN3373" i="1"/>
  <c r="AN3374" i="1"/>
  <c r="AN3375" i="1"/>
  <c r="AN3377" i="1"/>
  <c r="AN3378" i="1"/>
  <c r="AN3379" i="1"/>
  <c r="AN3380" i="1"/>
  <c r="AN3381" i="1"/>
  <c r="AN3383" i="1"/>
  <c r="AN3384" i="1"/>
  <c r="AN3385" i="1"/>
  <c r="AN3386" i="1"/>
  <c r="AN3387" i="1"/>
  <c r="AN3389" i="1"/>
  <c r="AN3390" i="1"/>
  <c r="AN3391" i="1"/>
  <c r="AN3392" i="1"/>
  <c r="AN3393" i="1"/>
  <c r="AN3395" i="1"/>
  <c r="AN3396" i="1"/>
  <c r="AN3397" i="1"/>
  <c r="AN3398" i="1"/>
  <c r="AN3400" i="1"/>
  <c r="AN3401" i="1"/>
  <c r="AN3402" i="1"/>
  <c r="AN3403" i="1"/>
  <c r="AN3404" i="1"/>
  <c r="AN3406" i="1"/>
  <c r="AN3407" i="1"/>
  <c r="AN3408" i="1"/>
  <c r="AN3409" i="1"/>
  <c r="AN3410" i="1"/>
  <c r="AN3412" i="1"/>
  <c r="AN3413" i="1"/>
  <c r="AN3414" i="1"/>
  <c r="AN3415" i="1"/>
  <c r="AN3417" i="1"/>
  <c r="AN3418" i="1"/>
  <c r="AN3419" i="1"/>
  <c r="AN3420" i="1"/>
  <c r="AN3421" i="1"/>
  <c r="AN3423" i="1"/>
  <c r="AN3424" i="1"/>
  <c r="AN3425" i="1"/>
  <c r="AN3426" i="1"/>
  <c r="AN3428" i="1"/>
  <c r="AN3429" i="1"/>
  <c r="AN3430" i="1"/>
  <c r="AN3431" i="1"/>
  <c r="AN3432" i="1"/>
  <c r="AN3434" i="1"/>
  <c r="AN3435" i="1"/>
  <c r="AN3436" i="1"/>
  <c r="AN3437" i="1"/>
  <c r="AN3438" i="1"/>
  <c r="AN3440" i="1"/>
  <c r="AN3441" i="1"/>
  <c r="AN3442" i="1"/>
  <c r="AN3443" i="1"/>
  <c r="AN3445" i="1"/>
  <c r="AN3446" i="1"/>
  <c r="AN3447" i="1"/>
  <c r="AN3448" i="1"/>
  <c r="AN3449" i="1"/>
  <c r="AN3451" i="1"/>
  <c r="AN3452" i="1"/>
  <c r="AN3453" i="1"/>
  <c r="AN3454" i="1"/>
  <c r="AN3455" i="1"/>
  <c r="AN3457" i="1"/>
  <c r="AN3458" i="1"/>
  <c r="AN3459" i="1"/>
  <c r="AN3460" i="1"/>
  <c r="AN3462" i="1"/>
  <c r="AN3463" i="1"/>
  <c r="AN3464" i="1"/>
  <c r="AN3465" i="1"/>
  <c r="AN3466" i="1"/>
  <c r="AN3468" i="1"/>
  <c r="AN3469" i="1"/>
  <c r="AN3470" i="1"/>
  <c r="AN3471" i="1"/>
  <c r="AN3472" i="1"/>
  <c r="AN3474" i="1"/>
  <c r="AN3475" i="1"/>
  <c r="AN3476" i="1"/>
  <c r="AN3477" i="1"/>
  <c r="AN3479" i="1"/>
  <c r="AN3480" i="1"/>
  <c r="AN3481" i="1"/>
  <c r="AN3482" i="1"/>
  <c r="AN3483" i="1"/>
  <c r="AN3485" i="1"/>
  <c r="AN3486" i="1"/>
  <c r="AN3487" i="1"/>
  <c r="AN3488" i="1"/>
  <c r="AN3489" i="1"/>
  <c r="AN3491" i="1"/>
  <c r="AN3492" i="1"/>
  <c r="AN3493" i="1"/>
  <c r="AN3494" i="1"/>
  <c r="AN3496" i="1"/>
  <c r="AN3497" i="1"/>
  <c r="AN3498" i="1"/>
  <c r="AN3499" i="1"/>
  <c r="AN3500" i="1"/>
  <c r="AN3502" i="1"/>
  <c r="AN3503" i="1"/>
  <c r="AN3504" i="1"/>
  <c r="AN3505" i="1"/>
  <c r="AN3506" i="1"/>
  <c r="AN3508" i="1"/>
  <c r="AN3509" i="1"/>
  <c r="AN3510" i="1"/>
  <c r="AN3511" i="1"/>
  <c r="AN3513" i="1"/>
  <c r="AN3514" i="1"/>
  <c r="AN3515" i="1"/>
  <c r="AN3516" i="1"/>
  <c r="AN3517" i="1"/>
  <c r="AN3520" i="1"/>
  <c r="AN3522" i="1"/>
  <c r="AN3523" i="1"/>
  <c r="AN3524" i="1"/>
  <c r="AN3525" i="1"/>
  <c r="AN3527" i="1"/>
  <c r="AN3528" i="1"/>
  <c r="AN3529" i="1"/>
  <c r="AN3530" i="1"/>
  <c r="AN3531" i="1"/>
  <c r="AN3533" i="1"/>
  <c r="AN3534" i="1"/>
  <c r="AN3535" i="1"/>
  <c r="AN3536" i="1"/>
  <c r="AN3538" i="1"/>
  <c r="AN3539" i="1"/>
  <c r="AN3540" i="1"/>
  <c r="AN3541" i="1"/>
  <c r="AN3542" i="1"/>
  <c r="AN3544" i="1"/>
  <c r="AN3545" i="1"/>
  <c r="AN3546" i="1"/>
  <c r="AN3547" i="1"/>
  <c r="AN3548" i="1"/>
  <c r="AN3550" i="1"/>
  <c r="AN3551" i="1"/>
  <c r="AN3552" i="1"/>
  <c r="AN3553" i="1"/>
  <c r="AN3555" i="1"/>
  <c r="AN3556" i="1"/>
  <c r="AN3557" i="1"/>
  <c r="AN3558" i="1"/>
  <c r="AN3559" i="1"/>
  <c r="AN3561" i="1"/>
  <c r="AN3562" i="1"/>
  <c r="AN3563" i="1"/>
  <c r="AN3564" i="1"/>
  <c r="AN3565" i="1"/>
  <c r="AN3567" i="1"/>
  <c r="AN3568" i="1"/>
  <c r="AN3569" i="1"/>
  <c r="AN3570" i="1"/>
  <c r="AN3572" i="1"/>
  <c r="AN3573" i="1"/>
  <c r="AN3574" i="1"/>
  <c r="AN3575" i="1"/>
  <c r="AN3576" i="1"/>
  <c r="AN3578" i="1"/>
  <c r="AN3579" i="1"/>
  <c r="AN3580" i="1"/>
  <c r="AN3581" i="1"/>
  <c r="AN3582" i="1"/>
  <c r="AN3584" i="1"/>
  <c r="AN3585" i="1"/>
  <c r="AN3586" i="1"/>
  <c r="AN3587" i="1"/>
  <c r="AN3588" i="1"/>
  <c r="AN3590" i="1"/>
  <c r="AN3591" i="1"/>
  <c r="AN3592" i="1"/>
  <c r="AN3593" i="1"/>
  <c r="AN3595" i="1"/>
  <c r="AN3596" i="1"/>
  <c r="AN3597" i="1"/>
  <c r="AN3598" i="1"/>
  <c r="AN3599" i="1"/>
  <c r="AN3601" i="1"/>
  <c r="AN3602" i="1"/>
  <c r="AN3603" i="1"/>
  <c r="AN3604" i="1"/>
  <c r="AN3606" i="1"/>
  <c r="AN3607" i="1"/>
  <c r="AN3608" i="1"/>
  <c r="AN3609" i="1"/>
  <c r="AN3610" i="1"/>
  <c r="AN3612" i="1"/>
  <c r="AN3613" i="1"/>
  <c r="AN3614" i="1"/>
  <c r="AN3615" i="1"/>
  <c r="AN3616" i="1"/>
  <c r="AN3618" i="1"/>
  <c r="AN3619" i="1"/>
  <c r="AN3620" i="1"/>
  <c r="AN3621" i="1"/>
  <c r="AN3622" i="1"/>
  <c r="AN3624" i="1"/>
  <c r="AN3625" i="1"/>
  <c r="AN3626" i="1"/>
  <c r="AN3627" i="1"/>
  <c r="AN3629" i="1"/>
  <c r="AN3630" i="1"/>
  <c r="AN3631" i="1"/>
  <c r="AN3632" i="1"/>
  <c r="AN3633" i="1"/>
  <c r="AN3635" i="1"/>
  <c r="AN3636" i="1"/>
  <c r="AN3637" i="1"/>
  <c r="AN3638" i="1"/>
  <c r="AN3640" i="1"/>
  <c r="AN3641" i="1"/>
  <c r="AN3642" i="1"/>
  <c r="AN3643" i="1"/>
  <c r="AN3644" i="1"/>
  <c r="AN3646" i="1"/>
  <c r="AN3647" i="1"/>
  <c r="AN3648" i="1"/>
  <c r="AN3649" i="1"/>
  <c r="AN3650" i="1"/>
  <c r="AN3652" i="1"/>
  <c r="AN3653" i="1"/>
  <c r="AN3654" i="1"/>
  <c r="AN3655" i="1"/>
  <c r="AN3657" i="1"/>
  <c r="AN3659" i="1"/>
  <c r="AN3660" i="1"/>
  <c r="AN3663" i="1"/>
  <c r="AN3664" i="1"/>
  <c r="AN3665" i="1"/>
  <c r="AN3666" i="1"/>
  <c r="AN3669" i="1"/>
  <c r="AN3670" i="1"/>
  <c r="AN3671" i="1"/>
  <c r="AN3672" i="1"/>
  <c r="AN3674" i="1"/>
  <c r="AN3675" i="1"/>
  <c r="AN3676" i="1"/>
  <c r="AN3677" i="1"/>
  <c r="AN3678" i="1"/>
  <c r="AN3680" i="1"/>
  <c r="AN3681" i="1"/>
  <c r="AN3682" i="1"/>
  <c r="AN3683" i="1"/>
  <c r="AN3684" i="1"/>
  <c r="AN3686" i="1"/>
  <c r="AN3687" i="1"/>
  <c r="AN3688" i="1"/>
  <c r="AN3689" i="1"/>
  <c r="AN3690" i="1"/>
  <c r="AN3692" i="1"/>
  <c r="AN3693" i="1"/>
  <c r="AN3694" i="1"/>
  <c r="AN3695" i="1"/>
  <c r="AN3697" i="1"/>
  <c r="AN3698" i="1"/>
  <c r="AN3699" i="1"/>
  <c r="AN3700" i="1"/>
  <c r="AN3701" i="1"/>
  <c r="AN3703" i="1"/>
  <c r="AN3704" i="1"/>
  <c r="AN3705" i="1"/>
  <c r="AN3706" i="1"/>
  <c r="AN3707" i="1"/>
  <c r="AN3709" i="1"/>
  <c r="AN3710" i="1"/>
  <c r="AN3711" i="1"/>
  <c r="AN3712" i="1"/>
  <c r="AN3714" i="1"/>
  <c r="AN3715" i="1"/>
  <c r="AN3716" i="1"/>
  <c r="AN3717" i="1"/>
  <c r="AN3718" i="1"/>
  <c r="AN3720" i="1"/>
  <c r="AN3721" i="1"/>
  <c r="AN3722" i="1"/>
  <c r="AN3723" i="1"/>
  <c r="AN3724" i="1"/>
  <c r="AN3726" i="1"/>
  <c r="AN3727" i="1"/>
  <c r="AN3728" i="1"/>
  <c r="AN3729" i="1"/>
  <c r="AN3731" i="1"/>
  <c r="AN3732" i="1"/>
  <c r="AN3733" i="1"/>
  <c r="AN3734" i="1"/>
  <c r="AN3735" i="1"/>
  <c r="AN3737" i="1"/>
  <c r="AN3738" i="1"/>
  <c r="AN3739" i="1"/>
  <c r="AN3740" i="1"/>
  <c r="AN3741" i="1"/>
  <c r="AN3743" i="1"/>
  <c r="AN3744" i="1"/>
  <c r="AN3745" i="1"/>
  <c r="AN3746" i="1"/>
  <c r="AN3748" i="1"/>
  <c r="AN3749" i="1"/>
  <c r="AN3750" i="1"/>
  <c r="AN3751" i="1"/>
  <c r="AN3752" i="1"/>
  <c r="AN3754" i="1"/>
  <c r="AN3755" i="1"/>
  <c r="AN3756" i="1"/>
  <c r="AN3757" i="1"/>
  <c r="AN3758" i="1"/>
  <c r="AN3760" i="1"/>
  <c r="AN3761" i="1"/>
  <c r="AN3762" i="1"/>
  <c r="AN3763" i="1"/>
  <c r="AN3765" i="1"/>
  <c r="AN3766" i="1"/>
  <c r="AN3767" i="1"/>
  <c r="AN3768" i="1"/>
  <c r="AN3769" i="1"/>
  <c r="AN3771" i="1"/>
  <c r="AN3772" i="1"/>
  <c r="AN3773" i="1"/>
  <c r="AN3774" i="1"/>
  <c r="AN3775" i="1"/>
  <c r="AN3777" i="1"/>
  <c r="AN3778" i="1"/>
  <c r="AN3779" i="1"/>
  <c r="AN3780" i="1"/>
  <c r="AN3782" i="1"/>
  <c r="AN3783" i="1"/>
  <c r="AN3784" i="1"/>
  <c r="AN3785" i="1"/>
  <c r="AN3786" i="1"/>
  <c r="AN3788" i="1"/>
  <c r="AN3789" i="1"/>
  <c r="AN3790" i="1"/>
  <c r="AN3791" i="1"/>
  <c r="AN3792" i="1"/>
  <c r="AN3794" i="1"/>
  <c r="AN3795" i="1"/>
  <c r="AN3796" i="1"/>
  <c r="AN3797" i="1"/>
  <c r="AN3799" i="1"/>
  <c r="AN3800" i="1"/>
  <c r="AN3801" i="1"/>
  <c r="AN3802" i="1"/>
  <c r="AN3803" i="1"/>
  <c r="AN3805" i="1"/>
  <c r="AN3806" i="1"/>
  <c r="AN3807" i="1"/>
  <c r="AN3808" i="1"/>
  <c r="AN3809" i="1"/>
  <c r="AN3811" i="1"/>
  <c r="AN3812" i="1"/>
  <c r="AN3813" i="1"/>
  <c r="AN3814" i="1"/>
  <c r="AN3816" i="1"/>
  <c r="AN3817" i="1"/>
  <c r="AN3818" i="1"/>
  <c r="AN3819" i="1"/>
  <c r="AN3820" i="1"/>
  <c r="AN3822" i="1"/>
  <c r="AN3823" i="1"/>
  <c r="AN3824" i="1"/>
  <c r="AN3825" i="1"/>
  <c r="AN3826" i="1"/>
  <c r="AN3828" i="1"/>
  <c r="AN3829" i="1"/>
  <c r="AN3830" i="1"/>
  <c r="AN3831" i="1"/>
  <c r="AN3833" i="1"/>
  <c r="AN3834" i="1"/>
  <c r="AN3835" i="1"/>
  <c r="AN3836" i="1"/>
  <c r="AN3837" i="1"/>
  <c r="AN3839" i="1"/>
  <c r="AN3840" i="1"/>
  <c r="AN3841" i="1"/>
  <c r="AN3842" i="1"/>
  <c r="AN3843" i="1"/>
  <c r="AN3845" i="1"/>
  <c r="AN3846" i="1"/>
  <c r="AN3847" i="1"/>
  <c r="AN3848" i="1"/>
  <c r="AN3850" i="1"/>
  <c r="AN3851" i="1"/>
  <c r="AN3852" i="1"/>
  <c r="AN3853" i="1"/>
  <c r="AN3854" i="1"/>
  <c r="AN3856" i="1"/>
  <c r="AN3857" i="1"/>
  <c r="AN3858" i="1"/>
  <c r="AN3859" i="1"/>
  <c r="AN3860" i="1"/>
  <c r="AN3862" i="1"/>
  <c r="AN3863" i="1"/>
  <c r="AN3864" i="1"/>
  <c r="AN3865" i="1"/>
  <c r="AN3866" i="1"/>
  <c r="AN3868" i="1"/>
  <c r="AN3869" i="1"/>
  <c r="AN3870" i="1"/>
  <c r="AN3871" i="1"/>
  <c r="AN3873" i="1"/>
  <c r="AN3874" i="1"/>
  <c r="AN3875" i="1"/>
  <c r="AN3876" i="1"/>
  <c r="AN3877" i="1"/>
  <c r="AN3879" i="1"/>
  <c r="AN3880" i="1"/>
  <c r="AN3882" i="1"/>
  <c r="AN3884" i="1"/>
  <c r="AN3885" i="1"/>
  <c r="AN3887" i="1"/>
  <c r="AN3888" i="1"/>
  <c r="AN3889" i="1"/>
  <c r="AN3890" i="1"/>
  <c r="AN3891" i="1"/>
  <c r="AN3893" i="1"/>
  <c r="AN3894" i="1"/>
  <c r="AN3895" i="1"/>
  <c r="AN3896" i="1"/>
  <c r="AN3897" i="1"/>
  <c r="AN3899" i="1"/>
  <c r="AN3900" i="1"/>
  <c r="AN3901" i="1"/>
  <c r="AN3902" i="1"/>
  <c r="AN3904" i="1"/>
  <c r="AN3905" i="1"/>
  <c r="AN3906" i="1"/>
  <c r="AN3907" i="1"/>
  <c r="AN3908" i="1"/>
  <c r="AN3910" i="1"/>
  <c r="AN3911" i="1"/>
  <c r="AN3912" i="1"/>
  <c r="AN3913" i="1"/>
  <c r="AN3914" i="1"/>
  <c r="AN3916" i="1"/>
  <c r="AN3917" i="1"/>
  <c r="AN3918" i="1"/>
  <c r="AN3919" i="1"/>
  <c r="AN3921" i="1"/>
  <c r="AN3922" i="1"/>
  <c r="AN3923" i="1"/>
  <c r="AN3924" i="1"/>
  <c r="AN3925" i="1"/>
  <c r="AN3927" i="1"/>
  <c r="AN3928" i="1"/>
  <c r="AN3929" i="1"/>
  <c r="AN3930" i="1"/>
  <c r="AN3931" i="1"/>
  <c r="AN3933" i="1"/>
  <c r="AN3934" i="1"/>
  <c r="AN3935" i="1"/>
  <c r="AN3936" i="1"/>
  <c r="AN3938" i="1"/>
  <c r="AN3939" i="1"/>
  <c r="AN3940" i="1"/>
  <c r="AN3941" i="1"/>
  <c r="AN3942" i="1"/>
  <c r="AN3944" i="1"/>
  <c r="AN3945" i="1"/>
  <c r="AN3946" i="1"/>
  <c r="AN3947" i="1"/>
  <c r="AN3948" i="1"/>
  <c r="AN3950" i="1"/>
  <c r="AN3951" i="1"/>
  <c r="AN3952" i="1"/>
  <c r="AN3953" i="1"/>
  <c r="AN3955" i="1"/>
  <c r="AN3956" i="1"/>
  <c r="AN3957" i="1"/>
  <c r="AN3958" i="1"/>
  <c r="AN3959" i="1"/>
  <c r="AN3961" i="1"/>
  <c r="AN3962" i="1"/>
  <c r="AN3963" i="1"/>
  <c r="AN3964" i="1"/>
  <c r="AN3965" i="1"/>
  <c r="AN3967" i="1"/>
  <c r="AN3968" i="1"/>
  <c r="AN3969" i="1"/>
  <c r="AN3970" i="1"/>
  <c r="AN3972" i="1"/>
  <c r="AN3973" i="1"/>
  <c r="AN3974" i="1"/>
  <c r="AN3975" i="1"/>
  <c r="AN3976" i="1"/>
  <c r="AN3978" i="1"/>
  <c r="AN3979" i="1"/>
  <c r="AN3980" i="1"/>
  <c r="AN3981" i="1"/>
  <c r="AN3982" i="1"/>
  <c r="AN3984" i="1"/>
  <c r="AN3985" i="1"/>
  <c r="AN3986" i="1"/>
  <c r="AN3987" i="1"/>
  <c r="AN3989" i="1"/>
  <c r="AN3990" i="1"/>
  <c r="AN3991" i="1"/>
  <c r="AN3992" i="1"/>
  <c r="AN3993" i="1"/>
  <c r="AN3995" i="1"/>
  <c r="AN3996" i="1"/>
  <c r="AN3997" i="1"/>
  <c r="AN3998" i="1"/>
  <c r="AN3999" i="1"/>
  <c r="AN4001" i="1"/>
  <c r="AN4002" i="1"/>
  <c r="AN4003" i="1"/>
  <c r="AN4004" i="1"/>
  <c r="AN4005" i="1"/>
  <c r="AN4007" i="1"/>
  <c r="AN4008" i="1"/>
  <c r="AN4009" i="1"/>
  <c r="AN4010" i="1"/>
  <c r="AN4012" i="1"/>
  <c r="AN4013" i="1"/>
  <c r="AN4014" i="1"/>
  <c r="AN4015" i="1"/>
  <c r="AN4016" i="1"/>
  <c r="AN4018" i="1"/>
  <c r="AN4019" i="1"/>
  <c r="AN4020" i="1"/>
  <c r="AN4021" i="1"/>
  <c r="AN4022" i="1"/>
  <c r="AN4024" i="1"/>
  <c r="AN4025" i="1"/>
  <c r="AN4026" i="1"/>
  <c r="AN4027" i="1"/>
  <c r="AN4029" i="1"/>
  <c r="AN4030" i="1"/>
  <c r="AN4031" i="1"/>
  <c r="AN4032" i="1"/>
  <c r="AN4033" i="1"/>
  <c r="AN4035" i="1"/>
  <c r="AN4036" i="1"/>
  <c r="AN4037" i="1"/>
  <c r="AN4038" i="1"/>
  <c r="AN4039" i="1"/>
  <c r="AN4041" i="1"/>
  <c r="AN4042" i="1"/>
  <c r="AN4043" i="1"/>
  <c r="AN4044" i="1"/>
  <c r="AN4046" i="1"/>
  <c r="AN4047" i="1"/>
  <c r="AN4050" i="1"/>
  <c r="AN4051" i="1"/>
  <c r="AN4052" i="1"/>
  <c r="AN4053" i="1"/>
  <c r="AN4055" i="1"/>
  <c r="AN4056" i="1"/>
  <c r="AN4057" i="1"/>
  <c r="AN4058" i="1"/>
  <c r="AN4060" i="1"/>
  <c r="AN4061" i="1"/>
  <c r="AN4062" i="1"/>
  <c r="AN4063" i="1"/>
  <c r="AN4064" i="1"/>
  <c r="AN4066" i="1"/>
  <c r="AN4067" i="1"/>
  <c r="AN4068" i="1"/>
  <c r="AN4069" i="1"/>
  <c r="AN4070" i="1"/>
  <c r="AN4072" i="1"/>
  <c r="AN4073" i="1"/>
  <c r="AN4074" i="1"/>
  <c r="AN4075" i="1"/>
  <c r="AN4077" i="1"/>
  <c r="AN4078" i="1"/>
  <c r="AN4079" i="1"/>
  <c r="AN4080" i="1"/>
  <c r="AN4081" i="1"/>
  <c r="AN4083" i="1"/>
  <c r="AN4084" i="1"/>
  <c r="AN4085" i="1"/>
  <c r="AN4086" i="1"/>
  <c r="AN4087" i="1"/>
  <c r="AN4089" i="1"/>
  <c r="AN4090" i="1"/>
  <c r="AN4091" i="1"/>
  <c r="AN4092" i="1"/>
  <c r="AN4094" i="1"/>
  <c r="AN4095" i="1"/>
  <c r="AN4096" i="1"/>
  <c r="AN4097" i="1"/>
  <c r="AN4098" i="1"/>
  <c r="AN4100" i="1"/>
  <c r="AN4101" i="1"/>
  <c r="AN4102" i="1"/>
  <c r="AN4103" i="1"/>
  <c r="AN4104" i="1"/>
  <c r="AN4106" i="1"/>
  <c r="AN4107" i="1"/>
  <c r="AN4108" i="1"/>
  <c r="AN4109" i="1"/>
  <c r="AN4111" i="1"/>
  <c r="AN4112" i="1"/>
  <c r="AN4113" i="1"/>
  <c r="AN4114" i="1"/>
  <c r="AN4115" i="1"/>
  <c r="AN4117" i="1"/>
  <c r="AN4118" i="1"/>
  <c r="AN4119" i="1"/>
  <c r="AN4120" i="1"/>
  <c r="AN4121" i="1"/>
  <c r="AN4123" i="1"/>
  <c r="AN4124" i="1"/>
  <c r="AN4125" i="1"/>
  <c r="AN4126" i="1"/>
  <c r="AN4128" i="1"/>
  <c r="AN4129" i="1"/>
  <c r="AN4130" i="1"/>
  <c r="AN4131" i="1"/>
  <c r="AN4132" i="1"/>
  <c r="AN4134" i="1"/>
  <c r="AN4135" i="1"/>
  <c r="AN4136" i="1"/>
  <c r="AN4137" i="1"/>
  <c r="AN4138" i="1"/>
  <c r="AN4140" i="1"/>
  <c r="AN4141" i="1"/>
  <c r="AN4142" i="1"/>
  <c r="AN4143" i="1"/>
  <c r="AN4145" i="1"/>
  <c r="AN4146" i="1"/>
  <c r="AN4147" i="1"/>
  <c r="AN4148" i="1"/>
  <c r="AN4149" i="1"/>
  <c r="AN4151" i="1"/>
  <c r="AN4152" i="1"/>
  <c r="AN4153" i="1"/>
  <c r="AN4154" i="1"/>
  <c r="AN4155" i="1"/>
  <c r="AN4157" i="1"/>
  <c r="AN4158" i="1"/>
  <c r="AN4159" i="1"/>
  <c r="AN4160" i="1"/>
  <c r="AN4162" i="1"/>
  <c r="AN4163" i="1"/>
  <c r="AN4164" i="1"/>
  <c r="AN4165" i="1"/>
  <c r="AN4166" i="1"/>
  <c r="AN4168" i="1"/>
  <c r="AN4169" i="1"/>
  <c r="AN4170" i="1"/>
  <c r="AN4171" i="1"/>
  <c r="AN4172" i="1"/>
  <c r="AN4174" i="1"/>
  <c r="AN4175" i="1"/>
  <c r="AN4176" i="1"/>
  <c r="AN4177" i="1"/>
  <c r="AN4179" i="1"/>
  <c r="AN4180" i="1"/>
  <c r="AN4181" i="1"/>
  <c r="AN4182" i="1"/>
  <c r="AN4183" i="1"/>
  <c r="AN4185" i="1"/>
  <c r="AN4186" i="1"/>
  <c r="AN4187" i="1"/>
  <c r="AN4188" i="1"/>
  <c r="AN4189" i="1"/>
  <c r="AN4192" i="1"/>
  <c r="AN4193" i="1"/>
  <c r="AN4194" i="1"/>
  <c r="AN4196" i="1"/>
  <c r="AN4198" i="1"/>
  <c r="AN4199" i="1"/>
  <c r="AN4200" i="1"/>
  <c r="AN4202" i="1"/>
  <c r="AN4204" i="1"/>
  <c r="AN4205" i="1"/>
  <c r="AN4206" i="1"/>
  <c r="AN4208" i="1"/>
  <c r="AN4210" i="1"/>
  <c r="AN4211" i="1"/>
  <c r="AN4213" i="1"/>
  <c r="AN4214" i="1"/>
  <c r="AN4216" i="1"/>
  <c r="AN4217" i="1"/>
  <c r="AN4219" i="1"/>
  <c r="AN4220" i="1"/>
  <c r="AN4221" i="1"/>
  <c r="AN4222" i="1"/>
  <c r="AN4223" i="1"/>
  <c r="AN4225" i="1"/>
  <c r="AN4226" i="1"/>
  <c r="AN4227" i="1"/>
  <c r="AN4228" i="1"/>
  <c r="AN4230" i="1"/>
  <c r="AN4231" i="1"/>
  <c r="AN4232" i="1"/>
  <c r="AN4233" i="1"/>
  <c r="AN4234" i="1"/>
  <c r="AN4236" i="1"/>
  <c r="AN4237" i="1"/>
  <c r="AN4238" i="1"/>
  <c r="AN4239" i="1"/>
  <c r="AN4241" i="1"/>
  <c r="AN4243" i="1"/>
  <c r="AN4244" i="1"/>
  <c r="AN4246" i="1"/>
  <c r="AN4247" i="1"/>
  <c r="AN4248" i="1"/>
  <c r="AN4249" i="1"/>
  <c r="AN4250" i="1"/>
  <c r="AN4252" i="1"/>
  <c r="AN4253" i="1"/>
  <c r="AN4254" i="1"/>
  <c r="AN4255" i="1"/>
  <c r="AN4256" i="1"/>
  <c r="AN4258" i="1"/>
  <c r="AN4259" i="1"/>
  <c r="AN4260" i="1"/>
  <c r="AN4261" i="1"/>
  <c r="AN4263" i="1"/>
  <c r="AN4264" i="1"/>
  <c r="AN4266" i="1"/>
  <c r="AN4267" i="1"/>
  <c r="AN4270" i="1"/>
  <c r="AN4272" i="1"/>
  <c r="AN4273" i="1"/>
  <c r="AN4276" i="1"/>
  <c r="AN4277" i="1"/>
  <c r="AN4278" i="1"/>
  <c r="AN4280" i="1"/>
  <c r="AN4282" i="1"/>
  <c r="AN4283" i="1"/>
  <c r="AN4284" i="1"/>
  <c r="AN4286" i="1"/>
  <c r="AN4287" i="1"/>
  <c r="AN4288" i="1"/>
  <c r="AN4289" i="1"/>
  <c r="AN4290" i="1"/>
  <c r="AN4292" i="1"/>
  <c r="AN4293" i="1"/>
  <c r="AN4294" i="1"/>
  <c r="AN4295" i="1"/>
  <c r="AN4297" i="1"/>
  <c r="AN4298" i="1"/>
  <c r="AN4299" i="1"/>
  <c r="AN4300" i="1"/>
  <c r="AN4301" i="1"/>
  <c r="AN4303" i="1"/>
  <c r="AN4304" i="1"/>
  <c r="AN4305" i="1"/>
  <c r="AN4306" i="1"/>
  <c r="AN4307" i="1"/>
  <c r="AN4309" i="1"/>
  <c r="AN4310" i="1"/>
  <c r="AN4311" i="1"/>
  <c r="AN4312" i="1"/>
  <c r="AN4314" i="1"/>
  <c r="AN4315" i="1"/>
  <c r="AN4316" i="1"/>
  <c r="AN4317" i="1"/>
  <c r="AN4318" i="1"/>
  <c r="AN4320" i="1"/>
  <c r="AN4321" i="1"/>
  <c r="AN4322" i="1"/>
  <c r="AN4323" i="1"/>
  <c r="AN4324" i="1"/>
  <c r="AN4326" i="1"/>
  <c r="AN4327" i="1"/>
  <c r="AN4328" i="1"/>
  <c r="AN4329" i="1"/>
  <c r="AN4330" i="1"/>
  <c r="AN4332" i="1"/>
  <c r="AN4333" i="1"/>
  <c r="AN4334" i="1"/>
  <c r="AN4335" i="1"/>
  <c r="AN4337" i="1"/>
  <c r="AN4338" i="1"/>
  <c r="AN4339" i="1"/>
  <c r="AN4340" i="1"/>
  <c r="AN4341" i="1"/>
  <c r="AN4343" i="1"/>
  <c r="AN4344" i="1"/>
  <c r="AN4345" i="1"/>
  <c r="AN4346" i="1"/>
  <c r="AN4348" i="1"/>
  <c r="AN4349" i="1"/>
  <c r="AN4350" i="1"/>
  <c r="AN4351" i="1"/>
  <c r="AN4352" i="1"/>
  <c r="AN4354" i="1"/>
  <c r="AN4355" i="1"/>
  <c r="AN4356" i="1"/>
  <c r="AN4357" i="1"/>
  <c r="AN4358" i="1"/>
  <c r="AN4360" i="1"/>
  <c r="AN4361" i="1"/>
  <c r="AN4362" i="1"/>
  <c r="AN4363" i="1"/>
  <c r="AN4365" i="1"/>
  <c r="AN4366" i="1"/>
  <c r="AN4367" i="1"/>
  <c r="AN4368" i="1"/>
  <c r="AN4369" i="1"/>
  <c r="AN4371" i="1"/>
  <c r="AN4372" i="1"/>
  <c r="AN4373" i="1"/>
  <c r="AN4374" i="1"/>
  <c r="AN4375" i="1"/>
  <c r="AN4377" i="1"/>
  <c r="AN4378" i="1"/>
  <c r="AN4379" i="1"/>
  <c r="AN4380" i="1"/>
  <c r="AN4381" i="1"/>
  <c r="AN4383" i="1"/>
  <c r="AN4384" i="1"/>
  <c r="AN4385" i="1"/>
  <c r="AN4386" i="1"/>
  <c r="AN4388" i="1"/>
  <c r="AN4389" i="1"/>
  <c r="AN4390" i="1"/>
  <c r="AN4391" i="1"/>
  <c r="AN4392" i="1"/>
  <c r="AN4394" i="1"/>
  <c r="AN4395" i="1"/>
  <c r="AN4396" i="1"/>
  <c r="AN4397" i="1"/>
  <c r="AN4399" i="1"/>
  <c r="AN4400" i="1"/>
  <c r="AN4401" i="1"/>
  <c r="AN4402" i="1"/>
  <c r="AN4403" i="1"/>
  <c r="AN4405" i="1"/>
  <c r="AN4406" i="1"/>
  <c r="AN4408" i="1"/>
  <c r="AN4409" i="1"/>
  <c r="AN4411" i="1"/>
  <c r="AN4412" i="1"/>
  <c r="AN4414" i="1"/>
  <c r="AN4416" i="1"/>
  <c r="AN4417" i="1"/>
  <c r="AN4418" i="1"/>
  <c r="AN4419" i="1"/>
  <c r="AN4420" i="1"/>
  <c r="AN4422" i="1"/>
  <c r="AN4423" i="1"/>
  <c r="AN4424" i="1"/>
  <c r="AN4425" i="1"/>
  <c r="AN4426" i="1"/>
  <c r="AN4428" i="1"/>
  <c r="AN4429" i="1"/>
  <c r="AN4430" i="1"/>
  <c r="AN4431" i="1"/>
  <c r="AN4433" i="1"/>
  <c r="AN4434" i="1"/>
  <c r="AN4435" i="1"/>
  <c r="AN4436" i="1"/>
  <c r="AN4437" i="1"/>
  <c r="AN4439" i="1"/>
  <c r="AN4440" i="1"/>
  <c r="AN4441" i="1"/>
  <c r="AN4442" i="1"/>
  <c r="AN4443" i="1"/>
  <c r="AN4445" i="1"/>
  <c r="AN4446" i="1"/>
  <c r="AN4447" i="1"/>
  <c r="AN4448" i="1"/>
  <c r="AN4450" i="1"/>
  <c r="AN4451" i="1"/>
  <c r="AN4452" i="1"/>
  <c r="AN4453" i="1"/>
  <c r="AN4454" i="1"/>
  <c r="AN4456" i="1"/>
  <c r="AN4457" i="1"/>
  <c r="AN4458" i="1"/>
  <c r="AN4459" i="1"/>
  <c r="AN4460" i="1"/>
  <c r="AN4462" i="1"/>
  <c r="AN4463" i="1"/>
  <c r="AN4464" i="1"/>
  <c r="AN4465" i="1"/>
  <c r="AN4467" i="1"/>
  <c r="AN4468" i="1"/>
  <c r="AN4469" i="1"/>
  <c r="AN4470" i="1"/>
  <c r="AN4471" i="1"/>
  <c r="AN4473" i="1"/>
  <c r="AN4474" i="1"/>
  <c r="AN4475" i="1"/>
  <c r="AN4476" i="1"/>
  <c r="AN4477" i="1"/>
  <c r="AN4479" i="1"/>
  <c r="AN4480" i="1"/>
  <c r="AN4481" i="1"/>
  <c r="AN4482" i="1"/>
  <c r="AN4484" i="1"/>
  <c r="AN4485" i="1"/>
  <c r="AN4486" i="1"/>
  <c r="AN4487" i="1"/>
  <c r="AN4488" i="1"/>
  <c r="AN4490" i="1"/>
  <c r="AN4491" i="1"/>
  <c r="AN4492" i="1"/>
  <c r="AN4493" i="1"/>
  <c r="AN4494" i="1"/>
  <c r="AN4496" i="1"/>
  <c r="AN4497" i="1"/>
  <c r="AN4498" i="1"/>
  <c r="AN4499" i="1"/>
  <c r="AN4501" i="1"/>
  <c r="AN4502" i="1"/>
  <c r="AN4503" i="1"/>
  <c r="AN4504" i="1"/>
  <c r="AN4505" i="1"/>
  <c r="AN4507" i="1"/>
  <c r="AN4508" i="1"/>
  <c r="AN4510" i="1"/>
  <c r="AN4511" i="1"/>
  <c r="AN4513" i="1"/>
  <c r="AN4514" i="1"/>
  <c r="AN4515" i="1"/>
  <c r="AN4516" i="1"/>
  <c r="AN4518" i="1"/>
  <c r="AN4519" i="1"/>
  <c r="AN4520" i="1"/>
  <c r="AN4521" i="1"/>
  <c r="AN4522" i="1"/>
  <c r="AN4524" i="1"/>
  <c r="AN4525" i="1"/>
  <c r="AN4526" i="1"/>
  <c r="AN4527" i="1"/>
  <c r="AN4529" i="1"/>
  <c r="AN4530" i="1"/>
  <c r="AN4531" i="1"/>
  <c r="AN4532" i="1"/>
  <c r="AN4533" i="1"/>
  <c r="AN4535" i="1"/>
  <c r="AN4536" i="1"/>
  <c r="AN4537" i="1"/>
  <c r="AN4538" i="1"/>
  <c r="AN4539" i="1"/>
  <c r="AN4541" i="1"/>
  <c r="AN4542" i="1"/>
  <c r="AN4543" i="1"/>
  <c r="AN4544" i="1"/>
  <c r="AN4546" i="1"/>
  <c r="AN4547" i="1"/>
  <c r="AN4548" i="1"/>
  <c r="AN4549" i="1"/>
  <c r="AN4550" i="1"/>
  <c r="AN4552" i="1"/>
  <c r="AN4553" i="1"/>
  <c r="AN4554" i="1"/>
  <c r="AN4555" i="1"/>
  <c r="AN4556" i="1"/>
  <c r="AN4558" i="1"/>
  <c r="AN4559" i="1"/>
  <c r="AN4560" i="1"/>
  <c r="AN4561" i="1"/>
  <c r="AN4563" i="1"/>
  <c r="AN4564" i="1"/>
  <c r="AN4565" i="1"/>
  <c r="AN4566" i="1"/>
  <c r="AN4567" i="1"/>
  <c r="AN4569" i="1"/>
  <c r="AN4570" i="1"/>
  <c r="AN4571" i="1"/>
  <c r="AN4572" i="1"/>
  <c r="AN4573" i="1"/>
  <c r="AN4575" i="1"/>
  <c r="AN4576" i="1"/>
  <c r="AN4577" i="1"/>
  <c r="AN4578" i="1"/>
  <c r="AN4580" i="1"/>
  <c r="AN4581" i="1"/>
  <c r="AN4582" i="1"/>
  <c r="AN4583" i="1"/>
  <c r="AN4584" i="1"/>
  <c r="AN4586" i="1"/>
  <c r="AN4587" i="1"/>
  <c r="AN4588" i="1"/>
  <c r="AN4589" i="1"/>
  <c r="AN4590" i="1"/>
  <c r="AN4592" i="1"/>
  <c r="AN4593" i="1"/>
  <c r="AN4594" i="1"/>
  <c r="AN4595" i="1"/>
  <c r="AN4597" i="1"/>
  <c r="AN4598" i="1"/>
  <c r="AN4599" i="1"/>
  <c r="AN4600" i="1"/>
  <c r="AN4601" i="1"/>
  <c r="AN4604" i="1"/>
  <c r="AN4606" i="1"/>
  <c r="AN4607" i="1"/>
  <c r="AN4608" i="1"/>
  <c r="AN4609" i="1"/>
  <c r="AN4611" i="1"/>
  <c r="AN4612" i="1"/>
  <c r="AN4613" i="1"/>
  <c r="AN4614" i="1"/>
  <c r="AN4615" i="1"/>
  <c r="AN4617" i="1"/>
  <c r="AN4618" i="1"/>
  <c r="AN4619" i="1"/>
  <c r="AN4620" i="1"/>
  <c r="AN4621" i="1"/>
  <c r="AN4623" i="1"/>
  <c r="AN4624" i="1"/>
  <c r="AN4625" i="1"/>
  <c r="AN4626" i="1"/>
  <c r="AN4628" i="1"/>
  <c r="AN4629" i="1"/>
  <c r="AN4630" i="1"/>
  <c r="AN4631" i="1"/>
  <c r="AN4632" i="1"/>
  <c r="AN4634" i="1"/>
  <c r="AN4635" i="1"/>
  <c r="AN4636" i="1"/>
  <c r="AN4637" i="1"/>
  <c r="AN4638" i="1"/>
  <c r="AN4640" i="1"/>
  <c r="AN4641" i="1"/>
  <c r="AN4642" i="1"/>
  <c r="AN4643" i="1"/>
  <c r="AN4645" i="1"/>
  <c r="AN4646" i="1"/>
  <c r="AN4647" i="1"/>
  <c r="AN4648" i="1"/>
  <c r="AN4649" i="1"/>
  <c r="AN4651" i="1"/>
  <c r="AN4652" i="1"/>
  <c r="AN4653" i="1"/>
  <c r="AN4654" i="1"/>
  <c r="AN4655" i="1"/>
  <c r="AN4657" i="1"/>
  <c r="AN4658" i="1"/>
  <c r="AN4659" i="1"/>
  <c r="AN4660" i="1"/>
  <c r="AN4662" i="1"/>
  <c r="AN4663" i="1"/>
  <c r="AN4664" i="1"/>
  <c r="AN4665" i="1"/>
  <c r="AN4666" i="1"/>
  <c r="AN4668" i="1"/>
  <c r="AN4670" i="1"/>
  <c r="AN4671" i="1"/>
  <c r="AN4672" i="1"/>
  <c r="AN4674" i="1"/>
  <c r="AN4675" i="1"/>
  <c r="AN4676" i="1"/>
  <c r="AN4677" i="1"/>
  <c r="AN4679" i="1"/>
  <c r="AN4680" i="1"/>
  <c r="AN4681" i="1"/>
  <c r="AN4682" i="1"/>
  <c r="AN4683" i="1"/>
  <c r="AN4685" i="1"/>
  <c r="AN4686" i="1"/>
  <c r="AN4687" i="1"/>
  <c r="AN4688" i="1"/>
  <c r="AN4689" i="1"/>
  <c r="AN4691" i="1"/>
  <c r="AN4692" i="1"/>
  <c r="AN4693" i="1"/>
  <c r="AN4694" i="1"/>
  <c r="AN4696" i="1"/>
  <c r="AN4697" i="1"/>
  <c r="AN4698" i="1"/>
  <c r="AN4699" i="1"/>
  <c r="AN4700" i="1"/>
  <c r="AN4702" i="1"/>
  <c r="AN4703" i="1"/>
  <c r="AN4704" i="1"/>
  <c r="AN4705" i="1"/>
  <c r="AN4706" i="1"/>
  <c r="AN4708" i="1"/>
  <c r="AN4709" i="1"/>
  <c r="AN4710" i="1"/>
  <c r="AN4711" i="1"/>
  <c r="AN4713" i="1"/>
  <c r="AN4714" i="1"/>
  <c r="AN4715" i="1"/>
  <c r="AN4716" i="1"/>
  <c r="AN4717" i="1"/>
  <c r="AN4719" i="1"/>
  <c r="AN4720" i="1"/>
  <c r="AN4721" i="1"/>
  <c r="AN4722" i="1"/>
  <c r="AN4723" i="1"/>
  <c r="AN4725" i="1"/>
  <c r="AN4726" i="1"/>
  <c r="AN4727" i="1"/>
  <c r="AN4728" i="1"/>
  <c r="AN4730" i="1"/>
  <c r="AN4731" i="1"/>
  <c r="AN4732" i="1"/>
  <c r="AN4733" i="1"/>
  <c r="AN4734" i="1"/>
  <c r="AN4736" i="1"/>
  <c r="AN4737" i="1"/>
  <c r="AN4738" i="1"/>
  <c r="AN4739" i="1"/>
  <c r="AN4740" i="1"/>
  <c r="AN4742" i="1"/>
  <c r="AN4743" i="1"/>
  <c r="AN4744" i="1"/>
  <c r="AN4745" i="1"/>
  <c r="AN4747" i="1"/>
  <c r="AN4748" i="1"/>
  <c r="AN4749" i="1"/>
  <c r="AN4750" i="1"/>
  <c r="AN4751" i="1"/>
  <c r="AN4753" i="1"/>
  <c r="AN4754" i="1"/>
  <c r="AN4755" i="1"/>
  <c r="AN4756" i="1"/>
  <c r="AN4757" i="1"/>
  <c r="AN4759" i="1"/>
  <c r="AN4760" i="1"/>
  <c r="AN4761" i="1"/>
  <c r="AN4762" i="1"/>
  <c r="AN4764" i="1"/>
  <c r="AN4765" i="1"/>
  <c r="AN4766" i="1"/>
  <c r="AN4767" i="1"/>
  <c r="AN4768" i="1"/>
  <c r="AN4770" i="1"/>
  <c r="AN4771" i="1"/>
  <c r="AN4772" i="1"/>
  <c r="AN4773" i="1"/>
  <c r="AN4774" i="1"/>
  <c r="AN4776" i="1"/>
  <c r="AN4777" i="1"/>
  <c r="AN4778" i="1"/>
  <c r="AN4779" i="1"/>
  <c r="AN4781" i="1"/>
  <c r="AN4782" i="1"/>
  <c r="AN4783" i="1"/>
  <c r="AN4784" i="1"/>
  <c r="AN4785" i="1"/>
  <c r="AN4787" i="1"/>
  <c r="AN4788" i="1"/>
  <c r="AN4789" i="1"/>
  <c r="AN4790" i="1"/>
  <c r="AN4791" i="1"/>
  <c r="AN4793" i="1"/>
  <c r="AN4794" i="1"/>
  <c r="AN4795" i="1"/>
  <c r="AN4796" i="1"/>
  <c r="AN4798" i="1"/>
  <c r="AN4799" i="1"/>
  <c r="AN4800" i="1"/>
  <c r="AN4801" i="1"/>
  <c r="AN4802" i="1"/>
  <c r="AN4804" i="1"/>
  <c r="AN4805" i="1"/>
  <c r="AN4806" i="1"/>
  <c r="AN4807" i="1"/>
  <c r="AN4808" i="1"/>
  <c r="AN4810" i="1"/>
  <c r="AN4811" i="1"/>
  <c r="AN4812" i="1"/>
  <c r="AN4813" i="1"/>
  <c r="AN4814" i="1"/>
  <c r="AN4816" i="1"/>
  <c r="AN4817" i="1"/>
  <c r="AN4818" i="1"/>
  <c r="AN4819" i="1"/>
  <c r="AN4821" i="1"/>
  <c r="AN4822" i="1"/>
  <c r="AN4823" i="1"/>
  <c r="AN4824" i="1"/>
  <c r="AN4825" i="1"/>
  <c r="AN4827" i="1"/>
  <c r="AN4828" i="1"/>
  <c r="AN4829" i="1"/>
  <c r="AN4830" i="1"/>
  <c r="AN4832" i="1"/>
  <c r="AN4833" i="1"/>
  <c r="AN4834" i="1"/>
  <c r="AN4835" i="1"/>
  <c r="AN4836" i="1"/>
  <c r="AN4838" i="1"/>
  <c r="AN4839" i="1"/>
  <c r="AN4840" i="1"/>
  <c r="AN4841" i="1"/>
  <c r="AN4842" i="1"/>
  <c r="AN4844" i="1"/>
  <c r="AN4845" i="1"/>
  <c r="AN4846" i="1"/>
  <c r="AN4847" i="1"/>
  <c r="AN4848" i="1"/>
  <c r="AN4850" i="1"/>
  <c r="AN4851" i="1"/>
  <c r="AN4852" i="1"/>
  <c r="AN4853" i="1"/>
  <c r="AN4855" i="1"/>
  <c r="AN4856" i="1"/>
  <c r="AN4857" i="1"/>
  <c r="AN4858" i="1"/>
  <c r="AN4859" i="1"/>
  <c r="AN4861" i="1"/>
  <c r="AN4862" i="1"/>
  <c r="AN4863" i="1"/>
  <c r="AN4864" i="1"/>
  <c r="AN4866" i="1"/>
  <c r="AN4867" i="1"/>
  <c r="AN4868" i="1"/>
  <c r="AN4869" i="1"/>
  <c r="AN4870" i="1"/>
  <c r="AN4872" i="1"/>
  <c r="AN4873" i="1"/>
  <c r="AN4874" i="1"/>
  <c r="AN4875" i="1"/>
  <c r="AN4876" i="1"/>
  <c r="AN4878" i="1"/>
  <c r="AN4879" i="1"/>
  <c r="AN4880" i="1"/>
  <c r="AN4881" i="1"/>
  <c r="AN4882" i="1"/>
  <c r="AN4884" i="1"/>
  <c r="AN4885" i="1"/>
  <c r="AN4886" i="1"/>
  <c r="AN4887" i="1"/>
  <c r="AN4889" i="1"/>
  <c r="AN4890" i="1"/>
  <c r="AN4891" i="1"/>
  <c r="AN4892" i="1"/>
  <c r="AN4893" i="1"/>
  <c r="AN4895" i="1"/>
  <c r="AN4896" i="1"/>
  <c r="AN4897" i="1"/>
  <c r="AN4898" i="1"/>
  <c r="AN4899" i="1"/>
  <c r="AN4901" i="1"/>
  <c r="AN4902" i="1"/>
  <c r="AN4903" i="1"/>
  <c r="AN4904" i="1"/>
  <c r="AN4906" i="1"/>
  <c r="AN4907" i="1"/>
  <c r="AN4908" i="1"/>
  <c r="AN4909" i="1"/>
  <c r="AN4910" i="1"/>
  <c r="AN4912" i="1"/>
  <c r="AN4913" i="1"/>
  <c r="AN4914" i="1"/>
  <c r="AN4915" i="1"/>
  <c r="AN4916" i="1"/>
  <c r="AN4918" i="1"/>
  <c r="AN4919" i="1"/>
  <c r="AN4920" i="1"/>
  <c r="AN4921" i="1"/>
  <c r="AN4923" i="1"/>
  <c r="AN4924" i="1"/>
  <c r="AN4925" i="1"/>
  <c r="AN4926" i="1"/>
  <c r="AN4927" i="1"/>
  <c r="AN4929" i="1"/>
  <c r="AN4930" i="1"/>
  <c r="AN4931" i="1"/>
  <c r="AN4932" i="1"/>
  <c r="AN4933" i="1"/>
  <c r="AN4935" i="1"/>
  <c r="AN4936" i="1"/>
  <c r="AN4937" i="1"/>
  <c r="AN4938" i="1"/>
  <c r="AN4940" i="1"/>
  <c r="AN4941" i="1"/>
  <c r="AN4942" i="1"/>
  <c r="AN4943" i="1"/>
  <c r="AN4944" i="1"/>
  <c r="AN4946" i="1"/>
  <c r="AN4947" i="1"/>
  <c r="AN4948" i="1"/>
  <c r="AN4949" i="1"/>
  <c r="AN4950" i="1"/>
  <c r="AN4952" i="1"/>
  <c r="AN4953" i="1"/>
  <c r="AN4954" i="1"/>
  <c r="AN4955" i="1"/>
  <c r="AN4957" i="1"/>
  <c r="AN4958" i="1"/>
  <c r="AN4959" i="1"/>
  <c r="AN4960" i="1"/>
  <c r="AN4961" i="1"/>
  <c r="AN4963" i="1"/>
  <c r="AN4964" i="1"/>
  <c r="AN4966" i="1"/>
  <c r="AN4969" i="1"/>
  <c r="AN4970" i="1"/>
  <c r="AN4971" i="1"/>
  <c r="AN4972" i="1"/>
  <c r="AN4974" i="1"/>
  <c r="AN4975" i="1"/>
  <c r="AN4976" i="1"/>
  <c r="AN4977" i="1"/>
  <c r="AN4978" i="1"/>
  <c r="AN4980" i="1"/>
  <c r="AN4981" i="1"/>
  <c r="AN4982" i="1"/>
  <c r="AN4983" i="1"/>
  <c r="AN4984" i="1"/>
  <c r="AN4986" i="1"/>
  <c r="AN4987" i="1"/>
  <c r="AN4988" i="1"/>
  <c r="AN4989" i="1"/>
  <c r="AN4991" i="1"/>
  <c r="AN4992" i="1"/>
  <c r="AN4993" i="1"/>
  <c r="AN4994" i="1"/>
  <c r="AN4995" i="1"/>
  <c r="AN4997" i="1"/>
  <c r="AN4998" i="1"/>
  <c r="AN4999" i="1"/>
  <c r="AN5000" i="1"/>
  <c r="AN5001" i="1"/>
  <c r="AN5003" i="1"/>
  <c r="AN5004" i="1"/>
  <c r="AN5005" i="1"/>
  <c r="AN5006" i="1"/>
  <c r="AN5008" i="1"/>
  <c r="AN5009" i="1"/>
  <c r="AN5010" i="1"/>
  <c r="AN5011" i="1"/>
  <c r="AN5012" i="1"/>
  <c r="AN5014" i="1"/>
  <c r="AN5015" i="1"/>
  <c r="AN5016" i="1"/>
  <c r="AN5017" i="1"/>
  <c r="AN5018" i="1"/>
  <c r="AN5020" i="1"/>
  <c r="AN5021" i="1"/>
  <c r="AN5022" i="1"/>
  <c r="AN5023" i="1"/>
  <c r="AN5025" i="1"/>
  <c r="AN5026" i="1"/>
  <c r="AN5027" i="1"/>
  <c r="AN5028" i="1"/>
  <c r="AN5029" i="1"/>
  <c r="AN5031" i="1"/>
  <c r="AN5032" i="1"/>
  <c r="AN5033" i="1"/>
  <c r="AN5034" i="1"/>
  <c r="AN5035" i="1"/>
  <c r="AN5037" i="1"/>
  <c r="AN5038" i="1"/>
  <c r="AN5039" i="1"/>
  <c r="AN5040" i="1"/>
  <c r="AN5041" i="1"/>
  <c r="AN5043" i="1"/>
  <c r="AN5044" i="1"/>
  <c r="AN5045" i="1"/>
  <c r="AN5046" i="1"/>
  <c r="AN5048" i="1"/>
  <c r="AN5049" i="1"/>
  <c r="AN5050" i="1"/>
  <c r="AN5051" i="1"/>
  <c r="AN5052" i="1"/>
  <c r="AN5054" i="1"/>
  <c r="AN5055" i="1"/>
  <c r="AN5056" i="1"/>
  <c r="AN5057" i="1"/>
  <c r="AN5058" i="1"/>
  <c r="AN5060" i="1"/>
  <c r="AN5061" i="1"/>
  <c r="AN5062" i="1"/>
  <c r="AN5063" i="1"/>
  <c r="AN5065" i="1"/>
  <c r="AN5066" i="1"/>
  <c r="AN5067" i="1"/>
  <c r="AN5068" i="1"/>
  <c r="AN5069" i="1"/>
  <c r="AN5071" i="1"/>
  <c r="AN5072" i="1"/>
  <c r="AN5073" i="1"/>
  <c r="AN5074" i="1"/>
  <c r="AN5075" i="1"/>
  <c r="AN5077" i="1"/>
  <c r="AN5078" i="1"/>
  <c r="AN5079" i="1"/>
  <c r="AN5080" i="1"/>
  <c r="AN5082" i="1"/>
  <c r="AN5083" i="1"/>
  <c r="AN5084" i="1"/>
  <c r="AN5085" i="1"/>
  <c r="AN5086" i="1"/>
  <c r="AN5088" i="1"/>
  <c r="AN5089" i="1"/>
  <c r="AN5090" i="1"/>
  <c r="AN5091" i="1"/>
  <c r="AN5092" i="1"/>
  <c r="AN5094" i="1"/>
  <c r="AN5095" i="1"/>
  <c r="AN5096" i="1"/>
  <c r="AN5097" i="1"/>
  <c r="AN5099" i="1"/>
  <c r="AN5100" i="1"/>
  <c r="AN5101" i="1"/>
  <c r="AN5102" i="1"/>
  <c r="AN5103" i="1"/>
  <c r="AN5105" i="1"/>
  <c r="AN5106" i="1"/>
  <c r="AN5107" i="1"/>
  <c r="AN5108" i="1"/>
  <c r="AN5109" i="1"/>
  <c r="AN5111" i="1"/>
  <c r="AN5112" i="1"/>
  <c r="AN5113" i="1"/>
  <c r="AN5114" i="1"/>
  <c r="AN5116" i="1"/>
  <c r="AN5117" i="1"/>
  <c r="AN5118" i="1"/>
  <c r="AN5119" i="1"/>
  <c r="AN5120" i="1"/>
  <c r="AN5122" i="1"/>
  <c r="AN5123" i="1"/>
  <c r="AN5124" i="1"/>
  <c r="AN5125" i="1"/>
  <c r="AN5126" i="1"/>
  <c r="AN5128" i="1"/>
  <c r="AN5129" i="1"/>
  <c r="AN5130" i="1"/>
  <c r="AN5131" i="1"/>
  <c r="AN5133" i="1"/>
  <c r="AN5134" i="1"/>
  <c r="AN5135" i="1"/>
  <c r="AN5136" i="1"/>
  <c r="AN5137" i="1"/>
  <c r="AN5139" i="1"/>
  <c r="AN5140" i="1"/>
  <c r="AN5141" i="1"/>
  <c r="AN5142" i="1"/>
  <c r="AN5143" i="1"/>
  <c r="AN5145" i="1"/>
  <c r="AN5146" i="1"/>
  <c r="AN5147" i="1"/>
  <c r="AN5148" i="1"/>
  <c r="AN5150" i="1"/>
  <c r="AN5151" i="1"/>
  <c r="AN5152" i="1"/>
  <c r="AN5153" i="1"/>
  <c r="AN5154" i="1"/>
  <c r="AN5156" i="1"/>
  <c r="AN5157" i="1"/>
  <c r="AN5158" i="1"/>
  <c r="AN5159" i="1"/>
  <c r="AN5160" i="1"/>
  <c r="AN5162" i="1"/>
  <c r="AN5163" i="1"/>
  <c r="AN5164" i="1"/>
  <c r="AN5165" i="1"/>
  <c r="AN5167" i="1"/>
  <c r="AN5168" i="1"/>
  <c r="AN5169" i="1"/>
  <c r="AN5170" i="1"/>
  <c r="AN5171" i="1"/>
  <c r="AN5173" i="1"/>
  <c r="AN5174" i="1"/>
  <c r="AN5175" i="1"/>
  <c r="AN5176" i="1"/>
  <c r="AN5177" i="1"/>
  <c r="AN5179" i="1"/>
  <c r="AN5180" i="1"/>
  <c r="AN5181" i="1"/>
  <c r="AN5182" i="1"/>
  <c r="AN5183" i="1"/>
  <c r="AN5185" i="1"/>
  <c r="AN5186" i="1"/>
  <c r="AN5187" i="1"/>
  <c r="AN5188" i="1"/>
  <c r="AN5190" i="1"/>
  <c r="AN5191" i="1"/>
  <c r="AN5192" i="1"/>
  <c r="AN5193" i="1"/>
  <c r="AN5194" i="1"/>
  <c r="AN5196" i="1"/>
  <c r="AN5197" i="1"/>
  <c r="AN5198" i="1"/>
  <c r="AN5199" i="1"/>
  <c r="AN5201" i="1"/>
  <c r="AN5202" i="1"/>
  <c r="AN5203" i="1"/>
  <c r="AN5204" i="1"/>
  <c r="AN5205" i="1"/>
  <c r="AN5207" i="1"/>
  <c r="AN5208" i="1"/>
  <c r="AN5209" i="1"/>
  <c r="AN5211" i="1"/>
  <c r="AN5212" i="1"/>
  <c r="AN5213" i="1"/>
  <c r="AN5214" i="1"/>
  <c r="AN5215" i="1"/>
  <c r="AN5217" i="1"/>
  <c r="AN5218" i="1"/>
  <c r="AN5219" i="1"/>
  <c r="AN5220" i="1"/>
  <c r="AN5222" i="1"/>
  <c r="AN5223" i="1"/>
  <c r="AN5224" i="1"/>
  <c r="AN5225" i="1"/>
  <c r="AN5226" i="1"/>
  <c r="AN5228" i="1"/>
  <c r="AN5229" i="1"/>
  <c r="AN5230" i="1"/>
  <c r="AN5231" i="1"/>
  <c r="AN5232" i="1"/>
  <c r="AN5234" i="1"/>
  <c r="AN5235" i="1"/>
  <c r="AN5236" i="1"/>
  <c r="AN5237" i="1"/>
  <c r="AN5239" i="1"/>
  <c r="AN5240" i="1"/>
  <c r="AN5241" i="1"/>
  <c r="AN5242" i="1"/>
  <c r="AN5243" i="1"/>
  <c r="AN5245" i="1"/>
  <c r="AN5246" i="1"/>
  <c r="AN5247" i="1"/>
  <c r="AN5248" i="1"/>
  <c r="AN5249" i="1"/>
  <c r="AN5251" i="1"/>
  <c r="AN5252" i="1"/>
  <c r="AN5253" i="1"/>
  <c r="AN5254" i="1"/>
  <c r="AN5256" i="1"/>
  <c r="AN5257" i="1"/>
  <c r="AN5258" i="1"/>
  <c r="AN5259" i="1"/>
  <c r="AN5260" i="1"/>
  <c r="AN5262" i="1"/>
  <c r="AN5263" i="1"/>
  <c r="AN5264" i="1"/>
  <c r="AN5265" i="1"/>
  <c r="AN5266" i="1"/>
  <c r="AN5268" i="1"/>
  <c r="AN5269" i="1"/>
  <c r="AN5270" i="1"/>
  <c r="AN5271" i="1"/>
  <c r="AN5273" i="1"/>
  <c r="AN5274" i="1"/>
  <c r="AN5275" i="1"/>
  <c r="AN5276" i="1"/>
  <c r="AN5277" i="1"/>
  <c r="AN5279" i="1"/>
  <c r="AN5280" i="1"/>
  <c r="AN5281" i="1"/>
  <c r="AN5282" i="1"/>
  <c r="AN5283" i="1"/>
  <c r="AN5285" i="1"/>
  <c r="AN5286" i="1"/>
  <c r="AN5287" i="1"/>
  <c r="AN5288" i="1"/>
  <c r="AN5290" i="1"/>
  <c r="AN5291" i="1"/>
  <c r="AN5292" i="1"/>
  <c r="AN5293" i="1"/>
  <c r="AN5294" i="1"/>
  <c r="AN5296" i="1"/>
  <c r="AN5297" i="1"/>
  <c r="AN5298" i="1"/>
  <c r="AN5299" i="1"/>
  <c r="AN5300" i="1"/>
  <c r="AN5302" i="1"/>
  <c r="AN5303" i="1"/>
  <c r="AN5304" i="1"/>
  <c r="AN5305" i="1"/>
  <c r="AN5307" i="1"/>
  <c r="AN5308" i="1"/>
  <c r="AN5309" i="1"/>
  <c r="AN5310" i="1"/>
  <c r="AN5311" i="1"/>
  <c r="AN5313" i="1"/>
  <c r="AN5314" i="1"/>
  <c r="AN5315" i="1"/>
  <c r="AN5316" i="1"/>
  <c r="AN5317" i="1"/>
  <c r="AN5319" i="1"/>
  <c r="AN5320" i="1"/>
  <c r="AN5321" i="1"/>
  <c r="AN5322" i="1"/>
  <c r="AN5324" i="1"/>
  <c r="AN5325" i="1"/>
  <c r="AN5326" i="1"/>
  <c r="AN5328" i="1"/>
  <c r="AN5330" i="1"/>
  <c r="AN5331" i="1"/>
  <c r="AN5332" i="1"/>
  <c r="AN5334" i="1"/>
  <c r="AN5335" i="1"/>
  <c r="AN5336" i="1"/>
  <c r="AN5337" i="1"/>
  <c r="AN5338" i="1"/>
  <c r="AN5340" i="1"/>
  <c r="AN5341" i="1"/>
  <c r="AN5342" i="1"/>
  <c r="AN5343" i="1"/>
  <c r="AN5344" i="1"/>
  <c r="AN5346" i="1"/>
  <c r="AN5347" i="1"/>
  <c r="AN5348" i="1"/>
  <c r="AN5349" i="1"/>
  <c r="AN5351" i="1"/>
  <c r="AN5352" i="1"/>
  <c r="AN5353" i="1"/>
  <c r="AN5354" i="1"/>
  <c r="AN5355" i="1"/>
  <c r="AN5357" i="1"/>
  <c r="AN5358" i="1"/>
  <c r="AN5359" i="1"/>
  <c r="AN5360" i="1"/>
  <c r="AN5361" i="1"/>
  <c r="AN5363" i="1"/>
  <c r="AN5364" i="1"/>
  <c r="AN5365" i="1"/>
  <c r="AN5366" i="1"/>
  <c r="AN5368" i="1"/>
  <c r="AN5369" i="1"/>
  <c r="AN5370" i="1"/>
  <c r="AN5371" i="1"/>
  <c r="AN5372" i="1"/>
  <c r="AN5374" i="1"/>
  <c r="AN5375" i="1"/>
  <c r="AN5376" i="1"/>
  <c r="AN5377" i="1"/>
  <c r="AN5378" i="1"/>
  <c r="AN5380" i="1"/>
  <c r="AN5381" i="1"/>
  <c r="AN5382" i="1"/>
  <c r="AN5383" i="1"/>
  <c r="AN5385" i="1"/>
  <c r="AN5386" i="1"/>
  <c r="AN5387" i="1"/>
  <c r="AN5388" i="1"/>
  <c r="AN5389" i="1"/>
  <c r="AN5391" i="1"/>
  <c r="AN5392" i="1"/>
  <c r="AN5393" i="1"/>
  <c r="AN5394" i="1"/>
  <c r="AN5395" i="1"/>
  <c r="AN5397" i="1"/>
  <c r="AN5398" i="1"/>
  <c r="AN5399" i="1"/>
  <c r="AN5400" i="1"/>
  <c r="AN5402" i="1"/>
  <c r="AN5403" i="1"/>
  <c r="AN5404" i="1"/>
  <c r="AN5405" i="1"/>
  <c r="AN5406" i="1"/>
  <c r="AN5408" i="1"/>
  <c r="AN5409" i="1"/>
  <c r="AN5410" i="1"/>
  <c r="AN5411" i="1"/>
  <c r="AN5412" i="1"/>
  <c r="AN5414" i="1"/>
  <c r="AN5415" i="1"/>
  <c r="AN5416" i="1"/>
  <c r="AN5417" i="1"/>
  <c r="AN5419" i="1"/>
  <c r="AN5420" i="1"/>
  <c r="AN5421" i="1"/>
  <c r="AN5422" i="1"/>
  <c r="AN5423" i="1"/>
  <c r="AN5425" i="1"/>
  <c r="AN5426" i="1"/>
  <c r="AN5427" i="1"/>
  <c r="AN5428" i="1"/>
  <c r="AN5429" i="1"/>
  <c r="AN5431" i="1"/>
  <c r="AN5432" i="1"/>
  <c r="AN5433" i="1"/>
  <c r="AN5434" i="1"/>
  <c r="AN5436" i="1"/>
  <c r="AN5437" i="1"/>
  <c r="AN5438" i="1"/>
  <c r="AN5439" i="1"/>
  <c r="AN5440" i="1"/>
  <c r="AN5442" i="1"/>
  <c r="AN5443" i="1"/>
  <c r="AN5444" i="1"/>
  <c r="AN5445" i="1"/>
  <c r="AN5446" i="1"/>
  <c r="AN5448" i="1"/>
  <c r="AN5449" i="1"/>
  <c r="AN5450" i="1"/>
  <c r="AN5451" i="1"/>
  <c r="AN5453" i="1"/>
  <c r="AN5454" i="1"/>
  <c r="AN5455" i="1"/>
  <c r="AN5456" i="1"/>
  <c r="AN5459" i="1"/>
  <c r="AN5460" i="1"/>
  <c r="AN5461" i="1"/>
  <c r="AN5462" i="1"/>
  <c r="AN5465" i="1"/>
  <c r="AN5466" i="1"/>
  <c r="AN5467" i="1"/>
  <c r="AN5468" i="1"/>
  <c r="AN5471" i="1"/>
  <c r="AN5472" i="1"/>
  <c r="AN5473" i="1"/>
  <c r="AN5474" i="1"/>
  <c r="AN5477" i="1"/>
  <c r="AN5478" i="1"/>
  <c r="AN5479" i="1"/>
  <c r="AN5480" i="1"/>
  <c r="AN5482" i="1"/>
  <c r="AN5483" i="1"/>
  <c r="AN5484" i="1"/>
  <c r="AN5485" i="1"/>
  <c r="AN5487" i="1"/>
  <c r="AN5488" i="1"/>
  <c r="AN5489" i="1"/>
  <c r="AN5490" i="1"/>
  <c r="AN5493" i="1"/>
  <c r="AN5494" i="1"/>
  <c r="AN5495" i="1"/>
  <c r="AN5496" i="1"/>
  <c r="AN5499" i="1"/>
  <c r="AN5500" i="1"/>
  <c r="AN5501" i="1"/>
  <c r="AN5502" i="1"/>
  <c r="AN5505" i="1"/>
  <c r="AN5506" i="1"/>
  <c r="AN5507" i="1"/>
  <c r="AN5508" i="1"/>
  <c r="AN5511" i="1"/>
  <c r="AN5512" i="1"/>
  <c r="AN5513" i="1"/>
  <c r="AN5514" i="1"/>
  <c r="AN5517" i="1"/>
  <c r="AN5518" i="1"/>
  <c r="AN5521" i="1"/>
  <c r="AN5522" i="1"/>
  <c r="AN5523" i="1"/>
  <c r="AN5524" i="1"/>
  <c r="AN5527" i="1"/>
  <c r="AN5528" i="1"/>
  <c r="AN5529" i="1"/>
  <c r="AN5530" i="1"/>
  <c r="AN5531" i="1"/>
  <c r="AN5533" i="1"/>
  <c r="AN5534" i="1"/>
  <c r="AN5535" i="1"/>
  <c r="AN5536" i="1"/>
  <c r="AN5538" i="1"/>
  <c r="AN5539" i="1"/>
  <c r="AN5540" i="1"/>
  <c r="AN5541" i="1"/>
  <c r="AN5542" i="1"/>
  <c r="AN5544" i="1"/>
  <c r="AN5545" i="1"/>
  <c r="AN5546" i="1"/>
  <c r="AN5547" i="1"/>
  <c r="AN5548" i="1"/>
  <c r="AN5550" i="1"/>
  <c r="AN5551" i="1"/>
  <c r="AN5552" i="1"/>
  <c r="AN5553" i="1"/>
  <c r="AN5555" i="1"/>
  <c r="AN5556" i="1"/>
  <c r="AN5557" i="1"/>
  <c r="AN5558" i="1"/>
  <c r="AN5559" i="1"/>
  <c r="AN5561" i="1"/>
  <c r="AN5562" i="1"/>
  <c r="AN5563" i="1"/>
  <c r="AN5564" i="1"/>
  <c r="AN5565" i="1"/>
  <c r="AN5567" i="1"/>
  <c r="AN5568" i="1"/>
  <c r="AN5569" i="1"/>
  <c r="AN5570" i="1"/>
  <c r="AN5572" i="1"/>
  <c r="AN5573" i="1"/>
  <c r="AN5574" i="1"/>
  <c r="AN5575" i="1"/>
  <c r="AN5576" i="1"/>
  <c r="AN5578" i="1"/>
  <c r="AN5579" i="1"/>
  <c r="AN5580" i="1"/>
  <c r="AN5581" i="1"/>
  <c r="AN5582" i="1"/>
  <c r="AN5584" i="1"/>
  <c r="AN5585" i="1"/>
  <c r="AN5586" i="1"/>
  <c r="AN5587" i="1"/>
  <c r="AN5589" i="1"/>
  <c r="AN5590" i="1"/>
  <c r="AN5591" i="1"/>
  <c r="AN5592" i="1"/>
  <c r="AN5593" i="1"/>
  <c r="AN5595" i="1"/>
  <c r="AN5596" i="1"/>
  <c r="AN5597" i="1"/>
  <c r="AN5598" i="1"/>
  <c r="AN5599" i="1"/>
  <c r="AN5601" i="1"/>
  <c r="AN5602" i="1"/>
  <c r="AN5603" i="1"/>
  <c r="AN5604" i="1"/>
  <c r="AN5606" i="1"/>
  <c r="AN5607" i="1"/>
  <c r="AN5608" i="1"/>
  <c r="AN5609" i="1"/>
  <c r="AN5610" i="1"/>
  <c r="AN5612" i="1"/>
  <c r="AN5613" i="1"/>
  <c r="AN5614" i="1"/>
  <c r="AN5615" i="1"/>
  <c r="AN5616" i="1"/>
  <c r="AN5618" i="1"/>
  <c r="AN5619" i="1"/>
  <c r="AN5620" i="1"/>
  <c r="AN5621" i="1"/>
  <c r="AN5622" i="1"/>
  <c r="AN5624" i="1"/>
  <c r="AN5625" i="1"/>
  <c r="AN5626" i="1"/>
  <c r="AN5627" i="1"/>
  <c r="AN5629" i="1"/>
  <c r="AN5630" i="1"/>
  <c r="AN5631" i="1"/>
  <c r="AN5632" i="1"/>
  <c r="AN5633" i="1"/>
  <c r="AN5635" i="1"/>
  <c r="AN5636" i="1"/>
  <c r="AN5637" i="1"/>
  <c r="AN5638" i="1"/>
  <c r="AN5639" i="1"/>
  <c r="AN5641" i="1"/>
  <c r="AN5642" i="1"/>
  <c r="AN5643" i="1"/>
  <c r="AN5644" i="1"/>
  <c r="AN5646" i="1"/>
  <c r="AN5647" i="1"/>
  <c r="AN5648" i="1"/>
  <c r="AN5649" i="1"/>
  <c r="AN5650" i="1"/>
  <c r="AN5652" i="1"/>
  <c r="AN5653" i="1"/>
  <c r="AN5654" i="1"/>
  <c r="AN5655" i="1"/>
  <c r="AN5656" i="1"/>
  <c r="AN5658" i="1"/>
  <c r="AN5659" i="1"/>
  <c r="AN5660" i="1"/>
  <c r="AN5661" i="1"/>
  <c r="AN5663" i="1"/>
  <c r="AN5664" i="1"/>
  <c r="AN5665" i="1"/>
  <c r="AN5666" i="1"/>
  <c r="AN5667" i="1"/>
  <c r="AN5669" i="1"/>
  <c r="AN5670" i="1"/>
  <c r="AN5671" i="1"/>
  <c r="AN5672" i="1"/>
  <c r="AN5673" i="1"/>
  <c r="AN5675" i="1"/>
  <c r="AN5676" i="1"/>
  <c r="AN5677" i="1"/>
  <c r="AN5678" i="1"/>
  <c r="AN5680" i="1"/>
  <c r="AN5681" i="1"/>
  <c r="AN5682" i="1"/>
  <c r="AN5683" i="1"/>
  <c r="AN5684" i="1"/>
  <c r="AN5686" i="1"/>
  <c r="AN5687" i="1"/>
  <c r="AN5688" i="1"/>
  <c r="AN5690" i="1"/>
  <c r="AN5692" i="1"/>
  <c r="AN5693" i="1"/>
  <c r="AN5695" i="1"/>
  <c r="AN5696" i="1"/>
  <c r="AN5697" i="1"/>
  <c r="AN5698" i="1"/>
  <c r="AN5699" i="1"/>
  <c r="AN5701" i="1"/>
  <c r="AN5702" i="1"/>
  <c r="AN5703" i="1"/>
  <c r="AN5704" i="1"/>
  <c r="AN5706" i="1"/>
  <c r="AN5707" i="1"/>
  <c r="AN5708" i="1"/>
  <c r="AN5709" i="1"/>
  <c r="AN5710" i="1"/>
  <c r="AN5712" i="1"/>
  <c r="AN5713" i="1"/>
  <c r="AN5714" i="1"/>
  <c r="AN5715" i="1"/>
  <c r="AN5716" i="1"/>
  <c r="AN5718" i="1"/>
  <c r="AN5719" i="1"/>
  <c r="AN5720" i="1"/>
  <c r="AN5721" i="1"/>
  <c r="AN5723" i="1"/>
  <c r="AN5724" i="1"/>
  <c r="AN5725" i="1"/>
  <c r="AN5726" i="1"/>
  <c r="AN5727" i="1"/>
  <c r="AN5729" i="1"/>
  <c r="AN5730" i="1"/>
  <c r="AN5731" i="1"/>
  <c r="AN5732" i="1"/>
  <c r="AN5733" i="1"/>
  <c r="AN5735" i="1"/>
  <c r="AN5736" i="1"/>
  <c r="AN5737" i="1"/>
  <c r="AN5738" i="1"/>
  <c r="AN5740" i="1"/>
  <c r="AN5741" i="1"/>
  <c r="AN5742" i="1"/>
  <c r="AN5743" i="1"/>
  <c r="AN5744" i="1"/>
  <c r="AN5746" i="1"/>
  <c r="AN5747" i="1"/>
  <c r="AN5748" i="1"/>
  <c r="AN5749" i="1"/>
  <c r="AN5750" i="1"/>
  <c r="AN5752" i="1"/>
  <c r="AN5753" i="1"/>
  <c r="AN5754" i="1"/>
  <c r="AN5755" i="1"/>
  <c r="AN5757" i="1"/>
  <c r="AN5758" i="1"/>
  <c r="AN5759" i="1"/>
  <c r="AN5760" i="1"/>
  <c r="AN5761" i="1"/>
  <c r="AN5763" i="1"/>
  <c r="AN5764" i="1"/>
  <c r="AN5765" i="1"/>
  <c r="AN5766" i="1"/>
  <c r="AN5767" i="1"/>
  <c r="AN5769" i="1"/>
  <c r="AN5770" i="1"/>
  <c r="AN5771" i="1"/>
  <c r="AN5772" i="1"/>
  <c r="AN5774" i="1"/>
  <c r="AN5775" i="1"/>
  <c r="AN5776" i="1"/>
  <c r="AN5777" i="1"/>
  <c r="AN5778" i="1"/>
  <c r="AN5780" i="1"/>
  <c r="AN5781" i="1"/>
  <c r="AN5782" i="1"/>
  <c r="AN5783" i="1"/>
  <c r="AN5784" i="1"/>
  <c r="AN5786" i="1"/>
  <c r="AN5787" i="1"/>
  <c r="AN5788" i="1"/>
  <c r="AN5789" i="1"/>
  <c r="AN5790" i="1"/>
  <c r="AN5792" i="1"/>
  <c r="AN5793" i="1"/>
  <c r="AN5794" i="1"/>
  <c r="AN5795" i="1"/>
  <c r="AN5797" i="1"/>
  <c r="AN5798" i="1"/>
  <c r="AN5799" i="1"/>
  <c r="AN5800" i="1"/>
  <c r="AN5801" i="1"/>
  <c r="AN5803" i="1"/>
  <c r="AN5804" i="1"/>
  <c r="AN5805" i="1"/>
  <c r="AN5806" i="1"/>
  <c r="AN5807" i="1"/>
  <c r="AN5809" i="1"/>
  <c r="AN5810" i="1"/>
  <c r="AN5811" i="1"/>
  <c r="AN5812" i="1"/>
  <c r="AN5814" i="1"/>
  <c r="AN5815" i="1"/>
  <c r="AN5816" i="1"/>
  <c r="AN5817" i="1"/>
  <c r="AN5818" i="1"/>
  <c r="AN5820" i="1"/>
  <c r="AN5821" i="1"/>
  <c r="AN5822" i="1"/>
  <c r="AN5823" i="1"/>
  <c r="AN5824" i="1"/>
  <c r="AN5826" i="1"/>
  <c r="AN5827" i="1"/>
  <c r="AN5828" i="1"/>
  <c r="AN5829" i="1"/>
  <c r="AN5831" i="1"/>
  <c r="AN5832" i="1"/>
  <c r="AN5833" i="1"/>
  <c r="AN5834" i="1"/>
  <c r="AN5835" i="1"/>
  <c r="AN5837" i="1"/>
  <c r="AN5838" i="1"/>
  <c r="AN5839" i="1"/>
  <c r="AN5840" i="1"/>
  <c r="AN5841" i="1"/>
  <c r="AN5843" i="1"/>
  <c r="AN5844" i="1"/>
  <c r="AN5845" i="1"/>
  <c r="AN5846" i="1"/>
  <c r="AN5848" i="1"/>
  <c r="AN5849" i="1"/>
  <c r="AN5850" i="1"/>
  <c r="AN5851" i="1"/>
  <c r="AN5852" i="1"/>
  <c r="AN5854" i="1"/>
  <c r="AN5855" i="1"/>
  <c r="AN5856" i="1"/>
  <c r="AN5857" i="1"/>
  <c r="AN5858" i="1"/>
  <c r="AN5860" i="1"/>
  <c r="AN5861" i="1"/>
  <c r="AN5862" i="1"/>
  <c r="AN5863" i="1"/>
  <c r="AN5865" i="1"/>
  <c r="AN5866" i="1"/>
  <c r="AN5867" i="1"/>
  <c r="AN5868" i="1"/>
  <c r="AN5869" i="1"/>
  <c r="AN5871" i="1"/>
  <c r="AN5872" i="1"/>
  <c r="AN5873" i="1"/>
  <c r="AN5874" i="1"/>
  <c r="AN5875" i="1"/>
  <c r="AN5877" i="1"/>
  <c r="AN5878" i="1"/>
  <c r="AN5879" i="1"/>
  <c r="AN5880" i="1"/>
  <c r="AN5882" i="1"/>
  <c r="AN5883" i="1"/>
  <c r="AN5884" i="1"/>
  <c r="AN5885" i="1"/>
  <c r="AN5886" i="1"/>
  <c r="AN5888" i="1"/>
  <c r="AN5889" i="1"/>
  <c r="AN5890" i="1"/>
  <c r="AN5891" i="1"/>
  <c r="AN5892" i="1"/>
  <c r="AN5894" i="1"/>
  <c r="AN5895" i="1"/>
  <c r="AN5896" i="1"/>
  <c r="AN5897" i="1"/>
  <c r="AN5899" i="1"/>
  <c r="AN5900" i="1"/>
  <c r="AN5901" i="1"/>
  <c r="AN5902" i="1"/>
  <c r="AN5903" i="1"/>
  <c r="AN5905" i="1"/>
  <c r="AN5906" i="1"/>
  <c r="AN5907" i="1"/>
  <c r="AN5908" i="1"/>
  <c r="AN5909" i="1"/>
  <c r="AN5911" i="1"/>
  <c r="AN5912" i="1"/>
  <c r="AN5913" i="1"/>
  <c r="AN5914" i="1"/>
  <c r="AN5916" i="1"/>
  <c r="AN5917" i="1"/>
  <c r="AN5918" i="1"/>
  <c r="AN5919" i="1"/>
  <c r="AN5920" i="1"/>
  <c r="AN5922" i="1"/>
  <c r="AN5923" i="1"/>
  <c r="AN5924" i="1"/>
  <c r="AN5925" i="1"/>
  <c r="AN5926" i="1"/>
  <c r="AN5928" i="1"/>
  <c r="AN5929" i="1"/>
  <c r="AN5930" i="1"/>
  <c r="AN5931" i="1"/>
  <c r="AN5933" i="1"/>
  <c r="AN5934" i="1"/>
  <c r="AN5935" i="1"/>
  <c r="AN5936" i="1"/>
  <c r="AN5937" i="1"/>
  <c r="AN5939" i="1"/>
  <c r="AN5940" i="1"/>
  <c r="AN5941" i="1"/>
  <c r="AN5942" i="1"/>
  <c r="AN5943" i="1"/>
  <c r="AN5945" i="1"/>
  <c r="AN5946" i="1"/>
  <c r="AN5947" i="1"/>
  <c r="AN5948" i="1"/>
  <c r="AN5950" i="1"/>
  <c r="AN5951" i="1"/>
  <c r="AN5952" i="1"/>
  <c r="AN5953" i="1"/>
  <c r="AN5954" i="1"/>
  <c r="AN5956" i="1"/>
  <c r="AN5957" i="1"/>
  <c r="AN5958" i="1"/>
  <c r="AN5959" i="1"/>
  <c r="AN5960" i="1"/>
  <c r="AN5962" i="1"/>
  <c r="AN5963" i="1"/>
  <c r="AN5964" i="1"/>
  <c r="AN5965" i="1"/>
  <c r="AN5967" i="1"/>
  <c r="AN5968" i="1"/>
  <c r="AN5969" i="1"/>
  <c r="AN5970" i="1"/>
  <c r="AN5971" i="1"/>
  <c r="AN5973" i="1"/>
  <c r="AN5974" i="1"/>
  <c r="AN5975" i="1"/>
  <c r="AN5976" i="1"/>
  <c r="AN5977" i="1"/>
  <c r="AN5979" i="1"/>
  <c r="AN5980" i="1"/>
  <c r="AN5981" i="1"/>
  <c r="AN5982" i="1"/>
  <c r="AN5984" i="1"/>
  <c r="AN5985" i="1"/>
  <c r="AN5986" i="1"/>
  <c r="AN5987" i="1"/>
  <c r="AN5988" i="1"/>
  <c r="AN5990" i="1"/>
  <c r="AN5991" i="1"/>
  <c r="AN5992" i="1"/>
  <c r="AN5993" i="1"/>
  <c r="AN5994" i="1"/>
  <c r="AN5996" i="1"/>
  <c r="AN5997" i="1"/>
  <c r="AN5998" i="1"/>
  <c r="AN5999" i="1"/>
  <c r="AN6001" i="1"/>
  <c r="AN6002" i="1"/>
  <c r="AN6003" i="1"/>
  <c r="AN6004" i="1"/>
  <c r="AN6005" i="1"/>
  <c r="AN6007" i="1"/>
  <c r="AN6008" i="1"/>
  <c r="AN6009" i="1"/>
  <c r="AN6010" i="1"/>
  <c r="AN6011" i="1"/>
  <c r="AN6013" i="1"/>
  <c r="AN6015" i="1"/>
  <c r="AN6016" i="1"/>
  <c r="AN6018" i="1"/>
  <c r="AN6019" i="1"/>
  <c r="AN6020" i="1"/>
  <c r="AN6021" i="1"/>
  <c r="AN6022" i="1"/>
  <c r="AN6025" i="1"/>
  <c r="AN6026" i="1"/>
  <c r="AN6027" i="1"/>
  <c r="AN6028" i="1"/>
  <c r="AN6030" i="1"/>
  <c r="AN6031" i="1"/>
  <c r="AN6032" i="1"/>
  <c r="AN6033" i="1"/>
  <c r="AN6035" i="1"/>
  <c r="AN6036" i="1"/>
  <c r="AN6037" i="1"/>
  <c r="AN6038" i="1"/>
  <c r="AN6039" i="1"/>
  <c r="AN6041" i="1"/>
  <c r="AN6042" i="1"/>
  <c r="AN6043" i="1"/>
  <c r="AN6044" i="1"/>
  <c r="AN6045" i="1"/>
  <c r="AN6047" i="1"/>
  <c r="AN6048" i="1"/>
  <c r="AN6049" i="1"/>
  <c r="AN6050" i="1"/>
  <c r="AN6053" i="1"/>
  <c r="AN6056" i="1"/>
  <c r="AN6057" i="1"/>
  <c r="AN6058" i="1"/>
  <c r="AN6059" i="1"/>
  <c r="AN6060" i="1"/>
  <c r="AN6062" i="1"/>
  <c r="AN6063" i="1"/>
  <c r="AN6064" i="1"/>
  <c r="AN6065" i="1"/>
  <c r="AN6067" i="1"/>
  <c r="AN6068" i="1"/>
  <c r="AN6069" i="1"/>
  <c r="AN6070" i="1"/>
  <c r="AN6071" i="1"/>
  <c r="AN6073" i="1"/>
  <c r="AN6074" i="1"/>
  <c r="AN6075" i="1"/>
  <c r="AN6076" i="1"/>
  <c r="AN6077" i="1"/>
  <c r="AN6079" i="1"/>
  <c r="AN6080" i="1"/>
  <c r="AN6081" i="1"/>
  <c r="AN6082" i="1"/>
  <c r="AN6084" i="1"/>
  <c r="AN6085" i="1"/>
  <c r="AN6086" i="1"/>
  <c r="AN6087" i="1"/>
  <c r="AN6088" i="1"/>
  <c r="AN6090" i="1"/>
  <c r="AN6091" i="1"/>
  <c r="AN6092" i="1"/>
  <c r="AN6093" i="1"/>
  <c r="AN6094" i="1"/>
  <c r="AN6096" i="1"/>
  <c r="AN6097" i="1"/>
  <c r="AN6098" i="1"/>
  <c r="AN6099" i="1"/>
  <c r="AN6101" i="1"/>
  <c r="AN6102" i="1"/>
  <c r="AN6103" i="1"/>
  <c r="AN6104" i="1"/>
  <c r="AN6105" i="1"/>
  <c r="AN6107" i="1"/>
  <c r="AN6108" i="1"/>
  <c r="AN6109" i="1"/>
  <c r="AN6110" i="1"/>
  <c r="AN6111" i="1"/>
  <c r="AN6113" i="1"/>
  <c r="AN6114" i="1"/>
  <c r="AN6115" i="1"/>
  <c r="AN6116" i="1"/>
  <c r="AN6118" i="1"/>
  <c r="AN6119" i="1"/>
  <c r="AN6120" i="1"/>
  <c r="AN6121" i="1"/>
  <c r="AN6122" i="1"/>
  <c r="AN6124" i="1"/>
  <c r="AN6125" i="1"/>
  <c r="AN6126" i="1"/>
  <c r="AN6127" i="1"/>
  <c r="AN6128" i="1"/>
  <c r="AN6130" i="1"/>
  <c r="AN6131" i="1"/>
  <c r="AN6132" i="1"/>
  <c r="AN6133" i="1"/>
  <c r="AN6135" i="1"/>
  <c r="AN6136" i="1"/>
  <c r="AN6137" i="1"/>
  <c r="AN6138" i="1"/>
  <c r="AN6139" i="1"/>
  <c r="AN6141" i="1"/>
  <c r="AN6142" i="1"/>
  <c r="AN6143" i="1"/>
  <c r="AN6144" i="1"/>
  <c r="AN6145" i="1"/>
  <c r="AN6147" i="1"/>
  <c r="AN6148" i="1"/>
  <c r="AN6149" i="1"/>
  <c r="AN6150" i="1"/>
  <c r="AN6152" i="1"/>
  <c r="AN6153" i="1"/>
  <c r="AN6154" i="1"/>
  <c r="AN6155" i="1"/>
  <c r="AN6156" i="1"/>
  <c r="AN6158" i="1"/>
  <c r="AN6159" i="1"/>
  <c r="AN6160" i="1"/>
  <c r="AN6161" i="1"/>
  <c r="AN6162" i="1"/>
  <c r="AN6164" i="1"/>
  <c r="AN6165" i="1"/>
  <c r="AN6166" i="1"/>
  <c r="AN6167" i="1"/>
  <c r="AN6169" i="1"/>
  <c r="AN6170" i="1"/>
  <c r="AN6171" i="1"/>
  <c r="AN6172" i="1"/>
  <c r="AN6173" i="1"/>
  <c r="AN6175" i="1"/>
  <c r="AN6176" i="1"/>
  <c r="AN6177" i="1"/>
  <c r="AN6178" i="1"/>
  <c r="AN6179" i="1"/>
  <c r="AN6181" i="1"/>
  <c r="AN6182" i="1"/>
  <c r="AN6183" i="1"/>
  <c r="AN6184" i="1"/>
  <c r="AN6186" i="1"/>
  <c r="AN6187" i="1"/>
  <c r="AN6188" i="1"/>
  <c r="AN6189" i="1"/>
  <c r="AN6190" i="1"/>
  <c r="AN6192" i="1"/>
  <c r="AN6193" i="1"/>
  <c r="AN6194" i="1"/>
  <c r="AN6195" i="1"/>
  <c r="AN6196" i="1"/>
  <c r="AN6198" i="1"/>
  <c r="AN6199" i="1"/>
  <c r="AN6200" i="1"/>
  <c r="AN6201" i="1"/>
  <c r="AN6203" i="1"/>
  <c r="AN6204" i="1"/>
  <c r="AN6205" i="1"/>
  <c r="AN6206" i="1"/>
  <c r="AN6207" i="1"/>
  <c r="AN6209" i="1"/>
  <c r="AN6210" i="1"/>
  <c r="AN6211" i="1"/>
  <c r="AN6212" i="1"/>
  <c r="AN6214" i="1"/>
  <c r="AN6215" i="1"/>
  <c r="AN6216" i="1"/>
  <c r="AN6217" i="1"/>
  <c r="AN6218" i="1"/>
  <c r="AN6220" i="1"/>
  <c r="AN6221" i="1"/>
  <c r="AN6222" i="1"/>
  <c r="AN6223" i="1"/>
  <c r="AN6224" i="1"/>
  <c r="AN6226" i="1"/>
  <c r="AN6227" i="1"/>
  <c r="AN6228" i="1"/>
  <c r="AN6229" i="1"/>
  <c r="AN6231" i="1"/>
  <c r="AN6232" i="1"/>
  <c r="AN6233" i="1"/>
  <c r="AN6234" i="1"/>
  <c r="AN6235" i="1"/>
  <c r="AN6237" i="1"/>
  <c r="AN6238" i="1"/>
  <c r="AN6239" i="1"/>
  <c r="AN6240" i="1"/>
  <c r="AN6241" i="1"/>
  <c r="AN6243" i="1"/>
  <c r="AN6244" i="1"/>
  <c r="AN6245" i="1"/>
  <c r="AN6246" i="1"/>
  <c r="AN6248" i="1"/>
  <c r="AN6249" i="1"/>
  <c r="AN6250" i="1"/>
  <c r="AN6251" i="1"/>
  <c r="AN6252" i="1"/>
  <c r="AN6254" i="1"/>
  <c r="AN6255" i="1"/>
  <c r="AN6256" i="1"/>
  <c r="AN6257" i="1"/>
  <c r="AN6258" i="1"/>
  <c r="AN6260" i="1"/>
  <c r="AN6261" i="1"/>
  <c r="AN6262" i="1"/>
  <c r="AN6263" i="1"/>
  <c r="AN6265" i="1"/>
  <c r="AN6266" i="1"/>
  <c r="AN6267" i="1"/>
  <c r="AN6268" i="1"/>
  <c r="AN6269" i="1"/>
  <c r="AN6271" i="1"/>
  <c r="AN6272" i="1"/>
  <c r="AN6273" i="1"/>
  <c r="AN6274" i="1"/>
  <c r="AN6275" i="1"/>
  <c r="AN6277" i="1"/>
  <c r="AN6278" i="1"/>
  <c r="AN6279" i="1"/>
  <c r="AN6280" i="1"/>
  <c r="AN6282" i="1"/>
  <c r="AN6283" i="1"/>
  <c r="AN6284" i="1"/>
  <c r="AN6285" i="1"/>
  <c r="AN6286" i="1"/>
  <c r="AN6288" i="1"/>
  <c r="AN6289" i="1"/>
  <c r="AN6290" i="1"/>
  <c r="AN6291" i="1"/>
  <c r="AN6293" i="1"/>
  <c r="AN6294" i="1"/>
  <c r="AN6295" i="1"/>
  <c r="AN6296" i="1"/>
  <c r="AN6297" i="1"/>
  <c r="AN6299" i="1"/>
  <c r="AN6300" i="1"/>
  <c r="AN6301" i="1"/>
  <c r="AN6302" i="1"/>
  <c r="AN6303" i="1"/>
  <c r="AN6305" i="1"/>
  <c r="AN6306" i="1"/>
  <c r="AN6307" i="1"/>
  <c r="AN6308" i="1"/>
  <c r="AN6309" i="1"/>
  <c r="AN6311" i="1"/>
  <c r="AN6312" i="1"/>
  <c r="AN6313" i="1"/>
  <c r="AN6314" i="1"/>
  <c r="AN6316" i="1"/>
  <c r="AN6317" i="1"/>
  <c r="AN6318" i="1"/>
  <c r="AN6319" i="1"/>
  <c r="AN6320" i="1"/>
  <c r="AN6322" i="1"/>
  <c r="AN6323" i="1"/>
  <c r="AN6324" i="1"/>
  <c r="AN6325" i="1"/>
  <c r="AN6327" i="1"/>
  <c r="AN6328" i="1"/>
  <c r="AN6329" i="1"/>
  <c r="AN6330" i="1"/>
  <c r="AN6331" i="1"/>
  <c r="AN6333" i="1"/>
  <c r="AN6334" i="1"/>
  <c r="AN6335" i="1"/>
  <c r="AN6336" i="1"/>
  <c r="AN6337" i="1"/>
  <c r="AN6339" i="1"/>
  <c r="AN6340" i="1"/>
  <c r="AN6341" i="1"/>
  <c r="AN6342" i="1"/>
  <c r="AN6344" i="1"/>
  <c r="AN6345" i="1"/>
  <c r="AN6346" i="1"/>
  <c r="AN6347" i="1"/>
  <c r="AN6348" i="1"/>
  <c r="AN6350" i="1"/>
  <c r="AN6351" i="1"/>
  <c r="AN6353" i="1"/>
  <c r="AN6354" i="1"/>
  <c r="AN6356" i="1"/>
  <c r="AN6357" i="1"/>
  <c r="AN6359" i="1"/>
  <c r="AN6361" i="1"/>
  <c r="AN6362" i="1"/>
  <c r="AN6363" i="1"/>
  <c r="AN6364" i="1"/>
  <c r="AN6365" i="1"/>
  <c r="AN6367" i="1"/>
  <c r="AN6368" i="1"/>
  <c r="AN6369" i="1"/>
  <c r="AN6370" i="1"/>
  <c r="AN6371" i="1"/>
  <c r="AN6373" i="1"/>
  <c r="AN6374" i="1"/>
  <c r="AN6375" i="1"/>
  <c r="AN6376" i="1"/>
  <c r="AN6378" i="1"/>
  <c r="AN6379" i="1"/>
  <c r="AN6380" i="1"/>
  <c r="AN6381" i="1"/>
  <c r="AN6382" i="1"/>
  <c r="AN6384" i="1"/>
  <c r="AN6385" i="1"/>
  <c r="AN6386" i="1"/>
  <c r="AN6387" i="1"/>
  <c r="AN6388" i="1"/>
  <c r="AN6390" i="1"/>
  <c r="AN6391" i="1"/>
  <c r="AN6392" i="1"/>
  <c r="AN6393" i="1"/>
  <c r="AN6395" i="1"/>
  <c r="AN6396" i="1"/>
  <c r="AN6397" i="1"/>
  <c r="AN6398" i="1"/>
  <c r="AN6399" i="1"/>
  <c r="AN6401" i="1"/>
  <c r="AN6402" i="1"/>
  <c r="AN6403" i="1"/>
  <c r="AN6404" i="1"/>
  <c r="AN6405" i="1"/>
  <c r="AN6407" i="1"/>
  <c r="AN6408" i="1"/>
  <c r="AN6409" i="1"/>
  <c r="AN6410" i="1"/>
  <c r="AN6412" i="1"/>
  <c r="AN6413" i="1"/>
  <c r="AN6415" i="1"/>
  <c r="AN6417" i="1"/>
  <c r="AN6418" i="1"/>
  <c r="AN6419" i="1"/>
  <c r="AN6420" i="1"/>
  <c r="AN6422" i="1"/>
  <c r="AN6423" i="1"/>
  <c r="AN6425" i="1"/>
  <c r="AN6426" i="1"/>
  <c r="AN6428" i="1"/>
  <c r="AN6429" i="1"/>
  <c r="AN6430" i="1"/>
  <c r="AN6431" i="1"/>
  <c r="AN6433" i="1"/>
  <c r="AN6434" i="1"/>
  <c r="AN6435" i="1"/>
  <c r="AN6436" i="1"/>
  <c r="AN6437" i="1"/>
  <c r="AN6439" i="1"/>
  <c r="AN6440" i="1"/>
  <c r="AN6441" i="1"/>
  <c r="AN6442" i="1"/>
  <c r="AN6443" i="1"/>
  <c r="AN6445" i="1"/>
  <c r="AN6446" i="1"/>
  <c r="AN6447" i="1"/>
  <c r="AN6448" i="1"/>
  <c r="AN6450" i="1"/>
  <c r="AN6451" i="1"/>
  <c r="AN6452" i="1"/>
  <c r="AN6453" i="1"/>
  <c r="AN6454" i="1"/>
  <c r="AN6456" i="1"/>
  <c r="AN6457" i="1"/>
  <c r="AN6458" i="1"/>
  <c r="AN6459" i="1"/>
  <c r="AN6461" i="1"/>
  <c r="AN6462" i="1"/>
  <c r="AN6463" i="1"/>
  <c r="AN6464" i="1"/>
  <c r="AN6465" i="1"/>
  <c r="AN6467" i="1"/>
  <c r="AN6468" i="1"/>
  <c r="AN6469" i="1"/>
  <c r="AN6470" i="1"/>
  <c r="AN6471" i="1"/>
  <c r="AN6473" i="1"/>
  <c r="AN6474" i="1"/>
  <c r="AN6475" i="1"/>
  <c r="AN6476" i="1"/>
  <c r="AN6478" i="1"/>
  <c r="AN6479" i="1"/>
  <c r="AN6480" i="1"/>
  <c r="AN6481" i="1"/>
  <c r="AN6482" i="1"/>
  <c r="AN6484" i="1"/>
  <c r="AN6485" i="1"/>
  <c r="AN6486" i="1"/>
  <c r="AN6487" i="1"/>
  <c r="AN6488" i="1"/>
  <c r="AN6490" i="1"/>
  <c r="AN6491" i="1"/>
  <c r="AN6492" i="1"/>
  <c r="AN6493" i="1"/>
  <c r="AN6495" i="1"/>
  <c r="AN6496" i="1"/>
  <c r="AN6497" i="1"/>
  <c r="AN6498" i="1"/>
  <c r="AN6499" i="1"/>
  <c r="AN6501" i="1"/>
  <c r="AN6503" i="1"/>
  <c r="AN6504" i="1"/>
  <c r="AN6505" i="1"/>
  <c r="AN6507" i="1"/>
  <c r="AN6509" i="1"/>
  <c r="AN6510" i="1"/>
  <c r="AN6512" i="1"/>
  <c r="AN6513" i="1"/>
  <c r="AN6514" i="1"/>
  <c r="AN6515" i="1"/>
  <c r="AN6516" i="1"/>
  <c r="AN6518" i="1"/>
  <c r="AN6519" i="1"/>
  <c r="AN6520" i="1"/>
  <c r="AN6521" i="1"/>
  <c r="AN6522" i="1"/>
  <c r="AN6524" i="1"/>
  <c r="AN6525" i="1"/>
  <c r="AN6526" i="1"/>
  <c r="AN6527" i="1"/>
  <c r="AN6529" i="1"/>
  <c r="AN6531" i="1"/>
  <c r="AN6533" i="1"/>
  <c r="AN6535" i="1"/>
  <c r="AN6536" i="1"/>
  <c r="AN6537" i="1"/>
  <c r="AN6538" i="1"/>
  <c r="AN6539" i="1"/>
  <c r="AN6541" i="1"/>
  <c r="AN6543" i="1"/>
  <c r="AN6544" i="1"/>
  <c r="AN6546" i="1"/>
  <c r="AN6547" i="1"/>
  <c r="AN6548" i="1"/>
  <c r="AN6549" i="1"/>
  <c r="AN6550" i="1"/>
  <c r="AN6552" i="1"/>
  <c r="AN6553" i="1"/>
  <c r="AN6554" i="1"/>
  <c r="AN6555" i="1"/>
  <c r="AN6556" i="1"/>
  <c r="AN6559" i="1"/>
  <c r="AN6560" i="1"/>
  <c r="AN6561" i="1"/>
  <c r="AN6563" i="1"/>
  <c r="AN6565" i="1"/>
  <c r="AN6567" i="1"/>
  <c r="AN6569" i="1"/>
  <c r="AN6570" i="1"/>
  <c r="AN6571" i="1"/>
  <c r="AN6572" i="1"/>
  <c r="AN6573" i="1"/>
  <c r="AN6575" i="1"/>
  <c r="AN6576" i="1"/>
  <c r="AN6577" i="1"/>
  <c r="AN6578" i="1"/>
  <c r="AN6580" i="1"/>
  <c r="AN6581" i="1"/>
  <c r="AN6582" i="1"/>
  <c r="AN6583" i="1"/>
  <c r="AN6584" i="1"/>
  <c r="AN6586" i="1"/>
  <c r="AN6587" i="1"/>
  <c r="AN6588" i="1"/>
  <c r="AN6589" i="1"/>
  <c r="AN6590" i="1"/>
  <c r="AN6593" i="1"/>
  <c r="AN6594" i="1"/>
  <c r="AN6595" i="1"/>
  <c r="AN6597" i="1"/>
  <c r="AN6598" i="1"/>
  <c r="AN6599" i="1"/>
  <c r="AN6600" i="1"/>
  <c r="AN6601" i="1"/>
  <c r="AN6603" i="1"/>
  <c r="AN6604" i="1"/>
  <c r="AN6605" i="1"/>
  <c r="AN6606" i="1"/>
  <c r="AN6607" i="1"/>
  <c r="AN6609" i="1"/>
  <c r="AN6610" i="1"/>
  <c r="AN6611" i="1"/>
  <c r="AN6612" i="1"/>
  <c r="AN6614" i="1"/>
  <c r="AN6615" i="1"/>
  <c r="AN6616" i="1"/>
  <c r="AN6617" i="1"/>
  <c r="AN6618" i="1"/>
  <c r="AN6620" i="1"/>
  <c r="AN6621" i="1"/>
  <c r="AN6622" i="1"/>
  <c r="AN6623" i="1"/>
  <c r="AN6624" i="1"/>
  <c r="AN6626" i="1"/>
  <c r="AN6627" i="1"/>
  <c r="AN6628" i="1"/>
  <c r="AN6629" i="1"/>
  <c r="AN6631" i="1"/>
  <c r="AN6632" i="1"/>
  <c r="AN6633" i="1"/>
  <c r="AN6634" i="1"/>
  <c r="AN6635" i="1"/>
  <c r="AN6637" i="1"/>
  <c r="AN6639" i="1"/>
  <c r="AN6640" i="1"/>
  <c r="AN6641" i="1"/>
  <c r="AN6643" i="1"/>
  <c r="AN6645" i="1"/>
  <c r="AN6646" i="1"/>
  <c r="AN6648" i="1"/>
  <c r="AN6649" i="1"/>
  <c r="AN6651" i="1"/>
  <c r="AN6652" i="1"/>
  <c r="AN6654" i="1"/>
  <c r="AN6655" i="1"/>
  <c r="AN6657" i="1"/>
  <c r="AN6659" i="1"/>
  <c r="AN6660" i="1"/>
  <c r="AN6661" i="1"/>
  <c r="AN6663" i="1"/>
  <c r="AN6665" i="1"/>
  <c r="AN6667" i="1"/>
  <c r="AN6669" i="1"/>
  <c r="AN6671" i="1"/>
  <c r="AN6672" i="1"/>
  <c r="AN6673" i="1"/>
  <c r="AN6674" i="1"/>
  <c r="AN6676" i="1"/>
  <c r="AN6677" i="1"/>
  <c r="AN6679" i="1"/>
  <c r="AN6680" i="1"/>
  <c r="AN6682" i="1"/>
  <c r="AN6683" i="1"/>
  <c r="AN6685" i="1"/>
  <c r="AN6686" i="1"/>
  <c r="AN6688" i="1"/>
  <c r="AN6689" i="1"/>
  <c r="AN6691" i="1"/>
  <c r="AN6693" i="1"/>
  <c r="AN6695" i="1"/>
  <c r="AN6696" i="1"/>
  <c r="AN6697" i="1"/>
  <c r="AN6699" i="1"/>
  <c r="AN6700" i="1"/>
  <c r="AN6701" i="1"/>
  <c r="AN6702" i="1"/>
  <c r="AN6703" i="1"/>
  <c r="AN6705" i="1"/>
  <c r="AN6706" i="1"/>
  <c r="AN6707" i="1"/>
  <c r="AN6708" i="1"/>
  <c r="AN6710" i="1"/>
  <c r="AN6711" i="1"/>
  <c r="AN6712" i="1"/>
  <c r="AN6713" i="1"/>
  <c r="AN6714" i="1"/>
  <c r="AN6716" i="1"/>
  <c r="AN6717" i="1"/>
  <c r="AN6718" i="1"/>
  <c r="AN6719" i="1"/>
  <c r="AN6720" i="1"/>
  <c r="AN6722" i="1"/>
  <c r="AN6723" i="1"/>
  <c r="AN6724" i="1"/>
  <c r="AN6725" i="1"/>
  <c r="AN6727" i="1"/>
  <c r="AN6728" i="1"/>
  <c r="AN6729" i="1"/>
  <c r="AN6730" i="1"/>
  <c r="AN6731" i="1"/>
  <c r="AN6733" i="1"/>
  <c r="AN6734" i="1"/>
  <c r="AN6735" i="1"/>
  <c r="AN6736" i="1"/>
  <c r="AN6737" i="1"/>
  <c r="AN6739" i="1"/>
  <c r="AN6740" i="1"/>
  <c r="AN6741" i="1"/>
  <c r="AN6742" i="1"/>
  <c r="AN6744" i="1"/>
  <c r="AN6745" i="1"/>
  <c r="AN6746" i="1"/>
  <c r="AN6747" i="1"/>
  <c r="AN6748" i="1"/>
  <c r="AN6750" i="1"/>
  <c r="AN6751" i="1"/>
  <c r="AN6752" i="1"/>
  <c r="AN6753" i="1"/>
  <c r="AN6754" i="1"/>
  <c r="AN6756" i="1"/>
  <c r="AN6757" i="1"/>
  <c r="AN6758" i="1"/>
  <c r="AN6759" i="1"/>
  <c r="AN6761" i="1"/>
  <c r="AN6762" i="1"/>
  <c r="AN6763" i="1"/>
  <c r="AN6764" i="1"/>
  <c r="AN6765" i="1"/>
  <c r="AN6767" i="1"/>
  <c r="AN6768" i="1"/>
  <c r="AN6769" i="1"/>
  <c r="AN6770" i="1"/>
  <c r="AN6771" i="1"/>
  <c r="AN6773" i="1"/>
  <c r="AN6774" i="1"/>
  <c r="AN6775" i="1"/>
  <c r="AN6777" i="1"/>
  <c r="AN6779" i="1"/>
  <c r="AN6780" i="1"/>
  <c r="AN6782" i="1"/>
  <c r="AN6783" i="1"/>
  <c r="AN6784" i="1"/>
  <c r="AN6785" i="1"/>
  <c r="AN6786" i="1"/>
  <c r="AN6788" i="1"/>
  <c r="AN6789" i="1"/>
  <c r="AN6790" i="1"/>
  <c r="AN6791" i="1"/>
  <c r="AN6793" i="1"/>
  <c r="AN6794" i="1"/>
  <c r="AN6795" i="1"/>
  <c r="AN6796" i="1"/>
  <c r="AN6797" i="1"/>
  <c r="AN6799" i="1"/>
  <c r="AN6800" i="1"/>
  <c r="AN6801" i="1"/>
  <c r="AN6802" i="1"/>
  <c r="AN6803" i="1"/>
  <c r="AN6805" i="1"/>
  <c r="AN6806" i="1"/>
  <c r="AN6807" i="1"/>
  <c r="AN6808" i="1"/>
  <c r="AN6810" i="1"/>
  <c r="AN6811" i="1"/>
  <c r="AN6812" i="1"/>
  <c r="AN6813" i="1"/>
  <c r="AN6814" i="1"/>
  <c r="AN6816" i="1"/>
  <c r="AN6817" i="1"/>
  <c r="AN6818" i="1"/>
  <c r="AN6819" i="1"/>
  <c r="AN6820" i="1"/>
  <c r="AN6822" i="1"/>
  <c r="AN6823" i="1"/>
  <c r="AN6824" i="1"/>
  <c r="AN6825" i="1"/>
  <c r="AN6827" i="1"/>
  <c r="AN6828" i="1"/>
  <c r="AN6829" i="1"/>
  <c r="AN6830" i="1"/>
  <c r="AN6831" i="1"/>
  <c r="AN6833" i="1"/>
  <c r="AN6834" i="1"/>
  <c r="AN6835" i="1"/>
  <c r="AN6836" i="1"/>
  <c r="AN6837" i="1"/>
  <c r="AN6839" i="1"/>
  <c r="AN6840" i="1"/>
  <c r="AN6841" i="1"/>
  <c r="AN6842" i="1"/>
  <c r="AN6843" i="1"/>
  <c r="AN6845" i="1"/>
  <c r="AN6846" i="1"/>
  <c r="AN6847" i="1"/>
  <c r="AN6848" i="1"/>
  <c r="AN6850" i="1"/>
  <c r="AN6851" i="1"/>
  <c r="AN6852" i="1"/>
  <c r="AN6853" i="1"/>
  <c r="AN6854" i="1"/>
  <c r="AN6856" i="1"/>
  <c r="AN6857" i="1"/>
  <c r="AN6858" i="1"/>
  <c r="AN6859" i="1"/>
  <c r="AN6861" i="1"/>
  <c r="AN6862" i="1"/>
  <c r="AN6863" i="1"/>
  <c r="AN6864" i="1"/>
  <c r="AN6865" i="1"/>
  <c r="AN6867" i="1"/>
  <c r="AN6868" i="1"/>
  <c r="AN6869" i="1"/>
  <c r="AN6870" i="1"/>
  <c r="AN6871" i="1"/>
  <c r="AN6873" i="1"/>
  <c r="AN6874" i="1"/>
  <c r="AN6875" i="1"/>
  <c r="AN6876" i="1"/>
  <c r="AN6877" i="1"/>
  <c r="AN6879" i="1"/>
  <c r="AN6880" i="1"/>
  <c r="AN6881" i="1"/>
  <c r="AN6882" i="1"/>
  <c r="AN6884" i="1"/>
  <c r="AN6885" i="1"/>
  <c r="AN6886" i="1"/>
  <c r="AN6887" i="1"/>
  <c r="AN6888" i="1"/>
  <c r="AN6890" i="1"/>
  <c r="AN6891" i="1"/>
  <c r="AN6892" i="1"/>
  <c r="AN6893" i="1"/>
  <c r="AN6894" i="1"/>
  <c r="AN6896" i="1"/>
  <c r="AN6897" i="1"/>
  <c r="AN6898" i="1"/>
  <c r="AN6899" i="1"/>
  <c r="AN6901" i="1"/>
  <c r="AN6902" i="1"/>
  <c r="AN6903" i="1"/>
  <c r="AN6904" i="1"/>
  <c r="AN6905" i="1"/>
  <c r="AN6907" i="1"/>
  <c r="AN6908" i="1"/>
  <c r="AN6909" i="1"/>
  <c r="AN6910" i="1"/>
  <c r="AN6911" i="1"/>
  <c r="AN6913" i="1"/>
  <c r="AN6914" i="1"/>
  <c r="AN6915" i="1"/>
  <c r="AN6916" i="1"/>
  <c r="AN6918" i="1"/>
  <c r="AN6919" i="1"/>
  <c r="AN6920" i="1"/>
  <c r="AN6921" i="1"/>
  <c r="AN6922" i="1"/>
  <c r="AN6924" i="1"/>
  <c r="AN6925" i="1"/>
  <c r="AN6926" i="1"/>
  <c r="AN6927" i="1"/>
  <c r="AN6928" i="1"/>
  <c r="AN6930" i="1"/>
  <c r="AN6931" i="1"/>
  <c r="AN6932" i="1"/>
  <c r="AN6933" i="1"/>
  <c r="AN6935" i="1"/>
  <c r="AN6936" i="1"/>
  <c r="AN6937" i="1"/>
  <c r="AN6938" i="1"/>
  <c r="AN6939" i="1"/>
  <c r="AN6941" i="1"/>
  <c r="AN6942" i="1"/>
  <c r="AN6943" i="1"/>
  <c r="AN6944" i="1"/>
  <c r="AN6945" i="1"/>
  <c r="AN6947" i="1"/>
  <c r="AN6948" i="1"/>
  <c r="AN6949" i="1"/>
  <c r="AN6950" i="1"/>
  <c r="AN6952" i="1"/>
  <c r="AN6953" i="1"/>
  <c r="AN6954" i="1"/>
  <c r="AN6955" i="1"/>
  <c r="AN6956" i="1"/>
  <c r="AN6958" i="1"/>
  <c r="AN6959" i="1"/>
  <c r="AN6960" i="1"/>
  <c r="AN6961" i="1"/>
  <c r="AN6962" i="1"/>
  <c r="AN6964" i="1"/>
  <c r="AN6965" i="1"/>
  <c r="AN6966" i="1"/>
  <c r="AN6967" i="1"/>
  <c r="AN6969" i="1"/>
  <c r="AN6970" i="1"/>
  <c r="AN6971" i="1"/>
  <c r="AN6972" i="1"/>
  <c r="AN6973" i="1"/>
  <c r="AN6975" i="1"/>
  <c r="AN6976" i="1"/>
  <c r="AN6977" i="1"/>
  <c r="AN6978" i="1"/>
  <c r="AN6979" i="1"/>
  <c r="AN6981" i="1"/>
  <c r="AN6982" i="1"/>
  <c r="AN6983" i="1"/>
  <c r="AN6984" i="1"/>
  <c r="AN6986" i="1"/>
  <c r="AN6987" i="1"/>
  <c r="AN6988" i="1"/>
  <c r="AN6989" i="1"/>
  <c r="AN6990" i="1"/>
  <c r="AN6992" i="1"/>
  <c r="AN6993" i="1"/>
  <c r="AN6994" i="1"/>
  <c r="AN6995" i="1"/>
  <c r="AN6996" i="1"/>
  <c r="AN6998" i="1"/>
  <c r="AN6999" i="1"/>
  <c r="AN7000" i="1"/>
  <c r="AN7001" i="1"/>
  <c r="AN7003" i="1"/>
  <c r="AN7004" i="1"/>
  <c r="AN7005" i="1"/>
  <c r="AN7006" i="1"/>
  <c r="AN7007" i="1"/>
  <c r="AN7009" i="1"/>
  <c r="AN7010" i="1"/>
  <c r="AN7011" i="1"/>
  <c r="AN7012" i="1"/>
  <c r="AN7013" i="1"/>
  <c r="AN7015" i="1"/>
  <c r="AN7016" i="1"/>
  <c r="AN7017" i="1"/>
  <c r="AN7018" i="1"/>
  <c r="AN7020" i="1"/>
  <c r="AN7021" i="1"/>
  <c r="AN7022" i="1"/>
  <c r="AN7023" i="1"/>
  <c r="AN7024" i="1"/>
  <c r="AN7026" i="1"/>
  <c r="AN7027" i="1"/>
  <c r="AN7028" i="1"/>
  <c r="AN7029" i="1"/>
  <c r="AN7030" i="1"/>
  <c r="AN7032" i="1"/>
  <c r="AN7033" i="1"/>
  <c r="AN7034" i="1"/>
  <c r="AN7035" i="1"/>
  <c r="AN7037" i="1"/>
  <c r="AN7038" i="1"/>
  <c r="AN7039" i="1"/>
  <c r="AN7040" i="1"/>
  <c r="AN7041" i="1"/>
  <c r="AN7043" i="1"/>
  <c r="AN7044" i="1"/>
  <c r="AN7045" i="1"/>
  <c r="AN7046" i="1"/>
  <c r="AN7047" i="1"/>
  <c r="AN7049" i="1"/>
  <c r="AN7050" i="1"/>
  <c r="AN7051" i="1"/>
  <c r="AN7052" i="1"/>
  <c r="AN7054" i="1"/>
  <c r="AN7055" i="1"/>
  <c r="AN7056" i="1"/>
  <c r="AN7057" i="1"/>
  <c r="AN7058" i="1"/>
  <c r="AN7060" i="1"/>
  <c r="AN7061" i="1"/>
  <c r="AN7062" i="1"/>
  <c r="AN7063" i="1"/>
  <c r="AN7064" i="1"/>
  <c r="AN7066" i="1"/>
  <c r="AN7067" i="1"/>
  <c r="AN7068" i="1"/>
  <c r="AN7069" i="1"/>
  <c r="AN7071" i="1"/>
  <c r="AN7072" i="1"/>
  <c r="AN7073" i="1"/>
  <c r="AN7074" i="1"/>
  <c r="AN7075" i="1"/>
  <c r="AN7077" i="1"/>
  <c r="AN7078" i="1"/>
  <c r="AN7079" i="1"/>
  <c r="AN7080" i="1"/>
  <c r="AN7081" i="1"/>
  <c r="AN7083" i="1"/>
  <c r="AN7084" i="1"/>
  <c r="AN7085" i="1"/>
  <c r="AN7086" i="1"/>
  <c r="AN7087" i="1"/>
  <c r="AN7089" i="1"/>
  <c r="AN7090" i="1"/>
  <c r="AN7091" i="1"/>
  <c r="AN7092" i="1"/>
  <c r="AN7094" i="1"/>
  <c r="AN7095" i="1"/>
  <c r="AN7096" i="1"/>
  <c r="AN7097" i="1"/>
  <c r="AN7098" i="1"/>
  <c r="AN7100" i="1"/>
  <c r="AN7101" i="1"/>
  <c r="AN7102" i="1"/>
  <c r="AN7103" i="1"/>
  <c r="AN7104" i="1"/>
  <c r="AN7106" i="1"/>
  <c r="AN7107" i="1"/>
  <c r="AN7108" i="1"/>
  <c r="AN7109" i="1"/>
  <c r="AN7111" i="1"/>
  <c r="AN7112" i="1"/>
  <c r="AN7113" i="1"/>
  <c r="AN7114" i="1"/>
  <c r="AN7115" i="1"/>
  <c r="AN7117" i="1"/>
  <c r="AN7118" i="1"/>
  <c r="AN7119" i="1"/>
  <c r="AN7120" i="1"/>
  <c r="AN7121" i="1"/>
  <c r="AN7123" i="1"/>
  <c r="AN7124" i="1"/>
  <c r="AN7125" i="1"/>
  <c r="AN7126" i="1"/>
  <c r="AN7128" i="1"/>
  <c r="AN7129" i="1"/>
  <c r="AN7130" i="1"/>
  <c r="AN7131" i="1"/>
  <c r="AN7132" i="1"/>
  <c r="AN7134" i="1"/>
  <c r="AN7135" i="1"/>
  <c r="AN7136" i="1"/>
  <c r="AN7137" i="1"/>
  <c r="AN7140" i="1"/>
  <c r="AN7141" i="1"/>
  <c r="AN7143" i="1"/>
  <c r="AN7144" i="1"/>
  <c r="AN7145" i="1"/>
  <c r="AN7146" i="1"/>
  <c r="AN7148" i="1"/>
  <c r="AN7149" i="1"/>
  <c r="AN7150" i="1"/>
  <c r="AN7151" i="1"/>
  <c r="AN7152" i="1"/>
  <c r="AN7154" i="1"/>
  <c r="AN7155" i="1"/>
  <c r="AN7156" i="1"/>
  <c r="AN7157" i="1"/>
  <c r="AN7158" i="1"/>
  <c r="AN7160" i="1"/>
  <c r="AN7161" i="1"/>
  <c r="AN7162" i="1"/>
  <c r="AN7163" i="1"/>
  <c r="AN7165" i="1"/>
  <c r="AN7166" i="1"/>
  <c r="AN7167" i="1"/>
  <c r="AN7168" i="1"/>
  <c r="AN7169" i="1"/>
  <c r="AN7171" i="1"/>
  <c r="AN7172" i="1"/>
  <c r="AN7173" i="1"/>
  <c r="AN7174" i="1"/>
  <c r="AN7175" i="1"/>
  <c r="AN7177" i="1"/>
  <c r="AN7178" i="1"/>
  <c r="AN7179" i="1"/>
  <c r="AN7180" i="1"/>
  <c r="AN7182" i="1"/>
  <c r="AN7183" i="1"/>
  <c r="AN7184" i="1"/>
  <c r="AN7185" i="1"/>
  <c r="AN7186" i="1"/>
  <c r="AN7188" i="1"/>
  <c r="AN7189" i="1"/>
  <c r="AN7190" i="1"/>
  <c r="AN7191" i="1"/>
  <c r="AN7192" i="1"/>
  <c r="AN7194" i="1"/>
  <c r="AN7195" i="1"/>
  <c r="AN7196" i="1"/>
  <c r="AN7197" i="1"/>
  <c r="AN7199" i="1"/>
  <c r="AN7200" i="1"/>
  <c r="AN7201" i="1"/>
  <c r="AN7202" i="1"/>
  <c r="AN7203" i="1"/>
  <c r="AN7205" i="1"/>
  <c r="AN7206" i="1"/>
  <c r="AN7207" i="1"/>
  <c r="AN7208" i="1"/>
  <c r="AN7209" i="1"/>
  <c r="AN7211" i="1"/>
  <c r="AN7212" i="1"/>
  <c r="AN7213" i="1"/>
  <c r="AN7214" i="1"/>
  <c r="AN7216" i="1"/>
  <c r="AN7217" i="1"/>
  <c r="AN7218" i="1"/>
  <c r="AN7219" i="1"/>
  <c r="AN7220" i="1"/>
  <c r="AN7222" i="1"/>
  <c r="AN7223" i="1"/>
  <c r="AN7224" i="1"/>
  <c r="AN7225" i="1"/>
  <c r="AN7226" i="1"/>
  <c r="AN7228" i="1"/>
  <c r="AN7229" i="1"/>
  <c r="AN7230" i="1"/>
  <c r="AN7231" i="1"/>
  <c r="AN7233" i="1"/>
  <c r="AN7234" i="1"/>
  <c r="AN7235" i="1"/>
  <c r="AN7236" i="1"/>
  <c r="AN7237" i="1"/>
  <c r="AN7239" i="1"/>
  <c r="AN7240" i="1"/>
  <c r="AN7241" i="1"/>
  <c r="AN7242" i="1"/>
  <c r="AN7243" i="1"/>
  <c r="AN7245" i="1"/>
  <c r="AN7246" i="1"/>
  <c r="AN7247" i="1"/>
  <c r="AN7248" i="1"/>
  <c r="AN7250" i="1"/>
  <c r="AN7251" i="1"/>
  <c r="AN7252" i="1"/>
  <c r="AN7253" i="1"/>
  <c r="AN7254" i="1"/>
  <c r="AN7256" i="1"/>
  <c r="AN7257" i="1"/>
  <c r="AN7258" i="1"/>
  <c r="AN7259" i="1"/>
  <c r="AN7260" i="1"/>
  <c r="AN7262" i="1"/>
  <c r="AN7263" i="1"/>
  <c r="AN7264" i="1"/>
  <c r="AN7265" i="1"/>
  <c r="AN7267" i="1"/>
  <c r="AN7268" i="1"/>
  <c r="AN7269" i="1"/>
  <c r="AN7270" i="1"/>
  <c r="AN7271" i="1"/>
  <c r="AN7273" i="1"/>
  <c r="AN7274" i="1"/>
  <c r="AN7275" i="1"/>
  <c r="AN7276" i="1"/>
  <c r="AN7277" i="1"/>
  <c r="AN7279" i="1"/>
  <c r="AN7280" i="1"/>
  <c r="AN7281" i="1"/>
  <c r="AN7282" i="1"/>
  <c r="AN7284" i="1"/>
  <c r="AN7285" i="1"/>
  <c r="AN7286" i="1"/>
  <c r="AN7287" i="1"/>
  <c r="AN7288" i="1"/>
  <c r="AN7290" i="1"/>
  <c r="AN7291" i="1"/>
  <c r="AN7292" i="1"/>
  <c r="AN7293" i="1"/>
  <c r="AN7294" i="1"/>
  <c r="AN7296" i="1"/>
  <c r="AN7297" i="1"/>
  <c r="AN7298" i="1"/>
  <c r="AN7299" i="1"/>
  <c r="AN7301" i="1"/>
  <c r="AN7302" i="1"/>
  <c r="AN7303" i="1"/>
  <c r="AN7304" i="1"/>
  <c r="AN7305" i="1"/>
  <c r="AN7307" i="1"/>
  <c r="AN7308" i="1"/>
  <c r="AN7309" i="1"/>
  <c r="AN7310" i="1"/>
  <c r="AN7311" i="1"/>
  <c r="AN7313" i="1"/>
  <c r="AN7314" i="1"/>
  <c r="AN7315" i="1"/>
  <c r="AN7316" i="1"/>
  <c r="AN7318" i="1"/>
  <c r="AN7319" i="1"/>
  <c r="AN7320" i="1"/>
  <c r="AN7321" i="1"/>
  <c r="AN7322" i="1"/>
  <c r="AN7324" i="1"/>
  <c r="AN7325" i="1"/>
  <c r="AN7326" i="1"/>
  <c r="AN7327" i="1"/>
  <c r="AN7328" i="1"/>
  <c r="AN7330" i="1"/>
  <c r="AN7331" i="1"/>
  <c r="AN7332" i="1"/>
  <c r="AN7333" i="1"/>
  <c r="AN7334" i="1"/>
  <c r="AN7336" i="1"/>
  <c r="AN7337" i="1"/>
  <c r="AN7338" i="1"/>
  <c r="AN7339" i="1"/>
  <c r="AN7341" i="1"/>
  <c r="AN7342" i="1"/>
  <c r="AN7343" i="1"/>
  <c r="AN7344" i="1"/>
  <c r="AN7345" i="1"/>
  <c r="AN7347" i="1"/>
  <c r="AN7348" i="1"/>
  <c r="AN7349" i="1"/>
  <c r="AN7350" i="1"/>
  <c r="AN7351" i="1"/>
  <c r="AN7353" i="1"/>
  <c r="AN7354" i="1"/>
  <c r="AN7355" i="1"/>
  <c r="AN7356" i="1"/>
  <c r="AN7358" i="1"/>
  <c r="AN7359" i="1"/>
  <c r="AN7360" i="1"/>
  <c r="AN7361" i="1"/>
  <c r="AN7362" i="1"/>
  <c r="AN7364" i="1"/>
  <c r="AN7365" i="1"/>
  <c r="AN7366" i="1"/>
  <c r="AN7367" i="1"/>
  <c r="AN7368" i="1"/>
  <c r="AN7370" i="1"/>
  <c r="AN7371" i="1"/>
  <c r="AN7372" i="1"/>
  <c r="AN7373" i="1"/>
  <c r="AN7375" i="1"/>
  <c r="AN7376" i="1"/>
  <c r="AN7377" i="1"/>
  <c r="AN7378" i="1"/>
  <c r="AN7379" i="1"/>
  <c r="AN7381" i="1"/>
  <c r="AN7382" i="1"/>
  <c r="AN7383" i="1"/>
  <c r="AN7384" i="1"/>
  <c r="AN7385" i="1"/>
  <c r="AN7387" i="1"/>
  <c r="AN7388" i="1"/>
  <c r="AN7389" i="1"/>
  <c r="AN7390" i="1"/>
  <c r="AN7392" i="1"/>
  <c r="AN7393" i="1"/>
  <c r="AN7394" i="1"/>
  <c r="AN7395" i="1"/>
  <c r="AN7396" i="1"/>
  <c r="AN7398" i="1"/>
  <c r="AN7399" i="1"/>
  <c r="AN7400" i="1"/>
  <c r="AN7401" i="1"/>
  <c r="AN7402" i="1"/>
  <c r="AN7404" i="1"/>
  <c r="AN7405" i="1"/>
  <c r="AN7406" i="1"/>
  <c r="AN7407" i="1"/>
  <c r="AN7409" i="1"/>
  <c r="AN7410" i="1"/>
  <c r="AN7411" i="1"/>
  <c r="AN7412" i="1"/>
  <c r="AN7413" i="1"/>
  <c r="AN7415" i="1"/>
  <c r="AN7416" i="1"/>
  <c r="AN7417" i="1"/>
  <c r="AN7418" i="1"/>
  <c r="AN7419" i="1"/>
  <c r="AN7421" i="1"/>
  <c r="AN7422" i="1"/>
  <c r="AN7423" i="1"/>
  <c r="AN7424" i="1"/>
  <c r="AN7426" i="1"/>
  <c r="AN7427" i="1"/>
  <c r="AN7428" i="1"/>
  <c r="AN7429" i="1"/>
  <c r="AN7430" i="1"/>
  <c r="AN7432" i="1"/>
  <c r="AN7433" i="1"/>
  <c r="AN7434" i="1"/>
  <c r="AN7435" i="1"/>
  <c r="AN7436" i="1"/>
  <c r="AN7438" i="1"/>
  <c r="AN7439" i="1"/>
  <c r="AN7440" i="1"/>
  <c r="AN7441" i="1"/>
  <c r="AN7443" i="1"/>
  <c r="AN7444" i="1"/>
  <c r="AN7445" i="1"/>
  <c r="AN7446" i="1"/>
  <c r="AN7447" i="1"/>
  <c r="AN7449" i="1"/>
  <c r="AN7450" i="1"/>
  <c r="AN7451" i="1"/>
  <c r="AN7452" i="1"/>
  <c r="AN7453" i="1"/>
  <c r="AN7455" i="1"/>
  <c r="AN7456" i="1"/>
  <c r="AN7457" i="1"/>
  <c r="AN7458" i="1"/>
  <c r="AN7460" i="1"/>
  <c r="AN7461" i="1"/>
  <c r="AN7462" i="1"/>
  <c r="AN7463" i="1"/>
  <c r="AN7464" i="1"/>
  <c r="AN7466" i="1"/>
  <c r="AN7467" i="1"/>
  <c r="AN7468" i="1"/>
  <c r="AN7469" i="1"/>
  <c r="AN7470" i="1"/>
  <c r="AN7472" i="1"/>
  <c r="AN7473" i="1"/>
  <c r="AN7474" i="1"/>
  <c r="AN7475" i="1"/>
  <c r="AN7477" i="1"/>
  <c r="AN7478" i="1"/>
  <c r="AN7479" i="1"/>
  <c r="AN7480" i="1"/>
  <c r="AN7481" i="1"/>
  <c r="AN7483" i="1"/>
  <c r="AN7484" i="1"/>
  <c r="AN7485" i="1"/>
  <c r="AN7486" i="1"/>
  <c r="AN7487" i="1"/>
  <c r="AN7489" i="1"/>
  <c r="AN7490" i="1"/>
  <c r="AN7491" i="1"/>
  <c r="AN7492" i="1"/>
  <c r="AN7494" i="1"/>
  <c r="AN7495" i="1"/>
  <c r="AN7496" i="1"/>
  <c r="AN7497" i="1"/>
  <c r="AN7498" i="1"/>
  <c r="AN7500" i="1"/>
  <c r="AN7502" i="1"/>
  <c r="AN7504" i="1"/>
  <c r="AN7505" i="1"/>
  <c r="AN7506" i="1"/>
  <c r="AN7507" i="1"/>
  <c r="AN7509" i="1"/>
  <c r="AN7510" i="1"/>
  <c r="AN7511" i="1"/>
  <c r="AN7512" i="1"/>
  <c r="AN7514" i="1"/>
  <c r="AN7515" i="1"/>
  <c r="AN7516" i="1"/>
  <c r="AN7517" i="1"/>
  <c r="AN7518" i="1"/>
  <c r="AN7520" i="1"/>
  <c r="AN7521" i="1"/>
  <c r="AN7522" i="1"/>
  <c r="AN7523" i="1"/>
  <c r="AN7524" i="1"/>
  <c r="AN7526" i="1"/>
  <c r="AN7527" i="1"/>
  <c r="AN7528" i="1"/>
  <c r="AN7529" i="1"/>
  <c r="AN7531" i="1"/>
  <c r="AN7532" i="1"/>
  <c r="AN7533" i="1"/>
  <c r="AN7534" i="1"/>
  <c r="AN7535" i="1"/>
  <c r="AN7537" i="1"/>
  <c r="AN7538" i="1"/>
  <c r="AN7539" i="1"/>
  <c r="AN7540" i="1"/>
  <c r="AN7541" i="1"/>
  <c r="AN7543" i="1"/>
  <c r="AN7544" i="1"/>
  <c r="AN7545" i="1"/>
  <c r="AN7546" i="1"/>
  <c r="AN7547" i="1"/>
  <c r="AN7549" i="1"/>
  <c r="AN7550" i="1"/>
  <c r="AN7551" i="1"/>
  <c r="AN7552" i="1"/>
  <c r="AN7554" i="1"/>
  <c r="AN7555" i="1"/>
  <c r="AN7556" i="1"/>
  <c r="AN7557" i="1"/>
  <c r="AN7558" i="1"/>
  <c r="AN7560" i="1"/>
  <c r="AN7561" i="1"/>
  <c r="AN7562" i="1"/>
  <c r="AN7563" i="1"/>
  <c r="AN7564" i="1"/>
  <c r="AN7566" i="1"/>
  <c r="AN7567" i="1"/>
  <c r="AN7568" i="1"/>
  <c r="AN7569" i="1"/>
  <c r="AN7571" i="1"/>
  <c r="AN7572" i="1"/>
  <c r="AN7573" i="1"/>
  <c r="AN7574" i="1"/>
  <c r="AN7575" i="1"/>
  <c r="AN7577" i="1"/>
  <c r="AN7578" i="1"/>
  <c r="AN7579" i="1"/>
  <c r="AN7580" i="1"/>
  <c r="AN7581" i="1"/>
  <c r="AN7583" i="1"/>
  <c r="AN7584" i="1"/>
  <c r="AN7585" i="1"/>
  <c r="AN7586" i="1"/>
  <c r="AN7588" i="1"/>
  <c r="AN7589" i="1"/>
  <c r="AN7590" i="1"/>
  <c r="AN7591" i="1"/>
  <c r="AN7592" i="1"/>
  <c r="AN7594" i="1"/>
  <c r="AN7595" i="1"/>
  <c r="AN7596" i="1"/>
  <c r="AN7597" i="1"/>
  <c r="AN7598" i="1"/>
  <c r="AN7600" i="1"/>
  <c r="AN7601" i="1"/>
  <c r="AN7602" i="1"/>
  <c r="AN7603" i="1"/>
  <c r="AN7605" i="1"/>
  <c r="AN7606" i="1"/>
  <c r="AN7607" i="1"/>
  <c r="AN7608" i="1"/>
  <c r="AN7609" i="1"/>
  <c r="AN7611" i="1"/>
  <c r="AN7612" i="1"/>
  <c r="AN7613" i="1"/>
  <c r="AN7614" i="1"/>
  <c r="AN7615" i="1"/>
  <c r="AN7617" i="1"/>
  <c r="AN7618" i="1"/>
  <c r="AN7619" i="1"/>
  <c r="AN7620" i="1"/>
  <c r="AN7622" i="1"/>
  <c r="AN7623" i="1"/>
  <c r="AN7624" i="1"/>
  <c r="AN7625" i="1"/>
  <c r="AN7626" i="1"/>
  <c r="AN7628" i="1"/>
  <c r="AN7629" i="1"/>
  <c r="AN7630" i="1"/>
  <c r="AN7631" i="1"/>
  <c r="AN7632" i="1"/>
  <c r="AN7634" i="1"/>
  <c r="AN7635" i="1"/>
  <c r="AN7636" i="1"/>
  <c r="AN7637" i="1"/>
  <c r="AN7639" i="1"/>
  <c r="AN7640" i="1"/>
  <c r="AN7641" i="1"/>
  <c r="AN7642" i="1"/>
  <c r="AN7643" i="1"/>
  <c r="AN7645" i="1"/>
  <c r="AN7646" i="1"/>
  <c r="AN7647" i="1"/>
  <c r="AN7648" i="1"/>
  <c r="AN7649" i="1"/>
  <c r="AN7651" i="1"/>
  <c r="AN7652" i="1"/>
  <c r="AN7653" i="1"/>
  <c r="AN7654" i="1"/>
  <c r="AN7656" i="1"/>
  <c r="AN7657" i="1"/>
  <c r="AN7658" i="1"/>
  <c r="AN7659" i="1"/>
  <c r="AN7660" i="1"/>
  <c r="AN7662" i="1"/>
  <c r="AN7663" i="1"/>
  <c r="AN7664" i="1"/>
  <c r="AN7665" i="1"/>
  <c r="AN7666" i="1"/>
  <c r="AN7668" i="1"/>
  <c r="AN7669" i="1"/>
  <c r="AN7670" i="1"/>
  <c r="AN7671" i="1"/>
  <c r="AN7673" i="1"/>
  <c r="AN7674" i="1"/>
  <c r="AN7675" i="1"/>
  <c r="AN7676" i="1"/>
  <c r="AN7677" i="1"/>
  <c r="AN7679" i="1"/>
  <c r="AN7680" i="1"/>
  <c r="AN7681" i="1"/>
  <c r="AN7682" i="1"/>
  <c r="AN7683" i="1"/>
  <c r="AN7685" i="1"/>
  <c r="AN7686" i="1"/>
  <c r="AN7687" i="1"/>
  <c r="AN7688" i="1"/>
  <c r="AN7690" i="1"/>
  <c r="AN7691" i="1"/>
  <c r="AN7692" i="1"/>
  <c r="AN7693" i="1"/>
  <c r="AN7694" i="1"/>
  <c r="AN7696" i="1"/>
  <c r="AN7697" i="1"/>
  <c r="AN7698" i="1"/>
  <c r="AN7699" i="1"/>
  <c r="AN7700" i="1"/>
  <c r="AN7702" i="1"/>
  <c r="AN7703" i="1"/>
  <c r="AN7704" i="1"/>
  <c r="AN7705" i="1"/>
  <c r="AN7706" i="1"/>
  <c r="AN7708" i="1"/>
  <c r="AN7709" i="1"/>
  <c r="AN7710" i="1"/>
  <c r="AN7711" i="1"/>
  <c r="AN7713" i="1"/>
  <c r="AN7714" i="1"/>
  <c r="AN7715" i="1"/>
  <c r="AN7716" i="1"/>
  <c r="AN7717" i="1"/>
  <c r="AN7719" i="1"/>
  <c r="AN7720" i="1"/>
  <c r="AN7721" i="1"/>
  <c r="AN7722" i="1"/>
  <c r="AN7723" i="1"/>
  <c r="AN7725" i="1"/>
  <c r="AN7726" i="1"/>
  <c r="AN7727" i="1"/>
  <c r="AN7728" i="1"/>
  <c r="AN7730" i="1"/>
  <c r="AN7731" i="1"/>
  <c r="AN7732" i="1"/>
  <c r="AN7733" i="1"/>
  <c r="AN7734" i="1"/>
  <c r="AN7736" i="1"/>
  <c r="AN7737" i="1"/>
  <c r="AN7738" i="1"/>
  <c r="AN7739" i="1"/>
  <c r="AN7740" i="1"/>
  <c r="AN7742" i="1"/>
  <c r="AN7743" i="1"/>
  <c r="AN7744" i="1"/>
  <c r="AN7745" i="1"/>
  <c r="AN7747" i="1"/>
  <c r="AN7748" i="1"/>
  <c r="AN7749" i="1"/>
  <c r="AN7750" i="1"/>
  <c r="AN7751" i="1"/>
  <c r="AN7753" i="1"/>
  <c r="AN7754" i="1"/>
  <c r="AN7755" i="1"/>
  <c r="AN7756" i="1"/>
  <c r="AN7757" i="1"/>
  <c r="AN7759" i="1"/>
  <c r="AN7760" i="1"/>
  <c r="AN7761" i="1"/>
  <c r="AN7762" i="1"/>
  <c r="AN7764" i="1"/>
  <c r="AN7765" i="1"/>
  <c r="AN7766" i="1"/>
  <c r="AN7767" i="1"/>
  <c r="AN7768" i="1"/>
  <c r="AN7770" i="1"/>
  <c r="AN7771" i="1"/>
  <c r="AN7772" i="1"/>
  <c r="AN7773" i="1"/>
  <c r="AN7774" i="1"/>
  <c r="AN7776" i="1"/>
  <c r="AN7777" i="1"/>
  <c r="AN7778" i="1"/>
  <c r="AN7779" i="1"/>
  <c r="AN7781" i="1"/>
  <c r="AN7782" i="1"/>
  <c r="AN7783" i="1"/>
  <c r="AN7784" i="1"/>
  <c r="AN7785" i="1"/>
  <c r="AN7787" i="1"/>
  <c r="AN7788" i="1"/>
  <c r="AN7789" i="1"/>
  <c r="AN7790" i="1"/>
  <c r="AN7791" i="1"/>
  <c r="AN7793" i="1"/>
  <c r="AN7794" i="1"/>
  <c r="AN7795" i="1"/>
  <c r="AN7796" i="1"/>
  <c r="AN7798" i="1"/>
  <c r="AN7799" i="1"/>
  <c r="AN7800" i="1"/>
  <c r="AN7801" i="1"/>
  <c r="AN7802" i="1"/>
  <c r="AN7804" i="1"/>
  <c r="AN7805" i="1"/>
  <c r="AN7806" i="1"/>
  <c r="AN7807" i="1"/>
  <c r="AN7808" i="1"/>
  <c r="AN7810" i="1"/>
  <c r="AN7811" i="1"/>
  <c r="AN7812" i="1"/>
  <c r="AN7813" i="1"/>
  <c r="AN7815" i="1"/>
  <c r="AN7816" i="1"/>
  <c r="AN7817" i="1"/>
  <c r="AN7818" i="1"/>
  <c r="AN7819" i="1"/>
  <c r="AN7821" i="1"/>
  <c r="AN7822" i="1"/>
  <c r="AN7823" i="1"/>
  <c r="AN7824" i="1"/>
  <c r="AN7825" i="1"/>
  <c r="AN7827" i="1"/>
  <c r="AN7828" i="1"/>
  <c r="AN7829" i="1"/>
  <c r="AN7830" i="1"/>
  <c r="AN7832" i="1"/>
  <c r="AN7833" i="1"/>
  <c r="AN7834" i="1"/>
  <c r="AN7835" i="1"/>
  <c r="AN7836" i="1"/>
  <c r="AN7838" i="1"/>
  <c r="AN7839" i="1"/>
  <c r="AN7840" i="1"/>
  <c r="AN7841" i="1"/>
  <c r="AN7842" i="1"/>
  <c r="AN7844" i="1"/>
  <c r="AN7845" i="1"/>
  <c r="AN7846" i="1"/>
  <c r="AN7847" i="1"/>
  <c r="AN7849" i="1"/>
  <c r="AN7850" i="1"/>
  <c r="AN7851" i="1"/>
  <c r="AN7852" i="1"/>
  <c r="AN7853" i="1"/>
  <c r="AN7855" i="1"/>
  <c r="AN7856" i="1"/>
  <c r="AN7857" i="1"/>
  <c r="AN7858" i="1"/>
  <c r="AN7859" i="1"/>
  <c r="AN7861" i="1"/>
  <c r="AN7862" i="1"/>
  <c r="AN7864" i="1"/>
  <c r="AN7865" i="1"/>
  <c r="AN7867" i="1"/>
  <c r="AN7868" i="1"/>
  <c r="AN7869" i="1"/>
  <c r="AN7870" i="1"/>
  <c r="AN7871" i="1"/>
  <c r="AN7873" i="1"/>
  <c r="AN7874" i="1"/>
  <c r="AN7875" i="1"/>
  <c r="AN7876" i="1"/>
  <c r="AN7878" i="1"/>
  <c r="AN7879" i="1"/>
  <c r="AN7880" i="1"/>
  <c r="AN7881" i="1"/>
  <c r="AN7882" i="1"/>
  <c r="AN7884" i="1"/>
  <c r="AN7885" i="1"/>
  <c r="AN7886" i="1"/>
  <c r="AN7887" i="1"/>
  <c r="AN7888" i="1"/>
  <c r="AN7890" i="1"/>
  <c r="AN7891" i="1"/>
  <c r="AN7892" i="1"/>
  <c r="AN7893" i="1"/>
  <c r="AN7895" i="1"/>
  <c r="AN7896" i="1"/>
  <c r="AN7897" i="1"/>
  <c r="AN7898" i="1"/>
  <c r="AN7899" i="1"/>
  <c r="AN7901" i="1"/>
  <c r="AN7902" i="1"/>
  <c r="AN7903" i="1"/>
  <c r="AN7904" i="1"/>
  <c r="AN7905" i="1"/>
  <c r="AN7907" i="1"/>
  <c r="AN7908" i="1"/>
  <c r="AN7909" i="1"/>
  <c r="AN7910" i="1"/>
  <c r="AN7912" i="1"/>
  <c r="AN7913" i="1"/>
  <c r="AN7914" i="1"/>
  <c r="AN7915" i="1"/>
  <c r="AN7916" i="1"/>
  <c r="AN7918" i="1"/>
  <c r="AN7919" i="1"/>
  <c r="AN7920" i="1"/>
  <c r="AN7921" i="1"/>
  <c r="AN7922" i="1"/>
  <c r="AN7924" i="1"/>
  <c r="AN7925" i="1"/>
  <c r="AN7926" i="1"/>
  <c r="AN7927" i="1"/>
  <c r="AN7929" i="1"/>
  <c r="AN7930" i="1"/>
  <c r="AN7931" i="1"/>
  <c r="AN7932" i="1"/>
  <c r="AN7933" i="1"/>
  <c r="AN7935" i="1"/>
  <c r="AN7936" i="1"/>
  <c r="AN7937" i="1"/>
  <c r="AN7938" i="1"/>
  <c r="AN7939" i="1"/>
  <c r="AN7941" i="1"/>
  <c r="AN7942" i="1"/>
  <c r="AN7943" i="1"/>
  <c r="AN7944" i="1"/>
  <c r="AN7946" i="1"/>
  <c r="AN7947" i="1"/>
  <c r="AN7948" i="1"/>
  <c r="AN7949" i="1"/>
  <c r="AN7950" i="1"/>
  <c r="AN7952" i="1"/>
  <c r="AN7953" i="1"/>
  <c r="AN7954" i="1"/>
  <c r="AN7955" i="1"/>
  <c r="AN7956" i="1"/>
  <c r="AN7958" i="1"/>
  <c r="AN7959" i="1"/>
  <c r="AN7960" i="1"/>
  <c r="AN7961" i="1"/>
  <c r="AN7963" i="1"/>
  <c r="AN7964" i="1"/>
  <c r="AN7965" i="1"/>
  <c r="AN7966" i="1"/>
  <c r="AN7967" i="1"/>
  <c r="AN7969" i="1"/>
  <c r="AN7970" i="1"/>
  <c r="AN7971" i="1"/>
  <c r="AN7972" i="1"/>
  <c r="AN7973" i="1"/>
  <c r="AN7975" i="1"/>
  <c r="AN7976" i="1"/>
  <c r="AN7977" i="1"/>
  <c r="AN7978" i="1"/>
  <c r="AN7980" i="1"/>
  <c r="AN7981" i="1"/>
  <c r="AN7982" i="1"/>
  <c r="AN7983" i="1"/>
  <c r="AN7984" i="1"/>
  <c r="AN7986" i="1"/>
  <c r="AN7987" i="1"/>
  <c r="AN7988" i="1"/>
  <c r="AN7989" i="1"/>
  <c r="AN7990" i="1"/>
  <c r="AN7992" i="1"/>
  <c r="AN7993" i="1"/>
  <c r="AN7994" i="1"/>
  <c r="AN7995" i="1"/>
  <c r="AN7996" i="1"/>
  <c r="AN7998" i="1"/>
  <c r="AN7999" i="1"/>
  <c r="AN8000" i="1"/>
  <c r="AN8001" i="1"/>
  <c r="AN8003" i="1"/>
  <c r="AN8004" i="1"/>
  <c r="AN8005" i="1"/>
  <c r="AN8006" i="1"/>
  <c r="AN8007" i="1"/>
  <c r="AN8009" i="1"/>
  <c r="AN8010" i="1"/>
  <c r="AN8011" i="1"/>
  <c r="AN8012" i="1"/>
  <c r="AN8014" i="1"/>
  <c r="AN8015" i="1"/>
  <c r="AN8016" i="1"/>
  <c r="AN8017" i="1"/>
  <c r="AN8018" i="1"/>
  <c r="AN8020" i="1"/>
  <c r="AN8021" i="1"/>
  <c r="AN8022" i="1"/>
  <c r="AN8023" i="1"/>
  <c r="AN8024" i="1"/>
  <c r="AN8026" i="1"/>
  <c r="AN8027" i="1"/>
  <c r="AN8028" i="1"/>
  <c r="AN8029" i="1"/>
  <c r="AN8030" i="1"/>
  <c r="AN8032" i="1"/>
  <c r="AN8033" i="1"/>
  <c r="AN8034" i="1"/>
  <c r="AN8035" i="1"/>
  <c r="AN8037" i="1"/>
  <c r="AN8038" i="1"/>
  <c r="AN8039" i="1"/>
  <c r="AN8040" i="1"/>
  <c r="AN8041" i="1"/>
  <c r="AN8043" i="1"/>
  <c r="AN8044" i="1"/>
  <c r="AN8045" i="1"/>
  <c r="AN8046" i="1"/>
  <c r="AN8047" i="1"/>
  <c r="AN8049" i="1"/>
  <c r="AN8050" i="1"/>
  <c r="AN8051" i="1"/>
  <c r="AN8052" i="1"/>
  <c r="AN8054" i="1"/>
  <c r="AN8055" i="1"/>
  <c r="AN8056" i="1"/>
  <c r="AN8057" i="1"/>
  <c r="AN8058" i="1"/>
  <c r="AN8060" i="1"/>
  <c r="AN8061" i="1"/>
  <c r="AN8062" i="1"/>
  <c r="AN8063" i="1"/>
  <c r="AN8064" i="1"/>
  <c r="AN8066" i="1"/>
  <c r="AN8067" i="1"/>
  <c r="AN8068" i="1"/>
  <c r="AN8069" i="1"/>
  <c r="AN8071" i="1"/>
  <c r="AN8072" i="1"/>
  <c r="AN8073" i="1"/>
  <c r="AN8074" i="1"/>
  <c r="AN8075" i="1"/>
  <c r="AN8077" i="1"/>
  <c r="AN8078" i="1"/>
  <c r="AN8079" i="1"/>
  <c r="AN8080" i="1"/>
  <c r="AN8081" i="1"/>
  <c r="AN8083" i="1"/>
  <c r="AN8084" i="1"/>
  <c r="AN8085" i="1"/>
  <c r="AN8086" i="1"/>
  <c r="AN8088" i="1"/>
  <c r="AN8089" i="1"/>
  <c r="AN8090" i="1"/>
  <c r="AN8091" i="1"/>
  <c r="AN8092" i="1"/>
  <c r="AN8094" i="1"/>
  <c r="AN8095" i="1"/>
  <c r="AN8096" i="1"/>
  <c r="AN8097" i="1"/>
  <c r="AN8098" i="1"/>
  <c r="AN8100" i="1"/>
  <c r="AN8101" i="1"/>
  <c r="AN8102" i="1"/>
  <c r="AN8103" i="1"/>
  <c r="AN8105" i="1"/>
  <c r="AN8106" i="1"/>
  <c r="AN8107" i="1"/>
  <c r="AN8108" i="1"/>
  <c r="AN8109" i="1"/>
  <c r="AN8111" i="1"/>
  <c r="AN8112" i="1"/>
  <c r="AN8113" i="1"/>
  <c r="AN8114" i="1"/>
  <c r="AN8115" i="1"/>
  <c r="AN8117" i="1"/>
  <c r="AN8118" i="1"/>
  <c r="AN8119" i="1"/>
  <c r="AN8120" i="1"/>
  <c r="AN8122" i="1"/>
  <c r="AN8123" i="1"/>
  <c r="AN8124" i="1"/>
  <c r="AN8125" i="1"/>
  <c r="AN8126" i="1"/>
  <c r="AN8128" i="1"/>
  <c r="AN8129" i="1"/>
  <c r="AN8130" i="1"/>
  <c r="AN8131" i="1"/>
  <c r="AN8132" i="1"/>
  <c r="AN8134" i="1"/>
  <c r="AN8135" i="1"/>
  <c r="AN8136" i="1"/>
  <c r="AN8137" i="1"/>
  <c r="AN8139" i="1"/>
  <c r="AN8140" i="1"/>
  <c r="AN8141" i="1"/>
  <c r="AN8142" i="1"/>
  <c r="AN8143" i="1"/>
  <c r="AN8145" i="1"/>
  <c r="AN8146" i="1"/>
  <c r="AN8147" i="1"/>
  <c r="AN8148" i="1"/>
  <c r="AN8149" i="1"/>
  <c r="AN8151" i="1"/>
  <c r="AN8152" i="1"/>
  <c r="AN8153" i="1"/>
  <c r="AN8154" i="1"/>
  <c r="AN8156" i="1"/>
  <c r="AN8157" i="1"/>
  <c r="AN8158" i="1"/>
  <c r="AN8159" i="1"/>
  <c r="AN8160" i="1"/>
  <c r="AN8162" i="1"/>
  <c r="AN8163" i="1"/>
  <c r="AN8164" i="1"/>
  <c r="AN8165" i="1"/>
  <c r="AN8166" i="1"/>
  <c r="AN8168" i="1"/>
  <c r="AN8169" i="1"/>
  <c r="AN8170" i="1"/>
  <c r="AN8171" i="1"/>
  <c r="AN8173" i="1"/>
  <c r="AN8174" i="1"/>
  <c r="AN8175" i="1"/>
  <c r="AN8176" i="1"/>
  <c r="AN8177" i="1"/>
  <c r="AN8179" i="1"/>
  <c r="AN8180" i="1"/>
  <c r="AN8181" i="1"/>
  <c r="AN8182" i="1"/>
  <c r="AN8183" i="1"/>
  <c r="AN8185" i="1"/>
  <c r="AN8186" i="1"/>
  <c r="AN8187" i="1"/>
  <c r="AN8188" i="1"/>
  <c r="AN8190" i="1"/>
  <c r="AN8191" i="1"/>
  <c r="AN8192" i="1"/>
  <c r="AN8193" i="1"/>
  <c r="AN8194" i="1"/>
  <c r="AN8196" i="1"/>
  <c r="AN8197" i="1"/>
  <c r="AN8198" i="1"/>
  <c r="AN8199" i="1"/>
  <c r="AN8200" i="1"/>
  <c r="AN8202" i="1"/>
  <c r="AN8203" i="1"/>
  <c r="AN8204" i="1"/>
  <c r="AN8205" i="1"/>
  <c r="AN8207" i="1"/>
  <c r="AN8208" i="1"/>
  <c r="AN8209" i="1"/>
  <c r="AN8210" i="1"/>
  <c r="AN8211" i="1"/>
  <c r="AN8213" i="1"/>
  <c r="AN8214" i="1"/>
  <c r="AN8215" i="1"/>
  <c r="AN8216" i="1"/>
  <c r="AN8217" i="1"/>
  <c r="AN8219" i="1"/>
  <c r="AN8220" i="1"/>
  <c r="AN8221" i="1"/>
  <c r="AN8222" i="1"/>
  <c r="AN8224" i="1"/>
  <c r="AN8226" i="1"/>
  <c r="AN8228" i="1"/>
  <c r="AN8229" i="1"/>
  <c r="AN8230" i="1"/>
  <c r="AN8231" i="1"/>
  <c r="AN8233" i="1"/>
  <c r="AN8234" i="1"/>
  <c r="AN8235" i="1"/>
  <c r="AN8236" i="1"/>
  <c r="AN8238" i="1"/>
  <c r="AN8239" i="1"/>
  <c r="AN8240" i="1"/>
  <c r="AN8241" i="1"/>
  <c r="AN8242" i="1"/>
  <c r="AN8244" i="1"/>
  <c r="AN8245" i="1"/>
  <c r="AN8246" i="1"/>
  <c r="AN8247" i="1"/>
  <c r="AN8248" i="1"/>
  <c r="AN8250" i="1"/>
  <c r="AN8251" i="1"/>
  <c r="AN8252" i="1"/>
  <c r="AN8253" i="1"/>
  <c r="AN8255" i="1"/>
  <c r="AN8256" i="1"/>
  <c r="AN8257" i="1"/>
  <c r="AN8258" i="1"/>
  <c r="AN8259" i="1"/>
  <c r="AN8261" i="1"/>
  <c r="AN8262" i="1"/>
  <c r="AN8263" i="1"/>
  <c r="AN8264" i="1"/>
  <c r="AN8265" i="1"/>
  <c r="AN8267" i="1"/>
  <c r="AN8268" i="1"/>
  <c r="AN8269" i="1"/>
  <c r="AN8270" i="1"/>
  <c r="AN8272" i="1"/>
  <c r="AN8273" i="1"/>
  <c r="AN8274" i="1"/>
  <c r="AN8275" i="1"/>
  <c r="AN8276" i="1"/>
  <c r="AN8278" i="1"/>
  <c r="AN8279" i="1"/>
  <c r="AN8280" i="1"/>
  <c r="AN8281" i="1"/>
  <c r="AN8282" i="1"/>
  <c r="AN8284" i="1"/>
  <c r="AN8285" i="1"/>
  <c r="AN8286" i="1"/>
  <c r="AN8287" i="1"/>
  <c r="AN8289" i="1"/>
  <c r="AN8290" i="1"/>
  <c r="AN8291" i="1"/>
  <c r="AN8292" i="1"/>
  <c r="AN8293" i="1"/>
  <c r="AN8295" i="1"/>
  <c r="AN8296" i="1"/>
  <c r="AN8297" i="1"/>
  <c r="AN8298" i="1"/>
  <c r="AN8299" i="1"/>
  <c r="AN8301" i="1"/>
  <c r="AN8302" i="1"/>
  <c r="AN8303" i="1"/>
  <c r="AN8304" i="1"/>
  <c r="AN8306" i="1"/>
  <c r="AN8307" i="1"/>
  <c r="AN8308" i="1"/>
  <c r="AN8309" i="1"/>
  <c r="AN8310" i="1"/>
  <c r="AN8312" i="1"/>
  <c r="AN8313" i="1"/>
  <c r="AN8314" i="1"/>
  <c r="AN8315" i="1"/>
  <c r="AN8316" i="1"/>
  <c r="AN8318" i="1"/>
  <c r="AN8319" i="1"/>
  <c r="AN8320" i="1"/>
  <c r="AN8321" i="1"/>
  <c r="AN8323" i="1"/>
  <c r="AN8324" i="1"/>
  <c r="AN8325" i="1"/>
  <c r="AN8326" i="1"/>
  <c r="AN8327" i="1"/>
  <c r="AN8329" i="1"/>
  <c r="AN8330" i="1"/>
  <c r="AN8331" i="1"/>
  <c r="AN8332" i="1"/>
  <c r="AN8333" i="1"/>
  <c r="AN8335" i="1"/>
  <c r="AN8336" i="1"/>
  <c r="AN8337" i="1"/>
  <c r="AN8338" i="1"/>
  <c r="AN8340" i="1"/>
  <c r="AN8341" i="1"/>
  <c r="AN8342" i="1"/>
  <c r="AN8343" i="1"/>
  <c r="AN8344" i="1"/>
  <c r="AN8346" i="1"/>
  <c r="AN8347" i="1"/>
  <c r="AN8348" i="1"/>
  <c r="AN8349" i="1"/>
  <c r="AN8350" i="1"/>
  <c r="AN8352" i="1"/>
  <c r="AN8353" i="1"/>
  <c r="AN8354" i="1"/>
  <c r="AN8355" i="1"/>
  <c r="AN8357" i="1"/>
  <c r="AN8358" i="1"/>
  <c r="AN8359" i="1"/>
  <c r="AN8360" i="1"/>
  <c r="AN8361" i="1"/>
  <c r="AN8363" i="1"/>
  <c r="AN8364" i="1"/>
  <c r="AN8365" i="1"/>
  <c r="AN8366" i="1"/>
  <c r="AN8367" i="1"/>
  <c r="AN8369" i="1"/>
  <c r="AN8370" i="1"/>
  <c r="AN8371" i="1"/>
  <c r="AN8372" i="1"/>
  <c r="AN8373" i="1"/>
  <c r="AN8375" i="1"/>
  <c r="AN8376" i="1"/>
  <c r="AN8377" i="1"/>
  <c r="AN8378" i="1"/>
  <c r="AN8380" i="1"/>
  <c r="AN8381" i="1"/>
  <c r="AN8382" i="1"/>
  <c r="AN8383" i="1"/>
  <c r="AN8384" i="1"/>
  <c r="AN8386" i="1"/>
  <c r="AN8387" i="1"/>
  <c r="AN8388" i="1"/>
  <c r="AN8389" i="1"/>
  <c r="AN8391" i="1"/>
  <c r="AN8392" i="1"/>
  <c r="AN8393" i="1"/>
  <c r="AN8394" i="1"/>
  <c r="AN8395" i="1"/>
  <c r="AN8397" i="1"/>
  <c r="AN8398" i="1"/>
  <c r="AN8399" i="1"/>
  <c r="AN8400" i="1"/>
  <c r="AN8401" i="1"/>
  <c r="AN8403" i="1"/>
  <c r="AN8404" i="1"/>
  <c r="AN8405" i="1"/>
  <c r="AN8406" i="1"/>
  <c r="AN8408" i="1"/>
  <c r="AN8409" i="1"/>
  <c r="AN8410" i="1"/>
  <c r="AN8411" i="1"/>
  <c r="AN8412" i="1"/>
  <c r="AN8414" i="1"/>
  <c r="AN8415" i="1"/>
  <c r="AN8416" i="1"/>
  <c r="AN8417" i="1"/>
  <c r="AN8418" i="1"/>
  <c r="AN8420" i="1"/>
  <c r="AN8421" i="1"/>
  <c r="AN8422" i="1"/>
  <c r="AN8423" i="1"/>
  <c r="AN8425" i="1"/>
  <c r="AN8426" i="1"/>
  <c r="AN8427" i="1"/>
  <c r="AN8428" i="1"/>
  <c r="AN8429" i="1"/>
  <c r="AN8431" i="1"/>
  <c r="AN8432" i="1"/>
  <c r="AN8433" i="1"/>
  <c r="AN8434" i="1"/>
  <c r="AN8435" i="1"/>
  <c r="AN8437" i="1"/>
  <c r="AN8438" i="1"/>
  <c r="AN8439" i="1"/>
  <c r="AN8440" i="1"/>
  <c r="AN8442" i="1"/>
  <c r="AN8443" i="1"/>
  <c r="AN8444" i="1"/>
  <c r="AN8445" i="1"/>
  <c r="AN8446" i="1"/>
  <c r="AN8448" i="1"/>
  <c r="AN8449" i="1"/>
  <c r="AN8450" i="1"/>
  <c r="AN8451" i="1"/>
  <c r="AN8452" i="1"/>
  <c r="AN8454" i="1"/>
  <c r="AN8455" i="1"/>
  <c r="AN8456" i="1"/>
  <c r="AN8457" i="1"/>
  <c r="AN8459" i="1"/>
  <c r="AN8460" i="1"/>
  <c r="AN8461" i="1"/>
  <c r="AN8462" i="1"/>
  <c r="AN8463" i="1"/>
  <c r="AN8465" i="1"/>
  <c r="AN8466" i="1"/>
  <c r="AN8467" i="1"/>
  <c r="AN8468" i="1"/>
  <c r="AN8469" i="1"/>
  <c r="AN8471" i="1"/>
  <c r="AN8472" i="1"/>
  <c r="AN8473" i="1"/>
  <c r="AN8474" i="1"/>
  <c r="AN8476" i="1"/>
  <c r="AN8477" i="1"/>
  <c r="AN8478" i="1"/>
  <c r="AN8479" i="1"/>
  <c r="AN8480" i="1"/>
  <c r="AN8482" i="1"/>
  <c r="AN8483" i="1"/>
  <c r="AN8484" i="1"/>
  <c r="AN8485" i="1"/>
  <c r="AN8486" i="1"/>
  <c r="AN8488" i="1"/>
  <c r="AN8489" i="1"/>
  <c r="AN8490" i="1"/>
  <c r="AN8491" i="1"/>
  <c r="AN8493" i="1"/>
  <c r="AN8494" i="1"/>
  <c r="AN8495" i="1"/>
  <c r="AN8496" i="1"/>
  <c r="AN8497" i="1"/>
  <c r="AN8499" i="1"/>
  <c r="AN8500" i="1"/>
  <c r="AN8501" i="1"/>
  <c r="AN8502" i="1"/>
  <c r="AN8503" i="1"/>
  <c r="AN8505" i="1"/>
  <c r="AN8506" i="1"/>
  <c r="AN8507" i="1"/>
  <c r="AN8508" i="1"/>
  <c r="AN8510" i="1"/>
  <c r="AN8511" i="1"/>
  <c r="AN8512" i="1"/>
  <c r="AN8513" i="1"/>
  <c r="AN8514" i="1"/>
  <c r="AN8516" i="1"/>
  <c r="AN8517" i="1"/>
  <c r="AN8518" i="1"/>
  <c r="AN8519" i="1"/>
  <c r="AN8521" i="1"/>
  <c r="AN8522" i="1"/>
  <c r="AN8523" i="1"/>
  <c r="AN8524" i="1"/>
  <c r="AN8525" i="1"/>
  <c r="AN8527" i="1"/>
  <c r="AN8528" i="1"/>
  <c r="AN8529" i="1"/>
  <c r="AN8530" i="1"/>
  <c r="AN8531" i="1"/>
  <c r="AN8533" i="1"/>
  <c r="AN8534" i="1"/>
  <c r="AN8535" i="1"/>
  <c r="AN8536" i="1"/>
  <c r="AN8538" i="1"/>
  <c r="AN8539" i="1"/>
  <c r="AN8540" i="1"/>
  <c r="AN8541" i="1"/>
  <c r="AN8542" i="1"/>
  <c r="AN8544" i="1"/>
  <c r="AN8545" i="1"/>
  <c r="AN8546" i="1"/>
  <c r="AN8547" i="1"/>
  <c r="AN8548" i="1"/>
  <c r="AN8550" i="1"/>
  <c r="AN8551" i="1"/>
  <c r="AN8552" i="1"/>
  <c r="AN8553" i="1"/>
  <c r="AN8555" i="1"/>
  <c r="AN8556" i="1"/>
  <c r="AN8557" i="1"/>
  <c r="AN8558" i="1"/>
  <c r="AN8559" i="1"/>
  <c r="AN8561" i="1"/>
  <c r="AN8562" i="1"/>
  <c r="AN8563" i="1"/>
  <c r="AN8564" i="1"/>
  <c r="AN8565" i="1"/>
  <c r="AN8567" i="1"/>
  <c r="AN8568" i="1"/>
  <c r="AN8569" i="1"/>
  <c r="AN8570" i="1"/>
  <c r="AN8572" i="1"/>
  <c r="AN8573" i="1"/>
  <c r="AN8574" i="1"/>
  <c r="AN8575" i="1"/>
  <c r="AN8576" i="1"/>
  <c r="AN8578" i="1"/>
  <c r="AN8579" i="1"/>
  <c r="AN8580" i="1"/>
  <c r="AN8581" i="1"/>
  <c r="AN8582" i="1"/>
  <c r="AN8584" i="1"/>
  <c r="AN8585" i="1"/>
  <c r="AN8586" i="1"/>
  <c r="AN8588" i="1"/>
  <c r="AN8590" i="1"/>
  <c r="AN8591" i="1"/>
  <c r="AN8592" i="1"/>
  <c r="AN8594" i="1"/>
  <c r="AN8595" i="1"/>
  <c r="AN8596" i="1"/>
  <c r="AN8597" i="1"/>
  <c r="AN8599" i="1"/>
  <c r="AN8600" i="1"/>
  <c r="AN8601" i="1"/>
  <c r="AN8602" i="1"/>
  <c r="AN8603" i="1"/>
  <c r="AN8605" i="1"/>
  <c r="AN8606" i="1"/>
  <c r="AN8607" i="1"/>
  <c r="AN8608" i="1"/>
  <c r="AN8609" i="1"/>
  <c r="AN8611" i="1"/>
  <c r="AN8612" i="1"/>
  <c r="AN8613" i="1"/>
  <c r="AN8614" i="1"/>
  <c r="AN8616" i="1"/>
  <c r="AN8617" i="1"/>
  <c r="AN8618" i="1"/>
  <c r="AN8619" i="1"/>
  <c r="AN8620" i="1"/>
  <c r="AN8622" i="1"/>
  <c r="AN8623" i="1"/>
  <c r="AN8624" i="1"/>
  <c r="AN8625" i="1"/>
  <c r="AN8626" i="1"/>
  <c r="AN8628" i="1"/>
  <c r="AN8629" i="1"/>
  <c r="AN8630" i="1"/>
  <c r="AN8631" i="1"/>
  <c r="AN8633" i="1"/>
  <c r="AN8634" i="1"/>
</calcChain>
</file>

<file path=xl/sharedStrings.xml><?xml version="1.0" encoding="utf-8"?>
<sst xmlns="http://schemas.openxmlformats.org/spreadsheetml/2006/main" count="217115" uniqueCount="4824">
  <si>
    <t>Date</t>
  </si>
  <si>
    <t>Vehicle Number</t>
  </si>
  <si>
    <t>VIN Number</t>
  </si>
  <si>
    <t>Portal Received Time</t>
  </si>
  <si>
    <t>Ignition Status</t>
  </si>
  <si>
    <t>Ride Mode</t>
  </si>
  <si>
    <t>Speed (km/h)</t>
  </si>
  <si>
    <t>Odometer (km)</t>
  </si>
  <si>
    <t>GPS Location</t>
  </si>
  <si>
    <t>SOC (%)</t>
  </si>
  <si>
    <t>Total Current (A)</t>
  </si>
  <si>
    <t>SOH</t>
  </si>
  <si>
    <t>Battery Pack Voltage (V)</t>
  </si>
  <si>
    <t>Vehicle Status</t>
  </si>
  <si>
    <t>PNRD</t>
  </si>
  <si>
    <t>Gear Status</t>
  </si>
  <si>
    <t>Selected Gear</t>
  </si>
  <si>
    <t>Motor Power</t>
  </si>
  <si>
    <t>Motor Speed</t>
  </si>
  <si>
    <t>Motor Temp (??C)</t>
  </si>
  <si>
    <t>MCU Temp (??C)</t>
  </si>
  <si>
    <t>Motor Torque</t>
  </si>
  <si>
    <t>Battery Temp (??C)</t>
  </si>
  <si>
    <t>Max Cell Temp (??C)</t>
  </si>
  <si>
    <t>Max Temp Box Number</t>
  </si>
  <si>
    <t>Max Temp Cell Number</t>
  </si>
  <si>
    <t>Min Cell Temp (??C)</t>
  </si>
  <si>
    <t>Min Temp Box Number</t>
  </si>
  <si>
    <t>Min Temp Cell Number</t>
  </si>
  <si>
    <t>Max Cell Voltage (V)</t>
  </si>
  <si>
    <t>Max Voltage Box Number</t>
  </si>
  <si>
    <t>Max Voltage Cell Number</t>
  </si>
  <si>
    <t>Min Cell Voltage (V)</t>
  </si>
  <si>
    <t>Min Cell Voltage Box Number</t>
  </si>
  <si>
    <t>Min Voltage Cell Number</t>
  </si>
  <si>
    <t>DCDC Input Current (A)</t>
  </si>
  <si>
    <t>DCDC Output Current (A)</t>
  </si>
  <si>
    <t>DCDC Temp (??C)</t>
  </si>
  <si>
    <t>BMS In Water Temp (??C)</t>
  </si>
  <si>
    <t>Location Link</t>
  </si>
  <si>
    <t>TN61AC3987</t>
  </si>
  <si>
    <t>MD9RTE381SG666456</t>
  </si>
  <si>
    <t>On</t>
  </si>
  <si>
    <t>-</t>
  </si>
  <si>
    <t>11.05502319-79.06070709</t>
  </si>
  <si>
    <t>Stop</t>
  </si>
  <si>
    <t>11.05503082-79.06070709</t>
  </si>
  <si>
    <t>11.05503464-79.06070709</t>
  </si>
  <si>
    <t>11.05504131-79.06071472</t>
  </si>
  <si>
    <t>11.05504227-79.06070709</t>
  </si>
  <si>
    <t>11.05504417-79.06070709</t>
  </si>
  <si>
    <t>11.05503941-79.06070709</t>
  </si>
  <si>
    <t>11.05503559-79.06070709</t>
  </si>
  <si>
    <t>11.05503368-79.06070709</t>
  </si>
  <si>
    <t>11.05503559-79.06071472</t>
  </si>
  <si>
    <t>11.05503941-79.06071472</t>
  </si>
  <si>
    <t>11.05503464-79.06071472</t>
  </si>
  <si>
    <t>11.05503082-79.06071472</t>
  </si>
  <si>
    <t>11.05502892-79.06071472</t>
  </si>
  <si>
    <t>11.05502892-79.06072235</t>
  </si>
  <si>
    <t>11.05503178-79.06072235</t>
  </si>
  <si>
    <t>11.05503178-79.06071472</t>
  </si>
  <si>
    <t>11.05502796-79.06071472</t>
  </si>
  <si>
    <t>11.05502987-79.06072235</t>
  </si>
  <si>
    <t>11.05503082-79.06072235</t>
  </si>
  <si>
    <t>11.05503273-79.06072235</t>
  </si>
  <si>
    <t>11.05503559-79.06072235</t>
  </si>
  <si>
    <t>11.05503368-79.06072235</t>
  </si>
  <si>
    <t>11.05503654-79.06072235</t>
  </si>
  <si>
    <t>11.05503941-79.06072235</t>
  </si>
  <si>
    <t>11.05503273-79.06071472</t>
  </si>
  <si>
    <t>11.05503368-79.06071472</t>
  </si>
  <si>
    <t>11.05503654-79.06071472</t>
  </si>
  <si>
    <t>11.05504036-79.06071472</t>
  </si>
  <si>
    <t>11.05503654-79.06070709</t>
  </si>
  <si>
    <t>11.05502892-79.06070709</t>
  </si>
  <si>
    <t>11.05502796-79.06070709</t>
  </si>
  <si>
    <t>11.05502224-79.06070709</t>
  </si>
  <si>
    <t>11.05502129-79.06070709</t>
  </si>
  <si>
    <t>11.05502319-79.06071472</t>
  </si>
  <si>
    <t>11.0550251-79.06071472</t>
  </si>
  <si>
    <t>Idle</t>
  </si>
  <si>
    <t>Neutral</t>
  </si>
  <si>
    <t>ECO mode</t>
  </si>
  <si>
    <t>11.05500889-79.06069946</t>
  </si>
  <si>
    <t>Idle-Ready</t>
  </si>
  <si>
    <t>Drive</t>
  </si>
  <si>
    <t>Moving</t>
  </si>
  <si>
    <t>11.05483913-79.06069946</t>
  </si>
  <si>
    <t>11.05475235-79.06072235</t>
  </si>
  <si>
    <t>11.05469036-79.06078339</t>
  </si>
  <si>
    <t>11.05466938-79.06091309</t>
  </si>
  <si>
    <t>11.05477142-79.06096649</t>
  </si>
  <si>
    <t>11.05476665-79.06096649</t>
  </si>
  <si>
    <t>11.05476284-79.06096649</t>
  </si>
  <si>
    <t>11.05476093-79.06096649</t>
  </si>
  <si>
    <t>11.05476856-79.06096649</t>
  </si>
  <si>
    <t>11.05477047-79.06095886</t>
  </si>
  <si>
    <t>11.05477428-79.06095886</t>
  </si>
  <si>
    <t>11.05477715-79.06095886</t>
  </si>
  <si>
    <t>11.05477905-79.06095886</t>
  </si>
  <si>
    <t>11.05478001-79.06096649</t>
  </si>
  <si>
    <t>11.05478096-79.06095886</t>
  </si>
  <si>
    <t>11.05478001-79.06095886</t>
  </si>
  <si>
    <t>11.0547781-79.06095886</t>
  </si>
  <si>
    <t>11.05477524-79.06095886</t>
  </si>
  <si>
    <t>11.05477619-79.06095886</t>
  </si>
  <si>
    <t>11.05477333-79.06095886</t>
  </si>
  <si>
    <t>11.05477619-79.06095123</t>
  </si>
  <si>
    <t>11.05477524-79.06095123</t>
  </si>
  <si>
    <t>11.05477238-79.06095123</t>
  </si>
  <si>
    <t>11.05477142-79.06095886</t>
  </si>
  <si>
    <t>11.05477238-79.06095886</t>
  </si>
  <si>
    <t>11.05476665-79.06095886</t>
  </si>
  <si>
    <t>11.05476475-79.06095886</t>
  </si>
  <si>
    <t>11.05475903-79.06095886</t>
  </si>
  <si>
    <t>11.05475807-79.06095886</t>
  </si>
  <si>
    <t>11.05475616-79.06096649</t>
  </si>
  <si>
    <t>11.05475807-79.06096649</t>
  </si>
  <si>
    <t>11.05475903-79.06096649</t>
  </si>
  <si>
    <t>11.05476379-79.06096649</t>
  </si>
  <si>
    <t>11.05477047-79.06096649</t>
  </si>
  <si>
    <t>11.05476761-79.06096649</t>
  </si>
  <si>
    <t>11.05477047-79.06097412</t>
  </si>
  <si>
    <t>11.05476856-79.06097412</t>
  </si>
  <si>
    <t>11.05477142-79.06097412</t>
  </si>
  <si>
    <t>11.05477238-79.06097412</t>
  </si>
  <si>
    <t>11.05476665-79.06097412</t>
  </si>
  <si>
    <t>11.05476284-79.06097412</t>
  </si>
  <si>
    <t>11.05475998-79.06096649</t>
  </si>
  <si>
    <t>11.05476475-79.06096649</t>
  </si>
  <si>
    <t>11.05476189-79.06095886</t>
  </si>
  <si>
    <t>11.05475712-79.06096649</t>
  </si>
  <si>
    <t>11.05475521-79.06095886</t>
  </si>
  <si>
    <t>11.05475426-79.06095886</t>
  </si>
  <si>
    <t>11.05475616-79.06095886</t>
  </si>
  <si>
    <t>11.0547533-79.06095886</t>
  </si>
  <si>
    <t>11.05475235-79.06095886</t>
  </si>
  <si>
    <t>11.05474758-79.06095123</t>
  </si>
  <si>
    <t>11.05474472-79.06095886</t>
  </si>
  <si>
    <t>11.05474567-79.06095123</t>
  </si>
  <si>
    <t>11.05474663-79.06095123</t>
  </si>
  <si>
    <t>11.05475044-79.06095123</t>
  </si>
  <si>
    <t>11.05476189-79.06096649</t>
  </si>
  <si>
    <t>11.05476379-79.06097412</t>
  </si>
  <si>
    <t>11.05476189-79.06097412</t>
  </si>
  <si>
    <t>11.0547657-79.06097412</t>
  </si>
  <si>
    <t>11.05476761-79.06097412</t>
  </si>
  <si>
    <t>11.05476475-79.06097412</t>
  </si>
  <si>
    <t>11.05475998-79.06097412</t>
  </si>
  <si>
    <t>11.05475998-79.06095886</t>
  </si>
  <si>
    <t>11.05476093-79.06095886</t>
  </si>
  <si>
    <t>11.05476284-79.06095886</t>
  </si>
  <si>
    <t>11.05476856-79.06095886</t>
  </si>
  <si>
    <t>11.05476761-79.06095886</t>
  </si>
  <si>
    <t>11.05477238-79.06096649</t>
  </si>
  <si>
    <t>11.05477333-79.06096649</t>
  </si>
  <si>
    <t>11.0547657-79.06095886</t>
  </si>
  <si>
    <t>11.05477142-79.06095123</t>
  </si>
  <si>
    <t>11.05477333-79.06095123</t>
  </si>
  <si>
    <t>11.05477238-79.0609436</t>
  </si>
  <si>
    <t>11.05477905-79.0609436</t>
  </si>
  <si>
    <t>11.05477715-79.06095123</t>
  </si>
  <si>
    <t>11.05477142-79.0609436</t>
  </si>
  <si>
    <t>11.05476189-79.0609436</t>
  </si>
  <si>
    <t>11.05476284-79.0609436</t>
  </si>
  <si>
    <t>11.05476856-79.06095123</t>
  </si>
  <si>
    <t>11.05476761-79.06095123</t>
  </si>
  <si>
    <t>11.05477047-79.06095123</t>
  </si>
  <si>
    <t>11.0547781-79.06095123</t>
  </si>
  <si>
    <t>11.05478001-79.06095123</t>
  </si>
  <si>
    <t>11.0547781-79.0609436</t>
  </si>
  <si>
    <t>11.05478001-79.0609436</t>
  </si>
  <si>
    <t>11.05477524-79.0609436</t>
  </si>
  <si>
    <t>11.05477428-79.0609436</t>
  </si>
  <si>
    <t>11.0547657-79.0609436</t>
  </si>
  <si>
    <t>11.05477428-79.06093597</t>
  </si>
  <si>
    <t>11.05477142-79.06093597</t>
  </si>
  <si>
    <t>11.05477333-79.06093597</t>
  </si>
  <si>
    <t>11.05477238-79.06093597</t>
  </si>
  <si>
    <t>11.05476665-79.06093597</t>
  </si>
  <si>
    <t>11.05476761-79.06093597</t>
  </si>
  <si>
    <t>11.0547781-79.06092834</t>
  </si>
  <si>
    <t>11.05478001-79.06092834</t>
  </si>
  <si>
    <t>11.05477905-79.06092834</t>
  </si>
  <si>
    <t>11.05477715-79.06092834</t>
  </si>
  <si>
    <t>11.05478001-79.06093597</t>
  </si>
  <si>
    <t>11.05478287-79.06093597</t>
  </si>
  <si>
    <t>11.05478477-79.06093597</t>
  </si>
  <si>
    <t>11.05478191-79.06093597</t>
  </si>
  <si>
    <t>11.05478096-79.06092834</t>
  </si>
  <si>
    <t>11.05478382-79.06093597</t>
  </si>
  <si>
    <t>11.05478287-79.0609436</t>
  </si>
  <si>
    <t>11.05478477-79.0609436</t>
  </si>
  <si>
    <t>11.05478382-79.06095123</t>
  </si>
  <si>
    <t>11.05478382-79.06095886</t>
  </si>
  <si>
    <t>11.05477428-79.06096649</t>
  </si>
  <si>
    <t>11.05477715-79.06096649</t>
  </si>
  <si>
    <t>11.05477619-79.06097412</t>
  </si>
  <si>
    <t>11.05477905-79.06097412</t>
  </si>
  <si>
    <t>11.05478191-79.06097412</t>
  </si>
  <si>
    <t>11.0547781-79.06096649</t>
  </si>
  <si>
    <t>11.0547781-79.06097412</t>
  </si>
  <si>
    <t>11.05477524-79.06097412</t>
  </si>
  <si>
    <t>11.05476475-79.0609436</t>
  </si>
  <si>
    <t>11.05475998-79.0609436</t>
  </si>
  <si>
    <t>11.05475712-79.06095123</t>
  </si>
  <si>
    <t>11.05475426-79.06095123</t>
  </si>
  <si>
    <t>11.05475426-79.0609436</t>
  </si>
  <si>
    <t>11.05475044-79.0609436</t>
  </si>
  <si>
    <t>11.05475807-79.06095123</t>
  </si>
  <si>
    <t>11.05475616-79.06095123</t>
  </si>
  <si>
    <t>11.05476475-79.06095123</t>
  </si>
  <si>
    <t>11.05476379-79.06095123</t>
  </si>
  <si>
    <t>11.05475903-79.06095123</t>
  </si>
  <si>
    <t>11.05476284-79.06095123</t>
  </si>
  <si>
    <t>11.05476093-79.0609436</t>
  </si>
  <si>
    <t>11.05476665-79.0609436</t>
  </si>
  <si>
    <t>11.05476379-79.0609436</t>
  </si>
  <si>
    <t>11.05477047-79.0609436</t>
  </si>
  <si>
    <t>11.0547657-79.06093597</t>
  </si>
  <si>
    <t>11.05477333-79.06092834</t>
  </si>
  <si>
    <t>11.05477238-79.06092834</t>
  </si>
  <si>
    <t>11.05475903-79.0609436</t>
  </si>
  <si>
    <t>11.05475712-79.0609436</t>
  </si>
  <si>
    <t>11.05475616-79.0609436</t>
  </si>
  <si>
    <t>11.05475807-79.0609436</t>
  </si>
  <si>
    <t>11.05476856-79.06093597</t>
  </si>
  <si>
    <t>11.05477428-79.06092834</t>
  </si>
  <si>
    <t>11.05477524-79.06092834</t>
  </si>
  <si>
    <t>11.05477142-79.06092834</t>
  </si>
  <si>
    <t>11.05477142-79.06092072</t>
  </si>
  <si>
    <t>11.05476856-79.06092072</t>
  </si>
  <si>
    <t>11.05476856-79.06092834</t>
  </si>
  <si>
    <t>11.05477905-79.06092072</t>
  </si>
  <si>
    <t>11.05478191-79.06091309</t>
  </si>
  <si>
    <t>11.05478001-79.06091309</t>
  </si>
  <si>
    <t>11.05478096-79.06092072</t>
  </si>
  <si>
    <t>11.05478477-79.06092072</t>
  </si>
  <si>
    <t>11.05478573-79.06092834</t>
  </si>
  <si>
    <t>11.05476856-79.0609436</t>
  </si>
  <si>
    <t>11.05476093-79.06095123</t>
  </si>
  <si>
    <t>11.05476189-79.06095123</t>
  </si>
  <si>
    <t>11.05477715-79.0609436</t>
  </si>
  <si>
    <t>11.05477619-79.0609436</t>
  </si>
  <si>
    <t>11.05477428-79.06095123</t>
  </si>
  <si>
    <t>11.0547657-79.06095123</t>
  </si>
  <si>
    <t>11.05476665-79.06095123</t>
  </si>
  <si>
    <t>11.05476379-79.06095886</t>
  </si>
  <si>
    <t>Reverse</t>
  </si>
  <si>
    <t>11.05473423-79.06095886</t>
  </si>
  <si>
    <t>11.05472183-79.06095123</t>
  </si>
  <si>
    <t>11.05470276-79.06095123</t>
  </si>
  <si>
    <t>11.05466938-79.06095886</t>
  </si>
  <si>
    <t>11.05461407-79.06099701</t>
  </si>
  <si>
    <t>11.05457401-79.06097412</t>
  </si>
  <si>
    <t>11.05457211-79.06097412</t>
  </si>
  <si>
    <t>11.05465794-79.06097412</t>
  </si>
  <si>
    <t>11.05476761-79.06084442</t>
  </si>
  <si>
    <t>11.0547657-79.06082916</t>
  </si>
  <si>
    <t>11.05476761-79.06082153</t>
  </si>
  <si>
    <t>11.05477047-79.06082916</t>
  </si>
  <si>
    <t>11.05476856-79.06082153</t>
  </si>
  <si>
    <t>11.05476665-79.06082153</t>
  </si>
  <si>
    <t>11.0547657-79.06082153</t>
  </si>
  <si>
    <t>11.05476665-79.06082916</t>
  </si>
  <si>
    <t>11.05476379-79.06083679</t>
  </si>
  <si>
    <t>11.05476284-79.06083679</t>
  </si>
  <si>
    <t>11.05476665-79.06083679</t>
  </si>
  <si>
    <t>11.05476475-79.06083679</t>
  </si>
  <si>
    <t>11.0547657-79.06083679</t>
  </si>
  <si>
    <t>11.05476761-79.06083679</t>
  </si>
  <si>
    <t>11.0547657-79.06084442</t>
  </si>
  <si>
    <t>11.05476665-79.06085968</t>
  </si>
  <si>
    <t>11.05476665-79.06084442</t>
  </si>
  <si>
    <t>11.05476284-79.06084442</t>
  </si>
  <si>
    <t>11.05476189-79.06085968</t>
  </si>
  <si>
    <t>11.05476475-79.06086731</t>
  </si>
  <si>
    <t>11.05476189-79.06086731</t>
  </si>
  <si>
    <t>11.05475807-79.06086731</t>
  </si>
  <si>
    <t>11.05475712-79.06086731</t>
  </si>
  <si>
    <t>11.05475616-79.06087494</t>
  </si>
  <si>
    <t>11.05475521-79.06086731</t>
  </si>
  <si>
    <t>11.05475903-79.06086731</t>
  </si>
  <si>
    <t>11.05476284-79.06087494</t>
  </si>
  <si>
    <t>11.05476379-79.06086731</t>
  </si>
  <si>
    <t>11.05476665-79.06086731</t>
  </si>
  <si>
    <t>11.05476856-79.06085968</t>
  </si>
  <si>
    <t>11.0547657-79.06085968</t>
  </si>
  <si>
    <t>11.05477047-79.06084442</t>
  </si>
  <si>
    <t>11.05477333-79.06084442</t>
  </si>
  <si>
    <t>11.05477619-79.06085968</t>
  </si>
  <si>
    <t>11.05478096-79.06085968</t>
  </si>
  <si>
    <t>11.05478191-79.06085968</t>
  </si>
  <si>
    <t>11.05478382-79.06085968</t>
  </si>
  <si>
    <t>11.05478573-79.06086731</t>
  </si>
  <si>
    <t>11.05478668-79.06086731</t>
  </si>
  <si>
    <t>11.05478477-79.06085968</t>
  </si>
  <si>
    <t>11.05478668-79.06085968</t>
  </si>
  <si>
    <t>11.05478764-79.06086731</t>
  </si>
  <si>
    <t>11.05478859-79.06086731</t>
  </si>
  <si>
    <t>11.0547924-79.06085968</t>
  </si>
  <si>
    <t>11.05479527-79.06085968</t>
  </si>
  <si>
    <t>11.05479527-79.06084442</t>
  </si>
  <si>
    <t>11.05479431-79.06085968</t>
  </si>
  <si>
    <t>11.05479336-79.06085968</t>
  </si>
  <si>
    <t>11.05478668-79.06084442</t>
  </si>
  <si>
    <t>11.05478287-79.06084442</t>
  </si>
  <si>
    <t>11.05478287-79.06083679</t>
  </si>
  <si>
    <t>11.05478096-79.06083679</t>
  </si>
  <si>
    <t>11.05477715-79.06083679</t>
  </si>
  <si>
    <t>11.05477905-79.06083679</t>
  </si>
  <si>
    <t>11.05477524-79.06083679</t>
  </si>
  <si>
    <t>11.05477619-79.06083679</t>
  </si>
  <si>
    <t>11.0547781-79.06083679</t>
  </si>
  <si>
    <t>11.05477715-79.06082916</t>
  </si>
  <si>
    <t>11.0547781-79.06082916</t>
  </si>
  <si>
    <t>11.05477428-79.06082153</t>
  </si>
  <si>
    <t>11.05477238-79.06082153</t>
  </si>
  <si>
    <t>11.05477047-79.06082153</t>
  </si>
  <si>
    <t>11.05477333-79.06082916</t>
  </si>
  <si>
    <t>11.05477715-79.06084442</t>
  </si>
  <si>
    <t>11.05477905-79.06084442</t>
  </si>
  <si>
    <t>11.05477524-79.06084442</t>
  </si>
  <si>
    <t>11.05477428-79.06082916</t>
  </si>
  <si>
    <t>11.05477428-79.06083679</t>
  </si>
  <si>
    <t>11.05477238-79.06083679</t>
  </si>
  <si>
    <t>11.05477142-79.06084442</t>
  </si>
  <si>
    <t>11.05477238-79.06084442</t>
  </si>
  <si>
    <t>11.05477142-79.06083679</t>
  </si>
  <si>
    <t>11.05477333-79.06083679</t>
  </si>
  <si>
    <t>11.0547781-79.06084442</t>
  </si>
  <si>
    <t>11.05478096-79.06084442</t>
  </si>
  <si>
    <t>11.05478382-79.06084442</t>
  </si>
  <si>
    <t>11.05477905-79.06085968</t>
  </si>
  <si>
    <t>11.05478001-79.06084442</t>
  </si>
  <si>
    <t>11.05477333-79.06085968</t>
  </si>
  <si>
    <t>11.05477047-79.06086731</t>
  </si>
  <si>
    <t>11.05476093-79.06084442</t>
  </si>
  <si>
    <t>11.05476189-79.06083679</t>
  </si>
  <si>
    <t>11.05476189-79.06084442</t>
  </si>
  <si>
    <t>11.05476475-79.06085968</t>
  </si>
  <si>
    <t>11.05476761-79.06085968</t>
  </si>
  <si>
    <t>11.05477047-79.06085968</t>
  </si>
  <si>
    <t>11.05476856-79.06084442</t>
  </si>
  <si>
    <t>11.05478001-79.06083679</t>
  </si>
  <si>
    <t>11.05478191-79.06083679</t>
  </si>
  <si>
    <t>11.05478382-79.06083679</t>
  </si>
  <si>
    <t>11.05478573-79.06085968</t>
  </si>
  <si>
    <t>11.05478954-79.06086731</t>
  </si>
  <si>
    <t>11.0547924-79.06086731</t>
  </si>
  <si>
    <t>11.05479717-79.06087494</t>
  </si>
  <si>
    <t>11.05480003-79.06087494</t>
  </si>
  <si>
    <t>11.05480099-79.06087494</t>
  </si>
  <si>
    <t>11.05479622-79.06086731</t>
  </si>
  <si>
    <t>11.05478954-79.06085968</t>
  </si>
  <si>
    <t>11.05478859-79.06085968</t>
  </si>
  <si>
    <t>11.05478859-79.06084442</t>
  </si>
  <si>
    <t>11.05478477-79.06084442</t>
  </si>
  <si>
    <t>11.05478764-79.06085968</t>
  </si>
  <si>
    <t>11.05478573-79.06084442</t>
  </si>
  <si>
    <t>11.05478191-79.06084442</t>
  </si>
  <si>
    <t>11.05478668-79.06083679</t>
  </si>
  <si>
    <t>11.05478954-79.06083679</t>
  </si>
  <si>
    <t>11.05479527-79.06083679</t>
  </si>
  <si>
    <t>11.05479813-79.06083679</t>
  </si>
  <si>
    <t>11.05479717-79.06084442</t>
  </si>
  <si>
    <t>11.05480003-79.06083679</t>
  </si>
  <si>
    <t>11.05480289-79.06083679</t>
  </si>
  <si>
    <t>11.05480671-79.06082916</t>
  </si>
  <si>
    <t>11.05480671-79.06083679</t>
  </si>
  <si>
    <t>11.0548048-79.06082916</t>
  </si>
  <si>
    <t>11.05480194-79.06082916</t>
  </si>
  <si>
    <t>11.05479336-79.06083679</t>
  </si>
  <si>
    <t>11.05478477-79.06083679</t>
  </si>
  <si>
    <t>11.05476856-79.06083679</t>
  </si>
  <si>
    <t>11.05477619-79.06084442</t>
  </si>
  <si>
    <t>11.05478764-79.06083679</t>
  </si>
  <si>
    <t>11.0547924-79.06082916</t>
  </si>
  <si>
    <t>11.05479908-79.06084442</t>
  </si>
  <si>
    <t>11.05480099-79.06084442</t>
  </si>
  <si>
    <t>11.05479813-79.06084442</t>
  </si>
  <si>
    <t>11.05479813-79.06085968</t>
  </si>
  <si>
    <t>11.05479908-79.06085968</t>
  </si>
  <si>
    <t>11.05478954-79.06084442</t>
  </si>
  <si>
    <t>11.05478001-79.06085968</t>
  </si>
  <si>
    <t>11.0547781-79.06086731</t>
  </si>
  <si>
    <t>11.05477524-79.06086731</t>
  </si>
  <si>
    <t>11.05477715-79.06085968</t>
  </si>
  <si>
    <t>11.05477715-79.06086731</t>
  </si>
  <si>
    <t>11.05477238-79.06085968</t>
  </si>
  <si>
    <t>11.05477047-79.06083679</t>
  </si>
  <si>
    <t>11.05476475-79.06084442</t>
  </si>
  <si>
    <t>11.05476379-79.06084442</t>
  </si>
  <si>
    <t>11.05476093-79.06085968</t>
  </si>
  <si>
    <t>11.05475903-79.06084442</t>
  </si>
  <si>
    <t>11.05475807-79.06084442</t>
  </si>
  <si>
    <t>11.05475616-79.06084442</t>
  </si>
  <si>
    <t>11.05475426-79.06084442</t>
  </si>
  <si>
    <t>11.05475235-79.06085968</t>
  </si>
  <si>
    <t>11.0547514-79.06084442</t>
  </si>
  <si>
    <t>11.0547533-79.06084442</t>
  </si>
  <si>
    <t>11.05475712-79.06084442</t>
  </si>
  <si>
    <t>11.05475807-79.06083679</t>
  </si>
  <si>
    <t>11.05475712-79.06083679</t>
  </si>
  <si>
    <t>11.05475521-79.06084442</t>
  </si>
  <si>
    <t>11.05475235-79.06083679</t>
  </si>
  <si>
    <t>11.05475426-79.06083679</t>
  </si>
  <si>
    <t>11.05475521-79.06083679</t>
  </si>
  <si>
    <t>11.0547533-79.06083679</t>
  </si>
  <si>
    <t>11.05475235-79.06084442</t>
  </si>
  <si>
    <t>11.05474758-79.06084442</t>
  </si>
  <si>
    <t>11.05475044-79.06084442</t>
  </si>
  <si>
    <t>11.05474854-79.06084442</t>
  </si>
  <si>
    <t>11.05475044-79.06083679</t>
  </si>
  <si>
    <t>11.05474758-79.06082916</t>
  </si>
  <si>
    <t>11.05474854-79.06083679</t>
  </si>
  <si>
    <t>11.0547514-79.06083679</t>
  </si>
  <si>
    <t>11.05475426-79.06082916</t>
  </si>
  <si>
    <t>11.05475521-79.06085968</t>
  </si>
  <si>
    <t>11.05475616-79.06083679</t>
  </si>
  <si>
    <t>11.05475903-79.06083679</t>
  </si>
  <si>
    <t>11.05475998-79.06084442</t>
  </si>
  <si>
    <t>11.05475998-79.06083679</t>
  </si>
  <si>
    <t>11.05476189-79.06082916</t>
  </si>
  <si>
    <t>11.05475903-79.06085968</t>
  </si>
  <si>
    <t>11.05475998-79.06085968</t>
  </si>
  <si>
    <t>11.05475712-79.06085968</t>
  </si>
  <si>
    <t>11.05476093-79.06086731</t>
  </si>
  <si>
    <t>11.05476189-79.06087494</t>
  </si>
  <si>
    <t>11.05476093-79.06087494</t>
  </si>
  <si>
    <t>11.05476284-79.06086731</t>
  </si>
  <si>
    <t>11.05475903-79.06087494</t>
  </si>
  <si>
    <t>11.05475998-79.06087494</t>
  </si>
  <si>
    <t>11.05476475-79.06087494</t>
  </si>
  <si>
    <t>11.05477524-79.06082916</t>
  </si>
  <si>
    <t>11.05477428-79.06084442</t>
  </si>
  <si>
    <t>11.05474854-79.06077576</t>
  </si>
  <si>
    <t>11.05482197-79.06065369</t>
  </si>
  <si>
    <t>11.05493927-79.06066895</t>
  </si>
  <si>
    <t>11.05507278-79.06071472</t>
  </si>
  <si>
    <t>11.05522156-79.0607605</t>
  </si>
  <si>
    <t>11.05541515-79.06075287</t>
  </si>
  <si>
    <t>11.0556221-79.06072235</t>
  </si>
  <si>
    <t>11.05581284-79.06065369</t>
  </si>
  <si>
    <t>11.05601692-79.06067657</t>
  </si>
  <si>
    <t>11.0562191-79.06070709</t>
  </si>
  <si>
    <t>11.05628586-79.06092072</t>
  </si>
  <si>
    <t>11.05629539-79.06132507</t>
  </si>
  <si>
    <t>11.05629921-79.06169128</t>
  </si>
  <si>
    <t>11.05631542-79.06191254</t>
  </si>
  <si>
    <t>11.05631542-79.06221771</t>
  </si>
  <si>
    <t>11.05633163-79.06261444</t>
  </si>
  <si>
    <t>11.05632782-79.06300354</t>
  </si>
  <si>
    <t>11.05633736-79.06338501</t>
  </si>
  <si>
    <t>11.05634594-79.06358337</t>
  </si>
  <si>
    <t>11.05630493-79.06374359</t>
  </si>
  <si>
    <t>11.05624104-79.06374359</t>
  </si>
  <si>
    <t>11.05624008-79.06375122</t>
  </si>
  <si>
    <t>11.05623817-79.06375885</t>
  </si>
  <si>
    <t>11.05614662-79.06372833</t>
  </si>
  <si>
    <t>11.05597496-79.06363678</t>
  </si>
  <si>
    <t>11.05577183-79.0635376</t>
  </si>
  <si>
    <t>11.05556393-79.06340027</t>
  </si>
  <si>
    <t>11.05527782-79.0632019</t>
  </si>
  <si>
    <t>11.05508137-79.06302643</t>
  </si>
  <si>
    <t>11.05506992-79.0628891</t>
  </si>
  <si>
    <t>11.05494976-79.06281281</t>
  </si>
  <si>
    <t>11.05491161-79.06286621</t>
  </si>
  <si>
    <t>11.05491924-79.06285858</t>
  </si>
  <si>
    <t>11.05492306-79.06285095</t>
  </si>
  <si>
    <t>11.05492115-79.06285095</t>
  </si>
  <si>
    <t>11.05492496-79.06285095</t>
  </si>
  <si>
    <t>11.05492401-79.06285095</t>
  </si>
  <si>
    <t>11.05492783-79.06285095</t>
  </si>
  <si>
    <t>11.05492592-79.06285095</t>
  </si>
  <si>
    <t>11.05492973-79.06285095</t>
  </si>
  <si>
    <t>11.05493355-79.06285095</t>
  </si>
  <si>
    <t>11.05493736-79.06285095</t>
  </si>
  <si>
    <t>11.05493927-79.06284332</t>
  </si>
  <si>
    <t>11.05493546-79.06285095</t>
  </si>
  <si>
    <t>11.05492306-79.06284332</t>
  </si>
  <si>
    <t>11.05492687-79.06285095</t>
  </si>
  <si>
    <t>11.05493164-79.06285095</t>
  </si>
  <si>
    <t>11.05493259-79.06285095</t>
  </si>
  <si>
    <t>11.05494404-79.06285095</t>
  </si>
  <si>
    <t>11.05495453-79.06285095</t>
  </si>
  <si>
    <t>11.05495739-79.06285095</t>
  </si>
  <si>
    <t>11.05495071-79.06285095</t>
  </si>
  <si>
    <t>11.05495262-79.06284332</t>
  </si>
  <si>
    <t>11.05495453-79.06283569</t>
  </si>
  <si>
    <t>11.0549612-79.06283569</t>
  </si>
  <si>
    <t>11.05495167-79.06281281</t>
  </si>
  <si>
    <t>11.05495358-79.06282043</t>
  </si>
  <si>
    <t>11.0549593-79.06283569</t>
  </si>
  <si>
    <t>11.05496025-79.06282043</t>
  </si>
  <si>
    <t>11.05496025-79.06283569</t>
  </si>
  <si>
    <t>11.05496788-79.06284332</t>
  </si>
  <si>
    <t>11.0549736-79.06284332</t>
  </si>
  <si>
    <t>11.05497646-79.06284332</t>
  </si>
  <si>
    <t>11.05497742-79.06283569</t>
  </si>
  <si>
    <t>11.05496979-79.06283569</t>
  </si>
  <si>
    <t>11.05496979-79.06284332</t>
  </si>
  <si>
    <t>11.05496883-79.06283569</t>
  </si>
  <si>
    <t>11.05497169-79.06285095</t>
  </si>
  <si>
    <t>11.05497169-79.06285858</t>
  </si>
  <si>
    <t>11.05496502-79.06283569</t>
  </si>
  <si>
    <t>11.05496407-79.06283569</t>
  </si>
  <si>
    <t>11.05495739-79.06283569</t>
  </si>
  <si>
    <t>11.05495262-79.06282043</t>
  </si>
  <si>
    <t>11.05495262-79.06283569</t>
  </si>
  <si>
    <t>11.05494976-79.06282043</t>
  </si>
  <si>
    <t>11.05495739-79.06281281</t>
  </si>
  <si>
    <t>11.05495739-79.06280518</t>
  </si>
  <si>
    <t>11.05495453-79.06279755</t>
  </si>
  <si>
    <t>11.0549469-79.06280518</t>
  </si>
  <si>
    <t>11.05493832-79.06279755</t>
  </si>
  <si>
    <t>11.05493259-79.06282043</t>
  </si>
  <si>
    <t>11.05493259-79.06283569</t>
  </si>
  <si>
    <t>11.05492973-79.06283569</t>
  </si>
  <si>
    <t>11.05493832-79.06282043</t>
  </si>
  <si>
    <t>11.05494118-79.06282043</t>
  </si>
  <si>
    <t>11.05494022-79.06281281</t>
  </si>
  <si>
    <t>11.05494499-79.06281281</t>
  </si>
  <si>
    <t>11.05494308-79.06281281</t>
  </si>
  <si>
    <t>11.05496693-79.06280518</t>
  </si>
  <si>
    <t>11.05496788-79.06280518</t>
  </si>
  <si>
    <t>11.05496788-79.06279755</t>
  </si>
  <si>
    <t>11.05497646-79.06279755</t>
  </si>
  <si>
    <t>11.05497932-79.06280518</t>
  </si>
  <si>
    <t>11.05497742-79.06282043</t>
  </si>
  <si>
    <t>11.05497646-79.06282043</t>
  </si>
  <si>
    <t>11.05496788-79.06282043</t>
  </si>
  <si>
    <t>11.05497932-79.06283569</t>
  </si>
  <si>
    <t>11.05498505-79.06284332</t>
  </si>
  <si>
    <t>11.05498886-79.06285095</t>
  </si>
  <si>
    <t>11.05499172-79.06285095</t>
  </si>
  <si>
    <t>11.054986-79.06285858</t>
  </si>
  <si>
    <t>11.054986-79.06285095</t>
  </si>
  <si>
    <t>11.05494785-79.06282043</t>
  </si>
  <si>
    <t>11.05494881-79.06282043</t>
  </si>
  <si>
    <t>11.05495358-79.06281281</t>
  </si>
  <si>
    <t>11.05493832-79.06284332</t>
  </si>
  <si>
    <t>11.05492592-79.06285858</t>
  </si>
  <si>
    <t>11.05492496-79.06287384</t>
  </si>
  <si>
    <t>11.05493259-79.06287384</t>
  </si>
  <si>
    <t>11.05493069-79.06286621</t>
  </si>
  <si>
    <t>11.05493832-79.06285858</t>
  </si>
  <si>
    <t>11.05493069-79.06285095</t>
  </si>
  <si>
    <t>11.05494022-79.06284332</t>
  </si>
  <si>
    <t>11.05494785-79.06284332</t>
  </si>
  <si>
    <t>11.05494595-79.06284332</t>
  </si>
  <si>
    <t>11.05493927-79.06283569</t>
  </si>
  <si>
    <t>11.05492973-79.06282043</t>
  </si>
  <si>
    <t>11.05492496-79.06282043</t>
  </si>
  <si>
    <t>11.05493164-79.06281281</t>
  </si>
  <si>
    <t>11.05492687-79.06281281</t>
  </si>
  <si>
    <t>11.05492496-79.06281281</t>
  </si>
  <si>
    <t>11.05493164-79.06280518</t>
  </si>
  <si>
    <t>11.05493259-79.06279755</t>
  </si>
  <si>
    <t>11.05492401-79.06281281</t>
  </si>
  <si>
    <t>11.05491638-79.06282043</t>
  </si>
  <si>
    <t>11.05490494-79.06283569</t>
  </si>
  <si>
    <t>11.05489635-79.06283569</t>
  </si>
  <si>
    <t>11.05489159-79.06283569</t>
  </si>
  <si>
    <t>11.05489254-79.06283569</t>
  </si>
  <si>
    <t>11.05488682-79.06284332</t>
  </si>
  <si>
    <t>11.0548811-79.06284332</t>
  </si>
  <si>
    <t>11.05487347-79.06283569</t>
  </si>
  <si>
    <t>11.05487442-79.06283569</t>
  </si>
  <si>
    <t>11.05487061-79.06283569</t>
  </si>
  <si>
    <t>11.05486774-79.06282043</t>
  </si>
  <si>
    <t>11.05486393-79.06282043</t>
  </si>
  <si>
    <t>11.05482197-79.06283569</t>
  </si>
  <si>
    <t>11.05473328-79.06284332</t>
  </si>
  <si>
    <t>11.05461502-79.06278229</t>
  </si>
  <si>
    <t>11.05466175-79.06256104</t>
  </si>
  <si>
    <t>11.05491638-79.06259155</t>
  </si>
  <si>
    <t>11.0550127-79.06280518</t>
  </si>
  <si>
    <t>11.05506134-79.06306458</t>
  </si>
  <si>
    <t>11.05537319-79.06331635</t>
  </si>
  <si>
    <t>11.05573368-79.06350708</t>
  </si>
  <si>
    <t>11.05587769-79.06384277</t>
  </si>
  <si>
    <t>11.05573082-79.06417084</t>
  </si>
  <si>
    <t>11.055933-79.06442261</t>
  </si>
  <si>
    <t>11.05609608-79.0642395</t>
  </si>
  <si>
    <t>11.05591202-79.06417847</t>
  </si>
  <si>
    <t>11.05587959-79.0641861</t>
  </si>
  <si>
    <t>11.0558939-79.06412506</t>
  </si>
  <si>
    <t>11.05587673-79.06407166</t>
  </si>
  <si>
    <t>11.05586529-79.06406403</t>
  </si>
  <si>
    <t>11.05586433-79.06407928</t>
  </si>
  <si>
    <t>11.05586815-79.0641098</t>
  </si>
  <si>
    <t>11.05587673-79.0641098</t>
  </si>
  <si>
    <t>11.05587769-79.06409454</t>
  </si>
  <si>
    <t>11.05588722-79.06411743</t>
  </si>
  <si>
    <t>11.05589581-79.06412506</t>
  </si>
  <si>
    <t>11.05589771-79.06411743</t>
  </si>
  <si>
    <t>11.05590057-79.06411743</t>
  </si>
  <si>
    <t>11.05589676-79.0641098</t>
  </si>
  <si>
    <t>11.05589867-79.0641098</t>
  </si>
  <si>
    <t>11.05589867-79.06411743</t>
  </si>
  <si>
    <t>11.05589294-79.06411743</t>
  </si>
  <si>
    <t>11.05588722-79.0641098</t>
  </si>
  <si>
    <t>11.05587959-79.0641098</t>
  </si>
  <si>
    <t>11.05588055-79.0641098</t>
  </si>
  <si>
    <t>11.05588245-79.06410217</t>
  </si>
  <si>
    <t>11.05587864-79.06409454</t>
  </si>
  <si>
    <t>11.05587673-79.06409454</t>
  </si>
  <si>
    <t>11.05587292-79.06410217</t>
  </si>
  <si>
    <t>11.05587673-79.06410217</t>
  </si>
  <si>
    <t>11.05587101-79.06410217</t>
  </si>
  <si>
    <t>11.05587196-79.06409454</t>
  </si>
  <si>
    <t>11.05587387-79.06409454</t>
  </si>
  <si>
    <t>11.05587578-79.06409454</t>
  </si>
  <si>
    <t>11.05587387-79.06410217</t>
  </si>
  <si>
    <t>11.05587292-79.06409454</t>
  </si>
  <si>
    <t>11.05587292-79.06408691</t>
  </si>
  <si>
    <t>11.05587101-79.06409454</t>
  </si>
  <si>
    <t>11.05587101-79.0641098</t>
  </si>
  <si>
    <t>11.0558691-79.06411743</t>
  </si>
  <si>
    <t>11.05587101-79.06411743</t>
  </si>
  <si>
    <t>11.05587387-79.06411743</t>
  </si>
  <si>
    <t>11.05587959-79.06412506</t>
  </si>
  <si>
    <t>11.05588531-79.06412506</t>
  </si>
  <si>
    <t>11.05588245-79.06413269</t>
  </si>
  <si>
    <t>11.05588436-79.06413269</t>
  </si>
  <si>
    <t>11.05588341-79.06414032</t>
  </si>
  <si>
    <t>11.05588245-79.06415558</t>
  </si>
  <si>
    <t>11.05588531-79.06416321</t>
  </si>
  <si>
    <t>11.05588245-79.06416321</t>
  </si>
  <si>
    <t>11.05588341-79.06416321</t>
  </si>
  <si>
    <t>11.05588341-79.06415558</t>
  </si>
  <si>
    <t>11.05587482-79.06412506</t>
  </si>
  <si>
    <t>11.05586815-79.06413269</t>
  </si>
  <si>
    <t>11.05585766-79.06413269</t>
  </si>
  <si>
    <t>11.05585384-79.06413269</t>
  </si>
  <si>
    <t>11.05584621-79.06413269</t>
  </si>
  <si>
    <t>11.05584335-79.06415558</t>
  </si>
  <si>
    <t>11.05584431-79.06416321</t>
  </si>
  <si>
    <t>11.05584812-79.06415558</t>
  </si>
  <si>
    <t>11.05585003-79.06416321</t>
  </si>
  <si>
    <t>11.05585384-79.06416321</t>
  </si>
  <si>
    <t>11.05586243-79.06415558</t>
  </si>
  <si>
    <t>11.0558672-79.06414032</t>
  </si>
  <si>
    <t>11.05587006-79.06414032</t>
  </si>
  <si>
    <t>11.05587292-79.06415558</t>
  </si>
  <si>
    <t>11.05587769-79.06415558</t>
  </si>
  <si>
    <t>11.05587387-79.06415558</t>
  </si>
  <si>
    <t>11.05587482-79.06415558</t>
  </si>
  <si>
    <t>11.05587673-79.06413269</t>
  </si>
  <si>
    <t>11.05587482-79.06413269</t>
  </si>
  <si>
    <t>11.05587769-79.06413269</t>
  </si>
  <si>
    <t>11.05588531-79.06413269</t>
  </si>
  <si>
    <t>11.05588722-79.06412506</t>
  </si>
  <si>
    <t>11.05588818-79.06412506</t>
  </si>
  <si>
    <t>11.05589104-79.06413269</t>
  </si>
  <si>
    <t>11.05589199-79.06412506</t>
  </si>
  <si>
    <t>11.05589294-79.06412506</t>
  </si>
  <si>
    <t>11.05589008-79.06411743</t>
  </si>
  <si>
    <t>11.05587864-79.0641098</t>
  </si>
  <si>
    <t>11.05587196-79.06411743</t>
  </si>
  <si>
    <t>11.05587101-79.06412506</t>
  </si>
  <si>
    <t>11.05587006-79.06412506</t>
  </si>
  <si>
    <t>11.05587673-79.06412506</t>
  </si>
  <si>
    <t>11.05587196-79.06412506</t>
  </si>
  <si>
    <t>11.05587292-79.06412506</t>
  </si>
  <si>
    <t>11.05587864-79.06411743</t>
  </si>
  <si>
    <t>11.05587292-79.06411743</t>
  </si>
  <si>
    <t>11.05587101-79.06413269</t>
  </si>
  <si>
    <t>11.05587482-79.06410217</t>
  </si>
  <si>
    <t>11.05588055-79.06408691</t>
  </si>
  <si>
    <t>11.05587482-79.06409454</t>
  </si>
  <si>
    <t>11.05588627-79.06409454</t>
  </si>
  <si>
    <t>11.05589008-79.06408691</t>
  </si>
  <si>
    <t>11.05589008-79.06410217</t>
  </si>
  <si>
    <t>11.05587578-79.06414032</t>
  </si>
  <si>
    <t>11.05587578-79.06415558</t>
  </si>
  <si>
    <t>11.05587578-79.06416321</t>
  </si>
  <si>
    <t>11.05587673-79.06417084</t>
  </si>
  <si>
    <t>11.05587959-79.06417084</t>
  </si>
  <si>
    <t>11.05588436-79.06416321</t>
  </si>
  <si>
    <t>11.05588722-79.06415558</t>
  </si>
  <si>
    <t>11.05588913-79.06415558</t>
  </si>
  <si>
    <t>11.0558939-79.06414032</t>
  </si>
  <si>
    <t>11.0558939-79.06413269</t>
  </si>
  <si>
    <t>11.05589485-79.06413269</t>
  </si>
  <si>
    <t>11.05589485-79.06411743</t>
  </si>
  <si>
    <t>11.05589104-79.06411743</t>
  </si>
  <si>
    <t>11.05588913-79.06411743</t>
  </si>
  <si>
    <t>11.05588627-79.06411743</t>
  </si>
  <si>
    <t>11.05588245-79.06411743</t>
  </si>
  <si>
    <t>11.05588341-79.06411743</t>
  </si>
  <si>
    <t>11.05588436-79.06411743</t>
  </si>
  <si>
    <t>11.05587864-79.06413269</t>
  </si>
  <si>
    <t>11.05587101-79.06414032</t>
  </si>
  <si>
    <t>11.0558691-79.06413269</t>
  </si>
  <si>
    <t>11.05586433-79.06414032</t>
  </si>
  <si>
    <t>11.05586338-79.06414032</t>
  </si>
  <si>
    <t>11.05586529-79.06413269</t>
  </si>
  <si>
    <t>11.0558672-79.06413269</t>
  </si>
  <si>
    <t>11.05586624-79.06412506</t>
  </si>
  <si>
    <t>11.05586433-79.06412506</t>
  </si>
  <si>
    <t>11.05585861-79.06413269</t>
  </si>
  <si>
    <t>11.05585957-79.06413269</t>
  </si>
  <si>
    <t>11.05586338-79.06412506</t>
  </si>
  <si>
    <t>11.05585957-79.06412506</t>
  </si>
  <si>
    <t>11.05585957-79.06411743</t>
  </si>
  <si>
    <t>11.05585766-79.06411743</t>
  </si>
  <si>
    <t>11.05585766-79.0641098</t>
  </si>
  <si>
    <t>11.05585575-79.06411743</t>
  </si>
  <si>
    <t>11.05585957-79.0641098</t>
  </si>
  <si>
    <t>11.05586529-79.0641098</t>
  </si>
  <si>
    <t>11.05587196-79.06410217</t>
  </si>
  <si>
    <t>11.05587769-79.06410217</t>
  </si>
  <si>
    <t>11.05588531-79.06409454</t>
  </si>
  <si>
    <t>11.05588531-79.06410217</t>
  </si>
  <si>
    <t>11.05588913-79.06410217</t>
  </si>
  <si>
    <t>11.05589199-79.06410217</t>
  </si>
  <si>
    <t>11.05589581-79.06410217</t>
  </si>
  <si>
    <t>11.05589485-79.06410217</t>
  </si>
  <si>
    <t>11.05589199-79.0641098</t>
  </si>
  <si>
    <t>11.05589485-79.0641098</t>
  </si>
  <si>
    <t>11.05589581-79.0641098</t>
  </si>
  <si>
    <t>11.05589104-79.0641098</t>
  </si>
  <si>
    <t>11.05588818-79.06411743</t>
  </si>
  <si>
    <t>11.05587864-79.06412506</t>
  </si>
  <si>
    <t>11.05588245-79.06412506</t>
  </si>
  <si>
    <t>11.05588436-79.06412506</t>
  </si>
  <si>
    <t>11.05588627-79.06413269</t>
  </si>
  <si>
    <t>11.05589008-79.06412506</t>
  </si>
  <si>
    <t>11.05588913-79.06412506</t>
  </si>
  <si>
    <t>11.05588341-79.06412506</t>
  </si>
  <si>
    <t>11.05587673-79.06411743</t>
  </si>
  <si>
    <t>11.05587769-79.06411743</t>
  </si>
  <si>
    <t>11.05587482-79.06411743</t>
  </si>
  <si>
    <t>11.05587196-79.0641098</t>
  </si>
  <si>
    <t>11.05587578-79.0641098</t>
  </si>
  <si>
    <t>11.0558672-79.06412506</t>
  </si>
  <si>
    <t>11.05586147-79.06412506</t>
  </si>
  <si>
    <t>11.05586147-79.06413269</t>
  </si>
  <si>
    <t>11.05586529-79.06412506</t>
  </si>
  <si>
    <t>11.05586624-79.06413269</t>
  </si>
  <si>
    <t>11.05586243-79.06412506</t>
  </si>
  <si>
    <t>11.0558691-79.06412506</t>
  </si>
  <si>
    <t>11.05587387-79.06413269</t>
  </si>
  <si>
    <t>11.05587959-79.06413269</t>
  </si>
  <si>
    <t>11.05588627-79.06412506</t>
  </si>
  <si>
    <t>11.05588341-79.06413269</t>
  </si>
  <si>
    <t>11.05587959-79.06414032</t>
  </si>
  <si>
    <t>11.05587864-79.06414032</t>
  </si>
  <si>
    <t>11.05587769-79.06414032</t>
  </si>
  <si>
    <t>11.05587673-79.06415558</t>
  </si>
  <si>
    <t>11.05588245-79.06414032</t>
  </si>
  <si>
    <t>11.05588055-79.06414032</t>
  </si>
  <si>
    <t>11.05588627-79.06414032</t>
  </si>
  <si>
    <t>11.05588531-79.06414032</t>
  </si>
  <si>
    <t>11.05588436-79.06415558</t>
  </si>
  <si>
    <t>11.05587673-79.06414032</t>
  </si>
  <si>
    <t>11.05587196-79.06415558</t>
  </si>
  <si>
    <t>11.05587006-79.06415558</t>
  </si>
  <si>
    <t>11.05586815-79.06414032</t>
  </si>
  <si>
    <t>11.0558691-79.06414032</t>
  </si>
  <si>
    <t>11.05587101-79.06415558</t>
  </si>
  <si>
    <t>11.05586815-79.06415558</t>
  </si>
  <si>
    <t>11.05587101-79.06416321</t>
  </si>
  <si>
    <t>11.05587006-79.06416321</t>
  </si>
  <si>
    <t>11.0558691-79.06415558</t>
  </si>
  <si>
    <t>11.05588055-79.06412506</t>
  </si>
  <si>
    <t>11.05587769-79.06412506</t>
  </si>
  <si>
    <t>11.05588055-79.06411743</t>
  </si>
  <si>
    <t>11.05587578-79.06411743</t>
  </si>
  <si>
    <t>11.05587006-79.06413269</t>
  </si>
  <si>
    <t>11.05587578-79.06412506</t>
  </si>
  <si>
    <t>11.05587196-79.06413269</t>
  </si>
  <si>
    <t>11.05587196-79.06414032</t>
  </si>
  <si>
    <t>11.05587387-79.06414032</t>
  </si>
  <si>
    <t>11.05587482-79.06414032</t>
  </si>
  <si>
    <t>11.0558672-79.06415558</t>
  </si>
  <si>
    <t>11.05586338-79.06415558</t>
  </si>
  <si>
    <t>11.05586147-79.06414032</t>
  </si>
  <si>
    <t>11.05585861-79.06414032</t>
  </si>
  <si>
    <t>11.05585766-79.06414032</t>
  </si>
  <si>
    <t>11.05586243-79.06414032</t>
  </si>
  <si>
    <t>11.05586815-79.06412506</t>
  </si>
  <si>
    <t>11.05587482-79.0641098</t>
  </si>
  <si>
    <t>11.05587769-79.0641098</t>
  </si>
  <si>
    <t>11.05588436-79.06410217</t>
  </si>
  <si>
    <t>11.05589008-79.06409454</t>
  </si>
  <si>
    <t>11.05589199-79.06409454</t>
  </si>
  <si>
    <t>11.0558939-79.06409454</t>
  </si>
  <si>
    <t>11.05589676-79.06408691</t>
  </si>
  <si>
    <t>11.05589294-79.06409454</t>
  </si>
  <si>
    <t>11.05589104-79.06409454</t>
  </si>
  <si>
    <t>11.05586529-79.06411743</t>
  </si>
  <si>
    <t>11.05586624-79.06411743</t>
  </si>
  <si>
    <t>11.0558691-79.0641098</t>
  </si>
  <si>
    <t>11.05587006-79.0641098</t>
  </si>
  <si>
    <t>11.05587292-79.0641098</t>
  </si>
  <si>
    <t>11.05587387-79.0641098</t>
  </si>
  <si>
    <t>11.05587578-79.06410217</t>
  </si>
  <si>
    <t>11.05587959-79.06410217</t>
  </si>
  <si>
    <t>11.05588531-79.0641098</t>
  </si>
  <si>
    <t>11.0558939-79.06410217</t>
  </si>
  <si>
    <t>11.05589104-79.06410217</t>
  </si>
  <si>
    <t>11.05588913-79.0641098</t>
  </si>
  <si>
    <t>11.05588818-79.0641098</t>
  </si>
  <si>
    <t>11.05588627-79.0641098</t>
  </si>
  <si>
    <t>11.05588531-79.06411743</t>
  </si>
  <si>
    <t>11.05589294-79.0641098</t>
  </si>
  <si>
    <t>11.0558939-79.0641098</t>
  </si>
  <si>
    <t>11.05589104-79.06412506</t>
  </si>
  <si>
    <t>11.05587959-79.06411743</t>
  </si>
  <si>
    <t>11.05588436-79.0641098</t>
  </si>
  <si>
    <t>11.05589199-79.06411743</t>
  </si>
  <si>
    <t>11.05589962-79.0641098</t>
  </si>
  <si>
    <t>11.05590725-79.0641098</t>
  </si>
  <si>
    <t>11.05591202-79.06410217</t>
  </si>
  <si>
    <t>11.05591488-79.06410217</t>
  </si>
  <si>
    <t>11.05591393-79.06410217</t>
  </si>
  <si>
    <t>11.05591583-79.06410217</t>
  </si>
  <si>
    <t>11.05591393-79.06409454</t>
  </si>
  <si>
    <t>11.05591202-79.06409454</t>
  </si>
  <si>
    <t>11.05590439-79.06409454</t>
  </si>
  <si>
    <t>11.05589962-79.06410217</t>
  </si>
  <si>
    <t>11.05590343-79.06410217</t>
  </si>
  <si>
    <t>11.05590439-79.06410217</t>
  </si>
  <si>
    <t>11.05590725-79.06410217</t>
  </si>
  <si>
    <t>11.05590725-79.06409454</t>
  </si>
  <si>
    <t>11.05590343-79.06409454</t>
  </si>
  <si>
    <t>11.05589008-79.0641098</t>
  </si>
  <si>
    <t>11.05588722-79.06410217</t>
  </si>
  <si>
    <t>11.0558939-79.06411743</t>
  </si>
  <si>
    <t>11.05589676-79.06411743</t>
  </si>
  <si>
    <t>11.05589485-79.06412506</t>
  </si>
  <si>
    <t>11.05589962-79.06411743</t>
  </si>
  <si>
    <t>11.05590439-79.06411743</t>
  </si>
  <si>
    <t>11.0559082-79.0641098</t>
  </si>
  <si>
    <t>11.05590916-79.0641098</t>
  </si>
  <si>
    <t>11.05591297-79.06410217</t>
  </si>
  <si>
    <t>11.05590916-79.06410217</t>
  </si>
  <si>
    <t>11.05590534-79.0641098</t>
  </si>
  <si>
    <t>11.05589581-79.06411743</t>
  </si>
  <si>
    <t>11.05587387-79.06412506</t>
  </si>
  <si>
    <t>11.05587292-79.06413269</t>
  </si>
  <si>
    <t>11.05582523-79.06434631</t>
  </si>
  <si>
    <t>11.05609226-79.06434631</t>
  </si>
  <si>
    <t>11.05612278-79.06410217</t>
  </si>
  <si>
    <t>11.05610085-79.06404877</t>
  </si>
  <si>
    <t>11.05610085-79.06404114</t>
  </si>
  <si>
    <t>11.05609989-79.06403351</t>
  </si>
  <si>
    <t>11.05609989-79.06402588</t>
  </si>
  <si>
    <t>11.05609798-79.06401825</t>
  </si>
  <si>
    <t>11.05609417-79.06401825</t>
  </si>
  <si>
    <t>11.05609226-79.06401825</t>
  </si>
  <si>
    <t>11.05609131-79.06401825</t>
  </si>
  <si>
    <t>11.05609035-79.06401062</t>
  </si>
  <si>
    <t>11.05609035-79.06401825</t>
  </si>
  <si>
    <t>11.05608273-79.06401825</t>
  </si>
  <si>
    <t>11.05604267-79.06396484</t>
  </si>
  <si>
    <t>11.05579185-79.06391907</t>
  </si>
  <si>
    <t>11.05550766-79.06401825</t>
  </si>
  <si>
    <t>11.05529118-79.06421661</t>
  </si>
  <si>
    <t>11.05522156-79.06439209</t>
  </si>
  <si>
    <t>11.05522346-79.06440735</t>
  </si>
  <si>
    <t>11.05522919-79.06440735</t>
  </si>
  <si>
    <t>11.05523491-79.06440735</t>
  </si>
  <si>
    <t>11.05523777-79.06440735</t>
  </si>
  <si>
    <t>11.05524063-79.06440735</t>
  </si>
  <si>
    <t>11.05524731-79.06440735</t>
  </si>
  <si>
    <t>11.05525303-79.06440735</t>
  </si>
  <si>
    <t>11.05525017-79.06439972</t>
  </si>
  <si>
    <t>11.05524731-79.06439972</t>
  </si>
  <si>
    <t>11.05524635-79.06440735</t>
  </si>
  <si>
    <t>11.0552454-79.06441498</t>
  </si>
  <si>
    <t>11.05525017-79.06442261</t>
  </si>
  <si>
    <t>11.05554008-79.06441498</t>
  </si>
  <si>
    <t>11.05580807-79.06407928</t>
  </si>
  <si>
    <t>11.05582809-79.0637207</t>
  </si>
  <si>
    <t>11.05551529-79.06352234</t>
  </si>
  <si>
    <t>11.05538654-79.06345367</t>
  </si>
  <si>
    <t>11.05537891-79.06345367</t>
  </si>
  <si>
    <t>11.05527401-79.06340027</t>
  </si>
  <si>
    <t>11.05521297-79.06337738</t>
  </si>
  <si>
    <t>11.05520535-79.06337738</t>
  </si>
  <si>
    <t>11.0551939-79.06336975</t>
  </si>
  <si>
    <t>11.05506516-79.06330109</t>
  </si>
  <si>
    <t>11.05465698-79.0631485</t>
  </si>
  <si>
    <t>11.05425739-79.06324768</t>
  </si>
  <si>
    <t>11.05430984-79.06372833</t>
  </si>
  <si>
    <t>11.05468082-79.06407928</t>
  </si>
  <si>
    <t>11.05507088-79.06430054</t>
  </si>
  <si>
    <t>11.05526066-79.06438446</t>
  </si>
  <si>
    <t>11.05525875-79.06438446</t>
  </si>
  <si>
    <t>11.0552578-79.06438446</t>
  </si>
  <si>
    <t>11.05525684-79.06439209</t>
  </si>
  <si>
    <t>11.05526161-79.06439209</t>
  </si>
  <si>
    <t>11.05527687-79.06439972</t>
  </si>
  <si>
    <t>11.05527496-79.06439209</t>
  </si>
  <si>
    <t>11.05526924-79.06438446</t>
  </si>
  <si>
    <t>11.05526829-79.06438446</t>
  </si>
  <si>
    <t>11.05527306-79.06438446</t>
  </si>
  <si>
    <t>11.05532074-79.06439209</t>
  </si>
  <si>
    <t>11.05571747-79.0642395</t>
  </si>
  <si>
    <t>11.05585861-79.06377411</t>
  </si>
  <si>
    <t>11.05558014-79.06341553</t>
  </si>
  <si>
    <t>11.05508614-79.0631485</t>
  </si>
  <si>
    <t>11.05463886-79.06304932</t>
  </si>
  <si>
    <t>11.0544157-79.06304169</t>
  </si>
  <si>
    <t>11.05442142-79.06304169</t>
  </si>
  <si>
    <t>11.05442619-79.06304169</t>
  </si>
  <si>
    <t>11.05443096-79.06304932</t>
  </si>
  <si>
    <t>11.05443287-79.06304932</t>
  </si>
  <si>
    <t>11.05443287-79.06304169</t>
  </si>
  <si>
    <t>11.05443764-79.06304169</t>
  </si>
  <si>
    <t>11.05443859-79.06304932</t>
  </si>
  <si>
    <t>11.05443382-79.06304932</t>
  </si>
  <si>
    <t>11.05442619-79.06304932</t>
  </si>
  <si>
    <t>11.05441475-79.06304932</t>
  </si>
  <si>
    <t>11.05441284-79.06304169</t>
  </si>
  <si>
    <t>11.05442333-79.06304932</t>
  </si>
  <si>
    <t>11.05442429-79.06304169</t>
  </si>
  <si>
    <t>11.05443001-79.06304932</t>
  </si>
  <si>
    <t>11.05442905-79.06304932</t>
  </si>
  <si>
    <t>11.05443287-79.06305695</t>
  </si>
  <si>
    <t>11.05443478-79.06305695</t>
  </si>
  <si>
    <t>11.05444145-79.06305695</t>
  </si>
  <si>
    <t>11.05443859-79.06305695</t>
  </si>
  <si>
    <t>11.05443192-79.06305695</t>
  </si>
  <si>
    <t>11.0544281-79.06305695</t>
  </si>
  <si>
    <t>11.05443478-79.06304932</t>
  </si>
  <si>
    <t>11.05443573-79.06304932</t>
  </si>
  <si>
    <t>11.05443954-79.06304169</t>
  </si>
  <si>
    <t>11.05444241-79.06304169</t>
  </si>
  <si>
    <t>11.05444145-79.06304169</t>
  </si>
  <si>
    <t>11.05444336-79.06304169</t>
  </si>
  <si>
    <t>11.05443573-79.06303406</t>
  </si>
  <si>
    <t>11.05443192-79.06303406</t>
  </si>
  <si>
    <t>11.05443001-79.06302643</t>
  </si>
  <si>
    <t>11.05443192-79.06302643</t>
  </si>
  <si>
    <t>11.05443096-79.06302643</t>
  </si>
  <si>
    <t>11.05443382-79.06302643</t>
  </si>
  <si>
    <t>11.05443382-79.06303406</t>
  </si>
  <si>
    <t>11.05443096-79.06303406</t>
  </si>
  <si>
    <t>11.05442715-79.06302643</t>
  </si>
  <si>
    <t>11.05442429-79.06303406</t>
  </si>
  <si>
    <t>11.05442524-79.06303406</t>
  </si>
  <si>
    <t>11.0544281-79.06303406</t>
  </si>
  <si>
    <t>11.0544281-79.06302643</t>
  </si>
  <si>
    <t>11.05443287-79.06302643</t>
  </si>
  <si>
    <t>11.05443001-79.06301117</t>
  </si>
  <si>
    <t>11.05438042-79.0630188</t>
  </si>
  <si>
    <t>11.0543766-79.0630188</t>
  </si>
  <si>
    <t>11.05436802-79.06302643</t>
  </si>
  <si>
    <t>11.05436134-79.06303406</t>
  </si>
  <si>
    <t>11.05435371-79.06304169</t>
  </si>
  <si>
    <t>11.05427074-79.06304932</t>
  </si>
  <si>
    <t>11.05400467-79.0630722</t>
  </si>
  <si>
    <t>11.05360794-79.0633316</t>
  </si>
  <si>
    <t>11.05301666-79.06346893</t>
  </si>
  <si>
    <t>11.05237007-79.06361389</t>
  </si>
  <si>
    <t>11.0516901-79.06368256</t>
  </si>
  <si>
    <t>11.05100727-79.06356049</t>
  </si>
  <si>
    <t>11.05031586-79.0633316</t>
  </si>
  <si>
    <t>11.04974461-79.06311035</t>
  </si>
  <si>
    <t>11.04914761-79.06304169</t>
  </si>
  <si>
    <t>11.04840469-79.06311798</t>
  </si>
  <si>
    <t>11.04755592-79.06317902</t>
  </si>
  <si>
    <t>11.04666424-79.06327057</t>
  </si>
  <si>
    <t>11.04586601-79.06352997</t>
  </si>
  <si>
    <t>11.04519463-79.06401062</t>
  </si>
  <si>
    <t>11.04456902-79.06416321</t>
  </si>
  <si>
    <t>11.04414463-79.06422424</t>
  </si>
  <si>
    <t>11.04390717-79.06430054</t>
  </si>
  <si>
    <t>11.04349518-79.06445313</t>
  </si>
  <si>
    <t>11.04328346-79.06455994</t>
  </si>
  <si>
    <t>11.04309273-79.06466675</t>
  </si>
  <si>
    <t>11.04311275-79.06494141</t>
  </si>
  <si>
    <t>11.04315281-79.06538391</t>
  </si>
  <si>
    <t>11.04316998-79.06559753</t>
  </si>
  <si>
    <t>11.04309177-79.06625366</t>
  </si>
  <si>
    <t>11.04301929-79.06703949</t>
  </si>
  <si>
    <t>11.04316998-79.06774139</t>
  </si>
  <si>
    <t>11.04319763-79.06834412</t>
  </si>
  <si>
    <t>11.04318428-79.06865692</t>
  </si>
  <si>
    <t>11.04318047-79.06867218</t>
  </si>
  <si>
    <t>11.04318714-79.0688858</t>
  </si>
  <si>
    <t>11.04313374-79.06905365</t>
  </si>
  <si>
    <t>11.04293442-79.06903839</t>
  </si>
  <si>
    <t>11.04248428-79.06893158</t>
  </si>
  <si>
    <t>11.04190254-79.06895447</t>
  </si>
  <si>
    <t>11.04118347-79.06900787</t>
  </si>
  <si>
    <t>11.04033279-79.06904602</t>
  </si>
  <si>
    <t>11.03953457-79.06900787</t>
  </si>
  <si>
    <t>11.03863907-79.06882477</t>
  </si>
  <si>
    <t>11.037714-79.0686264</t>
  </si>
  <si>
    <t>11.03692245-79.068573</t>
  </si>
  <si>
    <t>11.03624058-79.06848145</t>
  </si>
  <si>
    <t>11.03520775-79.06840515</t>
  </si>
  <si>
    <t>11.03392696-79.0684433</t>
  </si>
  <si>
    <t>11.03286552-79.06903839</t>
  </si>
  <si>
    <t>11.03181076-79.06964111</t>
  </si>
  <si>
    <t>11.0297451-79.07086945</t>
  </si>
  <si>
    <t>11.02811909-79.07182312</t>
  </si>
  <si>
    <t>11.02689171-79.07255554</t>
  </si>
  <si>
    <t>11.0257988-79.07318115</t>
  </si>
  <si>
    <t>11.02471161-79.07381439</t>
  </si>
  <si>
    <t>11.02259159-79.07506561</t>
  </si>
  <si>
    <t>11.021451-79.07556915</t>
  </si>
  <si>
    <t>11.02028179-79.07590485</t>
  </si>
  <si>
    <t>11.01902866-79.07627106</t>
  </si>
  <si>
    <t>11.01789761-79.07659912</t>
  </si>
  <si>
    <t>11.01678085-79.07693481</t>
  </si>
  <si>
    <t>11.01564312-79.07727051</t>
  </si>
  <si>
    <t>11.01448822-79.07761383</t>
  </si>
  <si>
    <t>11.01329994-79.07797241</t>
  </si>
  <si>
    <t>11.01205921-79.07835388</t>
  </si>
  <si>
    <t>11.01064873-79.07876587</t>
  </si>
  <si>
    <t>11.00930786-79.07917023</t>
  </si>
  <si>
    <t>11.00797462-79.07955933</t>
  </si>
  <si>
    <t>11.00665665-79.07994843</t>
  </si>
  <si>
    <t>11.00536728-79.08033752</t>
  </si>
  <si>
    <t>11.00414085-79.08070374</t>
  </si>
  <si>
    <t>11.00298023-79.08105469</t>
  </si>
  <si>
    <t>11.00190544-79.08139038</t>
  </si>
  <si>
    <t>11.00075054-79.08172607</t>
  </si>
  <si>
    <t>10.99969101-79.08204651</t>
  </si>
  <si>
    <t>10.99863529-79.08235931</t>
  </si>
  <si>
    <t>10.99752045-79.08262634</t>
  </si>
  <si>
    <t>10.99518967-79.0827713</t>
  </si>
  <si>
    <t>10.99386787-79.0828476</t>
  </si>
  <si>
    <t>10.99258709-79.08293152</t>
  </si>
  <si>
    <t>10.9912672-79.08298492</t>
  </si>
  <si>
    <t>10.98990059-79.08303833</t>
  </si>
  <si>
    <t>10.98849297-79.08309937</t>
  </si>
  <si>
    <t>10.98705482-79.08317566</t>
  </si>
  <si>
    <t>10.98562622-79.08322906</t>
  </si>
  <si>
    <t>10.98410988-79.08330536</t>
  </si>
  <si>
    <t>10.98273945-79.08338165</t>
  </si>
  <si>
    <t>10.98140526-79.08343506</t>
  </si>
  <si>
    <t>10.98009014-79.08348846</t>
  </si>
  <si>
    <t>10.97761726-79.08361053</t>
  </si>
  <si>
    <t>10.97642612-79.08364868</t>
  </si>
  <si>
    <t>10.97513294-79.08366394</t>
  </si>
  <si>
    <t>10.97393322-79.08371735</t>
  </si>
  <si>
    <t>10.97269821-79.08376312</t>
  </si>
  <si>
    <t>10.97147274-79.08387756</t>
  </si>
  <si>
    <t>10.97027874-79.08437347</t>
  </si>
  <si>
    <t>10.96912289-79.08495331</t>
  </si>
  <si>
    <t>10.9679594-79.08547974</t>
  </si>
  <si>
    <t>10.96670246-79.0860672</t>
  </si>
  <si>
    <t>10.96553326-79.08660889</t>
  </si>
  <si>
    <t>10.9643383-79.08716583</t>
  </si>
  <si>
    <t>10.96313667-79.08773041</t>
  </si>
  <si>
    <t>10.96194077-79.08826447</t>
  </si>
  <si>
    <t>10.96070862-79.0888443</t>
  </si>
  <si>
    <t>10.95947647-79.08940887</t>
  </si>
  <si>
    <t>10.95811081-79.09001923</t>
  </si>
  <si>
    <t>10.95683098-79.0905304</t>
  </si>
  <si>
    <t>10.95554829-79.09101868</t>
  </si>
  <si>
    <t>10.95287609-79.09200287</t>
  </si>
  <si>
    <t>10.95153236-79.09251404</t>
  </si>
  <si>
    <t>10.95020294-79.09300232</t>
  </si>
  <si>
    <t>10.94880867-79.09353638</t>
  </si>
  <si>
    <t>10.94759274-79.09401703</t>
  </si>
  <si>
    <t>10.94631386-79.09451294</t>
  </si>
  <si>
    <t>10.94511223-79.0951767</t>
  </si>
  <si>
    <t>10.94390678-79.09589386</t>
  </si>
  <si>
    <t>10.9427166-79.09660339</t>
  </si>
  <si>
    <t>10.94146538-79.09734344</t>
  </si>
  <si>
    <t>10.94031525-79.09801483</t>
  </si>
  <si>
    <t>10.93921089-79.09867859</t>
  </si>
  <si>
    <t>10.93715954-79.09992218</t>
  </si>
  <si>
    <t>10.93629265-79.10044861</t>
  </si>
  <si>
    <t>10.93552971-79.10092926</t>
  </si>
  <si>
    <t>10.93482971-79.10134125</t>
  </si>
  <si>
    <t>10.93419838-79.10170746</t>
  </si>
  <si>
    <t>10.93373966-79.10199738</t>
  </si>
  <si>
    <t>10.93358231-79.10238647</t>
  </si>
  <si>
    <t>10.9335041-79.1026535</t>
  </si>
  <si>
    <t>10.9333086-79.10342407</t>
  </si>
  <si>
    <t>10.9329977-79.10418701</t>
  </si>
  <si>
    <t>10.93215847-79.10448456</t>
  </si>
  <si>
    <t>10.93133354-79.10434723</t>
  </si>
  <si>
    <t>10.92948246-79.10388947</t>
  </si>
  <si>
    <t>10.9283638-79.1036377</t>
  </si>
  <si>
    <t>10.92733955-79.10340118</t>
  </si>
  <si>
    <t>10.92632198-79.10316467</t>
  </si>
  <si>
    <t>10.92532539-79.10294342</t>
  </si>
  <si>
    <t>10.92434502-79.10272217</t>
  </si>
  <si>
    <t>10.92337513-79.10250092</t>
  </si>
  <si>
    <t>10.92245197-79.10230255</t>
  </si>
  <si>
    <t>10.92161942-79.10211945</t>
  </si>
  <si>
    <t>10.92103004-79.10199738</t>
  </si>
  <si>
    <t>10.92060184-79.10194397</t>
  </si>
  <si>
    <t>10.91981506-79.10195923</t>
  </si>
  <si>
    <t>10.91888618-79.10198975</t>
  </si>
  <si>
    <t>10.91790199-79.10201263</t>
  </si>
  <si>
    <t>10.91675758-79.10212708</t>
  </si>
  <si>
    <t>10.91540623-79.10217285</t>
  </si>
  <si>
    <t>10.91414261-79.102211</t>
  </si>
  <si>
    <t>10.91285229-79.10234833</t>
  </si>
  <si>
    <t>10.91156006-79.10250854</t>
  </si>
  <si>
    <t>10.91026306-79.1026535</t>
  </si>
  <si>
    <t>10.90898991-79.10263824</t>
  </si>
  <si>
    <t>10.90773201-79.10257721</t>
  </si>
  <si>
    <t>10.90639019-79.10255432</t>
  </si>
  <si>
    <t>10.90520382-79.10262299</t>
  </si>
  <si>
    <t>10.90406322-79.1029892</t>
  </si>
  <si>
    <t>10.90288353-79.10321045</t>
  </si>
  <si>
    <t>10.90172958-79.10337067</t>
  </si>
  <si>
    <t>10.90063095-79.10347748</t>
  </si>
  <si>
    <t>10.89961815-79.10361481</t>
  </si>
  <si>
    <t>10.89869308-79.10379028</t>
  </si>
  <si>
    <t>10.89781666-79.10382843</t>
  </si>
  <si>
    <t>10.89716434-79.10398865</t>
  </si>
  <si>
    <t>10.89673424-79.10417938</t>
  </si>
  <si>
    <t>10.89654732-79.10425568</t>
  </si>
  <si>
    <t>10.89648628-79.10427094</t>
  </si>
  <si>
    <t>10.8964138-79.10427856</t>
  </si>
  <si>
    <t>10.89632607-79.10429382</t>
  </si>
  <si>
    <t>10.89632511-79.10429382</t>
  </si>
  <si>
    <t>10.89632225-79.10430145</t>
  </si>
  <si>
    <t>10.89632416-79.10429382</t>
  </si>
  <si>
    <t>10.89632702-79.10428619</t>
  </si>
  <si>
    <t>10.89632607-79.10428619</t>
  </si>
  <si>
    <t>10.89632988-79.10428619</t>
  </si>
  <si>
    <t>10.89632797-79.10428619</t>
  </si>
  <si>
    <t>10.8963232-79.10428619</t>
  </si>
  <si>
    <t>10.8963213-79.10429382</t>
  </si>
  <si>
    <t>10.89632893-79.10428619</t>
  </si>
  <si>
    <t>10.89633083-79.10428619</t>
  </si>
  <si>
    <t>10.89633179-79.10428619</t>
  </si>
  <si>
    <t>10.89632702-79.10429382</t>
  </si>
  <si>
    <t>10.89633465-79.10427856</t>
  </si>
  <si>
    <t>10.89633369-79.10427856</t>
  </si>
  <si>
    <t>10.89633274-79.10427856</t>
  </si>
  <si>
    <t>10.89632797-79.10429382</t>
  </si>
  <si>
    <t>10.89632511-79.10430145</t>
  </si>
  <si>
    <t>10.8963232-79.10430145</t>
  </si>
  <si>
    <t>10.89631557-79.10430908</t>
  </si>
  <si>
    <t>10.89631176-79.10430908</t>
  </si>
  <si>
    <t>10.89631081-79.10430145</t>
  </si>
  <si>
    <t>10.89631271-79.10430145</t>
  </si>
  <si>
    <t>10.89631176-79.10429382</t>
  </si>
  <si>
    <t>10.89631844-79.10428619</t>
  </si>
  <si>
    <t>10.89631939-79.10428619</t>
  </si>
  <si>
    <t>10.8963213-79.10428619</t>
  </si>
  <si>
    <t>10.89632416-79.10428619</t>
  </si>
  <si>
    <t>10.89632034-79.10429382</t>
  </si>
  <si>
    <t>10.8963232-79.10429382</t>
  </si>
  <si>
    <t>10.8963213-79.10430145</t>
  </si>
  <si>
    <t>10.89632416-79.10430145</t>
  </si>
  <si>
    <t>10.89632607-79.10430145</t>
  </si>
  <si>
    <t>10.89632988-79.10429382</t>
  </si>
  <si>
    <t>10.89633274-79.10429382</t>
  </si>
  <si>
    <t>10.8963356-79.10429382</t>
  </si>
  <si>
    <t>10.89633369-79.10430145</t>
  </si>
  <si>
    <t>10.89633083-79.10430145</t>
  </si>
  <si>
    <t>10.89633465-79.10430145</t>
  </si>
  <si>
    <t>10.8963356-79.10430145</t>
  </si>
  <si>
    <t>10.89633846-79.10429382</t>
  </si>
  <si>
    <t>10.89634132-79.10429382</t>
  </si>
  <si>
    <t>10.89634323-79.10429382</t>
  </si>
  <si>
    <t>10.89633942-79.10429382</t>
  </si>
  <si>
    <t>10.89633369-79.10429382</t>
  </si>
  <si>
    <t>10.89632893-79.10429382</t>
  </si>
  <si>
    <t>10.89632511-79.10428619</t>
  </si>
  <si>
    <t>10.89632702-79.10427856</t>
  </si>
  <si>
    <t>10.89632893-79.10427856</t>
  </si>
  <si>
    <t>10.89632607-79.10427856</t>
  </si>
  <si>
    <t>10.89632511-79.10427856</t>
  </si>
  <si>
    <t>10.89632416-79.10427856</t>
  </si>
  <si>
    <t>10.8963232-79.10427856</t>
  </si>
  <si>
    <t>10.89632225-79.10428619</t>
  </si>
  <si>
    <t>10.89633083-79.10427856</t>
  </si>
  <si>
    <t>10.89633274-79.10428619</t>
  </si>
  <si>
    <t>10.89633083-79.10429382</t>
  </si>
  <si>
    <t>10.89633179-79.10430145</t>
  </si>
  <si>
    <t>10.89633656-79.10430145</t>
  </si>
  <si>
    <t>10.89617062-79.1043396</t>
  </si>
  <si>
    <t>10.89574623-79.10430908</t>
  </si>
  <si>
    <t>10.89520931-79.10437012</t>
  </si>
  <si>
    <t>10.89474392-79.10424042</t>
  </si>
  <si>
    <t>10.89457798-79.10405731</t>
  </si>
  <si>
    <t>10.89456558-79.10404968</t>
  </si>
  <si>
    <t>10.89456367-79.10404205</t>
  </si>
  <si>
    <t>10.89456654-79.10404968</t>
  </si>
  <si>
    <t>10.89456272-79.10404968</t>
  </si>
  <si>
    <t>10.894557-79.10404968</t>
  </si>
  <si>
    <t>10.89455318-79.10404968</t>
  </si>
  <si>
    <t>10.89455223-79.10404968</t>
  </si>
  <si>
    <t>10.89454269-79.10403442</t>
  </si>
  <si>
    <t>10.89454174-79.10403442</t>
  </si>
  <si>
    <t>10.89454079-79.10402679</t>
  </si>
  <si>
    <t>10.89453888-79.10402679</t>
  </si>
  <si>
    <t>10.8945446-79.10401917</t>
  </si>
  <si>
    <t>10.8945446-79.10403442</t>
  </si>
  <si>
    <t>10.89454365-79.10403442</t>
  </si>
  <si>
    <t>10.89454842-79.10403442</t>
  </si>
  <si>
    <t>10.89455128-79.10402679</t>
  </si>
  <si>
    <t>10.89455509-79.10403442</t>
  </si>
  <si>
    <t>10.89455605-79.10403442</t>
  </si>
  <si>
    <t>10.89456177-79.10403442</t>
  </si>
  <si>
    <t>10.89456654-79.10403442</t>
  </si>
  <si>
    <t>10.89456177-79.10404205</t>
  </si>
  <si>
    <t>10.89455986-79.10404968</t>
  </si>
  <si>
    <t>10.89456081-79.10404205</t>
  </si>
  <si>
    <t>10.89455795-79.10404205</t>
  </si>
  <si>
    <t>10.89455509-79.10404205</t>
  </si>
  <si>
    <t>10.89455318-79.10403442</t>
  </si>
  <si>
    <t>10.89447594-79.10394287</t>
  </si>
  <si>
    <t>10.89414024-79.10349274</t>
  </si>
  <si>
    <t>10.89362621-79.10293579</t>
  </si>
  <si>
    <t>10.89305305-79.10228729</t>
  </si>
  <si>
    <t>10.8924036-79.10153961</t>
  </si>
  <si>
    <t>10.89159298-79.10061646</t>
  </si>
  <si>
    <t>10.89076519-79.09965515</t>
  </si>
  <si>
    <t>10.88988495-79.09870911</t>
  </si>
  <si>
    <t>10.88895416-79.09780884</t>
  </si>
  <si>
    <t>10.88792706-79.09702301</t>
  </si>
  <si>
    <t>10.88678455-79.09638214</t>
  </si>
  <si>
    <t>10.88554478-79.09590149</t>
  </si>
  <si>
    <t>10.88147736-79.0943985</t>
  </si>
  <si>
    <t>10.88003445-79.09387207</t>
  </si>
  <si>
    <t>10.87873459-79.09343719</t>
  </si>
  <si>
    <t>10.87766075-79.09314728</t>
  </si>
  <si>
    <t>10.87661171-79.09299469</t>
  </si>
  <si>
    <t>10.87545967-79.09294891</t>
  </si>
  <si>
    <t>10.87415695-79.09291077</t>
  </si>
  <si>
    <t>10.87281322-79.09282684</t>
  </si>
  <si>
    <t>10.87147522-79.09268951</t>
  </si>
  <si>
    <t>10.87012577-79.09268951</t>
  </si>
  <si>
    <t>10.86882401-79.09286499</t>
  </si>
  <si>
    <t>10.8675108-79.09342194</t>
  </si>
  <si>
    <t>10.86648655-79.09429932</t>
  </si>
  <si>
    <t>10.86553383-79.0951767</t>
  </si>
  <si>
    <t>10.86458683-79.09598541</t>
  </si>
  <si>
    <t>10.86362457-79.09683228</t>
  </si>
  <si>
    <t>10.86254692-79.09770203</t>
  </si>
  <si>
    <t>10.86146164-79.09857178</t>
  </si>
  <si>
    <t>10.86041641-79.09942627</t>
  </si>
  <si>
    <t>10.85964298-79.10011292</t>
  </si>
  <si>
    <t>10.85890293-79.10081482</t>
  </si>
  <si>
    <t>10.85818863-79.10150146</t>
  </si>
  <si>
    <t>10.85738087-79.10228729</t>
  </si>
  <si>
    <t>10.85650063-79.1031723</t>
  </si>
  <si>
    <t>10.85573483-79.10417938</t>
  </si>
  <si>
    <t>10.85503101-79.10535431</t>
  </si>
  <si>
    <t>10.85438347-79.10643005</t>
  </si>
  <si>
    <t>10.85373116-79.10753632</t>
  </si>
  <si>
    <t>10.85308838-79.10863495</t>
  </si>
  <si>
    <t>10.852458-79.10969543</t>
  </si>
  <si>
    <t>10.85183334-79.11077118</t>
  </si>
  <si>
    <t>10.85119057-79.11185455</t>
  </si>
  <si>
    <t>10.84996891-79.1138916</t>
  </si>
  <si>
    <t>10.84855938-79.11591339</t>
  </si>
  <si>
    <t>10.84761047-79.11637878</t>
  </si>
  <si>
    <t>10.84671307-79.11672211</t>
  </si>
  <si>
    <t>10.84594536-79.11721039</t>
  </si>
  <si>
    <t>10.8449707-79.11791229</t>
  </si>
  <si>
    <t>10.84331989-79.1195755</t>
  </si>
  <si>
    <t>10.84249401-79.12007141</t>
  </si>
  <si>
    <t>10.84163666-79.12046051</t>
  </si>
  <si>
    <t>10.8408823-79.1207962</t>
  </si>
  <si>
    <t>10.84041786-79.12098694</t>
  </si>
  <si>
    <t>10.8402729-79.1210556</t>
  </si>
  <si>
    <t>10.83962154-79.12143707</t>
  </si>
  <si>
    <t>10.83865261-79.12214661</t>
  </si>
  <si>
    <t>10.8375206-79.12272644</t>
  </si>
  <si>
    <t>10.83650875-79.1231842</t>
  </si>
  <si>
    <t>10.8355751-79.12381744</t>
  </si>
  <si>
    <t>10.83459473-79.12427521</t>
  </si>
  <si>
    <t>10.83392811-79.12503052</t>
  </si>
  <si>
    <t>10.83348179-79.12609863</t>
  </si>
  <si>
    <t>10.83292294-79.12721252</t>
  </si>
  <si>
    <t>10.83244514-79.12823486</t>
  </si>
  <si>
    <t>10.83201313-79.12928772</t>
  </si>
  <si>
    <t>10.83131981-79.13019562</t>
  </si>
  <si>
    <t>10.83040524-79.130867</t>
  </si>
  <si>
    <t>10.82946491-79.13143921</t>
  </si>
  <si>
    <t>10.82878208-79.13208008</t>
  </si>
  <si>
    <t>10.82811642-79.13235474</t>
  </si>
  <si>
    <t>10.82813931-79.13276672</t>
  </si>
  <si>
    <t>10.82850838-79.1332016</t>
  </si>
  <si>
    <t>10.8289566-79.1340332</t>
  </si>
  <si>
    <t>10.82942009-79.13490295</t>
  </si>
  <si>
    <t>10.82989407-79.13591766</t>
  </si>
  <si>
    <t>10.82996559-79.13706207</t>
  </si>
  <si>
    <t>10.82977962-79.13832855</t>
  </si>
  <si>
    <t>10.82920361-79.13929749</t>
  </si>
  <si>
    <t>10.82845306-79.13991547</t>
  </si>
  <si>
    <t>10.82774067-79.14030457</t>
  </si>
  <si>
    <t>10.82713413-79.14048004</t>
  </si>
  <si>
    <t>10.82653618-79.14098358</t>
  </si>
  <si>
    <t>10.8257103-79.14144897</t>
  </si>
  <si>
    <t>10.82496834-79.14189148</t>
  </si>
  <si>
    <t>10.82408619-79.1427002</t>
  </si>
  <si>
    <t>10.82323074-79.1435318</t>
  </si>
  <si>
    <t>10.82238102-79.14438629</t>
  </si>
  <si>
    <t>10.82157326-79.14519501</t>
  </si>
  <si>
    <t>10.82074356-79.14602661</t>
  </si>
  <si>
    <t>10.81983089-79.14680481</t>
  </si>
  <si>
    <t>10.81881523-79.14740753</t>
  </si>
  <si>
    <t>10.81764889-79.14771271</t>
  </si>
  <si>
    <t>10.8168211-79.14790344</t>
  </si>
  <si>
    <t>10.81611061-79.14807129</t>
  </si>
  <si>
    <t>10.81552505-79.14820099</t>
  </si>
  <si>
    <t>10.81519127-79.14832306</t>
  </si>
  <si>
    <t>10.81507874-79.14838409</t>
  </si>
  <si>
    <t>10.81506348-79.14839172</t>
  </si>
  <si>
    <t>10.81505966-79.14839172</t>
  </si>
  <si>
    <t>10.81506443-79.14839172</t>
  </si>
  <si>
    <t>10.81506348-79.14839935</t>
  </si>
  <si>
    <t>10.81506443-79.14839935</t>
  </si>
  <si>
    <t>10.8150568-79.14840698</t>
  </si>
  <si>
    <t>10.81504917-79.14841461</t>
  </si>
  <si>
    <t>10.81505203-79.14841461</t>
  </si>
  <si>
    <t>10.81504631-79.14841461</t>
  </si>
  <si>
    <t>10.81503868-79.14841461</t>
  </si>
  <si>
    <t>10.81504154-79.14841461</t>
  </si>
  <si>
    <t>10.81506729-79.14848328</t>
  </si>
  <si>
    <t>10.81508064-79.14852142</t>
  </si>
  <si>
    <t>10.81505585-79.14859772</t>
  </si>
  <si>
    <t>10.81507492-79.14865112</t>
  </si>
  <si>
    <t>10.81508827-79.14868927</t>
  </si>
  <si>
    <t>10.81509972-79.14873505</t>
  </si>
  <si>
    <t>10.81510925-79.14878082</t>
  </si>
  <si>
    <t>10.81511402-79.14880371</t>
  </si>
  <si>
    <t>10.81511688-79.14880371</t>
  </si>
  <si>
    <t>10.81511879-79.14881134</t>
  </si>
  <si>
    <t>10.81512165-79.14881134</t>
  </si>
  <si>
    <t>10.81512356-79.14881134</t>
  </si>
  <si>
    <t>10.81511784-79.14881134</t>
  </si>
  <si>
    <t>10.81511211-79.14881897</t>
  </si>
  <si>
    <t>10.81510544-79.1488266</t>
  </si>
  <si>
    <t>10.81510067-79.14883423</t>
  </si>
  <si>
    <t>10.81509972-79.14883423</t>
  </si>
  <si>
    <t>10.81510258-79.14883423</t>
  </si>
  <si>
    <t>10.81510162-79.14884186</t>
  </si>
  <si>
    <t>10.81510544-79.14883423</t>
  </si>
  <si>
    <t>10.81510258-79.1488266</t>
  </si>
  <si>
    <t>10.81511593-79.14881897</t>
  </si>
  <si>
    <t>10.81511593-79.14881134</t>
  </si>
  <si>
    <t>10.81511593-79.14880371</t>
  </si>
  <si>
    <t>10.81511593-79.14878845</t>
  </si>
  <si>
    <t>10.8151207-79.14878082</t>
  </si>
  <si>
    <t>10.81512642-79.14878082</t>
  </si>
  <si>
    <t>10.81513405-79.14878082</t>
  </si>
  <si>
    <t>10.81513596-79.14878845</t>
  </si>
  <si>
    <t>10.81513596-79.14878082</t>
  </si>
  <si>
    <t>10.815135-79.14877319</t>
  </si>
  <si>
    <t>10.81513023-79.14877319</t>
  </si>
  <si>
    <t>10.81513214-79.14878082</t>
  </si>
  <si>
    <t>10.81512928-79.14878082</t>
  </si>
  <si>
    <t>10.81512642-79.14880371</t>
  </si>
  <si>
    <t>10.81511974-79.14880371</t>
  </si>
  <si>
    <t>10.81513786-79.14878082</t>
  </si>
  <si>
    <t>10.815135-79.14878845</t>
  </si>
  <si>
    <t>10.81513309-79.14878845</t>
  </si>
  <si>
    <t>10.81512833-79.14878082</t>
  </si>
  <si>
    <t>10.81511879-79.14878082</t>
  </si>
  <si>
    <t>10.81511784-79.14877319</t>
  </si>
  <si>
    <t>10.81511593-79.14876556</t>
  </si>
  <si>
    <t>10.81511688-79.14876556</t>
  </si>
  <si>
    <t>10.81511879-79.14876556</t>
  </si>
  <si>
    <t>10.81510925-79.14870453</t>
  </si>
  <si>
    <t>10.81511116-79.14868927</t>
  </si>
  <si>
    <t>10.81511402-79.14868927</t>
  </si>
  <si>
    <t>10.81511497-79.14868927</t>
  </si>
  <si>
    <t>10.81511307-79.14868927</t>
  </si>
  <si>
    <t>10.81511784-79.14868927</t>
  </si>
  <si>
    <t>10.81511688-79.14868927</t>
  </si>
  <si>
    <t>10.81511211-79.14868927</t>
  </si>
  <si>
    <t>10.81510162-79.14868164</t>
  </si>
  <si>
    <t>10.81509781-79.14865875</t>
  </si>
  <si>
    <t>10.8150959-79.14866638</t>
  </si>
  <si>
    <t>10.81509018-79.14866638</t>
  </si>
  <si>
    <t>10.81508732-79.14866638</t>
  </si>
  <si>
    <t>10.81508446-79.14866638</t>
  </si>
  <si>
    <t>10.8150816-79.14866638</t>
  </si>
  <si>
    <t>10.81507969-79.14866638</t>
  </si>
  <si>
    <t>10.81507778-79.14862823</t>
  </si>
  <si>
    <t>10.8150568-79.14857483</t>
  </si>
  <si>
    <t>10.81505203-79.14855194</t>
  </si>
  <si>
    <t>10.81506443-79.14855957</t>
  </si>
  <si>
    <t>10.81506348-79.14855957</t>
  </si>
  <si>
    <t>10.81506157-79.14855957</t>
  </si>
  <si>
    <t>10.81506824-79.14855957</t>
  </si>
  <si>
    <t>10.81507111-79.1485672</t>
  </si>
  <si>
    <t>10.81507206-79.1485672</t>
  </si>
  <si>
    <t>10.81506634-79.14855957</t>
  </si>
  <si>
    <t>10.81506538-79.14857483</t>
  </si>
  <si>
    <t>10.81507111-79.14859772</t>
  </si>
  <si>
    <t>10.81507301-79.14859772</t>
  </si>
  <si>
    <t>10.81507397-79.14859772</t>
  </si>
  <si>
    <t>10.81507015-79.14859009</t>
  </si>
  <si>
    <t>10.81506824-79.14859009</t>
  </si>
  <si>
    <t>10.81507206-79.14859009</t>
  </si>
  <si>
    <t>10.81507111-79.14859009</t>
  </si>
  <si>
    <t>10.81507301-79.14859009</t>
  </si>
  <si>
    <t>10.81507683-79.14859009</t>
  </si>
  <si>
    <t>10.8150816-79.14858246</t>
  </si>
  <si>
    <t>10.81508923-79.14859009</t>
  </si>
  <si>
    <t>10.81509876-79.14858246</t>
  </si>
  <si>
    <t>10.81510735-79.14858246</t>
  </si>
  <si>
    <t>10.81511211-79.14858246</t>
  </si>
  <si>
    <t>10.81510925-79.14859009</t>
  </si>
  <si>
    <t>10.81510735-79.14859009</t>
  </si>
  <si>
    <t>10.81510544-79.14859009</t>
  </si>
  <si>
    <t>10.81510067-79.14859009</t>
  </si>
  <si>
    <t>10.81509972-79.14859009</t>
  </si>
  <si>
    <t>10.8150959-79.14859009</t>
  </si>
  <si>
    <t>10.81509209-79.14859009</t>
  </si>
  <si>
    <t>10.81508541-79.14859009</t>
  </si>
  <si>
    <t>10.81507778-79.14859772</t>
  </si>
  <si>
    <t>10.81506824-79.14860535</t>
  </si>
  <si>
    <t>10.81507111-79.14861298</t>
  </si>
  <si>
    <t>10.81507206-79.14860535</t>
  </si>
  <si>
    <t>10.81506634-79.14860535</t>
  </si>
  <si>
    <t>10.81505871-79.14859772</t>
  </si>
  <si>
    <t>10.81505775-79.14859772</t>
  </si>
  <si>
    <t>10.81504822-79.14858246</t>
  </si>
  <si>
    <t>10.81496143-79.14836884</t>
  </si>
  <si>
    <t>10.81441975-79.14852142</t>
  </si>
  <si>
    <t>10.81349945-79.14922333</t>
  </si>
  <si>
    <t>10.8125391-79.15014648</t>
  </si>
  <si>
    <t>10.81156445-79.15100098</t>
  </si>
  <si>
    <t>10.81056404-79.15185547</t>
  </si>
  <si>
    <t>10.8094244-79.15276337</t>
  </si>
  <si>
    <t>10.80839157-79.15358734</t>
  </si>
  <si>
    <t>10.80729103-79.15447998</t>
  </si>
  <si>
    <t>10.80607796-79.15547943</t>
  </si>
  <si>
    <t>10.80488968-79.15649414</t>
  </si>
  <si>
    <t>10.80370426-79.15753937</t>
  </si>
  <si>
    <t>10.80237484-79.15866852</t>
  </si>
  <si>
    <t>10.80113029-79.15974426</t>
  </si>
  <si>
    <t>10.79978275-79.16060638</t>
  </si>
  <si>
    <t>10.79823303-79.1608429</t>
  </si>
  <si>
    <t>10.79668427-79.16104126</t>
  </si>
  <si>
    <t>10.7937479-79.16142273</t>
  </si>
  <si>
    <t>10.79224873-79.1619339</t>
  </si>
  <si>
    <t>10.79106522-79.1627121</t>
  </si>
  <si>
    <t>10.79059315-79.16403961</t>
  </si>
  <si>
    <t>10.7899189-79.16667175</t>
  </si>
  <si>
    <t>10.78961182-79.16776276</t>
  </si>
  <si>
    <t>10.7892971-79.16860199</t>
  </si>
  <si>
    <t>10.78903389-79.16911316</t>
  </si>
  <si>
    <t>10.78882694-79.16955566</t>
  </si>
  <si>
    <t>10.7887373-79.16972351</t>
  </si>
  <si>
    <t>10.78865147-79.16986084</t>
  </si>
  <si>
    <t>10.78851318-79.17009735</t>
  </si>
  <si>
    <t>10.787076-79.17160034</t>
  </si>
  <si>
    <t>10.78635406-79.17169952</t>
  </si>
  <si>
    <t>10.78598309-79.17169952</t>
  </si>
  <si>
    <t>10.78551674-79.17165375</t>
  </si>
  <si>
    <t>10.78388214-79.17044067</t>
  </si>
  <si>
    <t>10.78286552-79.16965485</t>
  </si>
  <si>
    <t>10.78194618-79.16896057</t>
  </si>
  <si>
    <t>10.7811594-79.16835785</t>
  </si>
  <si>
    <t>10.78005219-79.16764832</t>
  </si>
  <si>
    <t>10.77990532-79.16799927</t>
  </si>
  <si>
    <t>10.78005695-79.16824341</t>
  </si>
  <si>
    <t>10.78026867-79.1684494</t>
  </si>
  <si>
    <t>10.78046703-79.16896057</t>
  </si>
  <si>
    <t>10.78063107-79.16975403</t>
  </si>
  <si>
    <t>10.78071785-79.17037964</t>
  </si>
  <si>
    <t>10.78093338-79.17116547</t>
  </si>
  <si>
    <t>10.7811842-79.17211914</t>
  </si>
  <si>
    <t>10.78135109-79.17295074</t>
  </si>
  <si>
    <t>10.78142929-79.17341614</t>
  </si>
  <si>
    <t>10.78143883-79.17357635</t>
  </si>
  <si>
    <t>10.78144264-79.17362213</t>
  </si>
  <si>
    <t>10.78157425-79.17436218</t>
  </si>
  <si>
    <t>10.78177643-79.17559814</t>
  </si>
  <si>
    <t>10.78200054-79.17686462</t>
  </si>
  <si>
    <t>10.78230953-79.17863464</t>
  </si>
  <si>
    <t>10.78250313-79.17987061</t>
  </si>
  <si>
    <t>10.78271008-79.1811142</t>
  </si>
  <si>
    <t>10.78288841-79.18238068</t>
  </si>
  <si>
    <t>10.78310299-79.18366241</t>
  </si>
  <si>
    <t>10.7833519-79.18503571</t>
  </si>
  <si>
    <t>10.7835722-79.18623352</t>
  </si>
  <si>
    <t>10.78376675-79.18740082</t>
  </si>
  <si>
    <t>10.78388691-79.1884613</t>
  </si>
  <si>
    <t>10.7839489-79.18933105</t>
  </si>
  <si>
    <t>10.78396416-79.18982697</t>
  </si>
  <si>
    <t>10.7839756-79.19016266</t>
  </si>
  <si>
    <t>10.78399181-79.1910553</t>
  </si>
  <si>
    <t>10.78395653-79.19226837</t>
  </si>
  <si>
    <t>10.78383255-79.1934967</t>
  </si>
  <si>
    <t>10.78358269-79.19473267</t>
  </si>
  <si>
    <t>10.78324986-79.19595337</t>
  </si>
  <si>
    <t>10.78289795-79.19715881</t>
  </si>
  <si>
    <t>10.78260899-79.19834137</t>
  </si>
  <si>
    <t>10.78269196-79.199646</t>
  </si>
  <si>
    <t>10.78302765-79.20088959</t>
  </si>
  <si>
    <t>10.78314304-79.20220947</t>
  </si>
  <si>
    <t>10.78291988-79.20355988</t>
  </si>
  <si>
    <t>10.7827282-79.20492554</t>
  </si>
  <si>
    <t>10.78261089-79.2062912</t>
  </si>
  <si>
    <t>10.78250694-79.2076416</t>
  </si>
  <si>
    <t>10.78240108-79.20910645</t>
  </si>
  <si>
    <t>10.78230095-79.21048737</t>
  </si>
  <si>
    <t>10.7822094-79.21188354</t>
  </si>
  <si>
    <t>10.78214264-79.21327209</t>
  </si>
  <si>
    <t>10.782094-79.21463776</t>
  </si>
  <si>
    <t>10.78199959-79.21604156</t>
  </si>
  <si>
    <t>10.78208065-79.21743774</t>
  </si>
  <si>
    <t>10.78233433-79.21891785</t>
  </si>
  <si>
    <t>10.78259277-79.22026825</t>
  </si>
  <si>
    <t>10.7825861-79.22164917</t>
  </si>
  <si>
    <t>10.78227711-79.2230072</t>
  </si>
  <si>
    <t>10.78191566-79.22438049</t>
  </si>
  <si>
    <t>10.78166008-79.22573853</t>
  </si>
  <si>
    <t>10.78145123-79.22849274</t>
  </si>
  <si>
    <t>10.78144741-79.23001862</t>
  </si>
  <si>
    <t>10.78146267-79.23144531</t>
  </si>
  <si>
    <t>10.78147125-79.23287201</t>
  </si>
  <si>
    <t>10.78090096-79.2355957</t>
  </si>
  <si>
    <t>10.78060341-79.23699188</t>
  </si>
  <si>
    <t>10.7801857-79.23851013</t>
  </si>
  <si>
    <t>10.7787962-79.2407074</t>
  </si>
  <si>
    <t>10.77816772-79.24250031</t>
  </si>
  <si>
    <t>10.77805138-79.24378204</t>
  </si>
  <si>
    <t>10.77802467-79.24507141</t>
  </si>
  <si>
    <t>10.77798176-79.24636078</t>
  </si>
  <si>
    <t>10.77788925-79.24768829</t>
  </si>
  <si>
    <t>10.77779293-79.24897003</t>
  </si>
  <si>
    <t>10.77768612-79.25036621</t>
  </si>
  <si>
    <t>10.7776413-79.25161743</t>
  </si>
  <si>
    <t>10.77763939-79.25279236</t>
  </si>
  <si>
    <t>10.77775002-79.25392151</t>
  </si>
  <si>
    <t>10.77803516-79.25501251</t>
  </si>
  <si>
    <t>10.77849865-79.25609589</t>
  </si>
  <si>
    <t>10.77920914-79.25717926</t>
  </si>
  <si>
    <t>10.7800951-79.258461</t>
  </si>
  <si>
    <t>10.78046227-79.25987244</t>
  </si>
  <si>
    <t>10.78046703-79.26132965</t>
  </si>
  <si>
    <t>10.78044033-79.26280212</t>
  </si>
  <si>
    <t>10.78040028-79.26421356</t>
  </si>
  <si>
    <t>10.78055763-79.26554108</t>
  </si>
  <si>
    <t>10.78112888-79.26668549</t>
  </si>
  <si>
    <t>10.7820406-79.26753235</t>
  </si>
  <si>
    <t>10.78315258-79.26806641</t>
  </si>
  <si>
    <t>10.78421783-79.2685318</t>
  </si>
  <si>
    <t>10.78521633-79.269104</t>
  </si>
  <si>
    <t>10.78622723-79.2698822</t>
  </si>
  <si>
    <t>10.78712845-79.27080536</t>
  </si>
  <si>
    <t>10.78795719-79.27196503</t>
  </si>
  <si>
    <t>10.78855038-79.27314758</t>
  </si>
  <si>
    <t>10.78899193-79.27442169</t>
  </si>
  <si>
    <t>10.78944397-79.27581024</t>
  </si>
  <si>
    <t>10.78993607-79.27722931</t>
  </si>
  <si>
    <t>10.7904253-79.27864838</t>
  </si>
  <si>
    <t>10.79071331-79.28012085</t>
  </si>
  <si>
    <t>10.79065609-79.28159332</t>
  </si>
  <si>
    <t>10.79026699-79.28308105</t>
  </si>
  <si>
    <t>10.78972244-79.28437805</t>
  </si>
  <si>
    <t>10.78918839-79.28562927</t>
  </si>
  <si>
    <t>10.78869057-79.28686523</t>
  </si>
  <si>
    <t>10.78842831-79.28817749</t>
  </si>
  <si>
    <t>10.78855515-79.28951263</t>
  </si>
  <si>
    <t>10.78884506-79.29084015</t>
  </si>
  <si>
    <t>10.78922653-79.2922287</t>
  </si>
  <si>
    <t>10.7898283-79.29341888</t>
  </si>
  <si>
    <t>10.79044819-79.2946167</t>
  </si>
  <si>
    <t>10.79083824-79.29589081</t>
  </si>
  <si>
    <t>10.79119205-79.29714966</t>
  </si>
  <si>
    <t>10.79155159-79.29845428</t>
  </si>
  <si>
    <t>10.79180717-79.29988861</t>
  </si>
  <si>
    <t>10.79184437-79.30134583</t>
  </si>
  <si>
    <t>10.79185677-79.30284119</t>
  </si>
  <si>
    <t>10.79204369-79.30413055</t>
  </si>
  <si>
    <t>10.79222107-79.30538177</t>
  </si>
  <si>
    <t>10.79226685-79.30670166</t>
  </si>
  <si>
    <t>10.79231739-79.30802917</t>
  </si>
  <si>
    <t>10.79226494-79.30921173</t>
  </si>
  <si>
    <t>10.79179955-79.31023407</t>
  </si>
  <si>
    <t>10.79088306-79.31112671</t>
  </si>
  <si>
    <t>10.789958-79.31194305</t>
  </si>
  <si>
    <t>10.78907585-79.31291962</t>
  </si>
  <si>
    <t>10.78858185-79.31417084</t>
  </si>
  <si>
    <t>10.78846359-79.3155365</t>
  </si>
  <si>
    <t>10.78838062-79.31695557</t>
  </si>
  <si>
    <t>10.78827095-79.3184433</t>
  </si>
  <si>
    <t>10.78833675-79.31972504</t>
  </si>
  <si>
    <t>10.78867245-79.32091522</t>
  </si>
  <si>
    <t>10.78921604-79.32199097</t>
  </si>
  <si>
    <t>10.78996944-79.32296753</t>
  </si>
  <si>
    <t>10.79079056-79.32392883</t>
  </si>
  <si>
    <t>10.79158974-79.32489777</t>
  </si>
  <si>
    <t>10.79225063-79.32609558</t>
  </si>
  <si>
    <t>10.79258442-79.3272934</t>
  </si>
  <si>
    <t>10.79266262-79.32852936</t>
  </si>
  <si>
    <t>10.79250717-79.32978058</t>
  </si>
  <si>
    <t>10.79227066-79.33104706</t>
  </si>
  <si>
    <t>10.79201889-79.3323288</t>
  </si>
  <si>
    <t>10.79169655-79.33360291</t>
  </si>
  <si>
    <t>10.79129601-79.33498383</t>
  </si>
  <si>
    <t>10.79092884-79.33628082</t>
  </si>
  <si>
    <t>10.79053974-79.33758545</t>
  </si>
  <si>
    <t>10.79016495-79.33888245</t>
  </si>
  <si>
    <t>10.78979588-79.34020996</t>
  </si>
  <si>
    <t>10.7894268-79.3415451</t>
  </si>
  <si>
    <t>10.78906345-79.34286499</t>
  </si>
  <si>
    <t>10.78872395-79.34423065</t>
  </si>
  <si>
    <t>10.78843403-79.34571838</t>
  </si>
  <si>
    <t>10.78811455-79.34702301</t>
  </si>
  <si>
    <t>10.78772163-79.34829712</t>
  </si>
  <si>
    <t>10.78730392-79.34954834</t>
  </si>
  <si>
    <t>10.78689671-79.35077667</t>
  </si>
  <si>
    <t>10.78653622-79.35187531</t>
  </si>
  <si>
    <t>10.78624821-79.35269165</t>
  </si>
  <si>
    <t>10.78601837-79.35314178</t>
  </si>
  <si>
    <t>10.78596592-79.35325623</t>
  </si>
  <si>
    <t>10.78579903-79.35362244</t>
  </si>
  <si>
    <t>10.78570461-79.35390472</t>
  </si>
  <si>
    <t>10.78534794-79.35478973</t>
  </si>
  <si>
    <t>10.78486443-79.35606384</t>
  </si>
  <si>
    <t>10.78441811-79.35756683</t>
  </si>
  <si>
    <t>10.78388119-79.35889435</t>
  </si>
  <si>
    <t>10.78306293-79.36025238</t>
  </si>
  <si>
    <t>10.7821703-79.36172485</t>
  </si>
  <si>
    <t>10.78137207-79.36325836</t>
  </si>
  <si>
    <t>10.78058147-79.36471558</t>
  </si>
  <si>
    <t>10.7798357-79.3660965</t>
  </si>
  <si>
    <t>10.77942085-79.36764526</t>
  </si>
  <si>
    <t>10.7796278-79.36910248</t>
  </si>
  <si>
    <t>10.78031826-79.37042999</t>
  </si>
  <si>
    <t>10.78110218-79.37171936</t>
  </si>
  <si>
    <t>10.78192425-79.37308502</t>
  </si>
  <si>
    <t>10.78285122-79.37462616</t>
  </si>
  <si>
    <t>10.78388882-79.37634277</t>
  </si>
  <si>
    <t>10.78506756-79.37828827</t>
  </si>
  <si>
    <t>10.78611469-79.38001251</t>
  </si>
  <si>
    <t>10.78712368-79.38168335</t>
  </si>
  <si>
    <t>10.78806973-79.38324738</t>
  </si>
  <si>
    <t>10.78896904-79.38472748</t>
  </si>
  <si>
    <t>10.78983307-79.38613892</t>
  </si>
  <si>
    <t>10.79067039-79.38751221</t>
  </si>
  <si>
    <t>10.79148865-79.38887787</t>
  </si>
  <si>
    <t>10.792202-79.39003754</t>
  </si>
  <si>
    <t>10.79286766-79.39112091</t>
  </si>
  <si>
    <t>10.79345608-79.39220428</t>
  </si>
  <si>
    <t>10.79397011-79.39330292</t>
  </si>
  <si>
    <t>10.79438019-79.39431763</t>
  </si>
  <si>
    <t>10.79482937-79.39568329</t>
  </si>
  <si>
    <t>10.79530334-79.39761353</t>
  </si>
  <si>
    <t>10.79559517-79.39942169</t>
  </si>
  <si>
    <t>10.79581165-79.40116119</t>
  </si>
  <si>
    <t>10.79606247-79.40277863</t>
  </si>
  <si>
    <t>10.79625702-79.40424347</t>
  </si>
  <si>
    <t>10.79639721-79.40549469</t>
  </si>
  <si>
    <t>10.79652023-79.40665436</t>
  </si>
  <si>
    <t>10.79660511-79.40776825</t>
  </si>
  <si>
    <t>10.79668903-79.40895081</t>
  </si>
  <si>
    <t>10.79671001-79.41034698</t>
  </si>
  <si>
    <t>10.79671288-79.41171265</t>
  </si>
  <si>
    <t>10.79667091-79.41309357</t>
  </si>
  <si>
    <t>10.79661179-79.41447449</t>
  </si>
  <si>
    <t>10.79657841-79.41597748</t>
  </si>
  <si>
    <t>10.79652882-79.41868591</t>
  </si>
  <si>
    <t>10.79650307-79.42003632</t>
  </si>
  <si>
    <t>10.79646778-79.42139435</t>
  </si>
  <si>
    <t>10.79643917-79.42276001</t>
  </si>
  <si>
    <t>10.79640388-79.42411041</t>
  </si>
  <si>
    <t>10.79638004-79.42556</t>
  </si>
  <si>
    <t>10.79635334-79.42690277</t>
  </si>
  <si>
    <t>10.79632473-79.42824554</t>
  </si>
  <si>
    <t>10.79630089-79.42957306</t>
  </si>
  <si>
    <t>10.796278-79.4309082</t>
  </si>
  <si>
    <t>10.79625034-79.43223572</t>
  </si>
  <si>
    <t>10.79622269-79.43350983</t>
  </si>
  <si>
    <t>10.79619026-79.43483734</t>
  </si>
  <si>
    <t>10.79610062-79.43600464</t>
  </si>
  <si>
    <t>10.79592514-79.43715668</t>
  </si>
  <si>
    <t>10.79568195-79.43834686</t>
  </si>
  <si>
    <t>10.79543781-79.43955994</t>
  </si>
  <si>
    <t>10.79518509-79.44078827</t>
  </si>
  <si>
    <t>10.7949276-79.44203186</t>
  </si>
  <si>
    <t>10.79467392-79.44325256</t>
  </si>
  <si>
    <t>10.79440212-79.44458771</t>
  </si>
  <si>
    <t>10.79415035-79.44580841</t>
  </si>
  <si>
    <t>10.79388905-79.44703674</t>
  </si>
  <si>
    <t>10.79363441-79.44829559</t>
  </si>
  <si>
    <t>10.79337978-79.44958496</t>
  </si>
  <si>
    <t>10.7931118-79.45087433</t>
  </si>
  <si>
    <t>10.79284382-79.45217896</t>
  </si>
  <si>
    <t>10.79254913-79.45354462</t>
  </si>
  <si>
    <t>10.79227924-79.45475769</t>
  </si>
  <si>
    <t>10.791996-79.45596313</t>
  </si>
  <si>
    <t>10.79170418-79.45718384</t>
  </si>
  <si>
    <t>10.79140377-79.45839691</t>
  </si>
  <si>
    <t>10.79109669-79.45965576</t>
  </si>
  <si>
    <t>10.79076958-79.4610672</t>
  </si>
  <si>
    <t>10.79049015-79.46235657</t>
  </si>
  <si>
    <t>10.79022694-79.46366119</t>
  </si>
  <si>
    <t>10.78996468-79.46496582</t>
  </si>
  <si>
    <t>10.78968906-79.46623993</t>
  </si>
  <si>
    <t>10.78940678-79.46751404</t>
  </si>
  <si>
    <t>10.78914738-79.46876526</t>
  </si>
  <si>
    <t>10.78892422-79.47001648</t>
  </si>
  <si>
    <t>10.78872681-79.47132874</t>
  </si>
  <si>
    <t>10.78853416-79.47262573</t>
  </si>
  <si>
    <t>10.78833485-79.47394562</t>
  </si>
  <si>
    <t>10.78814125-79.47528839</t>
  </si>
  <si>
    <t>10.78796482-79.47655487</t>
  </si>
  <si>
    <t>10.78784847-79.47769165</t>
  </si>
  <si>
    <t>10.78773117-79.4787674</t>
  </si>
  <si>
    <t>10.78760624-79.47994995</t>
  </si>
  <si>
    <t>10.78749275-79.48107147</t>
  </si>
  <si>
    <t>10.78736496-79.48228455</t>
  </si>
  <si>
    <t>10.78722858-79.48352051</t>
  </si>
  <si>
    <t>10.78710842-79.48470306</t>
  </si>
  <si>
    <t>10.78699303-79.48582458</t>
  </si>
  <si>
    <t>10.78688431-79.48683929</t>
  </si>
  <si>
    <t>10.78677464-79.48782349</t>
  </si>
  <si>
    <t>10.7866888-79.48857117</t>
  </si>
  <si>
    <t>10.7866354-79.4890976</t>
  </si>
  <si>
    <t>10.78657532-79.48963165</t>
  </si>
  <si>
    <t>10.78650665-79.49031067</t>
  </si>
  <si>
    <t>10.78643513-79.49095154</t>
  </si>
  <si>
    <t>10.78636169-79.49163055</t>
  </si>
  <si>
    <t>10.7862711-79.49255371</t>
  </si>
  <si>
    <t>10.78617668-79.49358368</t>
  </si>
  <si>
    <t>10.78604794-79.49479675</t>
  </si>
  <si>
    <t>10.7859087-79.49607849</t>
  </si>
  <si>
    <t>10.78577042-79.49733734</t>
  </si>
  <si>
    <t>10.78562927-79.49854279</t>
  </si>
  <si>
    <t>10.78550816-79.49964905</t>
  </si>
  <si>
    <t>10.7854023-79.50069427</t>
  </si>
  <si>
    <t>10.78530025-79.50202179</t>
  </si>
  <si>
    <t>10.78556824-79.50331879</t>
  </si>
  <si>
    <t>10.78622818-79.50444031</t>
  </si>
  <si>
    <t>10.78724766-79.50527191</t>
  </si>
  <si>
    <t>10.78843117-79.50585938</t>
  </si>
  <si>
    <t>10.78963184-79.50640106</t>
  </si>
  <si>
    <t>10.7906332-79.50715637</t>
  </si>
  <si>
    <t>10.79137611-79.50811005</t>
  </si>
  <si>
    <t>10.79192448-79.50895691</t>
  </si>
  <si>
    <t>10.79258537-79.50992584</t>
  </si>
  <si>
    <t>10.79332542-79.51094055</t>
  </si>
  <si>
    <t>10.79403305-79.51199341</t>
  </si>
  <si>
    <t>10.79474545-79.51307678</t>
  </si>
  <si>
    <t>10.79539871-79.51416779</t>
  </si>
  <si>
    <t>10.79627609-79.51534271</t>
  </si>
  <si>
    <t>10.79701424-79.51651764</t>
  </si>
  <si>
    <t>10.79781532-79.51760864</t>
  </si>
  <si>
    <t>10.79868793-79.51862335</t>
  </si>
  <si>
    <t>10.80045509-79.52053833</t>
  </si>
  <si>
    <t>10.80092716-79.52175903</t>
  </si>
  <si>
    <t>10.8012886-79.52307892</t>
  </si>
  <si>
    <t>10.80177212-79.5242691</t>
  </si>
  <si>
    <t>10.80221558-79.52549744</t>
  </si>
  <si>
    <t>10.8025732-79.52671814</t>
  </si>
  <si>
    <t>10.80290794-79.5279007</t>
  </si>
  <si>
    <t>10.80321503-79.5290451</t>
  </si>
  <si>
    <t>10.80342865-79.53029633</t>
  </si>
  <si>
    <t>10.8035078-79.5316925</t>
  </si>
  <si>
    <t>10.80341721-79.53299713</t>
  </si>
  <si>
    <t>10.80317688-79.5342865</t>
  </si>
  <si>
    <t>10.80280113-79.53552246</t>
  </si>
  <si>
    <t>10.80233002-79.53670502</t>
  </si>
  <si>
    <t>10.80185795-79.53785706</t>
  </si>
  <si>
    <t>10.80142212-79.53897858</t>
  </si>
  <si>
    <t>10.80101967-79.54031372</t>
  </si>
  <si>
    <t>10.80064297-79.54156494</t>
  </si>
  <si>
    <t>10.80014038-79.54275513</t>
  </si>
  <si>
    <t>10.79966068-79.54395294</t>
  </si>
  <si>
    <t>10.79925823-79.5451889</t>
  </si>
  <si>
    <t>10.79880047-79.54642487</t>
  </si>
  <si>
    <t>10.79840755-79.5477066</t>
  </si>
  <si>
    <t>10.79803562-79.54904938</t>
  </si>
  <si>
    <t>10.79759407-79.55052185</t>
  </si>
  <si>
    <t>10.79738522-79.55193329</t>
  </si>
  <si>
    <t>10.79732704-79.55340576</t>
  </si>
  <si>
    <t>10.79693413-79.55483246</t>
  </si>
  <si>
    <t>10.79629898-79.55612183</t>
  </si>
  <si>
    <t>10.79594421-79.5574646</t>
  </si>
  <si>
    <t>10.79573917-79.55882263</t>
  </si>
  <si>
    <t>10.79567719-79.5602417</t>
  </si>
  <si>
    <t>10.79559994-79.56147766</t>
  </si>
  <si>
    <t>10.79542542-79.56275177</t>
  </si>
  <si>
    <t>10.79509544-79.56401825</t>
  </si>
  <si>
    <t>10.79463196-79.56517792</t>
  </si>
  <si>
    <t>10.79413128-79.56630707</t>
  </si>
  <si>
    <t>10.79358101-79.56754303</t>
  </si>
  <si>
    <t>10.79304886-79.56874084</t>
  </si>
  <si>
    <t>10.79254532-79.56996918</t>
  </si>
  <si>
    <t>10.7920599-79.57120514</t>
  </si>
  <si>
    <t>10.79160881-79.57246399</t>
  </si>
  <si>
    <t>10.79116154-79.57372284</t>
  </si>
  <si>
    <t>10.79075336-79.57500458</t>
  </si>
  <si>
    <t>10.79030418-79.57642365</t>
  </si>
  <si>
    <t>10.78989315-79.57772827</t>
  </si>
  <si>
    <t>10.78952503-79.5790329</t>
  </si>
  <si>
    <t>10.78910637-79.58033752</t>
  </si>
  <si>
    <t>10.78841496-79.58153534</t>
  </si>
  <si>
    <t>10.78779984-79.58280182</t>
  </si>
  <si>
    <t>10.78769684-79.58430481</t>
  </si>
  <si>
    <t>10.78781128-79.58569336</t>
  </si>
  <si>
    <t>10.78779793-79.58709717</t>
  </si>
  <si>
    <t>10.78765297-79.58846283</t>
  </si>
  <si>
    <t>10.78746128-79.58978271</t>
  </si>
  <si>
    <t>10.78710842-79.59103394</t>
  </si>
  <si>
    <t>10.78673077-79.59221649</t>
  </si>
  <si>
    <t>10.78639698-79.59350586</t>
  </si>
  <si>
    <t>10.78603363-79.59464264</t>
  </si>
  <si>
    <t>10.78568077-79.59570313</t>
  </si>
  <si>
    <t>10.78550053-79.59674835</t>
  </si>
  <si>
    <t>10.78542042-79.59764099</t>
  </si>
  <si>
    <t>10.78530502-79.59883118</t>
  </si>
  <si>
    <t>10.78509712-79.60010529</t>
  </si>
  <si>
    <t>10.78458118-79.60141754</t>
  </si>
  <si>
    <t>10.78411102-79.6026001</t>
  </si>
  <si>
    <t>10.78380013-79.60385895</t>
  </si>
  <si>
    <t>10.78236485-79.60596466</t>
  </si>
  <si>
    <t>10.78176022-79.60772705</t>
  </si>
  <si>
    <t>10.78114223-79.60897064</t>
  </si>
  <si>
    <t>10.77957058-79.61103058</t>
  </si>
  <si>
    <t>10.77897835-79.61217499</t>
  </si>
  <si>
    <t>10.77836132-79.61332703</t>
  </si>
  <si>
    <t>10.77758217-79.61431885</t>
  </si>
  <si>
    <t>10.77684116-79.615242</t>
  </si>
  <si>
    <t>10.77654171-79.61630249</t>
  </si>
  <si>
    <t>10.77617359-79.61727905</t>
  </si>
  <si>
    <t>10.77629566-79.61817169</t>
  </si>
  <si>
    <t>10.77616882-79.61885071</t>
  </si>
  <si>
    <t>10.77609539-79.61908722</t>
  </si>
  <si>
    <t>10.7758913-79.61968231</t>
  </si>
  <si>
    <t>10.77528763-79.62072754</t>
  </si>
  <si>
    <t>10.77452278-79.6216507</t>
  </si>
  <si>
    <t>10.77367401-79.62259674</t>
  </si>
  <si>
    <t>10.77273369-79.62342072</t>
  </si>
  <si>
    <t>10.77189255-79.62435913</t>
  </si>
  <si>
    <t>10.77086639-79.62497711</t>
  </si>
  <si>
    <t>10.76990604-79.62547302</t>
  </si>
  <si>
    <t>10.76918125-79.62614441</t>
  </si>
  <si>
    <t>10.7682209-79.62697601</t>
  </si>
  <si>
    <t>10.76764107-79.62785339</t>
  </si>
  <si>
    <t>10.76682854-79.62882996</t>
  </si>
  <si>
    <t>10.76628494-79.62987518</t>
  </si>
  <si>
    <t>10.76590061-79.63049316</t>
  </si>
  <si>
    <t>10.76557064-79.63061523</t>
  </si>
  <si>
    <t>10.76512337-79.6306076</t>
  </si>
  <si>
    <t>10.76459885-79.63059998</t>
  </si>
  <si>
    <t>10.76419926-79.63059998</t>
  </si>
  <si>
    <t>10.76396942-79.63059998</t>
  </si>
  <si>
    <t>10.76348019-79.63059998</t>
  </si>
  <si>
    <t>10.76304913-79.6306076</t>
  </si>
  <si>
    <t>10.76285267-79.6306076</t>
  </si>
  <si>
    <t>10.76284409-79.63059998</t>
  </si>
  <si>
    <t>10.76259327-79.63062286</t>
  </si>
  <si>
    <t>10.76199627-79.63076019</t>
  </si>
  <si>
    <t>10.76160145-79.63104248</t>
  </si>
  <si>
    <t>10.76133442-79.63135529</t>
  </si>
  <si>
    <t>10.76083946-79.63195801</t>
  </si>
  <si>
    <t>10.76025009-79.63264465</t>
  </si>
  <si>
    <t>10.75970078-79.63329315</t>
  </si>
  <si>
    <t>10.75909996-79.63399506</t>
  </si>
  <si>
    <t>10.75867653-79.63465118</t>
  </si>
  <si>
    <t>10.75862312-79.63538361</t>
  </si>
  <si>
    <t>10.75874138-79.63622284</t>
  </si>
  <si>
    <t>10.75884056-79.63712311</t>
  </si>
  <si>
    <t>10.75893021-79.63790894</t>
  </si>
  <si>
    <t>10.75897503-79.63864136</t>
  </si>
  <si>
    <t>10.75915432-79.63943481</t>
  </si>
  <si>
    <t>10.75930214-79.64002991</t>
  </si>
  <si>
    <t>10.75946999-79.64064789</t>
  </si>
  <si>
    <t>10.75972557-79.64161682</t>
  </si>
  <si>
    <t>10.76000023-79.6426239</t>
  </si>
  <si>
    <t>10.76027775-79.64360046</t>
  </si>
  <si>
    <t>10.76058578-79.6447525</t>
  </si>
  <si>
    <t>10.76107502-79.64556122</t>
  </si>
  <si>
    <t>10.76165295-79.64579773</t>
  </si>
  <si>
    <t>10.76211357-79.64588928</t>
  </si>
  <si>
    <t>10.76239586-79.64592743</t>
  </si>
  <si>
    <t>10.76276493-79.64598846</t>
  </si>
  <si>
    <t>10.76301479-79.64604187</t>
  </si>
  <si>
    <t>10.76379681-79.64619446</t>
  </si>
  <si>
    <t>10.76479244-79.6463623</t>
  </si>
  <si>
    <t>10.76586342-79.64654541</t>
  </si>
  <si>
    <t>10.76678944-79.64693451</t>
  </si>
  <si>
    <t>10.76734829-79.64782715</t>
  </si>
  <si>
    <t>10.7676239-79.64875031</t>
  </si>
  <si>
    <t>10.76776123-79.64964294</t>
  </si>
  <si>
    <t>10.76756191-79.65057373</t>
  </si>
  <si>
    <t>10.76729012-79.65156555</t>
  </si>
  <si>
    <t>10.76710796-79.652565</t>
  </si>
  <si>
    <t>10.76689625-79.65356445</t>
  </si>
  <si>
    <t>10.76686192-79.65459442</t>
  </si>
  <si>
    <t>10.76673889-79.65557861</t>
  </si>
  <si>
    <t>10.76646328-79.65652466</t>
  </si>
  <si>
    <t>10.76608944-79.65749359</t>
  </si>
  <si>
    <t>10.76577663-79.65828705</t>
  </si>
  <si>
    <t>10.76555157-79.65895844</t>
  </si>
  <si>
    <t>10.7654686-79.65937805</t>
  </si>
  <si>
    <t>10.76541901-79.66003418</t>
  </si>
  <si>
    <t>10.765378-79.66062927</t>
  </si>
  <si>
    <t>10.7653656-79.66107178</t>
  </si>
  <si>
    <t>10.76527119-79.66222382</t>
  </si>
  <si>
    <t>10.76514626-79.66336823</t>
  </si>
  <si>
    <t>10.76477623-79.66555023</t>
  </si>
  <si>
    <t>10.76452637-79.66661072</t>
  </si>
  <si>
    <t>10.76428795-79.66777039</t>
  </si>
  <si>
    <t>10.76438427-79.66906738</t>
  </si>
  <si>
    <t>10.76461029-79.67024994</t>
  </si>
  <si>
    <t>10.76481533-79.67140198</t>
  </si>
  <si>
    <t>10.76495457-79.67253876</t>
  </si>
  <si>
    <t>10.76505566-79.67366028</t>
  </si>
  <si>
    <t>10.7651453-79.67472076</t>
  </si>
  <si>
    <t>10.76520157-79.67575073</t>
  </si>
  <si>
    <t>10.76515484-79.67693329</t>
  </si>
  <si>
    <t>10.76509285-79.67802429</t>
  </si>
  <si>
    <t>10.76489067-79.67905426</t>
  </si>
  <si>
    <t>10.76456833-79.68011475</t>
  </si>
  <si>
    <t>10.76438141-79.68115234</t>
  </si>
  <si>
    <t>10.76407719-79.68211365</t>
  </si>
  <si>
    <t>10.76380444-79.68305969</t>
  </si>
  <si>
    <t>10.76352787-79.68395233</t>
  </si>
  <si>
    <t>10.76350117-79.68479156</t>
  </si>
  <si>
    <t>10.76358318-79.68561554</t>
  </si>
  <si>
    <t>10.7635231-79.68642426</t>
  </si>
  <si>
    <t>10.76342678-79.68722534</t>
  </si>
  <si>
    <t>10.76331043-79.68881226</t>
  </si>
  <si>
    <t>10.7632761-79.68956757</t>
  </si>
  <si>
    <t>10.76324654-79.69010162</t>
  </si>
  <si>
    <t>10.76317596-79.69073486</t>
  </si>
  <si>
    <t>10.76309967-79.69220734</t>
  </si>
  <si>
    <t>10.76310158-79.69276428</t>
  </si>
  <si>
    <t>10.76315403-79.69300842</t>
  </si>
  <si>
    <t>10.76317501-79.69301605</t>
  </si>
  <si>
    <t>10.76322556-79.69302368</t>
  </si>
  <si>
    <t>10.76327896-79.69303894</t>
  </si>
  <si>
    <t>10.7633152-79.69304657</t>
  </si>
  <si>
    <t>10.76334476-79.69304657</t>
  </si>
  <si>
    <t>10.76339626-79.69303894</t>
  </si>
  <si>
    <t>10.76344967-79.69303894</t>
  </si>
  <si>
    <t>10.76346874-79.69307709</t>
  </si>
  <si>
    <t>10.76349831-79.69306946</t>
  </si>
  <si>
    <t>10.76351833-79.69303894</t>
  </si>
  <si>
    <t>10.76352596-79.69303131</t>
  </si>
  <si>
    <t>10.76355934-79.69301605</t>
  </si>
  <si>
    <t>10.76356983-79.69302368</t>
  </si>
  <si>
    <t>10.76357269-79.69302368</t>
  </si>
  <si>
    <t>10.76357365-79.69302368</t>
  </si>
  <si>
    <t>10.7635746-79.69302368</t>
  </si>
  <si>
    <t>10.76357841-79.69301605</t>
  </si>
  <si>
    <t>10.76357746-79.69302368</t>
  </si>
  <si>
    <t>10.76357174-79.69303131</t>
  </si>
  <si>
    <t>10.76357269-79.69303894</t>
  </si>
  <si>
    <t>10.76357937-79.6930542</t>
  </si>
  <si>
    <t>10.76358318-79.6930542</t>
  </si>
  <si>
    <t>10.76358318-79.69306183</t>
  </si>
  <si>
    <t>10.76357555-79.69306183</t>
  </si>
  <si>
    <t>Charging</t>
  </si>
  <si>
    <t>10.76356602-79.6930542</t>
  </si>
  <si>
    <t>10.76357269-79.69306183</t>
  </si>
  <si>
    <t>10.76357746-79.6930542</t>
  </si>
  <si>
    <t>10.76357079-79.6930542</t>
  </si>
  <si>
    <t>10.76357365-79.6930542</t>
  </si>
  <si>
    <t>10.76357937-79.69306183</t>
  </si>
  <si>
    <t>10.76357841-79.69306946</t>
  </si>
  <si>
    <t>10.76357555-79.69306946</t>
  </si>
  <si>
    <t>10.76358032-79.69306946</t>
  </si>
  <si>
    <t>10.76358604-79.69306183</t>
  </si>
  <si>
    <t>10.763587-79.69306183</t>
  </si>
  <si>
    <t>10.76358795-79.69306183</t>
  </si>
  <si>
    <t>10.76358795-79.69306946</t>
  </si>
  <si>
    <t>10.763587-79.69306946</t>
  </si>
  <si>
    <t>10.76359177-79.69306946</t>
  </si>
  <si>
    <t>10.76358986-79.69306183</t>
  </si>
  <si>
    <t>10.7635994-79.69308472</t>
  </si>
  <si>
    <t>10.76360416-79.69308472</t>
  </si>
  <si>
    <t>10.76360416-79.69309235</t>
  </si>
  <si>
    <t>10.76360512-79.69309235</t>
  </si>
  <si>
    <t>10.76359653-79.6931076</t>
  </si>
  <si>
    <t>10.76359177-79.69312286</t>
  </si>
  <si>
    <t>10.76360321-79.69312286</t>
  </si>
  <si>
    <t>10.76360989-79.6931076</t>
  </si>
  <si>
    <t>10.76360512-79.69312286</t>
  </si>
  <si>
    <t>10.76359844-79.69311523</t>
  </si>
  <si>
    <t>10.76359272-79.69312286</t>
  </si>
  <si>
    <t>10.76358509-79.69313049</t>
  </si>
  <si>
    <t>10.76357841-79.69311523</t>
  </si>
  <si>
    <t>10.76358986-79.69313049</t>
  </si>
  <si>
    <t>10.76359081-79.69313049</t>
  </si>
  <si>
    <t>10.76359558-79.69312286</t>
  </si>
  <si>
    <t>10.7636013-79.69313049</t>
  </si>
  <si>
    <t>10.76359844-79.69313812</t>
  </si>
  <si>
    <t>10.76359272-79.69313812</t>
  </si>
  <si>
    <t>10.76359367-79.69313812</t>
  </si>
  <si>
    <t>10.76358891-79.69313049</t>
  </si>
  <si>
    <t>10.76358414-79.69312286</t>
  </si>
  <si>
    <t>10.76358509-79.69312286</t>
  </si>
  <si>
    <t>10.76358986-79.69312286</t>
  </si>
  <si>
    <t>10.76358986-79.69311523</t>
  </si>
  <si>
    <t>10.76358891-79.69311523</t>
  </si>
  <si>
    <t>10.76359177-79.6931076</t>
  </si>
  <si>
    <t>10.763587-79.6931076</t>
  </si>
  <si>
    <t>10.76358986-79.69309235</t>
  </si>
  <si>
    <t>10.76359558-79.69308472</t>
  </si>
  <si>
    <t>10.76359844-79.69307709</t>
  </si>
  <si>
    <t>10.76358986-79.69308472</t>
  </si>
  <si>
    <t>10.76359367-79.69307709</t>
  </si>
  <si>
    <t>10.76358223-79.69309235</t>
  </si>
  <si>
    <t>10.76359272-79.69309235</t>
  </si>
  <si>
    <t>10.76359653-79.69309235</t>
  </si>
  <si>
    <t>10.76359272-79.6931076</t>
  </si>
  <si>
    <t>10.76359081-79.69312286</t>
  </si>
  <si>
    <t>10.76359558-79.6931076</t>
  </si>
  <si>
    <t>10.76360607-79.69306946</t>
  </si>
  <si>
    <t>10.76358414-79.69307709</t>
  </si>
  <si>
    <t>10.76357937-79.69308472</t>
  </si>
  <si>
    <t>10.76357555-79.69308472</t>
  </si>
  <si>
    <t>10.76357746-79.69308472</t>
  </si>
  <si>
    <t>10.76359177-79.69308472</t>
  </si>
  <si>
    <t>10.76358604-79.69308472</t>
  </si>
  <si>
    <t>10.76358891-79.69308472</t>
  </si>
  <si>
    <t>10.76358604-79.69309235</t>
  </si>
  <si>
    <t>10.76357365-79.69308472</t>
  </si>
  <si>
    <t>10.76357746-79.69307709</t>
  </si>
  <si>
    <t>10.76357555-79.6930542</t>
  </si>
  <si>
    <t>10.7635746-79.6930542</t>
  </si>
  <si>
    <t>10.76357269-79.6930542</t>
  </si>
  <si>
    <t>10.763587-79.6930542</t>
  </si>
  <si>
    <t>10.76356983-79.69304657</t>
  </si>
  <si>
    <t>10.76355457-79.69303894</t>
  </si>
  <si>
    <t>10.76354694-79.6930542</t>
  </si>
  <si>
    <t>10.76354408-79.69307709</t>
  </si>
  <si>
    <t>10.76356316-79.69308472</t>
  </si>
  <si>
    <t>10.76357269-79.69309235</t>
  </si>
  <si>
    <t>10.76356506-79.69308472</t>
  </si>
  <si>
    <t>10.76356792-79.69307709</t>
  </si>
  <si>
    <t>10.76356697-79.69307709</t>
  </si>
  <si>
    <t>10.76357555-79.69307709</t>
  </si>
  <si>
    <t>10.76357841-79.69309235</t>
  </si>
  <si>
    <t>10.76358604-79.69311523</t>
  </si>
  <si>
    <t>10.76358414-79.6931076</t>
  </si>
  <si>
    <t>10.76358986-79.6931076</t>
  </si>
  <si>
    <t>10.76359653-79.69311523</t>
  </si>
  <si>
    <t>10.76358414-79.69313049</t>
  </si>
  <si>
    <t>10.76359272-79.69311523</t>
  </si>
  <si>
    <t>10.76358604-79.69313812</t>
  </si>
  <si>
    <t>10.7635746-79.69313812</t>
  </si>
  <si>
    <t>10.76358414-79.69313812</t>
  </si>
  <si>
    <t>10.76359177-79.69314575</t>
  </si>
  <si>
    <t>10.76359844-79.69315338</t>
  </si>
  <si>
    <t>10.76359367-79.69314575</t>
  </si>
  <si>
    <t>10.76360226-79.69313812</t>
  </si>
  <si>
    <t>10.76361465-79.69313049</t>
  </si>
  <si>
    <t>10.76360226-79.69313049</t>
  </si>
  <si>
    <t>10.76361084-79.69313812</t>
  </si>
  <si>
    <t>10.76361942-79.69313812</t>
  </si>
  <si>
    <t>10.76360893-79.69311523</t>
  </si>
  <si>
    <t>10.76361179-79.69308472</t>
  </si>
  <si>
    <t>10.76361465-79.69308472</t>
  </si>
  <si>
    <t>10.76360989-79.69308472</t>
  </si>
  <si>
    <t>10.76359272-79.69307709</t>
  </si>
  <si>
    <t>10.76358223-79.6931076</t>
  </si>
  <si>
    <t>10.76357079-79.69308472</t>
  </si>
  <si>
    <t>10.76355267-79.69308472</t>
  </si>
  <si>
    <t>10.76355839-79.69308472</t>
  </si>
  <si>
    <t>10.76356125-79.69308472</t>
  </si>
  <si>
    <t>10.76356411-79.69308472</t>
  </si>
  <si>
    <t>10.7635603-79.69308472</t>
  </si>
  <si>
    <t>10.76355839-79.69307709</t>
  </si>
  <si>
    <t>10.76355553-79.6931076</t>
  </si>
  <si>
    <t>10.76356792-79.69308472</t>
  </si>
  <si>
    <t>10.76356983-79.69308472</t>
  </si>
  <si>
    <t>10.76357269-79.69307709</t>
  </si>
  <si>
    <t>10.76357174-79.69306946</t>
  </si>
  <si>
    <t>10.76359081-79.69306946</t>
  </si>
  <si>
    <t>10.76358891-79.69306183</t>
  </si>
  <si>
    <t>10.76358795-79.6930542</t>
  </si>
  <si>
    <t>10.76358891-79.69304657</t>
  </si>
  <si>
    <t>10.76358223-79.6930542</t>
  </si>
  <si>
    <t>10.76358318-79.69307709</t>
  </si>
  <si>
    <t>10.76359367-79.6931076</t>
  </si>
  <si>
    <t>10.76357555-79.6931076</t>
  </si>
  <si>
    <t>10.76357174-79.69309235</t>
  </si>
  <si>
    <t>10.76357079-79.69309235</t>
  </si>
  <si>
    <t>10.76355743-79.69308472</t>
  </si>
  <si>
    <t>10.76356602-79.69307709</t>
  </si>
  <si>
    <t>10.76357365-79.6931076</t>
  </si>
  <si>
    <t>10.76356602-79.6931076</t>
  </si>
  <si>
    <t>10.76355934-79.69309235</t>
  </si>
  <si>
    <t>10.7635479-79.69307709</t>
  </si>
  <si>
    <t>10.76354313-79.69307709</t>
  </si>
  <si>
    <t>10.76357079-79.69306183</t>
  </si>
  <si>
    <t>10.7636013-79.6930542</t>
  </si>
  <si>
    <t>10.76357841-79.69304657</t>
  </si>
  <si>
    <t>10.76355934-79.6930542</t>
  </si>
  <si>
    <t>10.76355553-79.6930542</t>
  </si>
  <si>
    <t>10.76355839-79.69306183</t>
  </si>
  <si>
    <t>10.76356506-79.69306183</t>
  </si>
  <si>
    <t>10.76356316-79.69306946</t>
  </si>
  <si>
    <t>10.76356125-79.69306183</t>
  </si>
  <si>
    <t>10.76356697-79.69306946</t>
  </si>
  <si>
    <t>10.76356697-79.69308472</t>
  </si>
  <si>
    <t>10.76355839-79.6931076</t>
  </si>
  <si>
    <t>10.76356125-79.69311523</t>
  </si>
  <si>
    <t>10.76356697-79.69311523</t>
  </si>
  <si>
    <t>10.76356506-79.69311523</t>
  </si>
  <si>
    <t>10.76356316-79.69312286</t>
  </si>
  <si>
    <t>10.76356792-79.69312286</t>
  </si>
  <si>
    <t>10.76357841-79.6931076</t>
  </si>
  <si>
    <t>10.76357937-79.69309235</t>
  </si>
  <si>
    <t>10.7635746-79.69309235</t>
  </si>
  <si>
    <t>10.76359177-79.69309235</t>
  </si>
  <si>
    <t>10.76358604-79.69313049</t>
  </si>
  <si>
    <t>10.76358128-79.69313812</t>
  </si>
  <si>
    <t>10.76357841-79.69315338</t>
  </si>
  <si>
    <t>10.76358986-79.69314575</t>
  </si>
  <si>
    <t>10.7635746-79.69316101</t>
  </si>
  <si>
    <t>10.76358795-79.69316101</t>
  </si>
  <si>
    <t>10.76358509-79.69315338</t>
  </si>
  <si>
    <t>10.76359653-79.69312286</t>
  </si>
  <si>
    <t>10.76359463-79.69311523</t>
  </si>
  <si>
    <t>10.7636013-79.6931076</t>
  </si>
  <si>
    <t>10.76360703-79.6931076</t>
  </si>
  <si>
    <t>10.76361561-79.69309235</t>
  </si>
  <si>
    <t>10.76361656-79.69309235</t>
  </si>
  <si>
    <t>10.76361942-79.6931076</t>
  </si>
  <si>
    <t>10.7636137-79.6931076</t>
  </si>
  <si>
    <t>10.76361465-79.69309235</t>
  </si>
  <si>
    <t>10.76361561-79.69311523</t>
  </si>
  <si>
    <t>10.76361561-79.69313812</t>
  </si>
  <si>
    <t>10.76360703-79.69314575</t>
  </si>
  <si>
    <t>10.7636137-79.69314575</t>
  </si>
  <si>
    <t>10.76361179-79.69313812</t>
  </si>
  <si>
    <t>10.76361465-79.69315338</t>
  </si>
  <si>
    <t>10.76362419-79.69313812</t>
  </si>
  <si>
    <t>10.76362038-79.69313049</t>
  </si>
  <si>
    <t>10.76361275-79.69313049</t>
  </si>
  <si>
    <t>10.76360893-79.69313049</t>
  </si>
  <si>
    <t>10.76361179-79.69311523</t>
  </si>
  <si>
    <t>10.76360989-79.69311523</t>
  </si>
  <si>
    <t>10.7635994-79.69312286</t>
  </si>
  <si>
    <t>10.76358891-79.69312286</t>
  </si>
  <si>
    <t>10.76360703-79.69311523</t>
  </si>
  <si>
    <t>10.76360416-79.6931076</t>
  </si>
  <si>
    <t>10.76360226-79.69309235</t>
  </si>
  <si>
    <t>10.76360321-79.6931076</t>
  </si>
  <si>
    <t>10.76360512-79.6931076</t>
  </si>
  <si>
    <t>10.76360607-79.69308472</t>
  </si>
  <si>
    <t>10.76360798-79.69308472</t>
  </si>
  <si>
    <t>10.76361275-79.69308472</t>
  </si>
  <si>
    <t>10.76361847-79.69308472</t>
  </si>
  <si>
    <t>10.76360989-79.69307709</t>
  </si>
  <si>
    <t>10.76360512-79.69308472</t>
  </si>
  <si>
    <t>10.76359844-79.6931076</t>
  </si>
  <si>
    <t>10.76360035-79.69311523</t>
  </si>
  <si>
    <t>10.7636013-79.69312286</t>
  </si>
  <si>
    <t>10.76360035-79.69312286</t>
  </si>
  <si>
    <t>10.76358032-79.69312286</t>
  </si>
  <si>
    <t>10.76357746-79.69312286</t>
  </si>
  <si>
    <t>10.76357365-79.69312286</t>
  </si>
  <si>
    <t>10.76356411-79.69312286</t>
  </si>
  <si>
    <t>10.76356125-79.69312286</t>
  </si>
  <si>
    <t>10.76356316-79.69311523</t>
  </si>
  <si>
    <t>10.76356888-79.6931076</t>
  </si>
  <si>
    <t>10.7635746-79.69307709</t>
  </si>
  <si>
    <t>10.76358795-79.69307709</t>
  </si>
  <si>
    <t>10.76358128-79.69307709</t>
  </si>
  <si>
    <t>10.76357365-79.69307709</t>
  </si>
  <si>
    <t>10.76357269-79.69308472</t>
  </si>
  <si>
    <t>10.76356602-79.69309235</t>
  </si>
  <si>
    <t>10.7635746-79.69311523</t>
  </si>
  <si>
    <t>10.763587-79.69311523</t>
  </si>
  <si>
    <t>10.76359081-79.69308472</t>
  </si>
  <si>
    <t>10.76359367-79.69306946</t>
  </si>
  <si>
    <t>10.76359177-79.69307709</t>
  </si>
  <si>
    <t>10.76358223-79.69308472</t>
  </si>
  <si>
    <t>10.76358032-79.69308472</t>
  </si>
  <si>
    <t>10.76357841-79.69307709</t>
  </si>
  <si>
    <t>10.76359367-79.69308472</t>
  </si>
  <si>
    <t>10.76359653-79.69307709</t>
  </si>
  <si>
    <t>10.76360703-79.69309235</t>
  </si>
  <si>
    <t>10.76361942-79.69309235</t>
  </si>
  <si>
    <t>10.76361275-79.69309235</t>
  </si>
  <si>
    <t>10.76360607-79.6931076</t>
  </si>
  <si>
    <t>10.76360512-79.69311523</t>
  </si>
  <si>
    <t>10.76359367-79.69309235</t>
  </si>
  <si>
    <t>10.76356125-79.6930542</t>
  </si>
  <si>
    <t>10.76355553-79.69304657</t>
  </si>
  <si>
    <t>10.76319599-79.69302368</t>
  </si>
  <si>
    <t>10.76305866-79.69315338</t>
  </si>
  <si>
    <t>10.76305771-79.69345093</t>
  </si>
  <si>
    <t>10.76305008-79.69377136</t>
  </si>
  <si>
    <t>10.76305199-79.69424438</t>
  </si>
  <si>
    <t>10.76305008-79.69435883</t>
  </si>
  <si>
    <t>10.76305008-79.69436646</t>
  </si>
  <si>
    <t>10.76304913-79.69437408</t>
  </si>
  <si>
    <t>10.76305294-79.69438171</t>
  </si>
  <si>
    <t>10.76305389-79.69437408</t>
  </si>
  <si>
    <t>10.76304913-79.69438171</t>
  </si>
  <si>
    <t>10.76305389-79.69438171</t>
  </si>
  <si>
    <t>10.76305199-79.69438171</t>
  </si>
  <si>
    <t>10.76305294-79.69437408</t>
  </si>
  <si>
    <t>10.76304722-79.69436646</t>
  </si>
  <si>
    <t>10.76304531-79.69437408</t>
  </si>
  <si>
    <t>10.76304626-79.69437408</t>
  </si>
  <si>
    <t>10.76304626-79.69438171</t>
  </si>
  <si>
    <t>10.76304817-79.69437408</t>
  </si>
  <si>
    <t>10.76304626-79.69436646</t>
  </si>
  <si>
    <t>10.76304436-79.69437408</t>
  </si>
  <si>
    <t>10.76304245-79.69437408</t>
  </si>
  <si>
    <t>10.76303959-79.69437408</t>
  </si>
  <si>
    <t>10.76304245-79.69436646</t>
  </si>
  <si>
    <t>10.7630434-79.69436646</t>
  </si>
  <si>
    <t>10.76304531-79.69436646</t>
  </si>
  <si>
    <t>10.76305294-79.69436646</t>
  </si>
  <si>
    <t>10.76305866-79.69437408</t>
  </si>
  <si>
    <t>10.76305962-79.69437408</t>
  </si>
  <si>
    <t>10.76306629-79.69437408</t>
  </si>
  <si>
    <t>10.76306725-79.69437408</t>
  </si>
  <si>
    <t>10.76306534-79.69436646</t>
  </si>
  <si>
    <t>10.76306629-79.69436646</t>
  </si>
  <si>
    <t>10.76306725-79.69436646</t>
  </si>
  <si>
    <t>10.76306343-79.69438171</t>
  </si>
  <si>
    <t>10.76306438-79.69438171</t>
  </si>
  <si>
    <t>10.76306534-79.69438171</t>
  </si>
  <si>
    <t>10.76306915-79.69437408</t>
  </si>
  <si>
    <t>10.76307106-79.69437408</t>
  </si>
  <si>
    <t>10.76307297-79.69438171</t>
  </si>
  <si>
    <t>10.76307392-79.69438171</t>
  </si>
  <si>
    <t>10.76307106-79.69438171</t>
  </si>
  <si>
    <t>10.76306438-79.69438934</t>
  </si>
  <si>
    <t>10.76305771-79.69438934</t>
  </si>
  <si>
    <t>10.76305485-79.69438934</t>
  </si>
  <si>
    <t>10.76305485-79.69438171</t>
  </si>
  <si>
    <t>10.7630558-79.69438171</t>
  </si>
  <si>
    <t>10.76305771-79.69438171</t>
  </si>
  <si>
    <t>10.76305866-79.69438171</t>
  </si>
  <si>
    <t>10.76305962-79.69438171</t>
  </si>
  <si>
    <t>10.76306152-79.69438171</t>
  </si>
  <si>
    <t>10.76306057-79.69438171</t>
  </si>
  <si>
    <t>10.76306057-79.69437408</t>
  </si>
  <si>
    <t>10.76306152-79.69437408</t>
  </si>
  <si>
    <t>10.76306438-79.69437408</t>
  </si>
  <si>
    <t>10.76306534-79.69437408</t>
  </si>
  <si>
    <t>10.76306629-79.69438171</t>
  </si>
  <si>
    <t>10.76307297-79.69437408</t>
  </si>
  <si>
    <t>10.76307583-79.69437408</t>
  </si>
  <si>
    <t>10.76307583-79.69438171</t>
  </si>
  <si>
    <t>10.76307678-79.69437408</t>
  </si>
  <si>
    <t>10.76307487-79.69437408</t>
  </si>
  <si>
    <t>10.76307297-79.69436646</t>
  </si>
  <si>
    <t>10.76307201-79.69436646</t>
  </si>
  <si>
    <t>10.76307201-79.69437408</t>
  </si>
  <si>
    <t>10.76307106-79.69436646</t>
  </si>
  <si>
    <t>10.76307011-79.69436646</t>
  </si>
  <si>
    <t>10.7630682-79.69435883</t>
  </si>
  <si>
    <t>10.76306915-79.69436646</t>
  </si>
  <si>
    <t>10.76306725-79.69435883</t>
  </si>
  <si>
    <t>10.76306057-79.69436646</t>
  </si>
  <si>
    <t>10.76305771-79.69435883</t>
  </si>
  <si>
    <t>10.76305485-79.6943512</t>
  </si>
  <si>
    <t>10.76305294-79.69435883</t>
  </si>
  <si>
    <t>10.76304913-79.69435883</t>
  </si>
  <si>
    <t>10.76304817-79.69435883</t>
  </si>
  <si>
    <t>10.76305389-79.69435883</t>
  </si>
  <si>
    <t>10.76305676-79.69435883</t>
  </si>
  <si>
    <t>10.76305962-79.69435883</t>
  </si>
  <si>
    <t>10.76306343-79.69436646</t>
  </si>
  <si>
    <t>10.76306438-79.69436646</t>
  </si>
  <si>
    <t>10.76306152-79.69436646</t>
  </si>
  <si>
    <t>10.76306915-79.69438171</t>
  </si>
  <si>
    <t>10.76307487-79.69438171</t>
  </si>
  <si>
    <t>10.76307487-79.69438934</t>
  </si>
  <si>
    <t>10.76307774-79.69438934</t>
  </si>
  <si>
    <t>10.76307869-79.69438171</t>
  </si>
  <si>
    <t>10.7630806-79.69438171</t>
  </si>
  <si>
    <t>10.76307774-79.69438171</t>
  </si>
  <si>
    <t>10.76307392-79.69438934</t>
  </si>
  <si>
    <t>10.76308155-79.69438171</t>
  </si>
  <si>
    <t>10.76308537-79.69438171</t>
  </si>
  <si>
    <t>10.76308441-79.69438171</t>
  </si>
  <si>
    <t>10.76308441-79.69437408</t>
  </si>
  <si>
    <t>10.76308918-79.69437408</t>
  </si>
  <si>
    <t>10.76309109-79.69437408</t>
  </si>
  <si>
    <t>10.76309013-79.69436646</t>
  </si>
  <si>
    <t>10.76308918-79.69438171</t>
  </si>
  <si>
    <t>10.76308632-79.69437408</t>
  </si>
  <si>
    <t>10.76308727-79.69438171</t>
  </si>
  <si>
    <t>10.76308727-79.69437408</t>
  </si>
  <si>
    <t>10.76309013-79.69438171</t>
  </si>
  <si>
    <t>10.76308823-79.69437408</t>
  </si>
  <si>
    <t>10.76308441-79.69436646</t>
  </si>
  <si>
    <t>10.76307964-79.69436646</t>
  </si>
  <si>
    <t>10.76307487-79.69436646</t>
  </si>
  <si>
    <t>10.76307392-79.69436646</t>
  </si>
  <si>
    <t>10.76307392-79.69437408</t>
  </si>
  <si>
    <t>10.7630806-79.69437408</t>
  </si>
  <si>
    <t>10.76307678-79.69436646</t>
  </si>
  <si>
    <t>10.76307583-79.69436646</t>
  </si>
  <si>
    <t>10.76307774-79.69436646</t>
  </si>
  <si>
    <t>10.7630682-79.69438171</t>
  </si>
  <si>
    <t>10.76307011-79.69437408</t>
  </si>
  <si>
    <t>10.76305962-79.69436646</t>
  </si>
  <si>
    <t>10.76305771-79.69436646</t>
  </si>
  <si>
    <t>10.7630682-79.69436646</t>
  </si>
  <si>
    <t>10.76307011-79.69438171</t>
  </si>
  <si>
    <t>10.76306343-79.69437408</t>
  </si>
  <si>
    <t>10.7630682-79.69437408</t>
  </si>
  <si>
    <t>10.76305866-79.69436646</t>
  </si>
  <si>
    <t>10.76305771-79.69437408</t>
  </si>
  <si>
    <t>10.76307011-79.69435883</t>
  </si>
  <si>
    <t>10.76306725-79.6943512</t>
  </si>
  <si>
    <t>10.76307011-79.6943512</t>
  </si>
  <si>
    <t>10.76307392-79.6943512</t>
  </si>
  <si>
    <t>10.76307583-79.6943512</t>
  </si>
  <si>
    <t>10.76307487-79.6943512</t>
  </si>
  <si>
    <t>10.76307583-79.69434357</t>
  </si>
  <si>
    <t>10.76307201-79.69433594</t>
  </si>
  <si>
    <t>10.76306915-79.69432831</t>
  </si>
  <si>
    <t>10.76306629-79.69432831</t>
  </si>
  <si>
    <t>10.76306725-79.69433594</t>
  </si>
  <si>
    <t>10.76306725-79.69434357</t>
  </si>
  <si>
    <t>10.76306915-79.6943512</t>
  </si>
  <si>
    <t>10.76307106-79.69435883</t>
  </si>
  <si>
    <t>10.76307201-79.69435883</t>
  </si>
  <si>
    <t>10.76307106-79.69434357</t>
  </si>
  <si>
    <t>10.76307201-79.6943512</t>
  </si>
  <si>
    <t>10.76306915-79.69435883</t>
  </si>
  <si>
    <t>10.76306534-79.69435883</t>
  </si>
  <si>
    <t>10.76306438-79.69435883</t>
  </si>
  <si>
    <t>10.76306343-79.69435883</t>
  </si>
  <si>
    <t>10.76305866-79.69438934</t>
  </si>
  <si>
    <t>10.76306725-79.69438934</t>
  </si>
  <si>
    <t>10.76307011-79.69438934</t>
  </si>
  <si>
    <t>10.76307201-79.69438934</t>
  </si>
  <si>
    <t>10.76307297-79.69438934</t>
  </si>
  <si>
    <t>10.76307201-79.69438171</t>
  </si>
  <si>
    <t>10.76306438-79.6943512</t>
  </si>
  <si>
    <t>10.76306534-79.6943512</t>
  </si>
  <si>
    <t>10.76306629-79.6943512</t>
  </si>
  <si>
    <t>10.76305962-79.6943512</t>
  </si>
  <si>
    <t>10.76306057-79.69435883</t>
  </si>
  <si>
    <t>10.76306629-79.69435883</t>
  </si>
  <si>
    <t>10.76305866-79.69435883</t>
  </si>
  <si>
    <t>10.76305389-79.6943512</t>
  </si>
  <si>
    <t>10.7630558-79.69434357</t>
  </si>
  <si>
    <t>10.76305771-79.6943512</t>
  </si>
  <si>
    <t>10.76305866-79.6943512</t>
  </si>
  <si>
    <t>10.76305676-79.6943512</t>
  </si>
  <si>
    <t>10.76307583-79.69435883</t>
  </si>
  <si>
    <t>10.76307392-79.69435883</t>
  </si>
  <si>
    <t>10.76307487-79.69435883</t>
  </si>
  <si>
    <t>10.76307487-79.69434357</t>
  </si>
  <si>
    <t>10.76306629-79.69434357</t>
  </si>
  <si>
    <t>10.76307201-79.69434357</t>
  </si>
  <si>
    <t>10.76307297-79.69434357</t>
  </si>
  <si>
    <t>10.76307678-79.69433594</t>
  </si>
  <si>
    <t>10.76307869-79.6943512</t>
  </si>
  <si>
    <t>10.7630806-79.6943512</t>
  </si>
  <si>
    <t>10.76308918-79.69436646</t>
  </si>
  <si>
    <t>10.76308918-79.69435883</t>
  </si>
  <si>
    <t>10.76308632-79.69435883</t>
  </si>
  <si>
    <t>10.7630806-79.69435883</t>
  </si>
  <si>
    <t>10.76307869-79.69435883</t>
  </si>
  <si>
    <t>10.76308346-79.6943512</t>
  </si>
  <si>
    <t>10.76308155-79.69435883</t>
  </si>
  <si>
    <t>10.76308537-79.69435883</t>
  </si>
  <si>
    <t>10.76306152-79.69435883</t>
  </si>
  <si>
    <t>10.76308346-79.69434357</t>
  </si>
  <si>
    <t>10.76309109-79.69434357</t>
  </si>
  <si>
    <t>10.76309013-79.69434357</t>
  </si>
  <si>
    <t>10.76309395-79.6943512</t>
  </si>
  <si>
    <t>10.76309395-79.69435883</t>
  </si>
  <si>
    <t>10.76309299-79.6943512</t>
  </si>
  <si>
    <t>10.76309109-79.6943512</t>
  </si>
  <si>
    <t>10.76309013-79.6943512</t>
  </si>
  <si>
    <t>10.76308823-79.6943512</t>
  </si>
  <si>
    <t>10.76308918-79.6943512</t>
  </si>
  <si>
    <t>10.76309013-79.69435883</t>
  </si>
  <si>
    <t>10.76308632-79.6943512</t>
  </si>
  <si>
    <t>10.76308441-79.6943512</t>
  </si>
  <si>
    <t>10.76308727-79.69435883</t>
  </si>
  <si>
    <t>10.76308727-79.6943512</t>
  </si>
  <si>
    <t>10.76309299-79.69434357</t>
  </si>
  <si>
    <t>10.76308727-79.69434357</t>
  </si>
  <si>
    <t>10.76308537-79.69433594</t>
  </si>
  <si>
    <t>10.76308441-79.69433594</t>
  </si>
  <si>
    <t>10.76308155-79.69433594</t>
  </si>
  <si>
    <t>10.76307487-79.69433594</t>
  </si>
  <si>
    <t>10.76306438-79.69434357</t>
  </si>
  <si>
    <t>10.76305962-79.69433594</t>
  </si>
  <si>
    <t>10.76306152-79.69434357</t>
  </si>
  <si>
    <t>10.76307392-79.69434357</t>
  </si>
  <si>
    <t>10.76307964-79.69434357</t>
  </si>
  <si>
    <t>10.76305199-79.69436646</t>
  </si>
  <si>
    <t>10.7630558-79.69436646</t>
  </si>
  <si>
    <t>10.76305485-79.69436646</t>
  </si>
  <si>
    <t>10.76305676-79.69436646</t>
  </si>
  <si>
    <t>10.76308727-79.69436646</t>
  </si>
  <si>
    <t>10.76308823-79.69436646</t>
  </si>
  <si>
    <t>10.76307869-79.69436646</t>
  </si>
  <si>
    <t>10.76306725-79.69438171</t>
  </si>
  <si>
    <t>10.76304722-79.69438171</t>
  </si>
  <si>
    <t>10.76304817-79.69438171</t>
  </si>
  <si>
    <t>10.76305008-79.69437408</t>
  </si>
  <si>
    <t>10.76305103-79.69437408</t>
  </si>
  <si>
    <t>10.76305199-79.69437408</t>
  </si>
  <si>
    <t>10.76305485-79.69437408</t>
  </si>
  <si>
    <t>10.76306152-79.6943512</t>
  </si>
  <si>
    <t>10.76305771-79.69433594</t>
  </si>
  <si>
    <t>10.76305676-79.69434357</t>
  </si>
  <si>
    <t>10.76306057-79.69433594</t>
  </si>
  <si>
    <t>10.76306057-79.69434357</t>
  </si>
  <si>
    <t>10.76305485-79.69434357</t>
  </si>
  <si>
    <t>10.76304817-79.6943512</t>
  </si>
  <si>
    <t>10.76305485-79.69435883</t>
  </si>
  <si>
    <t>10.76311779-79.69477081</t>
  </si>
  <si>
    <t>10.7632637-79.69565582</t>
  </si>
  <si>
    <t>10.76337242-79.6966629</t>
  </si>
  <si>
    <t>10.76336384-79.69768524</t>
  </si>
  <si>
    <t>10.76296043-79.6986618</t>
  </si>
  <si>
    <t>10.76248932-79.699646</t>
  </si>
  <si>
    <t>10.76209736-79.70078278</t>
  </si>
  <si>
    <t>10.76173782-79.70186615</t>
  </si>
  <si>
    <t>10.76109505-79.70279694</t>
  </si>
  <si>
    <t>10.76024628-79.70355225</t>
  </si>
  <si>
    <t>10.75938892-79.70426941</t>
  </si>
  <si>
    <t>10.75869179-79.70509338</t>
  </si>
  <si>
    <t>10.75823784-79.70613098</t>
  </si>
  <si>
    <t>10.75812435-79.70740509</t>
  </si>
  <si>
    <t>10.75821877-79.70863342</t>
  </si>
  <si>
    <t>10.75831032-79.70986938</t>
  </si>
  <si>
    <t>10.75840855-79.71109009</t>
  </si>
  <si>
    <t>10.75850391-79.71230316</t>
  </si>
  <si>
    <t>10.75859547-79.71353912</t>
  </si>
  <si>
    <t>10.75869179-79.71472931</t>
  </si>
  <si>
    <t>10.75878429-79.71595764</t>
  </si>
  <si>
    <t>10.75873661-79.71709442</t>
  </si>
  <si>
    <t>10.75864601-79.7183075</t>
  </si>
  <si>
    <t>10.75856113-79.71949768</t>
  </si>
  <si>
    <t>10.7584753-79.7206192</t>
  </si>
  <si>
    <t>10.75838661-79.72169495</t>
  </si>
  <si>
    <t>10.75832558-79.72280121</t>
  </si>
  <si>
    <t>10.75835609-79.72393799</t>
  </si>
  <si>
    <t>10.75843525-79.72520447</t>
  </si>
  <si>
    <t>10.75850582-79.72634888</t>
  </si>
  <si>
    <t>10.75862122-79.72753906</t>
  </si>
  <si>
    <t>10.7587862-79.72875214</t>
  </si>
  <si>
    <t>10.75895691-79.72998047</t>
  </si>
  <si>
    <t>10.75911331-79.73121643</t>
  </si>
  <si>
    <t>10.75928688-79.7325058</t>
  </si>
  <si>
    <t>10.75945854-79.73369598</t>
  </si>
  <si>
    <t>10.75963306-79.7348938</t>
  </si>
  <si>
    <t>10.75984573-79.73610687</t>
  </si>
  <si>
    <t>10.76007175-79.73726654</t>
  </si>
  <si>
    <t>10.76024055-79.73839569</t>
  </si>
  <si>
    <t>10.76039028-79.73956299</t>
  </si>
  <si>
    <t>10.76050758-79.74060059</t>
  </si>
  <si>
    <t>10.76063824-79.74166107</t>
  </si>
  <si>
    <t>10.76077366-79.74273682</t>
  </si>
  <si>
    <t>10.76089096-79.74388885</t>
  </si>
  <si>
    <t>10.76101112-79.74504852</t>
  </si>
  <si>
    <t>10.7611618-79.74620819</t>
  </si>
  <si>
    <t>10.76132011-79.7474823</t>
  </si>
  <si>
    <t>10.76149082-79.74865723</t>
  </si>
  <si>
    <t>10.76169777-79.74980927</t>
  </si>
  <si>
    <t>10.7619133-79.75091553</t>
  </si>
  <si>
    <t>10.76212311-79.75202179</t>
  </si>
  <si>
    <t>10.76235485-79.75312805</t>
  </si>
  <si>
    <t>10.76272964-79.75440216</t>
  </si>
  <si>
    <t>10.76347542-79.75667572</t>
  </si>
  <si>
    <t>10.76377201-79.75769043</t>
  </si>
  <si>
    <t>10.76398373-79.7587738</t>
  </si>
  <si>
    <t>10.76413441-79.75988007</t>
  </si>
  <si>
    <t>10.76432896-79.76222229</t>
  </si>
  <si>
    <t>10.7644062-79.76335144</t>
  </si>
  <si>
    <t>10.76450539-79.76449585</t>
  </si>
  <si>
    <t>10.76457214-79.76566315</t>
  </si>
  <si>
    <t>10.76464844-79.76687622</t>
  </si>
  <si>
    <t>10.76472187-79.76808167</t>
  </si>
  <si>
    <t>10.76478672-79.76921082</t>
  </si>
  <si>
    <t>10.76484489-79.77031708</t>
  </si>
  <si>
    <t>10.76493645-79.77153015</t>
  </si>
  <si>
    <t>10.76498318-79.77268219</t>
  </si>
  <si>
    <t>10.7650547-79.77387238</t>
  </si>
  <si>
    <t>10.76512623-79.77503967</t>
  </si>
  <si>
    <t>10.76520634-79.77620697</t>
  </si>
  <si>
    <t>10.76527977-79.77729797</t>
  </si>
  <si>
    <t>10.76534176-79.77822876</t>
  </si>
  <si>
    <t>10.76541042-79.77915192</t>
  </si>
  <si>
    <t>10.76548672-79.78031158</t>
  </si>
  <si>
    <t>10.76556778-79.78146362</t>
  </si>
  <si>
    <t>10.76565742-79.78261566</t>
  </si>
  <si>
    <t>10.76573944-79.78377533</t>
  </si>
  <si>
    <t>10.76575184-79.78491211</t>
  </si>
  <si>
    <t>10.76568794-79.78608704</t>
  </si>
  <si>
    <t>10.76553535-79.78739166</t>
  </si>
  <si>
    <t>10.76532173-79.78858185</t>
  </si>
  <si>
    <t>10.76502228-79.78977966</t>
  </si>
  <si>
    <t>10.76464081-79.79096222</t>
  </si>
  <si>
    <t>10.76419544-79.79212189</t>
  </si>
  <si>
    <t>10.76372242-79.79328156</t>
  </si>
  <si>
    <t>10.76322842-79.79449463</t>
  </si>
  <si>
    <t>10.76281166-79.79553223</t>
  </si>
  <si>
    <t>10.76245213-79.79653168</t>
  </si>
  <si>
    <t>10.76216888-79.79749298</t>
  </si>
  <si>
    <t>10.76196194-79.79837799</t>
  </si>
  <si>
    <t>10.76181221-79.79911041</t>
  </si>
  <si>
    <t>10.76172256-79.79964447</t>
  </si>
  <si>
    <t>10.76162529-79.80037689</t>
  </si>
  <si>
    <t>10.76153278-79.80150604</t>
  </si>
  <si>
    <t>10.7614727-79.80267334</t>
  </si>
  <si>
    <t>10.7614212-79.8038559</t>
  </si>
  <si>
    <t>10.76136494-79.80505371</t>
  </si>
  <si>
    <t>10.76131535-79.80625916</t>
  </si>
  <si>
    <t>10.76126289-79.80742645</t>
  </si>
  <si>
    <t>10.76121616-79.80856323</t>
  </si>
  <si>
    <t>10.76116085-79.80979156</t>
  </si>
  <si>
    <t>10.7611084-79.81090546</t>
  </si>
  <si>
    <t>10.76105404-79.81196594</t>
  </si>
  <si>
    <t>10.76099777-79.81290436</t>
  </si>
  <si>
    <t>10.76094818-79.8136673</t>
  </si>
  <si>
    <t>10.76093483-79.81406403</t>
  </si>
  <si>
    <t>10.76088428-79.81478119</t>
  </si>
  <si>
    <t>10.76080418-79.81590271</t>
  </si>
  <si>
    <t>10.76073647-79.81698608</t>
  </si>
  <si>
    <t>10.76068878-79.81798553</t>
  </si>
  <si>
    <t>10.76062298-79.8189621</t>
  </si>
  <si>
    <t>10.76063728-79.81988525</t>
  </si>
  <si>
    <t>10.76069832-79.82080078</t>
  </si>
  <si>
    <t>10.76065159-79.82184601</t>
  </si>
  <si>
    <t>10.76060677-79.82283783</t>
  </si>
  <si>
    <t>10.76058197-79.82379913</t>
  </si>
  <si>
    <t>10.76105881-79.82459259</t>
  </si>
  <si>
    <t>10.76188946-79.82492065</t>
  </si>
  <si>
    <t>10.76270294-79.82527161</t>
  </si>
  <si>
    <t>10.76349258-79.82550049</t>
  </si>
  <si>
    <t>10.76455688-79.82574463</t>
  </si>
  <si>
    <t>10.76555061-79.8259201</t>
  </si>
  <si>
    <t>10.76651478-79.82601929</t>
  </si>
  <si>
    <t>10.76743412-79.82605743</t>
  </si>
  <si>
    <t>10.76833057-79.8260498</t>
  </si>
  <si>
    <t>10.76914692-79.8259964</t>
  </si>
  <si>
    <t>10.76989079-79.82592773</t>
  </si>
  <si>
    <t>10.77068424-79.82582092</t>
  </si>
  <si>
    <t>10.77124596-79.825737</t>
  </si>
  <si>
    <t>10.77162457-79.82576752</t>
  </si>
  <si>
    <t>10.77243423-79.82562256</t>
  </si>
  <si>
    <t>10.77333832-79.8254776</t>
  </si>
  <si>
    <t>10.77421665-79.82534027</t>
  </si>
  <si>
    <t>10.77513409-79.82522583</t>
  </si>
  <si>
    <t>10.77597904-79.82514954</t>
  </si>
  <si>
    <t>10.77771568-79.82498169</t>
  </si>
  <si>
    <t>10.7786417-79.82489014</t>
  </si>
  <si>
    <t>10.77962685-79.82480621</t>
  </si>
  <si>
    <t>10.78059578-79.82470703</t>
  </si>
  <si>
    <t>10.78158283-79.82459259</t>
  </si>
  <si>
    <t>10.78256321-79.82447052</t>
  </si>
  <si>
    <t>10.78358555-79.8243866</t>
  </si>
  <si>
    <t>10.78455925-79.82430267</t>
  </si>
  <si>
    <t>10.78551388-79.82424927</t>
  </si>
  <si>
    <t>10.78647232-79.82423401</t>
  </si>
  <si>
    <t>10.78734875-79.82427216</t>
  </si>
  <si>
    <t>10.78841114-79.82433319</t>
  </si>
  <si>
    <t>10.78941536-79.82439423</t>
  </si>
  <si>
    <t>10.79039192-79.82444</t>
  </si>
  <si>
    <t>10.79131794-79.82446289</t>
  </si>
  <si>
    <t>10.79218674-79.82450867</t>
  </si>
  <si>
    <t>10.79299736-79.82462311</t>
  </si>
  <si>
    <t>10.7938261-79.82466888</t>
  </si>
  <si>
    <t>10.79457569-79.82475281</t>
  </si>
  <si>
    <t>10.79525757-79.8248291</t>
  </si>
  <si>
    <t>10.79577923-79.82492065</t>
  </si>
  <si>
    <t>10.79610729-79.82498169</t>
  </si>
  <si>
    <t>10.79637527-79.82504272</t>
  </si>
  <si>
    <t>10.79712009-79.82515717</t>
  </si>
  <si>
    <t>10.79783726-79.82528687</t>
  </si>
  <si>
    <t>10.79850006-79.82540894</t>
  </si>
  <si>
    <t>10.79918957-79.82549286</t>
  </si>
  <si>
    <t>10.79991913-79.82552338</t>
  </si>
  <si>
    <t>10.80056858-79.82544708</t>
  </si>
  <si>
    <t>10.80105019-79.82535553</t>
  </si>
  <si>
    <t>10.80142307-79.82528687</t>
  </si>
  <si>
    <t>10.80171871-79.82523346</t>
  </si>
  <si>
    <t>10.80222034-79.82514191</t>
  </si>
  <si>
    <t>10.80257797-79.82507324</t>
  </si>
  <si>
    <t>10.80279922-79.82511139</t>
  </si>
  <si>
    <t>10.80341244-79.82511902</t>
  </si>
  <si>
    <t>10.80430698-79.82530975</t>
  </si>
  <si>
    <t>10.80520153-79.82556152</t>
  </si>
  <si>
    <t>10.80613327-79.82585907</t>
  </si>
  <si>
    <t>10.80691147-79.82608795</t>
  </si>
  <si>
    <t>10.8075304-79.82627106</t>
  </si>
  <si>
    <t>10.80798626-79.82643127</t>
  </si>
  <si>
    <t>10.80886459-79.82675171</t>
  </si>
  <si>
    <t>10.80977631-79.82710266</t>
  </si>
  <si>
    <t>10.81070423-79.82745361</t>
  </si>
  <si>
    <t>10.81172276-79.82784271</t>
  </si>
  <si>
    <t>10.81268311-79.82820892</t>
  </si>
  <si>
    <t>10.81364059-79.8285675</t>
  </si>
  <si>
    <t>10.81451702-79.82911682</t>
  </si>
  <si>
    <t>10.81519699-79.82988739</t>
  </si>
  <si>
    <t>10.81579971-79.83061981</t>
  </si>
  <si>
    <t>10.81649876-79.83119965</t>
  </si>
  <si>
    <t>10.81722736-79.83156586</t>
  </si>
  <si>
    <t>10.81792736-79.83190155</t>
  </si>
  <si>
    <t>10.81857014-79.83221436</t>
  </si>
  <si>
    <t>10.81923199-79.83253479</t>
  </si>
  <si>
    <t>10.81992054-79.83287811</t>
  </si>
  <si>
    <t>10.82059479-79.83320618</t>
  </si>
  <si>
    <t>10.82134438-79.83356476</t>
  </si>
  <si>
    <t>10.82201385-79.83390045</t>
  </si>
  <si>
    <t>10.82262802-79.83431244</t>
  </si>
  <si>
    <t>10.82317257-79.83480072</t>
  </si>
  <si>
    <t>10.82368755-79.835289</t>
  </si>
  <si>
    <t>10.82413387-79.83564758</t>
  </si>
  <si>
    <t>10.82452488-79.83585358</t>
  </si>
  <si>
    <t>10.82477474-79.8359375</t>
  </si>
  <si>
    <t>10.82517147-79.83599854</t>
  </si>
  <si>
    <t>10.82555485-79.83604431</t>
  </si>
  <si>
    <t>10.82581615-79.83596802</t>
  </si>
  <si>
    <t>10.82597733-79.83592224</t>
  </si>
  <si>
    <t>10.82599545-79.83591461</t>
  </si>
  <si>
    <t>10.8259964-79.83591461</t>
  </si>
  <si>
    <t>10.8259964-79.83592224</t>
  </si>
  <si>
    <t>10.82599926-79.83592987</t>
  </si>
  <si>
    <t>10.82617569-79.83583832</t>
  </si>
  <si>
    <t>10.82664299-79.83559418</t>
  </si>
  <si>
    <t>10.82777214-79.83494568</t>
  </si>
  <si>
    <t>10.82857227-79.83449554</t>
  </si>
  <si>
    <t>10.82929516-79.83449554</t>
  </si>
  <si>
    <t>10.82998466-79.8345108</t>
  </si>
  <si>
    <t>10.83061695-79.8344574</t>
  </si>
  <si>
    <t>10.83121204-79.83431244</t>
  </si>
  <si>
    <t>10.83173466-79.83419037</t>
  </si>
  <si>
    <t>10.83207607-79.83403778</t>
  </si>
  <si>
    <t>10.83216667-79.83409882</t>
  </si>
  <si>
    <t>10.8321619-79.83415985</t>
  </si>
  <si>
    <t>10.83215714-79.83415985</t>
  </si>
  <si>
    <t>10.83215618-79.83416748</t>
  </si>
  <si>
    <t>10.83216-79.83415985</t>
  </si>
  <si>
    <t>10.83215904-79.83416748</t>
  </si>
  <si>
    <t>10.83216286-79.83416748</t>
  </si>
  <si>
    <t>10.83216572-79.83417511</t>
  </si>
  <si>
    <t>10.8321743-79.83417511</t>
  </si>
  <si>
    <t>10.83217239-79.83418274</t>
  </si>
  <si>
    <t>10.83217716-79.83419037</t>
  </si>
  <si>
    <t>10.83218288-79.83420563</t>
  </si>
  <si>
    <t>10.83220577-79.83434296</t>
  </si>
  <si>
    <t>10.83226204-79.83469391</t>
  </si>
  <si>
    <t>10.83231354-79.83508301</t>
  </si>
  <si>
    <t>10.83238411-79.83548737</t>
  </si>
  <si>
    <t>10.83247852-79.8359375</t>
  </si>
  <si>
    <t>10.83254719-79.83630371</t>
  </si>
  <si>
    <t>10.8326149-79.83666992</t>
  </si>
  <si>
    <t>10.83265209-79.83702087</t>
  </si>
  <si>
    <t>10.83267212-79.83738708</t>
  </si>
  <si>
    <t>10.83269882-79.8378067</t>
  </si>
  <si>
    <t>10.83272839-79.83815002</t>
  </si>
  <si>
    <t>10.83275032-79.83844757</t>
  </si>
  <si>
    <t>10.8327713-79.83878326</t>
  </si>
  <si>
    <t>10.83279896-79.83909607</t>
  </si>
  <si>
    <t>10.83282471-79.83932495</t>
  </si>
  <si>
    <t>10.83284092-79.83956146</t>
  </si>
  <si>
    <t>10.83283329-79.83966064</t>
  </si>
  <si>
    <t>10.83284187-79.83979034</t>
  </si>
  <si>
    <t>10.83278561-79.84009552</t>
  </si>
  <si>
    <t>10.83267021-79.84028625</t>
  </si>
  <si>
    <t>10.83241558-79.84029388</t>
  </si>
  <si>
    <t>10.83225441-79.84024811</t>
  </si>
  <si>
    <t>10.83224964-79.84020233</t>
  </si>
  <si>
    <t>10.83225441-79.84021759</t>
  </si>
  <si>
    <t>10.83225727-79.84022522</t>
  </si>
  <si>
    <t>10.83225346-79.84021759</t>
  </si>
  <si>
    <t>10.83225346-79.84020233</t>
  </si>
  <si>
    <t>10.83225441-79.84020233</t>
  </si>
  <si>
    <t>10.83225632-79.84021759</t>
  </si>
  <si>
    <t>10.8322506-79.84022522</t>
  </si>
  <si>
    <t>10.83224583-79.84020996</t>
  </si>
  <si>
    <t>10.83224583-79.84020233</t>
  </si>
  <si>
    <t>10.83223915-79.8401947</t>
  </si>
  <si>
    <t>10.8322382-79.84017944</t>
  </si>
  <si>
    <t>10.8322401-79.84017944</t>
  </si>
  <si>
    <t>10.83223915-79.84017181</t>
  </si>
  <si>
    <t>10.83224201-79.84017944</t>
  </si>
  <si>
    <t>10.83224297-79.84017181</t>
  </si>
  <si>
    <t>10.83224773-79.84017944</t>
  </si>
  <si>
    <t>10.83224964-79.84018707</t>
  </si>
  <si>
    <t>10.83225155-79.8401947</t>
  </si>
  <si>
    <t>10.83224583-79.84018707</t>
  </si>
  <si>
    <t>10.83224583-79.8401947</t>
  </si>
  <si>
    <t>10.83225155-79.84020996</t>
  </si>
  <si>
    <t>10.83224964-79.8401947</t>
  </si>
  <si>
    <t>10.83224869-79.84020233</t>
  </si>
  <si>
    <t>10.83224678-79.84020996</t>
  </si>
  <si>
    <t>10.83224773-79.84021759</t>
  </si>
  <si>
    <t>10.83225346-79.84022522</t>
  </si>
  <si>
    <t>10.83225536-79.84022522</t>
  </si>
  <si>
    <t>10.83225632-79.84022522</t>
  </si>
  <si>
    <t>10.83225632-79.84020996</t>
  </si>
  <si>
    <t>10.83224964-79.84020996</t>
  </si>
  <si>
    <t>10.83224773-79.84020233</t>
  </si>
  <si>
    <t>10.8322506-79.84020233</t>
  </si>
  <si>
    <t>10.83225822-79.84020233</t>
  </si>
  <si>
    <t>10.8322649-79.84020233</t>
  </si>
  <si>
    <t>10.83226395-79.84020233</t>
  </si>
  <si>
    <t>10.8322649-79.84020996</t>
  </si>
  <si>
    <t>10.83226681-79.84021759</t>
  </si>
  <si>
    <t>10.83226967-79.84021759</t>
  </si>
  <si>
    <t>10.83226871-79.84020996</t>
  </si>
  <si>
    <t>10.83227158-79.84021759</t>
  </si>
  <si>
    <t>10.83227634-79.84022522</t>
  </si>
  <si>
    <t>10.83228207-79.84022522</t>
  </si>
  <si>
    <t>10.83228493-79.84022522</t>
  </si>
  <si>
    <t>10.83228588-79.84022522</t>
  </si>
  <si>
    <t>10.83228683-79.84022522</t>
  </si>
  <si>
    <t>10.83229065-79.84023285</t>
  </si>
  <si>
    <t>10.8322897-79.84022522</t>
  </si>
  <si>
    <t>10.83228683-79.84023285</t>
  </si>
  <si>
    <t>10.83227825-79.84022522</t>
  </si>
  <si>
    <t>10.83227158-79.84022522</t>
  </si>
  <si>
    <t>10.83226967-79.84022522</t>
  </si>
  <si>
    <t>10.83226776-79.84024048</t>
  </si>
  <si>
    <t>10.8322649-79.84024811</t>
  </si>
  <si>
    <t>10.83226681-79.84025574</t>
  </si>
  <si>
    <t>10.83227253-79.840271</t>
  </si>
  <si>
    <t>10.8322773-79.84027863</t>
  </si>
  <si>
    <t>10.83227062-79.84027863</t>
  </si>
  <si>
    <t>10.83226585-79.84027863</t>
  </si>
  <si>
    <t>10.83226681-79.84028625</t>
  </si>
  <si>
    <t>10.83226395-79.84028625</t>
  </si>
  <si>
    <t>10.83225441-79.84028625</t>
  </si>
  <si>
    <t>10.83224583-79.840271</t>
  </si>
  <si>
    <t>10.8322401-79.840271</t>
  </si>
  <si>
    <t>10.83223915-79.840271</t>
  </si>
  <si>
    <t>10.83224201-79.840271</t>
  </si>
  <si>
    <t>10.83224201-79.84026337</t>
  </si>
  <si>
    <t>10.83223915-79.84025574</t>
  </si>
  <si>
    <t>10.83224106-79.84024811</t>
  </si>
  <si>
    <t>10.83224201-79.84024048</t>
  </si>
  <si>
    <t>10.83224106-79.84023285</t>
  </si>
  <si>
    <t>10.83224201-79.84023285</t>
  </si>
  <si>
    <t>10.8322401-79.84021759</t>
  </si>
  <si>
    <t>10.83223724-79.84020996</t>
  </si>
  <si>
    <t>10.83223248-79.8401947</t>
  </si>
  <si>
    <t>10.83222675-79.84018707</t>
  </si>
  <si>
    <t>10.83222771-79.84018707</t>
  </si>
  <si>
    <t>10.83223343-79.8401947</t>
  </si>
  <si>
    <t>10.83224869-79.84022522</t>
  </si>
  <si>
    <t>10.83224869-79.84021759</t>
  </si>
  <si>
    <t>10.83225155-79.84021759</t>
  </si>
  <si>
    <t>10.83224678-79.84021759</t>
  </si>
  <si>
    <t>10.83224297-79.84020996</t>
  </si>
  <si>
    <t>10.83224106-79.84020233</t>
  </si>
  <si>
    <t>10.83223915-79.84020233</t>
  </si>
  <si>
    <t>10.83223724-79.8401947</t>
  </si>
  <si>
    <t>10.8322401-79.84020233</t>
  </si>
  <si>
    <t>10.83224201-79.84020233</t>
  </si>
  <si>
    <t>10.83224392-79.84020233</t>
  </si>
  <si>
    <t>10.83224487-79.84020233</t>
  </si>
  <si>
    <t>10.83224201-79.8401947</t>
  </si>
  <si>
    <t>10.83224106-79.8401947</t>
  </si>
  <si>
    <t>10.83224392-79.8401947</t>
  </si>
  <si>
    <t>10.83224106-79.84018707</t>
  </si>
  <si>
    <t>10.83224392-79.84018707</t>
  </si>
  <si>
    <t>10.83224678-79.84018707</t>
  </si>
  <si>
    <t>10.83224678-79.8401947</t>
  </si>
  <si>
    <t>10.8322506-79.8401947</t>
  </si>
  <si>
    <t>10.83225441-79.8401947</t>
  </si>
  <si>
    <t>10.83225536-79.8401947</t>
  </si>
  <si>
    <t>10.83225155-79.84020233</t>
  </si>
  <si>
    <t>10.83225441-79.84020996</t>
  </si>
  <si>
    <t>10.83225536-79.84020996</t>
  </si>
  <si>
    <t>10.83225727-79.84020996</t>
  </si>
  <si>
    <t>10.83225346-79.84020996</t>
  </si>
  <si>
    <t>10.83225155-79.84022522</t>
  </si>
  <si>
    <t>10.83225536-79.84023285</t>
  </si>
  <si>
    <t>10.83225918-79.84024811</t>
  </si>
  <si>
    <t>10.83225822-79.84024811</t>
  </si>
  <si>
    <t>10.83225441-79.84024048</t>
  </si>
  <si>
    <t>10.83225727-79.84024048</t>
  </si>
  <si>
    <t>10.83225822-79.84024048</t>
  </si>
  <si>
    <t>10.83225918-79.84025574</t>
  </si>
  <si>
    <t>10.83226109-79.84025574</t>
  </si>
  <si>
    <t>10.83226204-79.84025574</t>
  </si>
  <si>
    <t>10.83226109-79.84024811</t>
  </si>
  <si>
    <t>10.83224964-79.84022522</t>
  </si>
  <si>
    <t>10.83225441-79.84023285</t>
  </si>
  <si>
    <t>10.83224869-79.84023285</t>
  </si>
  <si>
    <t>10.83225155-79.84023285</t>
  </si>
  <si>
    <t>10.83225727-79.84023285</t>
  </si>
  <si>
    <t>10.8322649-79.84022522</t>
  </si>
  <si>
    <t>10.83226585-79.84022522</t>
  </si>
  <si>
    <t>10.83226681-79.84022522</t>
  </si>
  <si>
    <t>10.83226585-79.84023285</t>
  </si>
  <si>
    <t>10.83225918-79.84023285</t>
  </si>
  <si>
    <t>10.83224773-79.84023285</t>
  </si>
  <si>
    <t>10.83225918-79.84024048</t>
  </si>
  <si>
    <t>10.83226109-79.84024048</t>
  </si>
  <si>
    <t>10.83226013-79.84024811</t>
  </si>
  <si>
    <t>10.83226204-79.84024811</t>
  </si>
  <si>
    <t>10.83226299-79.84025574</t>
  </si>
  <si>
    <t>10.83226395-79.84025574</t>
  </si>
  <si>
    <t>10.83225536-79.84024811</t>
  </si>
  <si>
    <t>10.8322506-79.84024811</t>
  </si>
  <si>
    <t>10.83225727-79.84025574</t>
  </si>
  <si>
    <t>10.83225727-79.84024811</t>
  </si>
  <si>
    <t>10.83225346-79.84024811</t>
  </si>
  <si>
    <t>10.83225632-79.84024048</t>
  </si>
  <si>
    <t>10.83225536-79.84024048</t>
  </si>
  <si>
    <t>10.83225155-79.84024048</t>
  </si>
  <si>
    <t>10.8322506-79.84024048</t>
  </si>
  <si>
    <t>10.83224678-79.84022522</t>
  </si>
  <si>
    <t>10.83224487-79.84022522</t>
  </si>
  <si>
    <t>10.83224297-79.84022522</t>
  </si>
  <si>
    <t>10.83224392-79.84022522</t>
  </si>
  <si>
    <t>10.83224964-79.84023285</t>
  </si>
  <si>
    <t>10.8322506-79.84023285</t>
  </si>
  <si>
    <t>10.83224583-79.84021759</t>
  </si>
  <si>
    <t>10.83224773-79.84022522</t>
  </si>
  <si>
    <t>10.83224964-79.84021759</t>
  </si>
  <si>
    <t>10.8322506-79.84020996</t>
  </si>
  <si>
    <t>10.83224773-79.84020996</t>
  </si>
  <si>
    <t>10.83224869-79.84020996</t>
  </si>
  <si>
    <t>10.8322506-79.84021759</t>
  </si>
  <si>
    <t>10.83225727-79.84020233</t>
  </si>
  <si>
    <t>10.83225918-79.84020996</t>
  </si>
  <si>
    <t>10.83225918-79.84020233</t>
  </si>
  <si>
    <t>10.83226109-79.8401947</t>
  </si>
  <si>
    <t>10.83225918-79.8401947</t>
  </si>
  <si>
    <t>10.83225632-79.8401947</t>
  </si>
  <si>
    <t>10.83226299-79.84020996</t>
  </si>
  <si>
    <t>10.83226776-79.84020233</t>
  </si>
  <si>
    <t>10.83226776-79.8401947</t>
  </si>
  <si>
    <t>10.83226299-79.8401947</t>
  </si>
  <si>
    <t>10.83226204-79.84020233</t>
  </si>
  <si>
    <t>10.83225822-79.84020996</t>
  </si>
  <si>
    <t>10.83225822-79.84022522</t>
  </si>
  <si>
    <t>10.83226013-79.84022522</t>
  </si>
  <si>
    <t>10.83226109-79.84022522</t>
  </si>
  <si>
    <t>10.83226204-79.84022522</t>
  </si>
  <si>
    <t>10.83225822-79.84021759</t>
  </si>
  <si>
    <t>10.83225536-79.84021759</t>
  </si>
  <si>
    <t>10.83225441-79.84022522</t>
  </si>
  <si>
    <t>10.83225822-79.84023285</t>
  </si>
  <si>
    <t>10.83224869-79.84024048</t>
  </si>
  <si>
    <t>10.83224583-79.84024048</t>
  </si>
  <si>
    <t>10.83224487-79.84024811</t>
  </si>
  <si>
    <t>10.83224297-79.84024811</t>
  </si>
  <si>
    <t>10.83223724-79.84024048</t>
  </si>
  <si>
    <t>10.8322382-79.84024048</t>
  </si>
  <si>
    <t>10.83223438-79.84025574</t>
  </si>
  <si>
    <t>10.83223629-79.84025574</t>
  </si>
  <si>
    <t>10.83224106-79.84025574</t>
  </si>
  <si>
    <t>10.83224583-79.84025574</t>
  </si>
  <si>
    <t>10.83224678-79.84025574</t>
  </si>
  <si>
    <t>10.83224869-79.840271</t>
  </si>
  <si>
    <t>10.83225441-79.840271</t>
  </si>
  <si>
    <t>10.8322506-79.840271</t>
  </si>
  <si>
    <t>10.83225155-79.84026337</t>
  </si>
  <si>
    <t>10.83224773-79.84026337</t>
  </si>
  <si>
    <t>10.83224583-79.84026337</t>
  </si>
  <si>
    <t>10.83224583-79.84024811</t>
  </si>
  <si>
    <t>10.83224392-79.84024048</t>
  </si>
  <si>
    <t>10.83224201-79.84024811</t>
  </si>
  <si>
    <t>10.83224678-79.84024048</t>
  </si>
  <si>
    <t>10.83225346-79.84024048</t>
  </si>
  <si>
    <t>10.83226585-79.84024811</t>
  </si>
  <si>
    <t>10.83227634-79.84025574</t>
  </si>
  <si>
    <t>10.83228683-79.84025574</t>
  </si>
  <si>
    <t>10.83228493-79.84024811</t>
  </si>
  <si>
    <t>10.83228493-79.84026337</t>
  </si>
  <si>
    <t>10.83228397-79.840271</t>
  </si>
  <si>
    <t>10.83228207-79.840271</t>
  </si>
  <si>
    <t>10.83228016-79.84026337</t>
  </si>
  <si>
    <t>10.83228111-79.840271</t>
  </si>
  <si>
    <t>10.83227444-79.840271</t>
  </si>
  <si>
    <t>10.83227634-79.840271</t>
  </si>
  <si>
    <t>10.83227539-79.840271</t>
  </si>
  <si>
    <t>10.83226871-79.840271</t>
  </si>
  <si>
    <t>10.83226204-79.84026337</t>
  </si>
  <si>
    <t>10.83225918-79.84026337</t>
  </si>
  <si>
    <t>10.83224964-79.84024811</t>
  </si>
  <si>
    <t>10.83226204-79.84024048</t>
  </si>
  <si>
    <t>10.83226681-79.84024048</t>
  </si>
  <si>
    <t>10.83227062-79.84024811</t>
  </si>
  <si>
    <t>10.83226395-79.84024811</t>
  </si>
  <si>
    <t>10.83226681-79.84024811</t>
  </si>
  <si>
    <t>10.83226395-79.84024048</t>
  </si>
  <si>
    <t>10.83226299-79.84024048</t>
  </si>
  <si>
    <t>10.8322649-79.84023285</t>
  </si>
  <si>
    <t>10.83226967-79.84023285</t>
  </si>
  <si>
    <t>10.83227253-79.84023285</t>
  </si>
  <si>
    <t>10.83226871-79.84023285</t>
  </si>
  <si>
    <t>10.83227062-79.84024048</t>
  </si>
  <si>
    <t>10.83226967-79.84024048</t>
  </si>
  <si>
    <t>10.83227158-79.84023285</t>
  </si>
  <si>
    <t>10.83227062-79.84022522</t>
  </si>
  <si>
    <t>10.83226204-79.84021759</t>
  </si>
  <si>
    <t>10.83225918-79.84022522</t>
  </si>
  <si>
    <t>10.83226776-79.84023285</t>
  </si>
  <si>
    <t>10.83226776-79.84022522</t>
  </si>
  <si>
    <t>10.8322773-79.84020996</t>
  </si>
  <si>
    <t>10.83227921-79.84020996</t>
  </si>
  <si>
    <t>10.83228111-79.84020996</t>
  </si>
  <si>
    <t>10.83228207-79.84020996</t>
  </si>
  <si>
    <t>10.83228111-79.84020233</t>
  </si>
  <si>
    <t>10.83227921-79.84020233</t>
  </si>
  <si>
    <t>10.8322773-79.8401947</t>
  </si>
  <si>
    <t>10.83228016-79.84020996</t>
  </si>
  <si>
    <t>10.83228302-79.84021759</t>
  </si>
  <si>
    <t>10.83227539-79.84022522</t>
  </si>
  <si>
    <t>10.8322773-79.84023285</t>
  </si>
  <si>
    <t>10.83227921-79.84022522</t>
  </si>
  <si>
    <t>10.83228111-79.84022522</t>
  </si>
  <si>
    <t>10.83229065-79.84022522</t>
  </si>
  <si>
    <t>10.83229256-79.84022522</t>
  </si>
  <si>
    <t>10.83229542-79.84022522</t>
  </si>
  <si>
    <t>10.83229446-79.84022522</t>
  </si>
  <si>
    <t>10.83229637-79.84022522</t>
  </si>
  <si>
    <t>10.8322916-79.84022522</t>
  </si>
  <si>
    <t>10.83227539-79.84023285</t>
  </si>
  <si>
    <t>10.83228302-79.84022522</t>
  </si>
  <si>
    <t>10.8322916-79.84023285</t>
  </si>
  <si>
    <t>10.83230019-79.84024048</t>
  </si>
  <si>
    <t>10.83230114-79.84024048</t>
  </si>
  <si>
    <t>10.83229637-79.84023285</t>
  </si>
  <si>
    <t>10.83229923-79.84023285</t>
  </si>
  <si>
    <t>10.83230305-79.84023285</t>
  </si>
  <si>
    <t>10.83229733-79.84022522</t>
  </si>
  <si>
    <t>10.83229828-79.84023285</t>
  </si>
  <si>
    <t>10.83229828-79.84022522</t>
  </si>
  <si>
    <t>10.83230209-79.84022522</t>
  </si>
  <si>
    <t>10.83230114-79.84022522</t>
  </si>
  <si>
    <t>10.83228397-79.84023285</t>
  </si>
  <si>
    <t>10.8322773-79.84024048</t>
  </si>
  <si>
    <t>10.83227825-79.84024048</t>
  </si>
  <si>
    <t>10.83227253-79.84022522</t>
  </si>
  <si>
    <t>10.83226299-79.84022522</t>
  </si>
  <si>
    <t>10.83224487-79.84020996</t>
  </si>
  <si>
    <t>10.8322382-79.84020233</t>
  </si>
  <si>
    <t>10.83223629-79.84020233</t>
  </si>
  <si>
    <t>10.83223629-79.84021759</t>
  </si>
  <si>
    <t>10.83223724-79.84021759</t>
  </si>
  <si>
    <t>10.83223724-79.84022522</t>
  </si>
  <si>
    <t>10.8322382-79.84021759</t>
  </si>
  <si>
    <t>10.83224201-79.84022522</t>
  </si>
  <si>
    <t>10.83226204-79.84023285</t>
  </si>
  <si>
    <t>10.83226395-79.84023285</t>
  </si>
  <si>
    <t>10.83226681-79.84023285</t>
  </si>
  <si>
    <t>10.8322649-79.84021759</t>
  </si>
  <si>
    <t>10.83226871-79.84021759</t>
  </si>
  <si>
    <t>10.83226585-79.84021759</t>
  </si>
  <si>
    <t>10.83226299-79.84021759</t>
  </si>
  <si>
    <t>10.83224487-79.84021759</t>
  </si>
  <si>
    <t>10.83224106-79.84020996</t>
  </si>
  <si>
    <t>10.83224106-79.84021759</t>
  </si>
  <si>
    <t>10.83223915-79.84022522</t>
  </si>
  <si>
    <t>10.83224297-79.84023285</t>
  </si>
  <si>
    <t>10.83224583-79.84022522</t>
  </si>
  <si>
    <t>10.83224487-79.84023285</t>
  </si>
  <si>
    <t>10.83223915-79.84023285</t>
  </si>
  <si>
    <t>10.83223057-79.84020996</t>
  </si>
  <si>
    <t>10.83223534-79.84020233</t>
  </si>
  <si>
    <t>10.8322401-79.84020996</t>
  </si>
  <si>
    <t>10.83224678-79.84020233</t>
  </si>
  <si>
    <t>10.83223915-79.84021759</t>
  </si>
  <si>
    <t>10.83223915-79.84020996</t>
  </si>
  <si>
    <t>10.83224583-79.84023285</t>
  </si>
  <si>
    <t>10.8322401-79.84023285</t>
  </si>
  <si>
    <t>10.8322382-79.84023285</t>
  </si>
  <si>
    <t>10.83224106-79.84022522</t>
  </si>
  <si>
    <t>10.83224297-79.84021759</t>
  </si>
  <si>
    <t>10.83224392-79.84021759</t>
  </si>
  <si>
    <t>10.8322401-79.84022522</t>
  </si>
  <si>
    <t>10.8322382-79.84022522</t>
  </si>
  <si>
    <t>10.83224392-79.84023285</t>
  </si>
  <si>
    <t>10.8322382-79.84015656</t>
  </si>
  <si>
    <t>10.83225346-79.840065</t>
  </si>
  <si>
    <t>10.83220959-79.84003448</t>
  </si>
  <si>
    <t>10.83221626-79.84005737</t>
  </si>
  <si>
    <t>10.83221531-79.84008026</t>
  </si>
  <si>
    <t>10.83221912-79.84008026</t>
  </si>
  <si>
    <t>10.83221817-79.84008026</t>
  </si>
  <si>
    <t>10.83221722-79.84008026</t>
  </si>
  <si>
    <t>10.83220959-79.84007263</t>
  </si>
  <si>
    <t>10.83220673-79.84007263</t>
  </si>
  <si>
    <t>10.83220577-79.840065</t>
  </si>
  <si>
    <t>10.83220482-79.84007263</t>
  </si>
  <si>
    <t>10.83220196-79.84007263</t>
  </si>
  <si>
    <t>10.83220577-79.84007263</t>
  </si>
  <si>
    <t>10.83220863-79.84007263</t>
  </si>
  <si>
    <t>10.83221054-79.84007263</t>
  </si>
  <si>
    <t>10.83221245-79.84007263</t>
  </si>
  <si>
    <t>10.8322134-79.84007263</t>
  </si>
  <si>
    <t>10.83220959-79.84008026</t>
  </si>
  <si>
    <t>10.83220768-79.84008026</t>
  </si>
  <si>
    <t>10.83220482-79.84008789</t>
  </si>
  <si>
    <t>10.83220196-79.84009552</t>
  </si>
  <si>
    <t>10.83219814-79.84009552</t>
  </si>
  <si>
    <t>10.83219433-79.84009552</t>
  </si>
  <si>
    <t>10.83219242-79.84009552</t>
  </si>
  <si>
    <t>10.83218861-79.84009552</t>
  </si>
  <si>
    <t>10.83218575-79.84010315</t>
  </si>
  <si>
    <t>10.83218479-79.84011078</t>
  </si>
  <si>
    <t>10.83218288-79.84011078</t>
  </si>
  <si>
    <t>10.83219624-79.84009552</t>
  </si>
  <si>
    <t>10.83219719-79.84009552</t>
  </si>
  <si>
    <t>10.83219814-79.84008789</t>
  </si>
  <si>
    <t>10.83219528-79.84008789</t>
  </si>
  <si>
    <t>10.8321991-79.84008026</t>
  </si>
  <si>
    <t>10.83220005-79.84008026</t>
  </si>
  <si>
    <t>10.832201-79.84008026</t>
  </si>
  <si>
    <t>10.83219337-79.84008026</t>
  </si>
  <si>
    <t>10.83218479-79.84008026</t>
  </si>
  <si>
    <t>10.83218193-79.84007263</t>
  </si>
  <si>
    <t>10.83218098-79.840065</t>
  </si>
  <si>
    <t>10.83218098-79.84007263</t>
  </si>
  <si>
    <t>10.83218193-79.84008026</t>
  </si>
  <si>
    <t>10.83217907-79.84008026</t>
  </si>
  <si>
    <t>10.83217907-79.84008789</t>
  </si>
  <si>
    <t>10.83217716-79.84008026</t>
  </si>
  <si>
    <t>10.83217621-79.84007263</t>
  </si>
  <si>
    <t>10.83217525-79.840065</t>
  </si>
  <si>
    <t>10.83217621-79.840065</t>
  </si>
  <si>
    <t>10.83217907-79.840065</t>
  </si>
  <si>
    <t>10.83218193-79.84005737</t>
  </si>
  <si>
    <t>10.83218575-79.840065</t>
  </si>
  <si>
    <t>10.83218956-79.840065</t>
  </si>
  <si>
    <t>10.83219242-79.840065</t>
  </si>
  <si>
    <t>10.83218765-79.84007263</t>
  </si>
  <si>
    <t>10.83218861-79.84007263</t>
  </si>
  <si>
    <t>10.83219147-79.84008026</t>
  </si>
  <si>
    <t>10.83219242-79.84008789</t>
  </si>
  <si>
    <t>10.83219814-79.84010315</t>
  </si>
  <si>
    <t>10.83219814-79.84011078</t>
  </si>
  <si>
    <t>10.83220387-79.84011841</t>
  </si>
  <si>
    <t>10.83220673-79.84011841</t>
  </si>
  <si>
    <t>10.83220387-79.84011078</t>
  </si>
  <si>
    <t>10.83220291-79.84011078</t>
  </si>
  <si>
    <t>10.83220673-79.84011078</t>
  </si>
  <si>
    <t>10.83220768-79.84010315</t>
  </si>
  <si>
    <t>10.83220673-79.84009552</t>
  </si>
  <si>
    <t>10.83221054-79.84009552</t>
  </si>
  <si>
    <t>10.8322134-79.84009552</t>
  </si>
  <si>
    <t>10.83221436-79.84010315</t>
  </si>
  <si>
    <t>10.8322134-79.84011078</t>
  </si>
  <si>
    <t>10.83221245-79.84011841</t>
  </si>
  <si>
    <t>10.83220959-79.84012604</t>
  </si>
  <si>
    <t>10.83220577-79.84012604</t>
  </si>
  <si>
    <t>10.83220291-79.84013367</t>
  </si>
  <si>
    <t>10.83220577-79.84013367</t>
  </si>
  <si>
    <t>10.83220863-79.8401413</t>
  </si>
  <si>
    <t>10.83220959-79.8401413</t>
  </si>
  <si>
    <t>10.83220673-79.84013367</t>
  </si>
  <si>
    <t>10.83220196-79.8401413</t>
  </si>
  <si>
    <t>10.83220005-79.8401413</t>
  </si>
  <si>
    <t>10.8321991-79.84013367</t>
  </si>
  <si>
    <t>10.83219719-79.8401413</t>
  </si>
  <si>
    <t>10.83219528-79.8401413</t>
  </si>
  <si>
    <t>10.83219528-79.84014893</t>
  </si>
  <si>
    <t>10.8321991-79.8401413</t>
  </si>
  <si>
    <t>10.832201-79.8401413</t>
  </si>
  <si>
    <t>10.83220005-79.84013367</t>
  </si>
  <si>
    <t>10.8321991-79.84012604</t>
  </si>
  <si>
    <t>10.8321991-79.84011841</t>
  </si>
  <si>
    <t>10.83220005-79.84011841</t>
  </si>
  <si>
    <t>10.8321991-79.84011078</t>
  </si>
  <si>
    <t>10.83219719-79.84011078</t>
  </si>
  <si>
    <t>10.83219624-79.84010315</t>
  </si>
  <si>
    <t>10.83219147-79.84010315</t>
  </si>
  <si>
    <t>10.8321867-79.84010315</t>
  </si>
  <si>
    <t>10.83219147-79.84009552</t>
  </si>
  <si>
    <t>10.83219624-79.84008789</t>
  </si>
  <si>
    <t>10.83220768-79.84007263</t>
  </si>
  <si>
    <t>10.83220673-79.84008026</t>
  </si>
  <si>
    <t>10.83219719-79.8400116</t>
  </si>
  <si>
    <t>10.8321209-79.83989716</t>
  </si>
  <si>
    <t>10.83185005-79.83988953</t>
  </si>
  <si>
    <t>10.83167362-79.84009552</t>
  </si>
  <si>
    <t>10.83187008-79.84026337</t>
  </si>
  <si>
    <t>10.83215714-79.84028625</t>
  </si>
  <si>
    <t>10.83246231-79.84030914</t>
  </si>
  <si>
    <t>10.83271885-79.84037781</t>
  </si>
  <si>
    <t>10.83270645-79.84067535</t>
  </si>
  <si>
    <t>10.8326292-79.84098053</t>
  </si>
  <si>
    <t>10.83260632-79.84108734</t>
  </si>
  <si>
    <t>10.83260345-79.84109497</t>
  </si>
  <si>
    <t>10.83254528-79.84130859</t>
  </si>
  <si>
    <t>10.83242226-79.84164429</t>
  </si>
  <si>
    <t>10.83214188-79.84199524</t>
  </si>
  <si>
    <t>10.83172226-79.84212494</t>
  </si>
  <si>
    <t>10.83132076-79.84236908</t>
  </si>
  <si>
    <t>10.83115864-79.84278107</t>
  </si>
  <si>
    <t>10.83116913-79.84322357</t>
  </si>
  <si>
    <t>10.8311758-79.84363556</t>
  </si>
  <si>
    <t>10.83119297-79.84403992</t>
  </si>
  <si>
    <t>10.83121586-79.84430695</t>
  </si>
  <si>
    <t>10.83124924-79.84473419</t>
  </si>
  <si>
    <t>10.83126545-79.84495544</t>
  </si>
  <si>
    <t>10.8311739-79.84513092</t>
  </si>
  <si>
    <t>10.83115101-79.84514618</t>
  </si>
  <si>
    <t>10.83114529-79.84515381</t>
  </si>
  <si>
    <t>10.83114815-79.84515381</t>
  </si>
  <si>
    <t>10.83115387-79.84514618</t>
  </si>
  <si>
    <t>10.83115673-79.84514618</t>
  </si>
  <si>
    <t>10.83115482-79.84513855</t>
  </si>
  <si>
    <t>10.83115292-79.84513092</t>
  </si>
  <si>
    <t>10.83115387-79.84513092</t>
  </si>
  <si>
    <t>10.83115864-79.84513092</t>
  </si>
  <si>
    <t>10.83116341-79.84512329</t>
  </si>
  <si>
    <t>10.83116817-79.84511566</t>
  </si>
  <si>
    <t>10.83116722-79.84511566</t>
  </si>
  <si>
    <t>10.83116817-79.8451004</t>
  </si>
  <si>
    <t>10.83117008-79.8451004</t>
  </si>
  <si>
    <t>10.83116436-79.84511566</t>
  </si>
  <si>
    <t>10.83115673-79.84511566</t>
  </si>
  <si>
    <t>10.83115768-79.84511566</t>
  </si>
  <si>
    <t>10.83115578-79.84511566</t>
  </si>
  <si>
    <t>10.83115005-79.84511566</t>
  </si>
  <si>
    <t>10.83114815-79.8451004</t>
  </si>
  <si>
    <t>10.83110809-79.84512329</t>
  </si>
  <si>
    <t>10.83048916-79.84519196</t>
  </si>
  <si>
    <t>10.83020115-79.84532166</t>
  </si>
  <si>
    <t>10.83003998-79.84555817</t>
  </si>
  <si>
    <t>10.83011627-79.84602356</t>
  </si>
  <si>
    <t>10.83025837-79.84690857</t>
  </si>
  <si>
    <t>10.83035564-79.84718323</t>
  </si>
  <si>
    <t>10.83048153-79.84742737</t>
  </si>
  <si>
    <t>10.83049488-79.84755707</t>
  </si>
  <si>
    <t>10.83049202-79.8475647</t>
  </si>
  <si>
    <t>10.83049011-79.8475647</t>
  </si>
  <si>
    <t>10.83049107-79.8475647</t>
  </si>
  <si>
    <t>10.83048725-79.84757233</t>
  </si>
  <si>
    <t>10.8305006-79.84758759</t>
  </si>
  <si>
    <t>10.83051682-79.84764862</t>
  </si>
  <si>
    <t>10.83054638-79.84783173</t>
  </si>
  <si>
    <t>10.83058262-79.84805298</t>
  </si>
  <si>
    <t>10.83038139-79.84777069</t>
  </si>
  <si>
    <t>10.83033276-79.84726715</t>
  </si>
  <si>
    <t>10.83017159-79.84620667</t>
  </si>
  <si>
    <t>10.83007908-79.84568024</t>
  </si>
  <si>
    <t>10.83017731-79.84532928</t>
  </si>
  <si>
    <t>10.8305912-79.84528351</t>
  </si>
  <si>
    <t>10.83144569-79.84516144</t>
  </si>
  <si>
    <t>10.83188343-79.84509277</t>
  </si>
  <si>
    <t>10.83230972-79.84500885</t>
  </si>
  <si>
    <t>10.83277702-79.84490967</t>
  </si>
  <si>
    <t>10.83303165-79.84496307</t>
  </si>
  <si>
    <t>10.83308125-79.84520721</t>
  </si>
  <si>
    <t>10.83314514-79.84562683</t>
  </si>
  <si>
    <t>10.83317471-79.84578705</t>
  </si>
  <si>
    <t>10.8331728-79.84577942</t>
  </si>
  <si>
    <t>10.83317375-79.84577942</t>
  </si>
  <si>
    <t>10.83317184-79.84577942</t>
  </si>
  <si>
    <t>10.83317089-79.84577942</t>
  </si>
  <si>
    <t>10.83316898-79.84577942</t>
  </si>
  <si>
    <t>10.83316422-79.84577942</t>
  </si>
  <si>
    <t>10.83316612-79.84577942</t>
  </si>
  <si>
    <t>10.83316326-79.84577942</t>
  </si>
  <si>
    <t>10.8331604-79.84577942</t>
  </si>
  <si>
    <t>10.83316708-79.84577942</t>
  </si>
  <si>
    <t>10.83316803-79.84577942</t>
  </si>
  <si>
    <t>10.83316994-79.84577942</t>
  </si>
  <si>
    <t>10.83316517-79.84577942</t>
  </si>
  <si>
    <t>10.83316135-79.84577179</t>
  </si>
  <si>
    <t>10.8331604-79.84577179</t>
  </si>
  <si>
    <t>10.83316422-79.84575653</t>
  </si>
  <si>
    <t>10.83316326-79.84575653</t>
  </si>
  <si>
    <t>10.83316231-79.84575653</t>
  </si>
  <si>
    <t>10.83315945-79.84577179</t>
  </si>
  <si>
    <t>10.83316231-79.84577179</t>
  </si>
  <si>
    <t>10.83316231-79.84577942</t>
  </si>
  <si>
    <t>10.83315754-79.84575653</t>
  </si>
  <si>
    <t>10.83315372-79.8457489</t>
  </si>
  <si>
    <t>10.83315277-79.84574127</t>
  </si>
  <si>
    <t>10.83315563-79.8457489</t>
  </si>
  <si>
    <t>10.83315468-79.8457489</t>
  </si>
  <si>
    <t>10.83315563-79.84575653</t>
  </si>
  <si>
    <t>10.83315754-79.8457489</t>
  </si>
  <si>
    <t>10.83315659-79.8457489</t>
  </si>
  <si>
    <t>10.83315182-79.8457489</t>
  </si>
  <si>
    <t>10.83315945-79.84575653</t>
  </si>
  <si>
    <t>10.83316231-79.8457489</t>
  </si>
  <si>
    <t>10.83316326-79.8457489</t>
  </si>
  <si>
    <t>10.83316612-79.84575653</t>
  </si>
  <si>
    <t>10.83317089-79.84575653</t>
  </si>
  <si>
    <t>10.8331728-79.84575653</t>
  </si>
  <si>
    <t>10.83317471-79.84575653</t>
  </si>
  <si>
    <t>10.83317471-79.84577179</t>
  </si>
  <si>
    <t>10.83317947-79.84577179</t>
  </si>
  <si>
    <t>10.83318138-79.84577179</t>
  </si>
  <si>
    <t>10.83317757-79.84577942</t>
  </si>
  <si>
    <t>10.83317661-79.84577942</t>
  </si>
  <si>
    <t>10.83317947-79.84577942</t>
  </si>
  <si>
    <t>10.83317757-79.84577179</t>
  </si>
  <si>
    <t>10.83317566-79.84577179</t>
  </si>
  <si>
    <t>10.83317566-79.84575653</t>
  </si>
  <si>
    <t>10.83317184-79.84575653</t>
  </si>
  <si>
    <t>10.83316803-79.84575653</t>
  </si>
  <si>
    <t>10.83316612-79.84577179</t>
  </si>
  <si>
    <t>10.83316326-79.84577179</t>
  </si>
  <si>
    <t>10.83316422-79.84577179</t>
  </si>
  <si>
    <t>10.83316708-79.84577179</t>
  </si>
  <si>
    <t>10.83316803-79.84577179</t>
  </si>
  <si>
    <t>10.83317089-79.84577179</t>
  </si>
  <si>
    <t>10.8331728-79.84577179</t>
  </si>
  <si>
    <t>10.83317184-79.84577179</t>
  </si>
  <si>
    <t>10.8331728-79.84578705</t>
  </si>
  <si>
    <t>10.83316994-79.84578705</t>
  </si>
  <si>
    <t>10.83317089-79.84579468</t>
  </si>
  <si>
    <t>10.83317184-79.84578705</t>
  </si>
  <si>
    <t>10.83316898-79.84579468</t>
  </si>
  <si>
    <t>10.83316517-79.84578705</t>
  </si>
  <si>
    <t>10.83316231-79.84578705</t>
  </si>
  <si>
    <t>10.83315659-79.84577942</t>
  </si>
  <si>
    <t>10.83315945-79.84577942</t>
  </si>
  <si>
    <t>10.83315754-79.84577942</t>
  </si>
  <si>
    <t>10.83315754-79.84578705</t>
  </si>
  <si>
    <t>10.83316135-79.84578705</t>
  </si>
  <si>
    <t>10.83316135-79.84579468</t>
  </si>
  <si>
    <t>10.83315659-79.84580994</t>
  </si>
  <si>
    <t>10.83315277-79.84580994</t>
  </si>
  <si>
    <t>10.83315182-79.84581757</t>
  </si>
  <si>
    <t>10.83316326-79.84580994</t>
  </si>
  <si>
    <t>10.83316326-79.84581757</t>
  </si>
  <si>
    <t>10.83316135-79.84581757</t>
  </si>
  <si>
    <t>10.83316135-79.8458252</t>
  </si>
  <si>
    <t>10.8331604-79.84581757</t>
  </si>
  <si>
    <t>10.83316422-79.84581757</t>
  </si>
  <si>
    <t>10.83316803-79.84581757</t>
  </si>
  <si>
    <t>10.83316708-79.8458252</t>
  </si>
  <si>
    <t>10.83316612-79.84580994</t>
  </si>
  <si>
    <t>10.8331728-79.84580994</t>
  </si>
  <si>
    <t>10.83317089-79.84580994</t>
  </si>
  <si>
    <t>10.83316994-79.84580231</t>
  </si>
  <si>
    <t>10.83317184-79.84580231</t>
  </si>
  <si>
    <t>10.83317375-79.84579468</t>
  </si>
  <si>
    <t>10.83317471-79.84580231</t>
  </si>
  <si>
    <t>10.83317375-79.84575653</t>
  </si>
  <si>
    <t>10.83317757-79.84575653</t>
  </si>
  <si>
    <t>10.8331852-79.84575653</t>
  </si>
  <si>
    <t>10.83318901-79.84575653</t>
  </si>
  <si>
    <t>10.83319187-79.84577179</t>
  </si>
  <si>
    <t>10.83319283-79.84577179</t>
  </si>
  <si>
    <t>10.83319283-79.84575653</t>
  </si>
  <si>
    <t>10.83318806-79.84575653</t>
  </si>
  <si>
    <t>10.83318615-79.8457489</t>
  </si>
  <si>
    <t>10.83318329-79.8457489</t>
  </si>
  <si>
    <t>10.83318233-79.8457489</t>
  </si>
  <si>
    <t>10.83318233-79.84574127</t>
  </si>
  <si>
    <t>10.83317947-79.8457489</t>
  </si>
  <si>
    <t>10.83318043-79.8457489</t>
  </si>
  <si>
    <t>10.83318329-79.84574127</t>
  </si>
  <si>
    <t>10.83318424-79.8457489</t>
  </si>
  <si>
    <t>10.8331871-79.84574127</t>
  </si>
  <si>
    <t>10.83318806-79.84574127</t>
  </si>
  <si>
    <t>10.83318615-79.84574127</t>
  </si>
  <si>
    <t>10.8331871-79.8457489</t>
  </si>
  <si>
    <t>10.83319092-79.8457489</t>
  </si>
  <si>
    <t>10.83319759-79.84575653</t>
  </si>
  <si>
    <t>10.83318806-79.84577179</t>
  </si>
  <si>
    <t>10.8331871-79.84577179</t>
  </si>
  <si>
    <t>10.83318996-79.84577179</t>
  </si>
  <si>
    <t>10.83319378-79.84575653</t>
  </si>
  <si>
    <t>10.83319664-79.84577179</t>
  </si>
  <si>
    <t>10.83319283-79.84577942</t>
  </si>
  <si>
    <t>10.83319187-79.84577942</t>
  </si>
  <si>
    <t>10.83318901-79.84577179</t>
  </si>
  <si>
    <t>10.83318615-79.84577942</t>
  </si>
  <si>
    <t>10.83318806-79.84577942</t>
  </si>
  <si>
    <t>10.83318043-79.84577942</t>
  </si>
  <si>
    <t>10.83318138-79.84577942</t>
  </si>
  <si>
    <t>10.83318424-79.84577179</t>
  </si>
  <si>
    <t>10.83318996-79.84577942</t>
  </si>
  <si>
    <t>10.83319092-79.84577942</t>
  </si>
  <si>
    <t>10.8331871-79.84578705</t>
  </si>
  <si>
    <t>10.83318329-79.84577942</t>
  </si>
  <si>
    <t>10.8331852-79.84577942</t>
  </si>
  <si>
    <t>10.83318424-79.84577942</t>
  </si>
  <si>
    <t>10.83318233-79.84577942</t>
  </si>
  <si>
    <t>10.83318615-79.84578705</t>
  </si>
  <si>
    <t>10.83318901-79.84578705</t>
  </si>
  <si>
    <t>10.83318043-79.84577179</t>
  </si>
  <si>
    <t>10.83318043-79.84575653</t>
  </si>
  <si>
    <t>10.83317471-79.84577942</t>
  </si>
  <si>
    <t>10.83316326-79.84578705</t>
  </si>
  <si>
    <t>10.83314991-79.84577942</t>
  </si>
  <si>
    <t>10.83315563-79.84578705</t>
  </si>
  <si>
    <t>10.83316612-79.84578705</t>
  </si>
  <si>
    <t>10.8331604-79.84578705</t>
  </si>
  <si>
    <t>10.83316994-79.8458252</t>
  </si>
  <si>
    <t>10.83318996-79.84603119</t>
  </si>
  <si>
    <t>10.83313465-79.84617615</t>
  </si>
  <si>
    <t>10.83313847-79.84616852</t>
  </si>
  <si>
    <t>10.83313942-79.84616089</t>
  </si>
  <si>
    <t>10.83314419-79.84616852</t>
  </si>
  <si>
    <t>10.8331461-79.84616852</t>
  </si>
  <si>
    <t>10.83315277-79.84616089</t>
  </si>
  <si>
    <t>10.83315563-79.84616089</t>
  </si>
  <si>
    <t>10.8331604-79.84616089</t>
  </si>
  <si>
    <t>10.83316231-79.84615326</t>
  </si>
  <si>
    <t>10.8331604-79.84615326</t>
  </si>
  <si>
    <t>10.83315945-79.84615326</t>
  </si>
  <si>
    <t>10.83315945-79.84614563</t>
  </si>
  <si>
    <t>10.83316422-79.84614563</t>
  </si>
  <si>
    <t>10.83316517-79.84614563</t>
  </si>
  <si>
    <t>10.83316803-79.84614563</t>
  </si>
  <si>
    <t>10.83317184-79.84614563</t>
  </si>
  <si>
    <t>10.83317757-79.84614563</t>
  </si>
  <si>
    <t>10.83318233-79.846138</t>
  </si>
  <si>
    <t>10.83318329-79.84614563</t>
  </si>
  <si>
    <t>10.83318424-79.84614563</t>
  </si>
  <si>
    <t>10.83318233-79.84614563</t>
  </si>
  <si>
    <t>10.83318043-79.84614563</t>
  </si>
  <si>
    <t>10.83317947-79.84614563</t>
  </si>
  <si>
    <t>10.83317566-79.84614563</t>
  </si>
  <si>
    <t>10.83317471-79.84614563</t>
  </si>
  <si>
    <t>10.83316898-79.84615326</t>
  </si>
  <si>
    <t>10.83316612-79.84615326</t>
  </si>
  <si>
    <t>10.83316422-79.84615326</t>
  </si>
  <si>
    <t>10.83316326-79.84614563</t>
  </si>
  <si>
    <t>10.83316231-79.84614563</t>
  </si>
  <si>
    <t>10.83316326-79.84615326</t>
  </si>
  <si>
    <t>10.83316517-79.84615326</t>
  </si>
  <si>
    <t>10.83315659-79.84615326</t>
  </si>
  <si>
    <t>10.83315277-79.84615326</t>
  </si>
  <si>
    <t>10.83315563-79.84615326</t>
  </si>
  <si>
    <t>10.83316135-79.84615326</t>
  </si>
  <si>
    <t>10.83316708-79.84615326</t>
  </si>
  <si>
    <t>10.83316326-79.84616089</t>
  </si>
  <si>
    <t>10.83316231-79.84616089</t>
  </si>
  <si>
    <t>10.83316135-79.84614563</t>
  </si>
  <si>
    <t>10.83316994-79.84614563</t>
  </si>
  <si>
    <t>10.83317089-79.84614563</t>
  </si>
  <si>
    <t>10.8331728-79.84614563</t>
  </si>
  <si>
    <t>10.83316708-79.846138</t>
  </si>
  <si>
    <t>10.83316803-79.846138</t>
  </si>
  <si>
    <t>10.83316708-79.84614563</t>
  </si>
  <si>
    <t>10.83316612-79.84614563</t>
  </si>
  <si>
    <t>10.83316612-79.846138</t>
  </si>
  <si>
    <t>10.83316803-79.84613037</t>
  </si>
  <si>
    <t>10.83316708-79.84613037</t>
  </si>
  <si>
    <t>10.83316326-79.84613037</t>
  </si>
  <si>
    <t>10.8331604-79.84613037</t>
  </si>
  <si>
    <t>10.83316231-79.84613037</t>
  </si>
  <si>
    <t>10.83316326-79.846138</t>
  </si>
  <si>
    <t>10.83315754-79.84614563</t>
  </si>
  <si>
    <t>10.83315086-79.84614563</t>
  </si>
  <si>
    <t>10.83314991-79.846138</t>
  </si>
  <si>
    <t>10.83314896-79.846138</t>
  </si>
  <si>
    <t>10.83314705-79.846138</t>
  </si>
  <si>
    <t>10.833148-79.84613037</t>
  </si>
  <si>
    <t>10.8331461-79.84613037</t>
  </si>
  <si>
    <t>10.83314705-79.84613037</t>
  </si>
  <si>
    <t>10.83314133-79.84613037</t>
  </si>
  <si>
    <t>10.83314323-79.84613037</t>
  </si>
  <si>
    <t>10.83314514-79.846138</t>
  </si>
  <si>
    <t>10.83314419-79.84614563</t>
  </si>
  <si>
    <t>10.83315468-79.84613037</t>
  </si>
  <si>
    <t>10.83316612-79.84613037</t>
  </si>
  <si>
    <t>10.83316994-79.84613037</t>
  </si>
  <si>
    <t>10.83316517-79.846138</t>
  </si>
  <si>
    <t>10.83316898-79.846138</t>
  </si>
  <si>
    <t>10.83317184-79.84613037</t>
  </si>
  <si>
    <t>10.83316994-79.846138</t>
  </si>
  <si>
    <t>10.8331728-79.846138</t>
  </si>
  <si>
    <t>10.83317471-79.84613037</t>
  </si>
  <si>
    <t>10.83317089-79.84612274</t>
  </si>
  <si>
    <t>10.83316803-79.84612274</t>
  </si>
  <si>
    <t>10.83316898-79.84612274</t>
  </si>
  <si>
    <t>10.83316994-79.84612274</t>
  </si>
  <si>
    <t>10.83316898-79.84611511</t>
  </si>
  <si>
    <t>10.83317375-79.84611511</t>
  </si>
  <si>
    <t>10.83317184-79.84612274</t>
  </si>
  <si>
    <t>10.83316422-79.84613037</t>
  </si>
  <si>
    <t>10.83316135-79.84613037</t>
  </si>
  <si>
    <t>10.8331604-79.846138</t>
  </si>
  <si>
    <t>10.83315659-79.846138</t>
  </si>
  <si>
    <t>10.833148-79.846138</t>
  </si>
  <si>
    <t>10.83315182-79.84613037</t>
  </si>
  <si>
    <t>10.83314228-79.84613037</t>
  </si>
  <si>
    <t>10.83314514-79.84612274</t>
  </si>
  <si>
    <t>10.83308411-79.84617615</t>
  </si>
  <si>
    <t>10.83294678-79.84632111</t>
  </si>
  <si>
    <t>10.83283043-79.84650421</t>
  </si>
  <si>
    <t>10.83286285-79.84670258</t>
  </si>
  <si>
    <t>10.83288574-79.8469162</t>
  </si>
  <si>
    <t>10.83288479-79.84714508</t>
  </si>
  <si>
    <t>10.83286667-79.84732819</t>
  </si>
  <si>
    <t>10.83285904-79.84751129</t>
  </si>
  <si>
    <t>10.8328371-79.8477478</t>
  </si>
  <si>
    <t>10.83283806-79.84796143</t>
  </si>
  <si>
    <t>10.83314419-79.84802246</t>
  </si>
  <si>
    <t>10.83343315-79.84798431</t>
  </si>
  <si>
    <t>10.83359814-79.84791565</t>
  </si>
  <si>
    <t>10.83363914-79.84768677</t>
  </si>
  <si>
    <t>10.83363056-79.84745026</t>
  </si>
  <si>
    <t>10.83362675-79.84727478</t>
  </si>
  <si>
    <t>10.83393574-79.8469696</t>
  </si>
  <si>
    <t>10.83413029-79.84690094</t>
  </si>
  <si>
    <t>10.83427143-79.84705353</t>
  </si>
  <si>
    <t>10.8342762-79.84706879</t>
  </si>
  <si>
    <t>10.83428383-79.84709167</t>
  </si>
  <si>
    <t>10.83429337-79.84712219</t>
  </si>
  <si>
    <t>10.83429623-79.84716797</t>
  </si>
  <si>
    <t>10.83430099-79.8471756</t>
  </si>
  <si>
    <t>10.83428955-79.84715271</t>
  </si>
  <si>
    <t>10.83427715-79.84715271</t>
  </si>
  <si>
    <t>10.83427525-79.84715271</t>
  </si>
  <si>
    <t>10.83428097-79.84715271</t>
  </si>
  <si>
    <t>10.83428192-79.84716034</t>
  </si>
  <si>
    <t>10.83428478-79.84716797</t>
  </si>
  <si>
    <t>10.83429432-79.8471756</t>
  </si>
  <si>
    <t>10.83430099-79.84718323</t>
  </si>
  <si>
    <t>10.83430576-79.84719086</t>
  </si>
  <si>
    <t>10.83431053-79.84719086</t>
  </si>
  <si>
    <t>10.83430958-79.84719086</t>
  </si>
  <si>
    <t>10.83430672-79.84719086</t>
  </si>
  <si>
    <t>10.83430862-79.84718323</t>
  </si>
  <si>
    <t>10.8343153-79.84719849</t>
  </si>
  <si>
    <t>10.83431053-79.84719849</t>
  </si>
  <si>
    <t>10.83431244-79.84718323</t>
  </si>
  <si>
    <t>10.83431721-79.84719086</t>
  </si>
  <si>
    <t>10.83431435-79.84712982</t>
  </si>
  <si>
    <t>10.83425236-79.84725952</t>
  </si>
  <si>
    <t>10.83395767-79.84720612</t>
  </si>
  <si>
    <t>10.83390236-79.8471756</t>
  </si>
  <si>
    <t>10.83390427-79.8471756</t>
  </si>
  <si>
    <t>10.83390331-79.8471756</t>
  </si>
  <si>
    <t>10.83390141-79.84718323</t>
  </si>
  <si>
    <t>10.83390045-79.84718323</t>
  </si>
  <si>
    <t>10.83390331-79.84718323</t>
  </si>
  <si>
    <t>10.83389759-79.84718323</t>
  </si>
  <si>
    <t>10.83389378-79.84718323</t>
  </si>
  <si>
    <t>10.83388901-79.8471756</t>
  </si>
  <si>
    <t>10.83388901-79.84718323</t>
  </si>
  <si>
    <t>10.83388805-79.8471756</t>
  </si>
  <si>
    <t>10.83388996-79.8471756</t>
  </si>
  <si>
    <t>10.8338871-79.8471756</t>
  </si>
  <si>
    <t>10.83389091-79.84718323</t>
  </si>
  <si>
    <t>10.83389378-79.84719086</t>
  </si>
  <si>
    <t>10.83389664-79.84719086</t>
  </si>
  <si>
    <t>10.83389378-79.84719849</t>
  </si>
  <si>
    <t>10.83389091-79.84719849</t>
  </si>
  <si>
    <t>10.83388996-79.84719849</t>
  </si>
  <si>
    <t>10.83384323-79.84707642</t>
  </si>
  <si>
    <t>10.83374214-79.84689331</t>
  </si>
  <si>
    <t>10.83358765-79.84664917</t>
  </si>
  <si>
    <t>10.83349133-79.84635925</t>
  </si>
  <si>
    <t>10.83340645-79.84605408</t>
  </si>
  <si>
    <t>10.83330631-79.84586334</t>
  </si>
  <si>
    <t>10.83314705-79.84545898</t>
  </si>
  <si>
    <t>10.83309174-79.84503937</t>
  </si>
  <si>
    <t>10.8328228-79.8449707</t>
  </si>
  <si>
    <t>10.83250046-79.84500885</t>
  </si>
  <si>
    <t>10.83215046-79.84505463</t>
  </si>
  <si>
    <t>10.83179188-79.84511566</t>
  </si>
  <si>
    <t>10.83149338-79.84509277</t>
  </si>
  <si>
    <t>10.83145428-79.84488678</t>
  </si>
  <si>
    <t>10.83144855-79.84486389</t>
  </si>
  <si>
    <t>10.83143997-79.84485626</t>
  </si>
  <si>
    <t>10.83142281-79.84484863</t>
  </si>
  <si>
    <t>10.83140659-79.84482574</t>
  </si>
  <si>
    <t>10.8313961-79.84474945</t>
  </si>
  <si>
    <t>10.83136177-79.84456635</t>
  </si>
  <si>
    <t>10.8313446-79.84442139</t>
  </si>
  <si>
    <t>10.83131409-79.84429169</t>
  </si>
  <si>
    <t>10.83130264-79.84413147</t>
  </si>
  <si>
    <t>10.83130264-79.84393311</t>
  </si>
  <si>
    <t>10.83129978-79.84385681</t>
  </si>
  <si>
    <t>10.83129501-79.84385681</t>
  </si>
  <si>
    <t>10.83130264-79.84385681</t>
  </si>
  <si>
    <t>10.83129978-79.84387207</t>
  </si>
  <si>
    <t>10.83128929-79.84388733</t>
  </si>
  <si>
    <t>10.83129025-79.84388733</t>
  </si>
  <si>
    <t>10.83128548-79.8438797</t>
  </si>
  <si>
    <t>10.83127308-79.84388733</t>
  </si>
  <si>
    <t>10.83127499-79.84387207</t>
  </si>
  <si>
    <t>10.83127213-79.84387207</t>
  </si>
  <si>
    <t>10.8312788-79.84387207</t>
  </si>
  <si>
    <t>10.83128262-79.84387207</t>
  </si>
  <si>
    <t>10.83128643-79.84387207</t>
  </si>
  <si>
    <t>10.83128834-79.84387207</t>
  </si>
  <si>
    <t>10.83128834-79.8438797</t>
  </si>
  <si>
    <t>10.83128643-79.84386444</t>
  </si>
  <si>
    <t>10.83128262-79.84386444</t>
  </si>
  <si>
    <t>10.83127975-79.84385681</t>
  </si>
  <si>
    <t>10.83128166-79.84385681</t>
  </si>
  <si>
    <t>10.83129215-79.84385681</t>
  </si>
  <si>
    <t>10.83129692-79.84385681</t>
  </si>
  <si>
    <t>10.83130455-79.84384155</t>
  </si>
  <si>
    <t>10.83131504-79.84383392</t>
  </si>
  <si>
    <t>10.83131599-79.84381866</t>
  </si>
  <si>
    <t>10.83132076-79.84379578</t>
  </si>
  <si>
    <t>10.83132267-79.84372711</t>
  </si>
  <si>
    <t>10.83131886-79.84342957</t>
  </si>
  <si>
    <t>10.83131313-79.84301758</t>
  </si>
  <si>
    <t>10.83135509-79.84255981</t>
  </si>
  <si>
    <t>10.83166885-79.84217072</t>
  </si>
  <si>
    <t>10.83210278-79.8420639</t>
  </si>
  <si>
    <t>10.83246708-79.84176636</t>
  </si>
  <si>
    <t>10.83263397-79.84143066</t>
  </si>
  <si>
    <t>10.83267498-79.84124756</t>
  </si>
  <si>
    <t>10.8326807-79.84124756</t>
  </si>
  <si>
    <t>10.83268833-79.84125519</t>
  </si>
  <si>
    <t>10.83269501-79.84125519</t>
  </si>
  <si>
    <t>10.83269787-79.84126282</t>
  </si>
  <si>
    <t>10.83270645-79.84125519</t>
  </si>
  <si>
    <t>10.83271599-79.84120941</t>
  </si>
  <si>
    <t>10.83275127-79.84104919</t>
  </si>
  <si>
    <t>10.83277416-79.84095764</t>
  </si>
  <si>
    <t>10.83277702-79.84092712</t>
  </si>
  <si>
    <t>10.83277321-79.84091187</t>
  </si>
  <si>
    <t>10.83279324-79.84075928</t>
  </si>
  <si>
    <t>10.83279705-79.84072113</t>
  </si>
  <si>
    <t>10.8327961-79.84072113</t>
  </si>
  <si>
    <t>10.83279419-79.84072876</t>
  </si>
  <si>
    <t>10.832798-79.84069061</t>
  </si>
  <si>
    <t>10.83280182-79.84061432</t>
  </si>
  <si>
    <t>10.83280754-79.84061432</t>
  </si>
  <si>
    <t>10.83281136-79.84059906</t>
  </si>
  <si>
    <t>10.8328104-79.84059906</t>
  </si>
  <si>
    <t>10.83280945-79.84061432</t>
  </si>
  <si>
    <t>10.83281231-79.84047699</t>
  </si>
  <si>
    <t>10.83267403-79.840271</t>
  </si>
  <si>
    <t>10.83240128-79.84027863</t>
  </si>
  <si>
    <t>10.83207417-79.84030914</t>
  </si>
  <si>
    <t>10.83172798-79.84017944</t>
  </si>
  <si>
    <t>10.83201694-79.84001923</t>
  </si>
  <si>
    <t>10.83219814-79.84004211</t>
  </si>
  <si>
    <t>10.83218765-79.84010315</t>
  </si>
  <si>
    <t>10.83218288-79.84014893</t>
  </si>
  <si>
    <t>10.83218479-79.8401947</t>
  </si>
  <si>
    <t>10.83218193-79.8401947</t>
  </si>
  <si>
    <t>10.83217812-79.8401947</t>
  </si>
  <si>
    <t>10.83217621-79.84018707</t>
  </si>
  <si>
    <t>10.83217907-79.8401947</t>
  </si>
  <si>
    <t>10.8321867-79.8401947</t>
  </si>
  <si>
    <t>10.83218765-79.84018707</t>
  </si>
  <si>
    <t>10.83218575-79.84017944</t>
  </si>
  <si>
    <t>10.83218575-79.84018707</t>
  </si>
  <si>
    <t>10.83218479-79.84017944</t>
  </si>
  <si>
    <t>10.83218288-79.84017944</t>
  </si>
  <si>
    <t>10.83218193-79.84015656</t>
  </si>
  <si>
    <t>10.83217812-79.84015656</t>
  </si>
  <si>
    <t>10.83218193-79.84014893</t>
  </si>
  <si>
    <t>10.83218002-79.84015656</t>
  </si>
  <si>
    <t>10.83218288-79.84015656</t>
  </si>
  <si>
    <t>10.83218002-79.84017944</t>
  </si>
  <si>
    <t>10.83218288-79.84018707</t>
  </si>
  <si>
    <t>10.83218479-79.84018707</t>
  </si>
  <si>
    <t>10.83218861-79.8401947</t>
  </si>
  <si>
    <t>10.83218765-79.8401947</t>
  </si>
  <si>
    <t>10.83218575-79.8401947</t>
  </si>
  <si>
    <t>10.83218193-79.84020233</t>
  </si>
  <si>
    <t>10.83218384-79.8401947</t>
  </si>
  <si>
    <t>10.8321867-79.84018707</t>
  </si>
  <si>
    <t>10.83218288-79.8401947</t>
  </si>
  <si>
    <t>10.83217621-79.8401947</t>
  </si>
  <si>
    <t>10.83217144-79.84018707</t>
  </si>
  <si>
    <t>10.83216858-79.8401947</t>
  </si>
  <si>
    <t>10.83216763-79.8401947</t>
  </si>
  <si>
    <t>10.83216667-79.84018707</t>
  </si>
  <si>
    <t>10.83216763-79.84017944</t>
  </si>
  <si>
    <t>10.83216286-79.84017944</t>
  </si>
  <si>
    <t>10.83215618-79.84018707</t>
  </si>
  <si>
    <t>10.83215523-79.84018707</t>
  </si>
  <si>
    <t>10.83215332-79.84018707</t>
  </si>
  <si>
    <t>10.83214664-79.84017944</t>
  </si>
  <si>
    <t>10.83214569-79.84017181</t>
  </si>
  <si>
    <t>10.83214474-79.84017181</t>
  </si>
  <si>
    <t>10.83214855-79.84015656</t>
  </si>
  <si>
    <t>10.83215141-79.84015656</t>
  </si>
  <si>
    <t>10.83215141-79.84017181</t>
  </si>
  <si>
    <t>10.83215141-79.84017944</t>
  </si>
  <si>
    <t>10.83215332-79.84017944</t>
  </si>
  <si>
    <t>10.83215714-79.84017944</t>
  </si>
  <si>
    <t>10.8321619-79.84017944</t>
  </si>
  <si>
    <t>10.83215427-79.8401947</t>
  </si>
  <si>
    <t>10.83215141-79.8401947</t>
  </si>
  <si>
    <t>10.83215427-79.84020233</t>
  </si>
  <si>
    <t>10.83215618-79.84020233</t>
  </si>
  <si>
    <t>10.83215904-79.84020233</t>
  </si>
  <si>
    <t>10.83216095-79.84020233</t>
  </si>
  <si>
    <t>10.83215809-79.8401947</t>
  </si>
  <si>
    <t>10.83216-79.8401947</t>
  </si>
  <si>
    <t>10.83216381-79.84020233</t>
  </si>
  <si>
    <t>10.83216763-79.84020233</t>
  </si>
  <si>
    <t>10.83216953-79.84020233</t>
  </si>
  <si>
    <t>10.83217144-79.84020233</t>
  </si>
  <si>
    <t>10.83217335-79.84020996</t>
  </si>
  <si>
    <t>10.83217239-79.84020233</t>
  </si>
  <si>
    <t>10.83217812-79.84020996</t>
  </si>
  <si>
    <t>10.83217907-79.84020996</t>
  </si>
  <si>
    <t>10.83218479-79.84020233</t>
  </si>
  <si>
    <t>10.83218765-79.84020233</t>
  </si>
  <si>
    <t>10.83219719-79.8401947</t>
  </si>
  <si>
    <t>10.832201-79.84018707</t>
  </si>
  <si>
    <t>10.83220005-79.84018707</t>
  </si>
  <si>
    <t>10.83219814-79.84015656</t>
  </si>
  <si>
    <t>10.83219337-79.84015656</t>
  </si>
  <si>
    <t>10.83219337-79.84014893</t>
  </si>
  <si>
    <t>10.83219242-79.84017181</t>
  </si>
  <si>
    <t>10.83218765-79.84015656</t>
  </si>
  <si>
    <t>10.83218288-79.84017181</t>
  </si>
  <si>
    <t>10.83217621-79.84017181</t>
  </si>
  <si>
    <t>10.83217335-79.84017944</t>
  </si>
  <si>
    <t>10.83217144-79.84017944</t>
  </si>
  <si>
    <t>10.83216858-79.84015656</t>
  </si>
  <si>
    <t>10.83216572-79.84015656</t>
  </si>
  <si>
    <t>10.83216763-79.84014893</t>
  </si>
  <si>
    <t>10.8321743-79.8401413</t>
  </si>
  <si>
    <t>10.83217907-79.8401413</t>
  </si>
  <si>
    <t>10.83218575-79.8401413</t>
  </si>
  <si>
    <t>10.83218765-79.8401413</t>
  </si>
  <si>
    <t>10.83218956-79.8401413</t>
  </si>
  <si>
    <t>10.83219337-79.8401413</t>
  </si>
  <si>
    <t>10.83219814-79.8401413</t>
  </si>
  <si>
    <t>10.83219528-79.84013367</t>
  </si>
  <si>
    <t>10.83219147-79.8401413</t>
  </si>
  <si>
    <t>10.83219528-79.83998871</t>
  </si>
  <si>
    <t>10.83202171-79.8400116</t>
  </si>
  <si>
    <t>10.83225918-79.840271</t>
  </si>
  <si>
    <t>10.83274078-79.84027863</t>
  </si>
  <si>
    <t>10.83284187-79.8398056</t>
  </si>
  <si>
    <t>10.83282948-79.83942413</t>
  </si>
  <si>
    <t>10.83281708-79.83908844</t>
  </si>
  <si>
    <t>10.83280754-79.83873749</t>
  </si>
  <si>
    <t>10.83277893-79.83828735</t>
  </si>
  <si>
    <t>10.83275986-79.83782196</t>
  </si>
  <si>
    <t>10.83273506-79.83744812</t>
  </si>
  <si>
    <t>10.83269978-79.83699799</t>
  </si>
  <si>
    <t>10.83265305-79.83654022</t>
  </si>
  <si>
    <t>10.83255577-79.83601379</t>
  </si>
  <si>
    <t>10.83239269-79.83526611</t>
  </si>
  <si>
    <t>10.83226585-79.83459473</t>
  </si>
  <si>
    <t>10.83221722-79.83431244</t>
  </si>
  <si>
    <t>10.83216381-79.83405304</t>
  </si>
  <si>
    <t>10.83176708-79.83411407</t>
  </si>
  <si>
    <t>10.83163357-79.83415985</t>
  </si>
  <si>
    <t>10.83067703-79.83441925</t>
  </si>
  <si>
    <t>10.82965279-79.83446503</t>
  </si>
  <si>
    <t>10.82866573-79.83444977</t>
  </si>
  <si>
    <t>10.82739353-79.83515167</t>
  </si>
  <si>
    <t>10.82678509-79.83544922</t>
  </si>
  <si>
    <t>10.82623482-79.83571625</t>
  </si>
  <si>
    <t>10.82568836-79.83585358</t>
  </si>
  <si>
    <t>10.82528687-79.83592224</t>
  </si>
  <si>
    <t>10.82496452-79.83591461</t>
  </si>
  <si>
    <t>10.82470989-79.83585358</t>
  </si>
  <si>
    <t>10.82374382-79.83530426</t>
  </si>
  <si>
    <t>10.8224926-79.83418274</t>
  </si>
  <si>
    <t>10.82132912-79.83354187</t>
  </si>
  <si>
    <t>10.82010937-79.83294678</t>
  </si>
  <si>
    <t>10.81891537-79.83235168</t>
  </si>
  <si>
    <t>10.81778622-79.83179474</t>
  </si>
  <si>
    <t>10.81632519-79.83100891</t>
  </si>
  <si>
    <t>10.81520081-79.82983398</t>
  </si>
  <si>
    <t>10.8139534-79.82868958</t>
  </si>
  <si>
    <t>10.81263828-79.82813263</t>
  </si>
  <si>
    <t>10.81110096-79.82754517</t>
  </si>
  <si>
    <t>10.80962658-79.82696533</t>
  </si>
  <si>
    <t>10.8082304-79.8264389</t>
  </si>
  <si>
    <t>10.80686188-79.82601166</t>
  </si>
  <si>
    <t>10.80560207-79.82561493</t>
  </si>
  <si>
    <t>10.80444431-79.82527924</t>
  </si>
  <si>
    <t>10.80396175-79.82512665</t>
  </si>
  <si>
    <t>10.80391884-79.82480621</t>
  </si>
  <si>
    <t>10.80386353-79.82453156</t>
  </si>
  <si>
    <t>10.80351257-79.82458496</t>
  </si>
  <si>
    <t>10.8024683-79.82480621</t>
  </si>
  <si>
    <t>10.80153561-79.82498932</t>
  </si>
  <si>
    <t>10.80093956-79.82512665</t>
  </si>
  <si>
    <t>10.79985809-79.82530212</t>
  </si>
  <si>
    <t>10.79833508-79.82514954</t>
  </si>
  <si>
    <t>10.79674625-79.82489014</t>
  </si>
  <si>
    <t>10.79515266-79.82463074</t>
  </si>
  <si>
    <t>10.79357243-79.82444</t>
  </si>
  <si>
    <t>10.79192734-79.82433319</t>
  </si>
  <si>
    <t>10.79005241-79.8242569</t>
  </si>
  <si>
    <t>10.78837872-79.82417297</t>
  </si>
  <si>
    <t>10.7868681-79.82410431</t>
  </si>
  <si>
    <t>10.7853632-79.8241272</t>
  </si>
  <si>
    <t>10.78398132-79.82423401</t>
  </si>
  <si>
    <t>10.78269863-79.82433319</t>
  </si>
  <si>
    <t>10.78166294-79.82442474</t>
  </si>
  <si>
    <t>10.78118324-79.82455444</t>
  </si>
  <si>
    <t>10.78021145-79.8245697</t>
  </si>
  <si>
    <t>10.77710819-79.82491302</t>
  </si>
  <si>
    <t>10.77522278-79.8250885</t>
  </si>
  <si>
    <t>10.77379894-79.82528687</t>
  </si>
  <si>
    <t>10.7723341-79.82552338</t>
  </si>
  <si>
    <t>10.77103615-79.82570648</t>
  </si>
  <si>
    <t>10.76979446-79.82588959</t>
  </si>
  <si>
    <t>10.76821136-79.82601166</t>
  </si>
  <si>
    <t>10.76521969-79.82581329</t>
  </si>
  <si>
    <t>10.76380253-79.82555389</t>
  </si>
  <si>
    <t>10.76241589-79.82514954</t>
  </si>
  <si>
    <t>10.76123428-79.82466888</t>
  </si>
  <si>
    <t>10.76059437-79.82376099</t>
  </si>
  <si>
    <t>10.76062202-79.82254028</t>
  </si>
  <si>
    <t>10.76066589-79.82147217</t>
  </si>
  <si>
    <t>10.76069069-79.82038116</t>
  </si>
  <si>
    <t>10.76063633-79.81899261</t>
  </si>
  <si>
    <t>10.7607193-79.81747437</t>
  </si>
  <si>
    <t>10.76080894-79.81583405</t>
  </si>
  <si>
    <t>10.76090431-79.81436157</t>
  </si>
  <si>
    <t>10.76097679-79.8133316</t>
  </si>
  <si>
    <t>10.76104927-79.81204987</t>
  </si>
  <si>
    <t>10.76111126-79.81059265</t>
  </si>
  <si>
    <t>10.76118088-79.8091507</t>
  </si>
  <si>
    <t>10.76124954-79.80762482</t>
  </si>
  <si>
    <t>10.76132584-79.80604553</t>
  </si>
  <si>
    <t>10.76140499-79.80436707</t>
  </si>
  <si>
    <t>10.76148605-79.80285645</t>
  </si>
  <si>
    <t>10.76156044-79.80149078</t>
  </si>
  <si>
    <t>10.76159382-79.80054474</t>
  </si>
  <si>
    <t>10.76170921-79.79978943</t>
  </si>
  <si>
    <t>10.76194954-79.79857635</t>
  </si>
  <si>
    <t>10.76225185-79.79730988</t>
  </si>
  <si>
    <t>10.76264858-79.79603577</t>
  </si>
  <si>
    <t>10.76329899-79.79439545</t>
  </si>
  <si>
    <t>10.76394939-79.7928009</t>
  </si>
  <si>
    <t>10.76455212-79.79127502</t>
  </si>
  <si>
    <t>10.76501369-79.78984833</t>
  </si>
  <si>
    <t>10.76539516-79.78823853</t>
  </si>
  <si>
    <t>10.76562881-79.78675079</t>
  </si>
  <si>
    <t>10.76573944-79.78542328</t>
  </si>
  <si>
    <t>10.76577854-79.78416443</t>
  </si>
  <si>
    <t>10.76569176-79.78263855</t>
  </si>
  <si>
    <t>10.76558685-79.78108215</t>
  </si>
  <si>
    <t>10.76548576-79.77960205</t>
  </si>
  <si>
    <t>10.76537323-79.77803802</t>
  </si>
  <si>
    <t>10.76525974-79.77642059</t>
  </si>
  <si>
    <t>10.76514912-79.77484131</t>
  </si>
  <si>
    <t>10.76503086-79.77325439</t>
  </si>
  <si>
    <t>10.76495457-79.77179718</t>
  </si>
  <si>
    <t>10.76490784-79.77075195</t>
  </si>
  <si>
    <t>10.76484013-79.76946259</t>
  </si>
  <si>
    <t>10.76474285-79.7678833</t>
  </si>
  <si>
    <t>10.76464081-79.76631927</t>
  </si>
  <si>
    <t>10.76453495-79.76475525</t>
  </si>
  <si>
    <t>10.76441383-79.76315308</t>
  </si>
  <si>
    <t>10.76430225-79.76145935</t>
  </si>
  <si>
    <t>10.76414776-79.75976563</t>
  </si>
  <si>
    <t>10.76389313-79.75807953</t>
  </si>
  <si>
    <t>10.76347828-79.75656891</t>
  </si>
  <si>
    <t>10.76294994-79.75486755</t>
  </si>
  <si>
    <t>10.76241589-79.7531662</t>
  </si>
  <si>
    <t>10.76203346-79.75138092</t>
  </si>
  <si>
    <t>10.76169586-79.74963379</t>
  </si>
  <si>
    <t>10.76140785-79.74788666</t>
  </si>
  <si>
    <t>10.76117325-79.74601746</t>
  </si>
  <si>
    <t>10.76097107-79.74427795</t>
  </si>
  <si>
    <t>10.7607832-79.74267578</t>
  </si>
  <si>
    <t>10.76060581-79.74111176</t>
  </si>
  <si>
    <t>10.76043129-79.73962402</t>
  </si>
  <si>
    <t>10.7602253-79.73792267</t>
  </si>
  <si>
    <t>10.75959206-79.73435211</t>
  </si>
  <si>
    <t>10.75932407-79.73238373</t>
  </si>
  <si>
    <t>10.75909424-79.73067474</t>
  </si>
  <si>
    <t>10.75888062-79.72904968</t>
  </si>
  <si>
    <t>10.75853825-79.72605896</t>
  </si>
  <si>
    <t>10.7584486-79.72473145</t>
  </si>
  <si>
    <t>10.758358-79.72348785</t>
  </si>
  <si>
    <t>10.75837517-79.72225952</t>
  </si>
  <si>
    <t>10.75845337-79.72131348</t>
  </si>
  <si>
    <t>10.75855255-79.72020721</t>
  </si>
  <si>
    <t>10.75865173-79.71875763</t>
  </si>
  <si>
    <t>10.75876522-79.7172699</t>
  </si>
  <si>
    <t>10.75879097-79.71590424</t>
  </si>
  <si>
    <t>10.75870037-79.71429443</t>
  </si>
  <si>
    <t>10.7585392-79.7122345</t>
  </si>
  <si>
    <t>10.75838661-79.7103653</t>
  </si>
  <si>
    <t>10.75823879-79.70853424</t>
  </si>
  <si>
    <t>10.75816154-79.70662689</t>
  </si>
  <si>
    <t>10.75877953-79.70498657</t>
  </si>
  <si>
    <t>10.75989628-79.70385742</t>
  </si>
  <si>
    <t>10.76115704-79.70276642</t>
  </si>
  <si>
    <t>10.76249886-79.69962311</t>
  </si>
  <si>
    <t>10.76343155-79.69684601</t>
  </si>
  <si>
    <t>10.76328754-79.69574738</t>
  </si>
  <si>
    <t>10.76318932-79.69470215</t>
  </si>
  <si>
    <t>10.76311588-79.69347382</t>
  </si>
  <si>
    <t>10.76313305-79.69213104</t>
  </si>
  <si>
    <t>10.76318741-79.69088745</t>
  </si>
  <si>
    <t>10.76324558-79.68996429</t>
  </si>
  <si>
    <t>10.76340485-79.68783569</t>
  </si>
  <si>
    <t>10.76351357-79.68656921</t>
  </si>
  <si>
    <t>10.76359177-79.68531799</t>
  </si>
  <si>
    <t>10.76350021-79.68410492</t>
  </si>
  <si>
    <t>10.76373959-79.68328094</t>
  </si>
  <si>
    <t>10.76389027-79.68283081</t>
  </si>
  <si>
    <t>10.76425743-79.68161774</t>
  </si>
  <si>
    <t>10.76457024-79.68029785</t>
  </si>
  <si>
    <t>10.76492023-79.67894745</t>
  </si>
  <si>
    <t>10.76514339-79.67753601</t>
  </si>
  <si>
    <t>10.76521969-79.67622375</t>
  </si>
  <si>
    <t>10.76520634-79.67497253</t>
  </si>
  <si>
    <t>10.76495934-79.67215729</t>
  </si>
  <si>
    <t>10.76473808-79.67073822</t>
  </si>
  <si>
    <t>10.76443768-79.66918182</t>
  </si>
  <si>
    <t>10.76433182-79.6676712</t>
  </si>
  <si>
    <t>10.76495075-79.66471863</t>
  </si>
  <si>
    <t>10.7652607-79.6621933</t>
  </si>
  <si>
    <t>10.76535797-79.66120911</t>
  </si>
  <si>
    <t>10.76541424-79.6607132</t>
  </si>
  <si>
    <t>10.76549721-79.65979004</t>
  </si>
  <si>
    <t>10.76553726-79.65936279</t>
  </si>
  <si>
    <t>10.76584816-79.6582489</t>
  </si>
  <si>
    <t>10.76636219-79.65688324</t>
  </si>
  <si>
    <t>10.76678944-79.65537262</t>
  </si>
  <si>
    <t>10.76691723-79.65389252</t>
  </si>
  <si>
    <t>10.76717472-79.65242767</t>
  </si>
  <si>
    <t>10.76750755-79.65090179</t>
  </si>
  <si>
    <t>10.76780701-79.64943695</t>
  </si>
  <si>
    <t>10.76741409-79.64791107</t>
  </si>
  <si>
    <t>10.76669312-79.64678192</t>
  </si>
  <si>
    <t>10.76543331-79.64640045</t>
  </si>
  <si>
    <t>10.7641716-79.64619446</t>
  </si>
  <si>
    <t>10.76327419-79.64604187</t>
  </si>
  <si>
    <t>10.7629776-79.64598846</t>
  </si>
  <si>
    <t>10.76257038-79.6459198</t>
  </si>
  <si>
    <t>10.76220703-79.64585114</t>
  </si>
  <si>
    <t>10.76059818-79.64469147</t>
  </si>
  <si>
    <t>10.76020908-79.6432724</t>
  </si>
  <si>
    <t>10.75983334-79.64189911</t>
  </si>
  <si>
    <t>10.75951004-79.64067078</t>
  </si>
  <si>
    <t>10.75919914-79.63959503</t>
  </si>
  <si>
    <t>10.75906086-79.63870239</t>
  </si>
  <si>
    <t>10.75898838-79.6381073</t>
  </si>
  <si>
    <t>10.7588644-79.63710022</t>
  </si>
  <si>
    <t>10.75872326-79.63602448</t>
  </si>
  <si>
    <t>10.75865078-79.63528442</t>
  </si>
  <si>
    <t>10.75894928-79.63419342</t>
  </si>
  <si>
    <t>10.75983715-79.63312531</t>
  </si>
  <si>
    <t>10.76084042-79.63192749</t>
  </si>
  <si>
    <t>10.76173115-79.63092041</t>
  </si>
  <si>
    <t>10.76291656-79.63063049</t>
  </si>
  <si>
    <t>10.76374912-79.63063812</t>
  </si>
  <si>
    <t>10.76405334-79.63063812</t>
  </si>
  <si>
    <t>10.76468182-79.63063812</t>
  </si>
  <si>
    <t>10.76523209-79.63064575</t>
  </si>
  <si>
    <t>10.76550865-79.63065338</t>
  </si>
  <si>
    <t>10.76578236-79.63070679</t>
  </si>
  <si>
    <t>10.76604557-79.63049316</t>
  </si>
  <si>
    <t>10.76615524-79.63022614</t>
  </si>
  <si>
    <t>10.76638985-79.62967682</t>
  </si>
  <si>
    <t>10.76686954-79.62875366</t>
  </si>
  <si>
    <t>10.76763725-79.62784576</t>
  </si>
  <si>
    <t>10.76813793-79.62714386</t>
  </si>
  <si>
    <t>10.76885509-79.62641144</t>
  </si>
  <si>
    <t>10.76961613-79.62582397</t>
  </si>
  <si>
    <t>10.77036095-79.62515259</t>
  </si>
  <si>
    <t>10.77128029-79.62483215</t>
  </si>
  <si>
    <t>10.77199936-79.62426758</t>
  </si>
  <si>
    <t>10.77256298-79.62361908</t>
  </si>
  <si>
    <t>10.77325726-79.62293243</t>
  </si>
  <si>
    <t>10.77398491-79.62230682</t>
  </si>
  <si>
    <t>10.77452469-79.62164307</t>
  </si>
  <si>
    <t>10.77513885-79.62094116</t>
  </si>
  <si>
    <t>10.77599907-79.61947632</t>
  </si>
  <si>
    <t>10.77623177-79.61869049</t>
  </si>
  <si>
    <t>10.77630711-79.61769867</t>
  </si>
  <si>
    <t>10.77630138-79.6167984</t>
  </si>
  <si>
    <t>10.77685833-79.61522675</t>
  </si>
  <si>
    <t>10.7774868-79.61439514</t>
  </si>
  <si>
    <t>10.77809429-79.61373138</t>
  </si>
  <si>
    <t>10.77866173-79.612854</t>
  </si>
  <si>
    <t>10.77955818-79.61106873</t>
  </si>
  <si>
    <t>10.78011322-79.61038208</t>
  </si>
  <si>
    <t>10.78069115-79.60969543</t>
  </si>
  <si>
    <t>10.78120136-79.60890961</t>
  </si>
  <si>
    <t>10.78213882-79.60694885</t>
  </si>
  <si>
    <t>10.78247166-79.60578156</t>
  </si>
  <si>
    <t>10.78310871-79.60473633</t>
  </si>
  <si>
    <t>10.78384018-79.60380554</t>
  </si>
  <si>
    <t>10.78465176-79.60131073</t>
  </si>
  <si>
    <t>10.78511333-79.60015106</t>
  </si>
  <si>
    <t>10.78547382-79.59736633</t>
  </si>
  <si>
    <t>10.78606415-79.59460449</t>
  </si>
  <si>
    <t>10.78649998-79.59320831</t>
  </si>
  <si>
    <t>10.78681946-79.59197235</t>
  </si>
  <si>
    <t>10.78722-79.59076691</t>
  </si>
  <si>
    <t>10.78756905-79.58932495</t>
  </si>
  <si>
    <t>10.78775692-79.58791351</t>
  </si>
  <si>
    <t>10.78785515-79.58634949</t>
  </si>
  <si>
    <t>10.78772354-79.58322144</t>
  </si>
  <si>
    <t>10.78821278-79.58190155</t>
  </si>
  <si>
    <t>10.78893661-79.58071136</t>
  </si>
  <si>
    <t>10.78937626-79.57959747</t>
  </si>
  <si>
    <t>10.78962517-79.57884979</t>
  </si>
  <si>
    <t>10.78963566-79.5788269</t>
  </si>
  <si>
    <t>10.78964138-79.57881927</t>
  </si>
  <si>
    <t>10.78964615-79.57881927</t>
  </si>
  <si>
    <t>10.78965187-79.57878876</t>
  </si>
  <si>
    <t>10.78964901-79.57878113</t>
  </si>
  <si>
    <t>10.78964996-79.57878113</t>
  </si>
  <si>
    <t>10.78965378-79.57878113</t>
  </si>
  <si>
    <t>10.78965473-79.57878876</t>
  </si>
  <si>
    <t>10.78965378-79.57878876</t>
  </si>
  <si>
    <t>10.78965092-79.57879639</t>
  </si>
  <si>
    <t>10.78965187-79.57879639</t>
  </si>
  <si>
    <t>10.78964996-79.57881165</t>
  </si>
  <si>
    <t>10.78964901-79.57878876</t>
  </si>
  <si>
    <t>10.7896452-79.57878876</t>
  </si>
  <si>
    <t>10.78964043-79.57878876</t>
  </si>
  <si>
    <t>10.78964233-79.57878113</t>
  </si>
  <si>
    <t>10.78964329-79.5787735</t>
  </si>
  <si>
    <t>10.78964615-79.57878113</t>
  </si>
  <si>
    <t>10.78964806-79.57878876</t>
  </si>
  <si>
    <t>10.7896471-79.57878876</t>
  </si>
  <si>
    <t>10.78964615-79.57879639</t>
  </si>
  <si>
    <t>10.78964901-79.57879639</t>
  </si>
  <si>
    <t>10.78964615-79.57878876</t>
  </si>
  <si>
    <t>10.78964424-79.57878876</t>
  </si>
  <si>
    <t>10.7896471-79.57879639</t>
  </si>
  <si>
    <t>10.78965473-79.57879639</t>
  </si>
  <si>
    <t>10.78965092-79.57881165</t>
  </si>
  <si>
    <t>10.78965378-79.57881927</t>
  </si>
  <si>
    <t>10.7896471-79.57881927</t>
  </si>
  <si>
    <t>10.78964806-79.57881165</t>
  </si>
  <si>
    <t>10.78965282-79.57881927</t>
  </si>
  <si>
    <t>10.78966045-79.57881927</t>
  </si>
  <si>
    <t>10.78966618-79.57881165</t>
  </si>
  <si>
    <t>10.78966999-79.57879639</t>
  </si>
  <si>
    <t>10.78966713-79.57879639</t>
  </si>
  <si>
    <t>10.78966141-79.57881165</t>
  </si>
  <si>
    <t>10.78966141-79.57879639</t>
  </si>
  <si>
    <t>10.78965855-79.57879639</t>
  </si>
  <si>
    <t>10.78965759-79.57881927</t>
  </si>
  <si>
    <t>10.78966141-79.57881927</t>
  </si>
  <si>
    <t>10.78966522-79.57881927</t>
  </si>
  <si>
    <t>10.78966999-79.57881165</t>
  </si>
  <si>
    <t>10.78966522-79.57881165</t>
  </si>
  <si>
    <t>10.78966045-79.57881165</t>
  </si>
  <si>
    <t>10.78965855-79.57881165</t>
  </si>
  <si>
    <t>10.78965664-79.57881927</t>
  </si>
  <si>
    <t>10.78965282-79.57883453</t>
  </si>
  <si>
    <t>10.78965378-79.57883453</t>
  </si>
  <si>
    <t>10.78965664-79.57883453</t>
  </si>
  <si>
    <t>10.78966331-79.5788269</t>
  </si>
  <si>
    <t>10.78966713-79.57881927</t>
  </si>
  <si>
    <t>10.78966141-79.5788269</t>
  </si>
  <si>
    <t>10.78966427-79.57883453</t>
  </si>
  <si>
    <t>10.78965855-79.57883453</t>
  </si>
  <si>
    <t>10.78965473-79.57883453</t>
  </si>
  <si>
    <t>10.78965569-79.5788269</t>
  </si>
  <si>
    <t>10.78964901-79.57881927</t>
  </si>
  <si>
    <t>10.78965282-79.57881165</t>
  </si>
  <si>
    <t>10.78964806-79.57878113</t>
  </si>
  <si>
    <t>10.7896471-79.5787735</t>
  </si>
  <si>
    <t>10.78964424-79.5787735</t>
  </si>
  <si>
    <t>10.78964329-79.57876587</t>
  </si>
  <si>
    <t>10.7896471-79.57875824</t>
  </si>
  <si>
    <t>10.7896471-79.57876587</t>
  </si>
  <si>
    <t>10.78964806-79.57875824</t>
  </si>
  <si>
    <t>10.78965378-79.57875824</t>
  </si>
  <si>
    <t>10.78965569-79.57876587</t>
  </si>
  <si>
    <t>10.78965282-79.57876587</t>
  </si>
  <si>
    <t>10.78964996-79.57876587</t>
  </si>
  <si>
    <t>10.78965473-79.57876587</t>
  </si>
  <si>
    <t>10.78964996-79.5787735</t>
  </si>
  <si>
    <t>10.78965759-79.5787735</t>
  </si>
  <si>
    <t>10.78965378-79.57876587</t>
  </si>
  <si>
    <t>10.78964615-79.57876587</t>
  </si>
  <si>
    <t>10.78963757-79.5787735</t>
  </si>
  <si>
    <t>10.78966045-79.57874298</t>
  </si>
  <si>
    <t>10.78965664-79.57875061</t>
  </si>
  <si>
    <t>10.78965378-79.57875061</t>
  </si>
  <si>
    <t>10.78965473-79.57875061</t>
  </si>
  <si>
    <t>10.78965569-79.57875824</t>
  </si>
  <si>
    <t>10.78965092-79.57876587</t>
  </si>
  <si>
    <t>10.78964424-79.57875824</t>
  </si>
  <si>
    <t>10.7896452-79.57875824</t>
  </si>
  <si>
    <t>10.78964901-79.57876587</t>
  </si>
  <si>
    <t>10.78964615-79.5787735</t>
  </si>
  <si>
    <t>10.78965187-79.5787735</t>
  </si>
  <si>
    <t>10.78965282-79.57878113</t>
  </si>
  <si>
    <t>10.78965378-79.5787735</t>
  </si>
  <si>
    <t>10.78965092-79.5787735</t>
  </si>
  <si>
    <t>10.78965282-79.5787735</t>
  </si>
  <si>
    <t>10.78965092-79.57878113</t>
  </si>
  <si>
    <t>10.78965569-79.5787735</t>
  </si>
  <si>
    <t>10.78965664-79.57876587</t>
  </si>
  <si>
    <t>10.78966141-79.57878876</t>
  </si>
  <si>
    <t>10.78966522-79.57878113</t>
  </si>
  <si>
    <t>10.78966236-79.57878876</t>
  </si>
  <si>
    <t>10.78966331-79.57878876</t>
  </si>
  <si>
    <t>10.78965473-79.57878113</t>
  </si>
  <si>
    <t>10.7896471-79.57878113</t>
  </si>
  <si>
    <t>10.7896452-79.5787735</t>
  </si>
  <si>
    <t>10.78964329-79.57878113</t>
  </si>
  <si>
    <t>10.78965187-79.57878113</t>
  </si>
  <si>
    <t>10.78965759-79.57876587</t>
  </si>
  <si>
    <t>10.78966427-79.5787735</t>
  </si>
  <si>
    <t>10.78965855-79.57878113</t>
  </si>
  <si>
    <t>10.78966045-79.57878113</t>
  </si>
  <si>
    <t>10.78966427-79.57878113</t>
  </si>
  <si>
    <t>10.78966522-79.57878876</t>
  </si>
  <si>
    <t>10.78966045-79.57879639</t>
  </si>
  <si>
    <t>10.78966236-79.57879639</t>
  </si>
  <si>
    <t>10.78966522-79.57879639</t>
  </si>
  <si>
    <t>10.78966427-79.57881165</t>
  </si>
  <si>
    <t>10.78966618-79.5788269</t>
  </si>
  <si>
    <t>10.78966904-79.57881927</t>
  </si>
  <si>
    <t>10.78967285-79.57881927</t>
  </si>
  <si>
    <t>10.7896719-79.5788269</t>
  </si>
  <si>
    <t>10.78967285-79.5788269</t>
  </si>
  <si>
    <t>10.78966618-79.57881927</t>
  </si>
  <si>
    <t>10.78966331-79.57881927</t>
  </si>
  <si>
    <t>10.78967476-79.57878113</t>
  </si>
  <si>
    <t>10.78967381-79.57878113</t>
  </si>
  <si>
    <t>10.78967285-79.57878113</t>
  </si>
  <si>
    <t>10.78967762-79.57878113</t>
  </si>
  <si>
    <t>10.78967094-79.57878113</t>
  </si>
  <si>
    <t>10.78966427-79.57878876</t>
  </si>
  <si>
    <t>10.78966331-79.57878113</t>
  </si>
  <si>
    <t>10.78966808-79.57878113</t>
  </si>
  <si>
    <t>10.78966999-79.57878113</t>
  </si>
  <si>
    <t>10.78967476-79.57876587</t>
  </si>
  <si>
    <t>10.78967857-79.57876587</t>
  </si>
  <si>
    <t>10.78967667-79.57876587</t>
  </si>
  <si>
    <t>10.78967285-79.5787735</t>
  </si>
  <si>
    <t>10.78966904-79.57878113</t>
  </si>
  <si>
    <t>10.78966713-79.5787735</t>
  </si>
  <si>
    <t>10.78966904-79.5787735</t>
  </si>
  <si>
    <t>10.78967094-79.5787735</t>
  </si>
  <si>
    <t>10.78967476-79.5787735</t>
  </si>
  <si>
    <t>10.78967667-79.57878113</t>
  </si>
  <si>
    <t>10.78967857-79.57878113</t>
  </si>
  <si>
    <t>10.78967571-79.57878113</t>
  </si>
  <si>
    <t>10.78967571-79.5787735</t>
  </si>
  <si>
    <t>10.78967953-79.5787735</t>
  </si>
  <si>
    <t>10.7896719-79.57878113</t>
  </si>
  <si>
    <t>10.78966999-79.5787735</t>
  </si>
  <si>
    <t>10.78966618-79.57878113</t>
  </si>
  <si>
    <t>10.78966045-79.5787735</t>
  </si>
  <si>
    <t>10.78966808-79.57876587</t>
  </si>
  <si>
    <t>10.78966713-79.57876587</t>
  </si>
  <si>
    <t>10.78966618-79.5787735</t>
  </si>
  <si>
    <t>10.78966427-79.57876587</t>
  </si>
  <si>
    <t>10.78966141-79.57876587</t>
  </si>
  <si>
    <t>10.78965855-79.57876587</t>
  </si>
  <si>
    <t>10.78966618-79.57876587</t>
  </si>
  <si>
    <t>10.78966904-79.57878876</t>
  </si>
  <si>
    <t>10.78966713-79.57878876</t>
  </si>
  <si>
    <t>10.78966045-79.57878876</t>
  </si>
  <si>
    <t>10.78965664-79.57879639</t>
  </si>
  <si>
    <t>10.78965759-79.57879639</t>
  </si>
  <si>
    <t>10.78965378-79.57881165</t>
  </si>
  <si>
    <t>10.78964996-79.57879639</t>
  </si>
  <si>
    <t>10.7896471-79.57881165</t>
  </si>
  <si>
    <t>10.78964329-79.57881165</t>
  </si>
  <si>
    <t>10.78964329-79.5788269</t>
  </si>
  <si>
    <t>10.7896471-79.5788269</t>
  </si>
  <si>
    <t>10.7896452-79.57883453</t>
  </si>
  <si>
    <t>10.7896452-79.5788269</t>
  </si>
  <si>
    <t>10.78964233-79.57884216</t>
  </si>
  <si>
    <t>10.78964615-79.57884216</t>
  </si>
  <si>
    <t>10.7896471-79.57883453</t>
  </si>
  <si>
    <t>10.78964615-79.57883453</t>
  </si>
  <si>
    <t>10.78965187-79.5788269</t>
  </si>
  <si>
    <t>10.78965664-79.5788269</t>
  </si>
  <si>
    <t>10.78966236-79.5788269</t>
  </si>
  <si>
    <t>10.78966713-79.5788269</t>
  </si>
  <si>
    <t>10.78966236-79.57883453</t>
  </si>
  <si>
    <t>10.78965855-79.57884216</t>
  </si>
  <si>
    <t>10.78966427-79.57884979</t>
  </si>
  <si>
    <t>10.78966618-79.57884216</t>
  </si>
  <si>
    <t>10.78966141-79.57884216</t>
  </si>
  <si>
    <t>10.78966141-79.57884979</t>
  </si>
  <si>
    <t>10.78966331-79.57884216</t>
  </si>
  <si>
    <t>10.78966427-79.57884216</t>
  </si>
  <si>
    <t>10.78966618-79.57883453</t>
  </si>
  <si>
    <t>10.78966427-79.5788269</t>
  </si>
  <si>
    <t>10.7896719-79.57883453</t>
  </si>
  <si>
    <t>10.78967094-79.57883453</t>
  </si>
  <si>
    <t>10.78967285-79.57883453</t>
  </si>
  <si>
    <t>10.78968143-79.57883453</t>
  </si>
  <si>
    <t>10.7896843-79.57883453</t>
  </si>
  <si>
    <t>10.78968716-79.5788269</t>
  </si>
  <si>
    <t>10.78969097-79.57881927</t>
  </si>
  <si>
    <t>10.78969288-79.57881927</t>
  </si>
  <si>
    <t>10.78969002-79.57881165</t>
  </si>
  <si>
    <t>10.78969193-79.57878876</t>
  </si>
  <si>
    <t>10.78968716-79.57878876</t>
  </si>
  <si>
    <t>10.7896862-79.57879639</t>
  </si>
  <si>
    <t>10.78968716-79.57879639</t>
  </si>
  <si>
    <t>10.78967953-79.57881927</t>
  </si>
  <si>
    <t>10.78967381-79.57881927</t>
  </si>
  <si>
    <t>10.78966999-79.57881927</t>
  </si>
  <si>
    <t>10.78966427-79.57881927</t>
  </si>
  <si>
    <t>10.78965855-79.5788269</t>
  </si>
  <si>
    <t>10.78965378-79.5788269</t>
  </si>
  <si>
    <t>10.78965569-79.57881927</t>
  </si>
  <si>
    <t>10.78966331-79.57881165</t>
  </si>
  <si>
    <t>10.78965378-79.57879639</t>
  </si>
  <si>
    <t>10.78965569-79.57881165</t>
  </si>
  <si>
    <t>10.78965759-79.57881165</t>
  </si>
  <si>
    <t>10.78965664-79.57881165</t>
  </si>
  <si>
    <t>10.78965473-79.57881927</t>
  </si>
  <si>
    <t>10.78964806-79.57879639</t>
  </si>
  <si>
    <t>10.78964329-79.57879639</t>
  </si>
  <si>
    <t>10.78964043-79.57879639</t>
  </si>
  <si>
    <t>10.78963757-79.57879639</t>
  </si>
  <si>
    <t>10.78963566-79.57879639</t>
  </si>
  <si>
    <t>10.7896328-79.57879639</t>
  </si>
  <si>
    <t>10.7896204-79.57879639</t>
  </si>
  <si>
    <t>10.78962421-79.57881165</t>
  </si>
  <si>
    <t>10.78962708-79.57881165</t>
  </si>
  <si>
    <t>10.78963184-79.57881165</t>
  </si>
  <si>
    <t>10.78963375-79.57881165</t>
  </si>
  <si>
    <t>10.78963661-79.57881165</t>
  </si>
  <si>
    <t>10.78964043-79.57881165</t>
  </si>
  <si>
    <t>10.78963566-79.57881165</t>
  </si>
  <si>
    <t>10.78964138-79.57881165</t>
  </si>
  <si>
    <t>10.78964043-79.57881927</t>
  </si>
  <si>
    <t>10.7896347-79.57879639</t>
  </si>
  <si>
    <t>10.78963184-79.57878876</t>
  </si>
  <si>
    <t>10.78963184-79.5787735</t>
  </si>
  <si>
    <t>10.78963566-79.57878113</t>
  </si>
  <si>
    <t>10.78963947-79.57878876</t>
  </si>
  <si>
    <t>10.78964806-79.5787735</t>
  </si>
  <si>
    <t>10.78964901-79.5787735</t>
  </si>
  <si>
    <t>10.78964996-79.57875824</t>
  </si>
  <si>
    <t>10.78964329-79.57875824</t>
  </si>
  <si>
    <t>10.78964233-79.57875824</t>
  </si>
  <si>
    <t>10.78964043-79.57876587</t>
  </si>
  <si>
    <t>10.78963375-79.5787735</t>
  </si>
  <si>
    <t>10.78962803-79.57878113</t>
  </si>
  <si>
    <t>10.78962231-79.57878876</t>
  </si>
  <si>
    <t>10.78961086-79.57879639</t>
  </si>
  <si>
    <t>10.78960514-79.57879639</t>
  </si>
  <si>
    <t>10.78961468-79.57878876</t>
  </si>
  <si>
    <t>10.78961658-79.57878876</t>
  </si>
  <si>
    <t>10.78962708-79.57878876</t>
  </si>
  <si>
    <t>10.7896347-79.57878876</t>
  </si>
  <si>
    <t>10.7896347-79.57878113</t>
  </si>
  <si>
    <t>10.78962708-79.57879639</t>
  </si>
  <si>
    <t>10.78962994-79.57879639</t>
  </si>
  <si>
    <t>10.78963184-79.57879639</t>
  </si>
  <si>
    <t>10.78962898-79.57881165</t>
  </si>
  <si>
    <t>10.78963947-79.57881165</t>
  </si>
  <si>
    <t>10.78964233-79.57881165</t>
  </si>
  <si>
    <t>10.7896452-79.57881165</t>
  </si>
  <si>
    <t>10.78964424-79.57881165</t>
  </si>
  <si>
    <t>10.78963757-79.57881165</t>
  </si>
  <si>
    <t>10.78966236-79.57881927</t>
  </si>
  <si>
    <t>10.78966522-79.5788269</t>
  </si>
  <si>
    <t>10.78967667-79.57881927</t>
  </si>
  <si>
    <t>10.78968525-79.57881165</t>
  </si>
  <si>
    <t>10.78969574-79.57879639</t>
  </si>
  <si>
    <t>10.78969479-79.57878876</t>
  </si>
  <si>
    <t>10.78969097-79.57878876</t>
  </si>
  <si>
    <t>10.78968334-79.57878876</t>
  </si>
  <si>
    <t>10.78967094-79.57879639</t>
  </si>
  <si>
    <t>10.78966618-79.57879639</t>
  </si>
  <si>
    <t>10.78966808-79.57881927</t>
  </si>
  <si>
    <t>10.78967285-79.57881165</t>
  </si>
  <si>
    <t>10.78967667-79.57879639</t>
  </si>
  <si>
    <t>10.78967762-79.57879639</t>
  </si>
  <si>
    <t>10.78964806-79.5788269</t>
  </si>
  <si>
    <t>10.78967381-79.5788269</t>
  </si>
  <si>
    <t>10.78967571-79.57881927</t>
  </si>
  <si>
    <t>10.78967476-79.57881927</t>
  </si>
  <si>
    <t>10.78967571-79.5788269</t>
  </si>
  <si>
    <t>10.78967476-79.57883453</t>
  </si>
  <si>
    <t>10.78967571-79.57883453</t>
  </si>
  <si>
    <t>10.78966999-79.5788269</t>
  </si>
  <si>
    <t>10.78965759-79.57884979</t>
  </si>
  <si>
    <t>10.78965664-79.57884979</t>
  </si>
  <si>
    <t>10.78966713-79.57883453</t>
  </si>
  <si>
    <t>10.78966808-79.5788269</t>
  </si>
  <si>
    <t>10.78968143-79.57881927</t>
  </si>
  <si>
    <t>10.78967094-79.5788269</t>
  </si>
  <si>
    <t>10.78964901-79.5788269</t>
  </si>
  <si>
    <t>10.78964806-79.57883453</t>
  </si>
  <si>
    <t>10.78964233-79.5788269</t>
  </si>
  <si>
    <t>10.78963757-79.57883453</t>
  </si>
  <si>
    <t>10.78963089-79.57883453</t>
  </si>
  <si>
    <t>10.78962898-79.57883453</t>
  </si>
  <si>
    <t>10.78962708-79.57884216</t>
  </si>
  <si>
    <t>10.78963375-79.57884216</t>
  </si>
  <si>
    <t>10.78964043-79.5788269</t>
  </si>
  <si>
    <t>10.78964043-79.57883453</t>
  </si>
  <si>
    <t>10.78964996-79.5788269</t>
  </si>
  <si>
    <t>10.78964424-79.57881927</t>
  </si>
  <si>
    <t>10.78963757-79.5788269</t>
  </si>
  <si>
    <t>10.7896328-79.5788269</t>
  </si>
  <si>
    <t>10.78962421-79.57884216</t>
  </si>
  <si>
    <t>10.7896204-79.57883453</t>
  </si>
  <si>
    <t>10.78962612-79.57883453</t>
  </si>
  <si>
    <t>10.78962803-79.57883453</t>
  </si>
  <si>
    <t>10.78962421-79.57883453</t>
  </si>
  <si>
    <t>10.78963184-79.57881927</t>
  </si>
  <si>
    <t>10.78962803-79.57881927</t>
  </si>
  <si>
    <t>10.78962612-79.57881927</t>
  </si>
  <si>
    <t>10.78962803-79.57881165</t>
  </si>
  <si>
    <t>10.78962994-79.57881165</t>
  </si>
  <si>
    <t>10.7896347-79.57881927</t>
  </si>
  <si>
    <t>10.78964329-79.57878876</t>
  </si>
  <si>
    <t>10.78965569-79.57878876</t>
  </si>
  <si>
    <t>10.78965569-79.57879639</t>
  </si>
  <si>
    <t>10.78966331-79.5787735</t>
  </si>
  <si>
    <t>10.78966999-79.57876587</t>
  </si>
  <si>
    <t>10.7896719-79.5787735</t>
  </si>
  <si>
    <t>10.78967762-79.57876587</t>
  </si>
  <si>
    <t>10.78968239-79.5787735</t>
  </si>
  <si>
    <t>10.78968334-79.57876587</t>
  </si>
  <si>
    <t>10.78968716-79.57876587</t>
  </si>
  <si>
    <t>10.78969097-79.57878113</t>
  </si>
  <si>
    <t>10.78968906-79.57878113</t>
  </si>
  <si>
    <t>10.7896843-79.57878113</t>
  </si>
  <si>
    <t>10.78968811-79.57878876</t>
  </si>
  <si>
    <t>10.78966904-79.57879639</t>
  </si>
  <si>
    <t>10.78967285-79.57878876</t>
  </si>
  <si>
    <t>10.78967476-79.57878876</t>
  </si>
  <si>
    <t>10.78967285-79.57879639</t>
  </si>
  <si>
    <t>10.78967571-79.57879639</t>
  </si>
  <si>
    <t>10.78968143-79.57878876</t>
  </si>
  <si>
    <t>10.78966808-79.57879639</t>
  </si>
  <si>
    <t>10.78966904-79.57881165</t>
  </si>
  <si>
    <t>10.78966713-79.57881165</t>
  </si>
  <si>
    <t>10.78966808-79.57881165</t>
  </si>
  <si>
    <t>10.78966999-79.57883453</t>
  </si>
  <si>
    <t>10.78967762-79.5788269</t>
  </si>
  <si>
    <t>10.78967381-79.57879639</t>
  </si>
  <si>
    <t>10.78967857-79.57878876</t>
  </si>
  <si>
    <t>10.78967953-79.57878876</t>
  </si>
  <si>
    <t>10.78967667-79.57878876</t>
  </si>
  <si>
    <t>10.78967571-79.57876587</t>
  </si>
  <si>
    <t>10.78967667-79.57875824</t>
  </si>
  <si>
    <t>10.78967094-79.57876587</t>
  </si>
  <si>
    <t>10.78967285-79.57876587</t>
  </si>
  <si>
    <t>10.7896719-79.57878876</t>
  </si>
  <si>
    <t>10.78966713-79.57878113</t>
  </si>
  <si>
    <t>10.78966808-79.5787735</t>
  </si>
  <si>
    <t>10.7896719-79.57876587</t>
  </si>
  <si>
    <t>10.78967094-79.57875824</t>
  </si>
  <si>
    <t>10.78967094-79.57878876</t>
  </si>
  <si>
    <t>10.78968239-79.57879639</t>
  </si>
  <si>
    <t>10.78967857-79.57879639</t>
  </si>
  <si>
    <t>10.78967667-79.57881165</t>
  </si>
  <si>
    <t>10.78967762-79.57881165</t>
  </si>
  <si>
    <t>10.78966904-79.57883453</t>
  </si>
  <si>
    <t>10.78967667-79.57884216</t>
  </si>
  <si>
    <t>10.7896719-79.57884216</t>
  </si>
  <si>
    <t>10.78967762-79.57881927</t>
  </si>
  <si>
    <t>10.78967571-79.57881165</t>
  </si>
  <si>
    <t>10.7896719-79.57881927</t>
  </si>
  <si>
    <t>10.78966808-79.57883453</t>
  </si>
  <si>
    <t>10.78967857-79.5788269</t>
  </si>
  <si>
    <t>10.78968143-79.5788269</t>
  </si>
  <si>
    <t>10.78966045-79.57883453</t>
  </si>
  <si>
    <t>10.78965759-79.5788269</t>
  </si>
  <si>
    <t>10.78967476-79.57881165</t>
  </si>
  <si>
    <t>10.78967667-79.5788269</t>
  </si>
  <si>
    <t>10.78967667-79.57883453</t>
  </si>
  <si>
    <t>10.78967571-79.57884216</t>
  </si>
  <si>
    <t>10.78967857-79.57883453</t>
  </si>
  <si>
    <t>10.78966999-79.57884216</t>
  </si>
  <si>
    <t>10.78967381-79.57883453</t>
  </si>
  <si>
    <t>10.78967476-79.5788269</t>
  </si>
  <si>
    <t>10.78966904-79.57884216</t>
  </si>
  <si>
    <t>10.78966522-79.57884979</t>
  </si>
  <si>
    <t>10.78966331-79.57884979</t>
  </si>
  <si>
    <t>10.78966141-79.57883453</t>
  </si>
  <si>
    <t>10.78965759-79.57884216</t>
  </si>
  <si>
    <t>10.78965855-79.57884979</t>
  </si>
  <si>
    <t>10.78965664-79.57884216</t>
  </si>
  <si>
    <t>10.78965473-79.57884216</t>
  </si>
  <si>
    <t>10.78965378-79.57884216</t>
  </si>
  <si>
    <t>10.78964901-79.57884216</t>
  </si>
  <si>
    <t>10.78965569-79.57883453</t>
  </si>
  <si>
    <t>10.78965187-79.57883453</t>
  </si>
  <si>
    <t>10.78965473-79.5788269</t>
  </si>
  <si>
    <t>10.78967094-79.57881927</t>
  </si>
  <si>
    <t>10.78968239-79.57881927</t>
  </si>
  <si>
    <t>10.7896843-79.57881165</t>
  </si>
  <si>
    <t>10.7896719-79.57881165</t>
  </si>
  <si>
    <t>10.78967857-79.57881165</t>
  </si>
  <si>
    <t>10.78966522-79.5787735</t>
  </si>
  <si>
    <t>10.78965855-79.5787735</t>
  </si>
  <si>
    <t>10.78965759-79.57878113</t>
  </si>
  <si>
    <t>10.7896843-79.57879639</t>
  </si>
  <si>
    <t>10.78967094-79.57881165</t>
  </si>
  <si>
    <t>10.78967381-79.57881165</t>
  </si>
  <si>
    <t>10.78965664-79.57878876</t>
  </si>
  <si>
    <t>10.78965664-79.5787735</t>
  </si>
  <si>
    <t>10.78966141-79.5787735</t>
  </si>
  <si>
    <t>10.78965473-79.5787735</t>
  </si>
  <si>
    <t>10.78965473-79.57881165</t>
  </si>
  <si>
    <t>10.78966236-79.57881165</t>
  </si>
  <si>
    <t>10.78966331-79.57879639</t>
  </si>
  <si>
    <t>10.78967953-79.57881165</t>
  </si>
  <si>
    <t>10.78969288-79.57881165</t>
  </si>
  <si>
    <t>10.7896986-79.57879639</t>
  </si>
  <si>
    <t>10.78970337-79.57878113</t>
  </si>
  <si>
    <t>10.78970242-79.57878113</t>
  </si>
  <si>
    <t>10.78969955-79.57878113</t>
  </si>
  <si>
    <t>10.78969002-79.5787735</t>
  </si>
  <si>
    <t>10.78969193-79.5787735</t>
  </si>
  <si>
    <t>10.78969002-79.57878113</t>
  </si>
  <si>
    <t>10.78967857-79.57875824</t>
  </si>
  <si>
    <t>10.78968143-79.57876587</t>
  </si>
  <si>
    <t>10.78969097-79.57876587</t>
  </si>
  <si>
    <t>10.78968811-79.57878113</t>
  </si>
  <si>
    <t>10.78968716-79.57878113</t>
  </si>
  <si>
    <t>10.78966141-79.57878113</t>
  </si>
  <si>
    <t>10.78968143-79.57875824</t>
  </si>
  <si>
    <t>10.78968334-79.57875061</t>
  </si>
  <si>
    <t>10.78968525-79.57874298</t>
  </si>
  <si>
    <t>10.7896843-79.57873535</t>
  </si>
  <si>
    <t>10.7896843-79.57875824</t>
  </si>
  <si>
    <t>10.78968239-79.57876587</t>
  </si>
  <si>
    <t>10.78967762-79.5787735</t>
  </si>
  <si>
    <t>10.78967953-79.57876587</t>
  </si>
  <si>
    <t>10.78968334-79.5787735</t>
  </si>
  <si>
    <t>10.78968334-79.57878113</t>
  </si>
  <si>
    <t>10.78968525-79.57878113</t>
  </si>
  <si>
    <t>10.78968906-79.57878876</t>
  </si>
  <si>
    <t>10.7896862-79.57878113</t>
  </si>
  <si>
    <t>10.78967953-79.57878113</t>
  </si>
  <si>
    <t>10.78968143-79.57878113</t>
  </si>
  <si>
    <t>10.78968239-79.57878113</t>
  </si>
  <si>
    <t>10.78968239-79.57878876</t>
  </si>
  <si>
    <t>10.78968334-79.57879639</t>
  </si>
  <si>
    <t>10.78969097-79.57879639</t>
  </si>
  <si>
    <t>10.78969002-79.57879639</t>
  </si>
  <si>
    <t>10.78969193-79.57879639</t>
  </si>
  <si>
    <t>10.78969002-79.57878876</t>
  </si>
  <si>
    <t>10.78969193-79.57878113</t>
  </si>
  <si>
    <t>10.78968906-79.5787735</t>
  </si>
  <si>
    <t>10.78968716-79.5787735</t>
  </si>
  <si>
    <t>10.7896843-79.5787735</t>
  </si>
  <si>
    <t>10.78968525-79.57876587</t>
  </si>
  <si>
    <t>10.7896862-79.57876587</t>
  </si>
  <si>
    <t>10.78968811-79.57876587</t>
  </si>
  <si>
    <t>10.78969193-79.57876587</t>
  </si>
  <si>
    <t>10.78969383-79.57876587</t>
  </si>
  <si>
    <t>10.7896862-79.5787735</t>
  </si>
  <si>
    <t>10.78967857-79.5787735</t>
  </si>
  <si>
    <t>10.78967667-79.5787735</t>
  </si>
  <si>
    <t>10.7896719-79.57875824</t>
  </si>
  <si>
    <t>10.78966999-79.57875824</t>
  </si>
  <si>
    <t>10.78966522-79.57875824</t>
  </si>
  <si>
    <t>10.78966522-79.57876587</t>
  </si>
  <si>
    <t>10.78966045-79.57876587</t>
  </si>
  <si>
    <t>10.78966904-79.57876587</t>
  </si>
  <si>
    <t>10.78967381-79.57876587</t>
  </si>
  <si>
    <t>10.78966236-79.57878113</t>
  </si>
  <si>
    <t>10.78965569-79.57878113</t>
  </si>
  <si>
    <t>10.78964996-79.57878876</t>
  </si>
  <si>
    <t>10.78966331-79.57876587</t>
  </si>
  <si>
    <t>10.78965855-79.57875824</t>
  </si>
  <si>
    <t>10.78965187-79.57875824</t>
  </si>
  <si>
    <t>10.78965473-79.57875824</t>
  </si>
  <si>
    <t>10.78965282-79.57875824</t>
  </si>
  <si>
    <t>10.7896452-79.57878113</t>
  </si>
  <si>
    <t>10.78964043-79.57878113</t>
  </si>
  <si>
    <t>10.78964233-79.57878876</t>
  </si>
  <si>
    <t>10.78968143-79.5787735</t>
  </si>
  <si>
    <t>10.78968811-79.5787735</t>
  </si>
  <si>
    <t>10.78969383-79.57878113</t>
  </si>
  <si>
    <t>10.78969479-79.57879639</t>
  </si>
  <si>
    <t>10.78969288-79.57879639</t>
  </si>
  <si>
    <t>10.78968525-79.57879639</t>
  </si>
  <si>
    <t>10.78968525-79.57878876</t>
  </si>
  <si>
    <t>10.7896843-79.57878876</t>
  </si>
  <si>
    <t>10.78967953-79.57879639</t>
  </si>
  <si>
    <t>10.78967476-79.57879639</t>
  </si>
  <si>
    <t>10.78965759-79.57878876</t>
  </si>
  <si>
    <t>10.78966618-79.57878876</t>
  </si>
  <si>
    <t>10.78966808-79.57878876</t>
  </si>
  <si>
    <t>10.78967762-79.57878876</t>
  </si>
  <si>
    <t>10.78968906-79.57876587</t>
  </si>
  <si>
    <t>10.78968906-79.57875824</t>
  </si>
  <si>
    <t>10.78969193-79.57875824</t>
  </si>
  <si>
    <t>10.78969574-79.57876587</t>
  </si>
  <si>
    <t>10.78969002-79.57876587</t>
  </si>
  <si>
    <t>10.78969479-79.5787735</t>
  </si>
  <si>
    <t>10.78969383-79.5787735</t>
  </si>
  <si>
    <t>10.78969574-79.5787735</t>
  </si>
  <si>
    <t>10.78969765-79.5787735</t>
  </si>
  <si>
    <t>10.7896986-79.57878113</t>
  </si>
  <si>
    <t>10.78969574-79.57878113</t>
  </si>
  <si>
    <t>10.78970242-79.5787735</t>
  </si>
  <si>
    <t>10.78970242-79.57876587</t>
  </si>
  <si>
    <t>10.7896986-79.5787735</t>
  </si>
  <si>
    <t>10.78969479-79.57876587</t>
  </si>
  <si>
    <t>10.78968811-79.57875824</t>
  </si>
  <si>
    <t>10.78969669-79.57876587</t>
  </si>
  <si>
    <t>10.78970146-79.5787735</t>
  </si>
  <si>
    <t>10.78970528-79.57879639</t>
  </si>
  <si>
    <t>10.78970814-79.57879639</t>
  </si>
  <si>
    <t>10.78969955-79.57879639</t>
  </si>
  <si>
    <t>10.78969669-79.57879639</t>
  </si>
  <si>
    <t>10.78970337-79.57879639</t>
  </si>
  <si>
    <t>10.78970623-79.57879639</t>
  </si>
  <si>
    <t>10.78970718-79.57879639</t>
  </si>
  <si>
    <t>10.78970623-79.57878876</t>
  </si>
  <si>
    <t>10.78969669-79.57878876</t>
  </si>
  <si>
    <t>10.78969383-79.57879639</t>
  </si>
  <si>
    <t>10.78969765-79.57881165</t>
  </si>
  <si>
    <t>10.78970146-79.57879639</t>
  </si>
  <si>
    <t>10.78970242-79.57881165</t>
  </si>
  <si>
    <t>10.7896986-79.57881165</t>
  </si>
  <si>
    <t>10.78969574-79.57881927</t>
  </si>
  <si>
    <t>10.78968906-79.5788269</t>
  </si>
  <si>
    <t>10.78968716-79.57881927</t>
  </si>
  <si>
    <t>10.78968525-79.57881927</t>
  </si>
  <si>
    <t>10.78968334-79.57881927</t>
  </si>
  <si>
    <t>10.7896719-79.57879639</t>
  </si>
  <si>
    <t>10.78968716-79.57875824</t>
  </si>
  <si>
    <t>10.78969288-79.57876587</t>
  </si>
  <si>
    <t>10.7896843-79.57876587</t>
  </si>
  <si>
    <t>10.78968525-79.5787735</t>
  </si>
  <si>
    <t>10.78969479-79.57878113</t>
  </si>
  <si>
    <t>10.7896986-79.57878876</t>
  </si>
  <si>
    <t>10.78970623-79.57878113</t>
  </si>
  <si>
    <t>10.78977871-79.57855225</t>
  </si>
  <si>
    <t>10.78995609-79.5777359</t>
  </si>
  <si>
    <t>10.79026699-79.57662964</t>
  </si>
  <si>
    <t>10.79066563-79.57542419</t>
  </si>
  <si>
    <t>10.79104519-79.57421875</t>
  </si>
  <si>
    <t>10.7914772-79.57288361</t>
  </si>
  <si>
    <t>10.79189682-79.57176971</t>
  </si>
  <si>
    <t>10.79235363-79.57054901</t>
  </si>
  <si>
    <t>10.79293346-79.5691452</t>
  </si>
  <si>
    <t>10.79355335-79.56771088</t>
  </si>
  <si>
    <t>10.79418373-79.56629181</t>
  </si>
  <si>
    <t>10.79480457-79.56489563</t>
  </si>
  <si>
    <t>10.79535866-79.56324005</t>
  </si>
  <si>
    <t>10.79564857-79.5615921</t>
  </si>
  <si>
    <t>10.79573727-79.56011963</t>
  </si>
  <si>
    <t>10.79581165-79.55867004</t>
  </si>
  <si>
    <t>10.79606724-79.55705261</t>
  </si>
  <si>
    <t>10.79664135-79.55550385</t>
  </si>
  <si>
    <t>10.79729271-79.55397797</t>
  </si>
  <si>
    <t>10.79742718-79.55213165</t>
  </si>
  <si>
    <t>10.79767609-79.55043793</t>
  </si>
  <si>
    <t>10.79814816-79.54883575</t>
  </si>
  <si>
    <t>10.79859638-79.54719543</t>
  </si>
  <si>
    <t>10.79917717-79.54554749</t>
  </si>
  <si>
    <t>10.79964542-79.5440979</t>
  </si>
  <si>
    <t>10.80016422-79.54281616</t>
  </si>
  <si>
    <t>10.80078506-79.54134369</t>
  </si>
  <si>
    <t>10.8011694-79.53987122</t>
  </si>
  <si>
    <t>10.80167484-79.53838348</t>
  </si>
  <si>
    <t>10.80238342-79.5366745</t>
  </si>
  <si>
    <t>10.80306721-79.53482056</t>
  </si>
  <si>
    <t>10.80346966-79.53283691</t>
  </si>
  <si>
    <t>10.80349827-79.53064728</t>
  </si>
  <si>
    <t>10.80314255-79.52866364</t>
  </si>
  <si>
    <t>10.80260754-79.52679443</t>
  </si>
  <si>
    <t>10.80208778-79.52500153</t>
  </si>
  <si>
    <t>10.80142689-79.52338409</t>
  </si>
  <si>
    <t>10.80094242-79.52173615</t>
  </si>
  <si>
    <t>10.80015278-79.52011108</t>
  </si>
  <si>
    <t>10.79897308-79.51887512</t>
  </si>
  <si>
    <t>10.79771137-79.51741791</t>
  </si>
  <si>
    <t>10.79674625-79.51604462</t>
  </si>
  <si>
    <t>10.79590893-79.51481628</t>
  </si>
  <si>
    <t>10.79522419-79.51384735</t>
  </si>
  <si>
    <t>10.79440212-79.51248169</t>
  </si>
  <si>
    <t>10.79356766-79.51122284</t>
  </si>
  <si>
    <t>10.79255104-79.5098114</t>
  </si>
  <si>
    <t>10.79162121-79.50843048</t>
  </si>
  <si>
    <t>10.79073524-79.50721741</t>
  </si>
  <si>
    <t>10.78963661-79.50637054</t>
  </si>
  <si>
    <t>10.78838825-79.50577545</t>
  </si>
  <si>
    <t>10.78721428-79.50517273</t>
  </si>
  <si>
    <t>10.78622723-79.50435638</t>
  </si>
  <si>
    <t>10.78551197-79.50298309</t>
  </si>
  <si>
    <t>10.78536129-79.50146484</t>
  </si>
  <si>
    <t>10.7854948-79.50030518</t>
  </si>
  <si>
    <t>10.78563023-79.49906921</t>
  </si>
  <si>
    <t>10.78579998-79.49749756</t>
  </si>
  <si>
    <t>10.7859993-79.49578857</t>
  </si>
  <si>
    <t>10.78619957-79.4940567</t>
  </si>
  <si>
    <t>10.78635597-79.49233246</t>
  </si>
  <si>
    <t>10.78654385-79.49049377</t>
  </si>
  <si>
    <t>10.78672695-79.48878479</t>
  </si>
  <si>
    <t>10.78692722-79.48703003</t>
  </si>
  <si>
    <t>10.78712177-79.48532104</t>
  </si>
  <si>
    <t>10.78730774-79.4836731</t>
  </si>
  <si>
    <t>10.78747082-79.48201752</t>
  </si>
  <si>
    <t>10.78763676-79.48046112</t>
  </si>
  <si>
    <t>10.78775311-79.47921753</t>
  </si>
  <si>
    <t>10.78786564-79.47806549</t>
  </si>
  <si>
    <t>10.78798294-79.47692871</t>
  </si>
  <si>
    <t>10.78838444-79.47397614</t>
  </si>
  <si>
    <t>10.78874016-79.47161102</t>
  </si>
  <si>
    <t>10.78896236-79.4701004</t>
  </si>
  <si>
    <t>10.78914738-79.46897888</t>
  </si>
  <si>
    <t>10.78939629-79.46772003</t>
  </si>
  <si>
    <t>10.78969383-79.46635437</t>
  </si>
  <si>
    <t>10.79006481-79.46465302</t>
  </si>
  <si>
    <t>10.79042625-79.46292877</t>
  </si>
  <si>
    <t>10.79079056-79.46125031</t>
  </si>
  <si>
    <t>10.79114628-79.45968628</t>
  </si>
  <si>
    <t>10.79152584-79.45811462</t>
  </si>
  <si>
    <t>10.79186153-79.4567337</t>
  </si>
  <si>
    <t>10.79218102-79.45542145</t>
  </si>
  <si>
    <t>10.79255104-79.45378876</t>
  </si>
  <si>
    <t>10.79293919-79.45201111</t>
  </si>
  <si>
    <t>10.79329777-79.45021057</t>
  </si>
  <si>
    <t>10.79370213-79.4482193</t>
  </si>
  <si>
    <t>10.79407215-79.44638062</t>
  </si>
  <si>
    <t>10.7944622-79.44455719</t>
  </si>
  <si>
    <t>10.7948246-79.44278717</t>
  </si>
  <si>
    <t>10.79519367-79.44100189</t>
  </si>
  <si>
    <t>10.79555893-79.43925476</t>
  </si>
  <si>
    <t>10.79591465-79.43753815</t>
  </si>
  <si>
    <t>10.79619694-79.43559265</t>
  </si>
  <si>
    <t>10.79627323-79.43372345</t>
  </si>
  <si>
    <t>10.79631042-79.43179321</t>
  </si>
  <si>
    <t>10.79634857-79.42990875</t>
  </si>
  <si>
    <t>10.796381-79.42807007</t>
  </si>
  <si>
    <t>10.79641533-79.42626953</t>
  </si>
  <si>
    <t>10.79643822-79.42443085</t>
  </si>
  <si>
    <t>10.7964983-79.42236328</t>
  </si>
  <si>
    <t>10.79654598-79.42042542</t>
  </si>
  <si>
    <t>10.79656601-79.41847992</t>
  </si>
  <si>
    <t>10.79662037-79.41663361</t>
  </si>
  <si>
    <t>10.79666424-79.4147644</t>
  </si>
  <si>
    <t>10.79672718-79.41294861</t>
  </si>
  <si>
    <t>10.79675961-79.41118622</t>
  </si>
  <si>
    <t>10.79673672-79.40944672</t>
  </si>
  <si>
    <t>10.79665565-79.4081192</t>
  </si>
  <si>
    <t>10.79652882-79.40649414</t>
  </si>
  <si>
    <t>10.79632092-79.40470123</t>
  </si>
  <si>
    <t>10.7960844-79.40294647</t>
  </si>
  <si>
    <t>10.79585075-79.40116882</t>
  </si>
  <si>
    <t>10.79562759-79.39944458</t>
  </si>
  <si>
    <t>10.79533958-79.39759064</t>
  </si>
  <si>
    <t>10.79496384-79.39601898</t>
  </si>
  <si>
    <t>10.79454327-79.3946991</t>
  </si>
  <si>
    <t>10.79407024-79.39347076</t>
  </si>
  <si>
    <t>10.79355621-79.3923645</t>
  </si>
  <si>
    <t>10.79282093-79.39103699</t>
  </si>
  <si>
    <t>10.79201508-79.38970184</t>
  </si>
  <si>
    <t>10.79105473-79.38813019</t>
  </si>
  <si>
    <t>10.79005337-79.38650513</t>
  </si>
  <si>
    <t>10.78909492-79.38489532</t>
  </si>
  <si>
    <t>10.78809357-79.38330841</t>
  </si>
  <si>
    <t>10.78718662-79.38175201</t>
  </si>
  <si>
    <t>10.78628635-79.38027191</t>
  </si>
  <si>
    <t>10.78538513-79.37876892</t>
  </si>
  <si>
    <t>10.78440189-79.37713623</t>
  </si>
  <si>
    <t>10.78351402-79.37567902</t>
  </si>
  <si>
    <t>10.78269196-79.37432098</t>
  </si>
  <si>
    <t>10.78188419-79.37298584</t>
  </si>
  <si>
    <t>10.78105545-79.37158966</t>
  </si>
  <si>
    <t>10.78020382-79.37019348</t>
  </si>
  <si>
    <t>10.77958107-79.36876678</t>
  </si>
  <si>
    <t>10.77950478-79.3673172</t>
  </si>
  <si>
    <t>10.77992439-79.3659668</t>
  </si>
  <si>
    <t>10.78065205-79.36463165</t>
  </si>
  <si>
    <t>10.78143501-79.36319733</t>
  </si>
  <si>
    <t>10.78216934-79.36178589</t>
  </si>
  <si>
    <t>10.78299046-79.36044312</t>
  </si>
  <si>
    <t>10.78385162-79.35906219</t>
  </si>
  <si>
    <t>10.7845068-79.35749054</t>
  </si>
  <si>
    <t>10.78488541-79.35617065</t>
  </si>
  <si>
    <t>10.78527641-79.35509491</t>
  </si>
  <si>
    <t>10.78562832-79.35435486</t>
  </si>
  <si>
    <t>10.78584576-79.35403442</t>
  </si>
  <si>
    <t>10.78594589-79.35385895</t>
  </si>
  <si>
    <t>10.78601646-79.3536911</t>
  </si>
  <si>
    <t>10.78614426-79.35340881</t>
  </si>
  <si>
    <t>10.78624153-79.35294342</t>
  </si>
  <si>
    <t>10.78657341-79.35191345</t>
  </si>
  <si>
    <t>10.78702927-79.35057068</t>
  </si>
  <si>
    <t>10.78757763-79.34890747</t>
  </si>
  <si>
    <t>10.78815556-79.34706116</t>
  </si>
  <si>
    <t>10.78857136-79.34519196</t>
  </si>
  <si>
    <t>10.78902721-79.34331512</t>
  </si>
  <si>
    <t>10.78956604-79.34127808</t>
  </si>
  <si>
    <t>10.79008675-79.33937073</t>
  </si>
  <si>
    <t>10.79061222-79.33750916</t>
  </si>
  <si>
    <t>10.79114723-79.33562469</t>
  </si>
  <si>
    <t>10.79169083-79.33375549</t>
  </si>
  <si>
    <t>10.79214859-79.33188629</t>
  </si>
  <si>
    <t>10.79246426-79.33005524</t>
  </si>
  <si>
    <t>10.79271507-79.32846069</t>
  </si>
  <si>
    <t>10.79255009-79.32691956</t>
  </si>
  <si>
    <t>10.79192066-79.32535553</t>
  </si>
  <si>
    <t>10.79084396-79.32392883</t>
  </si>
  <si>
    <t>10.78966904-79.32255554</t>
  </si>
  <si>
    <t>10.78876781-79.32107544</t>
  </si>
  <si>
    <t>10.78835869-79.31949615</t>
  </si>
  <si>
    <t>10.78837681-79.31769562</t>
  </si>
  <si>
    <t>10.78847599-79.31600952</t>
  </si>
  <si>
    <t>10.78860664-79.31432343</t>
  </si>
  <si>
    <t>10.78918743-79.31283569</t>
  </si>
  <si>
    <t>10.79029846-79.31169891</t>
  </si>
  <si>
    <t>10.79141903-79.31071472</t>
  </si>
  <si>
    <t>10.79219913-79.30962372</t>
  </si>
  <si>
    <t>10.79238129-79.30834961</t>
  </si>
  <si>
    <t>10.79231262-79.30641937</t>
  </si>
  <si>
    <t>10.79218864-79.30461121</t>
  </si>
  <si>
    <t>10.79190826-79.30280304</t>
  </si>
  <si>
    <t>10.79191685-79.30099487</t>
  </si>
  <si>
    <t>10.79175282-79.29914856</t>
  </si>
  <si>
    <t>10.79129505-79.29735565</t>
  </si>
  <si>
    <t>10.79079533-79.295578</t>
  </si>
  <si>
    <t>10.79004288-79.29368591</t>
  </si>
  <si>
    <t>10.7891922-79.29201508</t>
  </si>
  <si>
    <t>10.78874874-79.29021454</t>
  </si>
  <si>
    <t>10.78846645-79.28838348</t>
  </si>
  <si>
    <t>10.78885365-79.28658295</t>
  </si>
  <si>
    <t>10.78954506-79.28489685</t>
  </si>
  <si>
    <t>10.79026127-79.28316498</t>
  </si>
  <si>
    <t>10.79074478-79.28118134</t>
  </si>
  <si>
    <t>10.79063702-79.27935791</t>
  </si>
  <si>
    <t>10.79010963-79.27764893</t>
  </si>
  <si>
    <t>10.7895422-79.2759552</t>
  </si>
  <si>
    <t>10.78900623-79.27428436</t>
  </si>
  <si>
    <t>10.78841209-79.27277374</t>
  </si>
  <si>
    <t>10.78749466-79.27122498</t>
  </si>
  <si>
    <t>10.78624535-79.26985168</t>
  </si>
  <si>
    <t>10.78474617-79.26875305</t>
  </si>
  <si>
    <t>10.78309917-79.26798248</t>
  </si>
  <si>
    <t>10.78148937-79.26701355</t>
  </si>
  <si>
    <t>10.78059864-79.2654953</t>
  </si>
  <si>
    <t>10.78045845-79.26371002</t>
  </si>
  <si>
    <t>10.78049374-79.26183319</t>
  </si>
  <si>
    <t>10.78049183-79.25984192</t>
  </si>
  <si>
    <t>10.77998829-79.2582016</t>
  </si>
  <si>
    <t>10.77894878-79.25675201</t>
  </si>
  <si>
    <t>10.77810192-79.25510406</t>
  </si>
  <si>
    <t>10.77769756-79.25331116</t>
  </si>
  <si>
    <t>10.77764225-79.25143433</t>
  </si>
  <si>
    <t>10.77777195-79.24964142</t>
  </si>
  <si>
    <t>10.77791405-79.24774933</t>
  </si>
  <si>
    <t>10.77803516-79.24593353</t>
  </si>
  <si>
    <t>10.77808189-79.24411774</t>
  </si>
  <si>
    <t>10.77822685-79.24235535</t>
  </si>
  <si>
    <t>10.77882671-79.24072266</t>
  </si>
  <si>
    <t>10.77984333-79.23921967</t>
  </si>
  <si>
    <t>10.78054428-79.23751831</t>
  </si>
  <si>
    <t>10.78095818-79.23558044</t>
  </si>
  <si>
    <t>10.7813282-79.23381042</t>
  </si>
  <si>
    <t>10.78151703-79.23204041</t>
  </si>
  <si>
    <t>10.78149986-79.23026276</t>
  </si>
  <si>
    <t>10.7814846-79.22846985</t>
  </si>
  <si>
    <t>10.78162193-79.22650146</t>
  </si>
  <si>
    <t>10.78187561-79.2247467</t>
  </si>
  <si>
    <t>10.78232956-79.22297668</t>
  </si>
  <si>
    <t>10.78265667-79.22117615</t>
  </si>
  <si>
    <t>10.78246117-79.21939087</t>
  </si>
  <si>
    <t>10.78217697-79.21769714</t>
  </si>
  <si>
    <t>10.78204441-79.21601105</t>
  </si>
  <si>
    <t>10.78215599-79.21406555</t>
  </si>
  <si>
    <t>10.78222179-79.2122879</t>
  </si>
  <si>
    <t>10.7823391-79.21051025</t>
  </si>
  <si>
    <t>10.78246498-79.20877838</t>
  </si>
  <si>
    <t>10.78259182-79.20711517</t>
  </si>
  <si>
    <t>10.78271675-79.20547485</t>
  </si>
  <si>
    <t>10.78291416-79.20381927</t>
  </si>
  <si>
    <t>10.78319645-79.20206451</t>
  </si>
  <si>
    <t>10.78294945-79.2004776</t>
  </si>
  <si>
    <t>10.78260422-79.1989212</t>
  </si>
  <si>
    <t>10.78284359-79.19747925</t>
  </si>
  <si>
    <t>10.78325081-79.19610596</t>
  </si>
  <si>
    <t>10.78366184-79.19465637</t>
  </si>
  <si>
    <t>10.78392982-79.19315338</t>
  </si>
  <si>
    <t>10.78403473-79.19155884</t>
  </si>
  <si>
    <t>10.78402138-79.19019318</t>
  </si>
  <si>
    <t>10.78396225-79.18883514</t>
  </si>
  <si>
    <t>10.78380013-79.18730927</t>
  </si>
  <si>
    <t>10.78353024-79.1857605</t>
  </si>
  <si>
    <t>10.78326225-79.18417358</t>
  </si>
  <si>
    <t>10.78296947-79.18245697</t>
  </si>
  <si>
    <t>10.78273392-79.18089294</t>
  </si>
  <si>
    <t>10.78248501-79.17935944</t>
  </si>
  <si>
    <t>10.78223991-79.17785645</t>
  </si>
  <si>
    <t>10.7819767-79.17640686</t>
  </si>
  <si>
    <t>10.78173828-79.17507172</t>
  </si>
  <si>
    <t>10.78154469-79.17390442</t>
  </si>
  <si>
    <t>10.78136253-79.17280579</t>
  </si>
  <si>
    <t>10.78124142-79.17162323</t>
  </si>
  <si>
    <t>10.78114414-79.17054749</t>
  </si>
  <si>
    <t>10.78098106-79.16962433</t>
  </si>
  <si>
    <t>10.78083229-79.16896057</t>
  </si>
  <si>
    <t>10.78076363-79.16867065</t>
  </si>
  <si>
    <t>10.78081322-79.16831207</t>
  </si>
  <si>
    <t>10.78146553-79.16868591</t>
  </si>
  <si>
    <t>10.78233433-79.16934204</t>
  </si>
  <si>
    <t>10.78338528-79.17014313</t>
  </si>
  <si>
    <t>10.78435135-79.17089081</t>
  </si>
  <si>
    <t>10.78509998-79.17147827</t>
  </si>
  <si>
    <t>10.78562355-79.17169952</t>
  </si>
  <si>
    <t>10.78592777-79.17169952</t>
  </si>
  <si>
    <t>10.78665543-79.17166138</t>
  </si>
  <si>
    <t>10.78753185-79.17137146</t>
  </si>
  <si>
    <t>10.78812504-79.1707077</t>
  </si>
  <si>
    <t>10.788517-79.17015839</t>
  </si>
  <si>
    <t>10.78868961-79.16988373</t>
  </si>
  <si>
    <t>10.78876877-79.16973114</t>
  </si>
  <si>
    <t>10.78885937-79.16955566</t>
  </si>
  <si>
    <t>10.78892803-79.16940308</t>
  </si>
  <si>
    <t>10.78907776-79.16911316</t>
  </si>
  <si>
    <t>10.78944302-79.16836548</t>
  </si>
  <si>
    <t>10.78981209-79.16725159</t>
  </si>
  <si>
    <t>10.79018211-79.16578674</t>
  </si>
  <si>
    <t>10.79056931-79.16428375</t>
  </si>
  <si>
    <t>10.79104328-79.16282654</t>
  </si>
  <si>
    <t>10.79208279-79.16204834</t>
  </si>
  <si>
    <t>10.79344654-79.16152954</t>
  </si>
  <si>
    <t>10.79487419-79.16127777</t>
  </si>
  <si>
    <t>10.79638577-79.16109467</t>
  </si>
  <si>
    <t>10.79792309-79.16090393</t>
  </si>
  <si>
    <t>10.79951382-79.16070557</t>
  </si>
  <si>
    <t>10.80103683-79.15988159</t>
  </si>
  <si>
    <t>10.80226612-79.15881348</t>
  </si>
  <si>
    <t>10.80348206-79.15776062</t>
  </si>
  <si>
    <t>10.80468464-79.15671539</t>
  </si>
  <si>
    <t>10.80587196-79.15567017</t>
  </si>
  <si>
    <t>10.80706215-79.15470123</t>
  </si>
  <si>
    <t>10.80827618-79.15371704</t>
  </si>
  <si>
    <t>10.80960464-79.15267181</t>
  </si>
  <si>
    <t>10.81079102-79.15171051</t>
  </si>
  <si>
    <t>10.81192303-79.15072632</t>
  </si>
  <si>
    <t>10.81293106-79.14981079</t>
  </si>
  <si>
    <t>10.81388187-79.14890289</t>
  </si>
  <si>
    <t>10.81518841-79.14833069</t>
  </si>
  <si>
    <t>10.81675339-79.14794159</t>
  </si>
  <si>
    <t>10.81818485-79.14759064</t>
  </si>
  <si>
    <t>10.8195858-79.14703369</t>
  </si>
  <si>
    <t>10.82077885-79.14604187</t>
  </si>
  <si>
    <t>10.8218708-79.14492798</t>
  </si>
  <si>
    <t>10.82295036-79.14387512</t>
  </si>
  <si>
    <t>10.82395458-79.14286041</t>
  </si>
  <si>
    <t>10.82493305-79.14196014</t>
  </si>
  <si>
    <t>10.82606506-79.14128113</t>
  </si>
  <si>
    <t>10.82693577-79.14084625</t>
  </si>
  <si>
    <t>10.82769871-79.14040375</t>
  </si>
  <si>
    <t>10.82880688-79.13970184</t>
  </si>
  <si>
    <t>10.82971764-79.13859558</t>
  </si>
  <si>
    <t>10.8299942-79.13713074</t>
  </si>
  <si>
    <t>10.82979774-79.13556671</t>
  </si>
  <si>
    <t>10.82917118-79.13434601</t>
  </si>
  <si>
    <t>10.82856178-79.13320923</t>
  </si>
  <si>
    <t>10.82874107-79.13219452</t>
  </si>
  <si>
    <t>10.82985306-79.1312027</t>
  </si>
  <si>
    <t>10.83115673-79.13040924</t>
  </si>
  <si>
    <t>10.83209419-79.1292572</t>
  </si>
  <si>
    <t>10.83273411-79.12773132</t>
  </si>
  <si>
    <t>10.83337212-79.12641144</t>
  </si>
  <si>
    <t>10.83393478-79.12513733</t>
  </si>
  <si>
    <t>10.83473492-79.12421417</t>
  </si>
  <si>
    <t>10.83594894-79.12361908</t>
  </si>
  <si>
    <t>10.83706284-79.12297058</t>
  </si>
  <si>
    <t>10.83835316-79.12236023</t>
  </si>
  <si>
    <t>10.8395977-79.12151337</t>
  </si>
  <si>
    <t>10.84071445-79.1209259</t>
  </si>
  <si>
    <t>10.84177494-79.12043762</t>
  </si>
  <si>
    <t>10.84281158-79.1199646</t>
  </si>
  <si>
    <t>10.84393597-79.11901855</t>
  </si>
  <si>
    <t>10.84498405-79.11795807</t>
  </si>
  <si>
    <t>10.84607792-79.1171875</t>
  </si>
  <si>
    <t>10.84716797-79.11654663</t>
  </si>
  <si>
    <t>10.84833241-79.11634827</t>
  </si>
  <si>
    <t>10.84914303-79.11631012</t>
  </si>
  <si>
    <t>10.8490696-79.11566925</t>
  </si>
  <si>
    <t>10.84952164-79.11487579</t>
  </si>
  <si>
    <t>10.85037899-79.11351013</t>
  </si>
  <si>
    <t>10.8512392-79.11205292</t>
  </si>
  <si>
    <t>10.85212803-79.1105423</t>
  </si>
  <si>
    <t>10.85308647-79.10890961</t>
  </si>
  <si>
    <t>10.8539753-79.10739899</t>
  </si>
  <si>
    <t>10.85488415-79.10585785</t>
  </si>
  <si>
    <t>10.85579872-79.10432434</t>
  </si>
  <si>
    <t>10.85690212-79.10294342</t>
  </si>
  <si>
    <t>10.85815239-79.10172272</t>
  </si>
  <si>
    <t>10.8592701-79.10063934</t>
  </si>
  <si>
    <t>10.86041355-79.099617</t>
  </si>
  <si>
    <t>10.86153316-79.09868622</t>
  </si>
  <si>
    <t>10.86271763-79.0977478</t>
  </si>
  <si>
    <t>10.86387157-79.0967865</t>
  </si>
  <si>
    <t>10.86491871-79.0958786</t>
  </si>
  <si>
    <t>10.86597538-79.09497833</t>
  </si>
  <si>
    <t>10.8670187-79.09397125</t>
  </si>
  <si>
    <t>10.86826706-79.09318542</t>
  </si>
  <si>
    <t>10.86964035-79.09284973</t>
  </si>
  <si>
    <t>10.87106514-79.09278107</t>
  </si>
  <si>
    <t>10.87357903-79.09302521</t>
  </si>
  <si>
    <t>10.87552643-79.09306335</t>
  </si>
  <si>
    <t>10.87691879-79.09313965</t>
  </si>
  <si>
    <t>10.878232-79.09339905</t>
  </si>
  <si>
    <t>10.87942314-79.09379578</t>
  </si>
  <si>
    <t>10.88081455-79.09427643</t>
  </si>
  <si>
    <t>10.88227081-79.09485626</t>
  </si>
  <si>
    <t>10.88371754-79.09542847</t>
  </si>
  <si>
    <t>10.88518906-79.0959549</t>
  </si>
  <si>
    <t>10.88672543-79.09651947</t>
  </si>
  <si>
    <t>10.88802147-79.09725952</t>
  </si>
  <si>
    <t>10.88913345-79.09816742</t>
  </si>
  <si>
    <t>10.89010334-79.09914398</t>
  </si>
  <si>
    <t>10.89095688-79.10009766</t>
  </si>
  <si>
    <t>10.8917284-79.10099792</t>
  </si>
  <si>
    <t>10.89240742-79.10178375</t>
  </si>
  <si>
    <t>10.89295769-79.10241699</t>
  </si>
  <si>
    <t>10.89335632-79.10286713</t>
  </si>
  <si>
    <t>10.8934412-79.10299683</t>
  </si>
  <si>
    <t>10.89344501-79.1029892</t>
  </si>
  <si>
    <t>10.89344406-79.10298157</t>
  </si>
  <si>
    <t>10.89344215-79.10298157</t>
  </si>
  <si>
    <t>10.89344597-79.1029892</t>
  </si>
  <si>
    <t>10.89344883-79.1029892</t>
  </si>
  <si>
    <t>10.89345074-79.1029892</t>
  </si>
  <si>
    <t>10.89345264-79.1029892</t>
  </si>
  <si>
    <t>10.89345074-79.10298157</t>
  </si>
  <si>
    <t>10.89344692-79.10298157</t>
  </si>
  <si>
    <t>10.89344978-79.1029892</t>
  </si>
  <si>
    <t>10.89344788-79.10299683</t>
  </si>
  <si>
    <t>10.89344215-79.10300446</t>
  </si>
  <si>
    <t>10.89344025-79.10300446</t>
  </si>
  <si>
    <t>10.89343071-79.10300446</t>
  </si>
  <si>
    <t>10.8934269-79.10300446</t>
  </si>
  <si>
    <t>10.89343071-79.10301971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</si>
</sst>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8634"/>
  <sheetViews>
    <sheetView tabSelected="1" topLeftCell="A8597" zoomScale="162" workbookViewId="0">
      <selection activeCell="A8634" sqref="A8634"/>
    </sheetView>
  </sheetViews>
  <sheetFormatPr defaultRowHeight="14.4" x14ac:dyDescent="0.3"/>
  <cols>
    <col min="1" max="2" width="15.5546875" bestFit="1" customWidth="1"/>
    <col min="3" max="3" width="19.6640625" bestFit="1" customWidth="1"/>
    <col min="4" max="4" width="20" bestFit="1" customWidth="1"/>
    <col min="5" max="5" width="13.88671875" bestFit="1" customWidth="1"/>
    <col min="6" max="6" width="10.5546875" bestFit="1" customWidth="1"/>
    <col min="7" max="7" width="13.33203125" bestFit="1" customWidth="1"/>
    <col min="8" max="8" width="14.88671875" bestFit="1" customWidth="1"/>
    <col min="9" max="9" width="23.33203125" bestFit="1" customWidth="1"/>
    <col min="10" max="10" width="8" bestFit="1" customWidth="1"/>
    <col min="11" max="11" width="15.88671875" bestFit="1" customWidth="1"/>
    <col min="12" max="12" width="4.6640625" bestFit="1" customWidth="1"/>
    <col min="13" max="13" width="22.6640625" bestFit="1" customWidth="1"/>
    <col min="14" max="14" width="13.6640625" bestFit="1" customWidth="1"/>
    <col min="15" max="15" width="8.109375" bestFit="1" customWidth="1"/>
    <col min="16" max="16" width="11" bestFit="1" customWidth="1"/>
    <col min="17" max="17" width="13.44140625" bestFit="1" customWidth="1"/>
    <col min="18" max="18" width="12.5546875" bestFit="1" customWidth="1"/>
    <col min="19" max="19" width="12.44140625" bestFit="1" customWidth="1"/>
    <col min="20" max="20" width="17" bestFit="1" customWidth="1"/>
    <col min="21" max="21" width="15.6640625" bestFit="1" customWidth="1"/>
    <col min="22" max="22" width="13.33203125" bestFit="1" customWidth="1"/>
    <col min="23" max="23" width="18.109375" bestFit="1" customWidth="1"/>
    <col min="24" max="24" width="19.33203125" bestFit="1" customWidth="1"/>
    <col min="25" max="25" width="22" bestFit="1" customWidth="1"/>
    <col min="26" max="26" width="22.109375" bestFit="1" customWidth="1"/>
    <col min="27" max="27" width="19" bestFit="1" customWidth="1"/>
    <col min="28" max="28" width="21.6640625" bestFit="1" customWidth="1"/>
    <col min="29" max="29" width="21.88671875" bestFit="1" customWidth="1"/>
    <col min="30" max="30" width="19.33203125" bestFit="1" customWidth="1"/>
    <col min="31" max="31" width="23.88671875" bestFit="1" customWidth="1"/>
    <col min="32" max="32" width="24" bestFit="1" customWidth="1"/>
    <col min="33" max="33" width="19" bestFit="1" customWidth="1"/>
    <col min="34" max="34" width="27.5546875" bestFit="1" customWidth="1"/>
    <col min="35" max="35" width="23.6640625" bestFit="1" customWidth="1"/>
    <col min="36" max="36" width="21.6640625" bestFit="1" customWidth="1"/>
    <col min="37" max="37" width="23.33203125" bestFit="1" customWidth="1"/>
    <col min="38" max="38" width="16.44140625" bestFit="1" customWidth="1"/>
    <col min="39" max="39" width="23.6640625" bestFit="1" customWidth="1"/>
    <col min="40" max="40" width="13.88671875" bestFit="1" customWidth="1"/>
  </cols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 s="1">
        <v>46210.999884259261</v>
      </c>
      <c r="B2" t="s">
        <v>40</v>
      </c>
      <c r="C2" t="s">
        <v>41</v>
      </c>
      <c r="D2" s="1">
        <v>46211.00277777778</v>
      </c>
      <c r="E2" t="s">
        <v>42</v>
      </c>
      <c r="F2" t="s">
        <v>43</v>
      </c>
      <c r="G2" t="s">
        <v>43</v>
      </c>
      <c r="H2" t="s">
        <v>43</v>
      </c>
      <c r="I2" t="s">
        <v>44</v>
      </c>
      <c r="J2" t="s">
        <v>43</v>
      </c>
      <c r="K2" t="s">
        <v>43</v>
      </c>
      <c r="L2" t="s">
        <v>43</v>
      </c>
      <c r="M2" t="s">
        <v>43</v>
      </c>
      <c r="N2" t="s">
        <v>45</v>
      </c>
      <c r="O2" t="s">
        <v>43</v>
      </c>
      <c r="P2" t="s">
        <v>43</v>
      </c>
      <c r="Q2" t="s">
        <v>43</v>
      </c>
      <c r="R2" t="s">
        <v>43</v>
      </c>
      <c r="S2" t="s">
        <v>43</v>
      </c>
      <c r="T2" t="s">
        <v>43</v>
      </c>
      <c r="U2" t="s">
        <v>43</v>
      </c>
      <c r="V2" t="s">
        <v>43</v>
      </c>
      <c r="W2" t="s">
        <v>43</v>
      </c>
      <c r="X2" t="s">
        <v>43</v>
      </c>
      <c r="Y2" t="s">
        <v>43</v>
      </c>
      <c r="Z2" t="s">
        <v>43</v>
      </c>
      <c r="AA2" t="s">
        <v>43</v>
      </c>
      <c r="AB2" t="s">
        <v>43</v>
      </c>
      <c r="AC2" t="s">
        <v>43</v>
      </c>
      <c r="AD2" t="s">
        <v>43</v>
      </c>
      <c r="AE2" t="s">
        <v>43</v>
      </c>
      <c r="AF2" t="s">
        <v>43</v>
      </c>
      <c r="AG2" t="s">
        <v>43</v>
      </c>
      <c r="AH2" t="s">
        <v>43</v>
      </c>
      <c r="AI2" t="s">
        <v>43</v>
      </c>
      <c r="AJ2" t="s">
        <v>43</v>
      </c>
      <c r="AK2" t="s">
        <v>43</v>
      </c>
      <c r="AL2" t="s">
        <v>43</v>
      </c>
      <c r="AM2" t="s">
        <v>43</v>
      </c>
      <c r="AN2" t="str">
        <f>HYPERLINK("https://www.google.com/maps?q=11.05502319,79.06070709","Open Location")</f>
        <v>Open Location</v>
      </c>
    </row>
    <row r="3" spans="1:40" x14ac:dyDescent="0.3">
      <c r="A3" s="1">
        <v>46210.999768518515</v>
      </c>
      <c r="B3" t="s">
        <v>40</v>
      </c>
      <c r="C3" t="s">
        <v>41</v>
      </c>
      <c r="D3" s="1">
        <v>46211.002453703702</v>
      </c>
      <c r="E3" t="s">
        <v>42</v>
      </c>
      <c r="F3" t="s">
        <v>43</v>
      </c>
      <c r="G3" t="s">
        <v>43</v>
      </c>
      <c r="H3" t="s">
        <v>43</v>
      </c>
      <c r="I3" t="s">
        <v>46</v>
      </c>
      <c r="J3" t="s">
        <v>43</v>
      </c>
      <c r="K3" t="s">
        <v>43</v>
      </c>
      <c r="L3" t="s">
        <v>43</v>
      </c>
      <c r="M3" t="s">
        <v>43</v>
      </c>
      <c r="N3" t="s">
        <v>45</v>
      </c>
      <c r="O3" t="s">
        <v>43</v>
      </c>
      <c r="P3" t="s">
        <v>43</v>
      </c>
      <c r="Q3" t="s">
        <v>43</v>
      </c>
      <c r="R3" t="s">
        <v>43</v>
      </c>
      <c r="S3" t="s">
        <v>43</v>
      </c>
      <c r="T3" t="s">
        <v>43</v>
      </c>
      <c r="U3" t="s">
        <v>43</v>
      </c>
      <c r="V3" t="s">
        <v>43</v>
      </c>
      <c r="W3" t="s">
        <v>43</v>
      </c>
      <c r="X3" t="s">
        <v>43</v>
      </c>
      <c r="Y3" t="s">
        <v>43</v>
      </c>
      <c r="Z3" t="s">
        <v>43</v>
      </c>
      <c r="AA3" t="s">
        <v>43</v>
      </c>
      <c r="AB3" t="s">
        <v>43</v>
      </c>
      <c r="AC3" t="s">
        <v>43</v>
      </c>
      <c r="AD3" t="s">
        <v>43</v>
      </c>
      <c r="AE3" t="s">
        <v>43</v>
      </c>
      <c r="AF3" t="s">
        <v>43</v>
      </c>
      <c r="AG3" t="s">
        <v>43</v>
      </c>
      <c r="AH3" t="s">
        <v>43</v>
      </c>
      <c r="AI3" t="s">
        <v>43</v>
      </c>
      <c r="AJ3" t="s">
        <v>43</v>
      </c>
      <c r="AK3" t="s">
        <v>43</v>
      </c>
      <c r="AL3" t="s">
        <v>43</v>
      </c>
      <c r="AM3" t="s">
        <v>43</v>
      </c>
      <c r="AN3" t="str">
        <f>HYPERLINK("https://www.google.com/maps?q=11.05503082,79.06070709","Open Location")</f>
        <v>Open Location</v>
      </c>
    </row>
    <row r="4" spans="1:40" x14ac:dyDescent="0.3">
      <c r="A4" s="1">
        <v>46210.999652777777</v>
      </c>
      <c r="B4" t="s">
        <v>40</v>
      </c>
      <c r="C4" t="s">
        <v>41</v>
      </c>
      <c r="D4" s="1">
        <v>46211.002650462964</v>
      </c>
      <c r="E4" t="s">
        <v>42</v>
      </c>
      <c r="F4" t="s">
        <v>43</v>
      </c>
      <c r="G4" t="s">
        <v>43</v>
      </c>
      <c r="H4" t="s">
        <v>43</v>
      </c>
      <c r="I4" t="s">
        <v>47</v>
      </c>
      <c r="J4" t="s">
        <v>43</v>
      </c>
      <c r="K4" t="s">
        <v>43</v>
      </c>
      <c r="L4" t="s">
        <v>43</v>
      </c>
      <c r="M4" t="s">
        <v>43</v>
      </c>
      <c r="N4" t="s">
        <v>45</v>
      </c>
      <c r="O4" t="s">
        <v>43</v>
      </c>
      <c r="P4" t="s">
        <v>43</v>
      </c>
      <c r="Q4" t="s">
        <v>43</v>
      </c>
      <c r="R4" t="s">
        <v>43</v>
      </c>
      <c r="S4" t="s">
        <v>43</v>
      </c>
      <c r="T4" t="s">
        <v>43</v>
      </c>
      <c r="U4" t="s">
        <v>43</v>
      </c>
      <c r="V4" t="s">
        <v>43</v>
      </c>
      <c r="W4" t="s">
        <v>43</v>
      </c>
      <c r="X4" t="s">
        <v>43</v>
      </c>
      <c r="Y4" t="s">
        <v>43</v>
      </c>
      <c r="Z4" t="s">
        <v>43</v>
      </c>
      <c r="AA4" t="s">
        <v>43</v>
      </c>
      <c r="AB4" t="s">
        <v>43</v>
      </c>
      <c r="AC4" t="s">
        <v>43</v>
      </c>
      <c r="AD4" t="s">
        <v>43</v>
      </c>
      <c r="AE4" t="s">
        <v>43</v>
      </c>
      <c r="AF4" t="s">
        <v>43</v>
      </c>
      <c r="AG4" t="s">
        <v>43</v>
      </c>
      <c r="AH4" t="s">
        <v>43</v>
      </c>
      <c r="AI4" t="s">
        <v>43</v>
      </c>
      <c r="AJ4" t="s">
        <v>43</v>
      </c>
      <c r="AK4" t="s">
        <v>43</v>
      </c>
      <c r="AL4" t="s">
        <v>43</v>
      </c>
      <c r="AM4" t="s">
        <v>43</v>
      </c>
      <c r="AN4" t="str">
        <f>HYPERLINK("https://www.google.com/maps?q=11.05503464,79.06070709","Open Location")</f>
        <v>Open Location</v>
      </c>
    </row>
    <row r="5" spans="1:40" x14ac:dyDescent="0.3">
      <c r="A5" s="1">
        <v>46210.999537037038</v>
      </c>
      <c r="B5" t="s">
        <v>40</v>
      </c>
      <c r="C5" t="s">
        <v>41</v>
      </c>
      <c r="D5" s="1">
        <v>46211.00240740741</v>
      </c>
      <c r="E5" t="s">
        <v>42</v>
      </c>
      <c r="F5" t="s">
        <v>43</v>
      </c>
      <c r="G5" t="s">
        <v>43</v>
      </c>
      <c r="H5" t="s">
        <v>43</v>
      </c>
      <c r="I5" t="s">
        <v>43</v>
      </c>
      <c r="J5" t="s">
        <v>43</v>
      </c>
      <c r="K5" t="s">
        <v>43</v>
      </c>
      <c r="L5" t="s">
        <v>43</v>
      </c>
      <c r="M5" t="s">
        <v>43</v>
      </c>
      <c r="N5" t="s">
        <v>45</v>
      </c>
      <c r="O5" t="s">
        <v>43</v>
      </c>
      <c r="P5" t="s">
        <v>43</v>
      </c>
      <c r="Q5" t="s">
        <v>43</v>
      </c>
      <c r="R5" t="s">
        <v>43</v>
      </c>
      <c r="S5" t="s">
        <v>43</v>
      </c>
      <c r="T5" t="s">
        <v>43</v>
      </c>
      <c r="U5" t="s">
        <v>43</v>
      </c>
      <c r="V5" t="s">
        <v>43</v>
      </c>
      <c r="W5" t="s">
        <v>43</v>
      </c>
      <c r="X5" t="s">
        <v>43</v>
      </c>
      <c r="Y5" t="s">
        <v>43</v>
      </c>
      <c r="Z5" t="s">
        <v>43</v>
      </c>
      <c r="AA5" t="s">
        <v>43</v>
      </c>
      <c r="AB5" t="s">
        <v>43</v>
      </c>
      <c r="AC5" t="s">
        <v>43</v>
      </c>
      <c r="AD5" t="s">
        <v>43</v>
      </c>
      <c r="AE5" t="s">
        <v>43</v>
      </c>
      <c r="AF5" t="s">
        <v>43</v>
      </c>
      <c r="AG5" t="s">
        <v>43</v>
      </c>
      <c r="AH5" t="s">
        <v>43</v>
      </c>
      <c r="AI5" t="s">
        <v>43</v>
      </c>
      <c r="AJ5" t="s">
        <v>43</v>
      </c>
      <c r="AK5" t="s">
        <v>43</v>
      </c>
      <c r="AL5" t="s">
        <v>43</v>
      </c>
      <c r="AM5" t="s">
        <v>43</v>
      </c>
      <c r="AN5" t="s">
        <v>43</v>
      </c>
    </row>
    <row r="6" spans="1:40" x14ac:dyDescent="0.3">
      <c r="A6" s="1">
        <v>46210.999421296299</v>
      </c>
      <c r="B6" t="s">
        <v>40</v>
      </c>
      <c r="C6" t="s">
        <v>41</v>
      </c>
      <c r="D6" s="1">
        <v>46211.002314814818</v>
      </c>
      <c r="E6" t="s">
        <v>42</v>
      </c>
      <c r="F6" t="s">
        <v>43</v>
      </c>
      <c r="G6" t="s">
        <v>43</v>
      </c>
      <c r="H6" t="s">
        <v>43</v>
      </c>
      <c r="I6" t="s">
        <v>48</v>
      </c>
      <c r="J6" t="s">
        <v>43</v>
      </c>
      <c r="K6" t="s">
        <v>43</v>
      </c>
      <c r="L6" t="s">
        <v>43</v>
      </c>
      <c r="M6" t="s">
        <v>43</v>
      </c>
      <c r="N6" t="s">
        <v>45</v>
      </c>
      <c r="O6" t="s">
        <v>43</v>
      </c>
      <c r="P6" t="s">
        <v>43</v>
      </c>
      <c r="Q6" t="s">
        <v>43</v>
      </c>
      <c r="R6" t="s">
        <v>43</v>
      </c>
      <c r="S6" t="s">
        <v>43</v>
      </c>
      <c r="T6" t="s">
        <v>43</v>
      </c>
      <c r="U6" t="s">
        <v>43</v>
      </c>
      <c r="V6" t="s">
        <v>43</v>
      </c>
      <c r="W6" t="s">
        <v>43</v>
      </c>
      <c r="X6" t="s">
        <v>43</v>
      </c>
      <c r="Y6" t="s">
        <v>43</v>
      </c>
      <c r="Z6" t="s">
        <v>43</v>
      </c>
      <c r="AA6" t="s">
        <v>43</v>
      </c>
      <c r="AB6" t="s">
        <v>43</v>
      </c>
      <c r="AC6" t="s">
        <v>43</v>
      </c>
      <c r="AD6" t="s">
        <v>43</v>
      </c>
      <c r="AE6" t="s">
        <v>43</v>
      </c>
      <c r="AF6" t="s">
        <v>43</v>
      </c>
      <c r="AG6" t="s">
        <v>43</v>
      </c>
      <c r="AH6" t="s">
        <v>43</v>
      </c>
      <c r="AI6" t="s">
        <v>43</v>
      </c>
      <c r="AJ6" t="s">
        <v>43</v>
      </c>
      <c r="AK6" t="s">
        <v>43</v>
      </c>
      <c r="AL6" t="s">
        <v>43</v>
      </c>
      <c r="AM6" t="s">
        <v>43</v>
      </c>
      <c r="AN6" t="str">
        <f>HYPERLINK("https://www.google.com/maps?q=11.05504131,79.06071472","Open Location")</f>
        <v>Open Location</v>
      </c>
    </row>
    <row r="7" spans="1:40" x14ac:dyDescent="0.3">
      <c r="A7" s="1">
        <v>46210.999305555553</v>
      </c>
      <c r="B7" t="s">
        <v>40</v>
      </c>
      <c r="C7" t="s">
        <v>41</v>
      </c>
      <c r="D7" s="1">
        <v>46211.002222222225</v>
      </c>
      <c r="E7" t="s">
        <v>42</v>
      </c>
      <c r="F7" t="s">
        <v>43</v>
      </c>
      <c r="G7" t="s">
        <v>43</v>
      </c>
      <c r="H7" t="s">
        <v>43</v>
      </c>
      <c r="I7" t="s">
        <v>49</v>
      </c>
      <c r="J7" t="s">
        <v>43</v>
      </c>
      <c r="K7" t="s">
        <v>43</v>
      </c>
      <c r="L7" t="s">
        <v>43</v>
      </c>
      <c r="M7" t="s">
        <v>43</v>
      </c>
      <c r="N7" t="s">
        <v>45</v>
      </c>
      <c r="O7" t="s">
        <v>43</v>
      </c>
      <c r="P7" t="s">
        <v>43</v>
      </c>
      <c r="Q7" t="s">
        <v>43</v>
      </c>
      <c r="R7" t="s">
        <v>43</v>
      </c>
      <c r="S7" t="s">
        <v>43</v>
      </c>
      <c r="T7" t="s">
        <v>43</v>
      </c>
      <c r="U7" t="s">
        <v>43</v>
      </c>
      <c r="V7" t="s">
        <v>43</v>
      </c>
      <c r="W7" t="s">
        <v>43</v>
      </c>
      <c r="X7" t="s">
        <v>43</v>
      </c>
      <c r="Y7" t="s">
        <v>43</v>
      </c>
      <c r="Z7" t="s">
        <v>43</v>
      </c>
      <c r="AA7" t="s">
        <v>43</v>
      </c>
      <c r="AB7" t="s">
        <v>43</v>
      </c>
      <c r="AC7" t="s">
        <v>43</v>
      </c>
      <c r="AD7" t="s">
        <v>43</v>
      </c>
      <c r="AE7" t="s">
        <v>43</v>
      </c>
      <c r="AF7" t="s">
        <v>43</v>
      </c>
      <c r="AG7" t="s">
        <v>43</v>
      </c>
      <c r="AH7" t="s">
        <v>43</v>
      </c>
      <c r="AI7" t="s">
        <v>43</v>
      </c>
      <c r="AJ7" t="s">
        <v>43</v>
      </c>
      <c r="AK7" t="s">
        <v>43</v>
      </c>
      <c r="AL7" t="s">
        <v>43</v>
      </c>
      <c r="AM7" t="s">
        <v>43</v>
      </c>
      <c r="AN7" t="str">
        <f>HYPERLINK("https://www.google.com/maps?q=11.05504227,79.06070709","Open Location")</f>
        <v>Open Location</v>
      </c>
    </row>
    <row r="8" spans="1:40" x14ac:dyDescent="0.3">
      <c r="A8" s="1">
        <v>46210.999189814815</v>
      </c>
      <c r="B8" t="s">
        <v>40</v>
      </c>
      <c r="C8" t="s">
        <v>41</v>
      </c>
      <c r="D8" s="1">
        <v>46211.002083333333</v>
      </c>
      <c r="E8" t="s">
        <v>42</v>
      </c>
      <c r="F8" t="s">
        <v>43</v>
      </c>
      <c r="G8" t="s">
        <v>43</v>
      </c>
      <c r="H8" t="s">
        <v>43</v>
      </c>
      <c r="I8" t="s">
        <v>50</v>
      </c>
      <c r="J8" t="s">
        <v>43</v>
      </c>
      <c r="K8" t="s">
        <v>43</v>
      </c>
      <c r="L8" t="s">
        <v>43</v>
      </c>
      <c r="M8" t="s">
        <v>43</v>
      </c>
      <c r="N8" t="s">
        <v>45</v>
      </c>
      <c r="O8" t="s">
        <v>43</v>
      </c>
      <c r="P8" t="s">
        <v>43</v>
      </c>
      <c r="Q8" t="s">
        <v>43</v>
      </c>
      <c r="R8" t="s">
        <v>43</v>
      </c>
      <c r="S8" t="s">
        <v>43</v>
      </c>
      <c r="T8" t="s">
        <v>43</v>
      </c>
      <c r="U8" t="s">
        <v>43</v>
      </c>
      <c r="V8" t="s">
        <v>43</v>
      </c>
      <c r="W8" t="s">
        <v>43</v>
      </c>
      <c r="X8" t="s">
        <v>43</v>
      </c>
      <c r="Y8" t="s">
        <v>43</v>
      </c>
      <c r="Z8" t="s">
        <v>43</v>
      </c>
      <c r="AA8" t="s">
        <v>43</v>
      </c>
      <c r="AB8" t="s">
        <v>43</v>
      </c>
      <c r="AC8" t="s">
        <v>43</v>
      </c>
      <c r="AD8" t="s">
        <v>43</v>
      </c>
      <c r="AE8" t="s">
        <v>43</v>
      </c>
      <c r="AF8" t="s">
        <v>43</v>
      </c>
      <c r="AG8" t="s">
        <v>43</v>
      </c>
      <c r="AH8" t="s">
        <v>43</v>
      </c>
      <c r="AI8" t="s">
        <v>43</v>
      </c>
      <c r="AJ8" t="s">
        <v>43</v>
      </c>
      <c r="AK8" t="s">
        <v>43</v>
      </c>
      <c r="AL8" t="s">
        <v>43</v>
      </c>
      <c r="AM8" t="s">
        <v>43</v>
      </c>
      <c r="AN8" t="str">
        <f>HYPERLINK("https://www.google.com/maps?q=11.05504417,79.06070709","Open Location")</f>
        <v>Open Location</v>
      </c>
    </row>
    <row r="9" spans="1:40" x14ac:dyDescent="0.3">
      <c r="A9" s="1">
        <v>46210.999074074076</v>
      </c>
      <c r="B9" t="s">
        <v>40</v>
      </c>
      <c r="C9" t="s">
        <v>41</v>
      </c>
      <c r="D9" s="1">
        <v>46211.001851851855</v>
      </c>
      <c r="E9" t="s">
        <v>42</v>
      </c>
      <c r="F9" t="s">
        <v>43</v>
      </c>
      <c r="G9" t="s">
        <v>43</v>
      </c>
      <c r="H9" t="s">
        <v>43</v>
      </c>
      <c r="I9" t="s">
        <v>51</v>
      </c>
      <c r="J9" t="s">
        <v>43</v>
      </c>
      <c r="K9" t="s">
        <v>43</v>
      </c>
      <c r="L9" t="s">
        <v>43</v>
      </c>
      <c r="M9" t="s">
        <v>43</v>
      </c>
      <c r="N9" t="s">
        <v>45</v>
      </c>
      <c r="O9" t="s">
        <v>43</v>
      </c>
      <c r="P9" t="s">
        <v>43</v>
      </c>
      <c r="Q9" t="s">
        <v>43</v>
      </c>
      <c r="R9" t="s">
        <v>43</v>
      </c>
      <c r="S9" t="s">
        <v>43</v>
      </c>
      <c r="T9" t="s">
        <v>43</v>
      </c>
      <c r="U9" t="s">
        <v>43</v>
      </c>
      <c r="V9" t="s">
        <v>43</v>
      </c>
      <c r="W9" t="s">
        <v>43</v>
      </c>
      <c r="X9" t="s">
        <v>43</v>
      </c>
      <c r="Y9" t="s">
        <v>43</v>
      </c>
      <c r="Z9" t="s">
        <v>43</v>
      </c>
      <c r="AA9" t="s">
        <v>43</v>
      </c>
      <c r="AB9" t="s">
        <v>43</v>
      </c>
      <c r="AC9" t="s">
        <v>43</v>
      </c>
      <c r="AD9" t="s">
        <v>43</v>
      </c>
      <c r="AE9" t="s">
        <v>43</v>
      </c>
      <c r="AF9" t="s">
        <v>43</v>
      </c>
      <c r="AG9" t="s">
        <v>43</v>
      </c>
      <c r="AH9" t="s">
        <v>43</v>
      </c>
      <c r="AI9" t="s">
        <v>43</v>
      </c>
      <c r="AJ9" t="s">
        <v>43</v>
      </c>
      <c r="AK9" t="s">
        <v>43</v>
      </c>
      <c r="AL9" t="s">
        <v>43</v>
      </c>
      <c r="AM9" t="s">
        <v>43</v>
      </c>
      <c r="AN9" t="str">
        <f>HYPERLINK("https://www.google.com/maps?q=11.05503941,79.06070709","Open Location")</f>
        <v>Open Location</v>
      </c>
    </row>
    <row r="10" spans="1:40" x14ac:dyDescent="0.3">
      <c r="A10" s="1">
        <v>46210.99895833333</v>
      </c>
      <c r="B10" t="s">
        <v>40</v>
      </c>
      <c r="C10" t="s">
        <v>41</v>
      </c>
      <c r="D10" s="1">
        <v>46211.002083333333</v>
      </c>
      <c r="E10" t="s">
        <v>42</v>
      </c>
      <c r="F10" t="s">
        <v>43</v>
      </c>
      <c r="G10" t="s">
        <v>43</v>
      </c>
      <c r="H10" t="s">
        <v>43</v>
      </c>
      <c r="I10" t="s">
        <v>52</v>
      </c>
      <c r="J10" t="s">
        <v>43</v>
      </c>
      <c r="K10" t="s">
        <v>43</v>
      </c>
      <c r="L10" t="s">
        <v>43</v>
      </c>
      <c r="M10" t="s">
        <v>43</v>
      </c>
      <c r="N10" t="s">
        <v>45</v>
      </c>
      <c r="O10" t="s">
        <v>43</v>
      </c>
      <c r="P10" t="s">
        <v>43</v>
      </c>
      <c r="Q10" t="s">
        <v>43</v>
      </c>
      <c r="R10" t="s">
        <v>43</v>
      </c>
      <c r="S10" t="s">
        <v>43</v>
      </c>
      <c r="T10" t="s">
        <v>43</v>
      </c>
      <c r="U10" t="s">
        <v>43</v>
      </c>
      <c r="V10" t="s">
        <v>43</v>
      </c>
      <c r="W10" t="s">
        <v>43</v>
      </c>
      <c r="X10" t="s">
        <v>43</v>
      </c>
      <c r="Y10" t="s">
        <v>43</v>
      </c>
      <c r="Z10" t="s">
        <v>43</v>
      </c>
      <c r="AA10" t="s">
        <v>43</v>
      </c>
      <c r="AB10" t="s">
        <v>43</v>
      </c>
      <c r="AC10" t="s">
        <v>43</v>
      </c>
      <c r="AD10" t="s">
        <v>43</v>
      </c>
      <c r="AE10" t="s">
        <v>43</v>
      </c>
      <c r="AF10" t="s">
        <v>43</v>
      </c>
      <c r="AG10" t="s">
        <v>43</v>
      </c>
      <c r="AH10" t="s">
        <v>43</v>
      </c>
      <c r="AI10" t="s">
        <v>43</v>
      </c>
      <c r="AJ10" t="s">
        <v>43</v>
      </c>
      <c r="AK10" t="s">
        <v>43</v>
      </c>
      <c r="AL10" t="s">
        <v>43</v>
      </c>
      <c r="AM10" t="s">
        <v>43</v>
      </c>
      <c r="AN10" t="str">
        <f>HYPERLINK("https://www.google.com/maps?q=11.05503559,79.06070709","Open Location")</f>
        <v>Open Location</v>
      </c>
    </row>
    <row r="11" spans="1:40" x14ac:dyDescent="0.3">
      <c r="A11" s="1">
        <v>46210.998842592591</v>
      </c>
      <c r="B11" t="s">
        <v>40</v>
      </c>
      <c r="C11" t="s">
        <v>41</v>
      </c>
      <c r="D11" s="1">
        <v>46211.001851851855</v>
      </c>
      <c r="E11" t="s">
        <v>42</v>
      </c>
      <c r="F11" t="s">
        <v>43</v>
      </c>
      <c r="G11" t="s">
        <v>43</v>
      </c>
      <c r="H11" t="s">
        <v>43</v>
      </c>
      <c r="I11" t="s">
        <v>43</v>
      </c>
      <c r="J11" t="s">
        <v>43</v>
      </c>
      <c r="K11" t="s">
        <v>43</v>
      </c>
      <c r="L11" t="s">
        <v>43</v>
      </c>
      <c r="M11" t="s">
        <v>43</v>
      </c>
      <c r="N11" t="s">
        <v>45</v>
      </c>
      <c r="O11" t="s">
        <v>43</v>
      </c>
      <c r="P11" t="s">
        <v>43</v>
      </c>
      <c r="Q11" t="s">
        <v>43</v>
      </c>
      <c r="R11" t="s">
        <v>43</v>
      </c>
      <c r="S11" t="s">
        <v>43</v>
      </c>
      <c r="T11" t="s">
        <v>43</v>
      </c>
      <c r="U11" t="s">
        <v>43</v>
      </c>
      <c r="V11" t="s">
        <v>43</v>
      </c>
      <c r="W11" t="s">
        <v>43</v>
      </c>
      <c r="X11" t="s">
        <v>43</v>
      </c>
      <c r="Y11" t="s">
        <v>43</v>
      </c>
      <c r="Z11" t="s">
        <v>43</v>
      </c>
      <c r="AA11" t="s">
        <v>43</v>
      </c>
      <c r="AB11" t="s">
        <v>43</v>
      </c>
      <c r="AC11" t="s">
        <v>43</v>
      </c>
      <c r="AD11" t="s">
        <v>43</v>
      </c>
      <c r="AE11" t="s">
        <v>43</v>
      </c>
      <c r="AF11" t="s">
        <v>43</v>
      </c>
      <c r="AG11" t="s">
        <v>43</v>
      </c>
      <c r="AH11" t="s">
        <v>43</v>
      </c>
      <c r="AI11" t="s">
        <v>43</v>
      </c>
      <c r="AJ11" t="s">
        <v>43</v>
      </c>
      <c r="AK11" t="s">
        <v>43</v>
      </c>
      <c r="AL11" t="s">
        <v>43</v>
      </c>
      <c r="AM11" t="s">
        <v>43</v>
      </c>
      <c r="AN11" t="s">
        <v>43</v>
      </c>
    </row>
    <row r="12" spans="1:40" x14ac:dyDescent="0.3">
      <c r="A12" s="1">
        <v>46210.998726851853</v>
      </c>
      <c r="B12" t="s">
        <v>40</v>
      </c>
      <c r="C12" t="s">
        <v>41</v>
      </c>
      <c r="D12" s="1">
        <v>46211.001736111109</v>
      </c>
      <c r="E12" t="s">
        <v>42</v>
      </c>
      <c r="F12" t="s">
        <v>43</v>
      </c>
      <c r="G12" t="s">
        <v>43</v>
      </c>
      <c r="H12" t="s">
        <v>43</v>
      </c>
      <c r="I12" t="s">
        <v>53</v>
      </c>
      <c r="J12" t="s">
        <v>43</v>
      </c>
      <c r="K12" t="s">
        <v>43</v>
      </c>
      <c r="L12" t="s">
        <v>43</v>
      </c>
      <c r="M12" t="s">
        <v>43</v>
      </c>
      <c r="N12" t="s">
        <v>45</v>
      </c>
      <c r="O12" t="s">
        <v>43</v>
      </c>
      <c r="P12" t="s">
        <v>43</v>
      </c>
      <c r="Q12" t="s">
        <v>43</v>
      </c>
      <c r="R12" t="s">
        <v>43</v>
      </c>
      <c r="S12" t="s">
        <v>43</v>
      </c>
      <c r="T12" t="s">
        <v>43</v>
      </c>
      <c r="U12" t="s">
        <v>43</v>
      </c>
      <c r="V12" t="s">
        <v>43</v>
      </c>
      <c r="W12" t="s">
        <v>43</v>
      </c>
      <c r="X12" t="s">
        <v>43</v>
      </c>
      <c r="Y12" t="s">
        <v>43</v>
      </c>
      <c r="Z12" t="s">
        <v>43</v>
      </c>
      <c r="AA12" t="s">
        <v>43</v>
      </c>
      <c r="AB12" t="s">
        <v>43</v>
      </c>
      <c r="AC12" t="s">
        <v>43</v>
      </c>
      <c r="AD12" t="s">
        <v>43</v>
      </c>
      <c r="AE12" t="s">
        <v>43</v>
      </c>
      <c r="AF12" t="s">
        <v>43</v>
      </c>
      <c r="AG12" t="s">
        <v>43</v>
      </c>
      <c r="AH12" t="s">
        <v>43</v>
      </c>
      <c r="AI12" t="s">
        <v>43</v>
      </c>
      <c r="AJ12" t="s">
        <v>43</v>
      </c>
      <c r="AK12" t="s">
        <v>43</v>
      </c>
      <c r="AL12" t="s">
        <v>43</v>
      </c>
      <c r="AM12" t="s">
        <v>43</v>
      </c>
      <c r="AN12" t="str">
        <f>HYPERLINK("https://www.google.com/maps?q=11.05503368,79.06070709","Open Location")</f>
        <v>Open Location</v>
      </c>
    </row>
    <row r="13" spans="1:40" x14ac:dyDescent="0.3">
      <c r="A13" s="1">
        <v>46210.998611111114</v>
      </c>
      <c r="B13" t="s">
        <v>40</v>
      </c>
      <c r="C13" t="s">
        <v>41</v>
      </c>
      <c r="D13" s="1">
        <v>46211.001307870371</v>
      </c>
      <c r="E13" t="s">
        <v>42</v>
      </c>
      <c r="F13" t="s">
        <v>43</v>
      </c>
      <c r="G13" t="s">
        <v>43</v>
      </c>
      <c r="H13" t="s">
        <v>43</v>
      </c>
      <c r="I13" t="s">
        <v>52</v>
      </c>
      <c r="J13" t="s">
        <v>43</v>
      </c>
      <c r="K13" t="s">
        <v>43</v>
      </c>
      <c r="L13" t="s">
        <v>43</v>
      </c>
      <c r="M13" t="s">
        <v>43</v>
      </c>
      <c r="N13" t="s">
        <v>45</v>
      </c>
      <c r="O13" t="s">
        <v>43</v>
      </c>
      <c r="P13" t="s">
        <v>43</v>
      </c>
      <c r="Q13" t="s">
        <v>43</v>
      </c>
      <c r="R13" t="s">
        <v>43</v>
      </c>
      <c r="S13" t="s">
        <v>43</v>
      </c>
      <c r="T13" t="s">
        <v>43</v>
      </c>
      <c r="U13" t="s">
        <v>43</v>
      </c>
      <c r="V13" t="s">
        <v>43</v>
      </c>
      <c r="W13" t="s">
        <v>43</v>
      </c>
      <c r="X13" t="s">
        <v>43</v>
      </c>
      <c r="Y13" t="s">
        <v>43</v>
      </c>
      <c r="Z13" t="s">
        <v>43</v>
      </c>
      <c r="AA13" t="s">
        <v>43</v>
      </c>
      <c r="AB13" t="s">
        <v>43</v>
      </c>
      <c r="AC13" t="s">
        <v>43</v>
      </c>
      <c r="AD13" t="s">
        <v>43</v>
      </c>
      <c r="AE13" t="s">
        <v>43</v>
      </c>
      <c r="AF13" t="s">
        <v>43</v>
      </c>
      <c r="AG13" t="s">
        <v>43</v>
      </c>
      <c r="AH13" t="s">
        <v>43</v>
      </c>
      <c r="AI13" t="s">
        <v>43</v>
      </c>
      <c r="AJ13" t="s">
        <v>43</v>
      </c>
      <c r="AK13" t="s">
        <v>43</v>
      </c>
      <c r="AL13" t="s">
        <v>43</v>
      </c>
      <c r="AM13" t="s">
        <v>43</v>
      </c>
      <c r="AN13" t="str">
        <f>HYPERLINK("https://www.google.com/maps?q=11.05503559,79.06070709","Open Location")</f>
        <v>Open Location</v>
      </c>
    </row>
    <row r="14" spans="1:40" x14ac:dyDescent="0.3">
      <c r="A14" s="1">
        <v>46210.998495370368</v>
      </c>
      <c r="B14" t="s">
        <v>40</v>
      </c>
      <c r="C14" t="s">
        <v>41</v>
      </c>
      <c r="D14" s="1">
        <v>46211.001331018517</v>
      </c>
      <c r="E14" t="s">
        <v>42</v>
      </c>
      <c r="F14" t="s">
        <v>43</v>
      </c>
      <c r="G14" t="s">
        <v>43</v>
      </c>
      <c r="H14" t="s">
        <v>43</v>
      </c>
      <c r="I14" t="s">
        <v>47</v>
      </c>
      <c r="J14" t="s">
        <v>43</v>
      </c>
      <c r="K14" t="s">
        <v>43</v>
      </c>
      <c r="L14" t="s">
        <v>43</v>
      </c>
      <c r="M14" t="s">
        <v>43</v>
      </c>
      <c r="N14" t="s">
        <v>45</v>
      </c>
      <c r="O14" t="s">
        <v>43</v>
      </c>
      <c r="P14" t="s">
        <v>43</v>
      </c>
      <c r="Q14" t="s">
        <v>43</v>
      </c>
      <c r="R14" t="s">
        <v>43</v>
      </c>
      <c r="S14" t="s">
        <v>43</v>
      </c>
      <c r="T14" t="s">
        <v>43</v>
      </c>
      <c r="U14" t="s">
        <v>43</v>
      </c>
      <c r="V14" t="s">
        <v>43</v>
      </c>
      <c r="W14" t="s">
        <v>43</v>
      </c>
      <c r="X14" t="s">
        <v>43</v>
      </c>
      <c r="Y14" t="s">
        <v>43</v>
      </c>
      <c r="Z14" t="s">
        <v>43</v>
      </c>
      <c r="AA14" t="s">
        <v>43</v>
      </c>
      <c r="AB14" t="s">
        <v>43</v>
      </c>
      <c r="AC14" t="s">
        <v>43</v>
      </c>
      <c r="AD14" t="s">
        <v>43</v>
      </c>
      <c r="AE14" t="s">
        <v>43</v>
      </c>
      <c r="AF14" t="s">
        <v>43</v>
      </c>
      <c r="AG14" t="s">
        <v>43</v>
      </c>
      <c r="AH14" t="s">
        <v>43</v>
      </c>
      <c r="AI14" t="s">
        <v>43</v>
      </c>
      <c r="AJ14" t="s">
        <v>43</v>
      </c>
      <c r="AK14" t="s">
        <v>43</v>
      </c>
      <c r="AL14" t="s">
        <v>43</v>
      </c>
      <c r="AM14" t="s">
        <v>43</v>
      </c>
      <c r="AN14" t="str">
        <f>HYPERLINK("https://www.google.com/maps?q=11.05503464,79.06070709","Open Location")</f>
        <v>Open Location</v>
      </c>
    </row>
    <row r="15" spans="1:40" x14ac:dyDescent="0.3">
      <c r="A15" s="1">
        <v>46210.998379629629</v>
      </c>
      <c r="B15" t="s">
        <v>40</v>
      </c>
      <c r="C15" t="s">
        <v>41</v>
      </c>
      <c r="D15" s="1">
        <v>46211.001620370371</v>
      </c>
      <c r="E15" t="s">
        <v>42</v>
      </c>
      <c r="F15" t="s">
        <v>43</v>
      </c>
      <c r="G15" t="s">
        <v>43</v>
      </c>
      <c r="H15" t="s">
        <v>43</v>
      </c>
      <c r="I15" t="s">
        <v>47</v>
      </c>
      <c r="J15" t="s">
        <v>43</v>
      </c>
      <c r="K15" t="s">
        <v>43</v>
      </c>
      <c r="L15" t="s">
        <v>43</v>
      </c>
      <c r="M15" t="s">
        <v>43</v>
      </c>
      <c r="N15" t="s">
        <v>45</v>
      </c>
      <c r="O15" t="s">
        <v>43</v>
      </c>
      <c r="P15" t="s">
        <v>43</v>
      </c>
      <c r="Q15" t="s">
        <v>43</v>
      </c>
      <c r="R15" t="s">
        <v>43</v>
      </c>
      <c r="S15" t="s">
        <v>43</v>
      </c>
      <c r="T15" t="s">
        <v>43</v>
      </c>
      <c r="U15" t="s">
        <v>43</v>
      </c>
      <c r="V15" t="s">
        <v>43</v>
      </c>
      <c r="W15" t="s">
        <v>43</v>
      </c>
      <c r="X15" t="s">
        <v>43</v>
      </c>
      <c r="Y15" t="s">
        <v>43</v>
      </c>
      <c r="Z15" t="s">
        <v>43</v>
      </c>
      <c r="AA15" t="s">
        <v>43</v>
      </c>
      <c r="AB15" t="s">
        <v>43</v>
      </c>
      <c r="AC15" t="s">
        <v>43</v>
      </c>
      <c r="AD15" t="s">
        <v>43</v>
      </c>
      <c r="AE15" t="s">
        <v>43</v>
      </c>
      <c r="AF15" t="s">
        <v>43</v>
      </c>
      <c r="AG15" t="s">
        <v>43</v>
      </c>
      <c r="AH15" t="s">
        <v>43</v>
      </c>
      <c r="AI15" t="s">
        <v>43</v>
      </c>
      <c r="AJ15" t="s">
        <v>43</v>
      </c>
      <c r="AK15" t="s">
        <v>43</v>
      </c>
      <c r="AL15" t="s">
        <v>43</v>
      </c>
      <c r="AM15" t="s">
        <v>43</v>
      </c>
      <c r="AN15" t="str">
        <f>HYPERLINK("https://www.google.com/maps?q=11.05503464,79.06070709","Open Location")</f>
        <v>Open Location</v>
      </c>
    </row>
    <row r="16" spans="1:40" x14ac:dyDescent="0.3">
      <c r="A16" s="1">
        <v>46210.998263888891</v>
      </c>
      <c r="B16" t="s">
        <v>40</v>
      </c>
      <c r="C16" t="s">
        <v>41</v>
      </c>
      <c r="D16" s="1">
        <v>46211.001203703701</v>
      </c>
      <c r="E16" t="s">
        <v>42</v>
      </c>
      <c r="F16" t="s">
        <v>43</v>
      </c>
      <c r="G16" t="s">
        <v>43</v>
      </c>
      <c r="H16" t="s">
        <v>43</v>
      </c>
      <c r="I16" t="s">
        <v>54</v>
      </c>
      <c r="J16" t="s">
        <v>43</v>
      </c>
      <c r="K16" t="s">
        <v>43</v>
      </c>
      <c r="L16" t="s">
        <v>43</v>
      </c>
      <c r="M16" t="s">
        <v>43</v>
      </c>
      <c r="N16" t="s">
        <v>45</v>
      </c>
      <c r="O16" t="s">
        <v>43</v>
      </c>
      <c r="P16" t="s">
        <v>43</v>
      </c>
      <c r="Q16" t="s">
        <v>43</v>
      </c>
      <c r="R16" t="s">
        <v>43</v>
      </c>
      <c r="S16" t="s">
        <v>43</v>
      </c>
      <c r="T16" t="s">
        <v>43</v>
      </c>
      <c r="U16" t="s">
        <v>43</v>
      </c>
      <c r="V16" t="s">
        <v>43</v>
      </c>
      <c r="W16" t="s">
        <v>43</v>
      </c>
      <c r="X16" t="s">
        <v>43</v>
      </c>
      <c r="Y16" t="s">
        <v>43</v>
      </c>
      <c r="Z16" t="s">
        <v>43</v>
      </c>
      <c r="AA16" t="s">
        <v>43</v>
      </c>
      <c r="AB16" t="s">
        <v>43</v>
      </c>
      <c r="AC16" t="s">
        <v>43</v>
      </c>
      <c r="AD16" t="s">
        <v>43</v>
      </c>
      <c r="AE16" t="s">
        <v>43</v>
      </c>
      <c r="AF16" t="s">
        <v>43</v>
      </c>
      <c r="AG16" t="s">
        <v>43</v>
      </c>
      <c r="AH16" t="s">
        <v>43</v>
      </c>
      <c r="AI16" t="s">
        <v>43</v>
      </c>
      <c r="AJ16" t="s">
        <v>43</v>
      </c>
      <c r="AK16" t="s">
        <v>43</v>
      </c>
      <c r="AL16" t="s">
        <v>43</v>
      </c>
      <c r="AM16" t="s">
        <v>43</v>
      </c>
      <c r="AN16" t="str">
        <f>HYPERLINK("https://www.google.com/maps?q=11.05503559,79.06071472","Open Location")</f>
        <v>Open Location</v>
      </c>
    </row>
    <row r="17" spans="1:40" x14ac:dyDescent="0.3">
      <c r="A17" s="1">
        <v>46210.998148148145</v>
      </c>
      <c r="B17" t="s">
        <v>40</v>
      </c>
      <c r="C17" t="s">
        <v>41</v>
      </c>
      <c r="D17" s="1">
        <v>46211.001284722224</v>
      </c>
      <c r="E17" t="s">
        <v>42</v>
      </c>
      <c r="F17" t="s">
        <v>43</v>
      </c>
      <c r="G17" t="s">
        <v>43</v>
      </c>
      <c r="H17" t="s">
        <v>43</v>
      </c>
      <c r="I17" t="s">
        <v>43</v>
      </c>
      <c r="J17" t="s">
        <v>43</v>
      </c>
      <c r="K17" t="s">
        <v>43</v>
      </c>
      <c r="L17" t="s">
        <v>43</v>
      </c>
      <c r="M17" t="s">
        <v>43</v>
      </c>
      <c r="N17" t="s">
        <v>45</v>
      </c>
      <c r="O17" t="s">
        <v>43</v>
      </c>
      <c r="P17" t="s">
        <v>43</v>
      </c>
      <c r="Q17" t="s">
        <v>43</v>
      </c>
      <c r="R17" t="s">
        <v>43</v>
      </c>
      <c r="S17" t="s">
        <v>43</v>
      </c>
      <c r="T17" t="s">
        <v>43</v>
      </c>
      <c r="U17" t="s">
        <v>43</v>
      </c>
      <c r="V17" t="s">
        <v>43</v>
      </c>
      <c r="W17" t="s">
        <v>43</v>
      </c>
      <c r="X17" t="s">
        <v>43</v>
      </c>
      <c r="Y17" t="s">
        <v>43</v>
      </c>
      <c r="Z17" t="s">
        <v>43</v>
      </c>
      <c r="AA17" t="s">
        <v>43</v>
      </c>
      <c r="AB17" t="s">
        <v>43</v>
      </c>
      <c r="AC17" t="s">
        <v>43</v>
      </c>
      <c r="AD17" t="s">
        <v>43</v>
      </c>
      <c r="AE17" t="s">
        <v>43</v>
      </c>
      <c r="AF17" t="s">
        <v>43</v>
      </c>
      <c r="AG17" t="s">
        <v>43</v>
      </c>
      <c r="AH17" t="s">
        <v>43</v>
      </c>
      <c r="AI17" t="s">
        <v>43</v>
      </c>
      <c r="AJ17" t="s">
        <v>43</v>
      </c>
      <c r="AK17" t="s">
        <v>43</v>
      </c>
      <c r="AL17" t="s">
        <v>43</v>
      </c>
      <c r="AM17" t="s">
        <v>43</v>
      </c>
      <c r="AN17" t="s">
        <v>43</v>
      </c>
    </row>
    <row r="18" spans="1:40" x14ac:dyDescent="0.3">
      <c r="A18" s="1">
        <v>46210.998032407406</v>
      </c>
      <c r="B18" t="s">
        <v>40</v>
      </c>
      <c r="C18" t="s">
        <v>41</v>
      </c>
      <c r="D18" s="1">
        <v>46211.00099537037</v>
      </c>
      <c r="E18" t="s">
        <v>42</v>
      </c>
      <c r="F18" t="s">
        <v>43</v>
      </c>
      <c r="G18" t="s">
        <v>43</v>
      </c>
      <c r="H18" t="s">
        <v>43</v>
      </c>
      <c r="I18" t="s">
        <v>55</v>
      </c>
      <c r="J18" t="s">
        <v>43</v>
      </c>
      <c r="K18" t="s">
        <v>43</v>
      </c>
      <c r="L18" t="s">
        <v>43</v>
      </c>
      <c r="M18" t="s">
        <v>43</v>
      </c>
      <c r="N18" t="s">
        <v>45</v>
      </c>
      <c r="O18" t="s">
        <v>43</v>
      </c>
      <c r="P18" t="s">
        <v>43</v>
      </c>
      <c r="Q18" t="s">
        <v>43</v>
      </c>
      <c r="R18" t="s">
        <v>43</v>
      </c>
      <c r="S18" t="s">
        <v>43</v>
      </c>
      <c r="T18" t="s">
        <v>43</v>
      </c>
      <c r="U18" t="s">
        <v>43</v>
      </c>
      <c r="V18" t="s">
        <v>43</v>
      </c>
      <c r="W18" t="s">
        <v>43</v>
      </c>
      <c r="X18" t="s">
        <v>43</v>
      </c>
      <c r="Y18" t="s">
        <v>43</v>
      </c>
      <c r="Z18" t="s">
        <v>43</v>
      </c>
      <c r="AA18" t="s">
        <v>43</v>
      </c>
      <c r="AB18" t="s">
        <v>43</v>
      </c>
      <c r="AC18" t="s">
        <v>43</v>
      </c>
      <c r="AD18" t="s">
        <v>43</v>
      </c>
      <c r="AE18" t="s">
        <v>43</v>
      </c>
      <c r="AF18" t="s">
        <v>43</v>
      </c>
      <c r="AG18" t="s">
        <v>43</v>
      </c>
      <c r="AH18" t="s">
        <v>43</v>
      </c>
      <c r="AI18" t="s">
        <v>43</v>
      </c>
      <c r="AJ18" t="s">
        <v>43</v>
      </c>
      <c r="AK18" t="s">
        <v>43</v>
      </c>
      <c r="AL18" t="s">
        <v>43</v>
      </c>
      <c r="AM18" t="s">
        <v>43</v>
      </c>
      <c r="AN18" t="str">
        <f>HYPERLINK("https://www.google.com/maps?q=11.05503941,79.06071472","Open Location")</f>
        <v>Open Location</v>
      </c>
    </row>
    <row r="19" spans="1:40" x14ac:dyDescent="0.3">
      <c r="A19" s="1">
        <v>46210.997916666667</v>
      </c>
      <c r="B19" t="s">
        <v>40</v>
      </c>
      <c r="C19" t="s">
        <v>41</v>
      </c>
      <c r="D19" s="1">
        <v>46211.000925925924</v>
      </c>
      <c r="E19" t="s">
        <v>42</v>
      </c>
      <c r="F19" t="s">
        <v>43</v>
      </c>
      <c r="G19" t="s">
        <v>43</v>
      </c>
      <c r="H19" t="s">
        <v>43</v>
      </c>
      <c r="I19" t="s">
        <v>55</v>
      </c>
      <c r="J19" t="s">
        <v>43</v>
      </c>
      <c r="K19" t="s">
        <v>43</v>
      </c>
      <c r="L19" t="s">
        <v>43</v>
      </c>
      <c r="M19" t="s">
        <v>43</v>
      </c>
      <c r="N19" t="s">
        <v>45</v>
      </c>
      <c r="O19" t="s">
        <v>43</v>
      </c>
      <c r="P19" t="s">
        <v>43</v>
      </c>
      <c r="Q19" t="s">
        <v>43</v>
      </c>
      <c r="R19" t="s">
        <v>43</v>
      </c>
      <c r="S19" t="s">
        <v>43</v>
      </c>
      <c r="T19" t="s">
        <v>43</v>
      </c>
      <c r="U19" t="s">
        <v>43</v>
      </c>
      <c r="V19" t="s">
        <v>43</v>
      </c>
      <c r="W19" t="s">
        <v>43</v>
      </c>
      <c r="X19" t="s">
        <v>43</v>
      </c>
      <c r="Y19" t="s">
        <v>43</v>
      </c>
      <c r="Z19" t="s">
        <v>43</v>
      </c>
      <c r="AA19" t="s">
        <v>43</v>
      </c>
      <c r="AB19" t="s">
        <v>43</v>
      </c>
      <c r="AC19" t="s">
        <v>43</v>
      </c>
      <c r="AD19" t="s">
        <v>43</v>
      </c>
      <c r="AE19" t="s">
        <v>43</v>
      </c>
      <c r="AF19" t="s">
        <v>43</v>
      </c>
      <c r="AG19" t="s">
        <v>43</v>
      </c>
      <c r="AH19" t="s">
        <v>43</v>
      </c>
      <c r="AI19" t="s">
        <v>43</v>
      </c>
      <c r="AJ19" t="s">
        <v>43</v>
      </c>
      <c r="AK19" t="s">
        <v>43</v>
      </c>
      <c r="AL19" t="s">
        <v>43</v>
      </c>
      <c r="AM19" t="s">
        <v>43</v>
      </c>
      <c r="AN19" t="str">
        <f>HYPERLINK("https://www.google.com/maps?q=11.05503941,79.06071472","Open Location")</f>
        <v>Open Location</v>
      </c>
    </row>
    <row r="20" spans="1:40" x14ac:dyDescent="0.3">
      <c r="A20" s="1">
        <v>46210.997800925928</v>
      </c>
      <c r="B20" t="s">
        <v>40</v>
      </c>
      <c r="C20" t="s">
        <v>41</v>
      </c>
      <c r="D20" s="1">
        <v>46211.000914351855</v>
      </c>
      <c r="E20" t="s">
        <v>42</v>
      </c>
      <c r="F20" t="s">
        <v>43</v>
      </c>
      <c r="G20" t="s">
        <v>43</v>
      </c>
      <c r="H20" t="s">
        <v>43</v>
      </c>
      <c r="I20" t="s">
        <v>54</v>
      </c>
      <c r="J20" t="s">
        <v>43</v>
      </c>
      <c r="K20" t="s">
        <v>43</v>
      </c>
      <c r="L20" t="s">
        <v>43</v>
      </c>
      <c r="M20" t="s">
        <v>43</v>
      </c>
      <c r="N20" t="s">
        <v>45</v>
      </c>
      <c r="O20" t="s">
        <v>43</v>
      </c>
      <c r="P20" t="s">
        <v>43</v>
      </c>
      <c r="Q20" t="s">
        <v>43</v>
      </c>
      <c r="R20" t="s">
        <v>43</v>
      </c>
      <c r="S20" t="s">
        <v>43</v>
      </c>
      <c r="T20" t="s">
        <v>43</v>
      </c>
      <c r="U20" t="s">
        <v>43</v>
      </c>
      <c r="V20" t="s">
        <v>43</v>
      </c>
      <c r="W20" t="s">
        <v>43</v>
      </c>
      <c r="X20" t="s">
        <v>43</v>
      </c>
      <c r="Y20" t="s">
        <v>43</v>
      </c>
      <c r="Z20" t="s">
        <v>43</v>
      </c>
      <c r="AA20" t="s">
        <v>43</v>
      </c>
      <c r="AB20" t="s">
        <v>43</v>
      </c>
      <c r="AC20" t="s">
        <v>43</v>
      </c>
      <c r="AD20" t="s">
        <v>43</v>
      </c>
      <c r="AE20" t="s">
        <v>43</v>
      </c>
      <c r="AF20" t="s">
        <v>43</v>
      </c>
      <c r="AG20" t="s">
        <v>43</v>
      </c>
      <c r="AH20" t="s">
        <v>43</v>
      </c>
      <c r="AI20" t="s">
        <v>43</v>
      </c>
      <c r="AJ20" t="s">
        <v>43</v>
      </c>
      <c r="AK20" t="s">
        <v>43</v>
      </c>
      <c r="AL20" t="s">
        <v>43</v>
      </c>
      <c r="AM20" t="s">
        <v>43</v>
      </c>
      <c r="AN20" t="str">
        <f>HYPERLINK("https://www.google.com/maps?q=11.05503559,79.06071472","Open Location")</f>
        <v>Open Location</v>
      </c>
    </row>
    <row r="21" spans="1:40" x14ac:dyDescent="0.3">
      <c r="A21" s="1">
        <v>46210.997685185182</v>
      </c>
      <c r="B21" t="s">
        <v>40</v>
      </c>
      <c r="C21" t="s">
        <v>41</v>
      </c>
      <c r="D21" s="1">
        <v>46211.000405092593</v>
      </c>
      <c r="E21" t="s">
        <v>42</v>
      </c>
      <c r="F21" t="s">
        <v>43</v>
      </c>
      <c r="G21" t="s">
        <v>43</v>
      </c>
      <c r="H21" t="s">
        <v>43</v>
      </c>
      <c r="I21" t="s">
        <v>56</v>
      </c>
      <c r="J21" t="s">
        <v>43</v>
      </c>
      <c r="K21" t="s">
        <v>43</v>
      </c>
      <c r="L21" t="s">
        <v>43</v>
      </c>
      <c r="M21" t="s">
        <v>43</v>
      </c>
      <c r="N21" t="s">
        <v>45</v>
      </c>
      <c r="O21" t="s">
        <v>43</v>
      </c>
      <c r="P21" t="s">
        <v>43</v>
      </c>
      <c r="Q21" t="s">
        <v>43</v>
      </c>
      <c r="R21" t="s">
        <v>43</v>
      </c>
      <c r="S21" t="s">
        <v>43</v>
      </c>
      <c r="T21" t="s">
        <v>43</v>
      </c>
      <c r="U21" t="s">
        <v>43</v>
      </c>
      <c r="V21" t="s">
        <v>43</v>
      </c>
      <c r="W21" t="s">
        <v>43</v>
      </c>
      <c r="X21" t="s">
        <v>43</v>
      </c>
      <c r="Y21" t="s">
        <v>43</v>
      </c>
      <c r="Z21" t="s">
        <v>43</v>
      </c>
      <c r="AA21" t="s">
        <v>43</v>
      </c>
      <c r="AB21" t="s">
        <v>43</v>
      </c>
      <c r="AC21" t="s">
        <v>43</v>
      </c>
      <c r="AD21" t="s">
        <v>43</v>
      </c>
      <c r="AE21" t="s">
        <v>43</v>
      </c>
      <c r="AF21" t="s">
        <v>43</v>
      </c>
      <c r="AG21" t="s">
        <v>43</v>
      </c>
      <c r="AH21" t="s">
        <v>43</v>
      </c>
      <c r="AI21" t="s">
        <v>43</v>
      </c>
      <c r="AJ21" t="s">
        <v>43</v>
      </c>
      <c r="AK21" t="s">
        <v>43</v>
      </c>
      <c r="AL21" t="s">
        <v>43</v>
      </c>
      <c r="AM21" t="s">
        <v>43</v>
      </c>
      <c r="AN21" t="str">
        <f>HYPERLINK("https://www.google.com/maps?q=11.05503464,79.06071472","Open Location")</f>
        <v>Open Location</v>
      </c>
    </row>
    <row r="22" spans="1:40" x14ac:dyDescent="0.3">
      <c r="A22" s="1">
        <v>46210.997569444444</v>
      </c>
      <c r="B22" t="s">
        <v>40</v>
      </c>
      <c r="C22" t="s">
        <v>41</v>
      </c>
      <c r="D22" s="1">
        <v>46211.000821759262</v>
      </c>
      <c r="E22" t="s">
        <v>42</v>
      </c>
      <c r="F22" t="s">
        <v>43</v>
      </c>
      <c r="G22" t="s">
        <v>43</v>
      </c>
      <c r="H22" t="s">
        <v>43</v>
      </c>
      <c r="I22" t="s">
        <v>43</v>
      </c>
      <c r="J22" t="s">
        <v>43</v>
      </c>
      <c r="K22" t="s">
        <v>43</v>
      </c>
      <c r="L22" t="s">
        <v>43</v>
      </c>
      <c r="M22" t="s">
        <v>43</v>
      </c>
      <c r="N22" t="s">
        <v>45</v>
      </c>
      <c r="O22" t="s">
        <v>43</v>
      </c>
      <c r="P22" t="s">
        <v>43</v>
      </c>
      <c r="Q22" t="s">
        <v>43</v>
      </c>
      <c r="R22" t="s">
        <v>43</v>
      </c>
      <c r="S22" t="s">
        <v>43</v>
      </c>
      <c r="T22" t="s">
        <v>43</v>
      </c>
      <c r="U22" t="s">
        <v>43</v>
      </c>
      <c r="V22" t="s">
        <v>43</v>
      </c>
      <c r="W22" t="s">
        <v>43</v>
      </c>
      <c r="X22" t="s">
        <v>43</v>
      </c>
      <c r="Y22" t="s">
        <v>43</v>
      </c>
      <c r="Z22" t="s">
        <v>43</v>
      </c>
      <c r="AA22" t="s">
        <v>43</v>
      </c>
      <c r="AB22" t="s">
        <v>43</v>
      </c>
      <c r="AC22" t="s">
        <v>43</v>
      </c>
      <c r="AD22" t="s">
        <v>43</v>
      </c>
      <c r="AE22" t="s">
        <v>43</v>
      </c>
      <c r="AF22" t="s">
        <v>43</v>
      </c>
      <c r="AG22" t="s">
        <v>43</v>
      </c>
      <c r="AH22" t="s">
        <v>43</v>
      </c>
      <c r="AI22" t="s">
        <v>43</v>
      </c>
      <c r="AJ22" t="s">
        <v>43</v>
      </c>
      <c r="AK22" t="s">
        <v>43</v>
      </c>
      <c r="AL22" t="s">
        <v>43</v>
      </c>
      <c r="AM22" t="s">
        <v>43</v>
      </c>
      <c r="AN22" t="s">
        <v>43</v>
      </c>
    </row>
    <row r="23" spans="1:40" x14ac:dyDescent="0.3">
      <c r="A23" s="1">
        <v>46210.997453703705</v>
      </c>
      <c r="B23" t="s">
        <v>40</v>
      </c>
      <c r="C23" t="s">
        <v>41</v>
      </c>
      <c r="D23" s="1">
        <v>46211.000173611108</v>
      </c>
      <c r="E23" t="s">
        <v>42</v>
      </c>
      <c r="F23" t="s">
        <v>43</v>
      </c>
      <c r="G23" t="s">
        <v>43</v>
      </c>
      <c r="H23" t="s">
        <v>43</v>
      </c>
      <c r="I23" t="s">
        <v>57</v>
      </c>
      <c r="J23" t="s">
        <v>43</v>
      </c>
      <c r="K23" t="s">
        <v>43</v>
      </c>
      <c r="L23" t="s">
        <v>43</v>
      </c>
      <c r="M23" t="s">
        <v>43</v>
      </c>
      <c r="N23" t="s">
        <v>45</v>
      </c>
      <c r="O23" t="s">
        <v>43</v>
      </c>
      <c r="P23" t="s">
        <v>43</v>
      </c>
      <c r="Q23" t="s">
        <v>43</v>
      </c>
      <c r="R23" t="s">
        <v>43</v>
      </c>
      <c r="S23" t="s">
        <v>43</v>
      </c>
      <c r="T23" t="s">
        <v>43</v>
      </c>
      <c r="U23" t="s">
        <v>43</v>
      </c>
      <c r="V23" t="s">
        <v>43</v>
      </c>
      <c r="W23" t="s">
        <v>43</v>
      </c>
      <c r="X23" t="s">
        <v>43</v>
      </c>
      <c r="Y23" t="s">
        <v>43</v>
      </c>
      <c r="Z23" t="s">
        <v>43</v>
      </c>
      <c r="AA23" t="s">
        <v>43</v>
      </c>
      <c r="AB23" t="s">
        <v>43</v>
      </c>
      <c r="AC23" t="s">
        <v>43</v>
      </c>
      <c r="AD23" t="s">
        <v>43</v>
      </c>
      <c r="AE23" t="s">
        <v>43</v>
      </c>
      <c r="AF23" t="s">
        <v>43</v>
      </c>
      <c r="AG23" t="s">
        <v>43</v>
      </c>
      <c r="AH23" t="s">
        <v>43</v>
      </c>
      <c r="AI23" t="s">
        <v>43</v>
      </c>
      <c r="AJ23" t="s">
        <v>43</v>
      </c>
      <c r="AK23" t="s">
        <v>43</v>
      </c>
      <c r="AL23" t="s">
        <v>43</v>
      </c>
      <c r="AM23" t="s">
        <v>43</v>
      </c>
      <c r="AN23" t="str">
        <f>HYPERLINK("https://www.google.com/maps?q=11.05503082,79.06071472","Open Location")</f>
        <v>Open Location</v>
      </c>
    </row>
    <row r="24" spans="1:40" x14ac:dyDescent="0.3">
      <c r="A24" s="1">
        <v>46210.997337962966</v>
      </c>
      <c r="B24" t="s">
        <v>40</v>
      </c>
      <c r="C24" t="s">
        <v>41</v>
      </c>
      <c r="D24" s="1">
        <v>46211.000381944446</v>
      </c>
      <c r="E24" t="s">
        <v>42</v>
      </c>
      <c r="F24" t="s">
        <v>43</v>
      </c>
      <c r="G24" t="s">
        <v>43</v>
      </c>
      <c r="H24" t="s">
        <v>43</v>
      </c>
      <c r="I24" t="s">
        <v>57</v>
      </c>
      <c r="J24" t="s">
        <v>43</v>
      </c>
      <c r="K24" t="s">
        <v>43</v>
      </c>
      <c r="L24" t="s">
        <v>43</v>
      </c>
      <c r="M24" t="s">
        <v>43</v>
      </c>
      <c r="N24" t="s">
        <v>45</v>
      </c>
      <c r="O24" t="s">
        <v>43</v>
      </c>
      <c r="P24" t="s">
        <v>43</v>
      </c>
      <c r="Q24" t="s">
        <v>43</v>
      </c>
      <c r="R24" t="s">
        <v>43</v>
      </c>
      <c r="S24" t="s">
        <v>43</v>
      </c>
      <c r="T24" t="s">
        <v>43</v>
      </c>
      <c r="U24" t="s">
        <v>43</v>
      </c>
      <c r="V24" t="s">
        <v>43</v>
      </c>
      <c r="W24" t="s">
        <v>43</v>
      </c>
      <c r="X24" t="s">
        <v>43</v>
      </c>
      <c r="Y24" t="s">
        <v>43</v>
      </c>
      <c r="Z24" t="s">
        <v>43</v>
      </c>
      <c r="AA24" t="s">
        <v>43</v>
      </c>
      <c r="AB24" t="s">
        <v>43</v>
      </c>
      <c r="AC24" t="s">
        <v>43</v>
      </c>
      <c r="AD24" t="s">
        <v>43</v>
      </c>
      <c r="AE24" t="s">
        <v>43</v>
      </c>
      <c r="AF24" t="s">
        <v>43</v>
      </c>
      <c r="AG24" t="s">
        <v>43</v>
      </c>
      <c r="AH24" t="s">
        <v>43</v>
      </c>
      <c r="AI24" t="s">
        <v>43</v>
      </c>
      <c r="AJ24" t="s">
        <v>43</v>
      </c>
      <c r="AK24" t="s">
        <v>43</v>
      </c>
      <c r="AL24" t="s">
        <v>43</v>
      </c>
      <c r="AM24" t="s">
        <v>43</v>
      </c>
      <c r="AN24" t="str">
        <f>HYPERLINK("https://www.google.com/maps?q=11.05503082,79.06071472","Open Location")</f>
        <v>Open Location</v>
      </c>
    </row>
    <row r="25" spans="1:40" x14ac:dyDescent="0.3">
      <c r="A25" s="1">
        <v>46210.99722222222</v>
      </c>
      <c r="B25" t="s">
        <v>40</v>
      </c>
      <c r="C25" t="s">
        <v>41</v>
      </c>
      <c r="D25" s="1">
        <v>46210.999930555554</v>
      </c>
      <c r="E25" t="s">
        <v>42</v>
      </c>
      <c r="F25" t="s">
        <v>43</v>
      </c>
      <c r="G25" t="s">
        <v>43</v>
      </c>
      <c r="H25" t="s">
        <v>43</v>
      </c>
      <c r="I25" t="s">
        <v>57</v>
      </c>
      <c r="J25" t="s">
        <v>43</v>
      </c>
      <c r="K25" t="s">
        <v>43</v>
      </c>
      <c r="L25" t="s">
        <v>43</v>
      </c>
      <c r="M25" t="s">
        <v>43</v>
      </c>
      <c r="N25" t="s">
        <v>45</v>
      </c>
      <c r="O25" t="s">
        <v>43</v>
      </c>
      <c r="P25" t="s">
        <v>43</v>
      </c>
      <c r="Q25" t="s">
        <v>43</v>
      </c>
      <c r="R25" t="s">
        <v>43</v>
      </c>
      <c r="S25" t="s">
        <v>43</v>
      </c>
      <c r="T25" t="s">
        <v>43</v>
      </c>
      <c r="U25" t="s">
        <v>43</v>
      </c>
      <c r="V25" t="s">
        <v>43</v>
      </c>
      <c r="W25" t="s">
        <v>43</v>
      </c>
      <c r="X25" t="s">
        <v>43</v>
      </c>
      <c r="Y25" t="s">
        <v>43</v>
      </c>
      <c r="Z25" t="s">
        <v>43</v>
      </c>
      <c r="AA25" t="s">
        <v>43</v>
      </c>
      <c r="AB25" t="s">
        <v>43</v>
      </c>
      <c r="AC25" t="s">
        <v>43</v>
      </c>
      <c r="AD25" t="s">
        <v>43</v>
      </c>
      <c r="AE25" t="s">
        <v>43</v>
      </c>
      <c r="AF25" t="s">
        <v>43</v>
      </c>
      <c r="AG25" t="s">
        <v>43</v>
      </c>
      <c r="AH25" t="s">
        <v>43</v>
      </c>
      <c r="AI25" t="s">
        <v>43</v>
      </c>
      <c r="AJ25" t="s">
        <v>43</v>
      </c>
      <c r="AK25" t="s">
        <v>43</v>
      </c>
      <c r="AL25" t="s">
        <v>43</v>
      </c>
      <c r="AM25" t="s">
        <v>43</v>
      </c>
      <c r="AN25" t="str">
        <f>HYPERLINK("https://www.google.com/maps?q=11.05503082,79.06071472","Open Location")</f>
        <v>Open Location</v>
      </c>
    </row>
    <row r="26" spans="1:40" x14ac:dyDescent="0.3">
      <c r="A26" s="1">
        <v>46210.997106481482</v>
      </c>
      <c r="B26" t="s">
        <v>40</v>
      </c>
      <c r="C26" t="s">
        <v>41</v>
      </c>
      <c r="D26" s="1">
        <v>46210.999930555554</v>
      </c>
      <c r="E26" t="s">
        <v>42</v>
      </c>
      <c r="F26" t="s">
        <v>43</v>
      </c>
      <c r="G26" t="s">
        <v>43</v>
      </c>
      <c r="H26" t="s">
        <v>43</v>
      </c>
      <c r="I26" t="s">
        <v>58</v>
      </c>
      <c r="J26" t="s">
        <v>43</v>
      </c>
      <c r="K26" t="s">
        <v>43</v>
      </c>
      <c r="L26" t="s">
        <v>43</v>
      </c>
      <c r="M26" t="s">
        <v>43</v>
      </c>
      <c r="N26" t="s">
        <v>45</v>
      </c>
      <c r="O26" t="s">
        <v>43</v>
      </c>
      <c r="P26" t="s">
        <v>43</v>
      </c>
      <c r="Q26" t="s">
        <v>43</v>
      </c>
      <c r="R26" t="s">
        <v>43</v>
      </c>
      <c r="S26" t="s">
        <v>43</v>
      </c>
      <c r="T26" t="s">
        <v>43</v>
      </c>
      <c r="U26" t="s">
        <v>43</v>
      </c>
      <c r="V26" t="s">
        <v>43</v>
      </c>
      <c r="W26" t="s">
        <v>43</v>
      </c>
      <c r="X26" t="s">
        <v>43</v>
      </c>
      <c r="Y26" t="s">
        <v>43</v>
      </c>
      <c r="Z26" t="s">
        <v>43</v>
      </c>
      <c r="AA26" t="s">
        <v>43</v>
      </c>
      <c r="AB26" t="s">
        <v>43</v>
      </c>
      <c r="AC26" t="s">
        <v>43</v>
      </c>
      <c r="AD26" t="s">
        <v>43</v>
      </c>
      <c r="AE26" t="s">
        <v>43</v>
      </c>
      <c r="AF26" t="s">
        <v>43</v>
      </c>
      <c r="AG26" t="s">
        <v>43</v>
      </c>
      <c r="AH26" t="s">
        <v>43</v>
      </c>
      <c r="AI26" t="s">
        <v>43</v>
      </c>
      <c r="AJ26" t="s">
        <v>43</v>
      </c>
      <c r="AK26" t="s">
        <v>43</v>
      </c>
      <c r="AL26" t="s">
        <v>43</v>
      </c>
      <c r="AM26" t="s">
        <v>43</v>
      </c>
      <c r="AN26" t="str">
        <f>HYPERLINK("https://www.google.com/maps?q=11.05502892,79.06071472","Open Location")</f>
        <v>Open Location</v>
      </c>
    </row>
    <row r="27" spans="1:40" x14ac:dyDescent="0.3">
      <c r="A27" s="1">
        <v>46210.996990740743</v>
      </c>
      <c r="B27" t="s">
        <v>40</v>
      </c>
      <c r="C27" t="s">
        <v>41</v>
      </c>
      <c r="D27" s="1">
        <v>46210.999930555554</v>
      </c>
      <c r="E27" t="s">
        <v>42</v>
      </c>
      <c r="F27" t="s">
        <v>43</v>
      </c>
      <c r="G27" t="s">
        <v>43</v>
      </c>
      <c r="H27" t="s">
        <v>43</v>
      </c>
      <c r="I27" t="s">
        <v>59</v>
      </c>
      <c r="J27" t="s">
        <v>43</v>
      </c>
      <c r="K27" t="s">
        <v>43</v>
      </c>
      <c r="L27" t="s">
        <v>43</v>
      </c>
      <c r="M27" t="s">
        <v>43</v>
      </c>
      <c r="N27" t="s">
        <v>45</v>
      </c>
      <c r="O27" t="s">
        <v>43</v>
      </c>
      <c r="P27" t="s">
        <v>43</v>
      </c>
      <c r="Q27" t="s">
        <v>43</v>
      </c>
      <c r="R27" t="s">
        <v>43</v>
      </c>
      <c r="S27" t="s">
        <v>43</v>
      </c>
      <c r="T27" t="s">
        <v>43</v>
      </c>
      <c r="U27" t="s">
        <v>43</v>
      </c>
      <c r="V27" t="s">
        <v>43</v>
      </c>
      <c r="W27" t="s">
        <v>43</v>
      </c>
      <c r="X27" t="s">
        <v>43</v>
      </c>
      <c r="Y27" t="s">
        <v>43</v>
      </c>
      <c r="Z27" t="s">
        <v>43</v>
      </c>
      <c r="AA27" t="s">
        <v>43</v>
      </c>
      <c r="AB27" t="s">
        <v>43</v>
      </c>
      <c r="AC27" t="s">
        <v>43</v>
      </c>
      <c r="AD27" t="s">
        <v>43</v>
      </c>
      <c r="AE27" t="s">
        <v>43</v>
      </c>
      <c r="AF27" t="s">
        <v>43</v>
      </c>
      <c r="AG27" t="s">
        <v>43</v>
      </c>
      <c r="AH27" t="s">
        <v>43</v>
      </c>
      <c r="AI27" t="s">
        <v>43</v>
      </c>
      <c r="AJ27" t="s">
        <v>43</v>
      </c>
      <c r="AK27" t="s">
        <v>43</v>
      </c>
      <c r="AL27" t="s">
        <v>43</v>
      </c>
      <c r="AM27" t="s">
        <v>43</v>
      </c>
      <c r="AN27" t="str">
        <f>HYPERLINK("https://www.google.com/maps?q=11.05502892,79.06072235","Open Location")</f>
        <v>Open Location</v>
      </c>
    </row>
    <row r="28" spans="1:40" x14ac:dyDescent="0.3">
      <c r="A28" s="1">
        <v>46210.996874999997</v>
      </c>
      <c r="B28" t="s">
        <v>40</v>
      </c>
      <c r="C28" t="s">
        <v>41</v>
      </c>
      <c r="D28" s="1">
        <v>46210.999930555554</v>
      </c>
      <c r="E28" t="s">
        <v>42</v>
      </c>
      <c r="F28" t="s">
        <v>43</v>
      </c>
      <c r="G28" t="s">
        <v>43</v>
      </c>
      <c r="H28" t="s">
        <v>43</v>
      </c>
      <c r="I28" t="s">
        <v>43</v>
      </c>
      <c r="J28" t="s">
        <v>43</v>
      </c>
      <c r="K28" t="s">
        <v>43</v>
      </c>
      <c r="L28" t="s">
        <v>43</v>
      </c>
      <c r="M28" t="s">
        <v>43</v>
      </c>
      <c r="N28" t="s">
        <v>45</v>
      </c>
      <c r="O28" t="s">
        <v>43</v>
      </c>
      <c r="P28" t="s">
        <v>43</v>
      </c>
      <c r="Q28" t="s">
        <v>43</v>
      </c>
      <c r="R28" t="s">
        <v>43</v>
      </c>
      <c r="S28" t="s">
        <v>43</v>
      </c>
      <c r="T28" t="s">
        <v>43</v>
      </c>
      <c r="U28" t="s">
        <v>43</v>
      </c>
      <c r="V28" t="s">
        <v>43</v>
      </c>
      <c r="W28" t="s">
        <v>43</v>
      </c>
      <c r="X28" t="s">
        <v>43</v>
      </c>
      <c r="Y28" t="s">
        <v>43</v>
      </c>
      <c r="Z28" t="s">
        <v>43</v>
      </c>
      <c r="AA28" t="s">
        <v>43</v>
      </c>
      <c r="AB28" t="s">
        <v>43</v>
      </c>
      <c r="AC28" t="s">
        <v>43</v>
      </c>
      <c r="AD28" t="s">
        <v>43</v>
      </c>
      <c r="AE28" t="s">
        <v>43</v>
      </c>
      <c r="AF28" t="s">
        <v>43</v>
      </c>
      <c r="AG28" t="s">
        <v>43</v>
      </c>
      <c r="AH28" t="s">
        <v>43</v>
      </c>
      <c r="AI28" t="s">
        <v>43</v>
      </c>
      <c r="AJ28" t="s">
        <v>43</v>
      </c>
      <c r="AK28" t="s">
        <v>43</v>
      </c>
      <c r="AL28" t="s">
        <v>43</v>
      </c>
      <c r="AM28" t="s">
        <v>43</v>
      </c>
      <c r="AN28" t="s">
        <v>43</v>
      </c>
    </row>
    <row r="29" spans="1:40" x14ac:dyDescent="0.3">
      <c r="A29" s="1">
        <v>46210.996759259258</v>
      </c>
      <c r="B29" t="s">
        <v>40</v>
      </c>
      <c r="C29" t="s">
        <v>41</v>
      </c>
      <c r="D29" s="1">
        <v>46210.999456018515</v>
      </c>
      <c r="E29" t="s">
        <v>42</v>
      </c>
      <c r="F29" t="s">
        <v>43</v>
      </c>
      <c r="G29" t="s">
        <v>43</v>
      </c>
      <c r="H29" t="s">
        <v>43</v>
      </c>
      <c r="I29" t="s">
        <v>60</v>
      </c>
      <c r="J29" t="s">
        <v>43</v>
      </c>
      <c r="K29" t="s">
        <v>43</v>
      </c>
      <c r="L29" t="s">
        <v>43</v>
      </c>
      <c r="M29" t="s">
        <v>43</v>
      </c>
      <c r="N29" t="s">
        <v>45</v>
      </c>
      <c r="O29" t="s">
        <v>43</v>
      </c>
      <c r="P29" t="s">
        <v>43</v>
      </c>
      <c r="Q29" t="s">
        <v>43</v>
      </c>
      <c r="R29" t="s">
        <v>43</v>
      </c>
      <c r="S29" t="s">
        <v>43</v>
      </c>
      <c r="T29" t="s">
        <v>43</v>
      </c>
      <c r="U29" t="s">
        <v>43</v>
      </c>
      <c r="V29" t="s">
        <v>43</v>
      </c>
      <c r="W29" t="s">
        <v>43</v>
      </c>
      <c r="X29" t="s">
        <v>43</v>
      </c>
      <c r="Y29" t="s">
        <v>43</v>
      </c>
      <c r="Z29" t="s">
        <v>43</v>
      </c>
      <c r="AA29" t="s">
        <v>43</v>
      </c>
      <c r="AB29" t="s">
        <v>43</v>
      </c>
      <c r="AC29" t="s">
        <v>43</v>
      </c>
      <c r="AD29" t="s">
        <v>43</v>
      </c>
      <c r="AE29" t="s">
        <v>43</v>
      </c>
      <c r="AF29" t="s">
        <v>43</v>
      </c>
      <c r="AG29" t="s">
        <v>43</v>
      </c>
      <c r="AH29" t="s">
        <v>43</v>
      </c>
      <c r="AI29" t="s">
        <v>43</v>
      </c>
      <c r="AJ29" t="s">
        <v>43</v>
      </c>
      <c r="AK29" t="s">
        <v>43</v>
      </c>
      <c r="AL29" t="s">
        <v>43</v>
      </c>
      <c r="AM29" t="s">
        <v>43</v>
      </c>
      <c r="AN29" t="str">
        <f>HYPERLINK("https://www.google.com/maps?q=11.05503178,79.06072235","Open Location")</f>
        <v>Open Location</v>
      </c>
    </row>
    <row r="30" spans="1:40" x14ac:dyDescent="0.3">
      <c r="A30" s="1">
        <v>46210.99664351852</v>
      </c>
      <c r="B30" t="s">
        <v>40</v>
      </c>
      <c r="C30" t="s">
        <v>41</v>
      </c>
      <c r="D30" s="1">
        <v>46210.999467592592</v>
      </c>
      <c r="E30" t="s">
        <v>42</v>
      </c>
      <c r="F30" t="s">
        <v>43</v>
      </c>
      <c r="G30" t="s">
        <v>43</v>
      </c>
      <c r="H30" t="s">
        <v>43</v>
      </c>
      <c r="I30" t="s">
        <v>60</v>
      </c>
      <c r="J30" t="s">
        <v>43</v>
      </c>
      <c r="K30" t="s">
        <v>43</v>
      </c>
      <c r="L30" t="s">
        <v>43</v>
      </c>
      <c r="M30" t="s">
        <v>43</v>
      </c>
      <c r="N30" t="s">
        <v>45</v>
      </c>
      <c r="O30" t="s">
        <v>43</v>
      </c>
      <c r="P30" t="s">
        <v>43</v>
      </c>
      <c r="Q30" t="s">
        <v>43</v>
      </c>
      <c r="R30" t="s">
        <v>43</v>
      </c>
      <c r="S30" t="s">
        <v>43</v>
      </c>
      <c r="T30" t="s">
        <v>43</v>
      </c>
      <c r="U30" t="s">
        <v>43</v>
      </c>
      <c r="V30" t="s">
        <v>43</v>
      </c>
      <c r="W30" t="s">
        <v>43</v>
      </c>
      <c r="X30" t="s">
        <v>43</v>
      </c>
      <c r="Y30" t="s">
        <v>43</v>
      </c>
      <c r="Z30" t="s">
        <v>43</v>
      </c>
      <c r="AA30" t="s">
        <v>43</v>
      </c>
      <c r="AB30" t="s">
        <v>43</v>
      </c>
      <c r="AC30" t="s">
        <v>43</v>
      </c>
      <c r="AD30" t="s">
        <v>43</v>
      </c>
      <c r="AE30" t="s">
        <v>43</v>
      </c>
      <c r="AF30" t="s">
        <v>43</v>
      </c>
      <c r="AG30" t="s">
        <v>43</v>
      </c>
      <c r="AH30" t="s">
        <v>43</v>
      </c>
      <c r="AI30" t="s">
        <v>43</v>
      </c>
      <c r="AJ30" t="s">
        <v>43</v>
      </c>
      <c r="AK30" t="s">
        <v>43</v>
      </c>
      <c r="AL30" t="s">
        <v>43</v>
      </c>
      <c r="AM30" t="s">
        <v>43</v>
      </c>
      <c r="AN30" t="str">
        <f>HYPERLINK("https://www.google.com/maps?q=11.05503178,79.06072235","Open Location")</f>
        <v>Open Location</v>
      </c>
    </row>
    <row r="31" spans="1:40" x14ac:dyDescent="0.3">
      <c r="A31" s="1">
        <v>46210.996527777781</v>
      </c>
      <c r="B31" t="s">
        <v>40</v>
      </c>
      <c r="C31" t="s">
        <v>41</v>
      </c>
      <c r="D31" s="1">
        <v>46210.999328703707</v>
      </c>
      <c r="E31" t="s">
        <v>42</v>
      </c>
      <c r="F31" t="s">
        <v>43</v>
      </c>
      <c r="G31" t="s">
        <v>43</v>
      </c>
      <c r="H31" t="s">
        <v>43</v>
      </c>
      <c r="I31" t="s">
        <v>61</v>
      </c>
      <c r="J31" t="s">
        <v>43</v>
      </c>
      <c r="K31" t="s">
        <v>43</v>
      </c>
      <c r="L31" t="s">
        <v>43</v>
      </c>
      <c r="M31" t="s">
        <v>43</v>
      </c>
      <c r="N31" t="s">
        <v>45</v>
      </c>
      <c r="O31" t="s">
        <v>43</v>
      </c>
      <c r="P31" t="s">
        <v>43</v>
      </c>
      <c r="Q31" t="s">
        <v>43</v>
      </c>
      <c r="R31" t="s">
        <v>43</v>
      </c>
      <c r="S31" t="s">
        <v>43</v>
      </c>
      <c r="T31" t="s">
        <v>43</v>
      </c>
      <c r="U31" t="s">
        <v>43</v>
      </c>
      <c r="V31" t="s">
        <v>43</v>
      </c>
      <c r="W31" t="s">
        <v>43</v>
      </c>
      <c r="X31" t="s">
        <v>43</v>
      </c>
      <c r="Y31" t="s">
        <v>43</v>
      </c>
      <c r="Z31" t="s">
        <v>43</v>
      </c>
      <c r="AA31" t="s">
        <v>43</v>
      </c>
      <c r="AB31" t="s">
        <v>43</v>
      </c>
      <c r="AC31" t="s">
        <v>43</v>
      </c>
      <c r="AD31" t="s">
        <v>43</v>
      </c>
      <c r="AE31" t="s">
        <v>43</v>
      </c>
      <c r="AF31" t="s">
        <v>43</v>
      </c>
      <c r="AG31" t="s">
        <v>43</v>
      </c>
      <c r="AH31" t="s">
        <v>43</v>
      </c>
      <c r="AI31" t="s">
        <v>43</v>
      </c>
      <c r="AJ31" t="s">
        <v>43</v>
      </c>
      <c r="AK31" t="s">
        <v>43</v>
      </c>
      <c r="AL31" t="s">
        <v>43</v>
      </c>
      <c r="AM31" t="s">
        <v>43</v>
      </c>
      <c r="AN31" t="str">
        <f>HYPERLINK("https://www.google.com/maps?q=11.05503178,79.06071472","Open Location")</f>
        <v>Open Location</v>
      </c>
    </row>
    <row r="32" spans="1:40" x14ac:dyDescent="0.3">
      <c r="A32" s="1">
        <v>46210.996412037035</v>
      </c>
      <c r="B32" t="s">
        <v>40</v>
      </c>
      <c r="C32" t="s">
        <v>41</v>
      </c>
      <c r="D32" s="1">
        <v>46210.999340277776</v>
      </c>
      <c r="E32" t="s">
        <v>42</v>
      </c>
      <c r="F32" t="s">
        <v>43</v>
      </c>
      <c r="G32" t="s">
        <v>43</v>
      </c>
      <c r="H32" t="s">
        <v>43</v>
      </c>
      <c r="I32" t="s">
        <v>62</v>
      </c>
      <c r="J32" t="s">
        <v>43</v>
      </c>
      <c r="K32" t="s">
        <v>43</v>
      </c>
      <c r="L32" t="s">
        <v>43</v>
      </c>
      <c r="M32" t="s">
        <v>43</v>
      </c>
      <c r="N32" t="s">
        <v>45</v>
      </c>
      <c r="O32" t="s">
        <v>43</v>
      </c>
      <c r="P32" t="s">
        <v>43</v>
      </c>
      <c r="Q32" t="s">
        <v>43</v>
      </c>
      <c r="R32" t="s">
        <v>43</v>
      </c>
      <c r="S32" t="s">
        <v>43</v>
      </c>
      <c r="T32" t="s">
        <v>43</v>
      </c>
      <c r="U32" t="s">
        <v>43</v>
      </c>
      <c r="V32" t="s">
        <v>43</v>
      </c>
      <c r="W32" t="s">
        <v>43</v>
      </c>
      <c r="X32" t="s">
        <v>43</v>
      </c>
      <c r="Y32" t="s">
        <v>43</v>
      </c>
      <c r="Z32" t="s">
        <v>43</v>
      </c>
      <c r="AA32" t="s">
        <v>43</v>
      </c>
      <c r="AB32" t="s">
        <v>43</v>
      </c>
      <c r="AC32" t="s">
        <v>43</v>
      </c>
      <c r="AD32" t="s">
        <v>43</v>
      </c>
      <c r="AE32" t="s">
        <v>43</v>
      </c>
      <c r="AF32" t="s">
        <v>43</v>
      </c>
      <c r="AG32" t="s">
        <v>43</v>
      </c>
      <c r="AH32" t="s">
        <v>43</v>
      </c>
      <c r="AI32" t="s">
        <v>43</v>
      </c>
      <c r="AJ32" t="s">
        <v>43</v>
      </c>
      <c r="AK32" t="s">
        <v>43</v>
      </c>
      <c r="AL32" t="s">
        <v>43</v>
      </c>
      <c r="AM32" t="s">
        <v>43</v>
      </c>
      <c r="AN32" t="str">
        <f>HYPERLINK("https://www.google.com/maps?q=11.05502796,79.06071472","Open Location")</f>
        <v>Open Location</v>
      </c>
    </row>
    <row r="33" spans="1:40" x14ac:dyDescent="0.3">
      <c r="A33" s="1">
        <v>46210.996296296296</v>
      </c>
      <c r="B33" t="s">
        <v>40</v>
      </c>
      <c r="C33" t="s">
        <v>41</v>
      </c>
      <c r="D33" s="1">
        <v>46210.999085648145</v>
      </c>
      <c r="E33" t="s">
        <v>42</v>
      </c>
      <c r="F33" t="s">
        <v>43</v>
      </c>
      <c r="G33" t="s">
        <v>43</v>
      </c>
      <c r="H33" t="s">
        <v>43</v>
      </c>
      <c r="I33" t="s">
        <v>63</v>
      </c>
      <c r="J33" t="s">
        <v>43</v>
      </c>
      <c r="K33" t="s">
        <v>43</v>
      </c>
      <c r="L33" t="s">
        <v>43</v>
      </c>
      <c r="M33" t="s">
        <v>43</v>
      </c>
      <c r="N33" t="s">
        <v>45</v>
      </c>
      <c r="O33" t="s">
        <v>43</v>
      </c>
      <c r="P33" t="s">
        <v>43</v>
      </c>
      <c r="Q33" t="s">
        <v>43</v>
      </c>
      <c r="R33" t="s">
        <v>43</v>
      </c>
      <c r="S33" t="s">
        <v>43</v>
      </c>
      <c r="T33" t="s">
        <v>43</v>
      </c>
      <c r="U33" t="s">
        <v>43</v>
      </c>
      <c r="V33" t="s">
        <v>43</v>
      </c>
      <c r="W33" t="s">
        <v>43</v>
      </c>
      <c r="X33" t="s">
        <v>43</v>
      </c>
      <c r="Y33" t="s">
        <v>43</v>
      </c>
      <c r="Z33" t="s">
        <v>43</v>
      </c>
      <c r="AA33" t="s">
        <v>43</v>
      </c>
      <c r="AB33" t="s">
        <v>43</v>
      </c>
      <c r="AC33" t="s">
        <v>43</v>
      </c>
      <c r="AD33" t="s">
        <v>43</v>
      </c>
      <c r="AE33" t="s">
        <v>43</v>
      </c>
      <c r="AF33" t="s">
        <v>43</v>
      </c>
      <c r="AG33" t="s">
        <v>43</v>
      </c>
      <c r="AH33" t="s">
        <v>43</v>
      </c>
      <c r="AI33" t="s">
        <v>43</v>
      </c>
      <c r="AJ33" t="s">
        <v>43</v>
      </c>
      <c r="AK33" t="s">
        <v>43</v>
      </c>
      <c r="AL33" t="s">
        <v>43</v>
      </c>
      <c r="AM33" t="s">
        <v>43</v>
      </c>
      <c r="AN33" t="str">
        <f>HYPERLINK("https://www.google.com/maps?q=11.05502987,79.06072235","Open Location")</f>
        <v>Open Location</v>
      </c>
    </row>
    <row r="34" spans="1:40" x14ac:dyDescent="0.3">
      <c r="A34" s="1">
        <v>46210.996180555558</v>
      </c>
      <c r="B34" t="s">
        <v>40</v>
      </c>
      <c r="C34" t="s">
        <v>41</v>
      </c>
      <c r="D34" s="1">
        <v>46210.999166666668</v>
      </c>
      <c r="E34" t="s">
        <v>42</v>
      </c>
      <c r="F34" t="s">
        <v>43</v>
      </c>
      <c r="G34" t="s">
        <v>43</v>
      </c>
      <c r="H34" t="s">
        <v>43</v>
      </c>
      <c r="I34" t="s">
        <v>43</v>
      </c>
      <c r="J34" t="s">
        <v>43</v>
      </c>
      <c r="K34" t="s">
        <v>43</v>
      </c>
      <c r="L34" t="s">
        <v>43</v>
      </c>
      <c r="M34" t="s">
        <v>43</v>
      </c>
      <c r="N34" t="s">
        <v>45</v>
      </c>
      <c r="O34" t="s">
        <v>43</v>
      </c>
      <c r="P34" t="s">
        <v>43</v>
      </c>
      <c r="Q34" t="s">
        <v>43</v>
      </c>
      <c r="R34" t="s">
        <v>43</v>
      </c>
      <c r="S34" t="s">
        <v>43</v>
      </c>
      <c r="T34" t="s">
        <v>43</v>
      </c>
      <c r="U34" t="s">
        <v>43</v>
      </c>
      <c r="V34" t="s">
        <v>43</v>
      </c>
      <c r="W34" t="s">
        <v>43</v>
      </c>
      <c r="X34" t="s">
        <v>43</v>
      </c>
      <c r="Y34" t="s">
        <v>43</v>
      </c>
      <c r="Z34" t="s">
        <v>43</v>
      </c>
      <c r="AA34" t="s">
        <v>43</v>
      </c>
      <c r="AB34" t="s">
        <v>43</v>
      </c>
      <c r="AC34" t="s">
        <v>43</v>
      </c>
      <c r="AD34" t="s">
        <v>43</v>
      </c>
      <c r="AE34" t="s">
        <v>43</v>
      </c>
      <c r="AF34" t="s">
        <v>43</v>
      </c>
      <c r="AG34" t="s">
        <v>43</v>
      </c>
      <c r="AH34" t="s">
        <v>43</v>
      </c>
      <c r="AI34" t="s">
        <v>43</v>
      </c>
      <c r="AJ34" t="s">
        <v>43</v>
      </c>
      <c r="AK34" t="s">
        <v>43</v>
      </c>
      <c r="AL34" t="s">
        <v>43</v>
      </c>
      <c r="AM34" t="s">
        <v>43</v>
      </c>
      <c r="AN34" t="s">
        <v>43</v>
      </c>
    </row>
    <row r="35" spans="1:40" x14ac:dyDescent="0.3">
      <c r="A35" s="1">
        <v>46210.996064814812</v>
      </c>
      <c r="B35" t="s">
        <v>40</v>
      </c>
      <c r="C35" t="s">
        <v>41</v>
      </c>
      <c r="D35" s="1">
        <v>46210.998738425929</v>
      </c>
      <c r="E35" t="s">
        <v>42</v>
      </c>
      <c r="F35" t="s">
        <v>43</v>
      </c>
      <c r="G35" t="s">
        <v>43</v>
      </c>
      <c r="H35" t="s">
        <v>43</v>
      </c>
      <c r="I35" t="s">
        <v>64</v>
      </c>
      <c r="J35" t="s">
        <v>43</v>
      </c>
      <c r="K35" t="s">
        <v>43</v>
      </c>
      <c r="L35" t="s">
        <v>43</v>
      </c>
      <c r="M35" t="s">
        <v>43</v>
      </c>
      <c r="N35" t="s">
        <v>45</v>
      </c>
      <c r="O35" t="s">
        <v>43</v>
      </c>
      <c r="P35" t="s">
        <v>43</v>
      </c>
      <c r="Q35" t="s">
        <v>43</v>
      </c>
      <c r="R35" t="s">
        <v>43</v>
      </c>
      <c r="S35" t="s">
        <v>43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s">
        <v>43</v>
      </c>
      <c r="AA35" t="s">
        <v>43</v>
      </c>
      <c r="AB35" t="s">
        <v>43</v>
      </c>
      <c r="AC35" t="s">
        <v>43</v>
      </c>
      <c r="AD35" t="s">
        <v>43</v>
      </c>
      <c r="AE35" t="s">
        <v>43</v>
      </c>
      <c r="AF35" t="s">
        <v>43</v>
      </c>
      <c r="AG35" t="s">
        <v>43</v>
      </c>
      <c r="AH35" t="s">
        <v>43</v>
      </c>
      <c r="AI35" t="s">
        <v>43</v>
      </c>
      <c r="AJ35" t="s">
        <v>43</v>
      </c>
      <c r="AK35" t="s">
        <v>43</v>
      </c>
      <c r="AL35" t="s">
        <v>43</v>
      </c>
      <c r="AM35" t="s">
        <v>43</v>
      </c>
      <c r="AN35" t="str">
        <f>HYPERLINK("https://www.google.com/maps?q=11.05503082,79.06072235","Open Location")</f>
        <v>Open Location</v>
      </c>
    </row>
    <row r="36" spans="1:40" x14ac:dyDescent="0.3">
      <c r="A36" s="1">
        <v>46210.995949074073</v>
      </c>
      <c r="B36" t="s">
        <v>40</v>
      </c>
      <c r="C36" t="s">
        <v>41</v>
      </c>
      <c r="D36" s="1">
        <v>46210.99895833333</v>
      </c>
      <c r="E36" t="s">
        <v>42</v>
      </c>
      <c r="F36" t="s">
        <v>43</v>
      </c>
      <c r="G36" t="s">
        <v>43</v>
      </c>
      <c r="H36" t="s">
        <v>43</v>
      </c>
      <c r="I36" t="s">
        <v>65</v>
      </c>
      <c r="J36" t="s">
        <v>43</v>
      </c>
      <c r="K36" t="s">
        <v>43</v>
      </c>
      <c r="L36" t="s">
        <v>43</v>
      </c>
      <c r="M36" t="s">
        <v>43</v>
      </c>
      <c r="N36" t="s">
        <v>45</v>
      </c>
      <c r="O36" t="s">
        <v>43</v>
      </c>
      <c r="P36" t="s">
        <v>43</v>
      </c>
      <c r="Q36" t="s">
        <v>43</v>
      </c>
      <c r="R36" t="s">
        <v>43</v>
      </c>
      <c r="S36" t="s">
        <v>43</v>
      </c>
      <c r="T36" t="s">
        <v>43</v>
      </c>
      <c r="U36" t="s">
        <v>43</v>
      </c>
      <c r="V36" t="s">
        <v>43</v>
      </c>
      <c r="W36" t="s">
        <v>43</v>
      </c>
      <c r="X36" t="s">
        <v>43</v>
      </c>
      <c r="Y36" t="s">
        <v>43</v>
      </c>
      <c r="Z36" t="s">
        <v>43</v>
      </c>
      <c r="AA36" t="s">
        <v>43</v>
      </c>
      <c r="AB36" t="s">
        <v>43</v>
      </c>
      <c r="AC36" t="s">
        <v>43</v>
      </c>
      <c r="AD36" t="s">
        <v>43</v>
      </c>
      <c r="AE36" t="s">
        <v>43</v>
      </c>
      <c r="AF36" t="s">
        <v>43</v>
      </c>
      <c r="AG36" t="s">
        <v>43</v>
      </c>
      <c r="AH36" t="s">
        <v>43</v>
      </c>
      <c r="AI36" t="s">
        <v>43</v>
      </c>
      <c r="AJ36" t="s">
        <v>43</v>
      </c>
      <c r="AK36" t="s">
        <v>43</v>
      </c>
      <c r="AL36" t="s">
        <v>43</v>
      </c>
      <c r="AM36" t="s">
        <v>43</v>
      </c>
      <c r="AN36" t="str">
        <f>HYPERLINK("https://www.google.com/maps?q=11.05503273,79.06072235","Open Location")</f>
        <v>Open Location</v>
      </c>
    </row>
    <row r="37" spans="1:40" x14ac:dyDescent="0.3">
      <c r="A37" s="1">
        <v>46210.995833333334</v>
      </c>
      <c r="B37" t="s">
        <v>40</v>
      </c>
      <c r="C37" t="s">
        <v>41</v>
      </c>
      <c r="D37" s="1">
        <v>46210.998668981483</v>
      </c>
      <c r="E37" t="s">
        <v>42</v>
      </c>
      <c r="F37" t="s">
        <v>43</v>
      </c>
      <c r="G37" t="s">
        <v>43</v>
      </c>
      <c r="H37" t="s">
        <v>43</v>
      </c>
      <c r="I37" t="s">
        <v>66</v>
      </c>
      <c r="J37" t="s">
        <v>43</v>
      </c>
      <c r="K37" t="s">
        <v>43</v>
      </c>
      <c r="L37" t="s">
        <v>43</v>
      </c>
      <c r="M37" t="s">
        <v>43</v>
      </c>
      <c r="N37" t="s">
        <v>45</v>
      </c>
      <c r="O37" t="s">
        <v>43</v>
      </c>
      <c r="P37" t="s">
        <v>43</v>
      </c>
      <c r="Q37" t="s">
        <v>43</v>
      </c>
      <c r="R37" t="s">
        <v>43</v>
      </c>
      <c r="S37" t="s">
        <v>43</v>
      </c>
      <c r="T37" t="s">
        <v>43</v>
      </c>
      <c r="U37" t="s">
        <v>43</v>
      </c>
      <c r="V37" t="s">
        <v>43</v>
      </c>
      <c r="W37" t="s">
        <v>43</v>
      </c>
      <c r="X37" t="s">
        <v>43</v>
      </c>
      <c r="Y37" t="s">
        <v>43</v>
      </c>
      <c r="Z37" t="s">
        <v>43</v>
      </c>
      <c r="AA37" t="s">
        <v>43</v>
      </c>
      <c r="AB37" t="s">
        <v>43</v>
      </c>
      <c r="AC37" t="s">
        <v>43</v>
      </c>
      <c r="AD37" t="s">
        <v>43</v>
      </c>
      <c r="AE37" t="s">
        <v>43</v>
      </c>
      <c r="AF37" t="s">
        <v>43</v>
      </c>
      <c r="AG37" t="s">
        <v>43</v>
      </c>
      <c r="AH37" t="s">
        <v>43</v>
      </c>
      <c r="AI37" t="s">
        <v>43</v>
      </c>
      <c r="AJ37" t="s">
        <v>43</v>
      </c>
      <c r="AK37" t="s">
        <v>43</v>
      </c>
      <c r="AL37" t="s">
        <v>43</v>
      </c>
      <c r="AM37" t="s">
        <v>43</v>
      </c>
      <c r="AN37" t="str">
        <f>HYPERLINK("https://www.google.com/maps?q=11.05503559,79.06072235","Open Location")</f>
        <v>Open Location</v>
      </c>
    </row>
    <row r="38" spans="1:40" x14ac:dyDescent="0.3">
      <c r="A38" s="1">
        <v>46210.995717592596</v>
      </c>
      <c r="B38" t="s">
        <v>40</v>
      </c>
      <c r="C38" t="s">
        <v>41</v>
      </c>
      <c r="D38" s="1">
        <v>46210.998726851853</v>
      </c>
      <c r="E38" t="s">
        <v>42</v>
      </c>
      <c r="F38" t="s">
        <v>43</v>
      </c>
      <c r="G38" t="s">
        <v>43</v>
      </c>
      <c r="H38" t="s">
        <v>43</v>
      </c>
      <c r="I38" t="s">
        <v>66</v>
      </c>
      <c r="J38" t="s">
        <v>43</v>
      </c>
      <c r="K38" t="s">
        <v>43</v>
      </c>
      <c r="L38" t="s">
        <v>43</v>
      </c>
      <c r="M38" t="s">
        <v>43</v>
      </c>
      <c r="N38" t="s">
        <v>45</v>
      </c>
      <c r="O38" t="s">
        <v>43</v>
      </c>
      <c r="P38" t="s">
        <v>43</v>
      </c>
      <c r="Q38" t="s">
        <v>43</v>
      </c>
      <c r="R38" t="s">
        <v>43</v>
      </c>
      <c r="S38" t="s">
        <v>43</v>
      </c>
      <c r="T38" t="s">
        <v>43</v>
      </c>
      <c r="U38" t="s">
        <v>43</v>
      </c>
      <c r="V38" t="s">
        <v>43</v>
      </c>
      <c r="W38" t="s">
        <v>43</v>
      </c>
      <c r="X38" t="s">
        <v>43</v>
      </c>
      <c r="Y38" t="s">
        <v>43</v>
      </c>
      <c r="Z38" t="s">
        <v>43</v>
      </c>
      <c r="AA38" t="s">
        <v>43</v>
      </c>
      <c r="AB38" t="s">
        <v>43</v>
      </c>
      <c r="AC38" t="s">
        <v>43</v>
      </c>
      <c r="AD38" t="s">
        <v>43</v>
      </c>
      <c r="AE38" t="s">
        <v>43</v>
      </c>
      <c r="AF38" t="s">
        <v>43</v>
      </c>
      <c r="AG38" t="s">
        <v>43</v>
      </c>
      <c r="AH38" t="s">
        <v>43</v>
      </c>
      <c r="AI38" t="s">
        <v>43</v>
      </c>
      <c r="AJ38" t="s">
        <v>43</v>
      </c>
      <c r="AK38" t="s">
        <v>43</v>
      </c>
      <c r="AL38" t="s">
        <v>43</v>
      </c>
      <c r="AM38" t="s">
        <v>43</v>
      </c>
      <c r="AN38" t="str">
        <f>HYPERLINK("https://www.google.com/maps?q=11.05503559,79.06072235","Open Location")</f>
        <v>Open Location</v>
      </c>
    </row>
    <row r="39" spans="1:40" x14ac:dyDescent="0.3">
      <c r="A39" s="1">
        <v>46210.99560185185</v>
      </c>
      <c r="B39" t="s">
        <v>40</v>
      </c>
      <c r="C39" t="s">
        <v>41</v>
      </c>
      <c r="D39" s="1">
        <v>46210.998749999999</v>
      </c>
      <c r="E39" t="s">
        <v>42</v>
      </c>
      <c r="F39" t="s">
        <v>43</v>
      </c>
      <c r="G39" t="s">
        <v>43</v>
      </c>
      <c r="H39" t="s">
        <v>43</v>
      </c>
      <c r="I39" t="s">
        <v>43</v>
      </c>
      <c r="J39" t="s">
        <v>43</v>
      </c>
      <c r="K39" t="s">
        <v>43</v>
      </c>
      <c r="L39" t="s">
        <v>43</v>
      </c>
      <c r="M39" t="s">
        <v>43</v>
      </c>
      <c r="N39" t="s">
        <v>45</v>
      </c>
      <c r="O39" t="s">
        <v>43</v>
      </c>
      <c r="P39" t="s">
        <v>43</v>
      </c>
      <c r="Q39" t="s">
        <v>43</v>
      </c>
      <c r="R39" t="s">
        <v>43</v>
      </c>
      <c r="S39" t="s">
        <v>43</v>
      </c>
      <c r="T39" t="s">
        <v>43</v>
      </c>
      <c r="U39" t="s">
        <v>43</v>
      </c>
      <c r="V39" t="s">
        <v>43</v>
      </c>
      <c r="W39" t="s">
        <v>43</v>
      </c>
      <c r="X39" t="s">
        <v>43</v>
      </c>
      <c r="Y39" t="s">
        <v>43</v>
      </c>
      <c r="Z39" t="s">
        <v>43</v>
      </c>
      <c r="AA39" t="s">
        <v>43</v>
      </c>
      <c r="AB39" t="s">
        <v>43</v>
      </c>
      <c r="AC39" t="s">
        <v>43</v>
      </c>
      <c r="AD39" t="s">
        <v>43</v>
      </c>
      <c r="AE39" t="s">
        <v>43</v>
      </c>
      <c r="AF39" t="s">
        <v>43</v>
      </c>
      <c r="AG39" t="s">
        <v>43</v>
      </c>
      <c r="AH39" t="s">
        <v>43</v>
      </c>
      <c r="AI39" t="s">
        <v>43</v>
      </c>
      <c r="AJ39" t="s">
        <v>43</v>
      </c>
      <c r="AK39" t="s">
        <v>43</v>
      </c>
      <c r="AL39" t="s">
        <v>43</v>
      </c>
      <c r="AM39" t="s">
        <v>43</v>
      </c>
      <c r="AN39" t="s">
        <v>43</v>
      </c>
    </row>
    <row r="40" spans="1:40" x14ac:dyDescent="0.3">
      <c r="A40" s="1">
        <v>46210.995486111111</v>
      </c>
      <c r="B40" t="s">
        <v>40</v>
      </c>
      <c r="C40" t="s">
        <v>41</v>
      </c>
      <c r="D40" s="1">
        <v>46210.998506944445</v>
      </c>
      <c r="E40" t="s">
        <v>42</v>
      </c>
      <c r="F40" t="s">
        <v>43</v>
      </c>
      <c r="G40" t="s">
        <v>43</v>
      </c>
      <c r="H40" t="s">
        <v>43</v>
      </c>
      <c r="I40" t="s">
        <v>67</v>
      </c>
      <c r="J40" t="s">
        <v>43</v>
      </c>
      <c r="K40" t="s">
        <v>43</v>
      </c>
      <c r="L40" t="s">
        <v>43</v>
      </c>
      <c r="M40" t="s">
        <v>43</v>
      </c>
      <c r="N40" t="s">
        <v>45</v>
      </c>
      <c r="O40" t="s">
        <v>43</v>
      </c>
      <c r="P40" t="s">
        <v>43</v>
      </c>
      <c r="Q40" t="s">
        <v>43</v>
      </c>
      <c r="R40" t="s">
        <v>43</v>
      </c>
      <c r="S40" t="s">
        <v>43</v>
      </c>
      <c r="T40" t="s">
        <v>43</v>
      </c>
      <c r="U40" t="s">
        <v>43</v>
      </c>
      <c r="V40" t="s">
        <v>43</v>
      </c>
      <c r="W40" t="s">
        <v>43</v>
      </c>
      <c r="X40" t="s">
        <v>43</v>
      </c>
      <c r="Y40" t="s">
        <v>43</v>
      </c>
      <c r="Z40" t="s">
        <v>43</v>
      </c>
      <c r="AA40" t="s">
        <v>43</v>
      </c>
      <c r="AB40" t="s">
        <v>43</v>
      </c>
      <c r="AC40" t="s">
        <v>43</v>
      </c>
      <c r="AD40" t="s">
        <v>43</v>
      </c>
      <c r="AE40" t="s">
        <v>43</v>
      </c>
      <c r="AF40" t="s">
        <v>43</v>
      </c>
      <c r="AG40" t="s">
        <v>43</v>
      </c>
      <c r="AH40" t="s">
        <v>43</v>
      </c>
      <c r="AI40" t="s">
        <v>43</v>
      </c>
      <c r="AJ40" t="s">
        <v>43</v>
      </c>
      <c r="AK40" t="s">
        <v>43</v>
      </c>
      <c r="AL40" t="s">
        <v>43</v>
      </c>
      <c r="AM40" t="s">
        <v>43</v>
      </c>
      <c r="AN40" t="str">
        <f>HYPERLINK("https://www.google.com/maps?q=11.05503368,79.06072235","Open Location")</f>
        <v>Open Location</v>
      </c>
    </row>
    <row r="41" spans="1:40" x14ac:dyDescent="0.3">
      <c r="A41" s="1">
        <v>46210.995370370372</v>
      </c>
      <c r="B41" t="s">
        <v>40</v>
      </c>
      <c r="C41" t="s">
        <v>41</v>
      </c>
      <c r="D41" s="1">
        <v>46210.998136574075</v>
      </c>
      <c r="E41" t="s">
        <v>42</v>
      </c>
      <c r="F41" t="s">
        <v>43</v>
      </c>
      <c r="G41" t="s">
        <v>43</v>
      </c>
      <c r="H41" t="s">
        <v>43</v>
      </c>
      <c r="I41" t="s">
        <v>65</v>
      </c>
      <c r="J41" t="s">
        <v>43</v>
      </c>
      <c r="K41" t="s">
        <v>43</v>
      </c>
      <c r="L41" t="s">
        <v>43</v>
      </c>
      <c r="M41" t="s">
        <v>43</v>
      </c>
      <c r="N41" t="s">
        <v>45</v>
      </c>
      <c r="O41" t="s">
        <v>43</v>
      </c>
      <c r="P41" t="s">
        <v>43</v>
      </c>
      <c r="Q41" t="s">
        <v>43</v>
      </c>
      <c r="R41" t="s">
        <v>43</v>
      </c>
      <c r="S41" t="s">
        <v>43</v>
      </c>
      <c r="T41" t="s">
        <v>43</v>
      </c>
      <c r="U41" t="s">
        <v>43</v>
      </c>
      <c r="V41" t="s">
        <v>43</v>
      </c>
      <c r="W41" t="s">
        <v>43</v>
      </c>
      <c r="X41" t="s">
        <v>43</v>
      </c>
      <c r="Y41" t="s">
        <v>43</v>
      </c>
      <c r="Z41" t="s">
        <v>43</v>
      </c>
      <c r="AA41" t="s">
        <v>43</v>
      </c>
      <c r="AB41" t="s">
        <v>43</v>
      </c>
      <c r="AC41" t="s">
        <v>43</v>
      </c>
      <c r="AD41" t="s">
        <v>43</v>
      </c>
      <c r="AE41" t="s">
        <v>43</v>
      </c>
      <c r="AF41" t="s">
        <v>43</v>
      </c>
      <c r="AG41" t="s">
        <v>43</v>
      </c>
      <c r="AH41" t="s">
        <v>43</v>
      </c>
      <c r="AI41" t="s">
        <v>43</v>
      </c>
      <c r="AJ41" t="s">
        <v>43</v>
      </c>
      <c r="AK41" t="s">
        <v>43</v>
      </c>
      <c r="AL41" t="s">
        <v>43</v>
      </c>
      <c r="AM41" t="s">
        <v>43</v>
      </c>
      <c r="AN41" t="str">
        <f>HYPERLINK("https://www.google.com/maps?q=11.05503273,79.06072235","Open Location")</f>
        <v>Open Location</v>
      </c>
    </row>
    <row r="42" spans="1:40" x14ac:dyDescent="0.3">
      <c r="A42" s="1">
        <v>46210.995254629626</v>
      </c>
      <c r="B42" t="s">
        <v>40</v>
      </c>
      <c r="C42" t="s">
        <v>41</v>
      </c>
      <c r="D42" s="1">
        <v>46210.998240740744</v>
      </c>
      <c r="E42" t="s">
        <v>42</v>
      </c>
      <c r="F42" t="s">
        <v>43</v>
      </c>
      <c r="G42" t="s">
        <v>43</v>
      </c>
      <c r="H42" t="s">
        <v>43</v>
      </c>
      <c r="I42" t="s">
        <v>65</v>
      </c>
      <c r="J42" t="s">
        <v>43</v>
      </c>
      <c r="K42" t="s">
        <v>43</v>
      </c>
      <c r="L42" t="s">
        <v>43</v>
      </c>
      <c r="M42" t="s">
        <v>43</v>
      </c>
      <c r="N42" t="s">
        <v>45</v>
      </c>
      <c r="O42" t="s">
        <v>43</v>
      </c>
      <c r="P42" t="s">
        <v>43</v>
      </c>
      <c r="Q42" t="s">
        <v>43</v>
      </c>
      <c r="R42" t="s">
        <v>43</v>
      </c>
      <c r="S42" t="s">
        <v>43</v>
      </c>
      <c r="T42" t="s">
        <v>43</v>
      </c>
      <c r="U42" t="s">
        <v>43</v>
      </c>
      <c r="V42" t="s">
        <v>43</v>
      </c>
      <c r="W42" t="s">
        <v>43</v>
      </c>
      <c r="X42" t="s">
        <v>43</v>
      </c>
      <c r="Y42" t="s">
        <v>43</v>
      </c>
      <c r="Z42" t="s">
        <v>43</v>
      </c>
      <c r="AA42" t="s">
        <v>43</v>
      </c>
      <c r="AB42" t="s">
        <v>43</v>
      </c>
      <c r="AC42" t="s">
        <v>43</v>
      </c>
      <c r="AD42" t="s">
        <v>43</v>
      </c>
      <c r="AE42" t="s">
        <v>43</v>
      </c>
      <c r="AF42" t="s">
        <v>43</v>
      </c>
      <c r="AG42" t="s">
        <v>43</v>
      </c>
      <c r="AH42" t="s">
        <v>43</v>
      </c>
      <c r="AI42" t="s">
        <v>43</v>
      </c>
      <c r="AJ42" t="s">
        <v>43</v>
      </c>
      <c r="AK42" t="s">
        <v>43</v>
      </c>
      <c r="AL42" t="s">
        <v>43</v>
      </c>
      <c r="AM42" t="s">
        <v>43</v>
      </c>
      <c r="AN42" t="str">
        <f>HYPERLINK("https://www.google.com/maps?q=11.05503273,79.06072235","Open Location")</f>
        <v>Open Location</v>
      </c>
    </row>
    <row r="43" spans="1:40" x14ac:dyDescent="0.3">
      <c r="A43" s="1">
        <v>46210.995138888888</v>
      </c>
      <c r="B43" t="s">
        <v>40</v>
      </c>
      <c r="C43" t="s">
        <v>41</v>
      </c>
      <c r="D43" s="1">
        <v>46210.997824074075</v>
      </c>
      <c r="E43" t="s">
        <v>42</v>
      </c>
      <c r="F43" t="s">
        <v>43</v>
      </c>
      <c r="G43" t="s">
        <v>43</v>
      </c>
      <c r="H43" t="s">
        <v>43</v>
      </c>
      <c r="I43" t="s">
        <v>68</v>
      </c>
      <c r="J43" t="s">
        <v>43</v>
      </c>
      <c r="K43" t="s">
        <v>43</v>
      </c>
      <c r="L43" t="s">
        <v>43</v>
      </c>
      <c r="M43" t="s">
        <v>43</v>
      </c>
      <c r="N43" t="s">
        <v>45</v>
      </c>
      <c r="O43" t="s">
        <v>43</v>
      </c>
      <c r="P43" t="s">
        <v>43</v>
      </c>
      <c r="Q43" t="s">
        <v>43</v>
      </c>
      <c r="R43" t="s">
        <v>43</v>
      </c>
      <c r="S43" t="s">
        <v>43</v>
      </c>
      <c r="T43" t="s">
        <v>43</v>
      </c>
      <c r="U43" t="s">
        <v>43</v>
      </c>
      <c r="V43" t="s">
        <v>43</v>
      </c>
      <c r="W43" t="s">
        <v>43</v>
      </c>
      <c r="X43" t="s">
        <v>43</v>
      </c>
      <c r="Y43" t="s">
        <v>43</v>
      </c>
      <c r="Z43" t="s">
        <v>43</v>
      </c>
      <c r="AA43" t="s">
        <v>43</v>
      </c>
      <c r="AB43" t="s">
        <v>43</v>
      </c>
      <c r="AC43" t="s">
        <v>43</v>
      </c>
      <c r="AD43" t="s">
        <v>43</v>
      </c>
      <c r="AE43" t="s">
        <v>43</v>
      </c>
      <c r="AF43" t="s">
        <v>43</v>
      </c>
      <c r="AG43" t="s">
        <v>43</v>
      </c>
      <c r="AH43" t="s">
        <v>43</v>
      </c>
      <c r="AI43" t="s">
        <v>43</v>
      </c>
      <c r="AJ43" t="s">
        <v>43</v>
      </c>
      <c r="AK43" t="s">
        <v>43</v>
      </c>
      <c r="AL43" t="s">
        <v>43</v>
      </c>
      <c r="AM43" t="s">
        <v>43</v>
      </c>
      <c r="AN43" t="str">
        <f>HYPERLINK("https://www.google.com/maps?q=11.05503654,79.06072235","Open Location")</f>
        <v>Open Location</v>
      </c>
    </row>
    <row r="44" spans="1:40" x14ac:dyDescent="0.3">
      <c r="A44" s="1">
        <v>46210.995023148149</v>
      </c>
      <c r="B44" t="s">
        <v>40</v>
      </c>
      <c r="C44" t="s">
        <v>41</v>
      </c>
      <c r="D44" s="1">
        <v>46210.997812499998</v>
      </c>
      <c r="E44" t="s">
        <v>42</v>
      </c>
      <c r="F44" t="s">
        <v>43</v>
      </c>
      <c r="G44" t="s">
        <v>43</v>
      </c>
      <c r="H44" t="s">
        <v>43</v>
      </c>
      <c r="I44" t="s">
        <v>69</v>
      </c>
      <c r="J44" t="s">
        <v>43</v>
      </c>
      <c r="K44" t="s">
        <v>43</v>
      </c>
      <c r="L44" t="s">
        <v>43</v>
      </c>
      <c r="M44" t="s">
        <v>43</v>
      </c>
      <c r="N44" t="s">
        <v>45</v>
      </c>
      <c r="O44" t="s">
        <v>43</v>
      </c>
      <c r="P44" t="s">
        <v>43</v>
      </c>
      <c r="Q44" t="s">
        <v>43</v>
      </c>
      <c r="R44" t="s">
        <v>43</v>
      </c>
      <c r="S44" t="s">
        <v>43</v>
      </c>
      <c r="T44" t="s">
        <v>43</v>
      </c>
      <c r="U44" t="s">
        <v>43</v>
      </c>
      <c r="V44" t="s">
        <v>43</v>
      </c>
      <c r="W44" t="s">
        <v>43</v>
      </c>
      <c r="X44" t="s">
        <v>43</v>
      </c>
      <c r="Y44" t="s">
        <v>43</v>
      </c>
      <c r="Z44" t="s">
        <v>43</v>
      </c>
      <c r="AA44" t="s">
        <v>43</v>
      </c>
      <c r="AB44" t="s">
        <v>43</v>
      </c>
      <c r="AC44" t="s">
        <v>43</v>
      </c>
      <c r="AD44" t="s">
        <v>43</v>
      </c>
      <c r="AE44" t="s">
        <v>43</v>
      </c>
      <c r="AF44" t="s">
        <v>43</v>
      </c>
      <c r="AG44" t="s">
        <v>43</v>
      </c>
      <c r="AH44" t="s">
        <v>43</v>
      </c>
      <c r="AI44" t="s">
        <v>43</v>
      </c>
      <c r="AJ44" t="s">
        <v>43</v>
      </c>
      <c r="AK44" t="s">
        <v>43</v>
      </c>
      <c r="AL44" t="s">
        <v>43</v>
      </c>
      <c r="AM44" t="s">
        <v>43</v>
      </c>
      <c r="AN44" t="str">
        <f>HYPERLINK("https://www.google.com/maps?q=11.05503941,79.06072235","Open Location")</f>
        <v>Open Location</v>
      </c>
    </row>
    <row r="45" spans="1:40" x14ac:dyDescent="0.3">
      <c r="A45" s="1">
        <v>46210.99490740741</v>
      </c>
      <c r="B45" t="s">
        <v>40</v>
      </c>
      <c r="C45" t="s">
        <v>41</v>
      </c>
      <c r="D45" s="1">
        <v>46210.997766203705</v>
      </c>
      <c r="E45" t="s">
        <v>42</v>
      </c>
      <c r="F45" t="s">
        <v>43</v>
      </c>
      <c r="G45" t="s">
        <v>43</v>
      </c>
      <c r="H45" t="s">
        <v>43</v>
      </c>
      <c r="I45" t="s">
        <v>43</v>
      </c>
      <c r="J45" t="s">
        <v>43</v>
      </c>
      <c r="K45" t="s">
        <v>43</v>
      </c>
      <c r="L45" t="s">
        <v>43</v>
      </c>
      <c r="M45" t="s">
        <v>43</v>
      </c>
      <c r="N45" t="s">
        <v>45</v>
      </c>
      <c r="O45" t="s">
        <v>43</v>
      </c>
      <c r="P45" t="s">
        <v>43</v>
      </c>
      <c r="Q45" t="s">
        <v>43</v>
      </c>
      <c r="R45" t="s">
        <v>43</v>
      </c>
      <c r="S45" t="s">
        <v>43</v>
      </c>
      <c r="T45" t="s">
        <v>43</v>
      </c>
      <c r="U45" t="s">
        <v>43</v>
      </c>
      <c r="V45" t="s">
        <v>43</v>
      </c>
      <c r="W45" t="s">
        <v>43</v>
      </c>
      <c r="X45" t="s">
        <v>43</v>
      </c>
      <c r="Y45" t="s">
        <v>43</v>
      </c>
      <c r="Z45" t="s">
        <v>43</v>
      </c>
      <c r="AA45" t="s">
        <v>43</v>
      </c>
      <c r="AB45" t="s">
        <v>43</v>
      </c>
      <c r="AC45" t="s">
        <v>43</v>
      </c>
      <c r="AD45" t="s">
        <v>43</v>
      </c>
      <c r="AE45" t="s">
        <v>43</v>
      </c>
      <c r="AF45" t="s">
        <v>43</v>
      </c>
      <c r="AG45" t="s">
        <v>43</v>
      </c>
      <c r="AH45" t="s">
        <v>43</v>
      </c>
      <c r="AI45" t="s">
        <v>43</v>
      </c>
      <c r="AJ45" t="s">
        <v>43</v>
      </c>
      <c r="AK45" t="s">
        <v>43</v>
      </c>
      <c r="AL45" t="s">
        <v>43</v>
      </c>
      <c r="AM45" t="s">
        <v>43</v>
      </c>
      <c r="AN45" t="s">
        <v>43</v>
      </c>
    </row>
    <row r="46" spans="1:40" x14ac:dyDescent="0.3">
      <c r="A46" s="1">
        <v>46210.994791666664</v>
      </c>
      <c r="B46" t="s">
        <v>40</v>
      </c>
      <c r="C46" t="s">
        <v>41</v>
      </c>
      <c r="D46" s="1">
        <v>46210.997650462959</v>
      </c>
      <c r="E46" t="s">
        <v>42</v>
      </c>
      <c r="F46" t="s">
        <v>43</v>
      </c>
      <c r="G46" t="s">
        <v>43</v>
      </c>
      <c r="H46" t="s">
        <v>43</v>
      </c>
      <c r="I46" t="s">
        <v>68</v>
      </c>
      <c r="J46" t="s">
        <v>43</v>
      </c>
      <c r="K46" t="s">
        <v>43</v>
      </c>
      <c r="L46" t="s">
        <v>43</v>
      </c>
      <c r="M46" t="s">
        <v>43</v>
      </c>
      <c r="N46" t="s">
        <v>45</v>
      </c>
      <c r="O46" t="s">
        <v>43</v>
      </c>
      <c r="P46" t="s">
        <v>43</v>
      </c>
      <c r="Q46" t="s">
        <v>43</v>
      </c>
      <c r="R46" t="s">
        <v>43</v>
      </c>
      <c r="S46" t="s">
        <v>43</v>
      </c>
      <c r="T46" t="s">
        <v>43</v>
      </c>
      <c r="U46" t="s">
        <v>43</v>
      </c>
      <c r="V46" t="s">
        <v>43</v>
      </c>
      <c r="W46" t="s">
        <v>43</v>
      </c>
      <c r="X46" t="s">
        <v>43</v>
      </c>
      <c r="Y46" t="s">
        <v>43</v>
      </c>
      <c r="Z46" t="s">
        <v>43</v>
      </c>
      <c r="AA46" t="s">
        <v>43</v>
      </c>
      <c r="AB46" t="s">
        <v>43</v>
      </c>
      <c r="AC46" t="s">
        <v>43</v>
      </c>
      <c r="AD46" t="s">
        <v>43</v>
      </c>
      <c r="AE46" t="s">
        <v>43</v>
      </c>
      <c r="AF46" t="s">
        <v>43</v>
      </c>
      <c r="AG46" t="s">
        <v>43</v>
      </c>
      <c r="AH46" t="s">
        <v>43</v>
      </c>
      <c r="AI46" t="s">
        <v>43</v>
      </c>
      <c r="AJ46" t="s">
        <v>43</v>
      </c>
      <c r="AK46" t="s">
        <v>43</v>
      </c>
      <c r="AL46" t="s">
        <v>43</v>
      </c>
      <c r="AM46" t="s">
        <v>43</v>
      </c>
      <c r="AN46" t="str">
        <f>HYPERLINK("https://www.google.com/maps?q=11.05503654,79.06072235","Open Location")</f>
        <v>Open Location</v>
      </c>
    </row>
    <row r="47" spans="1:40" x14ac:dyDescent="0.3">
      <c r="A47" s="1">
        <v>46210.994675925926</v>
      </c>
      <c r="B47" t="s">
        <v>40</v>
      </c>
      <c r="C47" t="s">
        <v>41</v>
      </c>
      <c r="D47" s="1">
        <v>46210.997465277775</v>
      </c>
      <c r="E47" t="s">
        <v>42</v>
      </c>
      <c r="F47" t="s">
        <v>43</v>
      </c>
      <c r="G47" t="s">
        <v>43</v>
      </c>
      <c r="H47" t="s">
        <v>43</v>
      </c>
      <c r="I47" t="s">
        <v>61</v>
      </c>
      <c r="J47" t="s">
        <v>43</v>
      </c>
      <c r="K47" t="s">
        <v>43</v>
      </c>
      <c r="L47" t="s">
        <v>43</v>
      </c>
      <c r="M47" t="s">
        <v>43</v>
      </c>
      <c r="N47" t="s">
        <v>45</v>
      </c>
      <c r="O47" t="s">
        <v>43</v>
      </c>
      <c r="P47" t="s">
        <v>43</v>
      </c>
      <c r="Q47" t="s">
        <v>43</v>
      </c>
      <c r="R47" t="s">
        <v>43</v>
      </c>
      <c r="S47" t="s">
        <v>43</v>
      </c>
      <c r="T47" t="s">
        <v>43</v>
      </c>
      <c r="U47" t="s">
        <v>43</v>
      </c>
      <c r="V47" t="s">
        <v>43</v>
      </c>
      <c r="W47" t="s">
        <v>43</v>
      </c>
      <c r="X47" t="s">
        <v>43</v>
      </c>
      <c r="Y47" t="s">
        <v>43</v>
      </c>
      <c r="Z47" t="s">
        <v>43</v>
      </c>
      <c r="AA47" t="s">
        <v>43</v>
      </c>
      <c r="AB47" t="s">
        <v>43</v>
      </c>
      <c r="AC47" t="s">
        <v>43</v>
      </c>
      <c r="AD47" t="s">
        <v>43</v>
      </c>
      <c r="AE47" t="s">
        <v>43</v>
      </c>
      <c r="AF47" t="s">
        <v>43</v>
      </c>
      <c r="AG47" t="s">
        <v>43</v>
      </c>
      <c r="AH47" t="s">
        <v>43</v>
      </c>
      <c r="AI47" t="s">
        <v>43</v>
      </c>
      <c r="AJ47" t="s">
        <v>43</v>
      </c>
      <c r="AK47" t="s">
        <v>43</v>
      </c>
      <c r="AL47" t="s">
        <v>43</v>
      </c>
      <c r="AM47" t="s">
        <v>43</v>
      </c>
      <c r="AN47" t="str">
        <f>HYPERLINK("https://www.google.com/maps?q=11.05503178,79.06071472","Open Location")</f>
        <v>Open Location</v>
      </c>
    </row>
    <row r="48" spans="1:40" x14ac:dyDescent="0.3">
      <c r="A48" s="1">
        <v>46210.994560185187</v>
      </c>
      <c r="B48" t="s">
        <v>40</v>
      </c>
      <c r="C48" t="s">
        <v>41</v>
      </c>
      <c r="D48" s="1">
        <v>46210.997430555559</v>
      </c>
      <c r="E48" t="s">
        <v>42</v>
      </c>
      <c r="F48" t="s">
        <v>43</v>
      </c>
      <c r="G48" t="s">
        <v>43</v>
      </c>
      <c r="H48" t="s">
        <v>43</v>
      </c>
      <c r="I48" t="s">
        <v>70</v>
      </c>
      <c r="J48" t="s">
        <v>43</v>
      </c>
      <c r="K48" t="s">
        <v>43</v>
      </c>
      <c r="L48" t="s">
        <v>43</v>
      </c>
      <c r="M48" t="s">
        <v>43</v>
      </c>
      <c r="N48" t="s">
        <v>45</v>
      </c>
      <c r="O48" t="s">
        <v>43</v>
      </c>
      <c r="P48" t="s">
        <v>43</v>
      </c>
      <c r="Q48" t="s">
        <v>43</v>
      </c>
      <c r="R48" t="s">
        <v>43</v>
      </c>
      <c r="S48" t="s">
        <v>43</v>
      </c>
      <c r="T48" t="s">
        <v>43</v>
      </c>
      <c r="U48" t="s">
        <v>43</v>
      </c>
      <c r="V48" t="s">
        <v>43</v>
      </c>
      <c r="W48" t="s">
        <v>43</v>
      </c>
      <c r="X48" t="s">
        <v>43</v>
      </c>
      <c r="Y48" t="s">
        <v>43</v>
      </c>
      <c r="Z48" t="s">
        <v>43</v>
      </c>
      <c r="AA48" t="s">
        <v>43</v>
      </c>
      <c r="AB48" t="s">
        <v>43</v>
      </c>
      <c r="AC48" t="s">
        <v>43</v>
      </c>
      <c r="AD48" t="s">
        <v>43</v>
      </c>
      <c r="AE48" t="s">
        <v>43</v>
      </c>
      <c r="AF48" t="s">
        <v>43</v>
      </c>
      <c r="AG48" t="s">
        <v>43</v>
      </c>
      <c r="AH48" t="s">
        <v>43</v>
      </c>
      <c r="AI48" t="s">
        <v>43</v>
      </c>
      <c r="AJ48" t="s">
        <v>43</v>
      </c>
      <c r="AK48" t="s">
        <v>43</v>
      </c>
      <c r="AL48" t="s">
        <v>43</v>
      </c>
      <c r="AM48" t="s">
        <v>43</v>
      </c>
      <c r="AN48" t="str">
        <f>HYPERLINK("https://www.google.com/maps?q=11.05503273,79.06071472","Open Location")</f>
        <v>Open Location</v>
      </c>
    </row>
    <row r="49" spans="1:40" x14ac:dyDescent="0.3">
      <c r="A49" s="1">
        <v>46210.994444444441</v>
      </c>
      <c r="B49" t="s">
        <v>40</v>
      </c>
      <c r="C49" t="s">
        <v>41</v>
      </c>
      <c r="D49" s="1">
        <v>46210.997453703705</v>
      </c>
      <c r="E49" t="s">
        <v>42</v>
      </c>
      <c r="F49" t="s">
        <v>43</v>
      </c>
      <c r="G49" t="s">
        <v>43</v>
      </c>
      <c r="H49" t="s">
        <v>43</v>
      </c>
      <c r="I49" t="s">
        <v>71</v>
      </c>
      <c r="J49" t="s">
        <v>43</v>
      </c>
      <c r="K49" t="s">
        <v>43</v>
      </c>
      <c r="L49" t="s">
        <v>43</v>
      </c>
      <c r="M49" t="s">
        <v>43</v>
      </c>
      <c r="N49" t="s">
        <v>45</v>
      </c>
      <c r="O49" t="s">
        <v>43</v>
      </c>
      <c r="P49" t="s">
        <v>43</v>
      </c>
      <c r="Q49" t="s">
        <v>43</v>
      </c>
      <c r="R49" t="s">
        <v>43</v>
      </c>
      <c r="S49" t="s">
        <v>43</v>
      </c>
      <c r="T49" t="s">
        <v>43</v>
      </c>
      <c r="U49" t="s">
        <v>43</v>
      </c>
      <c r="V49" t="s">
        <v>43</v>
      </c>
      <c r="W49" t="s">
        <v>43</v>
      </c>
      <c r="X49" t="s">
        <v>43</v>
      </c>
      <c r="Y49" t="s">
        <v>43</v>
      </c>
      <c r="Z49" t="s">
        <v>43</v>
      </c>
      <c r="AA49" t="s">
        <v>43</v>
      </c>
      <c r="AB49" t="s">
        <v>43</v>
      </c>
      <c r="AC49" t="s">
        <v>43</v>
      </c>
      <c r="AD49" t="s">
        <v>43</v>
      </c>
      <c r="AE49" t="s">
        <v>43</v>
      </c>
      <c r="AF49" t="s">
        <v>43</v>
      </c>
      <c r="AG49" t="s">
        <v>43</v>
      </c>
      <c r="AH49" t="s">
        <v>43</v>
      </c>
      <c r="AI49" t="s">
        <v>43</v>
      </c>
      <c r="AJ49" t="s">
        <v>43</v>
      </c>
      <c r="AK49" t="s">
        <v>43</v>
      </c>
      <c r="AL49" t="s">
        <v>43</v>
      </c>
      <c r="AM49" t="s">
        <v>43</v>
      </c>
      <c r="AN49" t="str">
        <f>HYPERLINK("https://www.google.com/maps?q=11.05503368,79.06071472","Open Location")</f>
        <v>Open Location</v>
      </c>
    </row>
    <row r="50" spans="1:40" x14ac:dyDescent="0.3">
      <c r="A50" s="1">
        <v>46210.994328703702</v>
      </c>
      <c r="B50" t="s">
        <v>40</v>
      </c>
      <c r="C50" t="s">
        <v>41</v>
      </c>
      <c r="D50" s="1">
        <v>46210.99726851852</v>
      </c>
      <c r="E50" t="s">
        <v>42</v>
      </c>
      <c r="F50" t="s">
        <v>43</v>
      </c>
      <c r="G50" t="s">
        <v>43</v>
      </c>
      <c r="H50" t="s">
        <v>43</v>
      </c>
      <c r="I50" t="s">
        <v>71</v>
      </c>
      <c r="J50" t="s">
        <v>43</v>
      </c>
      <c r="K50" t="s">
        <v>43</v>
      </c>
      <c r="L50" t="s">
        <v>43</v>
      </c>
      <c r="M50" t="s">
        <v>43</v>
      </c>
      <c r="N50" t="s">
        <v>45</v>
      </c>
      <c r="O50" t="s">
        <v>43</v>
      </c>
      <c r="P50" t="s">
        <v>43</v>
      </c>
      <c r="Q50" t="s">
        <v>43</v>
      </c>
      <c r="R50" t="s">
        <v>43</v>
      </c>
      <c r="S50" t="s">
        <v>43</v>
      </c>
      <c r="T50" t="s">
        <v>43</v>
      </c>
      <c r="U50" t="s">
        <v>43</v>
      </c>
      <c r="V50" t="s">
        <v>43</v>
      </c>
      <c r="W50" t="s">
        <v>43</v>
      </c>
      <c r="X50" t="s">
        <v>43</v>
      </c>
      <c r="Y50" t="s">
        <v>43</v>
      </c>
      <c r="Z50" t="s">
        <v>43</v>
      </c>
      <c r="AA50" t="s">
        <v>43</v>
      </c>
      <c r="AB50" t="s">
        <v>43</v>
      </c>
      <c r="AC50" t="s">
        <v>43</v>
      </c>
      <c r="AD50" t="s">
        <v>43</v>
      </c>
      <c r="AE50" t="s">
        <v>43</v>
      </c>
      <c r="AF50" t="s">
        <v>43</v>
      </c>
      <c r="AG50" t="s">
        <v>43</v>
      </c>
      <c r="AH50" t="s">
        <v>43</v>
      </c>
      <c r="AI50" t="s">
        <v>43</v>
      </c>
      <c r="AJ50" t="s">
        <v>43</v>
      </c>
      <c r="AK50" t="s">
        <v>43</v>
      </c>
      <c r="AL50" t="s">
        <v>43</v>
      </c>
      <c r="AM50" t="s">
        <v>43</v>
      </c>
      <c r="AN50" t="str">
        <f>HYPERLINK("https://www.google.com/maps?q=11.05503368,79.06071472","Open Location")</f>
        <v>Open Location</v>
      </c>
    </row>
    <row r="51" spans="1:40" x14ac:dyDescent="0.3">
      <c r="A51" s="1">
        <v>46210.994212962964</v>
      </c>
      <c r="B51" t="s">
        <v>40</v>
      </c>
      <c r="C51" t="s">
        <v>41</v>
      </c>
      <c r="D51" s="1">
        <v>46210.997118055559</v>
      </c>
      <c r="E51" t="s">
        <v>42</v>
      </c>
      <c r="F51" t="s">
        <v>43</v>
      </c>
      <c r="G51" t="s">
        <v>43</v>
      </c>
      <c r="H51" t="s">
        <v>43</v>
      </c>
      <c r="I51" t="s">
        <v>43</v>
      </c>
      <c r="J51" t="s">
        <v>43</v>
      </c>
      <c r="K51" t="s">
        <v>43</v>
      </c>
      <c r="L51" t="s">
        <v>43</v>
      </c>
      <c r="M51" t="s">
        <v>43</v>
      </c>
      <c r="N51" t="s">
        <v>45</v>
      </c>
      <c r="O51" t="s">
        <v>43</v>
      </c>
      <c r="P51" t="s">
        <v>43</v>
      </c>
      <c r="Q51" t="s">
        <v>43</v>
      </c>
      <c r="R51" t="s">
        <v>43</v>
      </c>
      <c r="S51" t="s">
        <v>43</v>
      </c>
      <c r="T51" t="s">
        <v>43</v>
      </c>
      <c r="U51" t="s">
        <v>43</v>
      </c>
      <c r="V51" t="s">
        <v>43</v>
      </c>
      <c r="W51" t="s">
        <v>43</v>
      </c>
      <c r="X51" t="s">
        <v>43</v>
      </c>
      <c r="Y51" t="s">
        <v>43</v>
      </c>
      <c r="Z51" t="s">
        <v>43</v>
      </c>
      <c r="AA51" t="s">
        <v>43</v>
      </c>
      <c r="AB51" t="s">
        <v>43</v>
      </c>
      <c r="AC51" t="s">
        <v>43</v>
      </c>
      <c r="AD51" t="s">
        <v>43</v>
      </c>
      <c r="AE51" t="s">
        <v>43</v>
      </c>
      <c r="AF51" t="s">
        <v>43</v>
      </c>
      <c r="AG51" t="s">
        <v>43</v>
      </c>
      <c r="AH51" t="s">
        <v>43</v>
      </c>
      <c r="AI51" t="s">
        <v>43</v>
      </c>
      <c r="AJ51" t="s">
        <v>43</v>
      </c>
      <c r="AK51" t="s">
        <v>43</v>
      </c>
      <c r="AL51" t="s">
        <v>43</v>
      </c>
      <c r="AM51" t="s">
        <v>43</v>
      </c>
      <c r="AN51" t="s">
        <v>43</v>
      </c>
    </row>
    <row r="52" spans="1:40" x14ac:dyDescent="0.3">
      <c r="A52" s="1">
        <v>46210.994097222225</v>
      </c>
      <c r="B52" t="s">
        <v>40</v>
      </c>
      <c r="C52" t="s">
        <v>41</v>
      </c>
      <c r="D52" s="1">
        <v>46210.997002314813</v>
      </c>
      <c r="E52" t="s">
        <v>42</v>
      </c>
      <c r="F52" t="s">
        <v>43</v>
      </c>
      <c r="G52" t="s">
        <v>43</v>
      </c>
      <c r="H52" t="s">
        <v>43</v>
      </c>
      <c r="I52" t="s">
        <v>56</v>
      </c>
      <c r="J52" t="s">
        <v>43</v>
      </c>
      <c r="K52" t="s">
        <v>43</v>
      </c>
      <c r="L52" t="s">
        <v>43</v>
      </c>
      <c r="M52" t="s">
        <v>43</v>
      </c>
      <c r="N52" t="s">
        <v>45</v>
      </c>
      <c r="O52" t="s">
        <v>43</v>
      </c>
      <c r="P52" t="s">
        <v>43</v>
      </c>
      <c r="Q52" t="s">
        <v>43</v>
      </c>
      <c r="R52" t="s">
        <v>43</v>
      </c>
      <c r="S52" t="s">
        <v>43</v>
      </c>
      <c r="T52" t="s">
        <v>43</v>
      </c>
      <c r="U52" t="s">
        <v>43</v>
      </c>
      <c r="V52" t="s">
        <v>43</v>
      </c>
      <c r="W52" t="s">
        <v>43</v>
      </c>
      <c r="X52" t="s">
        <v>43</v>
      </c>
      <c r="Y52" t="s">
        <v>43</v>
      </c>
      <c r="Z52" t="s">
        <v>43</v>
      </c>
      <c r="AA52" t="s">
        <v>43</v>
      </c>
      <c r="AB52" t="s">
        <v>43</v>
      </c>
      <c r="AC52" t="s">
        <v>43</v>
      </c>
      <c r="AD52" t="s">
        <v>43</v>
      </c>
      <c r="AE52" t="s">
        <v>43</v>
      </c>
      <c r="AF52" t="s">
        <v>43</v>
      </c>
      <c r="AG52" t="s">
        <v>43</v>
      </c>
      <c r="AH52" t="s">
        <v>43</v>
      </c>
      <c r="AI52" t="s">
        <v>43</v>
      </c>
      <c r="AJ52" t="s">
        <v>43</v>
      </c>
      <c r="AK52" t="s">
        <v>43</v>
      </c>
      <c r="AL52" t="s">
        <v>43</v>
      </c>
      <c r="AM52" t="s">
        <v>43</v>
      </c>
      <c r="AN52" t="str">
        <f>HYPERLINK("https://www.google.com/maps?q=11.05503464,79.06071472","Open Location")</f>
        <v>Open Location</v>
      </c>
    </row>
    <row r="53" spans="1:40" x14ac:dyDescent="0.3">
      <c r="A53" s="1">
        <v>46210.993981481479</v>
      </c>
      <c r="B53" t="s">
        <v>40</v>
      </c>
      <c r="C53" t="s">
        <v>41</v>
      </c>
      <c r="D53" s="1">
        <v>46210.997118055559</v>
      </c>
      <c r="E53" t="s">
        <v>42</v>
      </c>
      <c r="F53" t="s">
        <v>43</v>
      </c>
      <c r="G53" t="s">
        <v>43</v>
      </c>
      <c r="H53" t="s">
        <v>43</v>
      </c>
      <c r="I53" t="s">
        <v>56</v>
      </c>
      <c r="J53" t="s">
        <v>43</v>
      </c>
      <c r="K53" t="s">
        <v>43</v>
      </c>
      <c r="L53" t="s">
        <v>43</v>
      </c>
      <c r="M53" t="s">
        <v>43</v>
      </c>
      <c r="N53" t="s">
        <v>45</v>
      </c>
      <c r="O53" t="s">
        <v>43</v>
      </c>
      <c r="P53" t="s">
        <v>43</v>
      </c>
      <c r="Q53" t="s">
        <v>43</v>
      </c>
      <c r="R53" t="s">
        <v>43</v>
      </c>
      <c r="S53" t="s">
        <v>43</v>
      </c>
      <c r="T53" t="s">
        <v>43</v>
      </c>
      <c r="U53" t="s">
        <v>43</v>
      </c>
      <c r="V53" t="s">
        <v>43</v>
      </c>
      <c r="W53" t="s">
        <v>43</v>
      </c>
      <c r="X53" t="s">
        <v>43</v>
      </c>
      <c r="Y53" t="s">
        <v>43</v>
      </c>
      <c r="Z53" t="s">
        <v>43</v>
      </c>
      <c r="AA53" t="s">
        <v>43</v>
      </c>
      <c r="AB53" t="s">
        <v>43</v>
      </c>
      <c r="AC53" t="s">
        <v>43</v>
      </c>
      <c r="AD53" t="s">
        <v>43</v>
      </c>
      <c r="AE53" t="s">
        <v>43</v>
      </c>
      <c r="AF53" t="s">
        <v>43</v>
      </c>
      <c r="AG53" t="s">
        <v>43</v>
      </c>
      <c r="AH53" t="s">
        <v>43</v>
      </c>
      <c r="AI53" t="s">
        <v>43</v>
      </c>
      <c r="AJ53" t="s">
        <v>43</v>
      </c>
      <c r="AK53" t="s">
        <v>43</v>
      </c>
      <c r="AL53" t="s">
        <v>43</v>
      </c>
      <c r="AM53" t="s">
        <v>43</v>
      </c>
      <c r="AN53" t="str">
        <f>HYPERLINK("https://www.google.com/maps?q=11.05503464,79.06071472","Open Location")</f>
        <v>Open Location</v>
      </c>
    </row>
    <row r="54" spans="1:40" x14ac:dyDescent="0.3">
      <c r="A54" s="1">
        <v>46210.99386574074</v>
      </c>
      <c r="B54" t="s">
        <v>40</v>
      </c>
      <c r="C54" t="s">
        <v>41</v>
      </c>
      <c r="D54" s="1">
        <v>46210.997118055559</v>
      </c>
      <c r="E54" t="s">
        <v>42</v>
      </c>
      <c r="F54" t="s">
        <v>43</v>
      </c>
      <c r="G54" t="s">
        <v>43</v>
      </c>
      <c r="H54" t="s">
        <v>43</v>
      </c>
      <c r="I54" t="s">
        <v>72</v>
      </c>
      <c r="J54" t="s">
        <v>43</v>
      </c>
      <c r="K54" t="s">
        <v>43</v>
      </c>
      <c r="L54" t="s">
        <v>43</v>
      </c>
      <c r="M54" t="s">
        <v>43</v>
      </c>
      <c r="N54" t="s">
        <v>45</v>
      </c>
      <c r="O54" t="s">
        <v>43</v>
      </c>
      <c r="P54" t="s">
        <v>43</v>
      </c>
      <c r="Q54" t="s">
        <v>43</v>
      </c>
      <c r="R54" t="s">
        <v>43</v>
      </c>
      <c r="S54" t="s">
        <v>43</v>
      </c>
      <c r="T54" t="s">
        <v>43</v>
      </c>
      <c r="U54" t="s">
        <v>43</v>
      </c>
      <c r="V54" t="s">
        <v>43</v>
      </c>
      <c r="W54" t="s">
        <v>43</v>
      </c>
      <c r="X54" t="s">
        <v>43</v>
      </c>
      <c r="Y54" t="s">
        <v>43</v>
      </c>
      <c r="Z54" t="s">
        <v>43</v>
      </c>
      <c r="AA54" t="s">
        <v>43</v>
      </c>
      <c r="AB54" t="s">
        <v>43</v>
      </c>
      <c r="AC54" t="s">
        <v>43</v>
      </c>
      <c r="AD54" t="s">
        <v>43</v>
      </c>
      <c r="AE54" t="s">
        <v>43</v>
      </c>
      <c r="AF54" t="s">
        <v>43</v>
      </c>
      <c r="AG54" t="s">
        <v>43</v>
      </c>
      <c r="AH54" t="s">
        <v>43</v>
      </c>
      <c r="AI54" t="s">
        <v>43</v>
      </c>
      <c r="AJ54" t="s">
        <v>43</v>
      </c>
      <c r="AK54" t="s">
        <v>43</v>
      </c>
      <c r="AL54" t="s">
        <v>43</v>
      </c>
      <c r="AM54" t="s">
        <v>43</v>
      </c>
      <c r="AN54" t="str">
        <f>HYPERLINK("https://www.google.com/maps?q=11.05503654,79.06071472","Open Location")</f>
        <v>Open Location</v>
      </c>
    </row>
    <row r="55" spans="1:40" x14ac:dyDescent="0.3">
      <c r="A55" s="1">
        <v>46210.993750000001</v>
      </c>
      <c r="B55" t="s">
        <v>40</v>
      </c>
      <c r="C55" t="s">
        <v>41</v>
      </c>
      <c r="D55" s="1">
        <v>46210.996516203704</v>
      </c>
      <c r="E55" t="s">
        <v>42</v>
      </c>
      <c r="F55" t="s">
        <v>43</v>
      </c>
      <c r="G55" t="s">
        <v>43</v>
      </c>
      <c r="H55" t="s">
        <v>43</v>
      </c>
      <c r="I55" t="s">
        <v>73</v>
      </c>
      <c r="J55" t="s">
        <v>43</v>
      </c>
      <c r="K55" t="s">
        <v>43</v>
      </c>
      <c r="L55" t="s">
        <v>43</v>
      </c>
      <c r="M55" t="s">
        <v>43</v>
      </c>
      <c r="N55" t="s">
        <v>45</v>
      </c>
      <c r="O55" t="s">
        <v>43</v>
      </c>
      <c r="P55" t="s">
        <v>43</v>
      </c>
      <c r="Q55" t="s">
        <v>43</v>
      </c>
      <c r="R55" t="s">
        <v>43</v>
      </c>
      <c r="S55" t="s">
        <v>43</v>
      </c>
      <c r="T55" t="s">
        <v>43</v>
      </c>
      <c r="U55" t="s">
        <v>43</v>
      </c>
      <c r="V55" t="s">
        <v>43</v>
      </c>
      <c r="W55" t="s">
        <v>43</v>
      </c>
      <c r="X55" t="s">
        <v>43</v>
      </c>
      <c r="Y55" t="s">
        <v>43</v>
      </c>
      <c r="Z55" t="s">
        <v>43</v>
      </c>
      <c r="AA55" t="s">
        <v>43</v>
      </c>
      <c r="AB55" t="s">
        <v>43</v>
      </c>
      <c r="AC55" t="s">
        <v>43</v>
      </c>
      <c r="AD55" t="s">
        <v>43</v>
      </c>
      <c r="AE55" t="s">
        <v>43</v>
      </c>
      <c r="AF55" t="s">
        <v>43</v>
      </c>
      <c r="AG55" t="s">
        <v>43</v>
      </c>
      <c r="AH55" t="s">
        <v>43</v>
      </c>
      <c r="AI55" t="s">
        <v>43</v>
      </c>
      <c r="AJ55" t="s">
        <v>43</v>
      </c>
      <c r="AK55" t="s">
        <v>43</v>
      </c>
      <c r="AL55" t="s">
        <v>43</v>
      </c>
      <c r="AM55" t="s">
        <v>43</v>
      </c>
      <c r="AN55" t="str">
        <f>HYPERLINK("https://www.google.com/maps?q=11.05504036,79.06071472","Open Location")</f>
        <v>Open Location</v>
      </c>
    </row>
    <row r="56" spans="1:40" x14ac:dyDescent="0.3">
      <c r="A56" s="1">
        <v>46210.993634259263</v>
      </c>
      <c r="B56" t="s">
        <v>40</v>
      </c>
      <c r="C56" t="s">
        <v>41</v>
      </c>
      <c r="D56" s="1">
        <v>46210.996527777781</v>
      </c>
      <c r="E56" t="s">
        <v>42</v>
      </c>
      <c r="F56" t="s">
        <v>43</v>
      </c>
      <c r="G56" t="s">
        <v>43</v>
      </c>
      <c r="H56" t="s">
        <v>43</v>
      </c>
      <c r="I56" t="s">
        <v>43</v>
      </c>
      <c r="J56" t="s">
        <v>43</v>
      </c>
      <c r="K56" t="s">
        <v>43</v>
      </c>
      <c r="L56" t="s">
        <v>43</v>
      </c>
      <c r="M56" t="s">
        <v>43</v>
      </c>
      <c r="N56" t="s">
        <v>45</v>
      </c>
      <c r="O56" t="s">
        <v>43</v>
      </c>
      <c r="P56" t="s">
        <v>43</v>
      </c>
      <c r="Q56" t="s">
        <v>43</v>
      </c>
      <c r="R56" t="s">
        <v>43</v>
      </c>
      <c r="S56" t="s">
        <v>43</v>
      </c>
      <c r="T56" t="s">
        <v>43</v>
      </c>
      <c r="U56" t="s">
        <v>43</v>
      </c>
      <c r="V56" t="s">
        <v>43</v>
      </c>
      <c r="W56" t="s">
        <v>43</v>
      </c>
      <c r="X56" t="s">
        <v>43</v>
      </c>
      <c r="Y56" t="s">
        <v>43</v>
      </c>
      <c r="Z56" t="s">
        <v>43</v>
      </c>
      <c r="AA56" t="s">
        <v>43</v>
      </c>
      <c r="AB56" t="s">
        <v>43</v>
      </c>
      <c r="AC56" t="s">
        <v>43</v>
      </c>
      <c r="AD56" t="s">
        <v>43</v>
      </c>
      <c r="AE56" t="s">
        <v>43</v>
      </c>
      <c r="AF56" t="s">
        <v>43</v>
      </c>
      <c r="AG56" t="s">
        <v>43</v>
      </c>
      <c r="AH56" t="s">
        <v>43</v>
      </c>
      <c r="AI56" t="s">
        <v>43</v>
      </c>
      <c r="AJ56" t="s">
        <v>43</v>
      </c>
      <c r="AK56" t="s">
        <v>43</v>
      </c>
      <c r="AL56" t="s">
        <v>43</v>
      </c>
      <c r="AM56" t="s">
        <v>43</v>
      </c>
      <c r="AN56" t="s">
        <v>43</v>
      </c>
    </row>
    <row r="57" spans="1:40" x14ac:dyDescent="0.3">
      <c r="A57" s="1">
        <v>46210.993518518517</v>
      </c>
      <c r="B57" t="s">
        <v>40</v>
      </c>
      <c r="C57" t="s">
        <v>41</v>
      </c>
      <c r="D57" s="1">
        <v>46210.996516203704</v>
      </c>
      <c r="E57" t="s">
        <v>42</v>
      </c>
      <c r="F57" t="s">
        <v>43</v>
      </c>
      <c r="G57" t="s">
        <v>43</v>
      </c>
      <c r="H57" t="s">
        <v>43</v>
      </c>
      <c r="I57" t="s">
        <v>74</v>
      </c>
      <c r="J57" t="s">
        <v>43</v>
      </c>
      <c r="K57" t="s">
        <v>43</v>
      </c>
      <c r="L57" t="s">
        <v>43</v>
      </c>
      <c r="M57" t="s">
        <v>43</v>
      </c>
      <c r="N57" t="s">
        <v>45</v>
      </c>
      <c r="O57" t="s">
        <v>43</v>
      </c>
      <c r="P57" t="s">
        <v>43</v>
      </c>
      <c r="Q57" t="s">
        <v>43</v>
      </c>
      <c r="R57" t="s">
        <v>43</v>
      </c>
      <c r="S57" t="s">
        <v>43</v>
      </c>
      <c r="T57" t="s">
        <v>43</v>
      </c>
      <c r="U57" t="s">
        <v>43</v>
      </c>
      <c r="V57" t="s">
        <v>43</v>
      </c>
      <c r="W57" t="s">
        <v>43</v>
      </c>
      <c r="X57" t="s">
        <v>43</v>
      </c>
      <c r="Y57" t="s">
        <v>43</v>
      </c>
      <c r="Z57" t="s">
        <v>43</v>
      </c>
      <c r="AA57" t="s">
        <v>43</v>
      </c>
      <c r="AB57" t="s">
        <v>43</v>
      </c>
      <c r="AC57" t="s">
        <v>43</v>
      </c>
      <c r="AD57" t="s">
        <v>43</v>
      </c>
      <c r="AE57" t="s">
        <v>43</v>
      </c>
      <c r="AF57" t="s">
        <v>43</v>
      </c>
      <c r="AG57" t="s">
        <v>43</v>
      </c>
      <c r="AH57" t="s">
        <v>43</v>
      </c>
      <c r="AI57" t="s">
        <v>43</v>
      </c>
      <c r="AJ57" t="s">
        <v>43</v>
      </c>
      <c r="AK57" t="s">
        <v>43</v>
      </c>
      <c r="AL57" t="s">
        <v>43</v>
      </c>
      <c r="AM57" t="s">
        <v>43</v>
      </c>
      <c r="AN57" t="str">
        <f>HYPERLINK("https://www.google.com/maps?q=11.05503654,79.06070709","Open Location")</f>
        <v>Open Location</v>
      </c>
    </row>
    <row r="58" spans="1:40" x14ac:dyDescent="0.3">
      <c r="A58" s="1">
        <v>46210.993402777778</v>
      </c>
      <c r="B58" t="s">
        <v>40</v>
      </c>
      <c r="C58" t="s">
        <v>41</v>
      </c>
      <c r="D58" s="1">
        <v>46210.996238425927</v>
      </c>
      <c r="E58" t="s">
        <v>42</v>
      </c>
      <c r="F58" t="s">
        <v>43</v>
      </c>
      <c r="G58" t="s">
        <v>43</v>
      </c>
      <c r="H58" t="s">
        <v>43</v>
      </c>
      <c r="I58" t="s">
        <v>53</v>
      </c>
      <c r="J58" t="s">
        <v>43</v>
      </c>
      <c r="K58" t="s">
        <v>43</v>
      </c>
      <c r="L58" t="s">
        <v>43</v>
      </c>
      <c r="M58" t="s">
        <v>43</v>
      </c>
      <c r="N58" t="s">
        <v>45</v>
      </c>
      <c r="O58" t="s">
        <v>43</v>
      </c>
      <c r="P58" t="s">
        <v>43</v>
      </c>
      <c r="Q58" t="s">
        <v>43</v>
      </c>
      <c r="R58" t="s">
        <v>43</v>
      </c>
      <c r="S58" t="s">
        <v>43</v>
      </c>
      <c r="T58" t="s">
        <v>43</v>
      </c>
      <c r="U58" t="s">
        <v>43</v>
      </c>
      <c r="V58" t="s">
        <v>43</v>
      </c>
      <c r="W58" t="s">
        <v>43</v>
      </c>
      <c r="X58" t="s">
        <v>43</v>
      </c>
      <c r="Y58" t="s">
        <v>43</v>
      </c>
      <c r="Z58" t="s">
        <v>43</v>
      </c>
      <c r="AA58" t="s">
        <v>43</v>
      </c>
      <c r="AB58" t="s">
        <v>43</v>
      </c>
      <c r="AC58" t="s">
        <v>43</v>
      </c>
      <c r="AD58" t="s">
        <v>43</v>
      </c>
      <c r="AE58" t="s">
        <v>43</v>
      </c>
      <c r="AF58" t="s">
        <v>43</v>
      </c>
      <c r="AG58" t="s">
        <v>43</v>
      </c>
      <c r="AH58" t="s">
        <v>43</v>
      </c>
      <c r="AI58" t="s">
        <v>43</v>
      </c>
      <c r="AJ58" t="s">
        <v>43</v>
      </c>
      <c r="AK58" t="s">
        <v>43</v>
      </c>
      <c r="AL58" t="s">
        <v>43</v>
      </c>
      <c r="AM58" t="s">
        <v>43</v>
      </c>
      <c r="AN58" t="str">
        <f>HYPERLINK("https://www.google.com/maps?q=11.05503368,79.06070709","Open Location")</f>
        <v>Open Location</v>
      </c>
    </row>
    <row r="59" spans="1:40" x14ac:dyDescent="0.3">
      <c r="A59" s="1">
        <v>46210.993287037039</v>
      </c>
      <c r="B59" t="s">
        <v>40</v>
      </c>
      <c r="C59" t="s">
        <v>41</v>
      </c>
      <c r="D59" s="1">
        <v>46210.996145833335</v>
      </c>
      <c r="E59" t="s">
        <v>42</v>
      </c>
      <c r="F59" t="s">
        <v>43</v>
      </c>
      <c r="G59" t="s">
        <v>43</v>
      </c>
      <c r="H59" t="s">
        <v>43</v>
      </c>
      <c r="I59" t="s">
        <v>46</v>
      </c>
      <c r="J59" t="s">
        <v>43</v>
      </c>
      <c r="K59" t="s">
        <v>43</v>
      </c>
      <c r="L59" t="s">
        <v>43</v>
      </c>
      <c r="M59" t="s">
        <v>43</v>
      </c>
      <c r="N59" t="s">
        <v>45</v>
      </c>
      <c r="O59" t="s">
        <v>43</v>
      </c>
      <c r="P59" t="s">
        <v>43</v>
      </c>
      <c r="Q59" t="s">
        <v>43</v>
      </c>
      <c r="R59" t="s">
        <v>43</v>
      </c>
      <c r="S59" t="s">
        <v>43</v>
      </c>
      <c r="T59" t="s">
        <v>43</v>
      </c>
      <c r="U59" t="s">
        <v>43</v>
      </c>
      <c r="V59" t="s">
        <v>43</v>
      </c>
      <c r="W59" t="s">
        <v>43</v>
      </c>
      <c r="X59" t="s">
        <v>43</v>
      </c>
      <c r="Y59" t="s">
        <v>43</v>
      </c>
      <c r="Z59" t="s">
        <v>43</v>
      </c>
      <c r="AA59" t="s">
        <v>43</v>
      </c>
      <c r="AB59" t="s">
        <v>43</v>
      </c>
      <c r="AC59" t="s">
        <v>43</v>
      </c>
      <c r="AD59" t="s">
        <v>43</v>
      </c>
      <c r="AE59" t="s">
        <v>43</v>
      </c>
      <c r="AF59" t="s">
        <v>43</v>
      </c>
      <c r="AG59" t="s">
        <v>43</v>
      </c>
      <c r="AH59" t="s">
        <v>43</v>
      </c>
      <c r="AI59" t="s">
        <v>43</v>
      </c>
      <c r="AJ59" t="s">
        <v>43</v>
      </c>
      <c r="AK59" t="s">
        <v>43</v>
      </c>
      <c r="AL59" t="s">
        <v>43</v>
      </c>
      <c r="AM59" t="s">
        <v>43</v>
      </c>
      <c r="AN59" t="str">
        <f>HYPERLINK("https://www.google.com/maps?q=11.05503082,79.06070709","Open Location")</f>
        <v>Open Location</v>
      </c>
    </row>
    <row r="60" spans="1:40" x14ac:dyDescent="0.3">
      <c r="A60" s="1">
        <v>46210.993171296293</v>
      </c>
      <c r="B60" t="s">
        <v>40</v>
      </c>
      <c r="C60" t="s">
        <v>41</v>
      </c>
      <c r="D60" s="1">
        <v>46210.99622685185</v>
      </c>
      <c r="E60" t="s">
        <v>42</v>
      </c>
      <c r="F60" t="s">
        <v>43</v>
      </c>
      <c r="G60" t="s">
        <v>43</v>
      </c>
      <c r="H60" t="s">
        <v>43</v>
      </c>
      <c r="I60" t="s">
        <v>57</v>
      </c>
      <c r="J60" t="s">
        <v>43</v>
      </c>
      <c r="K60" t="s">
        <v>43</v>
      </c>
      <c r="L60" t="s">
        <v>43</v>
      </c>
      <c r="M60" t="s">
        <v>43</v>
      </c>
      <c r="N60" t="s">
        <v>45</v>
      </c>
      <c r="O60" t="s">
        <v>43</v>
      </c>
      <c r="P60" t="s">
        <v>43</v>
      </c>
      <c r="Q60" t="s">
        <v>43</v>
      </c>
      <c r="R60" t="s">
        <v>43</v>
      </c>
      <c r="S60" t="s">
        <v>43</v>
      </c>
      <c r="T60" t="s">
        <v>43</v>
      </c>
      <c r="U60" t="s">
        <v>43</v>
      </c>
      <c r="V60" t="s">
        <v>43</v>
      </c>
      <c r="W60" t="s">
        <v>43</v>
      </c>
      <c r="X60" t="s">
        <v>43</v>
      </c>
      <c r="Y60" t="s">
        <v>43</v>
      </c>
      <c r="Z60" t="s">
        <v>43</v>
      </c>
      <c r="AA60" t="s">
        <v>43</v>
      </c>
      <c r="AB60" t="s">
        <v>43</v>
      </c>
      <c r="AC60" t="s">
        <v>43</v>
      </c>
      <c r="AD60" t="s">
        <v>43</v>
      </c>
      <c r="AE60" t="s">
        <v>43</v>
      </c>
      <c r="AF60" t="s">
        <v>43</v>
      </c>
      <c r="AG60" t="s">
        <v>43</v>
      </c>
      <c r="AH60" t="s">
        <v>43</v>
      </c>
      <c r="AI60" t="s">
        <v>43</v>
      </c>
      <c r="AJ60" t="s">
        <v>43</v>
      </c>
      <c r="AK60" t="s">
        <v>43</v>
      </c>
      <c r="AL60" t="s">
        <v>43</v>
      </c>
      <c r="AM60" t="s">
        <v>43</v>
      </c>
      <c r="AN60" t="str">
        <f>HYPERLINK("https://www.google.com/maps?q=11.05503082,79.06071472","Open Location")</f>
        <v>Open Location</v>
      </c>
    </row>
    <row r="61" spans="1:40" x14ac:dyDescent="0.3">
      <c r="A61" s="1">
        <v>46210.993055555555</v>
      </c>
      <c r="B61" t="s">
        <v>40</v>
      </c>
      <c r="C61" t="s">
        <v>41</v>
      </c>
      <c r="D61" s="1">
        <v>46210.995810185188</v>
      </c>
      <c r="E61" t="s">
        <v>42</v>
      </c>
      <c r="F61" t="s">
        <v>43</v>
      </c>
      <c r="G61" t="s">
        <v>43</v>
      </c>
      <c r="H61" t="s">
        <v>43</v>
      </c>
      <c r="I61" t="s">
        <v>75</v>
      </c>
      <c r="J61" t="s">
        <v>43</v>
      </c>
      <c r="K61" t="s">
        <v>43</v>
      </c>
      <c r="L61" t="s">
        <v>43</v>
      </c>
      <c r="M61" t="s">
        <v>43</v>
      </c>
      <c r="N61" t="s">
        <v>45</v>
      </c>
      <c r="O61" t="s">
        <v>43</v>
      </c>
      <c r="P61" t="s">
        <v>43</v>
      </c>
      <c r="Q61" t="s">
        <v>43</v>
      </c>
      <c r="R61" t="s">
        <v>43</v>
      </c>
      <c r="S61">
        <v>0</v>
      </c>
      <c r="T61">
        <v>-40</v>
      </c>
      <c r="U61">
        <v>35</v>
      </c>
      <c r="V61">
        <v>0</v>
      </c>
      <c r="W61" t="s">
        <v>43</v>
      </c>
      <c r="X61" t="s">
        <v>43</v>
      </c>
      <c r="Y61" t="s">
        <v>43</v>
      </c>
      <c r="Z61" t="s">
        <v>43</v>
      </c>
      <c r="AA61" t="s">
        <v>43</v>
      </c>
      <c r="AB61" t="s">
        <v>43</v>
      </c>
      <c r="AC61" t="s">
        <v>43</v>
      </c>
      <c r="AD61" t="s">
        <v>43</v>
      </c>
      <c r="AE61" t="s">
        <v>43</v>
      </c>
      <c r="AF61" t="s">
        <v>43</v>
      </c>
      <c r="AG61" t="s">
        <v>43</v>
      </c>
      <c r="AH61" t="s">
        <v>43</v>
      </c>
      <c r="AI61" t="s">
        <v>43</v>
      </c>
      <c r="AJ61" t="s">
        <v>43</v>
      </c>
      <c r="AK61" t="s">
        <v>43</v>
      </c>
      <c r="AL61" t="s">
        <v>43</v>
      </c>
      <c r="AM61" t="s">
        <v>43</v>
      </c>
      <c r="AN61" t="str">
        <f>HYPERLINK("https://www.google.com/maps?q=11.05502892,79.06070709","Open Location")</f>
        <v>Open Location</v>
      </c>
    </row>
    <row r="62" spans="1:40" x14ac:dyDescent="0.3">
      <c r="A62" s="1">
        <v>46210.992939814816</v>
      </c>
      <c r="B62" t="s">
        <v>40</v>
      </c>
      <c r="C62" t="s">
        <v>41</v>
      </c>
      <c r="D62" s="1">
        <v>46210.995729166665</v>
      </c>
      <c r="E62" t="s">
        <v>42</v>
      </c>
      <c r="F62" t="s">
        <v>43</v>
      </c>
      <c r="G62" t="s">
        <v>43</v>
      </c>
      <c r="H62" t="s">
        <v>43</v>
      </c>
      <c r="I62" t="s">
        <v>43</v>
      </c>
      <c r="J62" t="s">
        <v>43</v>
      </c>
      <c r="K62" t="s">
        <v>43</v>
      </c>
      <c r="L62" t="s">
        <v>43</v>
      </c>
      <c r="M62" t="s">
        <v>43</v>
      </c>
      <c r="N62" t="s">
        <v>45</v>
      </c>
      <c r="O62" t="s">
        <v>43</v>
      </c>
      <c r="P62" t="s">
        <v>43</v>
      </c>
      <c r="Q62" t="s">
        <v>43</v>
      </c>
      <c r="R62" t="s">
        <v>43</v>
      </c>
      <c r="S62">
        <v>0</v>
      </c>
      <c r="T62">
        <v>-40</v>
      </c>
      <c r="U62">
        <v>35</v>
      </c>
      <c r="V62">
        <v>0</v>
      </c>
      <c r="W62" t="s">
        <v>43</v>
      </c>
      <c r="X62" t="s">
        <v>43</v>
      </c>
      <c r="Y62" t="s">
        <v>43</v>
      </c>
      <c r="Z62" t="s">
        <v>43</v>
      </c>
      <c r="AA62" t="s">
        <v>43</v>
      </c>
      <c r="AB62" t="s">
        <v>43</v>
      </c>
      <c r="AC62" t="s">
        <v>43</v>
      </c>
      <c r="AD62" t="s">
        <v>43</v>
      </c>
      <c r="AE62" t="s">
        <v>43</v>
      </c>
      <c r="AF62" t="s">
        <v>43</v>
      </c>
      <c r="AG62" t="s">
        <v>43</v>
      </c>
      <c r="AH62" t="s">
        <v>43</v>
      </c>
      <c r="AI62" t="s">
        <v>43</v>
      </c>
      <c r="AJ62" t="s">
        <v>43</v>
      </c>
      <c r="AK62" t="s">
        <v>43</v>
      </c>
      <c r="AL62" t="s">
        <v>43</v>
      </c>
      <c r="AM62" t="s">
        <v>43</v>
      </c>
      <c r="AN62" t="s">
        <v>43</v>
      </c>
    </row>
    <row r="63" spans="1:40" x14ac:dyDescent="0.3">
      <c r="A63" s="1">
        <v>46210.992824074077</v>
      </c>
      <c r="B63" t="s">
        <v>40</v>
      </c>
      <c r="C63" t="s">
        <v>41</v>
      </c>
      <c r="D63" s="1">
        <v>46210.99554398148</v>
      </c>
      <c r="E63" t="s">
        <v>42</v>
      </c>
      <c r="F63" t="s">
        <v>43</v>
      </c>
      <c r="G63" t="s">
        <v>43</v>
      </c>
      <c r="H63" t="s">
        <v>43</v>
      </c>
      <c r="I63" t="s">
        <v>76</v>
      </c>
      <c r="J63" t="s">
        <v>43</v>
      </c>
      <c r="K63" t="s">
        <v>43</v>
      </c>
      <c r="L63" t="s">
        <v>43</v>
      </c>
      <c r="M63" t="s">
        <v>43</v>
      </c>
      <c r="N63" t="s">
        <v>45</v>
      </c>
      <c r="O63" t="s">
        <v>43</v>
      </c>
      <c r="P63" t="s">
        <v>43</v>
      </c>
      <c r="Q63" t="s">
        <v>43</v>
      </c>
      <c r="R63" t="s">
        <v>43</v>
      </c>
      <c r="S63">
        <v>0</v>
      </c>
      <c r="T63">
        <v>-40</v>
      </c>
      <c r="U63">
        <v>35</v>
      </c>
      <c r="V63">
        <v>0</v>
      </c>
      <c r="W63" t="s">
        <v>43</v>
      </c>
      <c r="X63" t="s">
        <v>43</v>
      </c>
      <c r="Y63" t="s">
        <v>43</v>
      </c>
      <c r="Z63" t="s">
        <v>43</v>
      </c>
      <c r="AA63" t="s">
        <v>43</v>
      </c>
      <c r="AB63" t="s">
        <v>43</v>
      </c>
      <c r="AC63" t="s">
        <v>43</v>
      </c>
      <c r="AD63" t="s">
        <v>43</v>
      </c>
      <c r="AE63" t="s">
        <v>43</v>
      </c>
      <c r="AF63" t="s">
        <v>43</v>
      </c>
      <c r="AG63" t="s">
        <v>43</v>
      </c>
      <c r="AH63" t="s">
        <v>43</v>
      </c>
      <c r="AI63" t="s">
        <v>43</v>
      </c>
      <c r="AJ63" t="s">
        <v>43</v>
      </c>
      <c r="AK63" t="s">
        <v>43</v>
      </c>
      <c r="AL63" t="s">
        <v>43</v>
      </c>
      <c r="AM63" t="s">
        <v>43</v>
      </c>
      <c r="AN63" t="str">
        <f>HYPERLINK("https://www.google.com/maps?q=11.05502796,79.06070709","Open Location")</f>
        <v>Open Location</v>
      </c>
    </row>
    <row r="64" spans="1:40" x14ac:dyDescent="0.3">
      <c r="A64" s="1">
        <v>46210.992708333331</v>
      </c>
      <c r="B64" t="s">
        <v>40</v>
      </c>
      <c r="C64" t="s">
        <v>41</v>
      </c>
      <c r="D64" s="1">
        <v>46210.995497685188</v>
      </c>
      <c r="E64" t="s">
        <v>42</v>
      </c>
      <c r="F64" t="s">
        <v>43</v>
      </c>
      <c r="G64" t="s">
        <v>43</v>
      </c>
      <c r="H64" t="s">
        <v>43</v>
      </c>
      <c r="I64" t="s">
        <v>77</v>
      </c>
      <c r="J64" t="s">
        <v>43</v>
      </c>
      <c r="K64" t="s">
        <v>43</v>
      </c>
      <c r="L64" t="s">
        <v>43</v>
      </c>
      <c r="M64" t="s">
        <v>43</v>
      </c>
      <c r="N64" t="s">
        <v>45</v>
      </c>
      <c r="O64" t="s">
        <v>43</v>
      </c>
      <c r="P64" t="s">
        <v>43</v>
      </c>
      <c r="Q64" t="s">
        <v>43</v>
      </c>
      <c r="R64" t="s">
        <v>43</v>
      </c>
      <c r="S64">
        <v>0</v>
      </c>
      <c r="T64">
        <v>-40</v>
      </c>
      <c r="U64">
        <v>35</v>
      </c>
      <c r="V64">
        <v>0</v>
      </c>
      <c r="W64" t="s">
        <v>43</v>
      </c>
      <c r="X64" t="s">
        <v>43</v>
      </c>
      <c r="Y64" t="s">
        <v>43</v>
      </c>
      <c r="Z64" t="s">
        <v>43</v>
      </c>
      <c r="AA64" t="s">
        <v>43</v>
      </c>
      <c r="AB64" t="s">
        <v>43</v>
      </c>
      <c r="AC64" t="s">
        <v>43</v>
      </c>
      <c r="AD64" t="s">
        <v>43</v>
      </c>
      <c r="AE64" t="s">
        <v>43</v>
      </c>
      <c r="AF64" t="s">
        <v>43</v>
      </c>
      <c r="AG64" t="s">
        <v>43</v>
      </c>
      <c r="AH64" t="s">
        <v>43</v>
      </c>
      <c r="AI64" t="s">
        <v>43</v>
      </c>
      <c r="AJ64" t="s">
        <v>43</v>
      </c>
      <c r="AK64" t="s">
        <v>43</v>
      </c>
      <c r="AL64" t="s">
        <v>43</v>
      </c>
      <c r="AM64" t="s">
        <v>43</v>
      </c>
      <c r="AN64" t="str">
        <f>HYPERLINK("https://www.google.com/maps?q=11.05502224,79.06070709","Open Location")</f>
        <v>Open Location</v>
      </c>
    </row>
    <row r="65" spans="1:40" x14ac:dyDescent="0.3">
      <c r="A65" s="1">
        <v>46210.992592592593</v>
      </c>
      <c r="B65" t="s">
        <v>40</v>
      </c>
      <c r="C65" t="s">
        <v>41</v>
      </c>
      <c r="D65" s="1">
        <v>46210.995300925926</v>
      </c>
      <c r="E65" t="s">
        <v>42</v>
      </c>
      <c r="F65" t="s">
        <v>43</v>
      </c>
      <c r="G65" t="s">
        <v>43</v>
      </c>
      <c r="H65" t="s">
        <v>43</v>
      </c>
      <c r="I65" t="s">
        <v>78</v>
      </c>
      <c r="J65" t="s">
        <v>43</v>
      </c>
      <c r="K65" t="s">
        <v>43</v>
      </c>
      <c r="L65" t="s">
        <v>43</v>
      </c>
      <c r="M65" t="s">
        <v>43</v>
      </c>
      <c r="N65" t="s">
        <v>45</v>
      </c>
      <c r="O65" t="s">
        <v>43</v>
      </c>
      <c r="P65" t="s">
        <v>43</v>
      </c>
      <c r="Q65" t="s">
        <v>43</v>
      </c>
      <c r="R65" t="s">
        <v>43</v>
      </c>
      <c r="S65">
        <v>0</v>
      </c>
      <c r="T65">
        <v>-40</v>
      </c>
      <c r="U65">
        <v>35</v>
      </c>
      <c r="V65">
        <v>0</v>
      </c>
      <c r="W65" t="s">
        <v>43</v>
      </c>
      <c r="X65" t="s">
        <v>43</v>
      </c>
      <c r="Y65" t="s">
        <v>43</v>
      </c>
      <c r="Z65" t="s">
        <v>43</v>
      </c>
      <c r="AA65" t="s">
        <v>43</v>
      </c>
      <c r="AB65" t="s">
        <v>43</v>
      </c>
      <c r="AC65" t="s">
        <v>43</v>
      </c>
      <c r="AD65" t="s">
        <v>43</v>
      </c>
      <c r="AE65" t="s">
        <v>43</v>
      </c>
      <c r="AF65" t="s">
        <v>43</v>
      </c>
      <c r="AG65" t="s">
        <v>43</v>
      </c>
      <c r="AH65" t="s">
        <v>43</v>
      </c>
      <c r="AI65" t="s">
        <v>43</v>
      </c>
      <c r="AJ65" t="s">
        <v>43</v>
      </c>
      <c r="AK65" t="s">
        <v>43</v>
      </c>
      <c r="AL65" t="s">
        <v>43</v>
      </c>
      <c r="AM65" t="s">
        <v>43</v>
      </c>
      <c r="AN65" t="str">
        <f>HYPERLINK("https://www.google.com/maps?q=11.05502129,79.06070709","Open Location")</f>
        <v>Open Location</v>
      </c>
    </row>
    <row r="66" spans="1:40" x14ac:dyDescent="0.3">
      <c r="A66" s="1">
        <v>46210.992476851854</v>
      </c>
      <c r="B66" t="s">
        <v>40</v>
      </c>
      <c r="C66" t="s">
        <v>41</v>
      </c>
      <c r="D66" s="1">
        <v>46210.995370370372</v>
      </c>
      <c r="E66" t="s">
        <v>42</v>
      </c>
      <c r="F66" t="s">
        <v>43</v>
      </c>
      <c r="G66" t="s">
        <v>43</v>
      </c>
      <c r="H66" t="s">
        <v>43</v>
      </c>
      <c r="I66" t="s">
        <v>79</v>
      </c>
      <c r="J66" t="s">
        <v>43</v>
      </c>
      <c r="K66" t="s">
        <v>43</v>
      </c>
      <c r="L66" t="s">
        <v>43</v>
      </c>
      <c r="M66" t="s">
        <v>43</v>
      </c>
      <c r="N66" t="s">
        <v>45</v>
      </c>
      <c r="O66" t="s">
        <v>43</v>
      </c>
      <c r="P66" t="s">
        <v>43</v>
      </c>
      <c r="Q66" t="s">
        <v>43</v>
      </c>
      <c r="R66" t="s">
        <v>43</v>
      </c>
      <c r="S66">
        <v>0</v>
      </c>
      <c r="T66">
        <v>-40</v>
      </c>
      <c r="U66">
        <v>35</v>
      </c>
      <c r="V66">
        <v>0</v>
      </c>
      <c r="W66" t="s">
        <v>43</v>
      </c>
      <c r="X66" t="s">
        <v>43</v>
      </c>
      <c r="Y66" t="s">
        <v>43</v>
      </c>
      <c r="Z66" t="s">
        <v>43</v>
      </c>
      <c r="AA66" t="s">
        <v>43</v>
      </c>
      <c r="AB66" t="s">
        <v>43</v>
      </c>
      <c r="AC66" t="s">
        <v>43</v>
      </c>
      <c r="AD66" t="s">
        <v>43</v>
      </c>
      <c r="AE66" t="s">
        <v>43</v>
      </c>
      <c r="AF66" t="s">
        <v>43</v>
      </c>
      <c r="AG66" t="s">
        <v>43</v>
      </c>
      <c r="AH66" t="s">
        <v>43</v>
      </c>
      <c r="AI66" t="s">
        <v>43</v>
      </c>
      <c r="AJ66" t="s">
        <v>43</v>
      </c>
      <c r="AK66" t="s">
        <v>43</v>
      </c>
      <c r="AL66" t="s">
        <v>43</v>
      </c>
      <c r="AM66" t="s">
        <v>43</v>
      </c>
      <c r="AN66" t="str">
        <f>HYPERLINK("https://www.google.com/maps?q=11.05502319,79.06071472","Open Location")</f>
        <v>Open Location</v>
      </c>
    </row>
    <row r="67" spans="1:40" x14ac:dyDescent="0.3">
      <c r="A67" s="1">
        <v>46210.992361111108</v>
      </c>
      <c r="B67" t="s">
        <v>40</v>
      </c>
      <c r="C67" t="s">
        <v>41</v>
      </c>
      <c r="D67" s="1">
        <v>46210.995069444441</v>
      </c>
      <c r="E67" t="s">
        <v>42</v>
      </c>
      <c r="F67" t="s">
        <v>43</v>
      </c>
      <c r="G67" t="s">
        <v>43</v>
      </c>
      <c r="H67" t="s">
        <v>43</v>
      </c>
      <c r="I67" t="s">
        <v>80</v>
      </c>
      <c r="J67" t="s">
        <v>43</v>
      </c>
      <c r="K67" t="s">
        <v>43</v>
      </c>
      <c r="L67" t="s">
        <v>43</v>
      </c>
      <c r="M67" t="s">
        <v>43</v>
      </c>
      <c r="N67" t="s">
        <v>45</v>
      </c>
      <c r="O67" t="s">
        <v>43</v>
      </c>
      <c r="P67" t="s">
        <v>43</v>
      </c>
      <c r="Q67" t="s">
        <v>43</v>
      </c>
      <c r="R67" t="s">
        <v>43</v>
      </c>
      <c r="S67">
        <v>0</v>
      </c>
      <c r="T67">
        <v>-40</v>
      </c>
      <c r="U67">
        <v>35</v>
      </c>
      <c r="V67">
        <v>0</v>
      </c>
      <c r="W67" t="s">
        <v>43</v>
      </c>
      <c r="X67" t="s">
        <v>43</v>
      </c>
      <c r="Y67" t="s">
        <v>43</v>
      </c>
      <c r="Z67" t="s">
        <v>43</v>
      </c>
      <c r="AA67" t="s">
        <v>43</v>
      </c>
      <c r="AB67" t="s">
        <v>43</v>
      </c>
      <c r="AC67" t="s">
        <v>43</v>
      </c>
      <c r="AD67" t="s">
        <v>43</v>
      </c>
      <c r="AE67" t="s">
        <v>43</v>
      </c>
      <c r="AF67" t="s">
        <v>43</v>
      </c>
      <c r="AG67" t="s">
        <v>43</v>
      </c>
      <c r="AH67" t="s">
        <v>43</v>
      </c>
      <c r="AI67" t="s">
        <v>43</v>
      </c>
      <c r="AJ67" t="s">
        <v>43</v>
      </c>
      <c r="AK67" t="s">
        <v>43</v>
      </c>
      <c r="AL67" t="s">
        <v>43</v>
      </c>
      <c r="AM67" t="s">
        <v>43</v>
      </c>
      <c r="AN67" t="str">
        <f>HYPERLINK("https://www.google.com/maps?q=11.0550251,79.06071472","Open Location")</f>
        <v>Open Location</v>
      </c>
    </row>
    <row r="68" spans="1:40" x14ac:dyDescent="0.3">
      <c r="A68" s="1">
        <v>46210.992245370369</v>
      </c>
      <c r="B68" t="s">
        <v>40</v>
      </c>
      <c r="C68" t="s">
        <v>41</v>
      </c>
      <c r="D68" s="1">
        <v>46210.995127314818</v>
      </c>
      <c r="E68" t="s">
        <v>42</v>
      </c>
      <c r="F68" t="s">
        <v>43</v>
      </c>
      <c r="G68" t="s">
        <v>43</v>
      </c>
      <c r="H68" t="s">
        <v>43</v>
      </c>
      <c r="I68" t="s">
        <v>43</v>
      </c>
      <c r="J68" t="s">
        <v>43</v>
      </c>
      <c r="K68" t="s">
        <v>43</v>
      </c>
      <c r="L68" t="s">
        <v>43</v>
      </c>
      <c r="M68" t="s">
        <v>43</v>
      </c>
      <c r="N68" t="s">
        <v>45</v>
      </c>
      <c r="O68" t="s">
        <v>43</v>
      </c>
      <c r="P68" t="s">
        <v>43</v>
      </c>
      <c r="Q68" t="s">
        <v>43</v>
      </c>
      <c r="R68" t="s">
        <v>43</v>
      </c>
      <c r="S68">
        <v>0</v>
      </c>
      <c r="T68">
        <v>-40</v>
      </c>
      <c r="U68">
        <v>35</v>
      </c>
      <c r="V68">
        <v>0</v>
      </c>
      <c r="W68" t="s">
        <v>43</v>
      </c>
      <c r="X68" t="s">
        <v>43</v>
      </c>
      <c r="Y68" t="s">
        <v>43</v>
      </c>
      <c r="Z68" t="s">
        <v>43</v>
      </c>
      <c r="AA68" t="s">
        <v>43</v>
      </c>
      <c r="AB68" t="s">
        <v>43</v>
      </c>
      <c r="AC68" t="s">
        <v>43</v>
      </c>
      <c r="AD68" t="s">
        <v>43</v>
      </c>
      <c r="AE68" t="s">
        <v>43</v>
      </c>
      <c r="AF68" t="s">
        <v>43</v>
      </c>
      <c r="AG68" t="s">
        <v>43</v>
      </c>
      <c r="AH68" t="s">
        <v>43</v>
      </c>
      <c r="AI68" t="s">
        <v>43</v>
      </c>
      <c r="AJ68" t="s">
        <v>43</v>
      </c>
      <c r="AK68" t="s">
        <v>43</v>
      </c>
      <c r="AL68" t="s">
        <v>43</v>
      </c>
      <c r="AM68" t="s">
        <v>43</v>
      </c>
      <c r="AN68" t="s">
        <v>43</v>
      </c>
    </row>
    <row r="69" spans="1:40" x14ac:dyDescent="0.3">
      <c r="A69" s="1">
        <v>46210.992129629631</v>
      </c>
      <c r="B69" t="s">
        <v>40</v>
      </c>
      <c r="C69" t="s">
        <v>41</v>
      </c>
      <c r="D69" s="1">
        <v>46210.994780092595</v>
      </c>
      <c r="E69" t="s">
        <v>42</v>
      </c>
      <c r="F69" t="s">
        <v>43</v>
      </c>
      <c r="G69" t="s">
        <v>43</v>
      </c>
      <c r="H69" t="s">
        <v>43</v>
      </c>
      <c r="I69" t="s">
        <v>61</v>
      </c>
      <c r="J69" t="s">
        <v>43</v>
      </c>
      <c r="K69" t="s">
        <v>43</v>
      </c>
      <c r="L69" t="s">
        <v>43</v>
      </c>
      <c r="M69" t="s">
        <v>43</v>
      </c>
      <c r="N69" t="s">
        <v>45</v>
      </c>
      <c r="O69" t="s">
        <v>43</v>
      </c>
      <c r="P69" t="s">
        <v>43</v>
      </c>
      <c r="Q69" t="s">
        <v>43</v>
      </c>
      <c r="R69" t="s">
        <v>43</v>
      </c>
      <c r="S69">
        <v>0</v>
      </c>
      <c r="T69">
        <v>-40</v>
      </c>
      <c r="U69">
        <v>36</v>
      </c>
      <c r="V69">
        <v>0</v>
      </c>
      <c r="W69" t="s">
        <v>43</v>
      </c>
      <c r="X69" t="s">
        <v>43</v>
      </c>
      <c r="Y69" t="s">
        <v>43</v>
      </c>
      <c r="Z69" t="s">
        <v>43</v>
      </c>
      <c r="AA69" t="s">
        <v>43</v>
      </c>
      <c r="AB69" t="s">
        <v>43</v>
      </c>
      <c r="AC69" t="s">
        <v>43</v>
      </c>
      <c r="AD69" t="s">
        <v>43</v>
      </c>
      <c r="AE69" t="s">
        <v>43</v>
      </c>
      <c r="AF69" t="s">
        <v>43</v>
      </c>
      <c r="AG69" t="s">
        <v>43</v>
      </c>
      <c r="AH69" t="s">
        <v>43</v>
      </c>
      <c r="AI69" t="s">
        <v>43</v>
      </c>
      <c r="AJ69" t="s">
        <v>43</v>
      </c>
      <c r="AK69" t="s">
        <v>43</v>
      </c>
      <c r="AL69" t="s">
        <v>43</v>
      </c>
      <c r="AM69" t="s">
        <v>43</v>
      </c>
      <c r="AN69" t="str">
        <f>HYPERLINK("https://www.google.com/maps?q=11.05503178,79.06071472","Open Location")</f>
        <v>Open Location</v>
      </c>
    </row>
    <row r="70" spans="1:40" x14ac:dyDescent="0.3">
      <c r="A70" s="1">
        <v>46210.992013888892</v>
      </c>
      <c r="B70" t="s">
        <v>40</v>
      </c>
      <c r="C70" t="s">
        <v>41</v>
      </c>
      <c r="D70" s="1">
        <v>46210.994953703703</v>
      </c>
      <c r="E70" t="s">
        <v>42</v>
      </c>
      <c r="F70" t="s">
        <v>43</v>
      </c>
      <c r="G70">
        <v>0</v>
      </c>
      <c r="H70">
        <v>33206</v>
      </c>
      <c r="I70" t="s">
        <v>75</v>
      </c>
      <c r="J70">
        <v>35</v>
      </c>
      <c r="K70">
        <v>0</v>
      </c>
      <c r="L70">
        <v>98</v>
      </c>
      <c r="M70">
        <v>630.40002441000001</v>
      </c>
      <c r="N70" t="s">
        <v>81</v>
      </c>
      <c r="O70" t="s">
        <v>43</v>
      </c>
      <c r="P70">
        <v>125</v>
      </c>
      <c r="Q70" t="s">
        <v>82</v>
      </c>
      <c r="R70">
        <v>0</v>
      </c>
      <c r="S70">
        <v>0</v>
      </c>
      <c r="T70">
        <v>-40</v>
      </c>
      <c r="U70">
        <v>36</v>
      </c>
      <c r="V70">
        <v>0</v>
      </c>
      <c r="W70">
        <v>29</v>
      </c>
      <c r="X70">
        <v>29</v>
      </c>
      <c r="Y70">
        <v>1</v>
      </c>
      <c r="Z70">
        <v>8</v>
      </c>
      <c r="AA70">
        <v>26</v>
      </c>
      <c r="AB70">
        <v>2</v>
      </c>
      <c r="AC70">
        <v>1</v>
      </c>
      <c r="AD70">
        <v>3.28600001</v>
      </c>
      <c r="AE70">
        <v>1</v>
      </c>
      <c r="AF70">
        <v>1</v>
      </c>
      <c r="AG70">
        <v>3.28299999</v>
      </c>
      <c r="AH70">
        <v>2</v>
      </c>
      <c r="AI70">
        <v>45</v>
      </c>
      <c r="AJ70" t="s">
        <v>43</v>
      </c>
      <c r="AK70" t="s">
        <v>43</v>
      </c>
      <c r="AL70" t="s">
        <v>43</v>
      </c>
      <c r="AM70" t="s">
        <v>43</v>
      </c>
      <c r="AN70" t="str">
        <f>HYPERLINK("https://www.google.com/maps?q=11.05502892,79.06070709","Open Location")</f>
        <v>Open Location</v>
      </c>
    </row>
    <row r="71" spans="1:40" x14ac:dyDescent="0.3">
      <c r="A71" s="1">
        <v>46210.991898148146</v>
      </c>
      <c r="B71" t="s">
        <v>40</v>
      </c>
      <c r="C71" t="s">
        <v>41</v>
      </c>
      <c r="D71" s="1">
        <v>46210.99490740741</v>
      </c>
      <c r="E71" t="s">
        <v>42</v>
      </c>
      <c r="F71" t="s">
        <v>83</v>
      </c>
      <c r="G71">
        <v>0</v>
      </c>
      <c r="H71" t="s">
        <v>43</v>
      </c>
      <c r="I71" t="s">
        <v>84</v>
      </c>
      <c r="J71">
        <v>35</v>
      </c>
      <c r="K71">
        <v>4</v>
      </c>
      <c r="L71">
        <v>98</v>
      </c>
      <c r="M71">
        <v>630.20001220999995</v>
      </c>
      <c r="N71" t="s">
        <v>85</v>
      </c>
      <c r="O71" t="s">
        <v>86</v>
      </c>
      <c r="P71">
        <v>127</v>
      </c>
      <c r="Q71">
        <v>2</v>
      </c>
      <c r="R71">
        <v>0</v>
      </c>
      <c r="S71">
        <v>300</v>
      </c>
      <c r="T71">
        <v>-40</v>
      </c>
      <c r="U71">
        <v>36</v>
      </c>
      <c r="V71">
        <v>5</v>
      </c>
      <c r="W71">
        <v>29</v>
      </c>
      <c r="X71">
        <v>29</v>
      </c>
      <c r="Y71">
        <v>1</v>
      </c>
      <c r="Z71">
        <v>8</v>
      </c>
      <c r="AA71">
        <v>26</v>
      </c>
      <c r="AB71">
        <v>2</v>
      </c>
      <c r="AC71">
        <v>1</v>
      </c>
      <c r="AD71">
        <v>3.28500009</v>
      </c>
      <c r="AE71">
        <v>1</v>
      </c>
      <c r="AF71">
        <v>1</v>
      </c>
      <c r="AG71">
        <v>3.28299999</v>
      </c>
      <c r="AH71">
        <v>2</v>
      </c>
      <c r="AI71">
        <v>6</v>
      </c>
      <c r="AJ71">
        <v>1</v>
      </c>
      <c r="AK71">
        <v>24</v>
      </c>
      <c r="AL71">
        <v>31</v>
      </c>
      <c r="AM71" t="s">
        <v>43</v>
      </c>
      <c r="AN71" t="str">
        <f>HYPERLINK("https://www.google.com/maps?q=11.05500889,79.06069946","Open Location")</f>
        <v>Open Location</v>
      </c>
    </row>
    <row r="72" spans="1:40" x14ac:dyDescent="0.3">
      <c r="A72" s="1">
        <v>46210.991782407407</v>
      </c>
      <c r="B72" t="s">
        <v>40</v>
      </c>
      <c r="C72" t="s">
        <v>41</v>
      </c>
      <c r="D72" s="1">
        <v>46210.99490740741</v>
      </c>
      <c r="E72" t="s">
        <v>42</v>
      </c>
      <c r="F72" t="s">
        <v>83</v>
      </c>
      <c r="G72">
        <v>1</v>
      </c>
      <c r="H72">
        <v>33206</v>
      </c>
      <c r="I72" t="s">
        <v>43</v>
      </c>
      <c r="J72">
        <v>35</v>
      </c>
      <c r="K72">
        <v>9</v>
      </c>
      <c r="L72">
        <v>98</v>
      </c>
      <c r="M72">
        <v>629.70001220999995</v>
      </c>
      <c r="N72" t="s">
        <v>87</v>
      </c>
      <c r="O72" t="s">
        <v>86</v>
      </c>
      <c r="P72">
        <v>127</v>
      </c>
      <c r="Q72">
        <v>2</v>
      </c>
      <c r="R72">
        <v>13</v>
      </c>
      <c r="S72">
        <v>173</v>
      </c>
      <c r="T72">
        <v>-40</v>
      </c>
      <c r="U72">
        <v>36</v>
      </c>
      <c r="V72">
        <v>223</v>
      </c>
      <c r="W72">
        <v>29</v>
      </c>
      <c r="X72">
        <v>29</v>
      </c>
      <c r="Y72">
        <v>1</v>
      </c>
      <c r="Z72">
        <v>8</v>
      </c>
      <c r="AA72">
        <v>26</v>
      </c>
      <c r="AB72">
        <v>2</v>
      </c>
      <c r="AC72">
        <v>1</v>
      </c>
      <c r="AD72">
        <v>3.28500009</v>
      </c>
      <c r="AE72">
        <v>1</v>
      </c>
      <c r="AF72">
        <v>1</v>
      </c>
      <c r="AG72">
        <v>3.2820000600000001</v>
      </c>
      <c r="AH72">
        <v>2</v>
      </c>
      <c r="AI72">
        <v>45</v>
      </c>
      <c r="AJ72">
        <v>1</v>
      </c>
      <c r="AK72">
        <v>24</v>
      </c>
      <c r="AL72">
        <v>31</v>
      </c>
      <c r="AM72" t="s">
        <v>43</v>
      </c>
      <c r="AN72" t="s">
        <v>43</v>
      </c>
    </row>
    <row r="73" spans="1:40" x14ac:dyDescent="0.3">
      <c r="A73" s="1">
        <v>46210.991666666669</v>
      </c>
      <c r="B73" t="s">
        <v>40</v>
      </c>
      <c r="C73" t="s">
        <v>41</v>
      </c>
      <c r="D73" s="1">
        <v>46210.994513888887</v>
      </c>
      <c r="E73" t="s">
        <v>42</v>
      </c>
      <c r="F73" t="s">
        <v>83</v>
      </c>
      <c r="G73">
        <v>2</v>
      </c>
      <c r="H73">
        <v>33206</v>
      </c>
      <c r="I73" t="s">
        <v>43</v>
      </c>
      <c r="J73">
        <v>35</v>
      </c>
      <c r="K73">
        <v>18</v>
      </c>
      <c r="L73">
        <v>98</v>
      </c>
      <c r="M73">
        <v>629.40002441000001</v>
      </c>
      <c r="N73" t="s">
        <v>87</v>
      </c>
      <c r="O73" t="s">
        <v>86</v>
      </c>
      <c r="P73">
        <v>127</v>
      </c>
      <c r="Q73">
        <v>2</v>
      </c>
      <c r="R73">
        <v>14</v>
      </c>
      <c r="S73">
        <v>323</v>
      </c>
      <c r="T73">
        <v>-40</v>
      </c>
      <c r="U73">
        <v>37</v>
      </c>
      <c r="V73">
        <v>320</v>
      </c>
      <c r="W73">
        <v>29</v>
      </c>
      <c r="X73">
        <v>29</v>
      </c>
      <c r="Y73">
        <v>1</v>
      </c>
      <c r="Z73">
        <v>8</v>
      </c>
      <c r="AA73">
        <v>26</v>
      </c>
      <c r="AB73">
        <v>2</v>
      </c>
      <c r="AC73">
        <v>1</v>
      </c>
      <c r="AD73">
        <v>3.28299999</v>
      </c>
      <c r="AE73">
        <v>1</v>
      </c>
      <c r="AF73">
        <v>1</v>
      </c>
      <c r="AG73">
        <v>3.27999997</v>
      </c>
      <c r="AH73">
        <v>2</v>
      </c>
      <c r="AI73">
        <v>45</v>
      </c>
      <c r="AJ73">
        <v>1</v>
      </c>
      <c r="AK73">
        <v>24</v>
      </c>
      <c r="AL73">
        <v>31</v>
      </c>
      <c r="AM73" t="s">
        <v>43</v>
      </c>
      <c r="AN73" t="s">
        <v>43</v>
      </c>
    </row>
    <row r="74" spans="1:40" x14ac:dyDescent="0.3">
      <c r="A74" s="1">
        <v>46210.991550925923</v>
      </c>
      <c r="B74" t="s">
        <v>40</v>
      </c>
      <c r="C74" t="s">
        <v>41</v>
      </c>
      <c r="D74" s="1">
        <v>46210.994513888887</v>
      </c>
      <c r="E74" t="s">
        <v>42</v>
      </c>
      <c r="F74" t="s">
        <v>83</v>
      </c>
      <c r="G74">
        <v>0</v>
      </c>
      <c r="H74">
        <v>33206</v>
      </c>
      <c r="I74" t="s">
        <v>88</v>
      </c>
      <c r="J74">
        <v>35</v>
      </c>
      <c r="K74">
        <v>5</v>
      </c>
      <c r="L74">
        <v>98</v>
      </c>
      <c r="M74">
        <v>630.09997558999999</v>
      </c>
      <c r="N74" t="s">
        <v>85</v>
      </c>
      <c r="O74" t="s">
        <v>86</v>
      </c>
      <c r="P74">
        <v>127</v>
      </c>
      <c r="Q74">
        <v>2</v>
      </c>
      <c r="R74">
        <v>0</v>
      </c>
      <c r="S74">
        <v>592</v>
      </c>
      <c r="T74">
        <v>-40</v>
      </c>
      <c r="U74">
        <v>36</v>
      </c>
      <c r="V74">
        <v>5</v>
      </c>
      <c r="W74">
        <v>29</v>
      </c>
      <c r="X74">
        <v>29</v>
      </c>
      <c r="Y74">
        <v>1</v>
      </c>
      <c r="Z74">
        <v>8</v>
      </c>
      <c r="AA74">
        <v>26</v>
      </c>
      <c r="AB74">
        <v>2</v>
      </c>
      <c r="AC74">
        <v>1</v>
      </c>
      <c r="AD74">
        <v>3.28299999</v>
      </c>
      <c r="AE74">
        <v>1</v>
      </c>
      <c r="AF74">
        <v>25</v>
      </c>
      <c r="AG74">
        <v>3.2790000400000001</v>
      </c>
      <c r="AH74">
        <v>2</v>
      </c>
      <c r="AI74">
        <v>45</v>
      </c>
      <c r="AJ74">
        <v>1</v>
      </c>
      <c r="AK74">
        <v>24</v>
      </c>
      <c r="AL74">
        <v>31</v>
      </c>
      <c r="AM74" t="s">
        <v>43</v>
      </c>
      <c r="AN74" t="str">
        <f>HYPERLINK("https://www.google.com/maps?q=11.05483913,79.06069946","Open Location")</f>
        <v>Open Location</v>
      </c>
    </row>
    <row r="75" spans="1:40" x14ac:dyDescent="0.3">
      <c r="A75" s="1">
        <v>46210.991435185184</v>
      </c>
      <c r="B75" t="s">
        <v>40</v>
      </c>
      <c r="C75" t="s">
        <v>41</v>
      </c>
      <c r="D75" s="1">
        <v>46210.994398148148</v>
      </c>
      <c r="E75" t="s">
        <v>42</v>
      </c>
      <c r="F75" t="s">
        <v>83</v>
      </c>
      <c r="G75">
        <v>3</v>
      </c>
      <c r="H75">
        <v>33206</v>
      </c>
      <c r="I75" t="s">
        <v>89</v>
      </c>
      <c r="J75">
        <v>35</v>
      </c>
      <c r="K75">
        <v>16</v>
      </c>
      <c r="L75">
        <v>98</v>
      </c>
      <c r="M75">
        <v>629.90002441000001</v>
      </c>
      <c r="N75" t="s">
        <v>87</v>
      </c>
      <c r="O75" t="s">
        <v>86</v>
      </c>
      <c r="P75">
        <v>127</v>
      </c>
      <c r="Q75">
        <v>2</v>
      </c>
      <c r="R75">
        <v>2</v>
      </c>
      <c r="S75">
        <v>725</v>
      </c>
      <c r="T75">
        <v>-40</v>
      </c>
      <c r="U75">
        <v>36</v>
      </c>
      <c r="V75">
        <v>48</v>
      </c>
      <c r="W75">
        <v>29</v>
      </c>
      <c r="X75">
        <v>29</v>
      </c>
      <c r="Y75">
        <v>1</v>
      </c>
      <c r="Z75">
        <v>8</v>
      </c>
      <c r="AA75">
        <v>26</v>
      </c>
      <c r="AB75">
        <v>2</v>
      </c>
      <c r="AC75">
        <v>1</v>
      </c>
      <c r="AD75">
        <v>3.28299999</v>
      </c>
      <c r="AE75">
        <v>1</v>
      </c>
      <c r="AF75">
        <v>1</v>
      </c>
      <c r="AG75">
        <v>3.27999997</v>
      </c>
      <c r="AH75">
        <v>2</v>
      </c>
      <c r="AI75">
        <v>45</v>
      </c>
      <c r="AJ75">
        <v>1</v>
      </c>
      <c r="AK75">
        <v>25</v>
      </c>
      <c r="AL75">
        <v>31</v>
      </c>
      <c r="AM75" t="s">
        <v>43</v>
      </c>
      <c r="AN75" t="str">
        <f>HYPERLINK("https://www.google.com/maps?q=11.05475235,79.06072235","Open Location")</f>
        <v>Open Location</v>
      </c>
    </row>
    <row r="76" spans="1:40" x14ac:dyDescent="0.3">
      <c r="A76" s="1">
        <v>46210.991319444445</v>
      </c>
      <c r="B76" t="s">
        <v>40</v>
      </c>
      <c r="C76" t="s">
        <v>41</v>
      </c>
      <c r="D76" s="1">
        <v>46210.994166666664</v>
      </c>
      <c r="E76" t="s">
        <v>42</v>
      </c>
      <c r="F76" t="s">
        <v>83</v>
      </c>
      <c r="G76">
        <v>2</v>
      </c>
      <c r="H76">
        <v>33206</v>
      </c>
      <c r="I76" t="s">
        <v>90</v>
      </c>
      <c r="J76">
        <v>35</v>
      </c>
      <c r="K76">
        <v>21</v>
      </c>
      <c r="L76">
        <v>98</v>
      </c>
      <c r="M76">
        <v>629.5</v>
      </c>
      <c r="N76" t="s">
        <v>87</v>
      </c>
      <c r="O76" t="s">
        <v>86</v>
      </c>
      <c r="P76">
        <v>127</v>
      </c>
      <c r="Q76">
        <v>2</v>
      </c>
      <c r="R76">
        <v>7</v>
      </c>
      <c r="S76">
        <v>524</v>
      </c>
      <c r="T76">
        <v>-40</v>
      </c>
      <c r="U76">
        <v>35</v>
      </c>
      <c r="V76">
        <v>120</v>
      </c>
      <c r="W76">
        <v>29</v>
      </c>
      <c r="X76">
        <v>29</v>
      </c>
      <c r="Y76">
        <v>1</v>
      </c>
      <c r="Z76">
        <v>8</v>
      </c>
      <c r="AA76">
        <v>26</v>
      </c>
      <c r="AB76">
        <v>2</v>
      </c>
      <c r="AC76">
        <v>1</v>
      </c>
      <c r="AD76">
        <v>3.2820000600000001</v>
      </c>
      <c r="AE76">
        <v>1</v>
      </c>
      <c r="AF76">
        <v>1</v>
      </c>
      <c r="AG76">
        <v>3.2780001200000002</v>
      </c>
      <c r="AH76">
        <v>4</v>
      </c>
      <c r="AI76">
        <v>17</v>
      </c>
      <c r="AJ76">
        <v>1</v>
      </c>
      <c r="AK76">
        <v>25</v>
      </c>
      <c r="AL76">
        <v>31</v>
      </c>
      <c r="AM76" t="s">
        <v>43</v>
      </c>
      <c r="AN76" t="str">
        <f>HYPERLINK("https://www.google.com/maps?q=11.05469036,79.06078339","Open Location")</f>
        <v>Open Location</v>
      </c>
    </row>
    <row r="77" spans="1:40" x14ac:dyDescent="0.3">
      <c r="A77" s="1">
        <v>46210.991203703707</v>
      </c>
      <c r="B77" t="s">
        <v>40</v>
      </c>
      <c r="C77" t="s">
        <v>41</v>
      </c>
      <c r="D77" s="1">
        <v>46210.994039351855</v>
      </c>
      <c r="E77" t="s">
        <v>42</v>
      </c>
      <c r="F77" t="s">
        <v>83</v>
      </c>
      <c r="G77">
        <v>4</v>
      </c>
      <c r="H77">
        <v>33206</v>
      </c>
      <c r="I77" t="s">
        <v>91</v>
      </c>
      <c r="J77">
        <v>35</v>
      </c>
      <c r="K77">
        <v>11</v>
      </c>
      <c r="L77">
        <v>98</v>
      </c>
      <c r="M77">
        <v>630</v>
      </c>
      <c r="N77" t="s">
        <v>87</v>
      </c>
      <c r="O77" t="s">
        <v>86</v>
      </c>
      <c r="P77">
        <v>127</v>
      </c>
      <c r="Q77">
        <v>2</v>
      </c>
      <c r="R77">
        <v>0</v>
      </c>
      <c r="S77">
        <v>803</v>
      </c>
      <c r="T77">
        <v>-40</v>
      </c>
      <c r="U77">
        <v>34</v>
      </c>
      <c r="V77">
        <v>26</v>
      </c>
      <c r="W77">
        <v>29</v>
      </c>
      <c r="X77">
        <v>29</v>
      </c>
      <c r="Y77">
        <v>1</v>
      </c>
      <c r="Z77">
        <v>8</v>
      </c>
      <c r="AA77">
        <v>26</v>
      </c>
      <c r="AB77">
        <v>2</v>
      </c>
      <c r="AC77">
        <v>1</v>
      </c>
      <c r="AD77">
        <v>3.28500009</v>
      </c>
      <c r="AE77">
        <v>1</v>
      </c>
      <c r="AF77">
        <v>1</v>
      </c>
      <c r="AG77">
        <v>3.2809998999999999</v>
      </c>
      <c r="AH77">
        <v>4</v>
      </c>
      <c r="AI77">
        <v>17</v>
      </c>
      <c r="AJ77">
        <v>1</v>
      </c>
      <c r="AK77">
        <v>25</v>
      </c>
      <c r="AL77">
        <v>31</v>
      </c>
      <c r="AM77" t="s">
        <v>43</v>
      </c>
      <c r="AN77" t="str">
        <f>HYPERLINK("https://www.google.com/maps?q=11.05466938,79.06091309","Open Location")</f>
        <v>Open Location</v>
      </c>
    </row>
    <row r="78" spans="1:40" x14ac:dyDescent="0.3">
      <c r="A78" s="1">
        <v>46210.991087962961</v>
      </c>
      <c r="B78" t="s">
        <v>40</v>
      </c>
      <c r="C78" t="s">
        <v>41</v>
      </c>
      <c r="D78" s="1">
        <v>46210.993842592594</v>
      </c>
      <c r="E78" t="s">
        <v>42</v>
      </c>
      <c r="F78" t="s">
        <v>83</v>
      </c>
      <c r="G78">
        <v>3</v>
      </c>
      <c r="H78" t="s">
        <v>43</v>
      </c>
      <c r="I78" t="s">
        <v>43</v>
      </c>
      <c r="J78">
        <v>35</v>
      </c>
      <c r="K78">
        <v>12</v>
      </c>
      <c r="L78">
        <v>98</v>
      </c>
      <c r="M78">
        <v>630.40002441000001</v>
      </c>
      <c r="N78" t="s">
        <v>87</v>
      </c>
      <c r="O78" t="s">
        <v>86</v>
      </c>
      <c r="P78">
        <v>127</v>
      </c>
      <c r="Q78">
        <v>2</v>
      </c>
      <c r="R78">
        <v>0</v>
      </c>
      <c r="S78">
        <v>705</v>
      </c>
      <c r="T78">
        <v>-40</v>
      </c>
      <c r="U78">
        <v>35</v>
      </c>
      <c r="V78">
        <v>5</v>
      </c>
      <c r="W78">
        <v>29</v>
      </c>
      <c r="X78">
        <v>29</v>
      </c>
      <c r="Y78">
        <v>1</v>
      </c>
      <c r="Z78">
        <v>8</v>
      </c>
      <c r="AA78">
        <v>26</v>
      </c>
      <c r="AB78">
        <v>2</v>
      </c>
      <c r="AC78">
        <v>1</v>
      </c>
      <c r="AD78">
        <v>3.28500009</v>
      </c>
      <c r="AE78">
        <v>1</v>
      </c>
      <c r="AF78">
        <v>1</v>
      </c>
      <c r="AG78">
        <v>3.2820000600000001</v>
      </c>
      <c r="AH78">
        <v>2</v>
      </c>
      <c r="AI78">
        <v>45</v>
      </c>
      <c r="AJ78">
        <v>1</v>
      </c>
      <c r="AK78">
        <v>26</v>
      </c>
      <c r="AL78">
        <v>31</v>
      </c>
      <c r="AM78" t="s">
        <v>43</v>
      </c>
      <c r="AN78" t="s">
        <v>43</v>
      </c>
    </row>
    <row r="79" spans="1:40" x14ac:dyDescent="0.3">
      <c r="A79" s="1">
        <v>46210.990972222222</v>
      </c>
      <c r="B79" t="s">
        <v>40</v>
      </c>
      <c r="C79" t="s">
        <v>41</v>
      </c>
      <c r="D79" s="1">
        <v>46210.993773148148</v>
      </c>
      <c r="E79" t="s">
        <v>42</v>
      </c>
      <c r="F79" t="s">
        <v>83</v>
      </c>
      <c r="G79">
        <v>2</v>
      </c>
      <c r="H79">
        <v>33206</v>
      </c>
      <c r="I79" t="s">
        <v>43</v>
      </c>
      <c r="J79">
        <v>35</v>
      </c>
      <c r="K79">
        <v>10</v>
      </c>
      <c r="L79">
        <v>98</v>
      </c>
      <c r="M79">
        <v>630.20001220999995</v>
      </c>
      <c r="N79" t="s">
        <v>87</v>
      </c>
      <c r="O79" t="s">
        <v>86</v>
      </c>
      <c r="P79">
        <v>127</v>
      </c>
      <c r="Q79">
        <v>2</v>
      </c>
      <c r="R79">
        <v>0</v>
      </c>
      <c r="S79">
        <v>528</v>
      </c>
      <c r="T79">
        <v>-40</v>
      </c>
      <c r="U79">
        <v>35</v>
      </c>
      <c r="V79">
        <v>24</v>
      </c>
      <c r="W79">
        <v>29</v>
      </c>
      <c r="X79">
        <v>29</v>
      </c>
      <c r="Y79">
        <v>1</v>
      </c>
      <c r="Z79">
        <v>8</v>
      </c>
      <c r="AA79">
        <v>26</v>
      </c>
      <c r="AB79">
        <v>2</v>
      </c>
      <c r="AC79">
        <v>1</v>
      </c>
      <c r="AD79">
        <v>3.28600001</v>
      </c>
      <c r="AE79">
        <v>1</v>
      </c>
      <c r="AF79">
        <v>25</v>
      </c>
      <c r="AG79">
        <v>3.2820000600000001</v>
      </c>
      <c r="AH79">
        <v>4</v>
      </c>
      <c r="AI79">
        <v>17</v>
      </c>
      <c r="AJ79">
        <v>1</v>
      </c>
      <c r="AK79">
        <v>19</v>
      </c>
      <c r="AL79">
        <v>31</v>
      </c>
      <c r="AM79" t="s">
        <v>43</v>
      </c>
      <c r="AN79" t="s">
        <v>43</v>
      </c>
    </row>
    <row r="80" spans="1:40" x14ac:dyDescent="0.3">
      <c r="A80" s="1">
        <v>46210.990856481483</v>
      </c>
      <c r="B80" t="s">
        <v>40</v>
      </c>
      <c r="C80" t="s">
        <v>41</v>
      </c>
      <c r="D80" s="1">
        <v>46210.993668981479</v>
      </c>
      <c r="E80" t="s">
        <v>42</v>
      </c>
      <c r="F80" t="s">
        <v>83</v>
      </c>
      <c r="G80">
        <v>0</v>
      </c>
      <c r="H80" t="s">
        <v>43</v>
      </c>
      <c r="I80" t="s">
        <v>92</v>
      </c>
      <c r="J80">
        <v>35</v>
      </c>
      <c r="K80">
        <v>2</v>
      </c>
      <c r="L80">
        <v>98</v>
      </c>
      <c r="M80">
        <v>630.70001220999995</v>
      </c>
      <c r="N80" t="s">
        <v>85</v>
      </c>
      <c r="O80" t="s">
        <v>82</v>
      </c>
      <c r="P80">
        <v>125</v>
      </c>
      <c r="Q80">
        <v>2</v>
      </c>
      <c r="R80">
        <v>0</v>
      </c>
      <c r="S80">
        <v>0</v>
      </c>
      <c r="T80">
        <v>-40</v>
      </c>
      <c r="U80">
        <v>34</v>
      </c>
      <c r="V80">
        <v>0</v>
      </c>
      <c r="W80">
        <v>29</v>
      </c>
      <c r="X80">
        <v>29</v>
      </c>
      <c r="Y80">
        <v>1</v>
      </c>
      <c r="Z80">
        <v>8</v>
      </c>
      <c r="AA80">
        <v>26</v>
      </c>
      <c r="AB80">
        <v>2</v>
      </c>
      <c r="AC80">
        <v>1</v>
      </c>
      <c r="AD80">
        <v>3.28800011</v>
      </c>
      <c r="AE80">
        <v>1</v>
      </c>
      <c r="AF80">
        <v>25</v>
      </c>
      <c r="AG80">
        <v>3.28500009</v>
      </c>
      <c r="AH80">
        <v>2</v>
      </c>
      <c r="AI80">
        <v>45</v>
      </c>
      <c r="AJ80">
        <v>1</v>
      </c>
      <c r="AK80">
        <v>19</v>
      </c>
      <c r="AL80">
        <v>31</v>
      </c>
      <c r="AM80" t="s">
        <v>43</v>
      </c>
      <c r="AN80" t="str">
        <f>HYPERLINK("https://www.google.com/maps?q=11.05477142,79.06096649","Open Location")</f>
        <v>Open Location</v>
      </c>
    </row>
    <row r="81" spans="1:40" x14ac:dyDescent="0.3">
      <c r="A81" s="1">
        <v>46210.990740740737</v>
      </c>
      <c r="B81" t="s">
        <v>40</v>
      </c>
      <c r="C81" t="s">
        <v>41</v>
      </c>
      <c r="D81" s="1">
        <v>46210.993368055555</v>
      </c>
      <c r="E81" t="s">
        <v>42</v>
      </c>
      <c r="F81" t="s">
        <v>83</v>
      </c>
      <c r="G81">
        <v>0</v>
      </c>
      <c r="H81">
        <v>33206</v>
      </c>
      <c r="I81" t="s">
        <v>93</v>
      </c>
      <c r="J81">
        <v>35</v>
      </c>
      <c r="K81">
        <v>5</v>
      </c>
      <c r="L81">
        <v>98</v>
      </c>
      <c r="M81">
        <v>630.20001220999995</v>
      </c>
      <c r="N81" t="s">
        <v>81</v>
      </c>
      <c r="O81" t="s">
        <v>82</v>
      </c>
      <c r="P81">
        <v>125</v>
      </c>
      <c r="Q81" t="s">
        <v>82</v>
      </c>
      <c r="R81">
        <v>0</v>
      </c>
      <c r="S81">
        <v>0</v>
      </c>
      <c r="T81">
        <v>-40</v>
      </c>
      <c r="U81">
        <v>34</v>
      </c>
      <c r="V81">
        <v>0</v>
      </c>
      <c r="W81">
        <v>29</v>
      </c>
      <c r="X81">
        <v>29</v>
      </c>
      <c r="Y81">
        <v>1</v>
      </c>
      <c r="Z81">
        <v>8</v>
      </c>
      <c r="AA81">
        <v>26</v>
      </c>
      <c r="AB81">
        <v>2</v>
      </c>
      <c r="AC81">
        <v>1</v>
      </c>
      <c r="AD81">
        <v>3.2869999399999998</v>
      </c>
      <c r="AE81">
        <v>1</v>
      </c>
      <c r="AF81">
        <v>1</v>
      </c>
      <c r="AG81">
        <v>3.2790000400000001</v>
      </c>
      <c r="AH81">
        <v>5</v>
      </c>
      <c r="AI81">
        <v>17</v>
      </c>
      <c r="AJ81">
        <v>1</v>
      </c>
      <c r="AK81">
        <v>18</v>
      </c>
      <c r="AL81">
        <v>31</v>
      </c>
      <c r="AM81" t="s">
        <v>43</v>
      </c>
      <c r="AN81" t="str">
        <f>HYPERLINK("https://www.google.com/maps?q=11.05476665,79.06096649","Open Location")</f>
        <v>Open Location</v>
      </c>
    </row>
    <row r="82" spans="1:40" x14ac:dyDescent="0.3">
      <c r="A82" s="1">
        <v>46210.990624999999</v>
      </c>
      <c r="B82" t="s">
        <v>40</v>
      </c>
      <c r="C82" t="s">
        <v>41</v>
      </c>
      <c r="D82" s="1">
        <v>46210.993657407409</v>
      </c>
      <c r="E82" t="s">
        <v>42</v>
      </c>
      <c r="F82" t="s">
        <v>83</v>
      </c>
      <c r="G82">
        <v>0</v>
      </c>
      <c r="H82">
        <v>33206</v>
      </c>
      <c r="I82" t="s">
        <v>94</v>
      </c>
      <c r="J82">
        <v>35</v>
      </c>
      <c r="K82">
        <v>9</v>
      </c>
      <c r="L82">
        <v>98</v>
      </c>
      <c r="M82">
        <v>630.20001220999995</v>
      </c>
      <c r="N82" t="s">
        <v>81</v>
      </c>
      <c r="O82" t="s">
        <v>82</v>
      </c>
      <c r="P82">
        <v>125</v>
      </c>
      <c r="Q82" t="s">
        <v>82</v>
      </c>
      <c r="R82">
        <v>0</v>
      </c>
      <c r="S82">
        <v>0</v>
      </c>
      <c r="T82">
        <v>-40</v>
      </c>
      <c r="U82">
        <v>34</v>
      </c>
      <c r="V82">
        <v>0</v>
      </c>
      <c r="W82">
        <v>29</v>
      </c>
      <c r="X82">
        <v>29</v>
      </c>
      <c r="Y82">
        <v>1</v>
      </c>
      <c r="Z82">
        <v>8</v>
      </c>
      <c r="AA82">
        <v>26</v>
      </c>
      <c r="AB82">
        <v>2</v>
      </c>
      <c r="AC82">
        <v>1</v>
      </c>
      <c r="AD82">
        <v>3.28600001</v>
      </c>
      <c r="AE82">
        <v>1</v>
      </c>
      <c r="AF82">
        <v>1</v>
      </c>
      <c r="AG82">
        <v>3.2790000400000001</v>
      </c>
      <c r="AH82">
        <v>5</v>
      </c>
      <c r="AI82">
        <v>17</v>
      </c>
      <c r="AJ82">
        <v>1</v>
      </c>
      <c r="AK82">
        <v>18</v>
      </c>
      <c r="AL82">
        <v>31</v>
      </c>
      <c r="AM82" t="s">
        <v>43</v>
      </c>
      <c r="AN82" t="str">
        <f>HYPERLINK("https://www.google.com/maps?q=11.05476284,79.06096649","Open Location")</f>
        <v>Open Location</v>
      </c>
    </row>
    <row r="83" spans="1:40" x14ac:dyDescent="0.3">
      <c r="A83" s="1">
        <v>46210.99050925926</v>
      </c>
      <c r="B83" t="s">
        <v>40</v>
      </c>
      <c r="C83" t="s">
        <v>41</v>
      </c>
      <c r="D83" s="1">
        <v>46210.993206018517</v>
      </c>
      <c r="E83" t="s">
        <v>42</v>
      </c>
      <c r="F83" t="s">
        <v>83</v>
      </c>
      <c r="G83">
        <v>0</v>
      </c>
      <c r="H83">
        <v>33206</v>
      </c>
      <c r="I83" t="s">
        <v>95</v>
      </c>
      <c r="J83">
        <v>35</v>
      </c>
      <c r="K83">
        <v>9</v>
      </c>
      <c r="L83">
        <v>98</v>
      </c>
      <c r="M83">
        <v>630.09997558999999</v>
      </c>
      <c r="N83" t="s">
        <v>81</v>
      </c>
      <c r="O83" t="s">
        <v>82</v>
      </c>
      <c r="P83">
        <v>125</v>
      </c>
      <c r="Q83" t="s">
        <v>82</v>
      </c>
      <c r="R83">
        <v>0</v>
      </c>
      <c r="S83">
        <v>0</v>
      </c>
      <c r="T83">
        <v>-40</v>
      </c>
      <c r="U83">
        <v>34</v>
      </c>
      <c r="V83">
        <v>0</v>
      </c>
      <c r="W83">
        <v>29</v>
      </c>
      <c r="X83">
        <v>29</v>
      </c>
      <c r="Y83">
        <v>1</v>
      </c>
      <c r="Z83">
        <v>8</v>
      </c>
      <c r="AA83">
        <v>26</v>
      </c>
      <c r="AB83">
        <v>2</v>
      </c>
      <c r="AC83">
        <v>1</v>
      </c>
      <c r="AD83">
        <v>3.2869999399999998</v>
      </c>
      <c r="AE83">
        <v>1</v>
      </c>
      <c r="AF83">
        <v>25</v>
      </c>
      <c r="AG83">
        <v>3.2809998999999999</v>
      </c>
      <c r="AH83">
        <v>5</v>
      </c>
      <c r="AI83">
        <v>10</v>
      </c>
      <c r="AJ83">
        <v>1</v>
      </c>
      <c r="AK83">
        <v>19</v>
      </c>
      <c r="AL83">
        <v>31</v>
      </c>
      <c r="AM83" t="s">
        <v>43</v>
      </c>
      <c r="AN83" t="str">
        <f>HYPERLINK("https://www.google.com/maps?q=11.05476093,79.06096649","Open Location")</f>
        <v>Open Location</v>
      </c>
    </row>
    <row r="84" spans="1:40" x14ac:dyDescent="0.3">
      <c r="A84" s="1">
        <v>46210.990393518521</v>
      </c>
      <c r="B84" t="s">
        <v>40</v>
      </c>
      <c r="C84" t="s">
        <v>41</v>
      </c>
      <c r="D84" s="1">
        <v>46210.993275462963</v>
      </c>
      <c r="E84" t="s">
        <v>42</v>
      </c>
      <c r="F84" t="s">
        <v>83</v>
      </c>
      <c r="G84">
        <v>0</v>
      </c>
      <c r="H84" t="s">
        <v>43</v>
      </c>
      <c r="I84" t="s">
        <v>43</v>
      </c>
      <c r="J84">
        <v>35</v>
      </c>
      <c r="K84">
        <v>2</v>
      </c>
      <c r="L84">
        <v>98</v>
      </c>
      <c r="M84">
        <v>630.59997558999999</v>
      </c>
      <c r="N84" t="s">
        <v>81</v>
      </c>
      <c r="O84" t="s">
        <v>82</v>
      </c>
      <c r="P84">
        <v>125</v>
      </c>
      <c r="Q84" t="s">
        <v>82</v>
      </c>
      <c r="R84">
        <v>0</v>
      </c>
      <c r="S84">
        <v>0</v>
      </c>
      <c r="T84">
        <v>-40</v>
      </c>
      <c r="U84">
        <v>34</v>
      </c>
      <c r="V84">
        <v>0</v>
      </c>
      <c r="W84">
        <v>29</v>
      </c>
      <c r="X84">
        <v>29</v>
      </c>
      <c r="Y84">
        <v>1</v>
      </c>
      <c r="Z84">
        <v>8</v>
      </c>
      <c r="AA84">
        <v>26</v>
      </c>
      <c r="AB84">
        <v>2</v>
      </c>
      <c r="AC84">
        <v>1</v>
      </c>
      <c r="AD84">
        <v>3.28800011</v>
      </c>
      <c r="AE84">
        <v>1</v>
      </c>
      <c r="AF84">
        <v>1</v>
      </c>
      <c r="AG84">
        <v>3.28500009</v>
      </c>
      <c r="AH84">
        <v>2</v>
      </c>
      <c r="AI84">
        <v>45</v>
      </c>
      <c r="AJ84">
        <v>1</v>
      </c>
      <c r="AK84">
        <v>20</v>
      </c>
      <c r="AL84">
        <v>31</v>
      </c>
      <c r="AM84" t="s">
        <v>43</v>
      </c>
      <c r="AN84" t="s">
        <v>43</v>
      </c>
    </row>
    <row r="85" spans="1:40" x14ac:dyDescent="0.3">
      <c r="A85" s="1">
        <v>46210.990277777775</v>
      </c>
      <c r="B85" t="s">
        <v>40</v>
      </c>
      <c r="C85" t="s">
        <v>41</v>
      </c>
      <c r="D85" s="1">
        <v>46210.99291666667</v>
      </c>
      <c r="E85" t="s">
        <v>42</v>
      </c>
      <c r="F85" t="s">
        <v>83</v>
      </c>
      <c r="G85">
        <v>0</v>
      </c>
      <c r="H85">
        <v>33206</v>
      </c>
      <c r="I85" t="s">
        <v>43</v>
      </c>
      <c r="J85">
        <v>35</v>
      </c>
      <c r="K85">
        <v>2</v>
      </c>
      <c r="L85">
        <v>98</v>
      </c>
      <c r="M85">
        <v>630.40002441000001</v>
      </c>
      <c r="N85" t="s">
        <v>81</v>
      </c>
      <c r="O85" t="s">
        <v>82</v>
      </c>
      <c r="P85">
        <v>125</v>
      </c>
      <c r="Q85" t="s">
        <v>82</v>
      </c>
      <c r="R85">
        <v>0</v>
      </c>
      <c r="S85">
        <v>0</v>
      </c>
      <c r="T85">
        <v>-40</v>
      </c>
      <c r="U85">
        <v>34</v>
      </c>
      <c r="V85">
        <v>0</v>
      </c>
      <c r="W85">
        <v>29</v>
      </c>
      <c r="X85">
        <v>29</v>
      </c>
      <c r="Y85">
        <v>1</v>
      </c>
      <c r="Z85">
        <v>8</v>
      </c>
      <c r="AA85">
        <v>26</v>
      </c>
      <c r="AB85">
        <v>2</v>
      </c>
      <c r="AC85">
        <v>1</v>
      </c>
      <c r="AD85">
        <v>3.28800011</v>
      </c>
      <c r="AE85">
        <v>1</v>
      </c>
      <c r="AF85">
        <v>1</v>
      </c>
      <c r="AG85">
        <v>3.28500009</v>
      </c>
      <c r="AH85">
        <v>2</v>
      </c>
      <c r="AI85">
        <v>45</v>
      </c>
      <c r="AJ85">
        <v>1</v>
      </c>
      <c r="AK85">
        <v>21</v>
      </c>
      <c r="AL85">
        <v>31</v>
      </c>
      <c r="AM85" t="s">
        <v>43</v>
      </c>
      <c r="AN85" t="s">
        <v>43</v>
      </c>
    </row>
    <row r="86" spans="1:40" x14ac:dyDescent="0.3">
      <c r="A86" s="1">
        <v>46210.990162037036</v>
      </c>
      <c r="B86" t="s">
        <v>40</v>
      </c>
      <c r="C86" t="s">
        <v>41</v>
      </c>
      <c r="D86" s="1">
        <v>46210.992986111109</v>
      </c>
      <c r="E86" t="s">
        <v>42</v>
      </c>
      <c r="F86" t="s">
        <v>83</v>
      </c>
      <c r="G86">
        <v>0</v>
      </c>
      <c r="H86">
        <v>33206</v>
      </c>
      <c r="I86" t="s">
        <v>93</v>
      </c>
      <c r="J86">
        <v>35</v>
      </c>
      <c r="K86">
        <v>9</v>
      </c>
      <c r="L86">
        <v>98</v>
      </c>
      <c r="M86">
        <v>630.29998779000005</v>
      </c>
      <c r="N86" t="s">
        <v>81</v>
      </c>
      <c r="O86" t="s">
        <v>82</v>
      </c>
      <c r="P86">
        <v>125</v>
      </c>
      <c r="Q86" t="s">
        <v>82</v>
      </c>
      <c r="R86">
        <v>0</v>
      </c>
      <c r="S86">
        <v>0</v>
      </c>
      <c r="T86">
        <v>-40</v>
      </c>
      <c r="U86">
        <v>34</v>
      </c>
      <c r="V86">
        <v>0</v>
      </c>
      <c r="W86">
        <v>29</v>
      </c>
      <c r="X86">
        <v>29</v>
      </c>
      <c r="Y86">
        <v>1</v>
      </c>
      <c r="Z86">
        <v>8</v>
      </c>
      <c r="AA86">
        <v>26</v>
      </c>
      <c r="AB86">
        <v>2</v>
      </c>
      <c r="AC86">
        <v>1</v>
      </c>
      <c r="AD86">
        <v>3.2869999399999998</v>
      </c>
      <c r="AE86">
        <v>1</v>
      </c>
      <c r="AF86">
        <v>1</v>
      </c>
      <c r="AG86">
        <v>3.2820000600000001</v>
      </c>
      <c r="AH86">
        <v>5</v>
      </c>
      <c r="AI86">
        <v>17</v>
      </c>
      <c r="AJ86">
        <v>1</v>
      </c>
      <c r="AK86">
        <v>22</v>
      </c>
      <c r="AL86">
        <v>31</v>
      </c>
      <c r="AM86" t="s">
        <v>43</v>
      </c>
      <c r="AN86" t="str">
        <f>HYPERLINK("https://www.google.com/maps?q=11.05476665,79.06096649","Open Location")</f>
        <v>Open Location</v>
      </c>
    </row>
    <row r="87" spans="1:40" x14ac:dyDescent="0.3">
      <c r="A87" s="1">
        <v>46210.990046296298</v>
      </c>
      <c r="B87" t="s">
        <v>40</v>
      </c>
      <c r="C87" t="s">
        <v>41</v>
      </c>
      <c r="D87" s="1">
        <v>46210.992986111109</v>
      </c>
      <c r="E87" t="s">
        <v>42</v>
      </c>
      <c r="F87" t="s">
        <v>83</v>
      </c>
      <c r="G87">
        <v>0</v>
      </c>
      <c r="H87">
        <v>33206</v>
      </c>
      <c r="I87" t="s">
        <v>96</v>
      </c>
      <c r="J87">
        <v>35</v>
      </c>
      <c r="K87">
        <v>10</v>
      </c>
      <c r="L87">
        <v>98</v>
      </c>
      <c r="M87">
        <v>629.90002441000001</v>
      </c>
      <c r="N87" t="s">
        <v>81</v>
      </c>
      <c r="O87" t="s">
        <v>82</v>
      </c>
      <c r="P87">
        <v>125</v>
      </c>
      <c r="Q87" t="s">
        <v>82</v>
      </c>
      <c r="R87">
        <v>0</v>
      </c>
      <c r="S87">
        <v>0</v>
      </c>
      <c r="T87">
        <v>-40</v>
      </c>
      <c r="U87">
        <v>34</v>
      </c>
      <c r="V87">
        <v>0</v>
      </c>
      <c r="W87">
        <v>29</v>
      </c>
      <c r="X87">
        <v>29</v>
      </c>
      <c r="Y87">
        <v>1</v>
      </c>
      <c r="Z87">
        <v>8</v>
      </c>
      <c r="AA87">
        <v>26</v>
      </c>
      <c r="AB87">
        <v>2</v>
      </c>
      <c r="AC87">
        <v>1</v>
      </c>
      <c r="AD87">
        <v>3.2869999399999998</v>
      </c>
      <c r="AE87">
        <v>1</v>
      </c>
      <c r="AF87">
        <v>25</v>
      </c>
      <c r="AG87">
        <v>3.27999997</v>
      </c>
      <c r="AH87">
        <v>5</v>
      </c>
      <c r="AI87">
        <v>17</v>
      </c>
      <c r="AJ87">
        <v>1</v>
      </c>
      <c r="AK87">
        <v>24</v>
      </c>
      <c r="AL87">
        <v>31</v>
      </c>
      <c r="AM87" t="s">
        <v>43</v>
      </c>
      <c r="AN87" t="str">
        <f>HYPERLINK("https://www.google.com/maps?q=11.05476856,79.06096649","Open Location")</f>
        <v>Open Location</v>
      </c>
    </row>
    <row r="88" spans="1:40" x14ac:dyDescent="0.3">
      <c r="A88" s="1">
        <v>46210.989930555559</v>
      </c>
      <c r="B88" t="s">
        <v>40</v>
      </c>
      <c r="C88" t="s">
        <v>41</v>
      </c>
      <c r="D88" s="1">
        <v>46210.992766203701</v>
      </c>
      <c r="E88" t="s">
        <v>42</v>
      </c>
      <c r="F88" t="s">
        <v>83</v>
      </c>
      <c r="G88">
        <v>0</v>
      </c>
      <c r="H88" t="s">
        <v>43</v>
      </c>
      <c r="I88" t="s">
        <v>97</v>
      </c>
      <c r="J88">
        <v>35</v>
      </c>
      <c r="K88">
        <v>10</v>
      </c>
      <c r="L88">
        <v>98</v>
      </c>
      <c r="M88">
        <v>630.40002441000001</v>
      </c>
      <c r="N88" t="s">
        <v>81</v>
      </c>
      <c r="O88" t="s">
        <v>82</v>
      </c>
      <c r="P88">
        <v>125</v>
      </c>
      <c r="Q88" t="s">
        <v>82</v>
      </c>
      <c r="R88">
        <v>0</v>
      </c>
      <c r="S88">
        <v>0</v>
      </c>
      <c r="T88">
        <v>-40</v>
      </c>
      <c r="U88">
        <v>34</v>
      </c>
      <c r="V88">
        <v>0</v>
      </c>
      <c r="W88">
        <v>29</v>
      </c>
      <c r="X88">
        <v>29</v>
      </c>
      <c r="Y88">
        <v>1</v>
      </c>
      <c r="Z88">
        <v>8</v>
      </c>
      <c r="AA88">
        <v>26</v>
      </c>
      <c r="AB88">
        <v>2</v>
      </c>
      <c r="AC88">
        <v>1</v>
      </c>
      <c r="AD88">
        <v>3.2869999399999998</v>
      </c>
      <c r="AE88">
        <v>1</v>
      </c>
      <c r="AF88">
        <v>25</v>
      </c>
      <c r="AG88">
        <v>3.2790000400000001</v>
      </c>
      <c r="AH88">
        <v>5</v>
      </c>
      <c r="AI88">
        <v>17</v>
      </c>
      <c r="AJ88">
        <v>1</v>
      </c>
      <c r="AK88">
        <v>28</v>
      </c>
      <c r="AL88">
        <v>31</v>
      </c>
      <c r="AM88" t="s">
        <v>43</v>
      </c>
      <c r="AN88" t="str">
        <f>HYPERLINK("https://www.google.com/maps?q=11.05477047,79.06095886","Open Location")</f>
        <v>Open Location</v>
      </c>
    </row>
    <row r="89" spans="1:40" x14ac:dyDescent="0.3">
      <c r="A89" s="1">
        <v>46210.989814814813</v>
      </c>
      <c r="B89" t="s">
        <v>40</v>
      </c>
      <c r="C89" t="s">
        <v>41</v>
      </c>
      <c r="D89" s="1">
        <v>46210.99287037037</v>
      </c>
      <c r="E89" t="s">
        <v>42</v>
      </c>
      <c r="F89" t="s">
        <v>83</v>
      </c>
      <c r="G89">
        <v>0</v>
      </c>
      <c r="H89">
        <v>33206</v>
      </c>
      <c r="I89" t="s">
        <v>98</v>
      </c>
      <c r="J89">
        <v>35</v>
      </c>
      <c r="K89">
        <v>10</v>
      </c>
      <c r="L89">
        <v>98</v>
      </c>
      <c r="M89">
        <v>630.40002441000001</v>
      </c>
      <c r="N89" t="s">
        <v>81</v>
      </c>
      <c r="O89" t="s">
        <v>82</v>
      </c>
      <c r="P89">
        <v>125</v>
      </c>
      <c r="Q89" t="s">
        <v>82</v>
      </c>
      <c r="R89">
        <v>0</v>
      </c>
      <c r="S89">
        <v>0</v>
      </c>
      <c r="T89">
        <v>-40</v>
      </c>
      <c r="U89">
        <v>34</v>
      </c>
      <c r="V89">
        <v>0</v>
      </c>
      <c r="W89">
        <v>29</v>
      </c>
      <c r="X89">
        <v>29</v>
      </c>
      <c r="Y89">
        <v>1</v>
      </c>
      <c r="Z89">
        <v>8</v>
      </c>
      <c r="AA89">
        <v>26</v>
      </c>
      <c r="AB89">
        <v>2</v>
      </c>
      <c r="AC89">
        <v>1</v>
      </c>
      <c r="AD89">
        <v>3.2869999399999998</v>
      </c>
      <c r="AE89">
        <v>1</v>
      </c>
      <c r="AF89">
        <v>1</v>
      </c>
      <c r="AG89">
        <v>3.2790000400000001</v>
      </c>
      <c r="AH89">
        <v>5</v>
      </c>
      <c r="AI89">
        <v>17</v>
      </c>
      <c r="AJ89">
        <v>2</v>
      </c>
      <c r="AK89">
        <v>33</v>
      </c>
      <c r="AL89">
        <v>31</v>
      </c>
      <c r="AM89" t="s">
        <v>43</v>
      </c>
      <c r="AN89" t="str">
        <f>HYPERLINK("https://www.google.com/maps?q=11.05477428,79.06095886","Open Location")</f>
        <v>Open Location</v>
      </c>
    </row>
    <row r="90" spans="1:40" x14ac:dyDescent="0.3">
      <c r="A90" s="1">
        <v>46210.989699074074</v>
      </c>
      <c r="B90" t="s">
        <v>40</v>
      </c>
      <c r="C90" t="s">
        <v>41</v>
      </c>
      <c r="D90" s="1">
        <v>46210.99255787037</v>
      </c>
      <c r="E90" t="s">
        <v>42</v>
      </c>
      <c r="F90" t="s">
        <v>83</v>
      </c>
      <c r="G90">
        <v>0</v>
      </c>
      <c r="H90">
        <v>33206</v>
      </c>
      <c r="I90" t="s">
        <v>43</v>
      </c>
      <c r="J90">
        <v>35</v>
      </c>
      <c r="K90">
        <v>10</v>
      </c>
      <c r="L90">
        <v>98</v>
      </c>
      <c r="M90">
        <v>630.20001220999995</v>
      </c>
      <c r="N90" t="s">
        <v>81</v>
      </c>
      <c r="O90" t="s">
        <v>82</v>
      </c>
      <c r="P90">
        <v>125</v>
      </c>
      <c r="Q90" t="s">
        <v>82</v>
      </c>
      <c r="R90">
        <v>0</v>
      </c>
      <c r="S90">
        <v>0</v>
      </c>
      <c r="T90">
        <v>-40</v>
      </c>
      <c r="U90">
        <v>34</v>
      </c>
      <c r="V90">
        <v>0</v>
      </c>
      <c r="W90">
        <v>29</v>
      </c>
      <c r="X90">
        <v>29</v>
      </c>
      <c r="Y90">
        <v>1</v>
      </c>
      <c r="Z90">
        <v>8</v>
      </c>
      <c r="AA90">
        <v>26</v>
      </c>
      <c r="AB90">
        <v>2</v>
      </c>
      <c r="AC90">
        <v>1</v>
      </c>
      <c r="AD90">
        <v>3.28800011</v>
      </c>
      <c r="AE90">
        <v>1</v>
      </c>
      <c r="AF90">
        <v>27</v>
      </c>
      <c r="AG90">
        <v>3.2820000600000001</v>
      </c>
      <c r="AH90">
        <v>5</v>
      </c>
      <c r="AI90">
        <v>10</v>
      </c>
      <c r="AJ90">
        <v>2</v>
      </c>
      <c r="AK90">
        <v>44</v>
      </c>
      <c r="AL90">
        <v>31</v>
      </c>
      <c r="AM90" t="s">
        <v>43</v>
      </c>
      <c r="AN90" t="s">
        <v>43</v>
      </c>
    </row>
    <row r="91" spans="1:40" x14ac:dyDescent="0.3">
      <c r="A91" s="1">
        <v>46210.989583333336</v>
      </c>
      <c r="B91" t="s">
        <v>40</v>
      </c>
      <c r="C91" t="s">
        <v>41</v>
      </c>
      <c r="D91" s="1">
        <v>46210.99255787037</v>
      </c>
      <c r="E91" t="s">
        <v>42</v>
      </c>
      <c r="F91" t="s">
        <v>83</v>
      </c>
      <c r="G91">
        <v>0</v>
      </c>
      <c r="H91" t="s">
        <v>43</v>
      </c>
      <c r="I91" t="s">
        <v>99</v>
      </c>
      <c r="J91">
        <v>0</v>
      </c>
      <c r="K91">
        <v>-3200</v>
      </c>
      <c r="L91">
        <v>0</v>
      </c>
      <c r="M91">
        <v>0</v>
      </c>
      <c r="N91" t="s">
        <v>81</v>
      </c>
      <c r="O91" t="s">
        <v>82</v>
      </c>
      <c r="P91">
        <v>125</v>
      </c>
      <c r="Q91" t="s">
        <v>43</v>
      </c>
      <c r="R91">
        <v>0</v>
      </c>
      <c r="S91">
        <v>0</v>
      </c>
      <c r="T91">
        <v>-40</v>
      </c>
      <c r="U91">
        <v>34</v>
      </c>
      <c r="V91">
        <v>0</v>
      </c>
      <c r="W91">
        <v>29</v>
      </c>
      <c r="X91">
        <v>29</v>
      </c>
      <c r="Y91">
        <v>1</v>
      </c>
      <c r="Z91">
        <v>8</v>
      </c>
      <c r="AA91">
        <v>26</v>
      </c>
      <c r="AB91">
        <v>2</v>
      </c>
      <c r="AC91">
        <v>1</v>
      </c>
      <c r="AD91">
        <v>3.2899999599999998</v>
      </c>
      <c r="AE91">
        <v>1</v>
      </c>
      <c r="AF91">
        <v>25</v>
      </c>
      <c r="AG91">
        <v>3.2869999399999998</v>
      </c>
      <c r="AH91">
        <v>2</v>
      </c>
      <c r="AI91">
        <v>45</v>
      </c>
      <c r="AJ91">
        <v>0</v>
      </c>
      <c r="AK91">
        <v>0</v>
      </c>
      <c r="AL91">
        <v>31</v>
      </c>
      <c r="AM91" t="s">
        <v>43</v>
      </c>
      <c r="AN91" t="str">
        <f>HYPERLINK("https://www.google.com/maps?q=11.05477715,79.06095886","Open Location")</f>
        <v>Open Location</v>
      </c>
    </row>
    <row r="92" spans="1:40" x14ac:dyDescent="0.3">
      <c r="A92" s="1">
        <v>46210.98946759259</v>
      </c>
      <c r="B92" t="s">
        <v>40</v>
      </c>
      <c r="C92" t="s">
        <v>41</v>
      </c>
      <c r="D92" s="1">
        <v>46210.992592592593</v>
      </c>
      <c r="E92" t="s">
        <v>42</v>
      </c>
      <c r="F92" t="s">
        <v>43</v>
      </c>
      <c r="G92" t="s">
        <v>43</v>
      </c>
      <c r="H92" t="s">
        <v>43</v>
      </c>
      <c r="I92" t="s">
        <v>100</v>
      </c>
      <c r="J92" t="s">
        <v>43</v>
      </c>
      <c r="K92" t="s">
        <v>43</v>
      </c>
      <c r="L92" t="s">
        <v>43</v>
      </c>
      <c r="M92" t="s">
        <v>43</v>
      </c>
      <c r="N92" t="s">
        <v>45</v>
      </c>
      <c r="O92" t="s">
        <v>43</v>
      </c>
      <c r="P92" t="s">
        <v>43</v>
      </c>
      <c r="Q92" t="s">
        <v>43</v>
      </c>
      <c r="R92" t="s">
        <v>43</v>
      </c>
      <c r="S92" t="s">
        <v>43</v>
      </c>
      <c r="T92" t="s">
        <v>43</v>
      </c>
      <c r="U92" t="s">
        <v>43</v>
      </c>
      <c r="V92" t="s">
        <v>43</v>
      </c>
      <c r="W92" t="s">
        <v>43</v>
      </c>
      <c r="X92" t="s">
        <v>43</v>
      </c>
      <c r="Y92" t="s">
        <v>43</v>
      </c>
      <c r="Z92" t="s">
        <v>43</v>
      </c>
      <c r="AA92" t="s">
        <v>43</v>
      </c>
      <c r="AB92" t="s">
        <v>43</v>
      </c>
      <c r="AC92" t="s">
        <v>43</v>
      </c>
      <c r="AD92" t="s">
        <v>43</v>
      </c>
      <c r="AE92" t="s">
        <v>43</v>
      </c>
      <c r="AF92" t="s">
        <v>43</v>
      </c>
      <c r="AG92" t="s">
        <v>43</v>
      </c>
      <c r="AH92" t="s">
        <v>43</v>
      </c>
      <c r="AI92" t="s">
        <v>43</v>
      </c>
      <c r="AJ92" t="s">
        <v>43</v>
      </c>
      <c r="AK92" t="s">
        <v>43</v>
      </c>
      <c r="AL92" t="s">
        <v>43</v>
      </c>
      <c r="AM92" t="s">
        <v>43</v>
      </c>
      <c r="AN92" t="str">
        <f>HYPERLINK("https://www.google.com/maps?q=11.05477905,79.06095886","Open Location")</f>
        <v>Open Location</v>
      </c>
    </row>
    <row r="93" spans="1:40" x14ac:dyDescent="0.3">
      <c r="A93" s="1">
        <v>46210.989351851851</v>
      </c>
      <c r="B93" t="s">
        <v>40</v>
      </c>
      <c r="C93" t="s">
        <v>41</v>
      </c>
      <c r="D93" s="1">
        <v>46210.992118055554</v>
      </c>
      <c r="E93" t="s">
        <v>42</v>
      </c>
      <c r="F93" t="s">
        <v>43</v>
      </c>
      <c r="G93" t="s">
        <v>43</v>
      </c>
      <c r="H93" t="s">
        <v>43</v>
      </c>
      <c r="I93" t="s">
        <v>101</v>
      </c>
      <c r="J93" t="s">
        <v>43</v>
      </c>
      <c r="K93" t="s">
        <v>43</v>
      </c>
      <c r="L93" t="s">
        <v>43</v>
      </c>
      <c r="M93" t="s">
        <v>43</v>
      </c>
      <c r="N93" t="s">
        <v>45</v>
      </c>
      <c r="O93" t="s">
        <v>43</v>
      </c>
      <c r="P93" t="s">
        <v>43</v>
      </c>
      <c r="Q93" t="s">
        <v>43</v>
      </c>
      <c r="R93" t="s">
        <v>43</v>
      </c>
      <c r="S93" t="s">
        <v>43</v>
      </c>
      <c r="T93" t="s">
        <v>43</v>
      </c>
      <c r="U93" t="s">
        <v>43</v>
      </c>
      <c r="V93" t="s">
        <v>43</v>
      </c>
      <c r="W93" t="s">
        <v>43</v>
      </c>
      <c r="X93" t="s">
        <v>43</v>
      </c>
      <c r="Y93" t="s">
        <v>43</v>
      </c>
      <c r="Z93" t="s">
        <v>43</v>
      </c>
      <c r="AA93" t="s">
        <v>43</v>
      </c>
      <c r="AB93" t="s">
        <v>43</v>
      </c>
      <c r="AC93" t="s">
        <v>43</v>
      </c>
      <c r="AD93" t="s">
        <v>43</v>
      </c>
      <c r="AE93" t="s">
        <v>43</v>
      </c>
      <c r="AF93" t="s">
        <v>43</v>
      </c>
      <c r="AG93" t="s">
        <v>43</v>
      </c>
      <c r="AH93" t="s">
        <v>43</v>
      </c>
      <c r="AI93" t="s">
        <v>43</v>
      </c>
      <c r="AJ93" t="s">
        <v>43</v>
      </c>
      <c r="AK93" t="s">
        <v>43</v>
      </c>
      <c r="AL93" t="s">
        <v>43</v>
      </c>
      <c r="AM93" t="s">
        <v>43</v>
      </c>
      <c r="AN93" t="str">
        <f>HYPERLINK("https://www.google.com/maps?q=11.05478001,79.06096649","Open Location")</f>
        <v>Open Location</v>
      </c>
    </row>
    <row r="94" spans="1:40" x14ac:dyDescent="0.3">
      <c r="A94" s="1">
        <v>46210.989236111112</v>
      </c>
      <c r="B94" t="s">
        <v>40</v>
      </c>
      <c r="C94" t="s">
        <v>41</v>
      </c>
      <c r="D94" s="1">
        <v>46210.9921412037</v>
      </c>
      <c r="E94" t="s">
        <v>42</v>
      </c>
      <c r="F94" t="s">
        <v>43</v>
      </c>
      <c r="G94" t="s">
        <v>43</v>
      </c>
      <c r="H94" t="s">
        <v>43</v>
      </c>
      <c r="I94" t="s">
        <v>102</v>
      </c>
      <c r="J94" t="s">
        <v>43</v>
      </c>
      <c r="K94" t="s">
        <v>43</v>
      </c>
      <c r="L94" t="s">
        <v>43</v>
      </c>
      <c r="M94" t="s">
        <v>43</v>
      </c>
      <c r="N94" t="s">
        <v>45</v>
      </c>
      <c r="O94" t="s">
        <v>43</v>
      </c>
      <c r="P94" t="s">
        <v>43</v>
      </c>
      <c r="Q94" t="s">
        <v>43</v>
      </c>
      <c r="R94" t="s">
        <v>43</v>
      </c>
      <c r="S94" t="s">
        <v>43</v>
      </c>
      <c r="T94" t="s">
        <v>43</v>
      </c>
      <c r="U94" t="s">
        <v>43</v>
      </c>
      <c r="V94" t="s">
        <v>43</v>
      </c>
      <c r="W94" t="s">
        <v>43</v>
      </c>
      <c r="X94" t="s">
        <v>43</v>
      </c>
      <c r="Y94" t="s">
        <v>43</v>
      </c>
      <c r="Z94" t="s">
        <v>43</v>
      </c>
      <c r="AA94" t="s">
        <v>43</v>
      </c>
      <c r="AB94" t="s">
        <v>43</v>
      </c>
      <c r="AC94" t="s">
        <v>43</v>
      </c>
      <c r="AD94" t="s">
        <v>43</v>
      </c>
      <c r="AE94" t="s">
        <v>43</v>
      </c>
      <c r="AF94" t="s">
        <v>43</v>
      </c>
      <c r="AG94" t="s">
        <v>43</v>
      </c>
      <c r="AH94" t="s">
        <v>43</v>
      </c>
      <c r="AI94" t="s">
        <v>43</v>
      </c>
      <c r="AJ94" t="s">
        <v>43</v>
      </c>
      <c r="AK94" t="s">
        <v>43</v>
      </c>
      <c r="AL94" t="s">
        <v>43</v>
      </c>
      <c r="AM94" t="s">
        <v>43</v>
      </c>
      <c r="AN94" t="str">
        <f>HYPERLINK("https://www.google.com/maps?q=11.05478096,79.06095886","Open Location")</f>
        <v>Open Location</v>
      </c>
    </row>
    <row r="95" spans="1:40" x14ac:dyDescent="0.3">
      <c r="A95" s="1">
        <v>46210.989120370374</v>
      </c>
      <c r="B95" t="s">
        <v>40</v>
      </c>
      <c r="C95" t="s">
        <v>41</v>
      </c>
      <c r="D95" s="1">
        <v>46210.991759259261</v>
      </c>
      <c r="E95" t="s">
        <v>42</v>
      </c>
      <c r="F95" t="s">
        <v>43</v>
      </c>
      <c r="G95" t="s">
        <v>43</v>
      </c>
      <c r="H95" t="s">
        <v>43</v>
      </c>
      <c r="I95" t="s">
        <v>103</v>
      </c>
      <c r="J95" t="s">
        <v>43</v>
      </c>
      <c r="K95" t="s">
        <v>43</v>
      </c>
      <c r="L95" t="s">
        <v>43</v>
      </c>
      <c r="M95" t="s">
        <v>43</v>
      </c>
      <c r="N95" t="s">
        <v>45</v>
      </c>
      <c r="O95" t="s">
        <v>43</v>
      </c>
      <c r="P95" t="s">
        <v>43</v>
      </c>
      <c r="Q95" t="s">
        <v>43</v>
      </c>
      <c r="R95" t="s">
        <v>43</v>
      </c>
      <c r="S95" t="s">
        <v>43</v>
      </c>
      <c r="T95" t="s">
        <v>43</v>
      </c>
      <c r="U95" t="s">
        <v>43</v>
      </c>
      <c r="V95" t="s">
        <v>43</v>
      </c>
      <c r="W95" t="s">
        <v>43</v>
      </c>
      <c r="X95" t="s">
        <v>43</v>
      </c>
      <c r="Y95" t="s">
        <v>43</v>
      </c>
      <c r="Z95" t="s">
        <v>43</v>
      </c>
      <c r="AA95" t="s">
        <v>43</v>
      </c>
      <c r="AB95" t="s">
        <v>43</v>
      </c>
      <c r="AC95" t="s">
        <v>43</v>
      </c>
      <c r="AD95" t="s">
        <v>43</v>
      </c>
      <c r="AE95" t="s">
        <v>43</v>
      </c>
      <c r="AF95" t="s">
        <v>43</v>
      </c>
      <c r="AG95" t="s">
        <v>43</v>
      </c>
      <c r="AH95" t="s">
        <v>43</v>
      </c>
      <c r="AI95" t="s">
        <v>43</v>
      </c>
      <c r="AJ95" t="s">
        <v>43</v>
      </c>
      <c r="AK95" t="s">
        <v>43</v>
      </c>
      <c r="AL95" t="s">
        <v>43</v>
      </c>
      <c r="AM95" t="s">
        <v>43</v>
      </c>
      <c r="AN95" t="str">
        <f>HYPERLINK("https://www.google.com/maps?q=11.05478001,79.06095886","Open Location")</f>
        <v>Open Location</v>
      </c>
    </row>
    <row r="96" spans="1:40" x14ac:dyDescent="0.3">
      <c r="A96" s="1">
        <v>46210.989004629628</v>
      </c>
      <c r="B96" t="s">
        <v>40</v>
      </c>
      <c r="C96" t="s">
        <v>41</v>
      </c>
      <c r="D96" s="1">
        <v>46210.991736111115</v>
      </c>
      <c r="E96" t="s">
        <v>42</v>
      </c>
      <c r="F96" t="s">
        <v>43</v>
      </c>
      <c r="G96" t="s">
        <v>43</v>
      </c>
      <c r="H96" t="s">
        <v>43</v>
      </c>
      <c r="I96" t="s">
        <v>43</v>
      </c>
      <c r="J96" t="s">
        <v>43</v>
      </c>
      <c r="K96" t="s">
        <v>43</v>
      </c>
      <c r="L96" t="s">
        <v>43</v>
      </c>
      <c r="M96" t="s">
        <v>43</v>
      </c>
      <c r="N96" t="s">
        <v>45</v>
      </c>
      <c r="O96" t="s">
        <v>43</v>
      </c>
      <c r="P96" t="s">
        <v>43</v>
      </c>
      <c r="Q96" t="s">
        <v>43</v>
      </c>
      <c r="R96" t="s">
        <v>43</v>
      </c>
      <c r="S96" t="s">
        <v>43</v>
      </c>
      <c r="T96" t="s">
        <v>43</v>
      </c>
      <c r="U96" t="s">
        <v>43</v>
      </c>
      <c r="V96" t="s">
        <v>43</v>
      </c>
      <c r="W96" t="s">
        <v>43</v>
      </c>
      <c r="X96" t="s">
        <v>43</v>
      </c>
      <c r="Y96" t="s">
        <v>43</v>
      </c>
      <c r="Z96" t="s">
        <v>43</v>
      </c>
      <c r="AA96" t="s">
        <v>43</v>
      </c>
      <c r="AB96" t="s">
        <v>43</v>
      </c>
      <c r="AC96" t="s">
        <v>43</v>
      </c>
      <c r="AD96" t="s">
        <v>43</v>
      </c>
      <c r="AE96" t="s">
        <v>43</v>
      </c>
      <c r="AF96" t="s">
        <v>43</v>
      </c>
      <c r="AG96" t="s">
        <v>43</v>
      </c>
      <c r="AH96" t="s">
        <v>43</v>
      </c>
      <c r="AI96" t="s">
        <v>43</v>
      </c>
      <c r="AJ96" t="s">
        <v>43</v>
      </c>
      <c r="AK96" t="s">
        <v>43</v>
      </c>
      <c r="AL96" t="s">
        <v>43</v>
      </c>
      <c r="AM96" t="s">
        <v>43</v>
      </c>
      <c r="AN96" t="s">
        <v>43</v>
      </c>
    </row>
    <row r="97" spans="1:40" x14ac:dyDescent="0.3">
      <c r="A97" s="1">
        <v>46210.988888888889</v>
      </c>
      <c r="B97" t="s">
        <v>40</v>
      </c>
      <c r="C97" t="s">
        <v>41</v>
      </c>
      <c r="D97" s="1">
        <v>46210.991747685184</v>
      </c>
      <c r="E97" t="s">
        <v>42</v>
      </c>
      <c r="F97" t="s">
        <v>43</v>
      </c>
      <c r="G97" t="s">
        <v>43</v>
      </c>
      <c r="H97" t="s">
        <v>43</v>
      </c>
      <c r="I97" t="s">
        <v>104</v>
      </c>
      <c r="J97" t="s">
        <v>43</v>
      </c>
      <c r="K97" t="s">
        <v>43</v>
      </c>
      <c r="L97" t="s">
        <v>43</v>
      </c>
      <c r="M97" t="s">
        <v>43</v>
      </c>
      <c r="N97" t="s">
        <v>45</v>
      </c>
      <c r="O97" t="s">
        <v>43</v>
      </c>
      <c r="P97" t="s">
        <v>43</v>
      </c>
      <c r="Q97" t="s">
        <v>43</v>
      </c>
      <c r="R97" t="s">
        <v>43</v>
      </c>
      <c r="S97" t="s">
        <v>43</v>
      </c>
      <c r="T97" t="s">
        <v>43</v>
      </c>
      <c r="U97" t="s">
        <v>43</v>
      </c>
      <c r="V97" t="s">
        <v>43</v>
      </c>
      <c r="W97" t="s">
        <v>43</v>
      </c>
      <c r="X97" t="s">
        <v>43</v>
      </c>
      <c r="Y97" t="s">
        <v>43</v>
      </c>
      <c r="Z97" t="s">
        <v>43</v>
      </c>
      <c r="AA97" t="s">
        <v>43</v>
      </c>
      <c r="AB97" t="s">
        <v>43</v>
      </c>
      <c r="AC97" t="s">
        <v>43</v>
      </c>
      <c r="AD97" t="s">
        <v>43</v>
      </c>
      <c r="AE97" t="s">
        <v>43</v>
      </c>
      <c r="AF97" t="s">
        <v>43</v>
      </c>
      <c r="AG97" t="s">
        <v>43</v>
      </c>
      <c r="AH97" t="s">
        <v>43</v>
      </c>
      <c r="AI97" t="s">
        <v>43</v>
      </c>
      <c r="AJ97" t="s">
        <v>43</v>
      </c>
      <c r="AK97" t="s">
        <v>43</v>
      </c>
      <c r="AL97" t="s">
        <v>43</v>
      </c>
      <c r="AM97" t="s">
        <v>43</v>
      </c>
      <c r="AN97" t="str">
        <f>HYPERLINK("https://www.google.com/maps?q=11.0547781,79.06095886","Open Location")</f>
        <v>Open Location</v>
      </c>
    </row>
    <row r="98" spans="1:40" x14ac:dyDescent="0.3">
      <c r="A98" s="1">
        <v>46210.98877314815</v>
      </c>
      <c r="B98" t="s">
        <v>40</v>
      </c>
      <c r="C98" t="s">
        <v>41</v>
      </c>
      <c r="D98" s="1">
        <v>46210.991736111115</v>
      </c>
      <c r="E98" t="s">
        <v>42</v>
      </c>
      <c r="F98" t="s">
        <v>43</v>
      </c>
      <c r="G98" t="s">
        <v>43</v>
      </c>
      <c r="H98" t="s">
        <v>43</v>
      </c>
      <c r="I98" t="s">
        <v>105</v>
      </c>
      <c r="J98" t="s">
        <v>43</v>
      </c>
      <c r="K98" t="s">
        <v>43</v>
      </c>
      <c r="L98" t="s">
        <v>43</v>
      </c>
      <c r="M98" t="s">
        <v>43</v>
      </c>
      <c r="N98" t="s">
        <v>45</v>
      </c>
      <c r="O98" t="s">
        <v>43</v>
      </c>
      <c r="P98" t="s">
        <v>43</v>
      </c>
      <c r="Q98" t="s">
        <v>43</v>
      </c>
      <c r="R98" t="s">
        <v>43</v>
      </c>
      <c r="S98" t="s">
        <v>43</v>
      </c>
      <c r="T98" t="s">
        <v>43</v>
      </c>
      <c r="U98" t="s">
        <v>43</v>
      </c>
      <c r="V98" t="s">
        <v>43</v>
      </c>
      <c r="W98" t="s">
        <v>43</v>
      </c>
      <c r="X98" t="s">
        <v>43</v>
      </c>
      <c r="Y98" t="s">
        <v>43</v>
      </c>
      <c r="Z98" t="s">
        <v>43</v>
      </c>
      <c r="AA98" t="s">
        <v>43</v>
      </c>
      <c r="AB98" t="s">
        <v>43</v>
      </c>
      <c r="AC98" t="s">
        <v>43</v>
      </c>
      <c r="AD98" t="s">
        <v>43</v>
      </c>
      <c r="AE98" t="s">
        <v>43</v>
      </c>
      <c r="AF98" t="s">
        <v>43</v>
      </c>
      <c r="AG98" t="s">
        <v>43</v>
      </c>
      <c r="AH98" t="s">
        <v>43</v>
      </c>
      <c r="AI98" t="s">
        <v>43</v>
      </c>
      <c r="AJ98" t="s">
        <v>43</v>
      </c>
      <c r="AK98" t="s">
        <v>43</v>
      </c>
      <c r="AL98" t="s">
        <v>43</v>
      </c>
      <c r="AM98" t="s">
        <v>43</v>
      </c>
      <c r="AN98" t="str">
        <f>HYPERLINK("https://www.google.com/maps?q=11.05477524,79.06095886","Open Location")</f>
        <v>Open Location</v>
      </c>
    </row>
    <row r="99" spans="1:40" x14ac:dyDescent="0.3">
      <c r="A99" s="1">
        <v>46210.988657407404</v>
      </c>
      <c r="B99" t="s">
        <v>40</v>
      </c>
      <c r="C99" t="s">
        <v>41</v>
      </c>
      <c r="D99" s="1">
        <v>46210.991296296299</v>
      </c>
      <c r="E99" t="s">
        <v>42</v>
      </c>
      <c r="F99" t="s">
        <v>43</v>
      </c>
      <c r="G99" t="s">
        <v>43</v>
      </c>
      <c r="H99" t="s">
        <v>43</v>
      </c>
      <c r="I99" t="s">
        <v>98</v>
      </c>
      <c r="J99" t="s">
        <v>43</v>
      </c>
      <c r="K99" t="s">
        <v>43</v>
      </c>
      <c r="L99" t="s">
        <v>43</v>
      </c>
      <c r="M99" t="s">
        <v>43</v>
      </c>
      <c r="N99" t="s">
        <v>45</v>
      </c>
      <c r="O99" t="s">
        <v>43</v>
      </c>
      <c r="P99" t="s">
        <v>43</v>
      </c>
      <c r="Q99" t="s">
        <v>43</v>
      </c>
      <c r="R99" t="s">
        <v>43</v>
      </c>
      <c r="S99" t="s">
        <v>43</v>
      </c>
      <c r="T99" t="s">
        <v>43</v>
      </c>
      <c r="U99" t="s">
        <v>43</v>
      </c>
      <c r="V99" t="s">
        <v>43</v>
      </c>
      <c r="W99" t="s">
        <v>43</v>
      </c>
      <c r="X99" t="s">
        <v>43</v>
      </c>
      <c r="Y99" t="s">
        <v>43</v>
      </c>
      <c r="Z99" t="s">
        <v>43</v>
      </c>
      <c r="AA99" t="s">
        <v>43</v>
      </c>
      <c r="AB99" t="s">
        <v>43</v>
      </c>
      <c r="AC99" t="s">
        <v>43</v>
      </c>
      <c r="AD99" t="s">
        <v>43</v>
      </c>
      <c r="AE99" t="s">
        <v>43</v>
      </c>
      <c r="AF99" t="s">
        <v>43</v>
      </c>
      <c r="AG99" t="s">
        <v>43</v>
      </c>
      <c r="AH99" t="s">
        <v>43</v>
      </c>
      <c r="AI99" t="s">
        <v>43</v>
      </c>
      <c r="AJ99" t="s">
        <v>43</v>
      </c>
      <c r="AK99" t="s">
        <v>43</v>
      </c>
      <c r="AL99" t="s">
        <v>43</v>
      </c>
      <c r="AM99" t="s">
        <v>43</v>
      </c>
      <c r="AN99" t="str">
        <f>HYPERLINK("https://www.google.com/maps?q=11.05477428,79.06095886","Open Location")</f>
        <v>Open Location</v>
      </c>
    </row>
    <row r="100" spans="1:40" x14ac:dyDescent="0.3">
      <c r="A100" s="1">
        <v>46210.988541666666</v>
      </c>
      <c r="B100" t="s">
        <v>40</v>
      </c>
      <c r="C100" t="s">
        <v>41</v>
      </c>
      <c r="D100" s="1">
        <v>46210.991342592592</v>
      </c>
      <c r="E100" t="s">
        <v>42</v>
      </c>
      <c r="F100" t="s">
        <v>43</v>
      </c>
      <c r="G100" t="s">
        <v>43</v>
      </c>
      <c r="H100" t="s">
        <v>43</v>
      </c>
      <c r="I100" t="s">
        <v>105</v>
      </c>
      <c r="J100" t="s">
        <v>43</v>
      </c>
      <c r="K100" t="s">
        <v>43</v>
      </c>
      <c r="L100" t="s">
        <v>43</v>
      </c>
      <c r="M100" t="s">
        <v>43</v>
      </c>
      <c r="N100" t="s">
        <v>45</v>
      </c>
      <c r="O100" t="s">
        <v>43</v>
      </c>
      <c r="P100" t="s">
        <v>43</v>
      </c>
      <c r="Q100" t="s">
        <v>43</v>
      </c>
      <c r="R100" t="s">
        <v>43</v>
      </c>
      <c r="S100" t="s">
        <v>43</v>
      </c>
      <c r="T100" t="s">
        <v>43</v>
      </c>
      <c r="U100" t="s">
        <v>43</v>
      </c>
      <c r="V100" t="s">
        <v>43</v>
      </c>
      <c r="W100" t="s">
        <v>43</v>
      </c>
      <c r="X100" t="s">
        <v>43</v>
      </c>
      <c r="Y100" t="s">
        <v>43</v>
      </c>
      <c r="Z100" t="s">
        <v>43</v>
      </c>
      <c r="AA100" t="s">
        <v>43</v>
      </c>
      <c r="AB100" t="s">
        <v>43</v>
      </c>
      <c r="AC100" t="s">
        <v>43</v>
      </c>
      <c r="AD100" t="s">
        <v>43</v>
      </c>
      <c r="AE100" t="s">
        <v>43</v>
      </c>
      <c r="AF100" t="s">
        <v>43</v>
      </c>
      <c r="AG100" t="s">
        <v>43</v>
      </c>
      <c r="AH100" t="s">
        <v>43</v>
      </c>
      <c r="AI100" t="s">
        <v>43</v>
      </c>
      <c r="AJ100" t="s">
        <v>43</v>
      </c>
      <c r="AK100" t="s">
        <v>43</v>
      </c>
      <c r="AL100" t="s">
        <v>43</v>
      </c>
      <c r="AM100" t="s">
        <v>43</v>
      </c>
      <c r="AN100" t="str">
        <f>HYPERLINK("https://www.google.com/maps?q=11.05477524,79.06095886","Open Location")</f>
        <v>Open Location</v>
      </c>
    </row>
    <row r="101" spans="1:40" x14ac:dyDescent="0.3">
      <c r="A101" s="1">
        <v>46210.988425925927</v>
      </c>
      <c r="B101" t="s">
        <v>40</v>
      </c>
      <c r="C101" t="s">
        <v>41</v>
      </c>
      <c r="D101" s="1">
        <v>46210.99113425926</v>
      </c>
      <c r="E101" t="s">
        <v>42</v>
      </c>
      <c r="F101" t="s">
        <v>43</v>
      </c>
      <c r="G101" t="s">
        <v>43</v>
      </c>
      <c r="H101" t="s">
        <v>43</v>
      </c>
      <c r="I101" t="s">
        <v>106</v>
      </c>
      <c r="J101" t="s">
        <v>43</v>
      </c>
      <c r="K101" t="s">
        <v>43</v>
      </c>
      <c r="L101" t="s">
        <v>43</v>
      </c>
      <c r="M101" t="s">
        <v>43</v>
      </c>
      <c r="N101" t="s">
        <v>45</v>
      </c>
      <c r="O101" t="s">
        <v>43</v>
      </c>
      <c r="P101" t="s">
        <v>43</v>
      </c>
      <c r="Q101" t="s">
        <v>43</v>
      </c>
      <c r="R101" t="s">
        <v>43</v>
      </c>
      <c r="S101" t="s">
        <v>43</v>
      </c>
      <c r="T101" t="s">
        <v>43</v>
      </c>
      <c r="U101" t="s">
        <v>43</v>
      </c>
      <c r="V101" t="s">
        <v>43</v>
      </c>
      <c r="W101" t="s">
        <v>43</v>
      </c>
      <c r="X101" t="s">
        <v>43</v>
      </c>
      <c r="Y101" t="s">
        <v>43</v>
      </c>
      <c r="Z101" t="s">
        <v>43</v>
      </c>
      <c r="AA101" t="s">
        <v>43</v>
      </c>
      <c r="AB101" t="s">
        <v>43</v>
      </c>
      <c r="AC101" t="s">
        <v>43</v>
      </c>
      <c r="AD101" t="s">
        <v>43</v>
      </c>
      <c r="AE101" t="s">
        <v>43</v>
      </c>
      <c r="AF101" t="s">
        <v>43</v>
      </c>
      <c r="AG101" t="s">
        <v>43</v>
      </c>
      <c r="AH101" t="s">
        <v>43</v>
      </c>
      <c r="AI101" t="s">
        <v>43</v>
      </c>
      <c r="AJ101" t="s">
        <v>43</v>
      </c>
      <c r="AK101" t="s">
        <v>43</v>
      </c>
      <c r="AL101" t="s">
        <v>43</v>
      </c>
      <c r="AM101" t="s">
        <v>43</v>
      </c>
      <c r="AN101" t="str">
        <f>HYPERLINK("https://www.google.com/maps?q=11.05477619,79.06095886","Open Location")</f>
        <v>Open Location</v>
      </c>
    </row>
    <row r="102" spans="1:40" x14ac:dyDescent="0.3">
      <c r="A102" s="1">
        <v>46210.988310185188</v>
      </c>
      <c r="B102" t="s">
        <v>40</v>
      </c>
      <c r="C102" t="s">
        <v>41</v>
      </c>
      <c r="D102" s="1">
        <v>46210.991296296299</v>
      </c>
      <c r="E102" t="s">
        <v>42</v>
      </c>
      <c r="F102" t="s">
        <v>43</v>
      </c>
      <c r="G102" t="s">
        <v>43</v>
      </c>
      <c r="H102" t="s">
        <v>43</v>
      </c>
      <c r="I102" t="s">
        <v>43</v>
      </c>
      <c r="J102" t="s">
        <v>43</v>
      </c>
      <c r="K102" t="s">
        <v>43</v>
      </c>
      <c r="L102" t="s">
        <v>43</v>
      </c>
      <c r="M102" t="s">
        <v>43</v>
      </c>
      <c r="N102" t="s">
        <v>45</v>
      </c>
      <c r="O102" t="s">
        <v>43</v>
      </c>
      <c r="P102" t="s">
        <v>43</v>
      </c>
      <c r="Q102" t="s">
        <v>43</v>
      </c>
      <c r="R102" t="s">
        <v>43</v>
      </c>
      <c r="S102" t="s">
        <v>43</v>
      </c>
      <c r="T102" t="s">
        <v>43</v>
      </c>
      <c r="U102" t="s">
        <v>43</v>
      </c>
      <c r="V102" t="s">
        <v>43</v>
      </c>
      <c r="W102" t="s">
        <v>43</v>
      </c>
      <c r="X102" t="s">
        <v>43</v>
      </c>
      <c r="Y102" t="s">
        <v>43</v>
      </c>
      <c r="Z102" t="s">
        <v>43</v>
      </c>
      <c r="AA102" t="s">
        <v>43</v>
      </c>
      <c r="AB102" t="s">
        <v>43</v>
      </c>
      <c r="AC102" t="s">
        <v>43</v>
      </c>
      <c r="AD102" t="s">
        <v>43</v>
      </c>
      <c r="AE102" t="s">
        <v>43</v>
      </c>
      <c r="AF102" t="s">
        <v>43</v>
      </c>
      <c r="AG102" t="s">
        <v>43</v>
      </c>
      <c r="AH102" t="s">
        <v>43</v>
      </c>
      <c r="AI102" t="s">
        <v>43</v>
      </c>
      <c r="AJ102" t="s">
        <v>43</v>
      </c>
      <c r="AK102" t="s">
        <v>43</v>
      </c>
      <c r="AL102" t="s">
        <v>43</v>
      </c>
      <c r="AM102" t="s">
        <v>43</v>
      </c>
      <c r="AN102" t="s">
        <v>43</v>
      </c>
    </row>
    <row r="103" spans="1:40" x14ac:dyDescent="0.3">
      <c r="A103" s="1">
        <v>46210.988194444442</v>
      </c>
      <c r="B103" t="s">
        <v>40</v>
      </c>
      <c r="C103" t="s">
        <v>41</v>
      </c>
      <c r="D103" s="1">
        <v>46210.990972222222</v>
      </c>
      <c r="E103" t="s">
        <v>42</v>
      </c>
      <c r="F103" t="s">
        <v>43</v>
      </c>
      <c r="G103" t="s">
        <v>43</v>
      </c>
      <c r="H103" t="s">
        <v>43</v>
      </c>
      <c r="I103" t="s">
        <v>98</v>
      </c>
      <c r="J103" t="s">
        <v>43</v>
      </c>
      <c r="K103" t="s">
        <v>43</v>
      </c>
      <c r="L103" t="s">
        <v>43</v>
      </c>
      <c r="M103" t="s">
        <v>43</v>
      </c>
      <c r="N103" t="s">
        <v>45</v>
      </c>
      <c r="O103" t="s">
        <v>43</v>
      </c>
      <c r="P103" t="s">
        <v>43</v>
      </c>
      <c r="Q103" t="s">
        <v>43</v>
      </c>
      <c r="R103" t="s">
        <v>43</v>
      </c>
      <c r="S103" t="s">
        <v>43</v>
      </c>
      <c r="T103" t="s">
        <v>43</v>
      </c>
      <c r="U103" t="s">
        <v>43</v>
      </c>
      <c r="V103" t="s">
        <v>43</v>
      </c>
      <c r="W103" t="s">
        <v>43</v>
      </c>
      <c r="X103" t="s">
        <v>43</v>
      </c>
      <c r="Y103" t="s">
        <v>43</v>
      </c>
      <c r="Z103" t="s">
        <v>43</v>
      </c>
      <c r="AA103" t="s">
        <v>43</v>
      </c>
      <c r="AB103" t="s">
        <v>43</v>
      </c>
      <c r="AC103" t="s">
        <v>43</v>
      </c>
      <c r="AD103" t="s">
        <v>43</v>
      </c>
      <c r="AE103" t="s">
        <v>43</v>
      </c>
      <c r="AF103" t="s">
        <v>43</v>
      </c>
      <c r="AG103" t="s">
        <v>43</v>
      </c>
      <c r="AH103" t="s">
        <v>43</v>
      </c>
      <c r="AI103" t="s">
        <v>43</v>
      </c>
      <c r="AJ103" t="s">
        <v>43</v>
      </c>
      <c r="AK103" t="s">
        <v>43</v>
      </c>
      <c r="AL103" t="s">
        <v>43</v>
      </c>
      <c r="AM103" t="s">
        <v>43</v>
      </c>
      <c r="AN103" t="str">
        <f>HYPERLINK("https://www.google.com/maps?q=11.05477428,79.06095886","Open Location")</f>
        <v>Open Location</v>
      </c>
    </row>
    <row r="104" spans="1:40" x14ac:dyDescent="0.3">
      <c r="A104" s="1">
        <v>46210.988078703704</v>
      </c>
      <c r="B104" t="s">
        <v>40</v>
      </c>
      <c r="C104" t="s">
        <v>41</v>
      </c>
      <c r="D104" s="1">
        <v>46210.990972222222</v>
      </c>
      <c r="E104" t="s">
        <v>42</v>
      </c>
      <c r="F104" t="s">
        <v>43</v>
      </c>
      <c r="G104" t="s">
        <v>43</v>
      </c>
      <c r="H104" t="s">
        <v>43</v>
      </c>
      <c r="I104" t="s">
        <v>107</v>
      </c>
      <c r="J104" t="s">
        <v>43</v>
      </c>
      <c r="K104" t="s">
        <v>43</v>
      </c>
      <c r="L104" t="s">
        <v>43</v>
      </c>
      <c r="M104" t="s">
        <v>43</v>
      </c>
      <c r="N104" t="s">
        <v>45</v>
      </c>
      <c r="O104" t="s">
        <v>43</v>
      </c>
      <c r="P104" t="s">
        <v>43</v>
      </c>
      <c r="Q104" t="s">
        <v>43</v>
      </c>
      <c r="R104" t="s">
        <v>43</v>
      </c>
      <c r="S104" t="s">
        <v>43</v>
      </c>
      <c r="T104" t="s">
        <v>43</v>
      </c>
      <c r="U104" t="s">
        <v>43</v>
      </c>
      <c r="V104" t="s">
        <v>43</v>
      </c>
      <c r="W104" t="s">
        <v>43</v>
      </c>
      <c r="X104" t="s">
        <v>43</v>
      </c>
      <c r="Y104" t="s">
        <v>43</v>
      </c>
      <c r="Z104" t="s">
        <v>43</v>
      </c>
      <c r="AA104" t="s">
        <v>43</v>
      </c>
      <c r="AB104" t="s">
        <v>43</v>
      </c>
      <c r="AC104" t="s">
        <v>43</v>
      </c>
      <c r="AD104" t="s">
        <v>43</v>
      </c>
      <c r="AE104" t="s">
        <v>43</v>
      </c>
      <c r="AF104" t="s">
        <v>43</v>
      </c>
      <c r="AG104" t="s">
        <v>43</v>
      </c>
      <c r="AH104" t="s">
        <v>43</v>
      </c>
      <c r="AI104" t="s">
        <v>43</v>
      </c>
      <c r="AJ104" t="s">
        <v>43</v>
      </c>
      <c r="AK104" t="s">
        <v>43</v>
      </c>
      <c r="AL104" t="s">
        <v>43</v>
      </c>
      <c r="AM104" t="s">
        <v>43</v>
      </c>
      <c r="AN104" t="str">
        <f>HYPERLINK("https://www.google.com/maps?q=11.05477333,79.06095886","Open Location")</f>
        <v>Open Location</v>
      </c>
    </row>
    <row r="105" spans="1:40" x14ac:dyDescent="0.3">
      <c r="A105" s="1">
        <v>46210.987962962965</v>
      </c>
      <c r="B105" t="s">
        <v>40</v>
      </c>
      <c r="C105" t="s">
        <v>41</v>
      </c>
      <c r="D105" s="1">
        <v>46210.990983796299</v>
      </c>
      <c r="E105" t="s">
        <v>42</v>
      </c>
      <c r="F105" t="s">
        <v>43</v>
      </c>
      <c r="G105" t="s">
        <v>43</v>
      </c>
      <c r="H105" t="s">
        <v>43</v>
      </c>
      <c r="I105" t="s">
        <v>108</v>
      </c>
      <c r="J105" t="s">
        <v>43</v>
      </c>
      <c r="K105" t="s">
        <v>43</v>
      </c>
      <c r="L105" t="s">
        <v>43</v>
      </c>
      <c r="M105" t="s">
        <v>43</v>
      </c>
      <c r="N105" t="s">
        <v>45</v>
      </c>
      <c r="O105" t="s">
        <v>43</v>
      </c>
      <c r="P105" t="s">
        <v>43</v>
      </c>
      <c r="Q105" t="s">
        <v>43</v>
      </c>
      <c r="R105" t="s">
        <v>43</v>
      </c>
      <c r="S105" t="s">
        <v>43</v>
      </c>
      <c r="T105" t="s">
        <v>43</v>
      </c>
      <c r="U105" t="s">
        <v>43</v>
      </c>
      <c r="V105" t="s">
        <v>43</v>
      </c>
      <c r="W105" t="s">
        <v>43</v>
      </c>
      <c r="X105" t="s">
        <v>43</v>
      </c>
      <c r="Y105" t="s">
        <v>43</v>
      </c>
      <c r="Z105" t="s">
        <v>43</v>
      </c>
      <c r="AA105" t="s">
        <v>43</v>
      </c>
      <c r="AB105" t="s">
        <v>43</v>
      </c>
      <c r="AC105" t="s">
        <v>43</v>
      </c>
      <c r="AD105" t="s">
        <v>43</v>
      </c>
      <c r="AE105" t="s">
        <v>43</v>
      </c>
      <c r="AF105" t="s">
        <v>43</v>
      </c>
      <c r="AG105" t="s">
        <v>43</v>
      </c>
      <c r="AH105" t="s">
        <v>43</v>
      </c>
      <c r="AI105" t="s">
        <v>43</v>
      </c>
      <c r="AJ105" t="s">
        <v>43</v>
      </c>
      <c r="AK105" t="s">
        <v>43</v>
      </c>
      <c r="AL105" t="s">
        <v>43</v>
      </c>
      <c r="AM105" t="s">
        <v>43</v>
      </c>
      <c r="AN105" t="str">
        <f>HYPERLINK("https://www.google.com/maps?q=11.05477619,79.06095123","Open Location")</f>
        <v>Open Location</v>
      </c>
    </row>
    <row r="106" spans="1:40" x14ac:dyDescent="0.3">
      <c r="A106" s="1">
        <v>46210.987847222219</v>
      </c>
      <c r="B106" t="s">
        <v>40</v>
      </c>
      <c r="C106" t="s">
        <v>41</v>
      </c>
      <c r="D106" s="1">
        <v>46210.990763888891</v>
      </c>
      <c r="E106" t="s">
        <v>42</v>
      </c>
      <c r="F106" t="s">
        <v>43</v>
      </c>
      <c r="G106" t="s">
        <v>43</v>
      </c>
      <c r="H106" t="s">
        <v>43</v>
      </c>
      <c r="I106" t="s">
        <v>109</v>
      </c>
      <c r="J106" t="s">
        <v>43</v>
      </c>
      <c r="K106" t="s">
        <v>43</v>
      </c>
      <c r="L106" t="s">
        <v>43</v>
      </c>
      <c r="M106" t="s">
        <v>43</v>
      </c>
      <c r="N106" t="s">
        <v>45</v>
      </c>
      <c r="O106" t="s">
        <v>43</v>
      </c>
      <c r="P106" t="s">
        <v>43</v>
      </c>
      <c r="Q106" t="s">
        <v>43</v>
      </c>
      <c r="R106" t="s">
        <v>43</v>
      </c>
      <c r="S106" t="s">
        <v>43</v>
      </c>
      <c r="T106" t="s">
        <v>43</v>
      </c>
      <c r="U106" t="s">
        <v>43</v>
      </c>
      <c r="V106" t="s">
        <v>43</v>
      </c>
      <c r="W106" t="s">
        <v>43</v>
      </c>
      <c r="X106" t="s">
        <v>43</v>
      </c>
      <c r="Y106" t="s">
        <v>43</v>
      </c>
      <c r="Z106" t="s">
        <v>43</v>
      </c>
      <c r="AA106" t="s">
        <v>43</v>
      </c>
      <c r="AB106" t="s">
        <v>43</v>
      </c>
      <c r="AC106" t="s">
        <v>43</v>
      </c>
      <c r="AD106" t="s">
        <v>43</v>
      </c>
      <c r="AE106" t="s">
        <v>43</v>
      </c>
      <c r="AF106" t="s">
        <v>43</v>
      </c>
      <c r="AG106" t="s">
        <v>43</v>
      </c>
      <c r="AH106" t="s">
        <v>43</v>
      </c>
      <c r="AI106" t="s">
        <v>43</v>
      </c>
      <c r="AJ106" t="s">
        <v>43</v>
      </c>
      <c r="AK106" t="s">
        <v>43</v>
      </c>
      <c r="AL106" t="s">
        <v>43</v>
      </c>
      <c r="AM106" t="s">
        <v>43</v>
      </c>
      <c r="AN106" t="str">
        <f>HYPERLINK("https://www.google.com/maps?q=11.05477524,79.06095123","Open Location")</f>
        <v>Open Location</v>
      </c>
    </row>
    <row r="107" spans="1:40" x14ac:dyDescent="0.3">
      <c r="A107" s="1">
        <v>46210.98773148148</v>
      </c>
      <c r="B107" t="s">
        <v>40</v>
      </c>
      <c r="C107" t="s">
        <v>41</v>
      </c>
      <c r="D107" s="1">
        <v>46210.990520833337</v>
      </c>
      <c r="E107" t="s">
        <v>42</v>
      </c>
      <c r="F107" t="s">
        <v>43</v>
      </c>
      <c r="G107" t="s">
        <v>43</v>
      </c>
      <c r="H107" t="s">
        <v>43</v>
      </c>
      <c r="I107" t="s">
        <v>110</v>
      </c>
      <c r="J107" t="s">
        <v>43</v>
      </c>
      <c r="K107" t="s">
        <v>43</v>
      </c>
      <c r="L107" t="s">
        <v>43</v>
      </c>
      <c r="M107" t="s">
        <v>43</v>
      </c>
      <c r="N107" t="s">
        <v>45</v>
      </c>
      <c r="O107" t="s">
        <v>43</v>
      </c>
      <c r="P107" t="s">
        <v>43</v>
      </c>
      <c r="Q107" t="s">
        <v>43</v>
      </c>
      <c r="R107" t="s">
        <v>43</v>
      </c>
      <c r="S107" t="s">
        <v>43</v>
      </c>
      <c r="T107" t="s">
        <v>43</v>
      </c>
      <c r="U107" t="s">
        <v>43</v>
      </c>
      <c r="V107" t="s">
        <v>43</v>
      </c>
      <c r="W107" t="s">
        <v>43</v>
      </c>
      <c r="X107" t="s">
        <v>43</v>
      </c>
      <c r="Y107" t="s">
        <v>43</v>
      </c>
      <c r="Z107" t="s">
        <v>43</v>
      </c>
      <c r="AA107" t="s">
        <v>43</v>
      </c>
      <c r="AB107" t="s">
        <v>43</v>
      </c>
      <c r="AC107" t="s">
        <v>43</v>
      </c>
      <c r="AD107" t="s">
        <v>43</v>
      </c>
      <c r="AE107" t="s">
        <v>43</v>
      </c>
      <c r="AF107" t="s">
        <v>43</v>
      </c>
      <c r="AG107" t="s">
        <v>43</v>
      </c>
      <c r="AH107" t="s">
        <v>43</v>
      </c>
      <c r="AI107" t="s">
        <v>43</v>
      </c>
      <c r="AJ107" t="s">
        <v>43</v>
      </c>
      <c r="AK107" t="s">
        <v>43</v>
      </c>
      <c r="AL107" t="s">
        <v>43</v>
      </c>
      <c r="AM107" t="s">
        <v>43</v>
      </c>
      <c r="AN107" t="str">
        <f>HYPERLINK("https://www.google.com/maps?q=11.05477238,79.06095123","Open Location")</f>
        <v>Open Location</v>
      </c>
    </row>
    <row r="108" spans="1:40" x14ac:dyDescent="0.3">
      <c r="A108" s="1">
        <v>46210.987615740742</v>
      </c>
      <c r="B108" t="s">
        <v>40</v>
      </c>
      <c r="C108" t="s">
        <v>41</v>
      </c>
      <c r="D108" s="1">
        <v>46210.990381944444</v>
      </c>
      <c r="E108" t="s">
        <v>42</v>
      </c>
      <c r="F108" t="s">
        <v>43</v>
      </c>
      <c r="G108" t="s">
        <v>43</v>
      </c>
      <c r="H108" t="s">
        <v>43</v>
      </c>
      <c r="I108" t="s">
        <v>43</v>
      </c>
      <c r="J108" t="s">
        <v>43</v>
      </c>
      <c r="K108" t="s">
        <v>43</v>
      </c>
      <c r="L108" t="s">
        <v>43</v>
      </c>
      <c r="M108" t="s">
        <v>43</v>
      </c>
      <c r="N108" t="s">
        <v>45</v>
      </c>
      <c r="O108" t="s">
        <v>43</v>
      </c>
      <c r="P108" t="s">
        <v>43</v>
      </c>
      <c r="Q108" t="s">
        <v>43</v>
      </c>
      <c r="R108" t="s">
        <v>43</v>
      </c>
      <c r="S108" t="s">
        <v>43</v>
      </c>
      <c r="T108" t="s">
        <v>43</v>
      </c>
      <c r="U108" t="s">
        <v>43</v>
      </c>
      <c r="V108" t="s">
        <v>43</v>
      </c>
      <c r="W108" t="s">
        <v>43</v>
      </c>
      <c r="X108" t="s">
        <v>43</v>
      </c>
      <c r="Y108" t="s">
        <v>43</v>
      </c>
      <c r="Z108" t="s">
        <v>43</v>
      </c>
      <c r="AA108" t="s">
        <v>43</v>
      </c>
      <c r="AB108" t="s">
        <v>43</v>
      </c>
      <c r="AC108" t="s">
        <v>43</v>
      </c>
      <c r="AD108" t="s">
        <v>43</v>
      </c>
      <c r="AE108" t="s">
        <v>43</v>
      </c>
      <c r="AF108" t="s">
        <v>43</v>
      </c>
      <c r="AG108" t="s">
        <v>43</v>
      </c>
      <c r="AH108" t="s">
        <v>43</v>
      </c>
      <c r="AI108" t="s">
        <v>43</v>
      </c>
      <c r="AJ108" t="s">
        <v>43</v>
      </c>
      <c r="AK108" t="s">
        <v>43</v>
      </c>
      <c r="AL108" t="s">
        <v>43</v>
      </c>
      <c r="AM108" t="s">
        <v>43</v>
      </c>
      <c r="AN108" t="s">
        <v>43</v>
      </c>
    </row>
    <row r="109" spans="1:40" x14ac:dyDescent="0.3">
      <c r="A109" s="1">
        <v>46210.987500000003</v>
      </c>
      <c r="B109" t="s">
        <v>40</v>
      </c>
      <c r="C109" t="s">
        <v>41</v>
      </c>
      <c r="D109" s="1">
        <v>46210.990208333336</v>
      </c>
      <c r="E109" t="s">
        <v>42</v>
      </c>
      <c r="F109" t="s">
        <v>43</v>
      </c>
      <c r="G109" t="s">
        <v>43</v>
      </c>
      <c r="H109" t="s">
        <v>43</v>
      </c>
      <c r="I109" t="s">
        <v>111</v>
      </c>
      <c r="J109" t="s">
        <v>43</v>
      </c>
      <c r="K109" t="s">
        <v>43</v>
      </c>
      <c r="L109" t="s">
        <v>43</v>
      </c>
      <c r="M109" t="s">
        <v>43</v>
      </c>
      <c r="N109" t="s">
        <v>45</v>
      </c>
      <c r="O109" t="s">
        <v>43</v>
      </c>
      <c r="P109" t="s">
        <v>43</v>
      </c>
      <c r="Q109" t="s">
        <v>43</v>
      </c>
      <c r="R109" t="s">
        <v>43</v>
      </c>
      <c r="S109" t="s">
        <v>43</v>
      </c>
      <c r="T109" t="s">
        <v>43</v>
      </c>
      <c r="U109" t="s">
        <v>43</v>
      </c>
      <c r="V109" t="s">
        <v>43</v>
      </c>
      <c r="W109" t="s">
        <v>43</v>
      </c>
      <c r="X109" t="s">
        <v>43</v>
      </c>
      <c r="Y109" t="s">
        <v>43</v>
      </c>
      <c r="Z109" t="s">
        <v>43</v>
      </c>
      <c r="AA109" t="s">
        <v>43</v>
      </c>
      <c r="AB109" t="s">
        <v>43</v>
      </c>
      <c r="AC109" t="s">
        <v>43</v>
      </c>
      <c r="AD109" t="s">
        <v>43</v>
      </c>
      <c r="AE109" t="s">
        <v>43</v>
      </c>
      <c r="AF109" t="s">
        <v>43</v>
      </c>
      <c r="AG109" t="s">
        <v>43</v>
      </c>
      <c r="AH109" t="s">
        <v>43</v>
      </c>
      <c r="AI109" t="s">
        <v>43</v>
      </c>
      <c r="AJ109" t="s">
        <v>43</v>
      </c>
      <c r="AK109" t="s">
        <v>43</v>
      </c>
      <c r="AL109" t="s">
        <v>43</v>
      </c>
      <c r="AM109" t="s">
        <v>43</v>
      </c>
      <c r="AN109" t="str">
        <f>HYPERLINK("https://www.google.com/maps?q=11.05477142,79.06095886","Open Location")</f>
        <v>Open Location</v>
      </c>
    </row>
    <row r="110" spans="1:40" x14ac:dyDescent="0.3">
      <c r="A110" s="1">
        <v>46210.987384259257</v>
      </c>
      <c r="B110" t="s">
        <v>40</v>
      </c>
      <c r="C110" t="s">
        <v>41</v>
      </c>
      <c r="D110" s="1">
        <v>46210.99019675926</v>
      </c>
      <c r="E110" t="s">
        <v>42</v>
      </c>
      <c r="F110" t="s">
        <v>43</v>
      </c>
      <c r="G110" t="s">
        <v>43</v>
      </c>
      <c r="H110" t="s">
        <v>43</v>
      </c>
      <c r="I110" t="s">
        <v>97</v>
      </c>
      <c r="J110" t="s">
        <v>43</v>
      </c>
      <c r="K110" t="s">
        <v>43</v>
      </c>
      <c r="L110" t="s">
        <v>43</v>
      </c>
      <c r="M110" t="s">
        <v>43</v>
      </c>
      <c r="N110" t="s">
        <v>45</v>
      </c>
      <c r="O110" t="s">
        <v>43</v>
      </c>
      <c r="P110" t="s">
        <v>43</v>
      </c>
      <c r="Q110" t="s">
        <v>43</v>
      </c>
      <c r="R110" t="s">
        <v>43</v>
      </c>
      <c r="S110" t="s">
        <v>43</v>
      </c>
      <c r="T110" t="s">
        <v>43</v>
      </c>
      <c r="U110" t="s">
        <v>43</v>
      </c>
      <c r="V110" t="s">
        <v>43</v>
      </c>
      <c r="W110" t="s">
        <v>43</v>
      </c>
      <c r="X110" t="s">
        <v>43</v>
      </c>
      <c r="Y110" t="s">
        <v>43</v>
      </c>
      <c r="Z110" t="s">
        <v>43</v>
      </c>
      <c r="AA110" t="s">
        <v>43</v>
      </c>
      <c r="AB110" t="s">
        <v>43</v>
      </c>
      <c r="AC110" t="s">
        <v>43</v>
      </c>
      <c r="AD110" t="s">
        <v>43</v>
      </c>
      <c r="AE110" t="s">
        <v>43</v>
      </c>
      <c r="AF110" t="s">
        <v>43</v>
      </c>
      <c r="AG110" t="s">
        <v>43</v>
      </c>
      <c r="AH110" t="s">
        <v>43</v>
      </c>
      <c r="AI110" t="s">
        <v>43</v>
      </c>
      <c r="AJ110" t="s">
        <v>43</v>
      </c>
      <c r="AK110" t="s">
        <v>43</v>
      </c>
      <c r="AL110" t="s">
        <v>43</v>
      </c>
      <c r="AM110" t="s">
        <v>43</v>
      </c>
      <c r="AN110" t="str">
        <f>HYPERLINK("https://www.google.com/maps?q=11.05477047,79.06095886","Open Location")</f>
        <v>Open Location</v>
      </c>
    </row>
    <row r="111" spans="1:40" x14ac:dyDescent="0.3">
      <c r="A111" s="1">
        <v>46210.987268518518</v>
      </c>
      <c r="B111" t="s">
        <v>40</v>
      </c>
      <c r="C111" t="s">
        <v>41</v>
      </c>
      <c r="D111" s="1">
        <v>46210.99015046296</v>
      </c>
      <c r="E111" t="s">
        <v>42</v>
      </c>
      <c r="F111" t="s">
        <v>43</v>
      </c>
      <c r="G111" t="s">
        <v>43</v>
      </c>
      <c r="H111" t="s">
        <v>43</v>
      </c>
      <c r="I111" t="s">
        <v>107</v>
      </c>
      <c r="J111" t="s">
        <v>43</v>
      </c>
      <c r="K111" t="s">
        <v>43</v>
      </c>
      <c r="L111" t="s">
        <v>43</v>
      </c>
      <c r="M111" t="s">
        <v>43</v>
      </c>
      <c r="N111" t="s">
        <v>45</v>
      </c>
      <c r="O111" t="s">
        <v>43</v>
      </c>
      <c r="P111" t="s">
        <v>43</v>
      </c>
      <c r="Q111" t="s">
        <v>43</v>
      </c>
      <c r="R111" t="s">
        <v>43</v>
      </c>
      <c r="S111" t="s">
        <v>43</v>
      </c>
      <c r="T111" t="s">
        <v>43</v>
      </c>
      <c r="U111" t="s">
        <v>43</v>
      </c>
      <c r="V111" t="s">
        <v>43</v>
      </c>
      <c r="W111" t="s">
        <v>43</v>
      </c>
      <c r="X111" t="s">
        <v>43</v>
      </c>
      <c r="Y111" t="s">
        <v>43</v>
      </c>
      <c r="Z111" t="s">
        <v>43</v>
      </c>
      <c r="AA111" t="s">
        <v>43</v>
      </c>
      <c r="AB111" t="s">
        <v>43</v>
      </c>
      <c r="AC111" t="s">
        <v>43</v>
      </c>
      <c r="AD111" t="s">
        <v>43</v>
      </c>
      <c r="AE111" t="s">
        <v>43</v>
      </c>
      <c r="AF111" t="s">
        <v>43</v>
      </c>
      <c r="AG111" t="s">
        <v>43</v>
      </c>
      <c r="AH111" t="s">
        <v>43</v>
      </c>
      <c r="AI111" t="s">
        <v>43</v>
      </c>
      <c r="AJ111" t="s">
        <v>43</v>
      </c>
      <c r="AK111" t="s">
        <v>43</v>
      </c>
      <c r="AL111" t="s">
        <v>43</v>
      </c>
      <c r="AM111" t="s">
        <v>43</v>
      </c>
      <c r="AN111" t="str">
        <f>HYPERLINK("https://www.google.com/maps?q=11.05477333,79.06095886","Open Location")</f>
        <v>Open Location</v>
      </c>
    </row>
    <row r="112" spans="1:40" x14ac:dyDescent="0.3">
      <c r="A112" s="1">
        <v>46210.98715277778</v>
      </c>
      <c r="B112" t="s">
        <v>40</v>
      </c>
      <c r="C112" t="s">
        <v>41</v>
      </c>
      <c r="D112" s="1">
        <v>46210.99</v>
      </c>
      <c r="E112" t="s">
        <v>42</v>
      </c>
      <c r="F112" t="s">
        <v>43</v>
      </c>
      <c r="G112" t="s">
        <v>43</v>
      </c>
      <c r="H112" t="s">
        <v>43</v>
      </c>
      <c r="I112" t="s">
        <v>112</v>
      </c>
      <c r="J112" t="s">
        <v>43</v>
      </c>
      <c r="K112" t="s">
        <v>43</v>
      </c>
      <c r="L112" t="s">
        <v>43</v>
      </c>
      <c r="M112" t="s">
        <v>43</v>
      </c>
      <c r="N112" t="s">
        <v>45</v>
      </c>
      <c r="O112" t="s">
        <v>43</v>
      </c>
      <c r="P112" t="s">
        <v>43</v>
      </c>
      <c r="Q112" t="s">
        <v>43</v>
      </c>
      <c r="R112" t="s">
        <v>43</v>
      </c>
      <c r="S112" t="s">
        <v>43</v>
      </c>
      <c r="T112" t="s">
        <v>43</v>
      </c>
      <c r="U112" t="s">
        <v>43</v>
      </c>
      <c r="V112" t="s">
        <v>43</v>
      </c>
      <c r="W112" t="s">
        <v>43</v>
      </c>
      <c r="X112" t="s">
        <v>43</v>
      </c>
      <c r="Y112" t="s">
        <v>43</v>
      </c>
      <c r="Z112" t="s">
        <v>43</v>
      </c>
      <c r="AA112" t="s">
        <v>43</v>
      </c>
      <c r="AB112" t="s">
        <v>43</v>
      </c>
      <c r="AC112" t="s">
        <v>43</v>
      </c>
      <c r="AD112" t="s">
        <v>43</v>
      </c>
      <c r="AE112" t="s">
        <v>43</v>
      </c>
      <c r="AF112" t="s">
        <v>43</v>
      </c>
      <c r="AG112" t="s">
        <v>43</v>
      </c>
      <c r="AH112" t="s">
        <v>43</v>
      </c>
      <c r="AI112" t="s">
        <v>43</v>
      </c>
      <c r="AJ112" t="s">
        <v>43</v>
      </c>
      <c r="AK112" t="s">
        <v>43</v>
      </c>
      <c r="AL112" t="s">
        <v>43</v>
      </c>
      <c r="AM112" t="s">
        <v>43</v>
      </c>
      <c r="AN112" t="str">
        <f>HYPERLINK("https://www.google.com/maps?q=11.05477238,79.06095886","Open Location")</f>
        <v>Open Location</v>
      </c>
    </row>
    <row r="113" spans="1:40" x14ac:dyDescent="0.3">
      <c r="A113" s="1">
        <v>46210.987037037034</v>
      </c>
      <c r="B113" t="s">
        <v>40</v>
      </c>
      <c r="C113" t="s">
        <v>41</v>
      </c>
      <c r="D113" s="1">
        <v>46210.989837962959</v>
      </c>
      <c r="E113" t="s">
        <v>42</v>
      </c>
      <c r="F113" t="s">
        <v>43</v>
      </c>
      <c r="G113" t="s">
        <v>43</v>
      </c>
      <c r="H113" t="s">
        <v>43</v>
      </c>
      <c r="I113" t="s">
        <v>43</v>
      </c>
      <c r="J113" t="s">
        <v>43</v>
      </c>
      <c r="K113" t="s">
        <v>43</v>
      </c>
      <c r="L113" t="s">
        <v>43</v>
      </c>
      <c r="M113" t="s">
        <v>43</v>
      </c>
      <c r="N113" t="s">
        <v>45</v>
      </c>
      <c r="O113" t="s">
        <v>43</v>
      </c>
      <c r="P113" t="s">
        <v>43</v>
      </c>
      <c r="Q113" t="s">
        <v>43</v>
      </c>
      <c r="R113" t="s">
        <v>43</v>
      </c>
      <c r="S113" t="s">
        <v>43</v>
      </c>
      <c r="T113" t="s">
        <v>43</v>
      </c>
      <c r="U113" t="s">
        <v>43</v>
      </c>
      <c r="V113" t="s">
        <v>43</v>
      </c>
      <c r="W113" t="s">
        <v>43</v>
      </c>
      <c r="X113" t="s">
        <v>43</v>
      </c>
      <c r="Y113" t="s">
        <v>43</v>
      </c>
      <c r="Z113" t="s">
        <v>43</v>
      </c>
      <c r="AA113" t="s">
        <v>43</v>
      </c>
      <c r="AB113" t="s">
        <v>43</v>
      </c>
      <c r="AC113" t="s">
        <v>43</v>
      </c>
      <c r="AD113" t="s">
        <v>43</v>
      </c>
      <c r="AE113" t="s">
        <v>43</v>
      </c>
      <c r="AF113" t="s">
        <v>43</v>
      </c>
      <c r="AG113" t="s">
        <v>43</v>
      </c>
      <c r="AH113" t="s">
        <v>43</v>
      </c>
      <c r="AI113" t="s">
        <v>43</v>
      </c>
      <c r="AJ113" t="s">
        <v>43</v>
      </c>
      <c r="AK113" t="s">
        <v>43</v>
      </c>
      <c r="AL113" t="s">
        <v>43</v>
      </c>
      <c r="AM113" t="s">
        <v>43</v>
      </c>
      <c r="AN113" t="s">
        <v>43</v>
      </c>
    </row>
    <row r="114" spans="1:40" x14ac:dyDescent="0.3">
      <c r="A114" s="1">
        <v>46210.986921296295</v>
      </c>
      <c r="B114" t="s">
        <v>40</v>
      </c>
      <c r="C114" t="s">
        <v>41</v>
      </c>
      <c r="D114" s="1">
        <v>46210.989803240744</v>
      </c>
      <c r="E114" t="s">
        <v>42</v>
      </c>
      <c r="F114" t="s">
        <v>43</v>
      </c>
      <c r="G114" t="s">
        <v>43</v>
      </c>
      <c r="H114" t="s">
        <v>43</v>
      </c>
      <c r="I114" t="s">
        <v>97</v>
      </c>
      <c r="J114" t="s">
        <v>43</v>
      </c>
      <c r="K114" t="s">
        <v>43</v>
      </c>
      <c r="L114" t="s">
        <v>43</v>
      </c>
      <c r="M114" t="s">
        <v>43</v>
      </c>
      <c r="N114" t="s">
        <v>45</v>
      </c>
      <c r="O114" t="s">
        <v>43</v>
      </c>
      <c r="P114" t="s">
        <v>43</v>
      </c>
      <c r="Q114" t="s">
        <v>43</v>
      </c>
      <c r="R114" t="s">
        <v>43</v>
      </c>
      <c r="S114" t="s">
        <v>43</v>
      </c>
      <c r="T114" t="s">
        <v>43</v>
      </c>
      <c r="U114" t="s">
        <v>43</v>
      </c>
      <c r="V114" t="s">
        <v>43</v>
      </c>
      <c r="W114" t="s">
        <v>43</v>
      </c>
      <c r="X114" t="s">
        <v>43</v>
      </c>
      <c r="Y114" t="s">
        <v>43</v>
      </c>
      <c r="Z114" t="s">
        <v>43</v>
      </c>
      <c r="AA114" t="s">
        <v>43</v>
      </c>
      <c r="AB114" t="s">
        <v>43</v>
      </c>
      <c r="AC114" t="s">
        <v>43</v>
      </c>
      <c r="AD114" t="s">
        <v>43</v>
      </c>
      <c r="AE114" t="s">
        <v>43</v>
      </c>
      <c r="AF114" t="s">
        <v>43</v>
      </c>
      <c r="AG114" t="s">
        <v>43</v>
      </c>
      <c r="AH114" t="s">
        <v>43</v>
      </c>
      <c r="AI114" t="s">
        <v>43</v>
      </c>
      <c r="AJ114" t="s">
        <v>43</v>
      </c>
      <c r="AK114" t="s">
        <v>43</v>
      </c>
      <c r="AL114" t="s">
        <v>43</v>
      </c>
      <c r="AM114" t="s">
        <v>43</v>
      </c>
      <c r="AN114" t="str">
        <f>HYPERLINK("https://www.google.com/maps?q=11.05477047,79.06095886","Open Location")</f>
        <v>Open Location</v>
      </c>
    </row>
    <row r="115" spans="1:40" x14ac:dyDescent="0.3">
      <c r="A115" s="1">
        <v>46210.986805555556</v>
      </c>
      <c r="B115" t="s">
        <v>40</v>
      </c>
      <c r="C115" t="s">
        <v>41</v>
      </c>
      <c r="D115" s="1">
        <v>46210.989490740743</v>
      </c>
      <c r="E115" t="s">
        <v>42</v>
      </c>
      <c r="F115" t="s">
        <v>43</v>
      </c>
      <c r="G115" t="s">
        <v>43</v>
      </c>
      <c r="H115" t="s">
        <v>43</v>
      </c>
      <c r="I115" t="s">
        <v>113</v>
      </c>
      <c r="J115" t="s">
        <v>43</v>
      </c>
      <c r="K115" t="s">
        <v>43</v>
      </c>
      <c r="L115" t="s">
        <v>43</v>
      </c>
      <c r="M115" t="s">
        <v>43</v>
      </c>
      <c r="N115" t="s">
        <v>45</v>
      </c>
      <c r="O115" t="s">
        <v>43</v>
      </c>
      <c r="P115" t="s">
        <v>43</v>
      </c>
      <c r="Q115" t="s">
        <v>43</v>
      </c>
      <c r="R115" t="s">
        <v>43</v>
      </c>
      <c r="S115" t="s">
        <v>43</v>
      </c>
      <c r="T115" t="s">
        <v>43</v>
      </c>
      <c r="U115" t="s">
        <v>43</v>
      </c>
      <c r="V115" t="s">
        <v>43</v>
      </c>
      <c r="W115" t="s">
        <v>43</v>
      </c>
      <c r="X115" t="s">
        <v>43</v>
      </c>
      <c r="Y115" t="s">
        <v>43</v>
      </c>
      <c r="Z115" t="s">
        <v>43</v>
      </c>
      <c r="AA115" t="s">
        <v>43</v>
      </c>
      <c r="AB115" t="s">
        <v>43</v>
      </c>
      <c r="AC115" t="s">
        <v>43</v>
      </c>
      <c r="AD115" t="s">
        <v>43</v>
      </c>
      <c r="AE115" t="s">
        <v>43</v>
      </c>
      <c r="AF115" t="s">
        <v>43</v>
      </c>
      <c r="AG115" t="s">
        <v>43</v>
      </c>
      <c r="AH115" t="s">
        <v>43</v>
      </c>
      <c r="AI115" t="s">
        <v>43</v>
      </c>
      <c r="AJ115" t="s">
        <v>43</v>
      </c>
      <c r="AK115" t="s">
        <v>43</v>
      </c>
      <c r="AL115" t="s">
        <v>43</v>
      </c>
      <c r="AM115" t="s">
        <v>43</v>
      </c>
      <c r="AN115" t="str">
        <f>HYPERLINK("https://www.google.com/maps?q=11.05476665,79.06095886","Open Location")</f>
        <v>Open Location</v>
      </c>
    </row>
    <row r="116" spans="1:40" x14ac:dyDescent="0.3">
      <c r="A116" s="1">
        <v>46210.986689814818</v>
      </c>
      <c r="B116" t="s">
        <v>40</v>
      </c>
      <c r="C116" t="s">
        <v>41</v>
      </c>
      <c r="D116" s="1">
        <v>46210.989444444444</v>
      </c>
      <c r="E116" t="s">
        <v>42</v>
      </c>
      <c r="F116" t="s">
        <v>43</v>
      </c>
      <c r="G116" t="s">
        <v>43</v>
      </c>
      <c r="H116" t="s">
        <v>43</v>
      </c>
      <c r="I116" t="s">
        <v>114</v>
      </c>
      <c r="J116" t="s">
        <v>43</v>
      </c>
      <c r="K116" t="s">
        <v>43</v>
      </c>
      <c r="L116" t="s">
        <v>43</v>
      </c>
      <c r="M116" t="s">
        <v>43</v>
      </c>
      <c r="N116" t="s">
        <v>45</v>
      </c>
      <c r="O116" t="s">
        <v>43</v>
      </c>
      <c r="P116" t="s">
        <v>43</v>
      </c>
      <c r="Q116" t="s">
        <v>43</v>
      </c>
      <c r="R116" t="s">
        <v>43</v>
      </c>
      <c r="S116" t="s">
        <v>43</v>
      </c>
      <c r="T116" t="s">
        <v>43</v>
      </c>
      <c r="U116" t="s">
        <v>43</v>
      </c>
      <c r="V116" t="s">
        <v>43</v>
      </c>
      <c r="W116" t="s">
        <v>43</v>
      </c>
      <c r="X116" t="s">
        <v>43</v>
      </c>
      <c r="Y116" t="s">
        <v>43</v>
      </c>
      <c r="Z116" t="s">
        <v>43</v>
      </c>
      <c r="AA116" t="s">
        <v>43</v>
      </c>
      <c r="AB116" t="s">
        <v>43</v>
      </c>
      <c r="AC116" t="s">
        <v>43</v>
      </c>
      <c r="AD116" t="s">
        <v>43</v>
      </c>
      <c r="AE116" t="s">
        <v>43</v>
      </c>
      <c r="AF116" t="s">
        <v>43</v>
      </c>
      <c r="AG116" t="s">
        <v>43</v>
      </c>
      <c r="AH116" t="s">
        <v>43</v>
      </c>
      <c r="AI116" t="s">
        <v>43</v>
      </c>
      <c r="AJ116" t="s">
        <v>43</v>
      </c>
      <c r="AK116" t="s">
        <v>43</v>
      </c>
      <c r="AL116" t="s">
        <v>43</v>
      </c>
      <c r="AM116" t="s">
        <v>43</v>
      </c>
      <c r="AN116" t="str">
        <f>HYPERLINK("https://www.google.com/maps?q=11.05476475,79.06095886","Open Location")</f>
        <v>Open Location</v>
      </c>
    </row>
    <row r="117" spans="1:40" x14ac:dyDescent="0.3">
      <c r="A117" s="1">
        <v>46210.986574074072</v>
      </c>
      <c r="B117" t="s">
        <v>40</v>
      </c>
      <c r="C117" t="s">
        <v>41</v>
      </c>
      <c r="D117" s="1">
        <v>46210.989374999997</v>
      </c>
      <c r="E117" t="s">
        <v>42</v>
      </c>
      <c r="F117" t="s">
        <v>43</v>
      </c>
      <c r="G117" t="s">
        <v>43</v>
      </c>
      <c r="H117" t="s">
        <v>43</v>
      </c>
      <c r="I117" t="s">
        <v>115</v>
      </c>
      <c r="J117" t="s">
        <v>43</v>
      </c>
      <c r="K117" t="s">
        <v>43</v>
      </c>
      <c r="L117" t="s">
        <v>43</v>
      </c>
      <c r="M117" t="s">
        <v>43</v>
      </c>
      <c r="N117" t="s">
        <v>45</v>
      </c>
      <c r="O117" t="s">
        <v>43</v>
      </c>
      <c r="P117" t="s">
        <v>43</v>
      </c>
      <c r="Q117" t="s">
        <v>43</v>
      </c>
      <c r="R117" t="s">
        <v>43</v>
      </c>
      <c r="S117" t="s">
        <v>43</v>
      </c>
      <c r="T117" t="s">
        <v>43</v>
      </c>
      <c r="U117" t="s">
        <v>43</v>
      </c>
      <c r="V117" t="s">
        <v>43</v>
      </c>
      <c r="W117" t="s">
        <v>43</v>
      </c>
      <c r="X117" t="s">
        <v>43</v>
      </c>
      <c r="Y117" t="s">
        <v>43</v>
      </c>
      <c r="Z117" t="s">
        <v>43</v>
      </c>
      <c r="AA117" t="s">
        <v>43</v>
      </c>
      <c r="AB117" t="s">
        <v>43</v>
      </c>
      <c r="AC117" t="s">
        <v>43</v>
      </c>
      <c r="AD117" t="s">
        <v>43</v>
      </c>
      <c r="AE117" t="s">
        <v>43</v>
      </c>
      <c r="AF117" t="s">
        <v>43</v>
      </c>
      <c r="AG117" t="s">
        <v>43</v>
      </c>
      <c r="AH117" t="s">
        <v>43</v>
      </c>
      <c r="AI117" t="s">
        <v>43</v>
      </c>
      <c r="AJ117" t="s">
        <v>43</v>
      </c>
      <c r="AK117" t="s">
        <v>43</v>
      </c>
      <c r="AL117" t="s">
        <v>43</v>
      </c>
      <c r="AM117" t="s">
        <v>43</v>
      </c>
      <c r="AN117" t="str">
        <f>HYPERLINK("https://www.google.com/maps?q=11.05475903,79.06095886","Open Location")</f>
        <v>Open Location</v>
      </c>
    </row>
    <row r="118" spans="1:40" x14ac:dyDescent="0.3">
      <c r="A118" s="1">
        <v>46210.986458333333</v>
      </c>
      <c r="B118" t="s">
        <v>40</v>
      </c>
      <c r="C118" t="s">
        <v>41</v>
      </c>
      <c r="D118" s="1">
        <v>46210.989236111112</v>
      </c>
      <c r="E118" t="s">
        <v>42</v>
      </c>
      <c r="F118" t="s">
        <v>43</v>
      </c>
      <c r="G118" t="s">
        <v>43</v>
      </c>
      <c r="H118" t="s">
        <v>43</v>
      </c>
      <c r="I118" t="s">
        <v>116</v>
      </c>
      <c r="J118" t="s">
        <v>43</v>
      </c>
      <c r="K118" t="s">
        <v>43</v>
      </c>
      <c r="L118" t="s">
        <v>43</v>
      </c>
      <c r="M118" t="s">
        <v>43</v>
      </c>
      <c r="N118" t="s">
        <v>45</v>
      </c>
      <c r="O118" t="s">
        <v>43</v>
      </c>
      <c r="P118" t="s">
        <v>43</v>
      </c>
      <c r="Q118" t="s">
        <v>43</v>
      </c>
      <c r="R118" t="s">
        <v>43</v>
      </c>
      <c r="S118" t="s">
        <v>43</v>
      </c>
      <c r="T118" t="s">
        <v>43</v>
      </c>
      <c r="U118" t="s">
        <v>43</v>
      </c>
      <c r="V118" t="s">
        <v>43</v>
      </c>
      <c r="W118" t="s">
        <v>43</v>
      </c>
      <c r="X118" t="s">
        <v>43</v>
      </c>
      <c r="Y118" t="s">
        <v>43</v>
      </c>
      <c r="Z118" t="s">
        <v>43</v>
      </c>
      <c r="AA118" t="s">
        <v>43</v>
      </c>
      <c r="AB118" t="s">
        <v>43</v>
      </c>
      <c r="AC118" t="s">
        <v>43</v>
      </c>
      <c r="AD118" t="s">
        <v>43</v>
      </c>
      <c r="AE118" t="s">
        <v>43</v>
      </c>
      <c r="AF118" t="s">
        <v>43</v>
      </c>
      <c r="AG118" t="s">
        <v>43</v>
      </c>
      <c r="AH118" t="s">
        <v>43</v>
      </c>
      <c r="AI118" t="s">
        <v>43</v>
      </c>
      <c r="AJ118" t="s">
        <v>43</v>
      </c>
      <c r="AK118" t="s">
        <v>43</v>
      </c>
      <c r="AL118" t="s">
        <v>43</v>
      </c>
      <c r="AM118" t="s">
        <v>43</v>
      </c>
      <c r="AN118" t="str">
        <f>HYPERLINK("https://www.google.com/maps?q=11.05475807,79.06095886","Open Location")</f>
        <v>Open Location</v>
      </c>
    </row>
    <row r="119" spans="1:40" x14ac:dyDescent="0.3">
      <c r="A119" s="1">
        <v>46210.986342592594</v>
      </c>
      <c r="B119" t="s">
        <v>40</v>
      </c>
      <c r="C119" t="s">
        <v>41</v>
      </c>
      <c r="D119" s="1">
        <v>46210.989374999997</v>
      </c>
      <c r="E119" t="s">
        <v>42</v>
      </c>
      <c r="F119" t="s">
        <v>43</v>
      </c>
      <c r="G119" t="s">
        <v>43</v>
      </c>
      <c r="H119" t="s">
        <v>43</v>
      </c>
      <c r="I119" t="s">
        <v>43</v>
      </c>
      <c r="J119" t="s">
        <v>43</v>
      </c>
      <c r="K119" t="s">
        <v>43</v>
      </c>
      <c r="L119" t="s">
        <v>43</v>
      </c>
      <c r="M119" t="s">
        <v>43</v>
      </c>
      <c r="N119" t="s">
        <v>45</v>
      </c>
      <c r="O119" t="s">
        <v>43</v>
      </c>
      <c r="P119" t="s">
        <v>43</v>
      </c>
      <c r="Q119" t="s">
        <v>43</v>
      </c>
      <c r="R119" t="s">
        <v>43</v>
      </c>
      <c r="S119" t="s">
        <v>43</v>
      </c>
      <c r="T119" t="s">
        <v>43</v>
      </c>
      <c r="U119" t="s">
        <v>43</v>
      </c>
      <c r="V119" t="s">
        <v>43</v>
      </c>
      <c r="W119" t="s">
        <v>43</v>
      </c>
      <c r="X119" t="s">
        <v>43</v>
      </c>
      <c r="Y119" t="s">
        <v>43</v>
      </c>
      <c r="Z119" t="s">
        <v>43</v>
      </c>
      <c r="AA119" t="s">
        <v>43</v>
      </c>
      <c r="AB119" t="s">
        <v>43</v>
      </c>
      <c r="AC119" t="s">
        <v>43</v>
      </c>
      <c r="AD119" t="s">
        <v>43</v>
      </c>
      <c r="AE119" t="s">
        <v>43</v>
      </c>
      <c r="AF119" t="s">
        <v>43</v>
      </c>
      <c r="AG119" t="s">
        <v>43</v>
      </c>
      <c r="AH119" t="s">
        <v>43</v>
      </c>
      <c r="AI119" t="s">
        <v>43</v>
      </c>
      <c r="AJ119" t="s">
        <v>43</v>
      </c>
      <c r="AK119" t="s">
        <v>43</v>
      </c>
      <c r="AL119" t="s">
        <v>43</v>
      </c>
      <c r="AM119" t="s">
        <v>43</v>
      </c>
      <c r="AN119" t="s">
        <v>43</v>
      </c>
    </row>
    <row r="120" spans="1:40" x14ac:dyDescent="0.3">
      <c r="A120" s="1">
        <v>46210.986226851855</v>
      </c>
      <c r="B120" t="s">
        <v>40</v>
      </c>
      <c r="C120" t="s">
        <v>41</v>
      </c>
      <c r="D120" s="1">
        <v>46210.989444444444</v>
      </c>
      <c r="E120" t="s">
        <v>42</v>
      </c>
      <c r="F120" t="s">
        <v>43</v>
      </c>
      <c r="G120" t="s">
        <v>43</v>
      </c>
      <c r="H120" t="s">
        <v>43</v>
      </c>
      <c r="I120" t="s">
        <v>117</v>
      </c>
      <c r="J120" t="s">
        <v>43</v>
      </c>
      <c r="K120" t="s">
        <v>43</v>
      </c>
      <c r="L120" t="s">
        <v>43</v>
      </c>
      <c r="M120" t="s">
        <v>43</v>
      </c>
      <c r="N120" t="s">
        <v>45</v>
      </c>
      <c r="O120" t="s">
        <v>43</v>
      </c>
      <c r="P120" t="s">
        <v>43</v>
      </c>
      <c r="Q120" t="s">
        <v>43</v>
      </c>
      <c r="R120" t="s">
        <v>43</v>
      </c>
      <c r="S120" t="s">
        <v>43</v>
      </c>
      <c r="T120" t="s">
        <v>43</v>
      </c>
      <c r="U120" t="s">
        <v>43</v>
      </c>
      <c r="V120" t="s">
        <v>43</v>
      </c>
      <c r="W120" t="s">
        <v>43</v>
      </c>
      <c r="X120" t="s">
        <v>43</v>
      </c>
      <c r="Y120" t="s">
        <v>43</v>
      </c>
      <c r="Z120" t="s">
        <v>43</v>
      </c>
      <c r="AA120" t="s">
        <v>43</v>
      </c>
      <c r="AB120" t="s">
        <v>43</v>
      </c>
      <c r="AC120" t="s">
        <v>43</v>
      </c>
      <c r="AD120" t="s">
        <v>43</v>
      </c>
      <c r="AE120" t="s">
        <v>43</v>
      </c>
      <c r="AF120" t="s">
        <v>43</v>
      </c>
      <c r="AG120" t="s">
        <v>43</v>
      </c>
      <c r="AH120" t="s">
        <v>43</v>
      </c>
      <c r="AI120" t="s">
        <v>43</v>
      </c>
      <c r="AJ120" t="s">
        <v>43</v>
      </c>
      <c r="AK120" t="s">
        <v>43</v>
      </c>
      <c r="AL120" t="s">
        <v>43</v>
      </c>
      <c r="AM120" t="s">
        <v>43</v>
      </c>
      <c r="AN120" t="str">
        <f>HYPERLINK("https://www.google.com/maps?q=11.05475616,79.06096649","Open Location")</f>
        <v>Open Location</v>
      </c>
    </row>
    <row r="121" spans="1:40" x14ac:dyDescent="0.3">
      <c r="A121" s="1">
        <v>46210.986111111109</v>
      </c>
      <c r="B121" t="s">
        <v>40</v>
      </c>
      <c r="C121" t="s">
        <v>41</v>
      </c>
      <c r="D121" s="1">
        <v>46210.988796296297</v>
      </c>
      <c r="E121" t="s">
        <v>42</v>
      </c>
      <c r="F121" t="s">
        <v>43</v>
      </c>
      <c r="G121" t="s">
        <v>43</v>
      </c>
      <c r="H121" t="s">
        <v>43</v>
      </c>
      <c r="I121" t="s">
        <v>118</v>
      </c>
      <c r="J121" t="s">
        <v>43</v>
      </c>
      <c r="K121" t="s">
        <v>43</v>
      </c>
      <c r="L121" t="s">
        <v>43</v>
      </c>
      <c r="M121" t="s">
        <v>43</v>
      </c>
      <c r="N121" t="s">
        <v>45</v>
      </c>
      <c r="O121" t="s">
        <v>43</v>
      </c>
      <c r="P121" t="s">
        <v>43</v>
      </c>
      <c r="Q121" t="s">
        <v>43</v>
      </c>
      <c r="R121" t="s">
        <v>43</v>
      </c>
      <c r="S121" t="s">
        <v>43</v>
      </c>
      <c r="T121" t="s">
        <v>43</v>
      </c>
      <c r="U121" t="s">
        <v>43</v>
      </c>
      <c r="V121" t="s">
        <v>43</v>
      </c>
      <c r="W121" t="s">
        <v>43</v>
      </c>
      <c r="X121" t="s">
        <v>43</v>
      </c>
      <c r="Y121" t="s">
        <v>43</v>
      </c>
      <c r="Z121" t="s">
        <v>43</v>
      </c>
      <c r="AA121" t="s">
        <v>43</v>
      </c>
      <c r="AB121" t="s">
        <v>43</v>
      </c>
      <c r="AC121" t="s">
        <v>43</v>
      </c>
      <c r="AD121" t="s">
        <v>43</v>
      </c>
      <c r="AE121" t="s">
        <v>43</v>
      </c>
      <c r="AF121" t="s">
        <v>43</v>
      </c>
      <c r="AG121" t="s">
        <v>43</v>
      </c>
      <c r="AH121" t="s">
        <v>43</v>
      </c>
      <c r="AI121" t="s">
        <v>43</v>
      </c>
      <c r="AJ121" t="s">
        <v>43</v>
      </c>
      <c r="AK121" t="s">
        <v>43</v>
      </c>
      <c r="AL121" t="s">
        <v>43</v>
      </c>
      <c r="AM121" t="s">
        <v>43</v>
      </c>
      <c r="AN121" t="str">
        <f>HYPERLINK("https://www.google.com/maps?q=11.05475807,79.06096649","Open Location")</f>
        <v>Open Location</v>
      </c>
    </row>
    <row r="122" spans="1:40" x14ac:dyDescent="0.3">
      <c r="A122" s="1">
        <v>46210.985995370371</v>
      </c>
      <c r="B122" t="s">
        <v>40</v>
      </c>
      <c r="C122" t="s">
        <v>41</v>
      </c>
      <c r="D122" s="1">
        <v>46210.988796296297</v>
      </c>
      <c r="E122" t="s">
        <v>42</v>
      </c>
      <c r="F122" t="s">
        <v>43</v>
      </c>
      <c r="G122" t="s">
        <v>43</v>
      </c>
      <c r="H122" t="s">
        <v>43</v>
      </c>
      <c r="I122" t="s">
        <v>118</v>
      </c>
      <c r="J122" t="s">
        <v>43</v>
      </c>
      <c r="K122" t="s">
        <v>43</v>
      </c>
      <c r="L122" t="s">
        <v>43</v>
      </c>
      <c r="M122" t="s">
        <v>43</v>
      </c>
      <c r="N122" t="s">
        <v>45</v>
      </c>
      <c r="O122" t="s">
        <v>43</v>
      </c>
      <c r="P122" t="s">
        <v>43</v>
      </c>
      <c r="Q122" t="s">
        <v>43</v>
      </c>
      <c r="R122" t="s">
        <v>43</v>
      </c>
      <c r="S122" t="s">
        <v>43</v>
      </c>
      <c r="T122" t="s">
        <v>43</v>
      </c>
      <c r="U122" t="s">
        <v>43</v>
      </c>
      <c r="V122" t="s">
        <v>43</v>
      </c>
      <c r="W122" t="s">
        <v>43</v>
      </c>
      <c r="X122" t="s">
        <v>43</v>
      </c>
      <c r="Y122" t="s">
        <v>43</v>
      </c>
      <c r="Z122" t="s">
        <v>43</v>
      </c>
      <c r="AA122" t="s">
        <v>43</v>
      </c>
      <c r="AB122" t="s">
        <v>43</v>
      </c>
      <c r="AC122" t="s">
        <v>43</v>
      </c>
      <c r="AD122" t="s">
        <v>43</v>
      </c>
      <c r="AE122" t="s">
        <v>43</v>
      </c>
      <c r="AF122" t="s">
        <v>43</v>
      </c>
      <c r="AG122" t="s">
        <v>43</v>
      </c>
      <c r="AH122" t="s">
        <v>43</v>
      </c>
      <c r="AI122" t="s">
        <v>43</v>
      </c>
      <c r="AJ122" t="s">
        <v>43</v>
      </c>
      <c r="AK122" t="s">
        <v>43</v>
      </c>
      <c r="AL122" t="s">
        <v>43</v>
      </c>
      <c r="AM122" t="s">
        <v>43</v>
      </c>
      <c r="AN122" t="str">
        <f>HYPERLINK("https://www.google.com/maps?q=11.05475807,79.06096649","Open Location")</f>
        <v>Open Location</v>
      </c>
    </row>
    <row r="123" spans="1:40" x14ac:dyDescent="0.3">
      <c r="A123" s="1">
        <v>46210.985879629632</v>
      </c>
      <c r="B123" t="s">
        <v>40</v>
      </c>
      <c r="C123" t="s">
        <v>41</v>
      </c>
      <c r="D123" s="1">
        <v>46210.988969907405</v>
      </c>
      <c r="E123" t="s">
        <v>42</v>
      </c>
      <c r="F123" t="s">
        <v>43</v>
      </c>
      <c r="G123" t="s">
        <v>43</v>
      </c>
      <c r="H123" t="s">
        <v>43</v>
      </c>
      <c r="I123" t="s">
        <v>119</v>
      </c>
      <c r="J123" t="s">
        <v>43</v>
      </c>
      <c r="K123" t="s">
        <v>43</v>
      </c>
      <c r="L123" t="s">
        <v>43</v>
      </c>
      <c r="M123" t="s">
        <v>43</v>
      </c>
      <c r="N123" t="s">
        <v>45</v>
      </c>
      <c r="O123" t="s">
        <v>43</v>
      </c>
      <c r="P123" t="s">
        <v>43</v>
      </c>
      <c r="Q123" t="s">
        <v>43</v>
      </c>
      <c r="R123" t="s">
        <v>43</v>
      </c>
      <c r="S123" t="s">
        <v>43</v>
      </c>
      <c r="T123" t="s">
        <v>43</v>
      </c>
      <c r="U123" t="s">
        <v>43</v>
      </c>
      <c r="V123" t="s">
        <v>43</v>
      </c>
      <c r="W123" t="s">
        <v>43</v>
      </c>
      <c r="X123" t="s">
        <v>43</v>
      </c>
      <c r="Y123" t="s">
        <v>43</v>
      </c>
      <c r="Z123" t="s">
        <v>43</v>
      </c>
      <c r="AA123" t="s">
        <v>43</v>
      </c>
      <c r="AB123" t="s">
        <v>43</v>
      </c>
      <c r="AC123" t="s">
        <v>43</v>
      </c>
      <c r="AD123" t="s">
        <v>43</v>
      </c>
      <c r="AE123" t="s">
        <v>43</v>
      </c>
      <c r="AF123" t="s">
        <v>43</v>
      </c>
      <c r="AG123" t="s">
        <v>43</v>
      </c>
      <c r="AH123" t="s">
        <v>43</v>
      </c>
      <c r="AI123" t="s">
        <v>43</v>
      </c>
      <c r="AJ123" t="s">
        <v>43</v>
      </c>
      <c r="AK123" t="s">
        <v>43</v>
      </c>
      <c r="AL123" t="s">
        <v>43</v>
      </c>
      <c r="AM123" t="s">
        <v>43</v>
      </c>
      <c r="AN123" t="str">
        <f>HYPERLINK("https://www.google.com/maps?q=11.05475903,79.06096649","Open Location")</f>
        <v>Open Location</v>
      </c>
    </row>
    <row r="124" spans="1:40" x14ac:dyDescent="0.3">
      <c r="A124" s="1">
        <v>46210.985763888886</v>
      </c>
      <c r="B124" t="s">
        <v>40</v>
      </c>
      <c r="C124" t="s">
        <v>41</v>
      </c>
      <c r="D124" s="1">
        <v>46210.988611111112</v>
      </c>
      <c r="E124" t="s">
        <v>42</v>
      </c>
      <c r="F124" t="s">
        <v>43</v>
      </c>
      <c r="G124" t="s">
        <v>43</v>
      </c>
      <c r="H124" t="s">
        <v>43</v>
      </c>
      <c r="I124" t="s">
        <v>119</v>
      </c>
      <c r="J124" t="s">
        <v>43</v>
      </c>
      <c r="K124" t="s">
        <v>43</v>
      </c>
      <c r="L124" t="s">
        <v>43</v>
      </c>
      <c r="M124" t="s">
        <v>43</v>
      </c>
      <c r="N124" t="s">
        <v>45</v>
      </c>
      <c r="O124" t="s">
        <v>43</v>
      </c>
      <c r="P124" t="s">
        <v>43</v>
      </c>
      <c r="Q124" t="s">
        <v>43</v>
      </c>
      <c r="R124" t="s">
        <v>43</v>
      </c>
      <c r="S124" t="s">
        <v>43</v>
      </c>
      <c r="T124" t="s">
        <v>43</v>
      </c>
      <c r="U124" t="s">
        <v>43</v>
      </c>
      <c r="V124" t="s">
        <v>43</v>
      </c>
      <c r="W124" t="s">
        <v>43</v>
      </c>
      <c r="X124" t="s">
        <v>43</v>
      </c>
      <c r="Y124" t="s">
        <v>43</v>
      </c>
      <c r="Z124" t="s">
        <v>43</v>
      </c>
      <c r="AA124" t="s">
        <v>43</v>
      </c>
      <c r="AB124" t="s">
        <v>43</v>
      </c>
      <c r="AC124" t="s">
        <v>43</v>
      </c>
      <c r="AD124" t="s">
        <v>43</v>
      </c>
      <c r="AE124" t="s">
        <v>43</v>
      </c>
      <c r="AF124" t="s">
        <v>43</v>
      </c>
      <c r="AG124" t="s">
        <v>43</v>
      </c>
      <c r="AH124" t="s">
        <v>43</v>
      </c>
      <c r="AI124" t="s">
        <v>43</v>
      </c>
      <c r="AJ124" t="s">
        <v>43</v>
      </c>
      <c r="AK124" t="s">
        <v>43</v>
      </c>
      <c r="AL124" t="s">
        <v>43</v>
      </c>
      <c r="AM124" t="s">
        <v>43</v>
      </c>
      <c r="AN124" t="str">
        <f>HYPERLINK("https://www.google.com/maps?q=11.05475903,79.06096649","Open Location")</f>
        <v>Open Location</v>
      </c>
    </row>
    <row r="125" spans="1:40" x14ac:dyDescent="0.3">
      <c r="A125" s="1">
        <v>46210.985648148147</v>
      </c>
      <c r="B125" t="s">
        <v>40</v>
      </c>
      <c r="C125" t="s">
        <v>41</v>
      </c>
      <c r="D125" s="1">
        <v>46210.988657407404</v>
      </c>
      <c r="E125" t="s">
        <v>42</v>
      </c>
      <c r="F125" t="s">
        <v>43</v>
      </c>
      <c r="G125" t="s">
        <v>43</v>
      </c>
      <c r="H125" t="s">
        <v>43</v>
      </c>
      <c r="I125" t="s">
        <v>43</v>
      </c>
      <c r="J125" t="s">
        <v>43</v>
      </c>
      <c r="K125" t="s">
        <v>43</v>
      </c>
      <c r="L125" t="s">
        <v>43</v>
      </c>
      <c r="M125" t="s">
        <v>43</v>
      </c>
      <c r="N125" t="s">
        <v>45</v>
      </c>
      <c r="O125" t="s">
        <v>43</v>
      </c>
      <c r="P125" t="s">
        <v>43</v>
      </c>
      <c r="Q125" t="s">
        <v>43</v>
      </c>
      <c r="R125" t="s">
        <v>43</v>
      </c>
      <c r="S125" t="s">
        <v>43</v>
      </c>
      <c r="T125" t="s">
        <v>43</v>
      </c>
      <c r="U125" t="s">
        <v>43</v>
      </c>
      <c r="V125" t="s">
        <v>43</v>
      </c>
      <c r="W125" t="s">
        <v>43</v>
      </c>
      <c r="X125" t="s">
        <v>43</v>
      </c>
      <c r="Y125" t="s">
        <v>43</v>
      </c>
      <c r="Z125" t="s">
        <v>43</v>
      </c>
      <c r="AA125" t="s">
        <v>43</v>
      </c>
      <c r="AB125" t="s">
        <v>43</v>
      </c>
      <c r="AC125" t="s">
        <v>43</v>
      </c>
      <c r="AD125" t="s">
        <v>43</v>
      </c>
      <c r="AE125" t="s">
        <v>43</v>
      </c>
      <c r="AF125" t="s">
        <v>43</v>
      </c>
      <c r="AG125" t="s">
        <v>43</v>
      </c>
      <c r="AH125" t="s">
        <v>43</v>
      </c>
      <c r="AI125" t="s">
        <v>43</v>
      </c>
      <c r="AJ125" t="s">
        <v>43</v>
      </c>
      <c r="AK125" t="s">
        <v>43</v>
      </c>
      <c r="AL125" t="s">
        <v>43</v>
      </c>
      <c r="AM125" t="s">
        <v>43</v>
      </c>
      <c r="AN125" t="s">
        <v>43</v>
      </c>
    </row>
    <row r="126" spans="1:40" x14ac:dyDescent="0.3">
      <c r="A126" s="1">
        <v>46210.985532407409</v>
      </c>
      <c r="B126" t="s">
        <v>40</v>
      </c>
      <c r="C126" t="s">
        <v>41</v>
      </c>
      <c r="D126" s="1">
        <v>46210.988275462965</v>
      </c>
      <c r="E126" t="s">
        <v>42</v>
      </c>
      <c r="F126" t="s">
        <v>43</v>
      </c>
      <c r="G126" t="s">
        <v>43</v>
      </c>
      <c r="H126" t="s">
        <v>43</v>
      </c>
      <c r="I126" t="s">
        <v>95</v>
      </c>
      <c r="J126" t="s">
        <v>43</v>
      </c>
      <c r="K126" t="s">
        <v>43</v>
      </c>
      <c r="L126" t="s">
        <v>43</v>
      </c>
      <c r="M126" t="s">
        <v>43</v>
      </c>
      <c r="N126" t="s">
        <v>45</v>
      </c>
      <c r="O126" t="s">
        <v>43</v>
      </c>
      <c r="P126" t="s">
        <v>43</v>
      </c>
      <c r="Q126" t="s">
        <v>43</v>
      </c>
      <c r="R126" t="s">
        <v>43</v>
      </c>
      <c r="S126" t="s">
        <v>43</v>
      </c>
      <c r="T126" t="s">
        <v>43</v>
      </c>
      <c r="U126" t="s">
        <v>43</v>
      </c>
      <c r="V126" t="s">
        <v>43</v>
      </c>
      <c r="W126" t="s">
        <v>43</v>
      </c>
      <c r="X126" t="s">
        <v>43</v>
      </c>
      <c r="Y126" t="s">
        <v>43</v>
      </c>
      <c r="Z126" t="s">
        <v>43</v>
      </c>
      <c r="AA126" t="s">
        <v>43</v>
      </c>
      <c r="AB126" t="s">
        <v>43</v>
      </c>
      <c r="AC126" t="s">
        <v>43</v>
      </c>
      <c r="AD126" t="s">
        <v>43</v>
      </c>
      <c r="AE126" t="s">
        <v>43</v>
      </c>
      <c r="AF126" t="s">
        <v>43</v>
      </c>
      <c r="AG126" t="s">
        <v>43</v>
      </c>
      <c r="AH126" t="s">
        <v>43</v>
      </c>
      <c r="AI126" t="s">
        <v>43</v>
      </c>
      <c r="AJ126" t="s">
        <v>43</v>
      </c>
      <c r="AK126" t="s">
        <v>43</v>
      </c>
      <c r="AL126" t="s">
        <v>43</v>
      </c>
      <c r="AM126" t="s">
        <v>43</v>
      </c>
      <c r="AN126" t="str">
        <f>HYPERLINK("https://www.google.com/maps?q=11.05476093,79.06096649","Open Location")</f>
        <v>Open Location</v>
      </c>
    </row>
    <row r="127" spans="1:40" x14ac:dyDescent="0.3">
      <c r="A127" s="1">
        <v>46210.98541666667</v>
      </c>
      <c r="B127" t="s">
        <v>40</v>
      </c>
      <c r="C127" t="s">
        <v>41</v>
      </c>
      <c r="D127" s="1">
        <v>46210.988182870373</v>
      </c>
      <c r="E127" t="s">
        <v>42</v>
      </c>
      <c r="F127" t="s">
        <v>43</v>
      </c>
      <c r="G127" t="s">
        <v>43</v>
      </c>
      <c r="H127" t="s">
        <v>43</v>
      </c>
      <c r="I127" t="s">
        <v>120</v>
      </c>
      <c r="J127" t="s">
        <v>43</v>
      </c>
      <c r="K127" t="s">
        <v>43</v>
      </c>
      <c r="L127" t="s">
        <v>43</v>
      </c>
      <c r="M127" t="s">
        <v>43</v>
      </c>
      <c r="N127" t="s">
        <v>45</v>
      </c>
      <c r="O127" t="s">
        <v>43</v>
      </c>
      <c r="P127" t="s">
        <v>43</v>
      </c>
      <c r="Q127" t="s">
        <v>43</v>
      </c>
      <c r="R127" t="s">
        <v>43</v>
      </c>
      <c r="S127" t="s">
        <v>43</v>
      </c>
      <c r="T127" t="s">
        <v>43</v>
      </c>
      <c r="U127" t="s">
        <v>43</v>
      </c>
      <c r="V127" t="s">
        <v>43</v>
      </c>
      <c r="W127" t="s">
        <v>43</v>
      </c>
      <c r="X127" t="s">
        <v>43</v>
      </c>
      <c r="Y127" t="s">
        <v>43</v>
      </c>
      <c r="Z127" t="s">
        <v>43</v>
      </c>
      <c r="AA127" t="s">
        <v>43</v>
      </c>
      <c r="AB127" t="s">
        <v>43</v>
      </c>
      <c r="AC127" t="s">
        <v>43</v>
      </c>
      <c r="AD127" t="s">
        <v>43</v>
      </c>
      <c r="AE127" t="s">
        <v>43</v>
      </c>
      <c r="AF127" t="s">
        <v>43</v>
      </c>
      <c r="AG127" t="s">
        <v>43</v>
      </c>
      <c r="AH127" t="s">
        <v>43</v>
      </c>
      <c r="AI127" t="s">
        <v>43</v>
      </c>
      <c r="AJ127" t="s">
        <v>43</v>
      </c>
      <c r="AK127" t="s">
        <v>43</v>
      </c>
      <c r="AL127" t="s">
        <v>43</v>
      </c>
      <c r="AM127" t="s">
        <v>43</v>
      </c>
      <c r="AN127" t="str">
        <f>HYPERLINK("https://www.google.com/maps?q=11.05476379,79.06096649","Open Location")</f>
        <v>Open Location</v>
      </c>
    </row>
    <row r="128" spans="1:40" x14ac:dyDescent="0.3">
      <c r="A128" s="1">
        <v>46210.985300925924</v>
      </c>
      <c r="B128" t="s">
        <v>40</v>
      </c>
      <c r="C128" t="s">
        <v>41</v>
      </c>
      <c r="D128" s="1">
        <v>46210.988043981481</v>
      </c>
      <c r="E128" t="s">
        <v>42</v>
      </c>
      <c r="F128" t="s">
        <v>43</v>
      </c>
      <c r="G128" t="s">
        <v>43</v>
      </c>
      <c r="H128" t="s">
        <v>43</v>
      </c>
      <c r="I128" t="s">
        <v>93</v>
      </c>
      <c r="J128" t="s">
        <v>43</v>
      </c>
      <c r="K128" t="s">
        <v>43</v>
      </c>
      <c r="L128" t="s">
        <v>43</v>
      </c>
      <c r="M128" t="s">
        <v>43</v>
      </c>
      <c r="N128" t="s">
        <v>45</v>
      </c>
      <c r="O128" t="s">
        <v>43</v>
      </c>
      <c r="P128" t="s">
        <v>43</v>
      </c>
      <c r="Q128" t="s">
        <v>43</v>
      </c>
      <c r="R128" t="s">
        <v>43</v>
      </c>
      <c r="S128" t="s">
        <v>43</v>
      </c>
      <c r="T128" t="s">
        <v>43</v>
      </c>
      <c r="U128" t="s">
        <v>43</v>
      </c>
      <c r="V128" t="s">
        <v>43</v>
      </c>
      <c r="W128" t="s">
        <v>43</v>
      </c>
      <c r="X128" t="s">
        <v>43</v>
      </c>
      <c r="Y128" t="s">
        <v>43</v>
      </c>
      <c r="Z128" t="s">
        <v>43</v>
      </c>
      <c r="AA128" t="s">
        <v>43</v>
      </c>
      <c r="AB128" t="s">
        <v>43</v>
      </c>
      <c r="AC128" t="s">
        <v>43</v>
      </c>
      <c r="AD128" t="s">
        <v>43</v>
      </c>
      <c r="AE128" t="s">
        <v>43</v>
      </c>
      <c r="AF128" t="s">
        <v>43</v>
      </c>
      <c r="AG128" t="s">
        <v>43</v>
      </c>
      <c r="AH128" t="s">
        <v>43</v>
      </c>
      <c r="AI128" t="s">
        <v>43</v>
      </c>
      <c r="AJ128" t="s">
        <v>43</v>
      </c>
      <c r="AK128" t="s">
        <v>43</v>
      </c>
      <c r="AL128" t="s">
        <v>43</v>
      </c>
      <c r="AM128" t="s">
        <v>43</v>
      </c>
      <c r="AN128" t="str">
        <f>HYPERLINK("https://www.google.com/maps?q=11.05476665,79.06096649","Open Location")</f>
        <v>Open Location</v>
      </c>
    </row>
    <row r="129" spans="1:40" x14ac:dyDescent="0.3">
      <c r="A129" s="1">
        <v>46210.985185185185</v>
      </c>
      <c r="B129" t="s">
        <v>40</v>
      </c>
      <c r="C129" t="s">
        <v>41</v>
      </c>
      <c r="D129" s="1">
        <v>46210.987812500003</v>
      </c>
      <c r="E129" t="s">
        <v>42</v>
      </c>
      <c r="F129" t="s">
        <v>43</v>
      </c>
      <c r="G129" t="s">
        <v>43</v>
      </c>
      <c r="H129" t="s">
        <v>43</v>
      </c>
      <c r="I129" t="s">
        <v>121</v>
      </c>
      <c r="J129" t="s">
        <v>43</v>
      </c>
      <c r="K129" t="s">
        <v>43</v>
      </c>
      <c r="L129" t="s">
        <v>43</v>
      </c>
      <c r="M129" t="s">
        <v>43</v>
      </c>
      <c r="N129" t="s">
        <v>45</v>
      </c>
      <c r="O129" t="s">
        <v>43</v>
      </c>
      <c r="P129" t="s">
        <v>43</v>
      </c>
      <c r="Q129" t="s">
        <v>43</v>
      </c>
      <c r="R129" t="s">
        <v>43</v>
      </c>
      <c r="S129" t="s">
        <v>43</v>
      </c>
      <c r="T129" t="s">
        <v>43</v>
      </c>
      <c r="U129" t="s">
        <v>43</v>
      </c>
      <c r="V129" t="s">
        <v>43</v>
      </c>
      <c r="W129" t="s">
        <v>43</v>
      </c>
      <c r="X129" t="s">
        <v>43</v>
      </c>
      <c r="Y129" t="s">
        <v>43</v>
      </c>
      <c r="Z129" t="s">
        <v>43</v>
      </c>
      <c r="AA129" t="s">
        <v>43</v>
      </c>
      <c r="AB129" t="s">
        <v>43</v>
      </c>
      <c r="AC129" t="s">
        <v>43</v>
      </c>
      <c r="AD129" t="s">
        <v>43</v>
      </c>
      <c r="AE129" t="s">
        <v>43</v>
      </c>
      <c r="AF129" t="s">
        <v>43</v>
      </c>
      <c r="AG129" t="s">
        <v>43</v>
      </c>
      <c r="AH129" t="s">
        <v>43</v>
      </c>
      <c r="AI129" t="s">
        <v>43</v>
      </c>
      <c r="AJ129" t="s">
        <v>43</v>
      </c>
      <c r="AK129" t="s">
        <v>43</v>
      </c>
      <c r="AL129" t="s">
        <v>43</v>
      </c>
      <c r="AM129" t="s">
        <v>43</v>
      </c>
      <c r="AN129" t="str">
        <f>HYPERLINK("https://www.google.com/maps?q=11.05477047,79.06096649","Open Location")</f>
        <v>Open Location</v>
      </c>
    </row>
    <row r="130" spans="1:40" x14ac:dyDescent="0.3">
      <c r="A130" s="1">
        <v>46210.985069444447</v>
      </c>
      <c r="B130" t="s">
        <v>40</v>
      </c>
      <c r="C130" t="s">
        <v>41</v>
      </c>
      <c r="D130" s="1">
        <v>46210.987870370373</v>
      </c>
      <c r="E130" t="s">
        <v>42</v>
      </c>
      <c r="F130" t="s">
        <v>43</v>
      </c>
      <c r="G130" t="s">
        <v>43</v>
      </c>
      <c r="H130" t="s">
        <v>43</v>
      </c>
      <c r="I130" t="s">
        <v>43</v>
      </c>
      <c r="J130" t="s">
        <v>43</v>
      </c>
      <c r="K130" t="s">
        <v>43</v>
      </c>
      <c r="L130" t="s">
        <v>43</v>
      </c>
      <c r="M130" t="s">
        <v>43</v>
      </c>
      <c r="N130" t="s">
        <v>45</v>
      </c>
      <c r="O130" t="s">
        <v>43</v>
      </c>
      <c r="P130" t="s">
        <v>43</v>
      </c>
      <c r="Q130" t="s">
        <v>43</v>
      </c>
      <c r="R130" t="s">
        <v>43</v>
      </c>
      <c r="S130" t="s">
        <v>43</v>
      </c>
      <c r="T130" t="s">
        <v>43</v>
      </c>
      <c r="U130" t="s">
        <v>43</v>
      </c>
      <c r="V130" t="s">
        <v>43</v>
      </c>
      <c r="W130" t="s">
        <v>43</v>
      </c>
      <c r="X130" t="s">
        <v>43</v>
      </c>
      <c r="Y130" t="s">
        <v>43</v>
      </c>
      <c r="Z130" t="s">
        <v>43</v>
      </c>
      <c r="AA130" t="s">
        <v>43</v>
      </c>
      <c r="AB130" t="s">
        <v>43</v>
      </c>
      <c r="AC130" t="s">
        <v>43</v>
      </c>
      <c r="AD130" t="s">
        <v>43</v>
      </c>
      <c r="AE130" t="s">
        <v>43</v>
      </c>
      <c r="AF130" t="s">
        <v>43</v>
      </c>
      <c r="AG130" t="s">
        <v>43</v>
      </c>
      <c r="AH130" t="s">
        <v>43</v>
      </c>
      <c r="AI130" t="s">
        <v>43</v>
      </c>
      <c r="AJ130" t="s">
        <v>43</v>
      </c>
      <c r="AK130" t="s">
        <v>43</v>
      </c>
      <c r="AL130" t="s">
        <v>43</v>
      </c>
      <c r="AM130" t="s">
        <v>43</v>
      </c>
      <c r="AN130" t="s">
        <v>43</v>
      </c>
    </row>
    <row r="131" spans="1:40" x14ac:dyDescent="0.3">
      <c r="A131" s="1">
        <v>46210.984953703701</v>
      </c>
      <c r="B131" t="s">
        <v>40</v>
      </c>
      <c r="C131" t="s">
        <v>41</v>
      </c>
      <c r="D131" s="1">
        <v>46210.987812500003</v>
      </c>
      <c r="E131" t="s">
        <v>42</v>
      </c>
      <c r="F131" t="s">
        <v>43</v>
      </c>
      <c r="G131" t="s">
        <v>43</v>
      </c>
      <c r="H131" t="s">
        <v>43</v>
      </c>
      <c r="I131" t="s">
        <v>122</v>
      </c>
      <c r="J131" t="s">
        <v>43</v>
      </c>
      <c r="K131" t="s">
        <v>43</v>
      </c>
      <c r="L131" t="s">
        <v>43</v>
      </c>
      <c r="M131" t="s">
        <v>43</v>
      </c>
      <c r="N131" t="s">
        <v>45</v>
      </c>
      <c r="O131" t="s">
        <v>43</v>
      </c>
      <c r="P131" t="s">
        <v>43</v>
      </c>
      <c r="Q131" t="s">
        <v>43</v>
      </c>
      <c r="R131" t="s">
        <v>43</v>
      </c>
      <c r="S131" t="s">
        <v>43</v>
      </c>
      <c r="T131" t="s">
        <v>43</v>
      </c>
      <c r="U131" t="s">
        <v>43</v>
      </c>
      <c r="V131" t="s">
        <v>43</v>
      </c>
      <c r="W131" t="s">
        <v>43</v>
      </c>
      <c r="X131" t="s">
        <v>43</v>
      </c>
      <c r="Y131" t="s">
        <v>43</v>
      </c>
      <c r="Z131" t="s">
        <v>43</v>
      </c>
      <c r="AA131" t="s">
        <v>43</v>
      </c>
      <c r="AB131" t="s">
        <v>43</v>
      </c>
      <c r="AC131" t="s">
        <v>43</v>
      </c>
      <c r="AD131" t="s">
        <v>43</v>
      </c>
      <c r="AE131" t="s">
        <v>43</v>
      </c>
      <c r="AF131" t="s">
        <v>43</v>
      </c>
      <c r="AG131" t="s">
        <v>43</v>
      </c>
      <c r="AH131" t="s">
        <v>43</v>
      </c>
      <c r="AI131" t="s">
        <v>43</v>
      </c>
      <c r="AJ131" t="s">
        <v>43</v>
      </c>
      <c r="AK131" t="s">
        <v>43</v>
      </c>
      <c r="AL131" t="s">
        <v>43</v>
      </c>
      <c r="AM131" t="s">
        <v>43</v>
      </c>
      <c r="AN131" t="str">
        <f>HYPERLINK("https://www.google.com/maps?q=11.05476761,79.06096649","Open Location")</f>
        <v>Open Location</v>
      </c>
    </row>
    <row r="132" spans="1:40" x14ac:dyDescent="0.3">
      <c r="A132" s="1">
        <v>46210.984837962962</v>
      </c>
      <c r="B132" t="s">
        <v>40</v>
      </c>
      <c r="C132" t="s">
        <v>41</v>
      </c>
      <c r="D132" s="1">
        <v>46210.987696759257</v>
      </c>
      <c r="E132" t="s">
        <v>42</v>
      </c>
      <c r="F132" t="s">
        <v>43</v>
      </c>
      <c r="G132" t="s">
        <v>43</v>
      </c>
      <c r="H132" t="s">
        <v>43</v>
      </c>
      <c r="I132" t="s">
        <v>96</v>
      </c>
      <c r="J132" t="s">
        <v>43</v>
      </c>
      <c r="K132" t="s">
        <v>43</v>
      </c>
      <c r="L132" t="s">
        <v>43</v>
      </c>
      <c r="M132" t="s">
        <v>43</v>
      </c>
      <c r="N132" t="s">
        <v>45</v>
      </c>
      <c r="O132" t="s">
        <v>43</v>
      </c>
      <c r="P132" t="s">
        <v>43</v>
      </c>
      <c r="Q132" t="s">
        <v>43</v>
      </c>
      <c r="R132" t="s">
        <v>43</v>
      </c>
      <c r="S132" t="s">
        <v>43</v>
      </c>
      <c r="T132" t="s">
        <v>43</v>
      </c>
      <c r="U132" t="s">
        <v>43</v>
      </c>
      <c r="V132" t="s">
        <v>43</v>
      </c>
      <c r="W132" t="s">
        <v>43</v>
      </c>
      <c r="X132" t="s">
        <v>43</v>
      </c>
      <c r="Y132" t="s">
        <v>43</v>
      </c>
      <c r="Z132" t="s">
        <v>43</v>
      </c>
      <c r="AA132" t="s">
        <v>43</v>
      </c>
      <c r="AB132" t="s">
        <v>43</v>
      </c>
      <c r="AC132" t="s">
        <v>43</v>
      </c>
      <c r="AD132" t="s">
        <v>43</v>
      </c>
      <c r="AE132" t="s">
        <v>43</v>
      </c>
      <c r="AF132" t="s">
        <v>43</v>
      </c>
      <c r="AG132" t="s">
        <v>43</v>
      </c>
      <c r="AH132" t="s">
        <v>43</v>
      </c>
      <c r="AI132" t="s">
        <v>43</v>
      </c>
      <c r="AJ132" t="s">
        <v>43</v>
      </c>
      <c r="AK132" t="s">
        <v>43</v>
      </c>
      <c r="AL132" t="s">
        <v>43</v>
      </c>
      <c r="AM132" t="s">
        <v>43</v>
      </c>
      <c r="AN132" t="str">
        <f>HYPERLINK("https://www.google.com/maps?q=11.05476856,79.06096649","Open Location")</f>
        <v>Open Location</v>
      </c>
    </row>
    <row r="133" spans="1:40" x14ac:dyDescent="0.3">
      <c r="A133" s="1">
        <v>46210.984722222223</v>
      </c>
      <c r="B133" t="s">
        <v>40</v>
      </c>
      <c r="C133" t="s">
        <v>41</v>
      </c>
      <c r="D133" s="1">
        <v>46210.987696759257</v>
      </c>
      <c r="E133" t="s">
        <v>42</v>
      </c>
      <c r="F133" t="s">
        <v>43</v>
      </c>
      <c r="G133" t="s">
        <v>43</v>
      </c>
      <c r="H133" t="s">
        <v>43</v>
      </c>
      <c r="I133" t="s">
        <v>93</v>
      </c>
      <c r="J133" t="s">
        <v>43</v>
      </c>
      <c r="K133" t="s">
        <v>43</v>
      </c>
      <c r="L133" t="s">
        <v>43</v>
      </c>
      <c r="M133" t="s">
        <v>43</v>
      </c>
      <c r="N133" t="s">
        <v>45</v>
      </c>
      <c r="O133" t="s">
        <v>43</v>
      </c>
      <c r="P133" t="s">
        <v>43</v>
      </c>
      <c r="Q133" t="s">
        <v>43</v>
      </c>
      <c r="R133" t="s">
        <v>43</v>
      </c>
      <c r="S133" t="s">
        <v>43</v>
      </c>
      <c r="T133" t="s">
        <v>43</v>
      </c>
      <c r="U133" t="s">
        <v>43</v>
      </c>
      <c r="V133" t="s">
        <v>43</v>
      </c>
      <c r="W133" t="s">
        <v>43</v>
      </c>
      <c r="X133" t="s">
        <v>43</v>
      </c>
      <c r="Y133" t="s">
        <v>43</v>
      </c>
      <c r="Z133" t="s">
        <v>43</v>
      </c>
      <c r="AA133" t="s">
        <v>43</v>
      </c>
      <c r="AB133" t="s">
        <v>43</v>
      </c>
      <c r="AC133" t="s">
        <v>43</v>
      </c>
      <c r="AD133" t="s">
        <v>43</v>
      </c>
      <c r="AE133" t="s">
        <v>43</v>
      </c>
      <c r="AF133" t="s">
        <v>43</v>
      </c>
      <c r="AG133" t="s">
        <v>43</v>
      </c>
      <c r="AH133" t="s">
        <v>43</v>
      </c>
      <c r="AI133" t="s">
        <v>43</v>
      </c>
      <c r="AJ133" t="s">
        <v>43</v>
      </c>
      <c r="AK133" t="s">
        <v>43</v>
      </c>
      <c r="AL133" t="s">
        <v>43</v>
      </c>
      <c r="AM133" t="s">
        <v>43</v>
      </c>
      <c r="AN133" t="str">
        <f>HYPERLINK("https://www.google.com/maps?q=11.05476665,79.06096649","Open Location")</f>
        <v>Open Location</v>
      </c>
    </row>
    <row r="134" spans="1:40" x14ac:dyDescent="0.3">
      <c r="A134" s="1">
        <v>46210.984606481485</v>
      </c>
      <c r="B134" t="s">
        <v>40</v>
      </c>
      <c r="C134" t="s">
        <v>41</v>
      </c>
      <c r="D134" s="1">
        <v>46210.987696759257</v>
      </c>
      <c r="E134" t="s">
        <v>42</v>
      </c>
      <c r="F134" t="s">
        <v>43</v>
      </c>
      <c r="G134" t="s">
        <v>43</v>
      </c>
      <c r="H134" t="s">
        <v>43</v>
      </c>
      <c r="I134" t="s">
        <v>123</v>
      </c>
      <c r="J134" t="s">
        <v>43</v>
      </c>
      <c r="K134" t="s">
        <v>43</v>
      </c>
      <c r="L134" t="s">
        <v>43</v>
      </c>
      <c r="M134" t="s">
        <v>43</v>
      </c>
      <c r="N134" t="s">
        <v>45</v>
      </c>
      <c r="O134" t="s">
        <v>43</v>
      </c>
      <c r="P134" t="s">
        <v>43</v>
      </c>
      <c r="Q134" t="s">
        <v>43</v>
      </c>
      <c r="R134" t="s">
        <v>43</v>
      </c>
      <c r="S134" t="s">
        <v>43</v>
      </c>
      <c r="T134" t="s">
        <v>43</v>
      </c>
      <c r="U134" t="s">
        <v>43</v>
      </c>
      <c r="V134" t="s">
        <v>43</v>
      </c>
      <c r="W134" t="s">
        <v>43</v>
      </c>
      <c r="X134" t="s">
        <v>43</v>
      </c>
      <c r="Y134" t="s">
        <v>43</v>
      </c>
      <c r="Z134" t="s">
        <v>43</v>
      </c>
      <c r="AA134" t="s">
        <v>43</v>
      </c>
      <c r="AB134" t="s">
        <v>43</v>
      </c>
      <c r="AC134" t="s">
        <v>43</v>
      </c>
      <c r="AD134" t="s">
        <v>43</v>
      </c>
      <c r="AE134" t="s">
        <v>43</v>
      </c>
      <c r="AF134" t="s">
        <v>43</v>
      </c>
      <c r="AG134" t="s">
        <v>43</v>
      </c>
      <c r="AH134" t="s">
        <v>43</v>
      </c>
      <c r="AI134" t="s">
        <v>43</v>
      </c>
      <c r="AJ134" t="s">
        <v>43</v>
      </c>
      <c r="AK134" t="s">
        <v>43</v>
      </c>
      <c r="AL134" t="s">
        <v>43</v>
      </c>
      <c r="AM134" t="s">
        <v>43</v>
      </c>
      <c r="AN134" t="str">
        <f>HYPERLINK("https://www.google.com/maps?q=11.05477047,79.06097412","Open Location")</f>
        <v>Open Location</v>
      </c>
    </row>
    <row r="135" spans="1:40" x14ac:dyDescent="0.3">
      <c r="A135" s="1">
        <v>46210.984490740739</v>
      </c>
      <c r="B135" t="s">
        <v>40</v>
      </c>
      <c r="C135" t="s">
        <v>41</v>
      </c>
      <c r="D135" s="1">
        <v>46210.987280092595</v>
      </c>
      <c r="E135" t="s">
        <v>42</v>
      </c>
      <c r="F135" t="s">
        <v>43</v>
      </c>
      <c r="G135" t="s">
        <v>43</v>
      </c>
      <c r="H135" t="s">
        <v>43</v>
      </c>
      <c r="I135" t="s">
        <v>124</v>
      </c>
      <c r="J135" t="s">
        <v>43</v>
      </c>
      <c r="K135" t="s">
        <v>43</v>
      </c>
      <c r="L135" t="s">
        <v>43</v>
      </c>
      <c r="M135" t="s">
        <v>43</v>
      </c>
      <c r="N135" t="s">
        <v>45</v>
      </c>
      <c r="O135" t="s">
        <v>43</v>
      </c>
      <c r="P135" t="s">
        <v>43</v>
      </c>
      <c r="Q135" t="s">
        <v>43</v>
      </c>
      <c r="R135" t="s">
        <v>43</v>
      </c>
      <c r="S135" t="s">
        <v>43</v>
      </c>
      <c r="T135" t="s">
        <v>43</v>
      </c>
      <c r="U135" t="s">
        <v>43</v>
      </c>
      <c r="V135" t="s">
        <v>43</v>
      </c>
      <c r="W135" t="s">
        <v>43</v>
      </c>
      <c r="X135" t="s">
        <v>43</v>
      </c>
      <c r="Y135" t="s">
        <v>43</v>
      </c>
      <c r="Z135" t="s">
        <v>43</v>
      </c>
      <c r="AA135" t="s">
        <v>43</v>
      </c>
      <c r="AB135" t="s">
        <v>43</v>
      </c>
      <c r="AC135" t="s">
        <v>43</v>
      </c>
      <c r="AD135" t="s">
        <v>43</v>
      </c>
      <c r="AE135" t="s">
        <v>43</v>
      </c>
      <c r="AF135" t="s">
        <v>43</v>
      </c>
      <c r="AG135" t="s">
        <v>43</v>
      </c>
      <c r="AH135" t="s">
        <v>43</v>
      </c>
      <c r="AI135" t="s">
        <v>43</v>
      </c>
      <c r="AJ135" t="s">
        <v>43</v>
      </c>
      <c r="AK135" t="s">
        <v>43</v>
      </c>
      <c r="AL135" t="s">
        <v>43</v>
      </c>
      <c r="AM135" t="s">
        <v>43</v>
      </c>
      <c r="AN135" t="str">
        <f>HYPERLINK("https://www.google.com/maps?q=11.05476856,79.06097412","Open Location")</f>
        <v>Open Location</v>
      </c>
    </row>
    <row r="136" spans="1:40" x14ac:dyDescent="0.3">
      <c r="A136" s="1">
        <v>46210.984375</v>
      </c>
      <c r="B136" t="s">
        <v>40</v>
      </c>
      <c r="C136" t="s">
        <v>41</v>
      </c>
      <c r="D136" s="1">
        <v>46210.987187500003</v>
      </c>
      <c r="E136" t="s">
        <v>42</v>
      </c>
      <c r="F136" t="s">
        <v>43</v>
      </c>
      <c r="G136" t="s">
        <v>43</v>
      </c>
      <c r="H136" t="s">
        <v>43</v>
      </c>
      <c r="I136" t="s">
        <v>43</v>
      </c>
      <c r="J136" t="s">
        <v>43</v>
      </c>
      <c r="K136" t="s">
        <v>43</v>
      </c>
      <c r="L136" t="s">
        <v>43</v>
      </c>
      <c r="M136" t="s">
        <v>43</v>
      </c>
      <c r="N136" t="s">
        <v>45</v>
      </c>
      <c r="O136" t="s">
        <v>43</v>
      </c>
      <c r="P136" t="s">
        <v>43</v>
      </c>
      <c r="Q136" t="s">
        <v>43</v>
      </c>
      <c r="R136" t="s">
        <v>43</v>
      </c>
      <c r="S136" t="s">
        <v>43</v>
      </c>
      <c r="T136" t="s">
        <v>43</v>
      </c>
      <c r="U136" t="s">
        <v>43</v>
      </c>
      <c r="V136" t="s">
        <v>43</v>
      </c>
      <c r="W136" t="s">
        <v>43</v>
      </c>
      <c r="X136" t="s">
        <v>43</v>
      </c>
      <c r="Y136" t="s">
        <v>43</v>
      </c>
      <c r="Z136" t="s">
        <v>43</v>
      </c>
      <c r="AA136" t="s">
        <v>43</v>
      </c>
      <c r="AB136" t="s">
        <v>43</v>
      </c>
      <c r="AC136" t="s">
        <v>43</v>
      </c>
      <c r="AD136" t="s">
        <v>43</v>
      </c>
      <c r="AE136" t="s">
        <v>43</v>
      </c>
      <c r="AF136" t="s">
        <v>43</v>
      </c>
      <c r="AG136" t="s">
        <v>43</v>
      </c>
      <c r="AH136" t="s">
        <v>43</v>
      </c>
      <c r="AI136" t="s">
        <v>43</v>
      </c>
      <c r="AJ136" t="s">
        <v>43</v>
      </c>
      <c r="AK136" t="s">
        <v>43</v>
      </c>
      <c r="AL136" t="s">
        <v>43</v>
      </c>
      <c r="AM136" t="s">
        <v>43</v>
      </c>
      <c r="AN136" t="s">
        <v>43</v>
      </c>
    </row>
    <row r="137" spans="1:40" x14ac:dyDescent="0.3">
      <c r="A137" s="1">
        <v>46210.984259259261</v>
      </c>
      <c r="B137" t="s">
        <v>40</v>
      </c>
      <c r="C137" t="s">
        <v>41</v>
      </c>
      <c r="D137" s="1">
        <v>46210.98704861111</v>
      </c>
      <c r="E137" t="s">
        <v>42</v>
      </c>
      <c r="F137" t="s">
        <v>43</v>
      </c>
      <c r="G137" t="s">
        <v>43</v>
      </c>
      <c r="H137" t="s">
        <v>43</v>
      </c>
      <c r="I137" t="s">
        <v>123</v>
      </c>
      <c r="J137" t="s">
        <v>43</v>
      </c>
      <c r="K137" t="s">
        <v>43</v>
      </c>
      <c r="L137" t="s">
        <v>43</v>
      </c>
      <c r="M137" t="s">
        <v>43</v>
      </c>
      <c r="N137" t="s">
        <v>45</v>
      </c>
      <c r="O137" t="s">
        <v>43</v>
      </c>
      <c r="P137" t="s">
        <v>43</v>
      </c>
      <c r="Q137" t="s">
        <v>43</v>
      </c>
      <c r="R137" t="s">
        <v>43</v>
      </c>
      <c r="S137" t="s">
        <v>43</v>
      </c>
      <c r="T137" t="s">
        <v>43</v>
      </c>
      <c r="U137" t="s">
        <v>43</v>
      </c>
      <c r="V137" t="s">
        <v>43</v>
      </c>
      <c r="W137" t="s">
        <v>43</v>
      </c>
      <c r="X137" t="s">
        <v>43</v>
      </c>
      <c r="Y137" t="s">
        <v>43</v>
      </c>
      <c r="Z137" t="s">
        <v>43</v>
      </c>
      <c r="AA137" t="s">
        <v>43</v>
      </c>
      <c r="AB137" t="s">
        <v>43</v>
      </c>
      <c r="AC137" t="s">
        <v>43</v>
      </c>
      <c r="AD137" t="s">
        <v>43</v>
      </c>
      <c r="AE137" t="s">
        <v>43</v>
      </c>
      <c r="AF137" t="s">
        <v>43</v>
      </c>
      <c r="AG137" t="s">
        <v>43</v>
      </c>
      <c r="AH137" t="s">
        <v>43</v>
      </c>
      <c r="AI137" t="s">
        <v>43</v>
      </c>
      <c r="AJ137" t="s">
        <v>43</v>
      </c>
      <c r="AK137" t="s">
        <v>43</v>
      </c>
      <c r="AL137" t="s">
        <v>43</v>
      </c>
      <c r="AM137" t="s">
        <v>43</v>
      </c>
      <c r="AN137" t="str">
        <f>HYPERLINK("https://www.google.com/maps?q=11.05477047,79.06097412","Open Location")</f>
        <v>Open Location</v>
      </c>
    </row>
    <row r="138" spans="1:40" x14ac:dyDescent="0.3">
      <c r="A138" s="1">
        <v>46210.984143518515</v>
      </c>
      <c r="B138" t="s">
        <v>40</v>
      </c>
      <c r="C138" t="s">
        <v>41</v>
      </c>
      <c r="D138" s="1">
        <v>46210.98704861111</v>
      </c>
      <c r="E138" t="s">
        <v>42</v>
      </c>
      <c r="F138" t="s">
        <v>43</v>
      </c>
      <c r="G138" t="s">
        <v>43</v>
      </c>
      <c r="H138" t="s">
        <v>43</v>
      </c>
      <c r="I138" t="s">
        <v>125</v>
      </c>
      <c r="J138" t="s">
        <v>43</v>
      </c>
      <c r="K138" t="s">
        <v>43</v>
      </c>
      <c r="L138" t="s">
        <v>43</v>
      </c>
      <c r="M138" t="s">
        <v>43</v>
      </c>
      <c r="N138" t="s">
        <v>45</v>
      </c>
      <c r="O138" t="s">
        <v>43</v>
      </c>
      <c r="P138" t="s">
        <v>43</v>
      </c>
      <c r="Q138" t="s">
        <v>43</v>
      </c>
      <c r="R138" t="s">
        <v>43</v>
      </c>
      <c r="S138" t="s">
        <v>43</v>
      </c>
      <c r="T138" t="s">
        <v>43</v>
      </c>
      <c r="U138" t="s">
        <v>43</v>
      </c>
      <c r="V138" t="s">
        <v>43</v>
      </c>
      <c r="W138" t="s">
        <v>43</v>
      </c>
      <c r="X138" t="s">
        <v>43</v>
      </c>
      <c r="Y138" t="s">
        <v>43</v>
      </c>
      <c r="Z138" t="s">
        <v>43</v>
      </c>
      <c r="AA138" t="s">
        <v>43</v>
      </c>
      <c r="AB138" t="s">
        <v>43</v>
      </c>
      <c r="AC138" t="s">
        <v>43</v>
      </c>
      <c r="AD138" t="s">
        <v>43</v>
      </c>
      <c r="AE138" t="s">
        <v>43</v>
      </c>
      <c r="AF138" t="s">
        <v>43</v>
      </c>
      <c r="AG138" t="s">
        <v>43</v>
      </c>
      <c r="AH138" t="s">
        <v>43</v>
      </c>
      <c r="AI138" t="s">
        <v>43</v>
      </c>
      <c r="AJ138" t="s">
        <v>43</v>
      </c>
      <c r="AK138" t="s">
        <v>43</v>
      </c>
      <c r="AL138" t="s">
        <v>43</v>
      </c>
      <c r="AM138" t="s">
        <v>43</v>
      </c>
      <c r="AN138" t="str">
        <f>HYPERLINK("https://www.google.com/maps?q=11.05477142,79.06097412","Open Location")</f>
        <v>Open Location</v>
      </c>
    </row>
    <row r="139" spans="1:40" x14ac:dyDescent="0.3">
      <c r="A139" s="1">
        <v>46210.984027777777</v>
      </c>
      <c r="B139" t="s">
        <v>40</v>
      </c>
      <c r="C139" t="s">
        <v>41</v>
      </c>
      <c r="D139" s="1">
        <v>46210.986678240741</v>
      </c>
      <c r="E139" t="s">
        <v>42</v>
      </c>
      <c r="F139" t="s">
        <v>43</v>
      </c>
      <c r="G139" t="s">
        <v>43</v>
      </c>
      <c r="H139" t="s">
        <v>43</v>
      </c>
      <c r="I139" t="s">
        <v>126</v>
      </c>
      <c r="J139" t="s">
        <v>43</v>
      </c>
      <c r="K139" t="s">
        <v>43</v>
      </c>
      <c r="L139" t="s">
        <v>43</v>
      </c>
      <c r="M139" t="s">
        <v>43</v>
      </c>
      <c r="N139" t="s">
        <v>45</v>
      </c>
      <c r="O139" t="s">
        <v>43</v>
      </c>
      <c r="P139" t="s">
        <v>43</v>
      </c>
      <c r="Q139" t="s">
        <v>43</v>
      </c>
      <c r="R139" t="s">
        <v>43</v>
      </c>
      <c r="S139" t="s">
        <v>43</v>
      </c>
      <c r="T139" t="s">
        <v>43</v>
      </c>
      <c r="U139" t="s">
        <v>43</v>
      </c>
      <c r="V139" t="s">
        <v>43</v>
      </c>
      <c r="W139" t="s">
        <v>43</v>
      </c>
      <c r="X139" t="s">
        <v>43</v>
      </c>
      <c r="Y139" t="s">
        <v>43</v>
      </c>
      <c r="Z139" t="s">
        <v>43</v>
      </c>
      <c r="AA139" t="s">
        <v>43</v>
      </c>
      <c r="AB139" t="s">
        <v>43</v>
      </c>
      <c r="AC139" t="s">
        <v>43</v>
      </c>
      <c r="AD139" t="s">
        <v>43</v>
      </c>
      <c r="AE139" t="s">
        <v>43</v>
      </c>
      <c r="AF139" t="s">
        <v>43</v>
      </c>
      <c r="AG139" t="s">
        <v>43</v>
      </c>
      <c r="AH139" t="s">
        <v>43</v>
      </c>
      <c r="AI139" t="s">
        <v>43</v>
      </c>
      <c r="AJ139" t="s">
        <v>43</v>
      </c>
      <c r="AK139" t="s">
        <v>43</v>
      </c>
      <c r="AL139" t="s">
        <v>43</v>
      </c>
      <c r="AM139" t="s">
        <v>43</v>
      </c>
      <c r="AN139" t="str">
        <f>HYPERLINK("https://www.google.com/maps?q=11.05477238,79.06097412","Open Location")</f>
        <v>Open Location</v>
      </c>
    </row>
    <row r="140" spans="1:40" x14ac:dyDescent="0.3">
      <c r="A140" s="1">
        <v>46210.983912037038</v>
      </c>
      <c r="B140" t="s">
        <v>40</v>
      </c>
      <c r="C140" t="s">
        <v>41</v>
      </c>
      <c r="D140" s="1">
        <v>46210.986678240741</v>
      </c>
      <c r="E140" t="s">
        <v>42</v>
      </c>
      <c r="F140" t="s">
        <v>43</v>
      </c>
      <c r="G140" t="s">
        <v>43</v>
      </c>
      <c r="H140" t="s">
        <v>43</v>
      </c>
      <c r="I140" t="s">
        <v>123</v>
      </c>
      <c r="J140" t="s">
        <v>43</v>
      </c>
      <c r="K140" t="s">
        <v>43</v>
      </c>
      <c r="L140" t="s">
        <v>43</v>
      </c>
      <c r="M140" t="s">
        <v>43</v>
      </c>
      <c r="N140" t="s">
        <v>45</v>
      </c>
      <c r="O140" t="s">
        <v>43</v>
      </c>
      <c r="P140" t="s">
        <v>43</v>
      </c>
      <c r="Q140" t="s">
        <v>43</v>
      </c>
      <c r="R140" t="s">
        <v>43</v>
      </c>
      <c r="S140" t="s">
        <v>43</v>
      </c>
      <c r="T140" t="s">
        <v>43</v>
      </c>
      <c r="U140" t="s">
        <v>43</v>
      </c>
      <c r="V140" t="s">
        <v>43</v>
      </c>
      <c r="W140" t="s">
        <v>43</v>
      </c>
      <c r="X140" t="s">
        <v>43</v>
      </c>
      <c r="Y140" t="s">
        <v>43</v>
      </c>
      <c r="Z140" t="s">
        <v>43</v>
      </c>
      <c r="AA140" t="s">
        <v>43</v>
      </c>
      <c r="AB140" t="s">
        <v>43</v>
      </c>
      <c r="AC140" t="s">
        <v>43</v>
      </c>
      <c r="AD140" t="s">
        <v>43</v>
      </c>
      <c r="AE140" t="s">
        <v>43</v>
      </c>
      <c r="AF140" t="s">
        <v>43</v>
      </c>
      <c r="AG140" t="s">
        <v>43</v>
      </c>
      <c r="AH140" t="s">
        <v>43</v>
      </c>
      <c r="AI140" t="s">
        <v>43</v>
      </c>
      <c r="AJ140" t="s">
        <v>43</v>
      </c>
      <c r="AK140" t="s">
        <v>43</v>
      </c>
      <c r="AL140" t="s">
        <v>43</v>
      </c>
      <c r="AM140" t="s">
        <v>43</v>
      </c>
      <c r="AN140" t="str">
        <f>HYPERLINK("https://www.google.com/maps?q=11.05477047,79.06097412","Open Location")</f>
        <v>Open Location</v>
      </c>
    </row>
    <row r="141" spans="1:40" x14ac:dyDescent="0.3">
      <c r="A141" s="1">
        <v>46210.983796296299</v>
      </c>
      <c r="B141" t="s">
        <v>40</v>
      </c>
      <c r="C141" t="s">
        <v>41</v>
      </c>
      <c r="D141" s="1">
        <v>46210.986574074072</v>
      </c>
      <c r="E141" t="s">
        <v>42</v>
      </c>
      <c r="F141" t="s">
        <v>43</v>
      </c>
      <c r="G141" t="s">
        <v>43</v>
      </c>
      <c r="H141" t="s">
        <v>43</v>
      </c>
      <c r="I141" t="s">
        <v>92</v>
      </c>
      <c r="J141" t="s">
        <v>43</v>
      </c>
      <c r="K141" t="s">
        <v>43</v>
      </c>
      <c r="L141" t="s">
        <v>43</v>
      </c>
      <c r="M141" t="s">
        <v>43</v>
      </c>
      <c r="N141" t="s">
        <v>45</v>
      </c>
      <c r="O141" t="s">
        <v>43</v>
      </c>
      <c r="P141" t="s">
        <v>43</v>
      </c>
      <c r="Q141" t="s">
        <v>43</v>
      </c>
      <c r="R141" t="s">
        <v>43</v>
      </c>
      <c r="S141" t="s">
        <v>43</v>
      </c>
      <c r="T141" t="s">
        <v>43</v>
      </c>
      <c r="U141" t="s">
        <v>43</v>
      </c>
      <c r="V141" t="s">
        <v>43</v>
      </c>
      <c r="W141" t="s">
        <v>43</v>
      </c>
      <c r="X141" t="s">
        <v>43</v>
      </c>
      <c r="Y141" t="s">
        <v>43</v>
      </c>
      <c r="Z141" t="s">
        <v>43</v>
      </c>
      <c r="AA141" t="s">
        <v>43</v>
      </c>
      <c r="AB141" t="s">
        <v>43</v>
      </c>
      <c r="AC141" t="s">
        <v>43</v>
      </c>
      <c r="AD141" t="s">
        <v>43</v>
      </c>
      <c r="AE141" t="s">
        <v>43</v>
      </c>
      <c r="AF141" t="s">
        <v>43</v>
      </c>
      <c r="AG141" t="s">
        <v>43</v>
      </c>
      <c r="AH141" t="s">
        <v>43</v>
      </c>
      <c r="AI141" t="s">
        <v>43</v>
      </c>
      <c r="AJ141" t="s">
        <v>43</v>
      </c>
      <c r="AK141" t="s">
        <v>43</v>
      </c>
      <c r="AL141" t="s">
        <v>43</v>
      </c>
      <c r="AM141" t="s">
        <v>43</v>
      </c>
      <c r="AN141" t="str">
        <f>HYPERLINK("https://www.google.com/maps?q=11.05477142,79.06096649","Open Location")</f>
        <v>Open Location</v>
      </c>
    </row>
    <row r="142" spans="1:40" x14ac:dyDescent="0.3">
      <c r="A142" s="1">
        <v>46210.983680555553</v>
      </c>
      <c r="B142" t="s">
        <v>40</v>
      </c>
      <c r="C142" t="s">
        <v>41</v>
      </c>
      <c r="D142" s="1">
        <v>46210.986597222225</v>
      </c>
      <c r="E142" t="s">
        <v>42</v>
      </c>
      <c r="F142" t="s">
        <v>43</v>
      </c>
      <c r="G142" t="s">
        <v>43</v>
      </c>
      <c r="H142" t="s">
        <v>43</v>
      </c>
      <c r="I142" t="s">
        <v>43</v>
      </c>
      <c r="J142" t="s">
        <v>43</v>
      </c>
      <c r="K142" t="s">
        <v>43</v>
      </c>
      <c r="L142" t="s">
        <v>43</v>
      </c>
      <c r="M142" t="s">
        <v>43</v>
      </c>
      <c r="N142" t="s">
        <v>45</v>
      </c>
      <c r="O142" t="s">
        <v>43</v>
      </c>
      <c r="P142" t="s">
        <v>43</v>
      </c>
      <c r="Q142" t="s">
        <v>43</v>
      </c>
      <c r="R142" t="s">
        <v>43</v>
      </c>
      <c r="S142" t="s">
        <v>43</v>
      </c>
      <c r="T142" t="s">
        <v>43</v>
      </c>
      <c r="U142" t="s">
        <v>43</v>
      </c>
      <c r="V142" t="s">
        <v>43</v>
      </c>
      <c r="W142" t="s">
        <v>43</v>
      </c>
      <c r="X142" t="s">
        <v>43</v>
      </c>
      <c r="Y142" t="s">
        <v>43</v>
      </c>
      <c r="Z142" t="s">
        <v>43</v>
      </c>
      <c r="AA142" t="s">
        <v>43</v>
      </c>
      <c r="AB142" t="s">
        <v>43</v>
      </c>
      <c r="AC142" t="s">
        <v>43</v>
      </c>
      <c r="AD142" t="s">
        <v>43</v>
      </c>
      <c r="AE142" t="s">
        <v>43</v>
      </c>
      <c r="AF142" t="s">
        <v>43</v>
      </c>
      <c r="AG142" t="s">
        <v>43</v>
      </c>
      <c r="AH142" t="s">
        <v>43</v>
      </c>
      <c r="AI142" t="s">
        <v>43</v>
      </c>
      <c r="AJ142" t="s">
        <v>43</v>
      </c>
      <c r="AK142" t="s">
        <v>43</v>
      </c>
      <c r="AL142" t="s">
        <v>43</v>
      </c>
      <c r="AM142" t="s">
        <v>43</v>
      </c>
      <c r="AN142" t="s">
        <v>43</v>
      </c>
    </row>
    <row r="143" spans="1:40" x14ac:dyDescent="0.3">
      <c r="A143" s="1">
        <v>46210.983564814815</v>
      </c>
      <c r="B143" t="s">
        <v>40</v>
      </c>
      <c r="C143" t="s">
        <v>41</v>
      </c>
      <c r="D143" s="1">
        <v>46210.986168981479</v>
      </c>
      <c r="E143" t="s">
        <v>42</v>
      </c>
      <c r="F143" t="s">
        <v>43</v>
      </c>
      <c r="G143" t="s">
        <v>43</v>
      </c>
      <c r="H143" t="s">
        <v>43</v>
      </c>
      <c r="I143" t="s">
        <v>127</v>
      </c>
      <c r="J143" t="s">
        <v>43</v>
      </c>
      <c r="K143" t="s">
        <v>43</v>
      </c>
      <c r="L143" t="s">
        <v>43</v>
      </c>
      <c r="M143" t="s">
        <v>43</v>
      </c>
      <c r="N143" t="s">
        <v>45</v>
      </c>
      <c r="O143" t="s">
        <v>43</v>
      </c>
      <c r="P143" t="s">
        <v>43</v>
      </c>
      <c r="Q143" t="s">
        <v>43</v>
      </c>
      <c r="R143" t="s">
        <v>43</v>
      </c>
      <c r="S143" t="s">
        <v>43</v>
      </c>
      <c r="T143" t="s">
        <v>43</v>
      </c>
      <c r="U143" t="s">
        <v>43</v>
      </c>
      <c r="V143" t="s">
        <v>43</v>
      </c>
      <c r="W143" t="s">
        <v>43</v>
      </c>
      <c r="X143" t="s">
        <v>43</v>
      </c>
      <c r="Y143" t="s">
        <v>43</v>
      </c>
      <c r="Z143" t="s">
        <v>43</v>
      </c>
      <c r="AA143" t="s">
        <v>43</v>
      </c>
      <c r="AB143" t="s">
        <v>43</v>
      </c>
      <c r="AC143" t="s">
        <v>43</v>
      </c>
      <c r="AD143" t="s">
        <v>43</v>
      </c>
      <c r="AE143" t="s">
        <v>43</v>
      </c>
      <c r="AF143" t="s">
        <v>43</v>
      </c>
      <c r="AG143" t="s">
        <v>43</v>
      </c>
      <c r="AH143" t="s">
        <v>43</v>
      </c>
      <c r="AI143" t="s">
        <v>43</v>
      </c>
      <c r="AJ143" t="s">
        <v>43</v>
      </c>
      <c r="AK143" t="s">
        <v>43</v>
      </c>
      <c r="AL143" t="s">
        <v>43</v>
      </c>
      <c r="AM143" t="s">
        <v>43</v>
      </c>
      <c r="AN143" t="str">
        <f>HYPERLINK("https://www.google.com/maps?q=11.05476665,79.06097412","Open Location")</f>
        <v>Open Location</v>
      </c>
    </row>
    <row r="144" spans="1:40" x14ac:dyDescent="0.3">
      <c r="A144" s="1">
        <v>46210.983449074076</v>
      </c>
      <c r="B144" t="s">
        <v>40</v>
      </c>
      <c r="C144" t="s">
        <v>41</v>
      </c>
      <c r="D144" s="1">
        <v>46210.986631944441</v>
      </c>
      <c r="E144" t="s">
        <v>42</v>
      </c>
      <c r="F144" t="s">
        <v>43</v>
      </c>
      <c r="G144" t="s">
        <v>43</v>
      </c>
      <c r="H144" t="s">
        <v>43</v>
      </c>
      <c r="I144" t="s">
        <v>128</v>
      </c>
      <c r="J144" t="s">
        <v>43</v>
      </c>
      <c r="K144" t="s">
        <v>43</v>
      </c>
      <c r="L144" t="s">
        <v>43</v>
      </c>
      <c r="M144" t="s">
        <v>43</v>
      </c>
      <c r="N144" t="s">
        <v>45</v>
      </c>
      <c r="O144" t="s">
        <v>43</v>
      </c>
      <c r="P144" t="s">
        <v>43</v>
      </c>
      <c r="Q144" t="s">
        <v>43</v>
      </c>
      <c r="R144" t="s">
        <v>43</v>
      </c>
      <c r="S144" t="s">
        <v>43</v>
      </c>
      <c r="T144" t="s">
        <v>43</v>
      </c>
      <c r="U144" t="s">
        <v>43</v>
      </c>
      <c r="V144" t="s">
        <v>43</v>
      </c>
      <c r="W144" t="s">
        <v>43</v>
      </c>
      <c r="X144" t="s">
        <v>43</v>
      </c>
      <c r="Y144" t="s">
        <v>43</v>
      </c>
      <c r="Z144" t="s">
        <v>43</v>
      </c>
      <c r="AA144" t="s">
        <v>43</v>
      </c>
      <c r="AB144" t="s">
        <v>43</v>
      </c>
      <c r="AC144" t="s">
        <v>43</v>
      </c>
      <c r="AD144" t="s">
        <v>43</v>
      </c>
      <c r="AE144" t="s">
        <v>43</v>
      </c>
      <c r="AF144" t="s">
        <v>43</v>
      </c>
      <c r="AG144" t="s">
        <v>43</v>
      </c>
      <c r="AH144" t="s">
        <v>43</v>
      </c>
      <c r="AI144" t="s">
        <v>43</v>
      </c>
      <c r="AJ144" t="s">
        <v>43</v>
      </c>
      <c r="AK144" t="s">
        <v>43</v>
      </c>
      <c r="AL144" t="s">
        <v>43</v>
      </c>
      <c r="AM144" t="s">
        <v>43</v>
      </c>
      <c r="AN144" t="str">
        <f>HYPERLINK("https://www.google.com/maps?q=11.05476284,79.06097412","Open Location")</f>
        <v>Open Location</v>
      </c>
    </row>
    <row r="145" spans="1:40" x14ac:dyDescent="0.3">
      <c r="A145" s="1">
        <v>46210.98333333333</v>
      </c>
      <c r="B145" t="s">
        <v>40</v>
      </c>
      <c r="C145" t="s">
        <v>41</v>
      </c>
      <c r="D145" s="1">
        <v>46210.986261574071</v>
      </c>
      <c r="E145" t="s">
        <v>42</v>
      </c>
      <c r="F145" t="s">
        <v>43</v>
      </c>
      <c r="G145" t="s">
        <v>43</v>
      </c>
      <c r="H145" t="s">
        <v>43</v>
      </c>
      <c r="I145" t="s">
        <v>118</v>
      </c>
      <c r="J145" t="s">
        <v>43</v>
      </c>
      <c r="K145" t="s">
        <v>43</v>
      </c>
      <c r="L145" t="s">
        <v>43</v>
      </c>
      <c r="M145" t="s">
        <v>43</v>
      </c>
      <c r="N145" t="s">
        <v>45</v>
      </c>
      <c r="O145" t="s">
        <v>43</v>
      </c>
      <c r="P145" t="s">
        <v>43</v>
      </c>
      <c r="Q145" t="s">
        <v>43</v>
      </c>
      <c r="R145" t="s">
        <v>43</v>
      </c>
      <c r="S145" t="s">
        <v>43</v>
      </c>
      <c r="T145" t="s">
        <v>43</v>
      </c>
      <c r="U145" t="s">
        <v>43</v>
      </c>
      <c r="V145" t="s">
        <v>43</v>
      </c>
      <c r="W145" t="s">
        <v>43</v>
      </c>
      <c r="X145" t="s">
        <v>43</v>
      </c>
      <c r="Y145" t="s">
        <v>43</v>
      </c>
      <c r="Z145" t="s">
        <v>43</v>
      </c>
      <c r="AA145" t="s">
        <v>43</v>
      </c>
      <c r="AB145" t="s">
        <v>43</v>
      </c>
      <c r="AC145" t="s">
        <v>43</v>
      </c>
      <c r="AD145" t="s">
        <v>43</v>
      </c>
      <c r="AE145" t="s">
        <v>43</v>
      </c>
      <c r="AF145" t="s">
        <v>43</v>
      </c>
      <c r="AG145" t="s">
        <v>43</v>
      </c>
      <c r="AH145" t="s">
        <v>43</v>
      </c>
      <c r="AI145" t="s">
        <v>43</v>
      </c>
      <c r="AJ145" t="s">
        <v>43</v>
      </c>
      <c r="AK145" t="s">
        <v>43</v>
      </c>
      <c r="AL145" t="s">
        <v>43</v>
      </c>
      <c r="AM145" t="s">
        <v>43</v>
      </c>
      <c r="AN145" t="str">
        <f>HYPERLINK("https://www.google.com/maps?q=11.05475807,79.06096649","Open Location")</f>
        <v>Open Location</v>
      </c>
    </row>
    <row r="146" spans="1:40" x14ac:dyDescent="0.3">
      <c r="A146" s="1">
        <v>46210.983217592591</v>
      </c>
      <c r="B146" t="s">
        <v>40</v>
      </c>
      <c r="C146" t="s">
        <v>41</v>
      </c>
      <c r="D146" s="1">
        <v>46210.986168981479</v>
      </c>
      <c r="E146" t="s">
        <v>42</v>
      </c>
      <c r="F146" t="s">
        <v>43</v>
      </c>
      <c r="G146" t="s">
        <v>43</v>
      </c>
      <c r="H146" t="s">
        <v>43</v>
      </c>
      <c r="I146" t="s">
        <v>95</v>
      </c>
      <c r="J146" t="s">
        <v>43</v>
      </c>
      <c r="K146" t="s">
        <v>43</v>
      </c>
      <c r="L146" t="s">
        <v>43</v>
      </c>
      <c r="M146" t="s">
        <v>43</v>
      </c>
      <c r="N146" t="s">
        <v>45</v>
      </c>
      <c r="O146" t="s">
        <v>43</v>
      </c>
      <c r="P146" t="s">
        <v>43</v>
      </c>
      <c r="Q146" t="s">
        <v>43</v>
      </c>
      <c r="R146" t="s">
        <v>43</v>
      </c>
      <c r="S146" t="s">
        <v>43</v>
      </c>
      <c r="T146" t="s">
        <v>43</v>
      </c>
      <c r="U146" t="s">
        <v>43</v>
      </c>
      <c r="V146" t="s">
        <v>43</v>
      </c>
      <c r="W146" t="s">
        <v>43</v>
      </c>
      <c r="X146" t="s">
        <v>43</v>
      </c>
      <c r="Y146" t="s">
        <v>43</v>
      </c>
      <c r="Z146" t="s">
        <v>43</v>
      </c>
      <c r="AA146" t="s">
        <v>43</v>
      </c>
      <c r="AB146" t="s">
        <v>43</v>
      </c>
      <c r="AC146" t="s">
        <v>43</v>
      </c>
      <c r="AD146" t="s">
        <v>43</v>
      </c>
      <c r="AE146" t="s">
        <v>43</v>
      </c>
      <c r="AF146" t="s">
        <v>43</v>
      </c>
      <c r="AG146" t="s">
        <v>43</v>
      </c>
      <c r="AH146" t="s">
        <v>43</v>
      </c>
      <c r="AI146" t="s">
        <v>43</v>
      </c>
      <c r="AJ146" t="s">
        <v>43</v>
      </c>
      <c r="AK146" t="s">
        <v>43</v>
      </c>
      <c r="AL146" t="s">
        <v>43</v>
      </c>
      <c r="AM146" t="s">
        <v>43</v>
      </c>
      <c r="AN146" t="str">
        <f>HYPERLINK("https://www.google.com/maps?q=11.05476093,79.06096649","Open Location")</f>
        <v>Open Location</v>
      </c>
    </row>
    <row r="147" spans="1:40" x14ac:dyDescent="0.3">
      <c r="A147" s="1">
        <v>46210.983101851853</v>
      </c>
      <c r="B147" t="s">
        <v>40</v>
      </c>
      <c r="C147" t="s">
        <v>41</v>
      </c>
      <c r="D147" s="1">
        <v>46210.98578703704</v>
      </c>
      <c r="E147" t="s">
        <v>42</v>
      </c>
      <c r="F147" t="s">
        <v>43</v>
      </c>
      <c r="G147" t="s">
        <v>43</v>
      </c>
      <c r="H147" t="s">
        <v>43</v>
      </c>
      <c r="I147" t="s">
        <v>43</v>
      </c>
      <c r="J147" t="s">
        <v>43</v>
      </c>
      <c r="K147" t="s">
        <v>43</v>
      </c>
      <c r="L147" t="s">
        <v>43</v>
      </c>
      <c r="M147" t="s">
        <v>43</v>
      </c>
      <c r="N147" t="s">
        <v>45</v>
      </c>
      <c r="O147" t="s">
        <v>43</v>
      </c>
      <c r="P147" t="s">
        <v>43</v>
      </c>
      <c r="Q147" t="s">
        <v>43</v>
      </c>
      <c r="R147" t="s">
        <v>43</v>
      </c>
      <c r="S147" t="s">
        <v>43</v>
      </c>
      <c r="T147" t="s">
        <v>43</v>
      </c>
      <c r="U147" t="s">
        <v>43</v>
      </c>
      <c r="V147" t="s">
        <v>43</v>
      </c>
      <c r="W147" t="s">
        <v>43</v>
      </c>
      <c r="X147" t="s">
        <v>43</v>
      </c>
      <c r="Y147" t="s">
        <v>43</v>
      </c>
      <c r="Z147" t="s">
        <v>43</v>
      </c>
      <c r="AA147" t="s">
        <v>43</v>
      </c>
      <c r="AB147" t="s">
        <v>43</v>
      </c>
      <c r="AC147" t="s">
        <v>43</v>
      </c>
      <c r="AD147" t="s">
        <v>43</v>
      </c>
      <c r="AE147" t="s">
        <v>43</v>
      </c>
      <c r="AF147" t="s">
        <v>43</v>
      </c>
      <c r="AG147" t="s">
        <v>43</v>
      </c>
      <c r="AH147" t="s">
        <v>43</v>
      </c>
      <c r="AI147" t="s">
        <v>43</v>
      </c>
      <c r="AJ147" t="s">
        <v>43</v>
      </c>
      <c r="AK147" t="s">
        <v>43</v>
      </c>
      <c r="AL147" t="s">
        <v>43</v>
      </c>
      <c r="AM147" t="s">
        <v>43</v>
      </c>
      <c r="AN147" t="s">
        <v>43</v>
      </c>
    </row>
    <row r="148" spans="1:40" x14ac:dyDescent="0.3">
      <c r="A148" s="1">
        <v>46210.982986111114</v>
      </c>
      <c r="B148" t="s">
        <v>40</v>
      </c>
      <c r="C148" t="s">
        <v>41</v>
      </c>
      <c r="D148" s="1">
        <v>46210.985717592594</v>
      </c>
      <c r="E148" t="s">
        <v>42</v>
      </c>
      <c r="F148" t="s">
        <v>43</v>
      </c>
      <c r="G148" t="s">
        <v>43</v>
      </c>
      <c r="H148" t="s">
        <v>43</v>
      </c>
      <c r="I148" t="s">
        <v>129</v>
      </c>
      <c r="J148" t="s">
        <v>43</v>
      </c>
      <c r="K148" t="s">
        <v>43</v>
      </c>
      <c r="L148" t="s">
        <v>43</v>
      </c>
      <c r="M148" t="s">
        <v>43</v>
      </c>
      <c r="N148" t="s">
        <v>45</v>
      </c>
      <c r="O148" t="s">
        <v>43</v>
      </c>
      <c r="P148" t="s">
        <v>43</v>
      </c>
      <c r="Q148" t="s">
        <v>43</v>
      </c>
      <c r="R148" t="s">
        <v>43</v>
      </c>
      <c r="S148" t="s">
        <v>43</v>
      </c>
      <c r="T148" t="s">
        <v>43</v>
      </c>
      <c r="U148" t="s">
        <v>43</v>
      </c>
      <c r="V148" t="s">
        <v>43</v>
      </c>
      <c r="W148" t="s">
        <v>43</v>
      </c>
      <c r="X148" t="s">
        <v>43</v>
      </c>
      <c r="Y148" t="s">
        <v>43</v>
      </c>
      <c r="Z148" t="s">
        <v>43</v>
      </c>
      <c r="AA148" t="s">
        <v>43</v>
      </c>
      <c r="AB148" t="s">
        <v>43</v>
      </c>
      <c r="AC148" t="s">
        <v>43</v>
      </c>
      <c r="AD148" t="s">
        <v>43</v>
      </c>
      <c r="AE148" t="s">
        <v>43</v>
      </c>
      <c r="AF148" t="s">
        <v>43</v>
      </c>
      <c r="AG148" t="s">
        <v>43</v>
      </c>
      <c r="AH148" t="s">
        <v>43</v>
      </c>
      <c r="AI148" t="s">
        <v>43</v>
      </c>
      <c r="AJ148" t="s">
        <v>43</v>
      </c>
      <c r="AK148" t="s">
        <v>43</v>
      </c>
      <c r="AL148" t="s">
        <v>43</v>
      </c>
      <c r="AM148" t="s">
        <v>43</v>
      </c>
      <c r="AN148" t="str">
        <f>HYPERLINK("https://www.google.com/maps?q=11.05475998,79.06096649","Open Location")</f>
        <v>Open Location</v>
      </c>
    </row>
    <row r="149" spans="1:40" x14ac:dyDescent="0.3">
      <c r="A149" s="1">
        <v>46210.982870370368</v>
      </c>
      <c r="B149" t="s">
        <v>40</v>
      </c>
      <c r="C149" t="s">
        <v>41</v>
      </c>
      <c r="D149" s="1">
        <v>46210.985833333332</v>
      </c>
      <c r="E149" t="s">
        <v>42</v>
      </c>
      <c r="F149" t="s">
        <v>43</v>
      </c>
      <c r="G149" t="s">
        <v>43</v>
      </c>
      <c r="H149" t="s">
        <v>43</v>
      </c>
      <c r="I149" t="s">
        <v>120</v>
      </c>
      <c r="J149" t="s">
        <v>43</v>
      </c>
      <c r="K149" t="s">
        <v>43</v>
      </c>
      <c r="L149" t="s">
        <v>43</v>
      </c>
      <c r="M149" t="s">
        <v>43</v>
      </c>
      <c r="N149" t="s">
        <v>45</v>
      </c>
      <c r="O149" t="s">
        <v>43</v>
      </c>
      <c r="P149" t="s">
        <v>43</v>
      </c>
      <c r="Q149" t="s">
        <v>43</v>
      </c>
      <c r="R149" t="s">
        <v>43</v>
      </c>
      <c r="S149" t="s">
        <v>43</v>
      </c>
      <c r="T149" t="s">
        <v>43</v>
      </c>
      <c r="U149" t="s">
        <v>43</v>
      </c>
      <c r="V149" t="s">
        <v>43</v>
      </c>
      <c r="W149" t="s">
        <v>43</v>
      </c>
      <c r="X149" t="s">
        <v>43</v>
      </c>
      <c r="Y149" t="s">
        <v>43</v>
      </c>
      <c r="Z149" t="s">
        <v>43</v>
      </c>
      <c r="AA149" t="s">
        <v>43</v>
      </c>
      <c r="AB149" t="s">
        <v>43</v>
      </c>
      <c r="AC149" t="s">
        <v>43</v>
      </c>
      <c r="AD149" t="s">
        <v>43</v>
      </c>
      <c r="AE149" t="s">
        <v>43</v>
      </c>
      <c r="AF149" t="s">
        <v>43</v>
      </c>
      <c r="AG149" t="s">
        <v>43</v>
      </c>
      <c r="AH149" t="s">
        <v>43</v>
      </c>
      <c r="AI149" t="s">
        <v>43</v>
      </c>
      <c r="AJ149" t="s">
        <v>43</v>
      </c>
      <c r="AK149" t="s">
        <v>43</v>
      </c>
      <c r="AL149" t="s">
        <v>43</v>
      </c>
      <c r="AM149" t="s">
        <v>43</v>
      </c>
      <c r="AN149" t="str">
        <f>HYPERLINK("https://www.google.com/maps?q=11.05476379,79.06096649","Open Location")</f>
        <v>Open Location</v>
      </c>
    </row>
    <row r="150" spans="1:40" x14ac:dyDescent="0.3">
      <c r="A150" s="1">
        <v>46210.982754629629</v>
      </c>
      <c r="B150" t="s">
        <v>40</v>
      </c>
      <c r="C150" t="s">
        <v>41</v>
      </c>
      <c r="D150" s="1">
        <v>46210.98578703704</v>
      </c>
      <c r="E150" t="s">
        <v>42</v>
      </c>
      <c r="F150" t="s">
        <v>43</v>
      </c>
      <c r="G150" t="s">
        <v>43</v>
      </c>
      <c r="H150" t="s">
        <v>43</v>
      </c>
      <c r="I150" t="s">
        <v>130</v>
      </c>
      <c r="J150" t="s">
        <v>43</v>
      </c>
      <c r="K150" t="s">
        <v>43</v>
      </c>
      <c r="L150" t="s">
        <v>43</v>
      </c>
      <c r="M150" t="s">
        <v>43</v>
      </c>
      <c r="N150" t="s">
        <v>45</v>
      </c>
      <c r="O150" t="s">
        <v>43</v>
      </c>
      <c r="P150" t="s">
        <v>43</v>
      </c>
      <c r="Q150" t="s">
        <v>43</v>
      </c>
      <c r="R150" t="s">
        <v>43</v>
      </c>
      <c r="S150" t="s">
        <v>43</v>
      </c>
      <c r="T150" t="s">
        <v>43</v>
      </c>
      <c r="U150" t="s">
        <v>43</v>
      </c>
      <c r="V150" t="s">
        <v>43</v>
      </c>
      <c r="W150" t="s">
        <v>43</v>
      </c>
      <c r="X150" t="s">
        <v>43</v>
      </c>
      <c r="Y150" t="s">
        <v>43</v>
      </c>
      <c r="Z150" t="s">
        <v>43</v>
      </c>
      <c r="AA150" t="s">
        <v>43</v>
      </c>
      <c r="AB150" t="s">
        <v>43</v>
      </c>
      <c r="AC150" t="s">
        <v>43</v>
      </c>
      <c r="AD150" t="s">
        <v>43</v>
      </c>
      <c r="AE150" t="s">
        <v>43</v>
      </c>
      <c r="AF150" t="s">
        <v>43</v>
      </c>
      <c r="AG150" t="s">
        <v>43</v>
      </c>
      <c r="AH150" t="s">
        <v>43</v>
      </c>
      <c r="AI150" t="s">
        <v>43</v>
      </c>
      <c r="AJ150" t="s">
        <v>43</v>
      </c>
      <c r="AK150" t="s">
        <v>43</v>
      </c>
      <c r="AL150" t="s">
        <v>43</v>
      </c>
      <c r="AM150" t="s">
        <v>43</v>
      </c>
      <c r="AN150" t="str">
        <f>HYPERLINK("https://www.google.com/maps?q=11.05476475,79.06096649","Open Location")</f>
        <v>Open Location</v>
      </c>
    </row>
    <row r="151" spans="1:40" x14ac:dyDescent="0.3">
      <c r="A151" s="1">
        <v>46210.982638888891</v>
      </c>
      <c r="B151" t="s">
        <v>40</v>
      </c>
      <c r="C151" t="s">
        <v>41</v>
      </c>
      <c r="D151" s="1">
        <v>46210.985254629632</v>
      </c>
      <c r="E151" t="s">
        <v>42</v>
      </c>
      <c r="F151" t="s">
        <v>43</v>
      </c>
      <c r="G151" t="s">
        <v>43</v>
      </c>
      <c r="H151" t="s">
        <v>43</v>
      </c>
      <c r="I151" t="s">
        <v>131</v>
      </c>
      <c r="J151" t="s">
        <v>43</v>
      </c>
      <c r="K151" t="s">
        <v>43</v>
      </c>
      <c r="L151" t="s">
        <v>43</v>
      </c>
      <c r="M151" t="s">
        <v>43</v>
      </c>
      <c r="N151" t="s">
        <v>45</v>
      </c>
      <c r="O151" t="s">
        <v>43</v>
      </c>
      <c r="P151" t="s">
        <v>43</v>
      </c>
      <c r="Q151" t="s">
        <v>43</v>
      </c>
      <c r="R151" t="s">
        <v>43</v>
      </c>
      <c r="S151" t="s">
        <v>43</v>
      </c>
      <c r="T151" t="s">
        <v>43</v>
      </c>
      <c r="U151" t="s">
        <v>43</v>
      </c>
      <c r="V151" t="s">
        <v>43</v>
      </c>
      <c r="W151" t="s">
        <v>43</v>
      </c>
      <c r="X151" t="s">
        <v>43</v>
      </c>
      <c r="Y151" t="s">
        <v>43</v>
      </c>
      <c r="Z151" t="s">
        <v>43</v>
      </c>
      <c r="AA151" t="s">
        <v>43</v>
      </c>
      <c r="AB151" t="s">
        <v>43</v>
      </c>
      <c r="AC151" t="s">
        <v>43</v>
      </c>
      <c r="AD151" t="s">
        <v>43</v>
      </c>
      <c r="AE151" t="s">
        <v>43</v>
      </c>
      <c r="AF151" t="s">
        <v>43</v>
      </c>
      <c r="AG151" t="s">
        <v>43</v>
      </c>
      <c r="AH151" t="s">
        <v>43</v>
      </c>
      <c r="AI151" t="s">
        <v>43</v>
      </c>
      <c r="AJ151" t="s">
        <v>43</v>
      </c>
      <c r="AK151" t="s">
        <v>43</v>
      </c>
      <c r="AL151" t="s">
        <v>43</v>
      </c>
      <c r="AM151" t="s">
        <v>43</v>
      </c>
      <c r="AN151" t="str">
        <f>HYPERLINK("https://www.google.com/maps?q=11.05476189,79.06095886","Open Location")</f>
        <v>Open Location</v>
      </c>
    </row>
    <row r="152" spans="1:40" x14ac:dyDescent="0.3">
      <c r="A152" s="1">
        <v>46210.982523148145</v>
      </c>
      <c r="B152" t="s">
        <v>40</v>
      </c>
      <c r="C152" t="s">
        <v>41</v>
      </c>
      <c r="D152" s="1">
        <v>46210.985266203701</v>
      </c>
      <c r="E152" t="s">
        <v>42</v>
      </c>
      <c r="F152" t="s">
        <v>43</v>
      </c>
      <c r="G152" t="s">
        <v>43</v>
      </c>
      <c r="H152" t="s">
        <v>43</v>
      </c>
      <c r="I152" t="s">
        <v>129</v>
      </c>
      <c r="J152" t="s">
        <v>43</v>
      </c>
      <c r="K152" t="s">
        <v>43</v>
      </c>
      <c r="L152" t="s">
        <v>43</v>
      </c>
      <c r="M152" t="s">
        <v>43</v>
      </c>
      <c r="N152" t="s">
        <v>45</v>
      </c>
      <c r="O152" t="s">
        <v>43</v>
      </c>
      <c r="P152" t="s">
        <v>43</v>
      </c>
      <c r="Q152" t="s">
        <v>43</v>
      </c>
      <c r="R152" t="s">
        <v>43</v>
      </c>
      <c r="S152" t="s">
        <v>43</v>
      </c>
      <c r="T152" t="s">
        <v>43</v>
      </c>
      <c r="U152" t="s">
        <v>43</v>
      </c>
      <c r="V152" t="s">
        <v>43</v>
      </c>
      <c r="W152" t="s">
        <v>43</v>
      </c>
      <c r="X152" t="s">
        <v>43</v>
      </c>
      <c r="Y152" t="s">
        <v>43</v>
      </c>
      <c r="Z152" t="s">
        <v>43</v>
      </c>
      <c r="AA152" t="s">
        <v>43</v>
      </c>
      <c r="AB152" t="s">
        <v>43</v>
      </c>
      <c r="AC152" t="s">
        <v>43</v>
      </c>
      <c r="AD152" t="s">
        <v>43</v>
      </c>
      <c r="AE152" t="s">
        <v>43</v>
      </c>
      <c r="AF152" t="s">
        <v>43</v>
      </c>
      <c r="AG152" t="s">
        <v>43</v>
      </c>
      <c r="AH152" t="s">
        <v>43</v>
      </c>
      <c r="AI152" t="s">
        <v>43</v>
      </c>
      <c r="AJ152" t="s">
        <v>43</v>
      </c>
      <c r="AK152" t="s">
        <v>43</v>
      </c>
      <c r="AL152" t="s">
        <v>43</v>
      </c>
      <c r="AM152" t="s">
        <v>43</v>
      </c>
      <c r="AN152" t="str">
        <f>HYPERLINK("https://www.google.com/maps?q=11.05475998,79.06096649","Open Location")</f>
        <v>Open Location</v>
      </c>
    </row>
    <row r="153" spans="1:40" x14ac:dyDescent="0.3">
      <c r="A153" s="1">
        <v>46210.982407407406</v>
      </c>
      <c r="B153" t="s">
        <v>40</v>
      </c>
      <c r="C153" t="s">
        <v>41</v>
      </c>
      <c r="D153" s="1">
        <v>46210.985011574077</v>
      </c>
      <c r="E153" t="s">
        <v>42</v>
      </c>
      <c r="F153" t="s">
        <v>43</v>
      </c>
      <c r="G153" t="s">
        <v>43</v>
      </c>
      <c r="H153" t="s">
        <v>43</v>
      </c>
      <c r="I153" t="s">
        <v>43</v>
      </c>
      <c r="J153" t="s">
        <v>43</v>
      </c>
      <c r="K153" t="s">
        <v>43</v>
      </c>
      <c r="L153" t="s">
        <v>43</v>
      </c>
      <c r="M153" t="s">
        <v>43</v>
      </c>
      <c r="N153" t="s">
        <v>45</v>
      </c>
      <c r="O153" t="s">
        <v>43</v>
      </c>
      <c r="P153" t="s">
        <v>43</v>
      </c>
      <c r="Q153" t="s">
        <v>43</v>
      </c>
      <c r="R153" t="s">
        <v>43</v>
      </c>
      <c r="S153" t="s">
        <v>43</v>
      </c>
      <c r="T153" t="s">
        <v>43</v>
      </c>
      <c r="U153" t="s">
        <v>43</v>
      </c>
      <c r="V153" t="s">
        <v>43</v>
      </c>
      <c r="W153" t="s">
        <v>43</v>
      </c>
      <c r="X153" t="s">
        <v>43</v>
      </c>
      <c r="Y153" t="s">
        <v>43</v>
      </c>
      <c r="Z153" t="s">
        <v>43</v>
      </c>
      <c r="AA153" t="s">
        <v>43</v>
      </c>
      <c r="AB153" t="s">
        <v>43</v>
      </c>
      <c r="AC153" t="s">
        <v>43</v>
      </c>
      <c r="AD153" t="s">
        <v>43</v>
      </c>
      <c r="AE153" t="s">
        <v>43</v>
      </c>
      <c r="AF153" t="s">
        <v>43</v>
      </c>
      <c r="AG153" t="s">
        <v>43</v>
      </c>
      <c r="AH153" t="s">
        <v>43</v>
      </c>
      <c r="AI153" t="s">
        <v>43</v>
      </c>
      <c r="AJ153" t="s">
        <v>43</v>
      </c>
      <c r="AK153" t="s">
        <v>43</v>
      </c>
      <c r="AL153" t="s">
        <v>43</v>
      </c>
      <c r="AM153" t="s">
        <v>43</v>
      </c>
      <c r="AN153" t="s">
        <v>43</v>
      </c>
    </row>
    <row r="154" spans="1:40" x14ac:dyDescent="0.3">
      <c r="A154" s="1">
        <v>46210.982291666667</v>
      </c>
      <c r="B154" t="s">
        <v>40</v>
      </c>
      <c r="C154" t="s">
        <v>41</v>
      </c>
      <c r="D154" s="1">
        <v>46210.985023148147</v>
      </c>
      <c r="E154" t="s">
        <v>42</v>
      </c>
      <c r="F154" t="s">
        <v>43</v>
      </c>
      <c r="G154" t="s">
        <v>43</v>
      </c>
      <c r="H154" t="s">
        <v>43</v>
      </c>
      <c r="I154" t="s">
        <v>132</v>
      </c>
      <c r="J154" t="s">
        <v>43</v>
      </c>
      <c r="K154" t="s">
        <v>43</v>
      </c>
      <c r="L154" t="s">
        <v>43</v>
      </c>
      <c r="M154" t="s">
        <v>43</v>
      </c>
      <c r="N154" t="s">
        <v>45</v>
      </c>
      <c r="O154" t="s">
        <v>43</v>
      </c>
      <c r="P154" t="s">
        <v>43</v>
      </c>
      <c r="Q154" t="s">
        <v>43</v>
      </c>
      <c r="R154" t="s">
        <v>43</v>
      </c>
      <c r="S154" t="s">
        <v>43</v>
      </c>
      <c r="T154" t="s">
        <v>43</v>
      </c>
      <c r="U154" t="s">
        <v>43</v>
      </c>
      <c r="V154" t="s">
        <v>43</v>
      </c>
      <c r="W154" t="s">
        <v>43</v>
      </c>
      <c r="X154" t="s">
        <v>43</v>
      </c>
      <c r="Y154" t="s">
        <v>43</v>
      </c>
      <c r="Z154" t="s">
        <v>43</v>
      </c>
      <c r="AA154" t="s">
        <v>43</v>
      </c>
      <c r="AB154" t="s">
        <v>43</v>
      </c>
      <c r="AC154" t="s">
        <v>43</v>
      </c>
      <c r="AD154" t="s">
        <v>43</v>
      </c>
      <c r="AE154" t="s">
        <v>43</v>
      </c>
      <c r="AF154" t="s">
        <v>43</v>
      </c>
      <c r="AG154" t="s">
        <v>43</v>
      </c>
      <c r="AH154" t="s">
        <v>43</v>
      </c>
      <c r="AI154" t="s">
        <v>43</v>
      </c>
      <c r="AJ154" t="s">
        <v>43</v>
      </c>
      <c r="AK154" t="s">
        <v>43</v>
      </c>
      <c r="AL154" t="s">
        <v>43</v>
      </c>
      <c r="AM154" t="s">
        <v>43</v>
      </c>
      <c r="AN154" t="str">
        <f>HYPERLINK("https://www.google.com/maps?q=11.05475712,79.06096649","Open Location")</f>
        <v>Open Location</v>
      </c>
    </row>
    <row r="155" spans="1:40" x14ac:dyDescent="0.3">
      <c r="A155" s="1">
        <v>46210.982175925928</v>
      </c>
      <c r="B155" t="s">
        <v>40</v>
      </c>
      <c r="C155" t="s">
        <v>41</v>
      </c>
      <c r="D155" s="1">
        <v>46210.984988425924</v>
      </c>
      <c r="E155" t="s">
        <v>42</v>
      </c>
      <c r="F155" t="s">
        <v>43</v>
      </c>
      <c r="G155" t="s">
        <v>43</v>
      </c>
      <c r="H155" t="s">
        <v>43</v>
      </c>
      <c r="I155" t="s">
        <v>133</v>
      </c>
      <c r="J155" t="s">
        <v>43</v>
      </c>
      <c r="K155" t="s">
        <v>43</v>
      </c>
      <c r="L155" t="s">
        <v>43</v>
      </c>
      <c r="M155" t="s">
        <v>43</v>
      </c>
      <c r="N155" t="s">
        <v>45</v>
      </c>
      <c r="O155" t="s">
        <v>43</v>
      </c>
      <c r="P155" t="s">
        <v>43</v>
      </c>
      <c r="Q155" t="s">
        <v>43</v>
      </c>
      <c r="R155" t="s">
        <v>43</v>
      </c>
      <c r="S155" t="s">
        <v>43</v>
      </c>
      <c r="T155" t="s">
        <v>43</v>
      </c>
      <c r="U155" t="s">
        <v>43</v>
      </c>
      <c r="V155" t="s">
        <v>43</v>
      </c>
      <c r="W155" t="s">
        <v>43</v>
      </c>
      <c r="X155" t="s">
        <v>43</v>
      </c>
      <c r="Y155" t="s">
        <v>43</v>
      </c>
      <c r="Z155" t="s">
        <v>43</v>
      </c>
      <c r="AA155" t="s">
        <v>43</v>
      </c>
      <c r="AB155" t="s">
        <v>43</v>
      </c>
      <c r="AC155" t="s">
        <v>43</v>
      </c>
      <c r="AD155" t="s">
        <v>43</v>
      </c>
      <c r="AE155" t="s">
        <v>43</v>
      </c>
      <c r="AF155" t="s">
        <v>43</v>
      </c>
      <c r="AG155" t="s">
        <v>43</v>
      </c>
      <c r="AH155" t="s">
        <v>43</v>
      </c>
      <c r="AI155" t="s">
        <v>43</v>
      </c>
      <c r="AJ155" t="s">
        <v>43</v>
      </c>
      <c r="AK155" t="s">
        <v>43</v>
      </c>
      <c r="AL155" t="s">
        <v>43</v>
      </c>
      <c r="AM155" t="s">
        <v>43</v>
      </c>
      <c r="AN155" t="str">
        <f>HYPERLINK("https://www.google.com/maps?q=11.05475521,79.06095886","Open Location")</f>
        <v>Open Location</v>
      </c>
    </row>
    <row r="156" spans="1:40" x14ac:dyDescent="0.3">
      <c r="A156" s="1">
        <v>46210.982060185182</v>
      </c>
      <c r="B156" t="s">
        <v>40</v>
      </c>
      <c r="C156" t="s">
        <v>41</v>
      </c>
      <c r="D156" s="1">
        <v>46210.984907407408</v>
      </c>
      <c r="E156" t="s">
        <v>42</v>
      </c>
      <c r="F156" t="s">
        <v>43</v>
      </c>
      <c r="G156" t="s">
        <v>43</v>
      </c>
      <c r="H156" t="s">
        <v>43</v>
      </c>
      <c r="I156" t="s">
        <v>134</v>
      </c>
      <c r="J156" t="s">
        <v>43</v>
      </c>
      <c r="K156" t="s">
        <v>43</v>
      </c>
      <c r="L156" t="s">
        <v>43</v>
      </c>
      <c r="M156" t="s">
        <v>43</v>
      </c>
      <c r="N156" t="s">
        <v>45</v>
      </c>
      <c r="O156" t="s">
        <v>43</v>
      </c>
      <c r="P156" t="s">
        <v>43</v>
      </c>
      <c r="Q156" t="s">
        <v>43</v>
      </c>
      <c r="R156" t="s">
        <v>43</v>
      </c>
      <c r="S156" t="s">
        <v>43</v>
      </c>
      <c r="T156" t="s">
        <v>43</v>
      </c>
      <c r="U156" t="s">
        <v>43</v>
      </c>
      <c r="V156" t="s">
        <v>43</v>
      </c>
      <c r="W156" t="s">
        <v>43</v>
      </c>
      <c r="X156" t="s">
        <v>43</v>
      </c>
      <c r="Y156" t="s">
        <v>43</v>
      </c>
      <c r="Z156" t="s">
        <v>43</v>
      </c>
      <c r="AA156" t="s">
        <v>43</v>
      </c>
      <c r="AB156" t="s">
        <v>43</v>
      </c>
      <c r="AC156" t="s">
        <v>43</v>
      </c>
      <c r="AD156" t="s">
        <v>43</v>
      </c>
      <c r="AE156" t="s">
        <v>43</v>
      </c>
      <c r="AF156" t="s">
        <v>43</v>
      </c>
      <c r="AG156" t="s">
        <v>43</v>
      </c>
      <c r="AH156" t="s">
        <v>43</v>
      </c>
      <c r="AI156" t="s">
        <v>43</v>
      </c>
      <c r="AJ156" t="s">
        <v>43</v>
      </c>
      <c r="AK156" t="s">
        <v>43</v>
      </c>
      <c r="AL156" t="s">
        <v>43</v>
      </c>
      <c r="AM156" t="s">
        <v>43</v>
      </c>
      <c r="AN156" t="str">
        <f>HYPERLINK("https://www.google.com/maps?q=11.05475426,79.06095886","Open Location")</f>
        <v>Open Location</v>
      </c>
    </row>
    <row r="157" spans="1:40" x14ac:dyDescent="0.3">
      <c r="A157" s="1">
        <v>46210.981944444444</v>
      </c>
      <c r="B157" t="s">
        <v>40</v>
      </c>
      <c r="C157" t="s">
        <v>41</v>
      </c>
      <c r="D157" s="1">
        <v>46210.984652777777</v>
      </c>
      <c r="E157" t="s">
        <v>42</v>
      </c>
      <c r="F157" t="s">
        <v>43</v>
      </c>
      <c r="G157" t="s">
        <v>43</v>
      </c>
      <c r="H157" t="s">
        <v>43</v>
      </c>
      <c r="I157" t="s">
        <v>135</v>
      </c>
      <c r="J157" t="s">
        <v>43</v>
      </c>
      <c r="K157" t="s">
        <v>43</v>
      </c>
      <c r="L157" t="s">
        <v>43</v>
      </c>
      <c r="M157" t="s">
        <v>43</v>
      </c>
      <c r="N157" t="s">
        <v>45</v>
      </c>
      <c r="O157" t="s">
        <v>43</v>
      </c>
      <c r="P157" t="s">
        <v>43</v>
      </c>
      <c r="Q157" t="s">
        <v>43</v>
      </c>
      <c r="R157" t="s">
        <v>43</v>
      </c>
      <c r="S157" t="s">
        <v>43</v>
      </c>
      <c r="T157" t="s">
        <v>43</v>
      </c>
      <c r="U157" t="s">
        <v>43</v>
      </c>
      <c r="V157" t="s">
        <v>43</v>
      </c>
      <c r="W157" t="s">
        <v>43</v>
      </c>
      <c r="X157" t="s">
        <v>43</v>
      </c>
      <c r="Y157" t="s">
        <v>43</v>
      </c>
      <c r="Z157" t="s">
        <v>43</v>
      </c>
      <c r="AA157" t="s">
        <v>43</v>
      </c>
      <c r="AB157" t="s">
        <v>43</v>
      </c>
      <c r="AC157" t="s">
        <v>43</v>
      </c>
      <c r="AD157" t="s">
        <v>43</v>
      </c>
      <c r="AE157" t="s">
        <v>43</v>
      </c>
      <c r="AF157" t="s">
        <v>43</v>
      </c>
      <c r="AG157" t="s">
        <v>43</v>
      </c>
      <c r="AH157" t="s">
        <v>43</v>
      </c>
      <c r="AI157" t="s">
        <v>43</v>
      </c>
      <c r="AJ157" t="s">
        <v>43</v>
      </c>
      <c r="AK157" t="s">
        <v>43</v>
      </c>
      <c r="AL157" t="s">
        <v>43</v>
      </c>
      <c r="AM157" t="s">
        <v>43</v>
      </c>
      <c r="AN157" t="str">
        <f>HYPERLINK("https://www.google.com/maps?q=11.05475616,79.06095886","Open Location")</f>
        <v>Open Location</v>
      </c>
    </row>
    <row r="158" spans="1:40" x14ac:dyDescent="0.3">
      <c r="A158" s="1">
        <v>46210.981828703705</v>
      </c>
      <c r="B158" t="s">
        <v>40</v>
      </c>
      <c r="C158" t="s">
        <v>41</v>
      </c>
      <c r="D158" s="1">
        <v>46210.984629629631</v>
      </c>
      <c r="E158" t="s">
        <v>42</v>
      </c>
      <c r="F158" t="s">
        <v>43</v>
      </c>
      <c r="G158" t="s">
        <v>43</v>
      </c>
      <c r="H158" t="s">
        <v>43</v>
      </c>
      <c r="I158" t="s">
        <v>136</v>
      </c>
      <c r="J158" t="s">
        <v>43</v>
      </c>
      <c r="K158" t="s">
        <v>43</v>
      </c>
      <c r="L158" t="s">
        <v>43</v>
      </c>
      <c r="M158" t="s">
        <v>43</v>
      </c>
      <c r="N158" t="s">
        <v>45</v>
      </c>
      <c r="O158" t="s">
        <v>43</v>
      </c>
      <c r="P158" t="s">
        <v>43</v>
      </c>
      <c r="Q158" t="s">
        <v>43</v>
      </c>
      <c r="R158" t="s">
        <v>43</v>
      </c>
      <c r="S158" t="s">
        <v>43</v>
      </c>
      <c r="T158" t="s">
        <v>43</v>
      </c>
      <c r="U158" t="s">
        <v>43</v>
      </c>
      <c r="V158" t="s">
        <v>43</v>
      </c>
      <c r="W158" t="s">
        <v>43</v>
      </c>
      <c r="X158" t="s">
        <v>43</v>
      </c>
      <c r="Y158" t="s">
        <v>43</v>
      </c>
      <c r="Z158" t="s">
        <v>43</v>
      </c>
      <c r="AA158" t="s">
        <v>43</v>
      </c>
      <c r="AB158" t="s">
        <v>43</v>
      </c>
      <c r="AC158" t="s">
        <v>43</v>
      </c>
      <c r="AD158" t="s">
        <v>43</v>
      </c>
      <c r="AE158" t="s">
        <v>43</v>
      </c>
      <c r="AF158" t="s">
        <v>43</v>
      </c>
      <c r="AG158" t="s">
        <v>43</v>
      </c>
      <c r="AH158" t="s">
        <v>43</v>
      </c>
      <c r="AI158" t="s">
        <v>43</v>
      </c>
      <c r="AJ158" t="s">
        <v>43</v>
      </c>
      <c r="AK158" t="s">
        <v>43</v>
      </c>
      <c r="AL158" t="s">
        <v>43</v>
      </c>
      <c r="AM158" t="s">
        <v>43</v>
      </c>
      <c r="AN158" t="str">
        <f>HYPERLINK("https://www.google.com/maps?q=11.0547533,79.06095886","Open Location")</f>
        <v>Open Location</v>
      </c>
    </row>
    <row r="159" spans="1:40" x14ac:dyDescent="0.3">
      <c r="A159" s="1">
        <v>46210.981712962966</v>
      </c>
      <c r="B159" t="s">
        <v>40</v>
      </c>
      <c r="C159" t="s">
        <v>41</v>
      </c>
      <c r="D159" s="1">
        <v>46210.984548611108</v>
      </c>
      <c r="E159" t="s">
        <v>42</v>
      </c>
      <c r="F159" t="s">
        <v>43</v>
      </c>
      <c r="G159" t="s">
        <v>43</v>
      </c>
      <c r="H159" t="s">
        <v>43</v>
      </c>
      <c r="I159" t="s">
        <v>43</v>
      </c>
      <c r="J159" t="s">
        <v>43</v>
      </c>
      <c r="K159" t="s">
        <v>43</v>
      </c>
      <c r="L159" t="s">
        <v>43</v>
      </c>
      <c r="M159" t="s">
        <v>43</v>
      </c>
      <c r="N159" t="s">
        <v>45</v>
      </c>
      <c r="O159" t="s">
        <v>43</v>
      </c>
      <c r="P159" t="s">
        <v>43</v>
      </c>
      <c r="Q159" t="s">
        <v>43</v>
      </c>
      <c r="R159" t="s">
        <v>43</v>
      </c>
      <c r="S159" t="s">
        <v>43</v>
      </c>
      <c r="T159" t="s">
        <v>43</v>
      </c>
      <c r="U159" t="s">
        <v>43</v>
      </c>
      <c r="V159" t="s">
        <v>43</v>
      </c>
      <c r="W159" t="s">
        <v>43</v>
      </c>
      <c r="X159" t="s">
        <v>43</v>
      </c>
      <c r="Y159" t="s">
        <v>43</v>
      </c>
      <c r="Z159" t="s">
        <v>43</v>
      </c>
      <c r="AA159" t="s">
        <v>43</v>
      </c>
      <c r="AB159" t="s">
        <v>43</v>
      </c>
      <c r="AC159" t="s">
        <v>43</v>
      </c>
      <c r="AD159" t="s">
        <v>43</v>
      </c>
      <c r="AE159" t="s">
        <v>43</v>
      </c>
      <c r="AF159" t="s">
        <v>43</v>
      </c>
      <c r="AG159" t="s">
        <v>43</v>
      </c>
      <c r="AH159" t="s">
        <v>43</v>
      </c>
      <c r="AI159" t="s">
        <v>43</v>
      </c>
      <c r="AJ159" t="s">
        <v>43</v>
      </c>
      <c r="AK159" t="s">
        <v>43</v>
      </c>
      <c r="AL159" t="s">
        <v>43</v>
      </c>
      <c r="AM159" t="s">
        <v>43</v>
      </c>
      <c r="AN159" t="s">
        <v>43</v>
      </c>
    </row>
    <row r="160" spans="1:40" x14ac:dyDescent="0.3">
      <c r="A160" s="1">
        <v>46210.98159722222</v>
      </c>
      <c r="B160" t="s">
        <v>40</v>
      </c>
      <c r="C160" t="s">
        <v>41</v>
      </c>
      <c r="D160" s="1">
        <v>46210.9843287037</v>
      </c>
      <c r="E160" t="s">
        <v>42</v>
      </c>
      <c r="F160" t="s">
        <v>43</v>
      </c>
      <c r="G160" t="s">
        <v>43</v>
      </c>
      <c r="H160" t="s">
        <v>43</v>
      </c>
      <c r="I160" t="s">
        <v>137</v>
      </c>
      <c r="J160" t="s">
        <v>43</v>
      </c>
      <c r="K160" t="s">
        <v>43</v>
      </c>
      <c r="L160" t="s">
        <v>43</v>
      </c>
      <c r="M160" t="s">
        <v>43</v>
      </c>
      <c r="N160" t="s">
        <v>45</v>
      </c>
      <c r="O160" t="s">
        <v>43</v>
      </c>
      <c r="P160" t="s">
        <v>43</v>
      </c>
      <c r="Q160" t="s">
        <v>43</v>
      </c>
      <c r="R160" t="s">
        <v>43</v>
      </c>
      <c r="S160" t="s">
        <v>43</v>
      </c>
      <c r="T160" t="s">
        <v>43</v>
      </c>
      <c r="U160" t="s">
        <v>43</v>
      </c>
      <c r="V160" t="s">
        <v>43</v>
      </c>
      <c r="W160" t="s">
        <v>43</v>
      </c>
      <c r="X160" t="s">
        <v>43</v>
      </c>
      <c r="Y160" t="s">
        <v>43</v>
      </c>
      <c r="Z160" t="s">
        <v>43</v>
      </c>
      <c r="AA160" t="s">
        <v>43</v>
      </c>
      <c r="AB160" t="s">
        <v>43</v>
      </c>
      <c r="AC160" t="s">
        <v>43</v>
      </c>
      <c r="AD160" t="s">
        <v>43</v>
      </c>
      <c r="AE160" t="s">
        <v>43</v>
      </c>
      <c r="AF160" t="s">
        <v>43</v>
      </c>
      <c r="AG160" t="s">
        <v>43</v>
      </c>
      <c r="AH160" t="s">
        <v>43</v>
      </c>
      <c r="AI160" t="s">
        <v>43</v>
      </c>
      <c r="AJ160" t="s">
        <v>43</v>
      </c>
      <c r="AK160" t="s">
        <v>43</v>
      </c>
      <c r="AL160" t="s">
        <v>43</v>
      </c>
      <c r="AM160" t="s">
        <v>43</v>
      </c>
      <c r="AN160" t="str">
        <f>HYPERLINK("https://www.google.com/maps?q=11.05475235,79.06095886","Open Location")</f>
        <v>Open Location</v>
      </c>
    </row>
    <row r="161" spans="1:40" x14ac:dyDescent="0.3">
      <c r="A161" s="1">
        <v>46210.981481481482</v>
      </c>
      <c r="B161" t="s">
        <v>40</v>
      </c>
      <c r="C161" t="s">
        <v>41</v>
      </c>
      <c r="D161" s="1">
        <v>46210.984201388892</v>
      </c>
      <c r="E161" t="s">
        <v>42</v>
      </c>
      <c r="F161" t="s">
        <v>43</v>
      </c>
      <c r="G161" t="s">
        <v>43</v>
      </c>
      <c r="H161" t="s">
        <v>43</v>
      </c>
      <c r="I161" t="s">
        <v>138</v>
      </c>
      <c r="J161" t="s">
        <v>43</v>
      </c>
      <c r="K161" t="s">
        <v>43</v>
      </c>
      <c r="L161" t="s">
        <v>43</v>
      </c>
      <c r="M161" t="s">
        <v>43</v>
      </c>
      <c r="N161" t="s">
        <v>45</v>
      </c>
      <c r="O161" t="s">
        <v>43</v>
      </c>
      <c r="P161" t="s">
        <v>43</v>
      </c>
      <c r="Q161" t="s">
        <v>43</v>
      </c>
      <c r="R161" t="s">
        <v>43</v>
      </c>
      <c r="S161" t="s">
        <v>43</v>
      </c>
      <c r="T161" t="s">
        <v>43</v>
      </c>
      <c r="U161" t="s">
        <v>43</v>
      </c>
      <c r="V161" t="s">
        <v>43</v>
      </c>
      <c r="W161" t="s">
        <v>43</v>
      </c>
      <c r="X161" t="s">
        <v>43</v>
      </c>
      <c r="Y161" t="s">
        <v>43</v>
      </c>
      <c r="Z161" t="s">
        <v>43</v>
      </c>
      <c r="AA161" t="s">
        <v>43</v>
      </c>
      <c r="AB161" t="s">
        <v>43</v>
      </c>
      <c r="AC161" t="s">
        <v>43</v>
      </c>
      <c r="AD161" t="s">
        <v>43</v>
      </c>
      <c r="AE161" t="s">
        <v>43</v>
      </c>
      <c r="AF161" t="s">
        <v>43</v>
      </c>
      <c r="AG161" t="s">
        <v>43</v>
      </c>
      <c r="AH161" t="s">
        <v>43</v>
      </c>
      <c r="AI161" t="s">
        <v>43</v>
      </c>
      <c r="AJ161" t="s">
        <v>43</v>
      </c>
      <c r="AK161" t="s">
        <v>43</v>
      </c>
      <c r="AL161" t="s">
        <v>43</v>
      </c>
      <c r="AM161" t="s">
        <v>43</v>
      </c>
      <c r="AN161" t="str">
        <f>HYPERLINK("https://www.google.com/maps?q=11.05474758,79.06095123","Open Location")</f>
        <v>Open Location</v>
      </c>
    </row>
    <row r="162" spans="1:40" x14ac:dyDescent="0.3">
      <c r="A162" s="1">
        <v>46210.981365740743</v>
      </c>
      <c r="B162" t="s">
        <v>40</v>
      </c>
      <c r="C162" t="s">
        <v>41</v>
      </c>
      <c r="D162" s="1">
        <v>46210.984074074076</v>
      </c>
      <c r="E162" t="s">
        <v>42</v>
      </c>
      <c r="F162" t="s">
        <v>43</v>
      </c>
      <c r="G162" t="s">
        <v>43</v>
      </c>
      <c r="H162" t="s">
        <v>43</v>
      </c>
      <c r="I162" t="s">
        <v>139</v>
      </c>
      <c r="J162" t="s">
        <v>43</v>
      </c>
      <c r="K162" t="s">
        <v>43</v>
      </c>
      <c r="L162" t="s">
        <v>43</v>
      </c>
      <c r="M162" t="s">
        <v>43</v>
      </c>
      <c r="N162" t="s">
        <v>45</v>
      </c>
      <c r="O162" t="s">
        <v>43</v>
      </c>
      <c r="P162" t="s">
        <v>43</v>
      </c>
      <c r="Q162" t="s">
        <v>43</v>
      </c>
      <c r="R162" t="s">
        <v>43</v>
      </c>
      <c r="S162" t="s">
        <v>43</v>
      </c>
      <c r="T162" t="s">
        <v>43</v>
      </c>
      <c r="U162" t="s">
        <v>43</v>
      </c>
      <c r="V162" t="s">
        <v>43</v>
      </c>
      <c r="W162" t="s">
        <v>43</v>
      </c>
      <c r="X162" t="s">
        <v>43</v>
      </c>
      <c r="Y162" t="s">
        <v>43</v>
      </c>
      <c r="Z162" t="s">
        <v>43</v>
      </c>
      <c r="AA162" t="s">
        <v>43</v>
      </c>
      <c r="AB162" t="s">
        <v>43</v>
      </c>
      <c r="AC162" t="s">
        <v>43</v>
      </c>
      <c r="AD162" t="s">
        <v>43</v>
      </c>
      <c r="AE162" t="s">
        <v>43</v>
      </c>
      <c r="AF162" t="s">
        <v>43</v>
      </c>
      <c r="AG162" t="s">
        <v>43</v>
      </c>
      <c r="AH162" t="s">
        <v>43</v>
      </c>
      <c r="AI162" t="s">
        <v>43</v>
      </c>
      <c r="AJ162" t="s">
        <v>43</v>
      </c>
      <c r="AK162" t="s">
        <v>43</v>
      </c>
      <c r="AL162" t="s">
        <v>43</v>
      </c>
      <c r="AM162" t="s">
        <v>43</v>
      </c>
      <c r="AN162" t="str">
        <f>HYPERLINK("https://www.google.com/maps?q=11.05474472,79.06095886","Open Location")</f>
        <v>Open Location</v>
      </c>
    </row>
    <row r="163" spans="1:40" x14ac:dyDescent="0.3">
      <c r="A163" s="1">
        <v>46210.981249999997</v>
      </c>
      <c r="B163" t="s">
        <v>40</v>
      </c>
      <c r="C163" t="s">
        <v>41</v>
      </c>
      <c r="D163" s="1">
        <v>46210.983958333331</v>
      </c>
      <c r="E163" t="s">
        <v>42</v>
      </c>
      <c r="F163" t="s">
        <v>43</v>
      </c>
      <c r="G163" t="s">
        <v>43</v>
      </c>
      <c r="H163" t="s">
        <v>43</v>
      </c>
      <c r="I163" t="s">
        <v>138</v>
      </c>
      <c r="J163" t="s">
        <v>43</v>
      </c>
      <c r="K163" t="s">
        <v>43</v>
      </c>
      <c r="L163" t="s">
        <v>43</v>
      </c>
      <c r="M163" t="s">
        <v>43</v>
      </c>
      <c r="N163" t="s">
        <v>45</v>
      </c>
      <c r="O163" t="s">
        <v>43</v>
      </c>
      <c r="P163" t="s">
        <v>43</v>
      </c>
      <c r="Q163" t="s">
        <v>43</v>
      </c>
      <c r="R163" t="s">
        <v>43</v>
      </c>
      <c r="S163" t="s">
        <v>43</v>
      </c>
      <c r="T163" t="s">
        <v>43</v>
      </c>
      <c r="U163" t="s">
        <v>43</v>
      </c>
      <c r="V163" t="s">
        <v>43</v>
      </c>
      <c r="W163" t="s">
        <v>43</v>
      </c>
      <c r="X163" t="s">
        <v>43</v>
      </c>
      <c r="Y163" t="s">
        <v>43</v>
      </c>
      <c r="Z163" t="s">
        <v>43</v>
      </c>
      <c r="AA163" t="s">
        <v>43</v>
      </c>
      <c r="AB163" t="s">
        <v>43</v>
      </c>
      <c r="AC163" t="s">
        <v>43</v>
      </c>
      <c r="AD163" t="s">
        <v>43</v>
      </c>
      <c r="AE163" t="s">
        <v>43</v>
      </c>
      <c r="AF163" t="s">
        <v>43</v>
      </c>
      <c r="AG163" t="s">
        <v>43</v>
      </c>
      <c r="AH163" t="s">
        <v>43</v>
      </c>
      <c r="AI163" t="s">
        <v>43</v>
      </c>
      <c r="AJ163" t="s">
        <v>43</v>
      </c>
      <c r="AK163" t="s">
        <v>43</v>
      </c>
      <c r="AL163" t="s">
        <v>43</v>
      </c>
      <c r="AM163" t="s">
        <v>43</v>
      </c>
      <c r="AN163" t="str">
        <f>HYPERLINK("https://www.google.com/maps?q=11.05474758,79.06095123","Open Location")</f>
        <v>Open Location</v>
      </c>
    </row>
    <row r="164" spans="1:40" x14ac:dyDescent="0.3">
      <c r="A164" s="1">
        <v>46210.981134259258</v>
      </c>
      <c r="B164" t="s">
        <v>40</v>
      </c>
      <c r="C164" t="s">
        <v>41</v>
      </c>
      <c r="D164" s="1">
        <v>46210.983946759261</v>
      </c>
      <c r="E164" t="s">
        <v>42</v>
      </c>
      <c r="F164" t="s">
        <v>43</v>
      </c>
      <c r="G164" t="s">
        <v>43</v>
      </c>
      <c r="H164" t="s">
        <v>43</v>
      </c>
      <c r="I164" t="s">
        <v>43</v>
      </c>
      <c r="J164" t="s">
        <v>43</v>
      </c>
      <c r="K164" t="s">
        <v>43</v>
      </c>
      <c r="L164" t="s">
        <v>43</v>
      </c>
      <c r="M164" t="s">
        <v>43</v>
      </c>
      <c r="N164" t="s">
        <v>45</v>
      </c>
      <c r="O164" t="s">
        <v>43</v>
      </c>
      <c r="P164" t="s">
        <v>43</v>
      </c>
      <c r="Q164" t="s">
        <v>43</v>
      </c>
      <c r="R164" t="s">
        <v>43</v>
      </c>
      <c r="S164" t="s">
        <v>43</v>
      </c>
      <c r="T164" t="s">
        <v>43</v>
      </c>
      <c r="U164" t="s">
        <v>43</v>
      </c>
      <c r="V164" t="s">
        <v>43</v>
      </c>
      <c r="W164" t="s">
        <v>43</v>
      </c>
      <c r="X164" t="s">
        <v>43</v>
      </c>
      <c r="Y164" t="s">
        <v>43</v>
      </c>
      <c r="Z164" t="s">
        <v>43</v>
      </c>
      <c r="AA164" t="s">
        <v>43</v>
      </c>
      <c r="AB164" t="s">
        <v>43</v>
      </c>
      <c r="AC164" t="s">
        <v>43</v>
      </c>
      <c r="AD164" t="s">
        <v>43</v>
      </c>
      <c r="AE164" t="s">
        <v>43</v>
      </c>
      <c r="AF164" t="s">
        <v>43</v>
      </c>
      <c r="AG164" t="s">
        <v>43</v>
      </c>
      <c r="AH164" t="s">
        <v>43</v>
      </c>
      <c r="AI164" t="s">
        <v>43</v>
      </c>
      <c r="AJ164" t="s">
        <v>43</v>
      </c>
      <c r="AK164" t="s">
        <v>43</v>
      </c>
      <c r="AL164" t="s">
        <v>43</v>
      </c>
      <c r="AM164" t="s">
        <v>43</v>
      </c>
      <c r="AN164" t="s">
        <v>43</v>
      </c>
    </row>
    <row r="165" spans="1:40" x14ac:dyDescent="0.3">
      <c r="A165" s="1">
        <v>46210.98101851852</v>
      </c>
      <c r="B165" t="s">
        <v>40</v>
      </c>
      <c r="C165" t="s">
        <v>41</v>
      </c>
      <c r="D165" s="1">
        <v>46210.983888888892</v>
      </c>
      <c r="E165" t="s">
        <v>42</v>
      </c>
      <c r="F165" t="s">
        <v>43</v>
      </c>
      <c r="G165" t="s">
        <v>43</v>
      </c>
      <c r="H165" t="s">
        <v>43</v>
      </c>
      <c r="I165" t="s">
        <v>140</v>
      </c>
      <c r="J165" t="s">
        <v>43</v>
      </c>
      <c r="K165" t="s">
        <v>43</v>
      </c>
      <c r="L165" t="s">
        <v>43</v>
      </c>
      <c r="M165" t="s">
        <v>43</v>
      </c>
      <c r="N165" t="s">
        <v>45</v>
      </c>
      <c r="O165" t="s">
        <v>43</v>
      </c>
      <c r="P165" t="s">
        <v>43</v>
      </c>
      <c r="Q165" t="s">
        <v>43</v>
      </c>
      <c r="R165" t="s">
        <v>43</v>
      </c>
      <c r="S165" t="s">
        <v>43</v>
      </c>
      <c r="T165" t="s">
        <v>43</v>
      </c>
      <c r="U165" t="s">
        <v>43</v>
      </c>
      <c r="V165" t="s">
        <v>43</v>
      </c>
      <c r="W165" t="s">
        <v>43</v>
      </c>
      <c r="X165" t="s">
        <v>43</v>
      </c>
      <c r="Y165" t="s">
        <v>43</v>
      </c>
      <c r="Z165" t="s">
        <v>43</v>
      </c>
      <c r="AA165" t="s">
        <v>43</v>
      </c>
      <c r="AB165" t="s">
        <v>43</v>
      </c>
      <c r="AC165" t="s">
        <v>43</v>
      </c>
      <c r="AD165" t="s">
        <v>43</v>
      </c>
      <c r="AE165" t="s">
        <v>43</v>
      </c>
      <c r="AF165" t="s">
        <v>43</v>
      </c>
      <c r="AG165" t="s">
        <v>43</v>
      </c>
      <c r="AH165" t="s">
        <v>43</v>
      </c>
      <c r="AI165" t="s">
        <v>43</v>
      </c>
      <c r="AJ165" t="s">
        <v>43</v>
      </c>
      <c r="AK165" t="s">
        <v>43</v>
      </c>
      <c r="AL165" t="s">
        <v>43</v>
      </c>
      <c r="AM165" t="s">
        <v>43</v>
      </c>
      <c r="AN165" t="str">
        <f>HYPERLINK("https://www.google.com/maps?q=11.05474567,79.06095123","Open Location")</f>
        <v>Open Location</v>
      </c>
    </row>
    <row r="166" spans="1:40" x14ac:dyDescent="0.3">
      <c r="A166" s="1">
        <v>46210.980902777781</v>
      </c>
      <c r="B166" t="s">
        <v>40</v>
      </c>
      <c r="C166" t="s">
        <v>41</v>
      </c>
      <c r="D166" s="1">
        <v>46210.983599537038</v>
      </c>
      <c r="E166" t="s">
        <v>42</v>
      </c>
      <c r="F166" t="s">
        <v>43</v>
      </c>
      <c r="G166" t="s">
        <v>43</v>
      </c>
      <c r="H166" t="s">
        <v>43</v>
      </c>
      <c r="I166" t="s">
        <v>141</v>
      </c>
      <c r="J166" t="s">
        <v>43</v>
      </c>
      <c r="K166" t="s">
        <v>43</v>
      </c>
      <c r="L166" t="s">
        <v>43</v>
      </c>
      <c r="M166" t="s">
        <v>43</v>
      </c>
      <c r="N166" t="s">
        <v>45</v>
      </c>
      <c r="O166" t="s">
        <v>43</v>
      </c>
      <c r="P166" t="s">
        <v>43</v>
      </c>
      <c r="Q166" t="s">
        <v>43</v>
      </c>
      <c r="R166" t="s">
        <v>43</v>
      </c>
      <c r="S166" t="s">
        <v>43</v>
      </c>
      <c r="T166" t="s">
        <v>43</v>
      </c>
      <c r="U166" t="s">
        <v>43</v>
      </c>
      <c r="V166" t="s">
        <v>43</v>
      </c>
      <c r="W166" t="s">
        <v>43</v>
      </c>
      <c r="X166" t="s">
        <v>43</v>
      </c>
      <c r="Y166" t="s">
        <v>43</v>
      </c>
      <c r="Z166" t="s">
        <v>43</v>
      </c>
      <c r="AA166" t="s">
        <v>43</v>
      </c>
      <c r="AB166" t="s">
        <v>43</v>
      </c>
      <c r="AC166" t="s">
        <v>43</v>
      </c>
      <c r="AD166" t="s">
        <v>43</v>
      </c>
      <c r="AE166" t="s">
        <v>43</v>
      </c>
      <c r="AF166" t="s">
        <v>43</v>
      </c>
      <c r="AG166" t="s">
        <v>43</v>
      </c>
      <c r="AH166" t="s">
        <v>43</v>
      </c>
      <c r="AI166" t="s">
        <v>43</v>
      </c>
      <c r="AJ166" t="s">
        <v>43</v>
      </c>
      <c r="AK166" t="s">
        <v>43</v>
      </c>
      <c r="AL166" t="s">
        <v>43</v>
      </c>
      <c r="AM166" t="s">
        <v>43</v>
      </c>
      <c r="AN166" t="str">
        <f>HYPERLINK("https://www.google.com/maps?q=11.05474663,79.06095123","Open Location")</f>
        <v>Open Location</v>
      </c>
    </row>
    <row r="167" spans="1:40" x14ac:dyDescent="0.3">
      <c r="A167" s="1">
        <v>46210.980787037035</v>
      </c>
      <c r="B167" t="s">
        <v>40</v>
      </c>
      <c r="C167" t="s">
        <v>41</v>
      </c>
      <c r="D167" s="1">
        <v>46210.983819444446</v>
      </c>
      <c r="E167" t="s">
        <v>42</v>
      </c>
      <c r="F167" t="s">
        <v>43</v>
      </c>
      <c r="G167" t="s">
        <v>43</v>
      </c>
      <c r="H167" t="s">
        <v>43</v>
      </c>
      <c r="I167" t="s">
        <v>141</v>
      </c>
      <c r="J167" t="s">
        <v>43</v>
      </c>
      <c r="K167" t="s">
        <v>43</v>
      </c>
      <c r="L167" t="s">
        <v>43</v>
      </c>
      <c r="M167" t="s">
        <v>43</v>
      </c>
      <c r="N167" t="s">
        <v>45</v>
      </c>
      <c r="O167" t="s">
        <v>43</v>
      </c>
      <c r="P167" t="s">
        <v>43</v>
      </c>
      <c r="Q167" t="s">
        <v>43</v>
      </c>
      <c r="R167" t="s">
        <v>43</v>
      </c>
      <c r="S167" t="s">
        <v>43</v>
      </c>
      <c r="T167" t="s">
        <v>43</v>
      </c>
      <c r="U167" t="s">
        <v>43</v>
      </c>
      <c r="V167" t="s">
        <v>43</v>
      </c>
      <c r="W167" t="s">
        <v>43</v>
      </c>
      <c r="X167" t="s">
        <v>43</v>
      </c>
      <c r="Y167" t="s">
        <v>43</v>
      </c>
      <c r="Z167" t="s">
        <v>43</v>
      </c>
      <c r="AA167" t="s">
        <v>43</v>
      </c>
      <c r="AB167" t="s">
        <v>43</v>
      </c>
      <c r="AC167" t="s">
        <v>43</v>
      </c>
      <c r="AD167" t="s">
        <v>43</v>
      </c>
      <c r="AE167" t="s">
        <v>43</v>
      </c>
      <c r="AF167" t="s">
        <v>43</v>
      </c>
      <c r="AG167" t="s">
        <v>43</v>
      </c>
      <c r="AH167" t="s">
        <v>43</v>
      </c>
      <c r="AI167" t="s">
        <v>43</v>
      </c>
      <c r="AJ167" t="s">
        <v>43</v>
      </c>
      <c r="AK167" t="s">
        <v>43</v>
      </c>
      <c r="AL167" t="s">
        <v>43</v>
      </c>
      <c r="AM167" t="s">
        <v>43</v>
      </c>
      <c r="AN167" t="str">
        <f>HYPERLINK("https://www.google.com/maps?q=11.05474663,79.06095123","Open Location")</f>
        <v>Open Location</v>
      </c>
    </row>
    <row r="168" spans="1:40" x14ac:dyDescent="0.3">
      <c r="A168" s="1">
        <v>46210.980671296296</v>
      </c>
      <c r="B168" t="s">
        <v>40</v>
      </c>
      <c r="C168" t="s">
        <v>41</v>
      </c>
      <c r="D168" s="1">
        <v>46210.983576388891</v>
      </c>
      <c r="E168" t="s">
        <v>42</v>
      </c>
      <c r="F168" t="s">
        <v>43</v>
      </c>
      <c r="G168" t="s">
        <v>43</v>
      </c>
      <c r="H168" t="s">
        <v>43</v>
      </c>
      <c r="I168" t="s">
        <v>140</v>
      </c>
      <c r="J168" t="s">
        <v>43</v>
      </c>
      <c r="K168" t="s">
        <v>43</v>
      </c>
      <c r="L168" t="s">
        <v>43</v>
      </c>
      <c r="M168" t="s">
        <v>43</v>
      </c>
      <c r="N168" t="s">
        <v>45</v>
      </c>
      <c r="O168" t="s">
        <v>43</v>
      </c>
      <c r="P168" t="s">
        <v>43</v>
      </c>
      <c r="Q168" t="s">
        <v>43</v>
      </c>
      <c r="R168" t="s">
        <v>43</v>
      </c>
      <c r="S168" t="s">
        <v>43</v>
      </c>
      <c r="T168" t="s">
        <v>43</v>
      </c>
      <c r="U168" t="s">
        <v>43</v>
      </c>
      <c r="V168" t="s">
        <v>43</v>
      </c>
      <c r="W168" t="s">
        <v>43</v>
      </c>
      <c r="X168" t="s">
        <v>43</v>
      </c>
      <c r="Y168" t="s">
        <v>43</v>
      </c>
      <c r="Z168" t="s">
        <v>43</v>
      </c>
      <c r="AA168" t="s">
        <v>43</v>
      </c>
      <c r="AB168" t="s">
        <v>43</v>
      </c>
      <c r="AC168" t="s">
        <v>43</v>
      </c>
      <c r="AD168" t="s">
        <v>43</v>
      </c>
      <c r="AE168" t="s">
        <v>43</v>
      </c>
      <c r="AF168" t="s">
        <v>43</v>
      </c>
      <c r="AG168" t="s">
        <v>43</v>
      </c>
      <c r="AH168" t="s">
        <v>43</v>
      </c>
      <c r="AI168" t="s">
        <v>43</v>
      </c>
      <c r="AJ168" t="s">
        <v>43</v>
      </c>
      <c r="AK168" t="s">
        <v>43</v>
      </c>
      <c r="AL168" t="s">
        <v>43</v>
      </c>
      <c r="AM168" t="s">
        <v>43</v>
      </c>
      <c r="AN168" t="str">
        <f>HYPERLINK("https://www.google.com/maps?q=11.05474567,79.06095123","Open Location")</f>
        <v>Open Location</v>
      </c>
    </row>
    <row r="169" spans="1:40" x14ac:dyDescent="0.3">
      <c r="A169" s="1">
        <v>46210.980555555558</v>
      </c>
      <c r="B169" t="s">
        <v>40</v>
      </c>
      <c r="C169" t="s">
        <v>41</v>
      </c>
      <c r="D169" s="1">
        <v>46210.983402777776</v>
      </c>
      <c r="E169" t="s">
        <v>42</v>
      </c>
      <c r="F169" t="s">
        <v>43</v>
      </c>
      <c r="G169" t="s">
        <v>43</v>
      </c>
      <c r="H169" t="s">
        <v>43</v>
      </c>
      <c r="I169" t="s">
        <v>142</v>
      </c>
      <c r="J169" t="s">
        <v>43</v>
      </c>
      <c r="K169" t="s">
        <v>43</v>
      </c>
      <c r="L169" t="s">
        <v>43</v>
      </c>
      <c r="M169" t="s">
        <v>43</v>
      </c>
      <c r="N169" t="s">
        <v>45</v>
      </c>
      <c r="O169" t="s">
        <v>43</v>
      </c>
      <c r="P169" t="s">
        <v>43</v>
      </c>
      <c r="Q169" t="s">
        <v>43</v>
      </c>
      <c r="R169" t="s">
        <v>43</v>
      </c>
      <c r="S169" t="s">
        <v>43</v>
      </c>
      <c r="T169" t="s">
        <v>43</v>
      </c>
      <c r="U169" t="s">
        <v>43</v>
      </c>
      <c r="V169" t="s">
        <v>43</v>
      </c>
      <c r="W169" t="s">
        <v>43</v>
      </c>
      <c r="X169" t="s">
        <v>43</v>
      </c>
      <c r="Y169" t="s">
        <v>43</v>
      </c>
      <c r="Z169" t="s">
        <v>43</v>
      </c>
      <c r="AA169" t="s">
        <v>43</v>
      </c>
      <c r="AB169" t="s">
        <v>43</v>
      </c>
      <c r="AC169" t="s">
        <v>43</v>
      </c>
      <c r="AD169" t="s">
        <v>43</v>
      </c>
      <c r="AE169" t="s">
        <v>43</v>
      </c>
      <c r="AF169" t="s">
        <v>43</v>
      </c>
      <c r="AG169" t="s">
        <v>43</v>
      </c>
      <c r="AH169" t="s">
        <v>43</v>
      </c>
      <c r="AI169" t="s">
        <v>43</v>
      </c>
      <c r="AJ169" t="s">
        <v>43</v>
      </c>
      <c r="AK169" t="s">
        <v>43</v>
      </c>
      <c r="AL169" t="s">
        <v>43</v>
      </c>
      <c r="AM169" t="s">
        <v>43</v>
      </c>
      <c r="AN169" t="str">
        <f>HYPERLINK("https://www.google.com/maps?q=11.05475044,79.06095123","Open Location")</f>
        <v>Open Location</v>
      </c>
    </row>
    <row r="170" spans="1:40" x14ac:dyDescent="0.3">
      <c r="A170" s="1">
        <v>46210.980439814812</v>
      </c>
      <c r="B170" t="s">
        <v>40</v>
      </c>
      <c r="C170" t="s">
        <v>41</v>
      </c>
      <c r="D170" s="1">
        <v>46210.983576388891</v>
      </c>
      <c r="E170" t="s">
        <v>42</v>
      </c>
      <c r="F170" t="s">
        <v>43</v>
      </c>
      <c r="G170" t="s">
        <v>43</v>
      </c>
      <c r="H170" t="s">
        <v>43</v>
      </c>
      <c r="I170" t="s">
        <v>43</v>
      </c>
      <c r="J170" t="s">
        <v>43</v>
      </c>
      <c r="K170" t="s">
        <v>43</v>
      </c>
      <c r="L170" t="s">
        <v>43</v>
      </c>
      <c r="M170" t="s">
        <v>43</v>
      </c>
      <c r="N170" t="s">
        <v>45</v>
      </c>
      <c r="O170" t="s">
        <v>43</v>
      </c>
      <c r="P170" t="s">
        <v>43</v>
      </c>
      <c r="Q170" t="s">
        <v>43</v>
      </c>
      <c r="R170" t="s">
        <v>43</v>
      </c>
      <c r="S170" t="s">
        <v>43</v>
      </c>
      <c r="T170" t="s">
        <v>43</v>
      </c>
      <c r="U170" t="s">
        <v>43</v>
      </c>
      <c r="V170" t="s">
        <v>43</v>
      </c>
      <c r="W170" t="s">
        <v>43</v>
      </c>
      <c r="X170" t="s">
        <v>43</v>
      </c>
      <c r="Y170" t="s">
        <v>43</v>
      </c>
      <c r="Z170" t="s">
        <v>43</v>
      </c>
      <c r="AA170" t="s">
        <v>43</v>
      </c>
      <c r="AB170" t="s">
        <v>43</v>
      </c>
      <c r="AC170" t="s">
        <v>43</v>
      </c>
      <c r="AD170" t="s">
        <v>43</v>
      </c>
      <c r="AE170" t="s">
        <v>43</v>
      </c>
      <c r="AF170" t="s">
        <v>43</v>
      </c>
      <c r="AG170" t="s">
        <v>43</v>
      </c>
      <c r="AH170" t="s">
        <v>43</v>
      </c>
      <c r="AI170" t="s">
        <v>43</v>
      </c>
      <c r="AJ170" t="s">
        <v>43</v>
      </c>
      <c r="AK170" t="s">
        <v>43</v>
      </c>
      <c r="AL170" t="s">
        <v>43</v>
      </c>
      <c r="AM170" t="s">
        <v>43</v>
      </c>
      <c r="AN170" t="s">
        <v>43</v>
      </c>
    </row>
    <row r="171" spans="1:40" x14ac:dyDescent="0.3">
      <c r="A171" s="1">
        <v>46210.980324074073</v>
      </c>
      <c r="B171" t="s">
        <v>40</v>
      </c>
      <c r="C171" t="s">
        <v>41</v>
      </c>
      <c r="D171" s="1">
        <v>46210.983043981483</v>
      </c>
      <c r="E171" t="s">
        <v>42</v>
      </c>
      <c r="F171" t="s">
        <v>43</v>
      </c>
      <c r="G171" t="s">
        <v>43</v>
      </c>
      <c r="H171" t="s">
        <v>43</v>
      </c>
      <c r="I171" t="s">
        <v>137</v>
      </c>
      <c r="J171" t="s">
        <v>43</v>
      </c>
      <c r="K171" t="s">
        <v>43</v>
      </c>
      <c r="L171" t="s">
        <v>43</v>
      </c>
      <c r="M171" t="s">
        <v>43</v>
      </c>
      <c r="N171" t="s">
        <v>45</v>
      </c>
      <c r="O171" t="s">
        <v>43</v>
      </c>
      <c r="P171" t="s">
        <v>43</v>
      </c>
      <c r="Q171" t="s">
        <v>43</v>
      </c>
      <c r="R171" t="s">
        <v>43</v>
      </c>
      <c r="S171" t="s">
        <v>43</v>
      </c>
      <c r="T171" t="s">
        <v>43</v>
      </c>
      <c r="U171" t="s">
        <v>43</v>
      </c>
      <c r="V171" t="s">
        <v>43</v>
      </c>
      <c r="W171" t="s">
        <v>43</v>
      </c>
      <c r="X171" t="s">
        <v>43</v>
      </c>
      <c r="Y171" t="s">
        <v>43</v>
      </c>
      <c r="Z171" t="s">
        <v>43</v>
      </c>
      <c r="AA171" t="s">
        <v>43</v>
      </c>
      <c r="AB171" t="s">
        <v>43</v>
      </c>
      <c r="AC171" t="s">
        <v>43</v>
      </c>
      <c r="AD171" t="s">
        <v>43</v>
      </c>
      <c r="AE171" t="s">
        <v>43</v>
      </c>
      <c r="AF171" t="s">
        <v>43</v>
      </c>
      <c r="AG171" t="s">
        <v>43</v>
      </c>
      <c r="AH171" t="s">
        <v>43</v>
      </c>
      <c r="AI171" t="s">
        <v>43</v>
      </c>
      <c r="AJ171" t="s">
        <v>43</v>
      </c>
      <c r="AK171" t="s">
        <v>43</v>
      </c>
      <c r="AL171" t="s">
        <v>43</v>
      </c>
      <c r="AM171" t="s">
        <v>43</v>
      </c>
      <c r="AN171" t="str">
        <f>HYPERLINK("https://www.google.com/maps?q=11.05475235,79.06095886","Open Location")</f>
        <v>Open Location</v>
      </c>
    </row>
    <row r="172" spans="1:40" x14ac:dyDescent="0.3">
      <c r="A172" s="1">
        <v>46210.980208333334</v>
      </c>
      <c r="B172" t="s">
        <v>40</v>
      </c>
      <c r="C172" t="s">
        <v>41</v>
      </c>
      <c r="D172" s="1">
        <v>46210.983124999999</v>
      </c>
      <c r="E172" t="s">
        <v>42</v>
      </c>
      <c r="F172" t="s">
        <v>43</v>
      </c>
      <c r="G172" t="s">
        <v>43</v>
      </c>
      <c r="H172" t="s">
        <v>43</v>
      </c>
      <c r="I172" t="s">
        <v>136</v>
      </c>
      <c r="J172" t="s">
        <v>43</v>
      </c>
      <c r="K172" t="s">
        <v>43</v>
      </c>
      <c r="L172" t="s">
        <v>43</v>
      </c>
      <c r="M172" t="s">
        <v>43</v>
      </c>
      <c r="N172" t="s">
        <v>45</v>
      </c>
      <c r="O172" t="s">
        <v>43</v>
      </c>
      <c r="P172" t="s">
        <v>43</v>
      </c>
      <c r="Q172" t="s">
        <v>43</v>
      </c>
      <c r="R172" t="s">
        <v>43</v>
      </c>
      <c r="S172" t="s">
        <v>43</v>
      </c>
      <c r="T172" t="s">
        <v>43</v>
      </c>
      <c r="U172" t="s">
        <v>43</v>
      </c>
      <c r="V172" t="s">
        <v>43</v>
      </c>
      <c r="W172" t="s">
        <v>43</v>
      </c>
      <c r="X172" t="s">
        <v>43</v>
      </c>
      <c r="Y172" t="s">
        <v>43</v>
      </c>
      <c r="Z172" t="s">
        <v>43</v>
      </c>
      <c r="AA172" t="s">
        <v>43</v>
      </c>
      <c r="AB172" t="s">
        <v>43</v>
      </c>
      <c r="AC172" t="s">
        <v>43</v>
      </c>
      <c r="AD172" t="s">
        <v>43</v>
      </c>
      <c r="AE172" t="s">
        <v>43</v>
      </c>
      <c r="AF172" t="s">
        <v>43</v>
      </c>
      <c r="AG172" t="s">
        <v>43</v>
      </c>
      <c r="AH172" t="s">
        <v>43</v>
      </c>
      <c r="AI172" t="s">
        <v>43</v>
      </c>
      <c r="AJ172" t="s">
        <v>43</v>
      </c>
      <c r="AK172" t="s">
        <v>43</v>
      </c>
      <c r="AL172" t="s">
        <v>43</v>
      </c>
      <c r="AM172" t="s">
        <v>43</v>
      </c>
      <c r="AN172" t="str">
        <f>HYPERLINK("https://www.google.com/maps?q=11.0547533,79.06095886","Open Location")</f>
        <v>Open Location</v>
      </c>
    </row>
    <row r="173" spans="1:40" x14ac:dyDescent="0.3">
      <c r="A173" s="1">
        <v>46210.980092592596</v>
      </c>
      <c r="B173" t="s">
        <v>40</v>
      </c>
      <c r="C173" t="s">
        <v>41</v>
      </c>
      <c r="D173" s="1">
        <v>46210.982881944445</v>
      </c>
      <c r="E173" t="s">
        <v>42</v>
      </c>
      <c r="F173" t="s">
        <v>43</v>
      </c>
      <c r="G173" t="s">
        <v>43</v>
      </c>
      <c r="H173" t="s">
        <v>43</v>
      </c>
      <c r="I173" t="s">
        <v>134</v>
      </c>
      <c r="J173" t="s">
        <v>43</v>
      </c>
      <c r="K173" t="s">
        <v>43</v>
      </c>
      <c r="L173" t="s">
        <v>43</v>
      </c>
      <c r="M173" t="s">
        <v>43</v>
      </c>
      <c r="N173" t="s">
        <v>45</v>
      </c>
      <c r="O173" t="s">
        <v>43</v>
      </c>
      <c r="P173" t="s">
        <v>43</v>
      </c>
      <c r="Q173" t="s">
        <v>43</v>
      </c>
      <c r="R173" t="s">
        <v>43</v>
      </c>
      <c r="S173" t="s">
        <v>43</v>
      </c>
      <c r="T173" t="s">
        <v>43</v>
      </c>
      <c r="U173" t="s">
        <v>43</v>
      </c>
      <c r="V173" t="s">
        <v>43</v>
      </c>
      <c r="W173" t="s">
        <v>43</v>
      </c>
      <c r="X173" t="s">
        <v>43</v>
      </c>
      <c r="Y173" t="s">
        <v>43</v>
      </c>
      <c r="Z173" t="s">
        <v>43</v>
      </c>
      <c r="AA173" t="s">
        <v>43</v>
      </c>
      <c r="AB173" t="s">
        <v>43</v>
      </c>
      <c r="AC173" t="s">
        <v>43</v>
      </c>
      <c r="AD173" t="s">
        <v>43</v>
      </c>
      <c r="AE173" t="s">
        <v>43</v>
      </c>
      <c r="AF173" t="s">
        <v>43</v>
      </c>
      <c r="AG173" t="s">
        <v>43</v>
      </c>
      <c r="AH173" t="s">
        <v>43</v>
      </c>
      <c r="AI173" t="s">
        <v>43</v>
      </c>
      <c r="AJ173" t="s">
        <v>43</v>
      </c>
      <c r="AK173" t="s">
        <v>43</v>
      </c>
      <c r="AL173" t="s">
        <v>43</v>
      </c>
      <c r="AM173" t="s">
        <v>43</v>
      </c>
      <c r="AN173" t="str">
        <f>HYPERLINK("https://www.google.com/maps?q=11.05475426,79.06095886","Open Location")</f>
        <v>Open Location</v>
      </c>
    </row>
    <row r="174" spans="1:40" x14ac:dyDescent="0.3">
      <c r="A174" s="1">
        <v>46210.97997685185</v>
      </c>
      <c r="B174" t="s">
        <v>40</v>
      </c>
      <c r="C174" t="s">
        <v>41</v>
      </c>
      <c r="D174" s="1">
        <v>46210.98300925926</v>
      </c>
      <c r="E174" t="s">
        <v>42</v>
      </c>
      <c r="F174" t="s">
        <v>43</v>
      </c>
      <c r="G174" t="s">
        <v>43</v>
      </c>
      <c r="H174" t="s">
        <v>43</v>
      </c>
      <c r="I174" t="s">
        <v>135</v>
      </c>
      <c r="J174" t="s">
        <v>43</v>
      </c>
      <c r="K174" t="s">
        <v>43</v>
      </c>
      <c r="L174" t="s">
        <v>43</v>
      </c>
      <c r="M174" t="s">
        <v>43</v>
      </c>
      <c r="N174" t="s">
        <v>45</v>
      </c>
      <c r="O174" t="s">
        <v>43</v>
      </c>
      <c r="P174" t="s">
        <v>43</v>
      </c>
      <c r="Q174" t="s">
        <v>43</v>
      </c>
      <c r="R174" t="s">
        <v>43</v>
      </c>
      <c r="S174" t="s">
        <v>43</v>
      </c>
      <c r="T174" t="s">
        <v>43</v>
      </c>
      <c r="U174" t="s">
        <v>43</v>
      </c>
      <c r="V174" t="s">
        <v>43</v>
      </c>
      <c r="W174" t="s">
        <v>43</v>
      </c>
      <c r="X174" t="s">
        <v>43</v>
      </c>
      <c r="Y174" t="s">
        <v>43</v>
      </c>
      <c r="Z174" t="s">
        <v>43</v>
      </c>
      <c r="AA174" t="s">
        <v>43</v>
      </c>
      <c r="AB174" t="s">
        <v>43</v>
      </c>
      <c r="AC174" t="s">
        <v>43</v>
      </c>
      <c r="AD174" t="s">
        <v>43</v>
      </c>
      <c r="AE174" t="s">
        <v>43</v>
      </c>
      <c r="AF174" t="s">
        <v>43</v>
      </c>
      <c r="AG174" t="s">
        <v>43</v>
      </c>
      <c r="AH174" t="s">
        <v>43</v>
      </c>
      <c r="AI174" t="s">
        <v>43</v>
      </c>
      <c r="AJ174" t="s">
        <v>43</v>
      </c>
      <c r="AK174" t="s">
        <v>43</v>
      </c>
      <c r="AL174" t="s">
        <v>43</v>
      </c>
      <c r="AM174" t="s">
        <v>43</v>
      </c>
      <c r="AN174" t="str">
        <f>HYPERLINK("https://www.google.com/maps?q=11.05475616,79.06095886","Open Location")</f>
        <v>Open Location</v>
      </c>
    </row>
    <row r="175" spans="1:40" x14ac:dyDescent="0.3">
      <c r="A175" s="1">
        <v>46210.979861111111</v>
      </c>
      <c r="B175" t="s">
        <v>40</v>
      </c>
      <c r="C175" t="s">
        <v>41</v>
      </c>
      <c r="D175" s="1">
        <v>46210.982638888891</v>
      </c>
      <c r="E175" t="s">
        <v>42</v>
      </c>
      <c r="F175" t="s">
        <v>43</v>
      </c>
      <c r="G175" t="s">
        <v>43</v>
      </c>
      <c r="H175" t="s">
        <v>43</v>
      </c>
      <c r="I175" t="s">
        <v>135</v>
      </c>
      <c r="J175" t="s">
        <v>43</v>
      </c>
      <c r="K175" t="s">
        <v>43</v>
      </c>
      <c r="L175" t="s">
        <v>43</v>
      </c>
      <c r="M175" t="s">
        <v>43</v>
      </c>
      <c r="N175" t="s">
        <v>45</v>
      </c>
      <c r="O175" t="s">
        <v>43</v>
      </c>
      <c r="P175" t="s">
        <v>43</v>
      </c>
      <c r="Q175" t="s">
        <v>43</v>
      </c>
      <c r="R175" t="s">
        <v>43</v>
      </c>
      <c r="S175" t="s">
        <v>43</v>
      </c>
      <c r="T175" t="s">
        <v>43</v>
      </c>
      <c r="U175" t="s">
        <v>43</v>
      </c>
      <c r="V175" t="s">
        <v>43</v>
      </c>
      <c r="W175" t="s">
        <v>43</v>
      </c>
      <c r="X175" t="s">
        <v>43</v>
      </c>
      <c r="Y175" t="s">
        <v>43</v>
      </c>
      <c r="Z175" t="s">
        <v>43</v>
      </c>
      <c r="AA175" t="s">
        <v>43</v>
      </c>
      <c r="AB175" t="s">
        <v>43</v>
      </c>
      <c r="AC175" t="s">
        <v>43</v>
      </c>
      <c r="AD175" t="s">
        <v>43</v>
      </c>
      <c r="AE175" t="s">
        <v>43</v>
      </c>
      <c r="AF175" t="s">
        <v>43</v>
      </c>
      <c r="AG175" t="s">
        <v>43</v>
      </c>
      <c r="AH175" t="s">
        <v>43</v>
      </c>
      <c r="AI175" t="s">
        <v>43</v>
      </c>
      <c r="AJ175" t="s">
        <v>43</v>
      </c>
      <c r="AK175" t="s">
        <v>43</v>
      </c>
      <c r="AL175" t="s">
        <v>43</v>
      </c>
      <c r="AM175" t="s">
        <v>43</v>
      </c>
      <c r="AN175" t="str">
        <f>HYPERLINK("https://www.google.com/maps?q=11.05475616,79.06095886","Open Location")</f>
        <v>Open Location</v>
      </c>
    </row>
    <row r="176" spans="1:40" x14ac:dyDescent="0.3">
      <c r="A176" s="1">
        <v>46210.979745370372</v>
      </c>
      <c r="B176" t="s">
        <v>40</v>
      </c>
      <c r="C176" t="s">
        <v>41</v>
      </c>
      <c r="D176" s="1">
        <v>46210.982638888891</v>
      </c>
      <c r="E176" t="s">
        <v>42</v>
      </c>
      <c r="F176" t="s">
        <v>43</v>
      </c>
      <c r="G176" t="s">
        <v>43</v>
      </c>
      <c r="H176" t="s">
        <v>43</v>
      </c>
      <c r="I176" t="s">
        <v>43</v>
      </c>
      <c r="J176" t="s">
        <v>43</v>
      </c>
      <c r="K176" t="s">
        <v>43</v>
      </c>
      <c r="L176" t="s">
        <v>43</v>
      </c>
      <c r="M176" t="s">
        <v>43</v>
      </c>
      <c r="N176" t="s">
        <v>45</v>
      </c>
      <c r="O176" t="s">
        <v>43</v>
      </c>
      <c r="P176" t="s">
        <v>43</v>
      </c>
      <c r="Q176" t="s">
        <v>43</v>
      </c>
      <c r="R176" t="s">
        <v>43</v>
      </c>
      <c r="S176" t="s">
        <v>43</v>
      </c>
      <c r="T176" t="s">
        <v>43</v>
      </c>
      <c r="U176" t="s">
        <v>43</v>
      </c>
      <c r="V176" t="s">
        <v>43</v>
      </c>
      <c r="W176" t="s">
        <v>43</v>
      </c>
      <c r="X176" t="s">
        <v>43</v>
      </c>
      <c r="Y176" t="s">
        <v>43</v>
      </c>
      <c r="Z176" t="s">
        <v>43</v>
      </c>
      <c r="AA176" t="s">
        <v>43</v>
      </c>
      <c r="AB176" t="s">
        <v>43</v>
      </c>
      <c r="AC176" t="s">
        <v>43</v>
      </c>
      <c r="AD176" t="s">
        <v>43</v>
      </c>
      <c r="AE176" t="s">
        <v>43</v>
      </c>
      <c r="AF176" t="s">
        <v>43</v>
      </c>
      <c r="AG176" t="s">
        <v>43</v>
      </c>
      <c r="AH176" t="s">
        <v>43</v>
      </c>
      <c r="AI176" t="s">
        <v>43</v>
      </c>
      <c r="AJ176" t="s">
        <v>43</v>
      </c>
      <c r="AK176" t="s">
        <v>43</v>
      </c>
      <c r="AL176" t="s">
        <v>43</v>
      </c>
      <c r="AM176" t="s">
        <v>43</v>
      </c>
      <c r="AN176" t="s">
        <v>43</v>
      </c>
    </row>
    <row r="177" spans="1:40" x14ac:dyDescent="0.3">
      <c r="A177" s="1">
        <v>46210.979629629626</v>
      </c>
      <c r="B177" t="s">
        <v>40</v>
      </c>
      <c r="C177" t="s">
        <v>41</v>
      </c>
      <c r="D177" s="1">
        <v>46210.982395833336</v>
      </c>
      <c r="E177" t="s">
        <v>42</v>
      </c>
      <c r="F177" t="s">
        <v>43</v>
      </c>
      <c r="G177" t="s">
        <v>43</v>
      </c>
      <c r="H177" t="s">
        <v>43</v>
      </c>
      <c r="I177" t="s">
        <v>95</v>
      </c>
      <c r="J177" t="s">
        <v>43</v>
      </c>
      <c r="K177" t="s">
        <v>43</v>
      </c>
      <c r="L177" t="s">
        <v>43</v>
      </c>
      <c r="M177" t="s">
        <v>43</v>
      </c>
      <c r="N177" t="s">
        <v>45</v>
      </c>
      <c r="O177" t="s">
        <v>43</v>
      </c>
      <c r="P177" t="s">
        <v>43</v>
      </c>
      <c r="Q177" t="s">
        <v>43</v>
      </c>
      <c r="R177" t="s">
        <v>43</v>
      </c>
      <c r="S177" t="s">
        <v>43</v>
      </c>
      <c r="T177" t="s">
        <v>43</v>
      </c>
      <c r="U177" t="s">
        <v>43</v>
      </c>
      <c r="V177" t="s">
        <v>43</v>
      </c>
      <c r="W177" t="s">
        <v>43</v>
      </c>
      <c r="X177" t="s">
        <v>43</v>
      </c>
      <c r="Y177" t="s">
        <v>43</v>
      </c>
      <c r="Z177" t="s">
        <v>43</v>
      </c>
      <c r="AA177" t="s">
        <v>43</v>
      </c>
      <c r="AB177" t="s">
        <v>43</v>
      </c>
      <c r="AC177" t="s">
        <v>43</v>
      </c>
      <c r="AD177" t="s">
        <v>43</v>
      </c>
      <c r="AE177" t="s">
        <v>43</v>
      </c>
      <c r="AF177" t="s">
        <v>43</v>
      </c>
      <c r="AG177" t="s">
        <v>43</v>
      </c>
      <c r="AH177" t="s">
        <v>43</v>
      </c>
      <c r="AI177" t="s">
        <v>43</v>
      </c>
      <c r="AJ177" t="s">
        <v>43</v>
      </c>
      <c r="AK177" t="s">
        <v>43</v>
      </c>
      <c r="AL177" t="s">
        <v>43</v>
      </c>
      <c r="AM177" t="s">
        <v>43</v>
      </c>
      <c r="AN177" t="str">
        <f>HYPERLINK("https://www.google.com/maps?q=11.05476093,79.06096649","Open Location")</f>
        <v>Open Location</v>
      </c>
    </row>
    <row r="178" spans="1:40" x14ac:dyDescent="0.3">
      <c r="A178" s="1">
        <v>46210.979513888888</v>
      </c>
      <c r="B178" t="s">
        <v>40</v>
      </c>
      <c r="C178" t="s">
        <v>41</v>
      </c>
      <c r="D178" s="1">
        <v>46210.982638888891</v>
      </c>
      <c r="E178" t="s">
        <v>42</v>
      </c>
      <c r="F178" t="s">
        <v>43</v>
      </c>
      <c r="G178" t="s">
        <v>43</v>
      </c>
      <c r="H178" t="s">
        <v>43</v>
      </c>
      <c r="I178" t="s">
        <v>94</v>
      </c>
      <c r="J178" t="s">
        <v>43</v>
      </c>
      <c r="K178" t="s">
        <v>43</v>
      </c>
      <c r="L178" t="s">
        <v>43</v>
      </c>
      <c r="M178" t="s">
        <v>43</v>
      </c>
      <c r="N178" t="s">
        <v>45</v>
      </c>
      <c r="O178" t="s">
        <v>43</v>
      </c>
      <c r="P178" t="s">
        <v>43</v>
      </c>
      <c r="Q178" t="s">
        <v>43</v>
      </c>
      <c r="R178" t="s">
        <v>43</v>
      </c>
      <c r="S178" t="s">
        <v>43</v>
      </c>
      <c r="T178" t="s">
        <v>43</v>
      </c>
      <c r="U178" t="s">
        <v>43</v>
      </c>
      <c r="V178" t="s">
        <v>43</v>
      </c>
      <c r="W178" t="s">
        <v>43</v>
      </c>
      <c r="X178" t="s">
        <v>43</v>
      </c>
      <c r="Y178" t="s">
        <v>43</v>
      </c>
      <c r="Z178" t="s">
        <v>43</v>
      </c>
      <c r="AA178" t="s">
        <v>43</v>
      </c>
      <c r="AB178" t="s">
        <v>43</v>
      </c>
      <c r="AC178" t="s">
        <v>43</v>
      </c>
      <c r="AD178" t="s">
        <v>43</v>
      </c>
      <c r="AE178" t="s">
        <v>43</v>
      </c>
      <c r="AF178" t="s">
        <v>43</v>
      </c>
      <c r="AG178" t="s">
        <v>43</v>
      </c>
      <c r="AH178" t="s">
        <v>43</v>
      </c>
      <c r="AI178" t="s">
        <v>43</v>
      </c>
      <c r="AJ178" t="s">
        <v>43</v>
      </c>
      <c r="AK178" t="s">
        <v>43</v>
      </c>
      <c r="AL178" t="s">
        <v>43</v>
      </c>
      <c r="AM178" t="s">
        <v>43</v>
      </c>
      <c r="AN178" t="str">
        <f>HYPERLINK("https://www.google.com/maps?q=11.05476284,79.06096649","Open Location")</f>
        <v>Open Location</v>
      </c>
    </row>
    <row r="179" spans="1:40" x14ac:dyDescent="0.3">
      <c r="A179" s="1">
        <v>46210.979398148149</v>
      </c>
      <c r="B179" t="s">
        <v>40</v>
      </c>
      <c r="C179" t="s">
        <v>41</v>
      </c>
      <c r="D179" s="1">
        <v>46210.982106481482</v>
      </c>
      <c r="E179" t="s">
        <v>42</v>
      </c>
      <c r="F179" t="s">
        <v>43</v>
      </c>
      <c r="G179" t="s">
        <v>43</v>
      </c>
      <c r="H179" t="s">
        <v>43</v>
      </c>
      <c r="I179" t="s">
        <v>120</v>
      </c>
      <c r="J179" t="s">
        <v>43</v>
      </c>
      <c r="K179" t="s">
        <v>43</v>
      </c>
      <c r="L179" t="s">
        <v>43</v>
      </c>
      <c r="M179" t="s">
        <v>43</v>
      </c>
      <c r="N179" t="s">
        <v>45</v>
      </c>
      <c r="O179" t="s">
        <v>43</v>
      </c>
      <c r="P179" t="s">
        <v>43</v>
      </c>
      <c r="Q179" t="s">
        <v>43</v>
      </c>
      <c r="R179" t="s">
        <v>43</v>
      </c>
      <c r="S179" t="s">
        <v>43</v>
      </c>
      <c r="T179" t="s">
        <v>43</v>
      </c>
      <c r="U179" t="s">
        <v>43</v>
      </c>
      <c r="V179" t="s">
        <v>43</v>
      </c>
      <c r="W179" t="s">
        <v>43</v>
      </c>
      <c r="X179" t="s">
        <v>43</v>
      </c>
      <c r="Y179" t="s">
        <v>43</v>
      </c>
      <c r="Z179" t="s">
        <v>43</v>
      </c>
      <c r="AA179" t="s">
        <v>43</v>
      </c>
      <c r="AB179" t="s">
        <v>43</v>
      </c>
      <c r="AC179" t="s">
        <v>43</v>
      </c>
      <c r="AD179" t="s">
        <v>43</v>
      </c>
      <c r="AE179" t="s">
        <v>43</v>
      </c>
      <c r="AF179" t="s">
        <v>43</v>
      </c>
      <c r="AG179" t="s">
        <v>43</v>
      </c>
      <c r="AH179" t="s">
        <v>43</v>
      </c>
      <c r="AI179" t="s">
        <v>43</v>
      </c>
      <c r="AJ179" t="s">
        <v>43</v>
      </c>
      <c r="AK179" t="s">
        <v>43</v>
      </c>
      <c r="AL179" t="s">
        <v>43</v>
      </c>
      <c r="AM179" t="s">
        <v>43</v>
      </c>
      <c r="AN179" t="str">
        <f>HYPERLINK("https://www.google.com/maps?q=11.05476379,79.06096649","Open Location")</f>
        <v>Open Location</v>
      </c>
    </row>
    <row r="180" spans="1:40" x14ac:dyDescent="0.3">
      <c r="A180" s="1">
        <v>46210.97928240741</v>
      </c>
      <c r="B180" t="s">
        <v>40</v>
      </c>
      <c r="C180" t="s">
        <v>41</v>
      </c>
      <c r="D180" s="1">
        <v>46210.98228009259</v>
      </c>
      <c r="E180" t="s">
        <v>42</v>
      </c>
      <c r="F180" t="s">
        <v>43</v>
      </c>
      <c r="G180" t="s">
        <v>43</v>
      </c>
      <c r="H180" t="s">
        <v>43</v>
      </c>
      <c r="I180" t="s">
        <v>120</v>
      </c>
      <c r="J180" t="s">
        <v>43</v>
      </c>
      <c r="K180" t="s">
        <v>43</v>
      </c>
      <c r="L180" t="s">
        <v>43</v>
      </c>
      <c r="M180" t="s">
        <v>43</v>
      </c>
      <c r="N180" t="s">
        <v>45</v>
      </c>
      <c r="O180" t="s">
        <v>43</v>
      </c>
      <c r="P180" t="s">
        <v>43</v>
      </c>
      <c r="Q180" t="s">
        <v>43</v>
      </c>
      <c r="R180" t="s">
        <v>43</v>
      </c>
      <c r="S180" t="s">
        <v>43</v>
      </c>
      <c r="T180" t="s">
        <v>43</v>
      </c>
      <c r="U180" t="s">
        <v>43</v>
      </c>
      <c r="V180" t="s">
        <v>43</v>
      </c>
      <c r="W180" t="s">
        <v>43</v>
      </c>
      <c r="X180" t="s">
        <v>43</v>
      </c>
      <c r="Y180" t="s">
        <v>43</v>
      </c>
      <c r="Z180" t="s">
        <v>43</v>
      </c>
      <c r="AA180" t="s">
        <v>43</v>
      </c>
      <c r="AB180" t="s">
        <v>43</v>
      </c>
      <c r="AC180" t="s">
        <v>43</v>
      </c>
      <c r="AD180" t="s">
        <v>43</v>
      </c>
      <c r="AE180" t="s">
        <v>43</v>
      </c>
      <c r="AF180" t="s">
        <v>43</v>
      </c>
      <c r="AG180" t="s">
        <v>43</v>
      </c>
      <c r="AH180" t="s">
        <v>43</v>
      </c>
      <c r="AI180" t="s">
        <v>43</v>
      </c>
      <c r="AJ180" t="s">
        <v>43</v>
      </c>
      <c r="AK180" t="s">
        <v>43</v>
      </c>
      <c r="AL180" t="s">
        <v>43</v>
      </c>
      <c r="AM180" t="s">
        <v>43</v>
      </c>
      <c r="AN180" t="str">
        <f>HYPERLINK("https://www.google.com/maps?q=11.05476379,79.06096649","Open Location")</f>
        <v>Open Location</v>
      </c>
    </row>
    <row r="181" spans="1:40" x14ac:dyDescent="0.3">
      <c r="A181" s="1">
        <v>46210.979166666664</v>
      </c>
      <c r="B181" t="s">
        <v>40</v>
      </c>
      <c r="C181" t="s">
        <v>41</v>
      </c>
      <c r="D181" s="1">
        <v>46210.981828703705</v>
      </c>
      <c r="E181" t="s">
        <v>42</v>
      </c>
      <c r="F181" t="s">
        <v>43</v>
      </c>
      <c r="G181" t="s">
        <v>43</v>
      </c>
      <c r="H181" t="s">
        <v>43</v>
      </c>
      <c r="I181" t="s">
        <v>43</v>
      </c>
      <c r="J181" t="s">
        <v>43</v>
      </c>
      <c r="K181" t="s">
        <v>43</v>
      </c>
      <c r="L181" t="s">
        <v>43</v>
      </c>
      <c r="M181" t="s">
        <v>43</v>
      </c>
      <c r="N181" t="s">
        <v>45</v>
      </c>
      <c r="O181" t="s">
        <v>43</v>
      </c>
      <c r="P181" t="s">
        <v>43</v>
      </c>
      <c r="Q181" t="s">
        <v>43</v>
      </c>
      <c r="R181" t="s">
        <v>43</v>
      </c>
      <c r="S181" t="s">
        <v>43</v>
      </c>
      <c r="T181" t="s">
        <v>43</v>
      </c>
      <c r="U181" t="s">
        <v>43</v>
      </c>
      <c r="V181" t="s">
        <v>43</v>
      </c>
      <c r="W181" t="s">
        <v>43</v>
      </c>
      <c r="X181" t="s">
        <v>43</v>
      </c>
      <c r="Y181" t="s">
        <v>43</v>
      </c>
      <c r="Z181" t="s">
        <v>43</v>
      </c>
      <c r="AA181" t="s">
        <v>43</v>
      </c>
      <c r="AB181" t="s">
        <v>43</v>
      </c>
      <c r="AC181" t="s">
        <v>43</v>
      </c>
      <c r="AD181" t="s">
        <v>43</v>
      </c>
      <c r="AE181" t="s">
        <v>43</v>
      </c>
      <c r="AF181" t="s">
        <v>43</v>
      </c>
      <c r="AG181" t="s">
        <v>43</v>
      </c>
      <c r="AH181" t="s">
        <v>43</v>
      </c>
      <c r="AI181" t="s">
        <v>43</v>
      </c>
      <c r="AJ181" t="s">
        <v>43</v>
      </c>
      <c r="AK181" t="s">
        <v>43</v>
      </c>
      <c r="AL181" t="s">
        <v>43</v>
      </c>
      <c r="AM181" t="s">
        <v>43</v>
      </c>
      <c r="AN181" t="s">
        <v>43</v>
      </c>
    </row>
    <row r="182" spans="1:40" x14ac:dyDescent="0.3">
      <c r="A182" s="1">
        <v>46210.979050925926</v>
      </c>
      <c r="B182" t="s">
        <v>40</v>
      </c>
      <c r="C182" t="s">
        <v>41</v>
      </c>
      <c r="D182" s="1">
        <v>46210.981828703705</v>
      </c>
      <c r="E182" t="s">
        <v>42</v>
      </c>
      <c r="F182" t="s">
        <v>43</v>
      </c>
      <c r="G182" t="s">
        <v>43</v>
      </c>
      <c r="H182" t="s">
        <v>43</v>
      </c>
      <c r="I182" t="s">
        <v>143</v>
      </c>
      <c r="J182" t="s">
        <v>43</v>
      </c>
      <c r="K182" t="s">
        <v>43</v>
      </c>
      <c r="L182" t="s">
        <v>43</v>
      </c>
      <c r="M182" t="s">
        <v>43</v>
      </c>
      <c r="N182" t="s">
        <v>45</v>
      </c>
      <c r="O182" t="s">
        <v>43</v>
      </c>
      <c r="P182" t="s">
        <v>43</v>
      </c>
      <c r="Q182" t="s">
        <v>43</v>
      </c>
      <c r="R182" t="s">
        <v>43</v>
      </c>
      <c r="S182" t="s">
        <v>43</v>
      </c>
      <c r="T182" t="s">
        <v>43</v>
      </c>
      <c r="U182" t="s">
        <v>43</v>
      </c>
      <c r="V182" t="s">
        <v>43</v>
      </c>
      <c r="W182" t="s">
        <v>43</v>
      </c>
      <c r="X182" t="s">
        <v>43</v>
      </c>
      <c r="Y182" t="s">
        <v>43</v>
      </c>
      <c r="Z182" t="s">
        <v>43</v>
      </c>
      <c r="AA182" t="s">
        <v>43</v>
      </c>
      <c r="AB182" t="s">
        <v>43</v>
      </c>
      <c r="AC182" t="s">
        <v>43</v>
      </c>
      <c r="AD182" t="s">
        <v>43</v>
      </c>
      <c r="AE182" t="s">
        <v>43</v>
      </c>
      <c r="AF182" t="s">
        <v>43</v>
      </c>
      <c r="AG182" t="s">
        <v>43</v>
      </c>
      <c r="AH182" t="s">
        <v>43</v>
      </c>
      <c r="AI182" t="s">
        <v>43</v>
      </c>
      <c r="AJ182" t="s">
        <v>43</v>
      </c>
      <c r="AK182" t="s">
        <v>43</v>
      </c>
      <c r="AL182" t="s">
        <v>43</v>
      </c>
      <c r="AM182" t="s">
        <v>43</v>
      </c>
      <c r="AN182" t="str">
        <f>HYPERLINK("https://www.google.com/maps?q=11.05476189,79.06096649","Open Location")</f>
        <v>Open Location</v>
      </c>
    </row>
    <row r="183" spans="1:40" x14ac:dyDescent="0.3">
      <c r="A183" s="1">
        <v>46210.978935185187</v>
      </c>
      <c r="B183" t="s">
        <v>40</v>
      </c>
      <c r="C183" t="s">
        <v>41</v>
      </c>
      <c r="D183" s="1">
        <v>46210.98159722222</v>
      </c>
      <c r="E183" t="s">
        <v>42</v>
      </c>
      <c r="F183" t="s">
        <v>43</v>
      </c>
      <c r="G183" t="s">
        <v>43</v>
      </c>
      <c r="H183" t="s">
        <v>43</v>
      </c>
      <c r="I183" t="s">
        <v>128</v>
      </c>
      <c r="J183" t="s">
        <v>43</v>
      </c>
      <c r="K183" t="s">
        <v>43</v>
      </c>
      <c r="L183" t="s">
        <v>43</v>
      </c>
      <c r="M183" t="s">
        <v>43</v>
      </c>
      <c r="N183" t="s">
        <v>45</v>
      </c>
      <c r="O183" t="s">
        <v>43</v>
      </c>
      <c r="P183" t="s">
        <v>43</v>
      </c>
      <c r="Q183" t="s">
        <v>43</v>
      </c>
      <c r="R183" t="s">
        <v>43</v>
      </c>
      <c r="S183" t="s">
        <v>43</v>
      </c>
      <c r="T183" t="s">
        <v>43</v>
      </c>
      <c r="U183" t="s">
        <v>43</v>
      </c>
      <c r="V183" t="s">
        <v>43</v>
      </c>
      <c r="W183" t="s">
        <v>43</v>
      </c>
      <c r="X183" t="s">
        <v>43</v>
      </c>
      <c r="Y183" t="s">
        <v>43</v>
      </c>
      <c r="Z183" t="s">
        <v>43</v>
      </c>
      <c r="AA183" t="s">
        <v>43</v>
      </c>
      <c r="AB183" t="s">
        <v>43</v>
      </c>
      <c r="AC183" t="s">
        <v>43</v>
      </c>
      <c r="AD183" t="s">
        <v>43</v>
      </c>
      <c r="AE183" t="s">
        <v>43</v>
      </c>
      <c r="AF183" t="s">
        <v>43</v>
      </c>
      <c r="AG183" t="s">
        <v>43</v>
      </c>
      <c r="AH183" t="s">
        <v>43</v>
      </c>
      <c r="AI183" t="s">
        <v>43</v>
      </c>
      <c r="AJ183" t="s">
        <v>43</v>
      </c>
      <c r="AK183" t="s">
        <v>43</v>
      </c>
      <c r="AL183" t="s">
        <v>43</v>
      </c>
      <c r="AM183" t="s">
        <v>43</v>
      </c>
      <c r="AN183" t="str">
        <f>HYPERLINK("https://www.google.com/maps?q=11.05476284,79.06097412","Open Location")</f>
        <v>Open Location</v>
      </c>
    </row>
    <row r="184" spans="1:40" x14ac:dyDescent="0.3">
      <c r="A184" s="1">
        <v>46210.978819444441</v>
      </c>
      <c r="B184" t="s">
        <v>40</v>
      </c>
      <c r="C184" t="s">
        <v>41</v>
      </c>
      <c r="D184" s="1">
        <v>46210.98159722222</v>
      </c>
      <c r="E184" t="s">
        <v>42</v>
      </c>
      <c r="F184" t="s">
        <v>43</v>
      </c>
      <c r="G184" t="s">
        <v>43</v>
      </c>
      <c r="H184" t="s">
        <v>43</v>
      </c>
      <c r="I184" t="s">
        <v>144</v>
      </c>
      <c r="J184" t="s">
        <v>43</v>
      </c>
      <c r="K184" t="s">
        <v>43</v>
      </c>
      <c r="L184" t="s">
        <v>43</v>
      </c>
      <c r="M184" t="s">
        <v>43</v>
      </c>
      <c r="N184" t="s">
        <v>45</v>
      </c>
      <c r="O184" t="s">
        <v>43</v>
      </c>
      <c r="P184" t="s">
        <v>43</v>
      </c>
      <c r="Q184" t="s">
        <v>43</v>
      </c>
      <c r="R184" t="s">
        <v>43</v>
      </c>
      <c r="S184" t="s">
        <v>43</v>
      </c>
      <c r="T184" t="s">
        <v>43</v>
      </c>
      <c r="U184" t="s">
        <v>43</v>
      </c>
      <c r="V184" t="s">
        <v>43</v>
      </c>
      <c r="W184" t="s">
        <v>43</v>
      </c>
      <c r="X184" t="s">
        <v>43</v>
      </c>
      <c r="Y184" t="s">
        <v>43</v>
      </c>
      <c r="Z184" t="s">
        <v>43</v>
      </c>
      <c r="AA184" t="s">
        <v>43</v>
      </c>
      <c r="AB184" t="s">
        <v>43</v>
      </c>
      <c r="AC184" t="s">
        <v>43</v>
      </c>
      <c r="AD184" t="s">
        <v>43</v>
      </c>
      <c r="AE184" t="s">
        <v>43</v>
      </c>
      <c r="AF184" t="s">
        <v>43</v>
      </c>
      <c r="AG184" t="s">
        <v>43</v>
      </c>
      <c r="AH184" t="s">
        <v>43</v>
      </c>
      <c r="AI184" t="s">
        <v>43</v>
      </c>
      <c r="AJ184" t="s">
        <v>43</v>
      </c>
      <c r="AK184" t="s">
        <v>43</v>
      </c>
      <c r="AL184" t="s">
        <v>43</v>
      </c>
      <c r="AM184" t="s">
        <v>43</v>
      </c>
      <c r="AN184" t="str">
        <f>HYPERLINK("https://www.google.com/maps?q=11.05476379,79.06097412","Open Location")</f>
        <v>Open Location</v>
      </c>
    </row>
    <row r="185" spans="1:40" x14ac:dyDescent="0.3">
      <c r="A185" s="1">
        <v>46210.978703703702</v>
      </c>
      <c r="B185" t="s">
        <v>40</v>
      </c>
      <c r="C185" t="s">
        <v>41</v>
      </c>
      <c r="D185" s="1">
        <v>46210.981574074074</v>
      </c>
      <c r="E185" t="s">
        <v>42</v>
      </c>
      <c r="F185" t="s">
        <v>43</v>
      </c>
      <c r="G185" t="s">
        <v>43</v>
      </c>
      <c r="H185" t="s">
        <v>43</v>
      </c>
      <c r="I185" t="s">
        <v>128</v>
      </c>
      <c r="J185" t="s">
        <v>43</v>
      </c>
      <c r="K185" t="s">
        <v>43</v>
      </c>
      <c r="L185" t="s">
        <v>43</v>
      </c>
      <c r="M185" t="s">
        <v>43</v>
      </c>
      <c r="N185" t="s">
        <v>45</v>
      </c>
      <c r="O185" t="s">
        <v>43</v>
      </c>
      <c r="P185" t="s">
        <v>43</v>
      </c>
      <c r="Q185" t="s">
        <v>43</v>
      </c>
      <c r="R185" t="s">
        <v>43</v>
      </c>
      <c r="S185" t="s">
        <v>43</v>
      </c>
      <c r="T185" t="s">
        <v>43</v>
      </c>
      <c r="U185" t="s">
        <v>43</v>
      </c>
      <c r="V185" t="s">
        <v>43</v>
      </c>
      <c r="W185" t="s">
        <v>43</v>
      </c>
      <c r="X185" t="s">
        <v>43</v>
      </c>
      <c r="Y185" t="s">
        <v>43</v>
      </c>
      <c r="Z185" t="s">
        <v>43</v>
      </c>
      <c r="AA185" t="s">
        <v>43</v>
      </c>
      <c r="AB185" t="s">
        <v>43</v>
      </c>
      <c r="AC185" t="s">
        <v>43</v>
      </c>
      <c r="AD185" t="s">
        <v>43</v>
      </c>
      <c r="AE185" t="s">
        <v>43</v>
      </c>
      <c r="AF185" t="s">
        <v>43</v>
      </c>
      <c r="AG185" t="s">
        <v>43</v>
      </c>
      <c r="AH185" t="s">
        <v>43</v>
      </c>
      <c r="AI185" t="s">
        <v>43</v>
      </c>
      <c r="AJ185" t="s">
        <v>43</v>
      </c>
      <c r="AK185" t="s">
        <v>43</v>
      </c>
      <c r="AL185" t="s">
        <v>43</v>
      </c>
      <c r="AM185" t="s">
        <v>43</v>
      </c>
      <c r="AN185" t="str">
        <f>HYPERLINK("https://www.google.com/maps?q=11.05476284,79.06097412","Open Location")</f>
        <v>Open Location</v>
      </c>
    </row>
    <row r="186" spans="1:40" x14ac:dyDescent="0.3">
      <c r="A186" s="1">
        <v>46210.978587962964</v>
      </c>
      <c r="B186" t="s">
        <v>40</v>
      </c>
      <c r="C186" t="s">
        <v>41</v>
      </c>
      <c r="D186" s="1">
        <v>46210.981585648151</v>
      </c>
      <c r="E186" t="s">
        <v>42</v>
      </c>
      <c r="F186" t="s">
        <v>43</v>
      </c>
      <c r="G186" t="s">
        <v>43</v>
      </c>
      <c r="H186" t="s">
        <v>43</v>
      </c>
      <c r="I186" t="s">
        <v>120</v>
      </c>
      <c r="J186" t="s">
        <v>43</v>
      </c>
      <c r="K186" t="s">
        <v>43</v>
      </c>
      <c r="L186" t="s">
        <v>43</v>
      </c>
      <c r="M186" t="s">
        <v>43</v>
      </c>
      <c r="N186" t="s">
        <v>45</v>
      </c>
      <c r="O186" t="s">
        <v>43</v>
      </c>
      <c r="P186" t="s">
        <v>43</v>
      </c>
      <c r="Q186" t="s">
        <v>43</v>
      </c>
      <c r="R186" t="s">
        <v>43</v>
      </c>
      <c r="S186" t="s">
        <v>43</v>
      </c>
      <c r="T186" t="s">
        <v>43</v>
      </c>
      <c r="U186" t="s">
        <v>43</v>
      </c>
      <c r="V186" t="s">
        <v>43</v>
      </c>
      <c r="W186" t="s">
        <v>43</v>
      </c>
      <c r="X186" t="s">
        <v>43</v>
      </c>
      <c r="Y186" t="s">
        <v>43</v>
      </c>
      <c r="Z186" t="s">
        <v>43</v>
      </c>
      <c r="AA186" t="s">
        <v>43</v>
      </c>
      <c r="AB186" t="s">
        <v>43</v>
      </c>
      <c r="AC186" t="s">
        <v>43</v>
      </c>
      <c r="AD186" t="s">
        <v>43</v>
      </c>
      <c r="AE186" t="s">
        <v>43</v>
      </c>
      <c r="AF186" t="s">
        <v>43</v>
      </c>
      <c r="AG186" t="s">
        <v>43</v>
      </c>
      <c r="AH186" t="s">
        <v>43</v>
      </c>
      <c r="AI186" t="s">
        <v>43</v>
      </c>
      <c r="AJ186" t="s">
        <v>43</v>
      </c>
      <c r="AK186" t="s">
        <v>43</v>
      </c>
      <c r="AL186" t="s">
        <v>43</v>
      </c>
      <c r="AM186" t="s">
        <v>43</v>
      </c>
      <c r="AN186" t="str">
        <f>HYPERLINK("https://www.google.com/maps?q=11.05476379,79.06096649","Open Location")</f>
        <v>Open Location</v>
      </c>
    </row>
    <row r="187" spans="1:40" x14ac:dyDescent="0.3">
      <c r="A187" s="1">
        <v>46210.978472222225</v>
      </c>
      <c r="B187" t="s">
        <v>40</v>
      </c>
      <c r="C187" t="s">
        <v>41</v>
      </c>
      <c r="D187" s="1">
        <v>46210.981481481482</v>
      </c>
      <c r="E187" t="s">
        <v>42</v>
      </c>
      <c r="F187" t="s">
        <v>43</v>
      </c>
      <c r="G187" t="s">
        <v>43</v>
      </c>
      <c r="H187" t="s">
        <v>43</v>
      </c>
      <c r="I187" t="s">
        <v>43</v>
      </c>
      <c r="J187" t="s">
        <v>43</v>
      </c>
      <c r="K187" t="s">
        <v>43</v>
      </c>
      <c r="L187" t="s">
        <v>43</v>
      </c>
      <c r="M187" t="s">
        <v>43</v>
      </c>
      <c r="N187" t="s">
        <v>45</v>
      </c>
      <c r="O187" t="s">
        <v>43</v>
      </c>
      <c r="P187" t="s">
        <v>43</v>
      </c>
      <c r="Q187" t="s">
        <v>43</v>
      </c>
      <c r="R187" t="s">
        <v>43</v>
      </c>
      <c r="S187" t="s">
        <v>43</v>
      </c>
      <c r="T187" t="s">
        <v>43</v>
      </c>
      <c r="U187" t="s">
        <v>43</v>
      </c>
      <c r="V187" t="s">
        <v>43</v>
      </c>
      <c r="W187" t="s">
        <v>43</v>
      </c>
      <c r="X187" t="s">
        <v>43</v>
      </c>
      <c r="Y187" t="s">
        <v>43</v>
      </c>
      <c r="Z187" t="s">
        <v>43</v>
      </c>
      <c r="AA187" t="s">
        <v>43</v>
      </c>
      <c r="AB187" t="s">
        <v>43</v>
      </c>
      <c r="AC187" t="s">
        <v>43</v>
      </c>
      <c r="AD187" t="s">
        <v>43</v>
      </c>
      <c r="AE187" t="s">
        <v>43</v>
      </c>
      <c r="AF187" t="s">
        <v>43</v>
      </c>
      <c r="AG187" t="s">
        <v>43</v>
      </c>
      <c r="AH187" t="s">
        <v>43</v>
      </c>
      <c r="AI187" t="s">
        <v>43</v>
      </c>
      <c r="AJ187" t="s">
        <v>43</v>
      </c>
      <c r="AK187" t="s">
        <v>43</v>
      </c>
      <c r="AL187" t="s">
        <v>43</v>
      </c>
      <c r="AM187" t="s">
        <v>43</v>
      </c>
      <c r="AN187" t="s">
        <v>43</v>
      </c>
    </row>
    <row r="188" spans="1:40" x14ac:dyDescent="0.3">
      <c r="A188" s="1">
        <v>46210.978356481479</v>
      </c>
      <c r="B188" t="s">
        <v>40</v>
      </c>
      <c r="C188" t="s">
        <v>41</v>
      </c>
      <c r="D188" s="1">
        <v>46210.981446759259</v>
      </c>
      <c r="E188" t="s">
        <v>42</v>
      </c>
      <c r="F188" t="s">
        <v>43</v>
      </c>
      <c r="G188" t="s">
        <v>43</v>
      </c>
      <c r="H188" t="s">
        <v>43</v>
      </c>
      <c r="I188" t="s">
        <v>144</v>
      </c>
      <c r="J188" t="s">
        <v>43</v>
      </c>
      <c r="K188" t="s">
        <v>43</v>
      </c>
      <c r="L188" t="s">
        <v>43</v>
      </c>
      <c r="M188" t="s">
        <v>43</v>
      </c>
      <c r="N188" t="s">
        <v>45</v>
      </c>
      <c r="O188" t="s">
        <v>43</v>
      </c>
      <c r="P188" t="s">
        <v>43</v>
      </c>
      <c r="Q188" t="s">
        <v>43</v>
      </c>
      <c r="R188" t="s">
        <v>43</v>
      </c>
      <c r="S188" t="s">
        <v>43</v>
      </c>
      <c r="T188" t="s">
        <v>43</v>
      </c>
      <c r="U188" t="s">
        <v>43</v>
      </c>
      <c r="V188" t="s">
        <v>43</v>
      </c>
      <c r="W188" t="s">
        <v>43</v>
      </c>
      <c r="X188" t="s">
        <v>43</v>
      </c>
      <c r="Y188" t="s">
        <v>43</v>
      </c>
      <c r="Z188" t="s">
        <v>43</v>
      </c>
      <c r="AA188" t="s">
        <v>43</v>
      </c>
      <c r="AB188" t="s">
        <v>43</v>
      </c>
      <c r="AC188" t="s">
        <v>43</v>
      </c>
      <c r="AD188" t="s">
        <v>43</v>
      </c>
      <c r="AE188" t="s">
        <v>43</v>
      </c>
      <c r="AF188" t="s">
        <v>43</v>
      </c>
      <c r="AG188" t="s">
        <v>43</v>
      </c>
      <c r="AH188" t="s">
        <v>43</v>
      </c>
      <c r="AI188" t="s">
        <v>43</v>
      </c>
      <c r="AJ188" t="s">
        <v>43</v>
      </c>
      <c r="AK188" t="s">
        <v>43</v>
      </c>
      <c r="AL188" t="s">
        <v>43</v>
      </c>
      <c r="AM188" t="s">
        <v>43</v>
      </c>
      <c r="AN188" t="str">
        <f>HYPERLINK("https://www.google.com/maps?q=11.05476379,79.06097412","Open Location")</f>
        <v>Open Location</v>
      </c>
    </row>
    <row r="189" spans="1:40" x14ac:dyDescent="0.3">
      <c r="A189" s="1">
        <v>46210.97824074074</v>
      </c>
      <c r="B189" t="s">
        <v>40</v>
      </c>
      <c r="C189" t="s">
        <v>41</v>
      </c>
      <c r="D189" s="1">
        <v>46210.981099537035</v>
      </c>
      <c r="E189" t="s">
        <v>42</v>
      </c>
      <c r="F189" t="s">
        <v>43</v>
      </c>
      <c r="G189" t="s">
        <v>43</v>
      </c>
      <c r="H189" t="s">
        <v>43</v>
      </c>
      <c r="I189" t="s">
        <v>145</v>
      </c>
      <c r="J189" t="s">
        <v>43</v>
      </c>
      <c r="K189" t="s">
        <v>43</v>
      </c>
      <c r="L189" t="s">
        <v>43</v>
      </c>
      <c r="M189" t="s">
        <v>43</v>
      </c>
      <c r="N189" t="s">
        <v>45</v>
      </c>
      <c r="O189" t="s">
        <v>43</v>
      </c>
      <c r="P189" t="s">
        <v>43</v>
      </c>
      <c r="Q189" t="s">
        <v>43</v>
      </c>
      <c r="R189" t="s">
        <v>43</v>
      </c>
      <c r="S189" t="s">
        <v>43</v>
      </c>
      <c r="T189" t="s">
        <v>43</v>
      </c>
      <c r="U189" t="s">
        <v>43</v>
      </c>
      <c r="V189" t="s">
        <v>43</v>
      </c>
      <c r="W189" t="s">
        <v>43</v>
      </c>
      <c r="X189" t="s">
        <v>43</v>
      </c>
      <c r="Y189" t="s">
        <v>43</v>
      </c>
      <c r="Z189" t="s">
        <v>43</v>
      </c>
      <c r="AA189" t="s">
        <v>43</v>
      </c>
      <c r="AB189" t="s">
        <v>43</v>
      </c>
      <c r="AC189" t="s">
        <v>43</v>
      </c>
      <c r="AD189" t="s">
        <v>43</v>
      </c>
      <c r="AE189" t="s">
        <v>43</v>
      </c>
      <c r="AF189" t="s">
        <v>43</v>
      </c>
      <c r="AG189" t="s">
        <v>43</v>
      </c>
      <c r="AH189" t="s">
        <v>43</v>
      </c>
      <c r="AI189" t="s">
        <v>43</v>
      </c>
      <c r="AJ189" t="s">
        <v>43</v>
      </c>
      <c r="AK189" t="s">
        <v>43</v>
      </c>
      <c r="AL189" t="s">
        <v>43</v>
      </c>
      <c r="AM189" t="s">
        <v>43</v>
      </c>
      <c r="AN189" t="str">
        <f>HYPERLINK("https://www.google.com/maps?q=11.05476189,79.06097412","Open Location")</f>
        <v>Open Location</v>
      </c>
    </row>
    <row r="190" spans="1:40" x14ac:dyDescent="0.3">
      <c r="A190" s="1">
        <v>46210.978125000001</v>
      </c>
      <c r="B190" t="s">
        <v>40</v>
      </c>
      <c r="C190" t="s">
        <v>41</v>
      </c>
      <c r="D190" s="1">
        <v>46210.980891203704</v>
      </c>
      <c r="E190" t="s">
        <v>42</v>
      </c>
      <c r="F190" t="s">
        <v>43</v>
      </c>
      <c r="G190" t="s">
        <v>43</v>
      </c>
      <c r="H190" t="s">
        <v>43</v>
      </c>
      <c r="I190" t="s">
        <v>145</v>
      </c>
      <c r="J190" t="s">
        <v>43</v>
      </c>
      <c r="K190" t="s">
        <v>43</v>
      </c>
      <c r="L190" t="s">
        <v>43</v>
      </c>
      <c r="M190" t="s">
        <v>43</v>
      </c>
      <c r="N190" t="s">
        <v>45</v>
      </c>
      <c r="O190" t="s">
        <v>43</v>
      </c>
      <c r="P190" t="s">
        <v>43</v>
      </c>
      <c r="Q190" t="s">
        <v>43</v>
      </c>
      <c r="R190" t="s">
        <v>43</v>
      </c>
      <c r="S190" t="s">
        <v>43</v>
      </c>
      <c r="T190" t="s">
        <v>43</v>
      </c>
      <c r="U190" t="s">
        <v>43</v>
      </c>
      <c r="V190" t="s">
        <v>43</v>
      </c>
      <c r="W190" t="s">
        <v>43</v>
      </c>
      <c r="X190" t="s">
        <v>43</v>
      </c>
      <c r="Y190" t="s">
        <v>43</v>
      </c>
      <c r="Z190" t="s">
        <v>43</v>
      </c>
      <c r="AA190" t="s">
        <v>43</v>
      </c>
      <c r="AB190" t="s">
        <v>43</v>
      </c>
      <c r="AC190" t="s">
        <v>43</v>
      </c>
      <c r="AD190" t="s">
        <v>43</v>
      </c>
      <c r="AE190" t="s">
        <v>43</v>
      </c>
      <c r="AF190" t="s">
        <v>43</v>
      </c>
      <c r="AG190" t="s">
        <v>43</v>
      </c>
      <c r="AH190" t="s">
        <v>43</v>
      </c>
      <c r="AI190" t="s">
        <v>43</v>
      </c>
      <c r="AJ190" t="s">
        <v>43</v>
      </c>
      <c r="AK190" t="s">
        <v>43</v>
      </c>
      <c r="AL190" t="s">
        <v>43</v>
      </c>
      <c r="AM190" t="s">
        <v>43</v>
      </c>
      <c r="AN190" t="str">
        <f>HYPERLINK("https://www.google.com/maps?q=11.05476189,79.06097412","Open Location")</f>
        <v>Open Location</v>
      </c>
    </row>
    <row r="191" spans="1:40" x14ac:dyDescent="0.3">
      <c r="A191" s="1">
        <v>46210.978009259263</v>
      </c>
      <c r="B191" t="s">
        <v>40</v>
      </c>
      <c r="C191" t="s">
        <v>41</v>
      </c>
      <c r="D191" s="1">
        <v>46210.980798611112</v>
      </c>
      <c r="E191" t="s">
        <v>42</v>
      </c>
      <c r="F191" t="s">
        <v>43</v>
      </c>
      <c r="G191" t="s">
        <v>43</v>
      </c>
      <c r="H191" t="s">
        <v>43</v>
      </c>
      <c r="I191" t="s">
        <v>146</v>
      </c>
      <c r="J191" t="s">
        <v>43</v>
      </c>
      <c r="K191" t="s">
        <v>43</v>
      </c>
      <c r="L191" t="s">
        <v>43</v>
      </c>
      <c r="M191" t="s">
        <v>43</v>
      </c>
      <c r="N191" t="s">
        <v>45</v>
      </c>
      <c r="O191" t="s">
        <v>43</v>
      </c>
      <c r="P191" t="s">
        <v>43</v>
      </c>
      <c r="Q191" t="s">
        <v>43</v>
      </c>
      <c r="R191" t="s">
        <v>43</v>
      </c>
      <c r="S191" t="s">
        <v>43</v>
      </c>
      <c r="T191" t="s">
        <v>43</v>
      </c>
      <c r="U191" t="s">
        <v>43</v>
      </c>
      <c r="V191" t="s">
        <v>43</v>
      </c>
      <c r="W191" t="s">
        <v>43</v>
      </c>
      <c r="X191" t="s">
        <v>43</v>
      </c>
      <c r="Y191" t="s">
        <v>43</v>
      </c>
      <c r="Z191" t="s">
        <v>43</v>
      </c>
      <c r="AA191" t="s">
        <v>43</v>
      </c>
      <c r="AB191" t="s">
        <v>43</v>
      </c>
      <c r="AC191" t="s">
        <v>43</v>
      </c>
      <c r="AD191" t="s">
        <v>43</v>
      </c>
      <c r="AE191" t="s">
        <v>43</v>
      </c>
      <c r="AF191" t="s">
        <v>43</v>
      </c>
      <c r="AG191" t="s">
        <v>43</v>
      </c>
      <c r="AH191" t="s">
        <v>43</v>
      </c>
      <c r="AI191" t="s">
        <v>43</v>
      </c>
      <c r="AJ191" t="s">
        <v>43</v>
      </c>
      <c r="AK191" t="s">
        <v>43</v>
      </c>
      <c r="AL191" t="s">
        <v>43</v>
      </c>
      <c r="AM191" t="s">
        <v>43</v>
      </c>
      <c r="AN191" t="str">
        <f>HYPERLINK("https://www.google.com/maps?q=11.0547657,79.06097412","Open Location")</f>
        <v>Open Location</v>
      </c>
    </row>
    <row r="192" spans="1:40" x14ac:dyDescent="0.3">
      <c r="A192" s="1">
        <v>46210.977893518517</v>
      </c>
      <c r="B192" t="s">
        <v>40</v>
      </c>
      <c r="C192" t="s">
        <v>41</v>
      </c>
      <c r="D192" s="1">
        <v>46210.980763888889</v>
      </c>
      <c r="E192" t="s">
        <v>42</v>
      </c>
      <c r="F192" t="s">
        <v>43</v>
      </c>
      <c r="G192" t="s">
        <v>43</v>
      </c>
      <c r="H192" t="s">
        <v>43</v>
      </c>
      <c r="I192" t="s">
        <v>123</v>
      </c>
      <c r="J192" t="s">
        <v>43</v>
      </c>
      <c r="K192" t="s">
        <v>43</v>
      </c>
      <c r="L192" t="s">
        <v>43</v>
      </c>
      <c r="M192" t="s">
        <v>43</v>
      </c>
      <c r="N192" t="s">
        <v>45</v>
      </c>
      <c r="O192" t="s">
        <v>43</v>
      </c>
      <c r="P192" t="s">
        <v>43</v>
      </c>
      <c r="Q192" t="s">
        <v>43</v>
      </c>
      <c r="R192" t="s">
        <v>43</v>
      </c>
      <c r="S192" t="s">
        <v>43</v>
      </c>
      <c r="T192" t="s">
        <v>43</v>
      </c>
      <c r="U192" t="s">
        <v>43</v>
      </c>
      <c r="V192" t="s">
        <v>43</v>
      </c>
      <c r="W192" t="s">
        <v>43</v>
      </c>
      <c r="X192" t="s">
        <v>43</v>
      </c>
      <c r="Y192" t="s">
        <v>43</v>
      </c>
      <c r="Z192" t="s">
        <v>43</v>
      </c>
      <c r="AA192" t="s">
        <v>43</v>
      </c>
      <c r="AB192" t="s">
        <v>43</v>
      </c>
      <c r="AC192" t="s">
        <v>43</v>
      </c>
      <c r="AD192" t="s">
        <v>43</v>
      </c>
      <c r="AE192" t="s">
        <v>43</v>
      </c>
      <c r="AF192" t="s">
        <v>43</v>
      </c>
      <c r="AG192" t="s">
        <v>43</v>
      </c>
      <c r="AH192" t="s">
        <v>43</v>
      </c>
      <c r="AI192" t="s">
        <v>43</v>
      </c>
      <c r="AJ192" t="s">
        <v>43</v>
      </c>
      <c r="AK192" t="s">
        <v>43</v>
      </c>
      <c r="AL192" t="s">
        <v>43</v>
      </c>
      <c r="AM192" t="s">
        <v>43</v>
      </c>
      <c r="AN192" t="str">
        <f>HYPERLINK("https://www.google.com/maps?q=11.05477047,79.06097412","Open Location")</f>
        <v>Open Location</v>
      </c>
    </row>
    <row r="193" spans="1:40" x14ac:dyDescent="0.3">
      <c r="A193" s="1">
        <v>46210.977777777778</v>
      </c>
      <c r="B193" t="s">
        <v>40</v>
      </c>
      <c r="C193" t="s">
        <v>41</v>
      </c>
      <c r="D193" s="1">
        <v>46210.98064814815</v>
      </c>
      <c r="E193" t="s">
        <v>42</v>
      </c>
      <c r="F193" t="s">
        <v>43</v>
      </c>
      <c r="G193" t="s">
        <v>43</v>
      </c>
      <c r="H193" t="s">
        <v>43</v>
      </c>
      <c r="I193" t="s">
        <v>43</v>
      </c>
      <c r="J193" t="s">
        <v>43</v>
      </c>
      <c r="K193" t="s">
        <v>43</v>
      </c>
      <c r="L193" t="s">
        <v>43</v>
      </c>
      <c r="M193" t="s">
        <v>43</v>
      </c>
      <c r="N193" t="s">
        <v>45</v>
      </c>
      <c r="O193" t="s">
        <v>43</v>
      </c>
      <c r="P193" t="s">
        <v>43</v>
      </c>
      <c r="Q193" t="s">
        <v>43</v>
      </c>
      <c r="R193" t="s">
        <v>43</v>
      </c>
      <c r="S193" t="s">
        <v>43</v>
      </c>
      <c r="T193" t="s">
        <v>43</v>
      </c>
      <c r="U193" t="s">
        <v>43</v>
      </c>
      <c r="V193" t="s">
        <v>43</v>
      </c>
      <c r="W193" t="s">
        <v>43</v>
      </c>
      <c r="X193" t="s">
        <v>43</v>
      </c>
      <c r="Y193" t="s">
        <v>43</v>
      </c>
      <c r="Z193" t="s">
        <v>43</v>
      </c>
      <c r="AA193" t="s">
        <v>43</v>
      </c>
      <c r="AB193" t="s">
        <v>43</v>
      </c>
      <c r="AC193" t="s">
        <v>43</v>
      </c>
      <c r="AD193" t="s">
        <v>43</v>
      </c>
      <c r="AE193" t="s">
        <v>43</v>
      </c>
      <c r="AF193" t="s">
        <v>43</v>
      </c>
      <c r="AG193" t="s">
        <v>43</v>
      </c>
      <c r="AH193" t="s">
        <v>43</v>
      </c>
      <c r="AI193" t="s">
        <v>43</v>
      </c>
      <c r="AJ193" t="s">
        <v>43</v>
      </c>
      <c r="AK193" t="s">
        <v>43</v>
      </c>
      <c r="AL193" t="s">
        <v>43</v>
      </c>
      <c r="AM193" t="s">
        <v>43</v>
      </c>
      <c r="AN193" t="s">
        <v>43</v>
      </c>
    </row>
    <row r="194" spans="1:40" x14ac:dyDescent="0.3">
      <c r="A194" s="1">
        <v>46210.977662037039</v>
      </c>
      <c r="B194" t="s">
        <v>40</v>
      </c>
      <c r="C194" t="s">
        <v>41</v>
      </c>
      <c r="D194" s="1">
        <v>46210.980416666665</v>
      </c>
      <c r="E194" t="s">
        <v>42</v>
      </c>
      <c r="F194" t="s">
        <v>43</v>
      </c>
      <c r="G194" t="s">
        <v>43</v>
      </c>
      <c r="H194" t="s">
        <v>43</v>
      </c>
      <c r="I194" t="s">
        <v>125</v>
      </c>
      <c r="J194" t="s">
        <v>43</v>
      </c>
      <c r="K194" t="s">
        <v>43</v>
      </c>
      <c r="L194" t="s">
        <v>43</v>
      </c>
      <c r="M194" t="s">
        <v>43</v>
      </c>
      <c r="N194" t="s">
        <v>45</v>
      </c>
      <c r="O194" t="s">
        <v>43</v>
      </c>
      <c r="P194" t="s">
        <v>43</v>
      </c>
      <c r="Q194" t="s">
        <v>43</v>
      </c>
      <c r="R194" t="s">
        <v>43</v>
      </c>
      <c r="S194" t="s">
        <v>43</v>
      </c>
      <c r="T194" t="s">
        <v>43</v>
      </c>
      <c r="U194" t="s">
        <v>43</v>
      </c>
      <c r="V194" t="s">
        <v>43</v>
      </c>
      <c r="W194" t="s">
        <v>43</v>
      </c>
      <c r="X194" t="s">
        <v>43</v>
      </c>
      <c r="Y194" t="s">
        <v>43</v>
      </c>
      <c r="Z194" t="s">
        <v>43</v>
      </c>
      <c r="AA194" t="s">
        <v>43</v>
      </c>
      <c r="AB194" t="s">
        <v>43</v>
      </c>
      <c r="AC194" t="s">
        <v>43</v>
      </c>
      <c r="AD194" t="s">
        <v>43</v>
      </c>
      <c r="AE194" t="s">
        <v>43</v>
      </c>
      <c r="AF194" t="s">
        <v>43</v>
      </c>
      <c r="AG194" t="s">
        <v>43</v>
      </c>
      <c r="AH194" t="s">
        <v>43</v>
      </c>
      <c r="AI194" t="s">
        <v>43</v>
      </c>
      <c r="AJ194" t="s">
        <v>43</v>
      </c>
      <c r="AK194" t="s">
        <v>43</v>
      </c>
      <c r="AL194" t="s">
        <v>43</v>
      </c>
      <c r="AM194" t="s">
        <v>43</v>
      </c>
      <c r="AN194" t="str">
        <f>HYPERLINK("https://www.google.com/maps?q=11.05477142,79.06097412","Open Location")</f>
        <v>Open Location</v>
      </c>
    </row>
    <row r="195" spans="1:40" x14ac:dyDescent="0.3">
      <c r="A195" s="1">
        <v>46210.977546296293</v>
      </c>
      <c r="B195" t="s">
        <v>40</v>
      </c>
      <c r="C195" t="s">
        <v>41</v>
      </c>
      <c r="D195" s="1">
        <v>46210.980416666665</v>
      </c>
      <c r="E195" t="s">
        <v>42</v>
      </c>
      <c r="F195" t="s">
        <v>43</v>
      </c>
      <c r="G195" t="s">
        <v>43</v>
      </c>
      <c r="H195" t="s">
        <v>43</v>
      </c>
      <c r="I195" t="s">
        <v>147</v>
      </c>
      <c r="J195" t="s">
        <v>43</v>
      </c>
      <c r="K195" t="s">
        <v>43</v>
      </c>
      <c r="L195" t="s">
        <v>43</v>
      </c>
      <c r="M195" t="s">
        <v>43</v>
      </c>
      <c r="N195" t="s">
        <v>45</v>
      </c>
      <c r="O195" t="s">
        <v>43</v>
      </c>
      <c r="P195" t="s">
        <v>43</v>
      </c>
      <c r="Q195" t="s">
        <v>43</v>
      </c>
      <c r="R195" t="s">
        <v>43</v>
      </c>
      <c r="S195" t="s">
        <v>43</v>
      </c>
      <c r="T195" t="s">
        <v>43</v>
      </c>
      <c r="U195" t="s">
        <v>43</v>
      </c>
      <c r="V195" t="s">
        <v>43</v>
      </c>
      <c r="W195" t="s">
        <v>43</v>
      </c>
      <c r="X195" t="s">
        <v>43</v>
      </c>
      <c r="Y195" t="s">
        <v>43</v>
      </c>
      <c r="Z195" t="s">
        <v>43</v>
      </c>
      <c r="AA195" t="s">
        <v>43</v>
      </c>
      <c r="AB195" t="s">
        <v>43</v>
      </c>
      <c r="AC195" t="s">
        <v>43</v>
      </c>
      <c r="AD195" t="s">
        <v>43</v>
      </c>
      <c r="AE195" t="s">
        <v>43</v>
      </c>
      <c r="AF195" t="s">
        <v>43</v>
      </c>
      <c r="AG195" t="s">
        <v>43</v>
      </c>
      <c r="AH195" t="s">
        <v>43</v>
      </c>
      <c r="AI195" t="s">
        <v>43</v>
      </c>
      <c r="AJ195" t="s">
        <v>43</v>
      </c>
      <c r="AK195" t="s">
        <v>43</v>
      </c>
      <c r="AL195" t="s">
        <v>43</v>
      </c>
      <c r="AM195" t="s">
        <v>43</v>
      </c>
      <c r="AN195" t="str">
        <f>HYPERLINK("https://www.google.com/maps?q=11.05476761,79.06097412","Open Location")</f>
        <v>Open Location</v>
      </c>
    </row>
    <row r="196" spans="1:40" x14ac:dyDescent="0.3">
      <c r="A196" s="1">
        <v>46210.977430555555</v>
      </c>
      <c r="B196" t="s">
        <v>40</v>
      </c>
      <c r="C196" t="s">
        <v>41</v>
      </c>
      <c r="D196" s="1">
        <v>46210.980138888888</v>
      </c>
      <c r="E196" t="s">
        <v>42</v>
      </c>
      <c r="F196" t="s">
        <v>43</v>
      </c>
      <c r="G196" t="s">
        <v>43</v>
      </c>
      <c r="H196" t="s">
        <v>43</v>
      </c>
      <c r="I196" t="s">
        <v>148</v>
      </c>
      <c r="J196" t="s">
        <v>43</v>
      </c>
      <c r="K196" t="s">
        <v>43</v>
      </c>
      <c r="L196" t="s">
        <v>43</v>
      </c>
      <c r="M196" t="s">
        <v>43</v>
      </c>
      <c r="N196" t="s">
        <v>45</v>
      </c>
      <c r="O196" t="s">
        <v>43</v>
      </c>
      <c r="P196" t="s">
        <v>43</v>
      </c>
      <c r="Q196" t="s">
        <v>43</v>
      </c>
      <c r="R196" t="s">
        <v>43</v>
      </c>
      <c r="S196" t="s">
        <v>43</v>
      </c>
      <c r="T196" t="s">
        <v>43</v>
      </c>
      <c r="U196" t="s">
        <v>43</v>
      </c>
      <c r="V196" t="s">
        <v>43</v>
      </c>
      <c r="W196" t="s">
        <v>43</v>
      </c>
      <c r="X196" t="s">
        <v>43</v>
      </c>
      <c r="Y196" t="s">
        <v>43</v>
      </c>
      <c r="Z196" t="s">
        <v>43</v>
      </c>
      <c r="AA196" t="s">
        <v>43</v>
      </c>
      <c r="AB196" t="s">
        <v>43</v>
      </c>
      <c r="AC196" t="s">
        <v>43</v>
      </c>
      <c r="AD196" t="s">
        <v>43</v>
      </c>
      <c r="AE196" t="s">
        <v>43</v>
      </c>
      <c r="AF196" t="s">
        <v>43</v>
      </c>
      <c r="AG196" t="s">
        <v>43</v>
      </c>
      <c r="AH196" t="s">
        <v>43</v>
      </c>
      <c r="AI196" t="s">
        <v>43</v>
      </c>
      <c r="AJ196" t="s">
        <v>43</v>
      </c>
      <c r="AK196" t="s">
        <v>43</v>
      </c>
      <c r="AL196" t="s">
        <v>43</v>
      </c>
      <c r="AM196" t="s">
        <v>43</v>
      </c>
      <c r="AN196" t="str">
        <f>HYPERLINK("https://www.google.com/maps?q=11.05476475,79.06097412","Open Location")</f>
        <v>Open Location</v>
      </c>
    </row>
    <row r="197" spans="1:40" x14ac:dyDescent="0.3">
      <c r="A197" s="1">
        <v>46210.977314814816</v>
      </c>
      <c r="B197" t="s">
        <v>40</v>
      </c>
      <c r="C197" t="s">
        <v>41</v>
      </c>
      <c r="D197" s="1">
        <v>46210.980069444442</v>
      </c>
      <c r="E197" t="s">
        <v>42</v>
      </c>
      <c r="F197" t="s">
        <v>43</v>
      </c>
      <c r="G197" t="s">
        <v>43</v>
      </c>
      <c r="H197" t="s">
        <v>43</v>
      </c>
      <c r="I197" t="s">
        <v>148</v>
      </c>
      <c r="J197" t="s">
        <v>43</v>
      </c>
      <c r="K197" t="s">
        <v>43</v>
      </c>
      <c r="L197" t="s">
        <v>43</v>
      </c>
      <c r="M197" t="s">
        <v>43</v>
      </c>
      <c r="N197" t="s">
        <v>45</v>
      </c>
      <c r="O197" t="s">
        <v>43</v>
      </c>
      <c r="P197" t="s">
        <v>43</v>
      </c>
      <c r="Q197" t="s">
        <v>43</v>
      </c>
      <c r="R197" t="s">
        <v>43</v>
      </c>
      <c r="S197" t="s">
        <v>43</v>
      </c>
      <c r="T197" t="s">
        <v>43</v>
      </c>
      <c r="U197" t="s">
        <v>43</v>
      </c>
      <c r="V197" t="s">
        <v>43</v>
      </c>
      <c r="W197" t="s">
        <v>43</v>
      </c>
      <c r="X197" t="s">
        <v>43</v>
      </c>
      <c r="Y197" t="s">
        <v>43</v>
      </c>
      <c r="Z197" t="s">
        <v>43</v>
      </c>
      <c r="AA197" t="s">
        <v>43</v>
      </c>
      <c r="AB197" t="s">
        <v>43</v>
      </c>
      <c r="AC197" t="s">
        <v>43</v>
      </c>
      <c r="AD197" t="s">
        <v>43</v>
      </c>
      <c r="AE197" t="s">
        <v>43</v>
      </c>
      <c r="AF197" t="s">
        <v>43</v>
      </c>
      <c r="AG197" t="s">
        <v>43</v>
      </c>
      <c r="AH197" t="s">
        <v>43</v>
      </c>
      <c r="AI197" t="s">
        <v>43</v>
      </c>
      <c r="AJ197" t="s">
        <v>43</v>
      </c>
      <c r="AK197" t="s">
        <v>43</v>
      </c>
      <c r="AL197" t="s">
        <v>43</v>
      </c>
      <c r="AM197" t="s">
        <v>43</v>
      </c>
      <c r="AN197" t="str">
        <f>HYPERLINK("https://www.google.com/maps?q=11.05476475,79.06097412","Open Location")</f>
        <v>Open Location</v>
      </c>
    </row>
    <row r="198" spans="1:40" x14ac:dyDescent="0.3">
      <c r="A198" s="1">
        <v>46210.977199074077</v>
      </c>
      <c r="B198" t="s">
        <v>40</v>
      </c>
      <c r="C198" t="s">
        <v>41</v>
      </c>
      <c r="D198" s="1">
        <v>46210.98027777778</v>
      </c>
      <c r="E198" t="s">
        <v>42</v>
      </c>
      <c r="F198" t="s">
        <v>43</v>
      </c>
      <c r="G198" t="s">
        <v>43</v>
      </c>
      <c r="H198" t="s">
        <v>43</v>
      </c>
      <c r="I198" t="s">
        <v>43</v>
      </c>
      <c r="J198" t="s">
        <v>43</v>
      </c>
      <c r="K198" t="s">
        <v>43</v>
      </c>
      <c r="L198" t="s">
        <v>43</v>
      </c>
      <c r="M198" t="s">
        <v>43</v>
      </c>
      <c r="N198" t="s">
        <v>45</v>
      </c>
      <c r="O198" t="s">
        <v>43</v>
      </c>
      <c r="P198" t="s">
        <v>43</v>
      </c>
      <c r="Q198" t="s">
        <v>43</v>
      </c>
      <c r="R198" t="s">
        <v>43</v>
      </c>
      <c r="S198" t="s">
        <v>43</v>
      </c>
      <c r="T198" t="s">
        <v>43</v>
      </c>
      <c r="U198" t="s">
        <v>43</v>
      </c>
      <c r="V198" t="s">
        <v>43</v>
      </c>
      <c r="W198" t="s">
        <v>43</v>
      </c>
      <c r="X198" t="s">
        <v>43</v>
      </c>
      <c r="Y198" t="s">
        <v>43</v>
      </c>
      <c r="Z198" t="s">
        <v>43</v>
      </c>
      <c r="AA198" t="s">
        <v>43</v>
      </c>
      <c r="AB198" t="s">
        <v>43</v>
      </c>
      <c r="AC198" t="s">
        <v>43</v>
      </c>
      <c r="AD198" t="s">
        <v>43</v>
      </c>
      <c r="AE198" t="s">
        <v>43</v>
      </c>
      <c r="AF198" t="s">
        <v>43</v>
      </c>
      <c r="AG198" t="s">
        <v>43</v>
      </c>
      <c r="AH198" t="s">
        <v>43</v>
      </c>
      <c r="AI198" t="s">
        <v>43</v>
      </c>
      <c r="AJ198" t="s">
        <v>43</v>
      </c>
      <c r="AK198" t="s">
        <v>43</v>
      </c>
      <c r="AL198" t="s">
        <v>43</v>
      </c>
      <c r="AM198" t="s">
        <v>43</v>
      </c>
      <c r="AN198" t="s">
        <v>43</v>
      </c>
    </row>
    <row r="199" spans="1:40" x14ac:dyDescent="0.3">
      <c r="A199" s="1">
        <v>46210.977083333331</v>
      </c>
      <c r="B199" t="s">
        <v>40</v>
      </c>
      <c r="C199" t="s">
        <v>41</v>
      </c>
      <c r="D199" s="1">
        <v>46210.979942129627</v>
      </c>
      <c r="E199" t="s">
        <v>42</v>
      </c>
      <c r="F199" t="s">
        <v>43</v>
      </c>
      <c r="G199" t="s">
        <v>43</v>
      </c>
      <c r="H199" t="s">
        <v>43</v>
      </c>
      <c r="I199" t="s">
        <v>146</v>
      </c>
      <c r="J199" t="s">
        <v>43</v>
      </c>
      <c r="K199" t="s">
        <v>43</v>
      </c>
      <c r="L199" t="s">
        <v>43</v>
      </c>
      <c r="M199" t="s">
        <v>43</v>
      </c>
      <c r="N199" t="s">
        <v>45</v>
      </c>
      <c r="O199" t="s">
        <v>43</v>
      </c>
      <c r="P199" t="s">
        <v>43</v>
      </c>
      <c r="Q199" t="s">
        <v>43</v>
      </c>
      <c r="R199" t="s">
        <v>43</v>
      </c>
      <c r="S199" t="s">
        <v>43</v>
      </c>
      <c r="T199" t="s">
        <v>43</v>
      </c>
      <c r="U199" t="s">
        <v>43</v>
      </c>
      <c r="V199" t="s">
        <v>43</v>
      </c>
      <c r="W199" t="s">
        <v>43</v>
      </c>
      <c r="X199" t="s">
        <v>43</v>
      </c>
      <c r="Y199" t="s">
        <v>43</v>
      </c>
      <c r="Z199" t="s">
        <v>43</v>
      </c>
      <c r="AA199" t="s">
        <v>43</v>
      </c>
      <c r="AB199" t="s">
        <v>43</v>
      </c>
      <c r="AC199" t="s">
        <v>43</v>
      </c>
      <c r="AD199" t="s">
        <v>43</v>
      </c>
      <c r="AE199" t="s">
        <v>43</v>
      </c>
      <c r="AF199" t="s">
        <v>43</v>
      </c>
      <c r="AG199" t="s">
        <v>43</v>
      </c>
      <c r="AH199" t="s">
        <v>43</v>
      </c>
      <c r="AI199" t="s">
        <v>43</v>
      </c>
      <c r="AJ199" t="s">
        <v>43</v>
      </c>
      <c r="AK199" t="s">
        <v>43</v>
      </c>
      <c r="AL199" t="s">
        <v>43</v>
      </c>
      <c r="AM199" t="s">
        <v>43</v>
      </c>
      <c r="AN199" t="str">
        <f>HYPERLINK("https://www.google.com/maps?q=11.0547657,79.06097412","Open Location")</f>
        <v>Open Location</v>
      </c>
    </row>
    <row r="200" spans="1:40" x14ac:dyDescent="0.3">
      <c r="A200" s="1">
        <v>46210.976967592593</v>
      </c>
      <c r="B200" t="s">
        <v>40</v>
      </c>
      <c r="C200" t="s">
        <v>41</v>
      </c>
      <c r="D200" s="1">
        <v>46210.97965277778</v>
      </c>
      <c r="E200" t="s">
        <v>42</v>
      </c>
      <c r="F200" t="s">
        <v>43</v>
      </c>
      <c r="G200" t="s">
        <v>43</v>
      </c>
      <c r="H200" t="s">
        <v>43</v>
      </c>
      <c r="I200" t="s">
        <v>148</v>
      </c>
      <c r="J200" t="s">
        <v>43</v>
      </c>
      <c r="K200" t="s">
        <v>43</v>
      </c>
      <c r="L200" t="s">
        <v>43</v>
      </c>
      <c r="M200" t="s">
        <v>43</v>
      </c>
      <c r="N200" t="s">
        <v>45</v>
      </c>
      <c r="O200" t="s">
        <v>43</v>
      </c>
      <c r="P200" t="s">
        <v>43</v>
      </c>
      <c r="Q200" t="s">
        <v>43</v>
      </c>
      <c r="R200" t="s">
        <v>43</v>
      </c>
      <c r="S200" t="s">
        <v>43</v>
      </c>
      <c r="T200" t="s">
        <v>43</v>
      </c>
      <c r="U200" t="s">
        <v>43</v>
      </c>
      <c r="V200" t="s">
        <v>43</v>
      </c>
      <c r="W200" t="s">
        <v>43</v>
      </c>
      <c r="X200" t="s">
        <v>43</v>
      </c>
      <c r="Y200" t="s">
        <v>43</v>
      </c>
      <c r="Z200" t="s">
        <v>43</v>
      </c>
      <c r="AA200" t="s">
        <v>43</v>
      </c>
      <c r="AB200" t="s">
        <v>43</v>
      </c>
      <c r="AC200" t="s">
        <v>43</v>
      </c>
      <c r="AD200" t="s">
        <v>43</v>
      </c>
      <c r="AE200" t="s">
        <v>43</v>
      </c>
      <c r="AF200" t="s">
        <v>43</v>
      </c>
      <c r="AG200" t="s">
        <v>43</v>
      </c>
      <c r="AH200" t="s">
        <v>43</v>
      </c>
      <c r="AI200" t="s">
        <v>43</v>
      </c>
      <c r="AJ200" t="s">
        <v>43</v>
      </c>
      <c r="AK200" t="s">
        <v>43</v>
      </c>
      <c r="AL200" t="s">
        <v>43</v>
      </c>
      <c r="AM200" t="s">
        <v>43</v>
      </c>
      <c r="AN200" t="str">
        <f>HYPERLINK("https://www.google.com/maps?q=11.05476475,79.06097412","Open Location")</f>
        <v>Open Location</v>
      </c>
    </row>
    <row r="201" spans="1:40" x14ac:dyDescent="0.3">
      <c r="A201" s="1">
        <v>46210.976851851854</v>
      </c>
      <c r="B201" t="s">
        <v>40</v>
      </c>
      <c r="C201" t="s">
        <v>41</v>
      </c>
      <c r="D201" s="1">
        <v>46210.979432870372</v>
      </c>
      <c r="E201" t="s">
        <v>42</v>
      </c>
      <c r="F201" t="s">
        <v>43</v>
      </c>
      <c r="G201" t="s">
        <v>43</v>
      </c>
      <c r="H201" t="s">
        <v>43</v>
      </c>
      <c r="I201" t="s">
        <v>128</v>
      </c>
      <c r="J201" t="s">
        <v>43</v>
      </c>
      <c r="K201" t="s">
        <v>43</v>
      </c>
      <c r="L201" t="s">
        <v>43</v>
      </c>
      <c r="M201" t="s">
        <v>43</v>
      </c>
      <c r="N201" t="s">
        <v>45</v>
      </c>
      <c r="O201" t="s">
        <v>43</v>
      </c>
      <c r="P201" t="s">
        <v>43</v>
      </c>
      <c r="Q201" t="s">
        <v>43</v>
      </c>
      <c r="R201" t="s">
        <v>43</v>
      </c>
      <c r="S201" t="s">
        <v>43</v>
      </c>
      <c r="T201" t="s">
        <v>43</v>
      </c>
      <c r="U201" t="s">
        <v>43</v>
      </c>
      <c r="V201" t="s">
        <v>43</v>
      </c>
      <c r="W201" t="s">
        <v>43</v>
      </c>
      <c r="X201" t="s">
        <v>43</v>
      </c>
      <c r="Y201" t="s">
        <v>43</v>
      </c>
      <c r="Z201" t="s">
        <v>43</v>
      </c>
      <c r="AA201" t="s">
        <v>43</v>
      </c>
      <c r="AB201" t="s">
        <v>43</v>
      </c>
      <c r="AC201" t="s">
        <v>43</v>
      </c>
      <c r="AD201" t="s">
        <v>43</v>
      </c>
      <c r="AE201" t="s">
        <v>43</v>
      </c>
      <c r="AF201" t="s">
        <v>43</v>
      </c>
      <c r="AG201" t="s">
        <v>43</v>
      </c>
      <c r="AH201" t="s">
        <v>43</v>
      </c>
      <c r="AI201" t="s">
        <v>43</v>
      </c>
      <c r="AJ201" t="s">
        <v>43</v>
      </c>
      <c r="AK201" t="s">
        <v>43</v>
      </c>
      <c r="AL201" t="s">
        <v>43</v>
      </c>
      <c r="AM201" t="s">
        <v>43</v>
      </c>
      <c r="AN201" t="str">
        <f>HYPERLINK("https://www.google.com/maps?q=11.05476284,79.06097412","Open Location")</f>
        <v>Open Location</v>
      </c>
    </row>
    <row r="202" spans="1:40" x14ac:dyDescent="0.3">
      <c r="A202" s="1">
        <v>46210.976736111108</v>
      </c>
      <c r="B202" t="s">
        <v>40</v>
      </c>
      <c r="C202" t="s">
        <v>41</v>
      </c>
      <c r="D202" s="1">
        <v>46210.979432870372</v>
      </c>
      <c r="E202" t="s">
        <v>42</v>
      </c>
      <c r="F202" t="s">
        <v>43</v>
      </c>
      <c r="G202" t="s">
        <v>43</v>
      </c>
      <c r="H202" t="s">
        <v>43</v>
      </c>
      <c r="I202" t="s">
        <v>128</v>
      </c>
      <c r="J202" t="s">
        <v>43</v>
      </c>
      <c r="K202" t="s">
        <v>43</v>
      </c>
      <c r="L202" t="s">
        <v>43</v>
      </c>
      <c r="M202" t="s">
        <v>43</v>
      </c>
      <c r="N202" t="s">
        <v>45</v>
      </c>
      <c r="O202" t="s">
        <v>43</v>
      </c>
      <c r="P202" t="s">
        <v>43</v>
      </c>
      <c r="Q202" t="s">
        <v>43</v>
      </c>
      <c r="R202" t="s">
        <v>43</v>
      </c>
      <c r="S202" t="s">
        <v>43</v>
      </c>
      <c r="T202" t="s">
        <v>43</v>
      </c>
      <c r="U202" t="s">
        <v>43</v>
      </c>
      <c r="V202" t="s">
        <v>43</v>
      </c>
      <c r="W202" t="s">
        <v>43</v>
      </c>
      <c r="X202" t="s">
        <v>43</v>
      </c>
      <c r="Y202" t="s">
        <v>43</v>
      </c>
      <c r="Z202" t="s">
        <v>43</v>
      </c>
      <c r="AA202" t="s">
        <v>43</v>
      </c>
      <c r="AB202" t="s">
        <v>43</v>
      </c>
      <c r="AC202" t="s">
        <v>43</v>
      </c>
      <c r="AD202" t="s">
        <v>43</v>
      </c>
      <c r="AE202" t="s">
        <v>43</v>
      </c>
      <c r="AF202" t="s">
        <v>43</v>
      </c>
      <c r="AG202" t="s">
        <v>43</v>
      </c>
      <c r="AH202" t="s">
        <v>43</v>
      </c>
      <c r="AI202" t="s">
        <v>43</v>
      </c>
      <c r="AJ202" t="s">
        <v>43</v>
      </c>
      <c r="AK202" t="s">
        <v>43</v>
      </c>
      <c r="AL202" t="s">
        <v>43</v>
      </c>
      <c r="AM202" t="s">
        <v>43</v>
      </c>
      <c r="AN202" t="str">
        <f>HYPERLINK("https://www.google.com/maps?q=11.05476284,79.06097412","Open Location")</f>
        <v>Open Location</v>
      </c>
    </row>
    <row r="203" spans="1:40" x14ac:dyDescent="0.3">
      <c r="A203" s="1">
        <v>46210.976620370369</v>
      </c>
      <c r="B203" t="s">
        <v>40</v>
      </c>
      <c r="C203" t="s">
        <v>41</v>
      </c>
      <c r="D203" s="1">
        <v>46210.97934027778</v>
      </c>
      <c r="E203" t="s">
        <v>42</v>
      </c>
      <c r="F203" t="s">
        <v>43</v>
      </c>
      <c r="G203" t="s">
        <v>43</v>
      </c>
      <c r="H203" t="s">
        <v>43</v>
      </c>
      <c r="I203" t="s">
        <v>120</v>
      </c>
      <c r="J203" t="s">
        <v>43</v>
      </c>
      <c r="K203" t="s">
        <v>43</v>
      </c>
      <c r="L203" t="s">
        <v>43</v>
      </c>
      <c r="M203" t="s">
        <v>43</v>
      </c>
      <c r="N203" t="s">
        <v>45</v>
      </c>
      <c r="O203" t="s">
        <v>43</v>
      </c>
      <c r="P203" t="s">
        <v>43</v>
      </c>
      <c r="Q203" t="s">
        <v>43</v>
      </c>
      <c r="R203" t="s">
        <v>43</v>
      </c>
      <c r="S203" t="s">
        <v>43</v>
      </c>
      <c r="T203" t="s">
        <v>43</v>
      </c>
      <c r="U203" t="s">
        <v>43</v>
      </c>
      <c r="V203" t="s">
        <v>43</v>
      </c>
      <c r="W203" t="s">
        <v>43</v>
      </c>
      <c r="X203" t="s">
        <v>43</v>
      </c>
      <c r="Y203" t="s">
        <v>43</v>
      </c>
      <c r="Z203" t="s">
        <v>43</v>
      </c>
      <c r="AA203" t="s">
        <v>43</v>
      </c>
      <c r="AB203" t="s">
        <v>43</v>
      </c>
      <c r="AC203" t="s">
        <v>43</v>
      </c>
      <c r="AD203" t="s">
        <v>43</v>
      </c>
      <c r="AE203" t="s">
        <v>43</v>
      </c>
      <c r="AF203" t="s">
        <v>43</v>
      </c>
      <c r="AG203" t="s">
        <v>43</v>
      </c>
      <c r="AH203" t="s">
        <v>43</v>
      </c>
      <c r="AI203" t="s">
        <v>43</v>
      </c>
      <c r="AJ203" t="s">
        <v>43</v>
      </c>
      <c r="AK203" t="s">
        <v>43</v>
      </c>
      <c r="AL203" t="s">
        <v>43</v>
      </c>
      <c r="AM203" t="s">
        <v>43</v>
      </c>
      <c r="AN203" t="str">
        <f>HYPERLINK("https://www.google.com/maps?q=11.05476379,79.06096649","Open Location")</f>
        <v>Open Location</v>
      </c>
    </row>
    <row r="204" spans="1:40" x14ac:dyDescent="0.3">
      <c r="A204" s="1">
        <v>46210.976504629631</v>
      </c>
      <c r="B204" t="s">
        <v>40</v>
      </c>
      <c r="C204" t="s">
        <v>41</v>
      </c>
      <c r="D204" s="1">
        <v>46210.979467592595</v>
      </c>
      <c r="E204" t="s">
        <v>42</v>
      </c>
      <c r="F204" t="s">
        <v>43</v>
      </c>
      <c r="G204" t="s">
        <v>43</v>
      </c>
      <c r="H204" t="s">
        <v>43</v>
      </c>
      <c r="I204" t="s">
        <v>43</v>
      </c>
      <c r="J204" t="s">
        <v>43</v>
      </c>
      <c r="K204" t="s">
        <v>43</v>
      </c>
      <c r="L204" t="s">
        <v>43</v>
      </c>
      <c r="M204" t="s">
        <v>43</v>
      </c>
      <c r="N204" t="s">
        <v>45</v>
      </c>
      <c r="O204" t="s">
        <v>43</v>
      </c>
      <c r="P204" t="s">
        <v>43</v>
      </c>
      <c r="Q204" t="s">
        <v>43</v>
      </c>
      <c r="R204" t="s">
        <v>43</v>
      </c>
      <c r="S204" t="s">
        <v>43</v>
      </c>
      <c r="T204" t="s">
        <v>43</v>
      </c>
      <c r="U204" t="s">
        <v>43</v>
      </c>
      <c r="V204" t="s">
        <v>43</v>
      </c>
      <c r="W204" t="s">
        <v>43</v>
      </c>
      <c r="X204" t="s">
        <v>43</v>
      </c>
      <c r="Y204" t="s">
        <v>43</v>
      </c>
      <c r="Z204" t="s">
        <v>43</v>
      </c>
      <c r="AA204" t="s">
        <v>43</v>
      </c>
      <c r="AB204" t="s">
        <v>43</v>
      </c>
      <c r="AC204" t="s">
        <v>43</v>
      </c>
      <c r="AD204" t="s">
        <v>43</v>
      </c>
      <c r="AE204" t="s">
        <v>43</v>
      </c>
      <c r="AF204" t="s">
        <v>43</v>
      </c>
      <c r="AG204" t="s">
        <v>43</v>
      </c>
      <c r="AH204" t="s">
        <v>43</v>
      </c>
      <c r="AI204" t="s">
        <v>43</v>
      </c>
      <c r="AJ204" t="s">
        <v>43</v>
      </c>
      <c r="AK204" t="s">
        <v>43</v>
      </c>
      <c r="AL204" t="s">
        <v>43</v>
      </c>
      <c r="AM204" t="s">
        <v>43</v>
      </c>
      <c r="AN204" t="s">
        <v>43</v>
      </c>
    </row>
    <row r="205" spans="1:40" x14ac:dyDescent="0.3">
      <c r="A205" s="1">
        <v>46210.976388888892</v>
      </c>
      <c r="B205" t="s">
        <v>40</v>
      </c>
      <c r="C205" t="s">
        <v>41</v>
      </c>
      <c r="D205" s="1">
        <v>46210.97960648148</v>
      </c>
      <c r="E205" t="s">
        <v>42</v>
      </c>
      <c r="F205" t="s">
        <v>43</v>
      </c>
      <c r="G205" t="s">
        <v>43</v>
      </c>
      <c r="H205" t="s">
        <v>43</v>
      </c>
      <c r="I205" t="s">
        <v>148</v>
      </c>
      <c r="J205" t="s">
        <v>43</v>
      </c>
      <c r="K205" t="s">
        <v>43</v>
      </c>
      <c r="L205" t="s">
        <v>43</v>
      </c>
      <c r="M205" t="s">
        <v>43</v>
      </c>
      <c r="N205" t="s">
        <v>45</v>
      </c>
      <c r="O205" t="s">
        <v>43</v>
      </c>
      <c r="P205" t="s">
        <v>43</v>
      </c>
      <c r="Q205" t="s">
        <v>43</v>
      </c>
      <c r="R205" t="s">
        <v>43</v>
      </c>
      <c r="S205" t="s">
        <v>43</v>
      </c>
      <c r="T205" t="s">
        <v>43</v>
      </c>
      <c r="U205" t="s">
        <v>43</v>
      </c>
      <c r="V205" t="s">
        <v>43</v>
      </c>
      <c r="W205" t="s">
        <v>43</v>
      </c>
      <c r="X205" t="s">
        <v>43</v>
      </c>
      <c r="Y205" t="s">
        <v>43</v>
      </c>
      <c r="Z205" t="s">
        <v>43</v>
      </c>
      <c r="AA205" t="s">
        <v>43</v>
      </c>
      <c r="AB205" t="s">
        <v>43</v>
      </c>
      <c r="AC205" t="s">
        <v>43</v>
      </c>
      <c r="AD205" t="s">
        <v>43</v>
      </c>
      <c r="AE205" t="s">
        <v>43</v>
      </c>
      <c r="AF205" t="s">
        <v>43</v>
      </c>
      <c r="AG205" t="s">
        <v>43</v>
      </c>
      <c r="AH205" t="s">
        <v>43</v>
      </c>
      <c r="AI205" t="s">
        <v>43</v>
      </c>
      <c r="AJ205" t="s">
        <v>43</v>
      </c>
      <c r="AK205" t="s">
        <v>43</v>
      </c>
      <c r="AL205" t="s">
        <v>43</v>
      </c>
      <c r="AM205" t="s">
        <v>43</v>
      </c>
      <c r="AN205" t="str">
        <f>HYPERLINK("https://www.google.com/maps?q=11.05476475,79.06097412","Open Location")</f>
        <v>Open Location</v>
      </c>
    </row>
    <row r="206" spans="1:40" x14ac:dyDescent="0.3">
      <c r="A206" s="1">
        <v>46210.976273148146</v>
      </c>
      <c r="B206" t="s">
        <v>40</v>
      </c>
      <c r="C206" t="s">
        <v>41</v>
      </c>
      <c r="D206" s="1">
        <v>46210.979247685187</v>
      </c>
      <c r="E206" t="s">
        <v>42</v>
      </c>
      <c r="F206" t="s">
        <v>43</v>
      </c>
      <c r="G206" t="s">
        <v>43</v>
      </c>
      <c r="H206" t="s">
        <v>43</v>
      </c>
      <c r="I206" t="s">
        <v>128</v>
      </c>
      <c r="J206" t="s">
        <v>43</v>
      </c>
      <c r="K206" t="s">
        <v>43</v>
      </c>
      <c r="L206" t="s">
        <v>43</v>
      </c>
      <c r="M206" t="s">
        <v>43</v>
      </c>
      <c r="N206" t="s">
        <v>45</v>
      </c>
      <c r="O206" t="s">
        <v>43</v>
      </c>
      <c r="P206" t="s">
        <v>43</v>
      </c>
      <c r="Q206" t="s">
        <v>43</v>
      </c>
      <c r="R206" t="s">
        <v>43</v>
      </c>
      <c r="S206" t="s">
        <v>43</v>
      </c>
      <c r="T206" t="s">
        <v>43</v>
      </c>
      <c r="U206" t="s">
        <v>43</v>
      </c>
      <c r="V206" t="s">
        <v>43</v>
      </c>
      <c r="W206" t="s">
        <v>43</v>
      </c>
      <c r="X206" t="s">
        <v>43</v>
      </c>
      <c r="Y206" t="s">
        <v>43</v>
      </c>
      <c r="Z206" t="s">
        <v>43</v>
      </c>
      <c r="AA206" t="s">
        <v>43</v>
      </c>
      <c r="AB206" t="s">
        <v>43</v>
      </c>
      <c r="AC206" t="s">
        <v>43</v>
      </c>
      <c r="AD206" t="s">
        <v>43</v>
      </c>
      <c r="AE206" t="s">
        <v>43</v>
      </c>
      <c r="AF206" t="s">
        <v>43</v>
      </c>
      <c r="AG206" t="s">
        <v>43</v>
      </c>
      <c r="AH206" t="s">
        <v>43</v>
      </c>
      <c r="AI206" t="s">
        <v>43</v>
      </c>
      <c r="AJ206" t="s">
        <v>43</v>
      </c>
      <c r="AK206" t="s">
        <v>43</v>
      </c>
      <c r="AL206" t="s">
        <v>43</v>
      </c>
      <c r="AM206" t="s">
        <v>43</v>
      </c>
      <c r="AN206" t="str">
        <f>HYPERLINK("https://www.google.com/maps?q=11.05476284,79.06097412","Open Location")</f>
        <v>Open Location</v>
      </c>
    </row>
    <row r="207" spans="1:40" x14ac:dyDescent="0.3">
      <c r="A207" s="1">
        <v>46210.976157407407</v>
      </c>
      <c r="B207" t="s">
        <v>40</v>
      </c>
      <c r="C207" t="s">
        <v>41</v>
      </c>
      <c r="D207" s="1">
        <v>46210.978877314818</v>
      </c>
      <c r="E207" t="s">
        <v>42</v>
      </c>
      <c r="F207" t="s">
        <v>43</v>
      </c>
      <c r="G207" t="s">
        <v>43</v>
      </c>
      <c r="H207" t="s">
        <v>43</v>
      </c>
      <c r="I207" t="s">
        <v>144</v>
      </c>
      <c r="J207" t="s">
        <v>43</v>
      </c>
      <c r="K207" t="s">
        <v>43</v>
      </c>
      <c r="L207" t="s">
        <v>43</v>
      </c>
      <c r="M207" t="s">
        <v>43</v>
      </c>
      <c r="N207" t="s">
        <v>45</v>
      </c>
      <c r="O207" t="s">
        <v>43</v>
      </c>
      <c r="P207" t="s">
        <v>43</v>
      </c>
      <c r="Q207" t="s">
        <v>43</v>
      </c>
      <c r="R207" t="s">
        <v>43</v>
      </c>
      <c r="S207" t="s">
        <v>43</v>
      </c>
      <c r="T207" t="s">
        <v>43</v>
      </c>
      <c r="U207" t="s">
        <v>43</v>
      </c>
      <c r="V207" t="s">
        <v>43</v>
      </c>
      <c r="W207" t="s">
        <v>43</v>
      </c>
      <c r="X207" t="s">
        <v>43</v>
      </c>
      <c r="Y207" t="s">
        <v>43</v>
      </c>
      <c r="Z207" t="s">
        <v>43</v>
      </c>
      <c r="AA207" t="s">
        <v>43</v>
      </c>
      <c r="AB207" t="s">
        <v>43</v>
      </c>
      <c r="AC207" t="s">
        <v>43</v>
      </c>
      <c r="AD207" t="s">
        <v>43</v>
      </c>
      <c r="AE207" t="s">
        <v>43</v>
      </c>
      <c r="AF207" t="s">
        <v>43</v>
      </c>
      <c r="AG207" t="s">
        <v>43</v>
      </c>
      <c r="AH207" t="s">
        <v>43</v>
      </c>
      <c r="AI207" t="s">
        <v>43</v>
      </c>
      <c r="AJ207" t="s">
        <v>43</v>
      </c>
      <c r="AK207" t="s">
        <v>43</v>
      </c>
      <c r="AL207" t="s">
        <v>43</v>
      </c>
      <c r="AM207" t="s">
        <v>43</v>
      </c>
      <c r="AN207" t="str">
        <f>HYPERLINK("https://www.google.com/maps?q=11.05476379,79.06097412","Open Location")</f>
        <v>Open Location</v>
      </c>
    </row>
    <row r="208" spans="1:40" x14ac:dyDescent="0.3">
      <c r="A208" s="1">
        <v>46210.976041666669</v>
      </c>
      <c r="B208" t="s">
        <v>40</v>
      </c>
      <c r="C208" t="s">
        <v>41</v>
      </c>
      <c r="D208" s="1">
        <v>46210.978738425925</v>
      </c>
      <c r="E208" t="s">
        <v>42</v>
      </c>
      <c r="F208" t="s">
        <v>43</v>
      </c>
      <c r="G208" t="s">
        <v>43</v>
      </c>
      <c r="H208" t="s">
        <v>43</v>
      </c>
      <c r="I208" t="s">
        <v>146</v>
      </c>
      <c r="J208" t="s">
        <v>43</v>
      </c>
      <c r="K208" t="s">
        <v>43</v>
      </c>
      <c r="L208" t="s">
        <v>43</v>
      </c>
      <c r="M208" t="s">
        <v>43</v>
      </c>
      <c r="N208" t="s">
        <v>45</v>
      </c>
      <c r="O208" t="s">
        <v>43</v>
      </c>
      <c r="P208" t="s">
        <v>43</v>
      </c>
      <c r="Q208" t="s">
        <v>43</v>
      </c>
      <c r="R208" t="s">
        <v>43</v>
      </c>
      <c r="S208" t="s">
        <v>43</v>
      </c>
      <c r="T208" t="s">
        <v>43</v>
      </c>
      <c r="U208" t="s">
        <v>43</v>
      </c>
      <c r="V208" t="s">
        <v>43</v>
      </c>
      <c r="W208" t="s">
        <v>43</v>
      </c>
      <c r="X208" t="s">
        <v>43</v>
      </c>
      <c r="Y208" t="s">
        <v>43</v>
      </c>
      <c r="Z208" t="s">
        <v>43</v>
      </c>
      <c r="AA208" t="s">
        <v>43</v>
      </c>
      <c r="AB208" t="s">
        <v>43</v>
      </c>
      <c r="AC208" t="s">
        <v>43</v>
      </c>
      <c r="AD208" t="s">
        <v>43</v>
      </c>
      <c r="AE208" t="s">
        <v>43</v>
      </c>
      <c r="AF208" t="s">
        <v>43</v>
      </c>
      <c r="AG208" t="s">
        <v>43</v>
      </c>
      <c r="AH208" t="s">
        <v>43</v>
      </c>
      <c r="AI208" t="s">
        <v>43</v>
      </c>
      <c r="AJ208" t="s">
        <v>43</v>
      </c>
      <c r="AK208" t="s">
        <v>43</v>
      </c>
      <c r="AL208" t="s">
        <v>43</v>
      </c>
      <c r="AM208" t="s">
        <v>43</v>
      </c>
      <c r="AN208" t="str">
        <f>HYPERLINK("https://www.google.com/maps?q=11.0547657,79.06097412","Open Location")</f>
        <v>Open Location</v>
      </c>
    </row>
    <row r="209" spans="1:40" x14ac:dyDescent="0.3">
      <c r="A209" s="1">
        <v>46210.975925925923</v>
      </c>
      <c r="B209" t="s">
        <v>40</v>
      </c>
      <c r="C209" t="s">
        <v>41</v>
      </c>
      <c r="D209" s="1">
        <v>46210.979247685187</v>
      </c>
      <c r="E209" t="s">
        <v>42</v>
      </c>
      <c r="F209" t="s">
        <v>43</v>
      </c>
      <c r="G209" t="s">
        <v>43</v>
      </c>
      <c r="H209" t="s">
        <v>43</v>
      </c>
      <c r="I209" t="s">
        <v>148</v>
      </c>
      <c r="J209" t="s">
        <v>43</v>
      </c>
      <c r="K209" t="s">
        <v>43</v>
      </c>
      <c r="L209" t="s">
        <v>43</v>
      </c>
      <c r="M209" t="s">
        <v>43</v>
      </c>
      <c r="N209" t="s">
        <v>45</v>
      </c>
      <c r="O209" t="s">
        <v>43</v>
      </c>
      <c r="P209" t="s">
        <v>43</v>
      </c>
      <c r="Q209" t="s">
        <v>43</v>
      </c>
      <c r="R209" t="s">
        <v>43</v>
      </c>
      <c r="S209" t="s">
        <v>43</v>
      </c>
      <c r="T209" t="s">
        <v>43</v>
      </c>
      <c r="U209" t="s">
        <v>43</v>
      </c>
      <c r="V209" t="s">
        <v>43</v>
      </c>
      <c r="W209" t="s">
        <v>43</v>
      </c>
      <c r="X209" t="s">
        <v>43</v>
      </c>
      <c r="Y209" t="s">
        <v>43</v>
      </c>
      <c r="Z209" t="s">
        <v>43</v>
      </c>
      <c r="AA209" t="s">
        <v>43</v>
      </c>
      <c r="AB209" t="s">
        <v>43</v>
      </c>
      <c r="AC209" t="s">
        <v>43</v>
      </c>
      <c r="AD209" t="s">
        <v>43</v>
      </c>
      <c r="AE209" t="s">
        <v>43</v>
      </c>
      <c r="AF209" t="s">
        <v>43</v>
      </c>
      <c r="AG209" t="s">
        <v>43</v>
      </c>
      <c r="AH209" t="s">
        <v>43</v>
      </c>
      <c r="AI209" t="s">
        <v>43</v>
      </c>
      <c r="AJ209" t="s">
        <v>43</v>
      </c>
      <c r="AK209" t="s">
        <v>43</v>
      </c>
      <c r="AL209" t="s">
        <v>43</v>
      </c>
      <c r="AM209" t="s">
        <v>43</v>
      </c>
      <c r="AN209" t="str">
        <f>HYPERLINK("https://www.google.com/maps?q=11.05476475,79.06097412","Open Location")</f>
        <v>Open Location</v>
      </c>
    </row>
    <row r="210" spans="1:40" x14ac:dyDescent="0.3">
      <c r="A210" s="1">
        <v>46210.975810185184</v>
      </c>
      <c r="B210" t="s">
        <v>40</v>
      </c>
      <c r="C210" t="s">
        <v>41</v>
      </c>
      <c r="D210" s="1">
        <v>46210.979212962964</v>
      </c>
      <c r="E210" t="s">
        <v>42</v>
      </c>
      <c r="F210" t="s">
        <v>43</v>
      </c>
      <c r="G210" t="s">
        <v>43</v>
      </c>
      <c r="H210" t="s">
        <v>43</v>
      </c>
      <c r="I210" t="s">
        <v>43</v>
      </c>
      <c r="J210" t="s">
        <v>43</v>
      </c>
      <c r="K210" t="s">
        <v>43</v>
      </c>
      <c r="L210" t="s">
        <v>43</v>
      </c>
      <c r="M210" t="s">
        <v>43</v>
      </c>
      <c r="N210" t="s">
        <v>45</v>
      </c>
      <c r="O210" t="s">
        <v>43</v>
      </c>
      <c r="P210" t="s">
        <v>43</v>
      </c>
      <c r="Q210" t="s">
        <v>43</v>
      </c>
      <c r="R210" t="s">
        <v>43</v>
      </c>
      <c r="S210" t="s">
        <v>43</v>
      </c>
      <c r="T210" t="s">
        <v>43</v>
      </c>
      <c r="U210" t="s">
        <v>43</v>
      </c>
      <c r="V210" t="s">
        <v>43</v>
      </c>
      <c r="W210" t="s">
        <v>43</v>
      </c>
      <c r="X210" t="s">
        <v>43</v>
      </c>
      <c r="Y210" t="s">
        <v>43</v>
      </c>
      <c r="Z210" t="s">
        <v>43</v>
      </c>
      <c r="AA210" t="s">
        <v>43</v>
      </c>
      <c r="AB210" t="s">
        <v>43</v>
      </c>
      <c r="AC210" t="s">
        <v>43</v>
      </c>
      <c r="AD210" t="s">
        <v>43</v>
      </c>
      <c r="AE210" t="s">
        <v>43</v>
      </c>
      <c r="AF210" t="s">
        <v>43</v>
      </c>
      <c r="AG210" t="s">
        <v>43</v>
      </c>
      <c r="AH210" t="s">
        <v>43</v>
      </c>
      <c r="AI210" t="s">
        <v>43</v>
      </c>
      <c r="AJ210" t="s">
        <v>43</v>
      </c>
      <c r="AK210" t="s">
        <v>43</v>
      </c>
      <c r="AL210" t="s">
        <v>43</v>
      </c>
      <c r="AM210" t="s">
        <v>43</v>
      </c>
      <c r="AN210" t="s">
        <v>43</v>
      </c>
    </row>
    <row r="211" spans="1:40" x14ac:dyDescent="0.3">
      <c r="A211" s="1">
        <v>46210.975694444445</v>
      </c>
      <c r="B211" t="s">
        <v>40</v>
      </c>
      <c r="C211" t="s">
        <v>41</v>
      </c>
      <c r="D211" s="1">
        <v>46210.978321759256</v>
      </c>
      <c r="E211" t="s">
        <v>42</v>
      </c>
      <c r="F211" t="s">
        <v>43</v>
      </c>
      <c r="G211" t="s">
        <v>43</v>
      </c>
      <c r="H211" t="s">
        <v>43</v>
      </c>
      <c r="I211" t="s">
        <v>145</v>
      </c>
      <c r="J211" t="s">
        <v>43</v>
      </c>
      <c r="K211" t="s">
        <v>43</v>
      </c>
      <c r="L211" t="s">
        <v>43</v>
      </c>
      <c r="M211" t="s">
        <v>43</v>
      </c>
      <c r="N211" t="s">
        <v>45</v>
      </c>
      <c r="O211" t="s">
        <v>43</v>
      </c>
      <c r="P211" t="s">
        <v>43</v>
      </c>
      <c r="Q211" t="s">
        <v>43</v>
      </c>
      <c r="R211" t="s">
        <v>43</v>
      </c>
      <c r="S211" t="s">
        <v>43</v>
      </c>
      <c r="T211" t="s">
        <v>43</v>
      </c>
      <c r="U211" t="s">
        <v>43</v>
      </c>
      <c r="V211" t="s">
        <v>43</v>
      </c>
      <c r="W211" t="s">
        <v>43</v>
      </c>
      <c r="X211" t="s">
        <v>43</v>
      </c>
      <c r="Y211" t="s">
        <v>43</v>
      </c>
      <c r="Z211" t="s">
        <v>43</v>
      </c>
      <c r="AA211" t="s">
        <v>43</v>
      </c>
      <c r="AB211" t="s">
        <v>43</v>
      </c>
      <c r="AC211" t="s">
        <v>43</v>
      </c>
      <c r="AD211" t="s">
        <v>43</v>
      </c>
      <c r="AE211" t="s">
        <v>43</v>
      </c>
      <c r="AF211" t="s">
        <v>43</v>
      </c>
      <c r="AG211" t="s">
        <v>43</v>
      </c>
      <c r="AH211" t="s">
        <v>43</v>
      </c>
      <c r="AI211" t="s">
        <v>43</v>
      </c>
      <c r="AJ211" t="s">
        <v>43</v>
      </c>
      <c r="AK211" t="s">
        <v>43</v>
      </c>
      <c r="AL211" t="s">
        <v>43</v>
      </c>
      <c r="AM211" t="s">
        <v>43</v>
      </c>
      <c r="AN211" t="str">
        <f>HYPERLINK("https://www.google.com/maps?q=11.05476189,79.06097412","Open Location")</f>
        <v>Open Location</v>
      </c>
    </row>
    <row r="212" spans="1:40" x14ac:dyDescent="0.3">
      <c r="A212" s="1">
        <v>46210.975578703707</v>
      </c>
      <c r="B212" t="s">
        <v>40</v>
      </c>
      <c r="C212" t="s">
        <v>41</v>
      </c>
      <c r="D212" s="1">
        <v>46210.978321759256</v>
      </c>
      <c r="E212" t="s">
        <v>42</v>
      </c>
      <c r="F212" t="s">
        <v>43</v>
      </c>
      <c r="G212" t="s">
        <v>43</v>
      </c>
      <c r="H212" t="s">
        <v>43</v>
      </c>
      <c r="I212" t="s">
        <v>149</v>
      </c>
      <c r="J212" t="s">
        <v>43</v>
      </c>
      <c r="K212" t="s">
        <v>43</v>
      </c>
      <c r="L212" t="s">
        <v>43</v>
      </c>
      <c r="M212" t="s">
        <v>43</v>
      </c>
      <c r="N212" t="s">
        <v>45</v>
      </c>
      <c r="O212" t="s">
        <v>43</v>
      </c>
      <c r="P212" t="s">
        <v>43</v>
      </c>
      <c r="Q212" t="s">
        <v>43</v>
      </c>
      <c r="R212" t="s">
        <v>43</v>
      </c>
      <c r="S212" t="s">
        <v>43</v>
      </c>
      <c r="T212" t="s">
        <v>43</v>
      </c>
      <c r="U212" t="s">
        <v>43</v>
      </c>
      <c r="V212" t="s">
        <v>43</v>
      </c>
      <c r="W212" t="s">
        <v>43</v>
      </c>
      <c r="X212" t="s">
        <v>43</v>
      </c>
      <c r="Y212" t="s">
        <v>43</v>
      </c>
      <c r="Z212" t="s">
        <v>43</v>
      </c>
      <c r="AA212" t="s">
        <v>43</v>
      </c>
      <c r="AB212" t="s">
        <v>43</v>
      </c>
      <c r="AC212" t="s">
        <v>43</v>
      </c>
      <c r="AD212" t="s">
        <v>43</v>
      </c>
      <c r="AE212" t="s">
        <v>43</v>
      </c>
      <c r="AF212" t="s">
        <v>43</v>
      </c>
      <c r="AG212" t="s">
        <v>43</v>
      </c>
      <c r="AH212" t="s">
        <v>43</v>
      </c>
      <c r="AI212" t="s">
        <v>43</v>
      </c>
      <c r="AJ212" t="s">
        <v>43</v>
      </c>
      <c r="AK212" t="s">
        <v>43</v>
      </c>
      <c r="AL212" t="s">
        <v>43</v>
      </c>
      <c r="AM212" t="s">
        <v>43</v>
      </c>
      <c r="AN212" t="str">
        <f>HYPERLINK("https://www.google.com/maps?q=11.05475998,79.06097412","Open Location")</f>
        <v>Open Location</v>
      </c>
    </row>
    <row r="213" spans="1:40" x14ac:dyDescent="0.3">
      <c r="A213" s="1">
        <v>46210.975462962961</v>
      </c>
      <c r="B213" t="s">
        <v>40</v>
      </c>
      <c r="C213" t="s">
        <v>41</v>
      </c>
      <c r="D213" s="1">
        <v>46210.978032407409</v>
      </c>
      <c r="E213" t="s">
        <v>42</v>
      </c>
      <c r="F213" t="s">
        <v>43</v>
      </c>
      <c r="G213" t="s">
        <v>43</v>
      </c>
      <c r="H213" t="s">
        <v>43</v>
      </c>
      <c r="I213" t="s">
        <v>149</v>
      </c>
      <c r="J213" t="s">
        <v>43</v>
      </c>
      <c r="K213" t="s">
        <v>43</v>
      </c>
      <c r="L213" t="s">
        <v>43</v>
      </c>
      <c r="M213" t="s">
        <v>43</v>
      </c>
      <c r="N213" t="s">
        <v>45</v>
      </c>
      <c r="O213" t="s">
        <v>43</v>
      </c>
      <c r="P213" t="s">
        <v>43</v>
      </c>
      <c r="Q213" t="s">
        <v>43</v>
      </c>
      <c r="R213" t="s">
        <v>43</v>
      </c>
      <c r="S213" t="s">
        <v>43</v>
      </c>
      <c r="T213" t="s">
        <v>43</v>
      </c>
      <c r="U213" t="s">
        <v>43</v>
      </c>
      <c r="V213" t="s">
        <v>43</v>
      </c>
      <c r="W213" t="s">
        <v>43</v>
      </c>
      <c r="X213" t="s">
        <v>43</v>
      </c>
      <c r="Y213" t="s">
        <v>43</v>
      </c>
      <c r="Z213" t="s">
        <v>43</v>
      </c>
      <c r="AA213" t="s">
        <v>43</v>
      </c>
      <c r="AB213" t="s">
        <v>43</v>
      </c>
      <c r="AC213" t="s">
        <v>43</v>
      </c>
      <c r="AD213" t="s">
        <v>43</v>
      </c>
      <c r="AE213" t="s">
        <v>43</v>
      </c>
      <c r="AF213" t="s">
        <v>43</v>
      </c>
      <c r="AG213" t="s">
        <v>43</v>
      </c>
      <c r="AH213" t="s">
        <v>43</v>
      </c>
      <c r="AI213" t="s">
        <v>43</v>
      </c>
      <c r="AJ213" t="s">
        <v>43</v>
      </c>
      <c r="AK213" t="s">
        <v>43</v>
      </c>
      <c r="AL213" t="s">
        <v>43</v>
      </c>
      <c r="AM213" t="s">
        <v>43</v>
      </c>
      <c r="AN213" t="str">
        <f>HYPERLINK("https://www.google.com/maps?q=11.05475998,79.06097412","Open Location")</f>
        <v>Open Location</v>
      </c>
    </row>
    <row r="214" spans="1:40" x14ac:dyDescent="0.3">
      <c r="A214" s="1">
        <v>46210.975347222222</v>
      </c>
      <c r="B214" t="s">
        <v>40</v>
      </c>
      <c r="C214" t="s">
        <v>41</v>
      </c>
      <c r="D214" s="1">
        <v>46210.978032407409</v>
      </c>
      <c r="E214" t="s">
        <v>42</v>
      </c>
      <c r="F214" t="s">
        <v>43</v>
      </c>
      <c r="G214" t="s">
        <v>43</v>
      </c>
      <c r="H214" t="s">
        <v>43</v>
      </c>
      <c r="I214" t="s">
        <v>129</v>
      </c>
      <c r="J214" t="s">
        <v>43</v>
      </c>
      <c r="K214" t="s">
        <v>43</v>
      </c>
      <c r="L214" t="s">
        <v>43</v>
      </c>
      <c r="M214" t="s">
        <v>43</v>
      </c>
      <c r="N214" t="s">
        <v>45</v>
      </c>
      <c r="O214" t="s">
        <v>43</v>
      </c>
      <c r="P214" t="s">
        <v>43</v>
      </c>
      <c r="Q214" t="s">
        <v>43</v>
      </c>
      <c r="R214" t="s">
        <v>43</v>
      </c>
      <c r="S214" t="s">
        <v>43</v>
      </c>
      <c r="T214" t="s">
        <v>43</v>
      </c>
      <c r="U214" t="s">
        <v>43</v>
      </c>
      <c r="V214" t="s">
        <v>43</v>
      </c>
      <c r="W214" t="s">
        <v>43</v>
      </c>
      <c r="X214" t="s">
        <v>43</v>
      </c>
      <c r="Y214" t="s">
        <v>43</v>
      </c>
      <c r="Z214" t="s">
        <v>43</v>
      </c>
      <c r="AA214" t="s">
        <v>43</v>
      </c>
      <c r="AB214" t="s">
        <v>43</v>
      </c>
      <c r="AC214" t="s">
        <v>43</v>
      </c>
      <c r="AD214" t="s">
        <v>43</v>
      </c>
      <c r="AE214" t="s">
        <v>43</v>
      </c>
      <c r="AF214" t="s">
        <v>43</v>
      </c>
      <c r="AG214" t="s">
        <v>43</v>
      </c>
      <c r="AH214" t="s">
        <v>43</v>
      </c>
      <c r="AI214" t="s">
        <v>43</v>
      </c>
      <c r="AJ214" t="s">
        <v>43</v>
      </c>
      <c r="AK214" t="s">
        <v>43</v>
      </c>
      <c r="AL214" t="s">
        <v>43</v>
      </c>
      <c r="AM214" t="s">
        <v>43</v>
      </c>
      <c r="AN214" t="str">
        <f>HYPERLINK("https://www.google.com/maps?q=11.05475998,79.06096649","Open Location")</f>
        <v>Open Location</v>
      </c>
    </row>
    <row r="215" spans="1:40" x14ac:dyDescent="0.3">
      <c r="A215" s="1">
        <v>46210.975231481483</v>
      </c>
      <c r="B215" t="s">
        <v>40</v>
      </c>
      <c r="C215" t="s">
        <v>41</v>
      </c>
      <c r="D215" s="1">
        <v>46210.97792824074</v>
      </c>
      <c r="E215" t="s">
        <v>42</v>
      </c>
      <c r="F215" t="s">
        <v>43</v>
      </c>
      <c r="G215" t="s">
        <v>43</v>
      </c>
      <c r="H215" t="s">
        <v>43</v>
      </c>
      <c r="I215" t="s">
        <v>43</v>
      </c>
      <c r="J215" t="s">
        <v>43</v>
      </c>
      <c r="K215" t="s">
        <v>43</v>
      </c>
      <c r="L215" t="s">
        <v>43</v>
      </c>
      <c r="M215" t="s">
        <v>43</v>
      </c>
      <c r="N215" t="s">
        <v>45</v>
      </c>
      <c r="O215" t="s">
        <v>43</v>
      </c>
      <c r="P215" t="s">
        <v>43</v>
      </c>
      <c r="Q215" t="s">
        <v>43</v>
      </c>
      <c r="R215" t="s">
        <v>43</v>
      </c>
      <c r="S215" t="s">
        <v>43</v>
      </c>
      <c r="T215" t="s">
        <v>43</v>
      </c>
      <c r="U215" t="s">
        <v>43</v>
      </c>
      <c r="V215" t="s">
        <v>43</v>
      </c>
      <c r="W215" t="s">
        <v>43</v>
      </c>
      <c r="X215" t="s">
        <v>43</v>
      </c>
      <c r="Y215" t="s">
        <v>43</v>
      </c>
      <c r="Z215" t="s">
        <v>43</v>
      </c>
      <c r="AA215" t="s">
        <v>43</v>
      </c>
      <c r="AB215" t="s">
        <v>43</v>
      </c>
      <c r="AC215" t="s">
        <v>43</v>
      </c>
      <c r="AD215" t="s">
        <v>43</v>
      </c>
      <c r="AE215" t="s">
        <v>43</v>
      </c>
      <c r="AF215" t="s">
        <v>43</v>
      </c>
      <c r="AG215" t="s">
        <v>43</v>
      </c>
      <c r="AH215" t="s">
        <v>43</v>
      </c>
      <c r="AI215" t="s">
        <v>43</v>
      </c>
      <c r="AJ215" t="s">
        <v>43</v>
      </c>
      <c r="AK215" t="s">
        <v>43</v>
      </c>
      <c r="AL215" t="s">
        <v>43</v>
      </c>
      <c r="AM215" t="s">
        <v>43</v>
      </c>
      <c r="AN215" t="s">
        <v>43</v>
      </c>
    </row>
    <row r="216" spans="1:40" x14ac:dyDescent="0.3">
      <c r="A216" s="1">
        <v>46210.975115740737</v>
      </c>
      <c r="B216" t="s">
        <v>40</v>
      </c>
      <c r="C216" t="s">
        <v>41</v>
      </c>
      <c r="D216" s="1">
        <v>46210.978043981479</v>
      </c>
      <c r="E216" t="s">
        <v>42</v>
      </c>
      <c r="F216" t="s">
        <v>43</v>
      </c>
      <c r="G216" t="s">
        <v>43</v>
      </c>
      <c r="H216" t="s">
        <v>43</v>
      </c>
      <c r="I216" t="s">
        <v>95</v>
      </c>
      <c r="J216" t="s">
        <v>43</v>
      </c>
      <c r="K216" t="s">
        <v>43</v>
      </c>
      <c r="L216" t="s">
        <v>43</v>
      </c>
      <c r="M216" t="s">
        <v>43</v>
      </c>
      <c r="N216" t="s">
        <v>45</v>
      </c>
      <c r="O216" t="s">
        <v>43</v>
      </c>
      <c r="P216" t="s">
        <v>43</v>
      </c>
      <c r="Q216" t="s">
        <v>43</v>
      </c>
      <c r="R216" t="s">
        <v>43</v>
      </c>
      <c r="S216" t="s">
        <v>43</v>
      </c>
      <c r="T216" t="s">
        <v>43</v>
      </c>
      <c r="U216" t="s">
        <v>43</v>
      </c>
      <c r="V216" t="s">
        <v>43</v>
      </c>
      <c r="W216" t="s">
        <v>43</v>
      </c>
      <c r="X216" t="s">
        <v>43</v>
      </c>
      <c r="Y216" t="s">
        <v>43</v>
      </c>
      <c r="Z216" t="s">
        <v>43</v>
      </c>
      <c r="AA216" t="s">
        <v>43</v>
      </c>
      <c r="AB216" t="s">
        <v>43</v>
      </c>
      <c r="AC216" t="s">
        <v>43</v>
      </c>
      <c r="AD216" t="s">
        <v>43</v>
      </c>
      <c r="AE216" t="s">
        <v>43</v>
      </c>
      <c r="AF216" t="s">
        <v>43</v>
      </c>
      <c r="AG216" t="s">
        <v>43</v>
      </c>
      <c r="AH216" t="s">
        <v>43</v>
      </c>
      <c r="AI216" t="s">
        <v>43</v>
      </c>
      <c r="AJ216" t="s">
        <v>43</v>
      </c>
      <c r="AK216" t="s">
        <v>43</v>
      </c>
      <c r="AL216" t="s">
        <v>43</v>
      </c>
      <c r="AM216" t="s">
        <v>43</v>
      </c>
      <c r="AN216" t="str">
        <f>HYPERLINK("https://www.google.com/maps?q=11.05476093,79.06096649","Open Location")</f>
        <v>Open Location</v>
      </c>
    </row>
    <row r="217" spans="1:40" x14ac:dyDescent="0.3">
      <c r="A217" s="1">
        <v>46210.974999999999</v>
      </c>
      <c r="B217" t="s">
        <v>40</v>
      </c>
      <c r="C217" t="s">
        <v>41</v>
      </c>
      <c r="D217" s="1">
        <v>46210.97792824074</v>
      </c>
      <c r="E217" t="s">
        <v>42</v>
      </c>
      <c r="F217" t="s">
        <v>43</v>
      </c>
      <c r="G217" t="s">
        <v>43</v>
      </c>
      <c r="H217" t="s">
        <v>43</v>
      </c>
      <c r="I217" t="s">
        <v>150</v>
      </c>
      <c r="J217" t="s">
        <v>43</v>
      </c>
      <c r="K217" t="s">
        <v>43</v>
      </c>
      <c r="L217" t="s">
        <v>43</v>
      </c>
      <c r="M217" t="s">
        <v>43</v>
      </c>
      <c r="N217" t="s">
        <v>45</v>
      </c>
      <c r="O217" t="s">
        <v>43</v>
      </c>
      <c r="P217" t="s">
        <v>43</v>
      </c>
      <c r="Q217" t="s">
        <v>43</v>
      </c>
      <c r="R217" t="s">
        <v>43</v>
      </c>
      <c r="S217" t="s">
        <v>43</v>
      </c>
      <c r="T217" t="s">
        <v>43</v>
      </c>
      <c r="U217" t="s">
        <v>43</v>
      </c>
      <c r="V217" t="s">
        <v>43</v>
      </c>
      <c r="W217" t="s">
        <v>43</v>
      </c>
      <c r="X217" t="s">
        <v>43</v>
      </c>
      <c r="Y217" t="s">
        <v>43</v>
      </c>
      <c r="Z217" t="s">
        <v>43</v>
      </c>
      <c r="AA217" t="s">
        <v>43</v>
      </c>
      <c r="AB217" t="s">
        <v>43</v>
      </c>
      <c r="AC217" t="s">
        <v>43</v>
      </c>
      <c r="AD217" t="s">
        <v>43</v>
      </c>
      <c r="AE217" t="s">
        <v>43</v>
      </c>
      <c r="AF217" t="s">
        <v>43</v>
      </c>
      <c r="AG217" t="s">
        <v>43</v>
      </c>
      <c r="AH217" t="s">
        <v>43</v>
      </c>
      <c r="AI217" t="s">
        <v>43</v>
      </c>
      <c r="AJ217" t="s">
        <v>43</v>
      </c>
      <c r="AK217" t="s">
        <v>43</v>
      </c>
      <c r="AL217" t="s">
        <v>43</v>
      </c>
      <c r="AM217" t="s">
        <v>43</v>
      </c>
      <c r="AN217" t="str">
        <f>HYPERLINK("https://www.google.com/maps?q=11.05475998,79.06095886","Open Location")</f>
        <v>Open Location</v>
      </c>
    </row>
    <row r="218" spans="1:40" x14ac:dyDescent="0.3">
      <c r="A218" s="1">
        <v>46210.97488425926</v>
      </c>
      <c r="B218" t="s">
        <v>40</v>
      </c>
      <c r="C218" t="s">
        <v>41</v>
      </c>
      <c r="D218" s="1">
        <v>46210.977824074071</v>
      </c>
      <c r="E218" t="s">
        <v>42</v>
      </c>
      <c r="F218" t="s">
        <v>43</v>
      </c>
      <c r="G218" t="s">
        <v>43</v>
      </c>
      <c r="H218" t="s">
        <v>43</v>
      </c>
      <c r="I218" t="s">
        <v>150</v>
      </c>
      <c r="J218" t="s">
        <v>43</v>
      </c>
      <c r="K218" t="s">
        <v>43</v>
      </c>
      <c r="L218" t="s">
        <v>43</v>
      </c>
      <c r="M218" t="s">
        <v>43</v>
      </c>
      <c r="N218" t="s">
        <v>45</v>
      </c>
      <c r="O218" t="s">
        <v>43</v>
      </c>
      <c r="P218" t="s">
        <v>43</v>
      </c>
      <c r="Q218" t="s">
        <v>43</v>
      </c>
      <c r="R218" t="s">
        <v>43</v>
      </c>
      <c r="S218" t="s">
        <v>43</v>
      </c>
      <c r="T218" t="s">
        <v>43</v>
      </c>
      <c r="U218" t="s">
        <v>43</v>
      </c>
      <c r="V218" t="s">
        <v>43</v>
      </c>
      <c r="W218" t="s">
        <v>43</v>
      </c>
      <c r="X218" t="s">
        <v>43</v>
      </c>
      <c r="Y218" t="s">
        <v>43</v>
      </c>
      <c r="Z218" t="s">
        <v>43</v>
      </c>
      <c r="AA218" t="s">
        <v>43</v>
      </c>
      <c r="AB218" t="s">
        <v>43</v>
      </c>
      <c r="AC218" t="s">
        <v>43</v>
      </c>
      <c r="AD218" t="s">
        <v>43</v>
      </c>
      <c r="AE218" t="s">
        <v>43</v>
      </c>
      <c r="AF218" t="s">
        <v>43</v>
      </c>
      <c r="AG218" t="s">
        <v>43</v>
      </c>
      <c r="AH218" t="s">
        <v>43</v>
      </c>
      <c r="AI218" t="s">
        <v>43</v>
      </c>
      <c r="AJ218" t="s">
        <v>43</v>
      </c>
      <c r="AK218" t="s">
        <v>43</v>
      </c>
      <c r="AL218" t="s">
        <v>43</v>
      </c>
      <c r="AM218" t="s">
        <v>43</v>
      </c>
      <c r="AN218" t="str">
        <f>HYPERLINK("https://www.google.com/maps?q=11.05475998,79.06095886","Open Location")</f>
        <v>Open Location</v>
      </c>
    </row>
    <row r="219" spans="1:40" x14ac:dyDescent="0.3">
      <c r="A219" s="1">
        <v>46210.974768518521</v>
      </c>
      <c r="B219" t="s">
        <v>40</v>
      </c>
      <c r="C219" t="s">
        <v>41</v>
      </c>
      <c r="D219" s="1">
        <v>46210.977442129632</v>
      </c>
      <c r="E219" t="s">
        <v>42</v>
      </c>
      <c r="F219" t="s">
        <v>43</v>
      </c>
      <c r="G219" t="s">
        <v>43</v>
      </c>
      <c r="H219" t="s">
        <v>43</v>
      </c>
      <c r="I219" t="s">
        <v>119</v>
      </c>
      <c r="J219" t="s">
        <v>43</v>
      </c>
      <c r="K219" t="s">
        <v>43</v>
      </c>
      <c r="L219" t="s">
        <v>43</v>
      </c>
      <c r="M219" t="s">
        <v>43</v>
      </c>
      <c r="N219" t="s">
        <v>45</v>
      </c>
      <c r="O219" t="s">
        <v>43</v>
      </c>
      <c r="P219" t="s">
        <v>43</v>
      </c>
      <c r="Q219" t="s">
        <v>43</v>
      </c>
      <c r="R219" t="s">
        <v>43</v>
      </c>
      <c r="S219" t="s">
        <v>43</v>
      </c>
      <c r="T219" t="s">
        <v>43</v>
      </c>
      <c r="U219" t="s">
        <v>43</v>
      </c>
      <c r="V219" t="s">
        <v>43</v>
      </c>
      <c r="W219" t="s">
        <v>43</v>
      </c>
      <c r="X219" t="s">
        <v>43</v>
      </c>
      <c r="Y219" t="s">
        <v>43</v>
      </c>
      <c r="Z219" t="s">
        <v>43</v>
      </c>
      <c r="AA219" t="s">
        <v>43</v>
      </c>
      <c r="AB219" t="s">
        <v>43</v>
      </c>
      <c r="AC219" t="s">
        <v>43</v>
      </c>
      <c r="AD219" t="s">
        <v>43</v>
      </c>
      <c r="AE219" t="s">
        <v>43</v>
      </c>
      <c r="AF219" t="s">
        <v>43</v>
      </c>
      <c r="AG219" t="s">
        <v>43</v>
      </c>
      <c r="AH219" t="s">
        <v>43</v>
      </c>
      <c r="AI219" t="s">
        <v>43</v>
      </c>
      <c r="AJ219" t="s">
        <v>43</v>
      </c>
      <c r="AK219" t="s">
        <v>43</v>
      </c>
      <c r="AL219" t="s">
        <v>43</v>
      </c>
      <c r="AM219" t="s">
        <v>43</v>
      </c>
      <c r="AN219" t="str">
        <f>HYPERLINK("https://www.google.com/maps?q=11.05475903,79.06096649","Open Location")</f>
        <v>Open Location</v>
      </c>
    </row>
    <row r="220" spans="1:40" x14ac:dyDescent="0.3">
      <c r="A220" s="1">
        <v>46210.974652777775</v>
      </c>
      <c r="B220" t="s">
        <v>40</v>
      </c>
      <c r="C220" t="s">
        <v>41</v>
      </c>
      <c r="D220" s="1">
        <v>46210.977685185186</v>
      </c>
      <c r="E220" t="s">
        <v>42</v>
      </c>
      <c r="F220" t="s">
        <v>43</v>
      </c>
      <c r="G220" t="s">
        <v>43</v>
      </c>
      <c r="H220" t="s">
        <v>43</v>
      </c>
      <c r="I220" t="s">
        <v>115</v>
      </c>
      <c r="J220" t="s">
        <v>43</v>
      </c>
      <c r="K220" t="s">
        <v>43</v>
      </c>
      <c r="L220" t="s">
        <v>43</v>
      </c>
      <c r="M220" t="s">
        <v>43</v>
      </c>
      <c r="N220" t="s">
        <v>45</v>
      </c>
      <c r="O220" t="s">
        <v>43</v>
      </c>
      <c r="P220" t="s">
        <v>43</v>
      </c>
      <c r="Q220" t="s">
        <v>43</v>
      </c>
      <c r="R220" t="s">
        <v>43</v>
      </c>
      <c r="S220" t="s">
        <v>43</v>
      </c>
      <c r="T220" t="s">
        <v>43</v>
      </c>
      <c r="U220" t="s">
        <v>43</v>
      </c>
      <c r="V220" t="s">
        <v>43</v>
      </c>
      <c r="W220" t="s">
        <v>43</v>
      </c>
      <c r="X220" t="s">
        <v>43</v>
      </c>
      <c r="Y220" t="s">
        <v>43</v>
      </c>
      <c r="Z220" t="s">
        <v>43</v>
      </c>
      <c r="AA220" t="s">
        <v>43</v>
      </c>
      <c r="AB220" t="s">
        <v>43</v>
      </c>
      <c r="AC220" t="s">
        <v>43</v>
      </c>
      <c r="AD220" t="s">
        <v>43</v>
      </c>
      <c r="AE220" t="s">
        <v>43</v>
      </c>
      <c r="AF220" t="s">
        <v>43</v>
      </c>
      <c r="AG220" t="s">
        <v>43</v>
      </c>
      <c r="AH220" t="s">
        <v>43</v>
      </c>
      <c r="AI220" t="s">
        <v>43</v>
      </c>
      <c r="AJ220" t="s">
        <v>43</v>
      </c>
      <c r="AK220" t="s">
        <v>43</v>
      </c>
      <c r="AL220" t="s">
        <v>43</v>
      </c>
      <c r="AM220" t="s">
        <v>43</v>
      </c>
      <c r="AN220" t="str">
        <f>HYPERLINK("https://www.google.com/maps?q=11.05475903,79.06095886","Open Location")</f>
        <v>Open Location</v>
      </c>
    </row>
    <row r="221" spans="1:40" x14ac:dyDescent="0.3">
      <c r="A221" s="1">
        <v>46210.974537037036</v>
      </c>
      <c r="B221" t="s">
        <v>40</v>
      </c>
      <c r="C221" t="s">
        <v>41</v>
      </c>
      <c r="D221" s="1">
        <v>46210.977175925924</v>
      </c>
      <c r="E221" t="s">
        <v>42</v>
      </c>
      <c r="F221" t="s">
        <v>43</v>
      </c>
      <c r="G221" t="s">
        <v>43</v>
      </c>
      <c r="H221" t="s">
        <v>43</v>
      </c>
      <c r="I221" t="s">
        <v>43</v>
      </c>
      <c r="J221" t="s">
        <v>43</v>
      </c>
      <c r="K221" t="s">
        <v>43</v>
      </c>
      <c r="L221" t="s">
        <v>43</v>
      </c>
      <c r="M221" t="s">
        <v>43</v>
      </c>
      <c r="N221" t="s">
        <v>45</v>
      </c>
      <c r="O221" t="s">
        <v>43</v>
      </c>
      <c r="P221" t="s">
        <v>43</v>
      </c>
      <c r="Q221" t="s">
        <v>43</v>
      </c>
      <c r="R221" t="s">
        <v>43</v>
      </c>
      <c r="S221" t="s">
        <v>43</v>
      </c>
      <c r="T221" t="s">
        <v>43</v>
      </c>
      <c r="U221" t="s">
        <v>43</v>
      </c>
      <c r="V221" t="s">
        <v>43</v>
      </c>
      <c r="W221" t="s">
        <v>43</v>
      </c>
      <c r="X221" t="s">
        <v>43</v>
      </c>
      <c r="Y221" t="s">
        <v>43</v>
      </c>
      <c r="Z221" t="s">
        <v>43</v>
      </c>
      <c r="AA221" t="s">
        <v>43</v>
      </c>
      <c r="AB221" t="s">
        <v>43</v>
      </c>
      <c r="AC221" t="s">
        <v>43</v>
      </c>
      <c r="AD221" t="s">
        <v>43</v>
      </c>
      <c r="AE221" t="s">
        <v>43</v>
      </c>
      <c r="AF221" t="s">
        <v>43</v>
      </c>
      <c r="AG221" t="s">
        <v>43</v>
      </c>
      <c r="AH221" t="s">
        <v>43</v>
      </c>
      <c r="AI221" t="s">
        <v>43</v>
      </c>
      <c r="AJ221" t="s">
        <v>43</v>
      </c>
      <c r="AK221" t="s">
        <v>43</v>
      </c>
      <c r="AL221" t="s">
        <v>43</v>
      </c>
      <c r="AM221" t="s">
        <v>43</v>
      </c>
      <c r="AN221" t="s">
        <v>43</v>
      </c>
    </row>
    <row r="222" spans="1:40" x14ac:dyDescent="0.3">
      <c r="A222" s="1">
        <v>46210.974421296298</v>
      </c>
      <c r="B222" t="s">
        <v>40</v>
      </c>
      <c r="C222" t="s">
        <v>41</v>
      </c>
      <c r="D222" s="1">
        <v>46210.977372685185</v>
      </c>
      <c r="E222" t="s">
        <v>42</v>
      </c>
      <c r="F222" t="s">
        <v>43</v>
      </c>
      <c r="G222" t="s">
        <v>43</v>
      </c>
      <c r="H222" t="s">
        <v>43</v>
      </c>
      <c r="I222" t="s">
        <v>135</v>
      </c>
      <c r="J222" t="s">
        <v>43</v>
      </c>
      <c r="K222" t="s">
        <v>43</v>
      </c>
      <c r="L222" t="s">
        <v>43</v>
      </c>
      <c r="M222" t="s">
        <v>43</v>
      </c>
      <c r="N222" t="s">
        <v>45</v>
      </c>
      <c r="O222" t="s">
        <v>43</v>
      </c>
      <c r="P222" t="s">
        <v>43</v>
      </c>
      <c r="Q222" t="s">
        <v>43</v>
      </c>
      <c r="R222" t="s">
        <v>43</v>
      </c>
      <c r="S222" t="s">
        <v>43</v>
      </c>
      <c r="T222" t="s">
        <v>43</v>
      </c>
      <c r="U222" t="s">
        <v>43</v>
      </c>
      <c r="V222" t="s">
        <v>43</v>
      </c>
      <c r="W222" t="s">
        <v>43</v>
      </c>
      <c r="X222" t="s">
        <v>43</v>
      </c>
      <c r="Y222" t="s">
        <v>43</v>
      </c>
      <c r="Z222" t="s">
        <v>43</v>
      </c>
      <c r="AA222" t="s">
        <v>43</v>
      </c>
      <c r="AB222" t="s">
        <v>43</v>
      </c>
      <c r="AC222" t="s">
        <v>43</v>
      </c>
      <c r="AD222" t="s">
        <v>43</v>
      </c>
      <c r="AE222" t="s">
        <v>43</v>
      </c>
      <c r="AF222" t="s">
        <v>43</v>
      </c>
      <c r="AG222" t="s">
        <v>43</v>
      </c>
      <c r="AH222" t="s">
        <v>43</v>
      </c>
      <c r="AI222" t="s">
        <v>43</v>
      </c>
      <c r="AJ222" t="s">
        <v>43</v>
      </c>
      <c r="AK222" t="s">
        <v>43</v>
      </c>
      <c r="AL222" t="s">
        <v>43</v>
      </c>
      <c r="AM222" t="s">
        <v>43</v>
      </c>
      <c r="AN222" t="str">
        <f>HYPERLINK("https://www.google.com/maps?q=11.05475616,79.06095886","Open Location")</f>
        <v>Open Location</v>
      </c>
    </row>
    <row r="223" spans="1:40" x14ac:dyDescent="0.3">
      <c r="A223" s="1">
        <v>46210.974305555559</v>
      </c>
      <c r="B223" t="s">
        <v>40</v>
      </c>
      <c r="C223" t="s">
        <v>41</v>
      </c>
      <c r="D223" s="1">
        <v>46210.976990740739</v>
      </c>
      <c r="E223" t="s">
        <v>42</v>
      </c>
      <c r="F223" t="s">
        <v>43</v>
      </c>
      <c r="G223" t="s">
        <v>43</v>
      </c>
      <c r="H223" t="s">
        <v>43</v>
      </c>
      <c r="I223" t="s">
        <v>115</v>
      </c>
      <c r="J223" t="s">
        <v>43</v>
      </c>
      <c r="K223" t="s">
        <v>43</v>
      </c>
      <c r="L223" t="s">
        <v>43</v>
      </c>
      <c r="M223" t="s">
        <v>43</v>
      </c>
      <c r="N223" t="s">
        <v>45</v>
      </c>
      <c r="O223" t="s">
        <v>43</v>
      </c>
      <c r="P223" t="s">
        <v>43</v>
      </c>
      <c r="Q223" t="s">
        <v>43</v>
      </c>
      <c r="R223" t="s">
        <v>43</v>
      </c>
      <c r="S223" t="s">
        <v>43</v>
      </c>
      <c r="T223" t="s">
        <v>43</v>
      </c>
      <c r="U223" t="s">
        <v>43</v>
      </c>
      <c r="V223" t="s">
        <v>43</v>
      </c>
      <c r="W223" t="s">
        <v>43</v>
      </c>
      <c r="X223" t="s">
        <v>43</v>
      </c>
      <c r="Y223" t="s">
        <v>43</v>
      </c>
      <c r="Z223" t="s">
        <v>43</v>
      </c>
      <c r="AA223" t="s">
        <v>43</v>
      </c>
      <c r="AB223" t="s">
        <v>43</v>
      </c>
      <c r="AC223" t="s">
        <v>43</v>
      </c>
      <c r="AD223" t="s">
        <v>43</v>
      </c>
      <c r="AE223" t="s">
        <v>43</v>
      </c>
      <c r="AF223" t="s">
        <v>43</v>
      </c>
      <c r="AG223" t="s">
        <v>43</v>
      </c>
      <c r="AH223" t="s">
        <v>43</v>
      </c>
      <c r="AI223" t="s">
        <v>43</v>
      </c>
      <c r="AJ223" t="s">
        <v>43</v>
      </c>
      <c r="AK223" t="s">
        <v>43</v>
      </c>
      <c r="AL223" t="s">
        <v>43</v>
      </c>
      <c r="AM223" t="s">
        <v>43</v>
      </c>
      <c r="AN223" t="str">
        <f>HYPERLINK("https://www.google.com/maps?q=11.05475903,79.06095886","Open Location")</f>
        <v>Open Location</v>
      </c>
    </row>
    <row r="224" spans="1:40" x14ac:dyDescent="0.3">
      <c r="A224" s="1">
        <v>46210.974189814813</v>
      </c>
      <c r="B224" t="s">
        <v>40</v>
      </c>
      <c r="C224" t="s">
        <v>41</v>
      </c>
      <c r="D224" s="1">
        <v>46210.97724537037</v>
      </c>
      <c r="E224" t="s">
        <v>42</v>
      </c>
      <c r="F224" t="s">
        <v>43</v>
      </c>
      <c r="G224" t="s">
        <v>43</v>
      </c>
      <c r="H224" t="s">
        <v>43</v>
      </c>
      <c r="I224" t="s">
        <v>115</v>
      </c>
      <c r="J224" t="s">
        <v>43</v>
      </c>
      <c r="K224" t="s">
        <v>43</v>
      </c>
      <c r="L224" t="s">
        <v>43</v>
      </c>
      <c r="M224" t="s">
        <v>43</v>
      </c>
      <c r="N224" t="s">
        <v>45</v>
      </c>
      <c r="O224" t="s">
        <v>43</v>
      </c>
      <c r="P224" t="s">
        <v>43</v>
      </c>
      <c r="Q224" t="s">
        <v>43</v>
      </c>
      <c r="R224" t="s">
        <v>43</v>
      </c>
      <c r="S224" t="s">
        <v>43</v>
      </c>
      <c r="T224" t="s">
        <v>43</v>
      </c>
      <c r="U224" t="s">
        <v>43</v>
      </c>
      <c r="V224" t="s">
        <v>43</v>
      </c>
      <c r="W224" t="s">
        <v>43</v>
      </c>
      <c r="X224" t="s">
        <v>43</v>
      </c>
      <c r="Y224" t="s">
        <v>43</v>
      </c>
      <c r="Z224" t="s">
        <v>43</v>
      </c>
      <c r="AA224" t="s">
        <v>43</v>
      </c>
      <c r="AB224" t="s">
        <v>43</v>
      </c>
      <c r="AC224" t="s">
        <v>43</v>
      </c>
      <c r="AD224" t="s">
        <v>43</v>
      </c>
      <c r="AE224" t="s">
        <v>43</v>
      </c>
      <c r="AF224" t="s">
        <v>43</v>
      </c>
      <c r="AG224" t="s">
        <v>43</v>
      </c>
      <c r="AH224" t="s">
        <v>43</v>
      </c>
      <c r="AI224" t="s">
        <v>43</v>
      </c>
      <c r="AJ224" t="s">
        <v>43</v>
      </c>
      <c r="AK224" t="s">
        <v>43</v>
      </c>
      <c r="AL224" t="s">
        <v>43</v>
      </c>
      <c r="AM224" t="s">
        <v>43</v>
      </c>
      <c r="AN224" t="str">
        <f>HYPERLINK("https://www.google.com/maps?q=11.05475903,79.06095886","Open Location")</f>
        <v>Open Location</v>
      </c>
    </row>
    <row r="225" spans="1:40" x14ac:dyDescent="0.3">
      <c r="A225" s="1">
        <v>46210.974074074074</v>
      </c>
      <c r="B225" t="s">
        <v>40</v>
      </c>
      <c r="C225" t="s">
        <v>41</v>
      </c>
      <c r="D225" s="1">
        <v>46210.976712962962</v>
      </c>
      <c r="E225" t="s">
        <v>42</v>
      </c>
      <c r="F225" t="s">
        <v>43</v>
      </c>
      <c r="G225" t="s">
        <v>43</v>
      </c>
      <c r="H225" t="s">
        <v>43</v>
      </c>
      <c r="I225" t="s">
        <v>151</v>
      </c>
      <c r="J225" t="s">
        <v>43</v>
      </c>
      <c r="K225" t="s">
        <v>43</v>
      </c>
      <c r="L225" t="s">
        <v>43</v>
      </c>
      <c r="M225" t="s">
        <v>43</v>
      </c>
      <c r="N225" t="s">
        <v>45</v>
      </c>
      <c r="O225" t="s">
        <v>43</v>
      </c>
      <c r="P225" t="s">
        <v>43</v>
      </c>
      <c r="Q225" t="s">
        <v>43</v>
      </c>
      <c r="R225" t="s">
        <v>43</v>
      </c>
      <c r="S225" t="s">
        <v>43</v>
      </c>
      <c r="T225" t="s">
        <v>43</v>
      </c>
      <c r="U225" t="s">
        <v>43</v>
      </c>
      <c r="V225" t="s">
        <v>43</v>
      </c>
      <c r="W225" t="s">
        <v>43</v>
      </c>
      <c r="X225" t="s">
        <v>43</v>
      </c>
      <c r="Y225" t="s">
        <v>43</v>
      </c>
      <c r="Z225" t="s">
        <v>43</v>
      </c>
      <c r="AA225" t="s">
        <v>43</v>
      </c>
      <c r="AB225" t="s">
        <v>43</v>
      </c>
      <c r="AC225" t="s">
        <v>43</v>
      </c>
      <c r="AD225" t="s">
        <v>43</v>
      </c>
      <c r="AE225" t="s">
        <v>43</v>
      </c>
      <c r="AF225" t="s">
        <v>43</v>
      </c>
      <c r="AG225" t="s">
        <v>43</v>
      </c>
      <c r="AH225" t="s">
        <v>43</v>
      </c>
      <c r="AI225" t="s">
        <v>43</v>
      </c>
      <c r="AJ225" t="s">
        <v>43</v>
      </c>
      <c r="AK225" t="s">
        <v>43</v>
      </c>
      <c r="AL225" t="s">
        <v>43</v>
      </c>
      <c r="AM225" t="s">
        <v>43</v>
      </c>
      <c r="AN225" t="str">
        <f>HYPERLINK("https://www.google.com/maps?q=11.05476093,79.06095886","Open Location")</f>
        <v>Open Location</v>
      </c>
    </row>
    <row r="226" spans="1:40" x14ac:dyDescent="0.3">
      <c r="A226" s="1">
        <v>46210.973958333336</v>
      </c>
      <c r="B226" t="s">
        <v>40</v>
      </c>
      <c r="C226" t="s">
        <v>41</v>
      </c>
      <c r="D226" s="1">
        <v>46210.976817129631</v>
      </c>
      <c r="E226" t="s">
        <v>42</v>
      </c>
      <c r="F226" t="s">
        <v>43</v>
      </c>
      <c r="G226" t="s">
        <v>43</v>
      </c>
      <c r="H226" t="s">
        <v>43</v>
      </c>
      <c r="I226" t="s">
        <v>152</v>
      </c>
      <c r="J226" t="s">
        <v>43</v>
      </c>
      <c r="K226" t="s">
        <v>43</v>
      </c>
      <c r="L226" t="s">
        <v>43</v>
      </c>
      <c r="M226" t="s">
        <v>43</v>
      </c>
      <c r="N226" t="s">
        <v>45</v>
      </c>
      <c r="O226" t="s">
        <v>43</v>
      </c>
      <c r="P226" t="s">
        <v>43</v>
      </c>
      <c r="Q226" t="s">
        <v>43</v>
      </c>
      <c r="R226" t="s">
        <v>43</v>
      </c>
      <c r="S226" t="s">
        <v>43</v>
      </c>
      <c r="T226" t="s">
        <v>43</v>
      </c>
      <c r="U226" t="s">
        <v>43</v>
      </c>
      <c r="V226" t="s">
        <v>43</v>
      </c>
      <c r="W226" t="s">
        <v>43</v>
      </c>
      <c r="X226" t="s">
        <v>43</v>
      </c>
      <c r="Y226" t="s">
        <v>43</v>
      </c>
      <c r="Z226" t="s">
        <v>43</v>
      </c>
      <c r="AA226" t="s">
        <v>43</v>
      </c>
      <c r="AB226" t="s">
        <v>43</v>
      </c>
      <c r="AC226" t="s">
        <v>43</v>
      </c>
      <c r="AD226" t="s">
        <v>43</v>
      </c>
      <c r="AE226" t="s">
        <v>43</v>
      </c>
      <c r="AF226" t="s">
        <v>43</v>
      </c>
      <c r="AG226" t="s">
        <v>43</v>
      </c>
      <c r="AH226" t="s">
        <v>43</v>
      </c>
      <c r="AI226" t="s">
        <v>43</v>
      </c>
      <c r="AJ226" t="s">
        <v>43</v>
      </c>
      <c r="AK226" t="s">
        <v>43</v>
      </c>
      <c r="AL226" t="s">
        <v>43</v>
      </c>
      <c r="AM226" t="s">
        <v>43</v>
      </c>
      <c r="AN226" t="str">
        <f>HYPERLINK("https://www.google.com/maps?q=11.05476284,79.06095886","Open Location")</f>
        <v>Open Location</v>
      </c>
    </row>
    <row r="227" spans="1:40" x14ac:dyDescent="0.3">
      <c r="A227" s="1">
        <v>46210.97384259259</v>
      </c>
      <c r="B227" t="s">
        <v>40</v>
      </c>
      <c r="C227" t="s">
        <v>41</v>
      </c>
      <c r="D227" s="1">
        <v>46210.976631944446</v>
      </c>
      <c r="E227" t="s">
        <v>42</v>
      </c>
      <c r="F227" t="s">
        <v>43</v>
      </c>
      <c r="G227" t="s">
        <v>43</v>
      </c>
      <c r="H227" t="s">
        <v>43</v>
      </c>
      <c r="I227" t="s">
        <v>43</v>
      </c>
      <c r="J227" t="s">
        <v>43</v>
      </c>
      <c r="K227" t="s">
        <v>43</v>
      </c>
      <c r="L227" t="s">
        <v>43</v>
      </c>
      <c r="M227" t="s">
        <v>43</v>
      </c>
      <c r="N227" t="s">
        <v>45</v>
      </c>
      <c r="O227" t="s">
        <v>43</v>
      </c>
      <c r="P227" t="s">
        <v>43</v>
      </c>
      <c r="Q227" t="s">
        <v>43</v>
      </c>
      <c r="R227" t="s">
        <v>43</v>
      </c>
      <c r="S227" t="s">
        <v>43</v>
      </c>
      <c r="T227" t="s">
        <v>43</v>
      </c>
      <c r="U227" t="s">
        <v>43</v>
      </c>
      <c r="V227" t="s">
        <v>43</v>
      </c>
      <c r="W227" t="s">
        <v>43</v>
      </c>
      <c r="X227" t="s">
        <v>43</v>
      </c>
      <c r="Y227" t="s">
        <v>43</v>
      </c>
      <c r="Z227" t="s">
        <v>43</v>
      </c>
      <c r="AA227" t="s">
        <v>43</v>
      </c>
      <c r="AB227" t="s">
        <v>43</v>
      </c>
      <c r="AC227" t="s">
        <v>43</v>
      </c>
      <c r="AD227" t="s">
        <v>43</v>
      </c>
      <c r="AE227" t="s">
        <v>43</v>
      </c>
      <c r="AF227" t="s">
        <v>43</v>
      </c>
      <c r="AG227" t="s">
        <v>43</v>
      </c>
      <c r="AH227" t="s">
        <v>43</v>
      </c>
      <c r="AI227" t="s">
        <v>43</v>
      </c>
      <c r="AJ227" t="s">
        <v>43</v>
      </c>
      <c r="AK227" t="s">
        <v>43</v>
      </c>
      <c r="AL227" t="s">
        <v>43</v>
      </c>
      <c r="AM227" t="s">
        <v>43</v>
      </c>
      <c r="AN227" t="s">
        <v>43</v>
      </c>
    </row>
    <row r="228" spans="1:40" x14ac:dyDescent="0.3">
      <c r="A228" s="1">
        <v>46210.973726851851</v>
      </c>
      <c r="B228" t="s">
        <v>40</v>
      </c>
      <c r="C228" t="s">
        <v>41</v>
      </c>
      <c r="D228" s="1">
        <v>46210.976504629631</v>
      </c>
      <c r="E228" t="s">
        <v>42</v>
      </c>
      <c r="F228" t="s">
        <v>43</v>
      </c>
      <c r="G228" t="s">
        <v>43</v>
      </c>
      <c r="H228" t="s">
        <v>43</v>
      </c>
      <c r="I228" t="s">
        <v>152</v>
      </c>
      <c r="J228" t="s">
        <v>43</v>
      </c>
      <c r="K228" t="s">
        <v>43</v>
      </c>
      <c r="L228" t="s">
        <v>43</v>
      </c>
      <c r="M228" t="s">
        <v>43</v>
      </c>
      <c r="N228" t="s">
        <v>45</v>
      </c>
      <c r="O228" t="s">
        <v>43</v>
      </c>
      <c r="P228" t="s">
        <v>43</v>
      </c>
      <c r="Q228" t="s">
        <v>43</v>
      </c>
      <c r="R228" t="s">
        <v>43</v>
      </c>
      <c r="S228" t="s">
        <v>43</v>
      </c>
      <c r="T228" t="s">
        <v>43</v>
      </c>
      <c r="U228" t="s">
        <v>43</v>
      </c>
      <c r="V228" t="s">
        <v>43</v>
      </c>
      <c r="W228" t="s">
        <v>43</v>
      </c>
      <c r="X228" t="s">
        <v>43</v>
      </c>
      <c r="Y228" t="s">
        <v>43</v>
      </c>
      <c r="Z228" t="s">
        <v>43</v>
      </c>
      <c r="AA228" t="s">
        <v>43</v>
      </c>
      <c r="AB228" t="s">
        <v>43</v>
      </c>
      <c r="AC228" t="s">
        <v>43</v>
      </c>
      <c r="AD228" t="s">
        <v>43</v>
      </c>
      <c r="AE228" t="s">
        <v>43</v>
      </c>
      <c r="AF228" t="s">
        <v>43</v>
      </c>
      <c r="AG228" t="s">
        <v>43</v>
      </c>
      <c r="AH228" t="s">
        <v>43</v>
      </c>
      <c r="AI228" t="s">
        <v>43</v>
      </c>
      <c r="AJ228" t="s">
        <v>43</v>
      </c>
      <c r="AK228" t="s">
        <v>43</v>
      </c>
      <c r="AL228" t="s">
        <v>43</v>
      </c>
      <c r="AM228" t="s">
        <v>43</v>
      </c>
      <c r="AN228" t="str">
        <f>HYPERLINK("https://www.google.com/maps?q=11.05476284,79.06095886","Open Location")</f>
        <v>Open Location</v>
      </c>
    </row>
    <row r="229" spans="1:40" x14ac:dyDescent="0.3">
      <c r="A229" s="1">
        <v>46210.973611111112</v>
      </c>
      <c r="B229" t="s">
        <v>40</v>
      </c>
      <c r="C229" t="s">
        <v>41</v>
      </c>
      <c r="D229" s="1">
        <v>46210.9762962963</v>
      </c>
      <c r="E229" t="s">
        <v>42</v>
      </c>
      <c r="F229" t="s">
        <v>43</v>
      </c>
      <c r="G229" t="s">
        <v>43</v>
      </c>
      <c r="H229" t="s">
        <v>43</v>
      </c>
      <c r="I229" t="s">
        <v>152</v>
      </c>
      <c r="J229" t="s">
        <v>43</v>
      </c>
      <c r="K229" t="s">
        <v>43</v>
      </c>
      <c r="L229" t="s">
        <v>43</v>
      </c>
      <c r="M229" t="s">
        <v>43</v>
      </c>
      <c r="N229" t="s">
        <v>45</v>
      </c>
      <c r="O229" t="s">
        <v>43</v>
      </c>
      <c r="P229" t="s">
        <v>43</v>
      </c>
      <c r="Q229" t="s">
        <v>43</v>
      </c>
      <c r="R229" t="s">
        <v>43</v>
      </c>
      <c r="S229" t="s">
        <v>43</v>
      </c>
      <c r="T229" t="s">
        <v>43</v>
      </c>
      <c r="U229" t="s">
        <v>43</v>
      </c>
      <c r="V229" t="s">
        <v>43</v>
      </c>
      <c r="W229" t="s">
        <v>43</v>
      </c>
      <c r="X229" t="s">
        <v>43</v>
      </c>
      <c r="Y229" t="s">
        <v>43</v>
      </c>
      <c r="Z229" t="s">
        <v>43</v>
      </c>
      <c r="AA229" t="s">
        <v>43</v>
      </c>
      <c r="AB229" t="s">
        <v>43</v>
      </c>
      <c r="AC229" t="s">
        <v>43</v>
      </c>
      <c r="AD229" t="s">
        <v>43</v>
      </c>
      <c r="AE229" t="s">
        <v>43</v>
      </c>
      <c r="AF229" t="s">
        <v>43</v>
      </c>
      <c r="AG229" t="s">
        <v>43</v>
      </c>
      <c r="AH229" t="s">
        <v>43</v>
      </c>
      <c r="AI229" t="s">
        <v>43</v>
      </c>
      <c r="AJ229" t="s">
        <v>43</v>
      </c>
      <c r="AK229" t="s">
        <v>43</v>
      </c>
      <c r="AL229" t="s">
        <v>43</v>
      </c>
      <c r="AM229" t="s">
        <v>43</v>
      </c>
      <c r="AN229" t="str">
        <f>HYPERLINK("https://www.google.com/maps?q=11.05476284,79.06095886","Open Location")</f>
        <v>Open Location</v>
      </c>
    </row>
    <row r="230" spans="1:40" x14ac:dyDescent="0.3">
      <c r="A230" s="1">
        <v>46210.973495370374</v>
      </c>
      <c r="B230" t="s">
        <v>40</v>
      </c>
      <c r="C230" t="s">
        <v>41</v>
      </c>
      <c r="D230" s="1">
        <v>46210.976631944446</v>
      </c>
      <c r="E230" t="s">
        <v>42</v>
      </c>
      <c r="F230" t="s">
        <v>43</v>
      </c>
      <c r="G230" t="s">
        <v>43</v>
      </c>
      <c r="H230" t="s">
        <v>43</v>
      </c>
      <c r="I230" t="s">
        <v>114</v>
      </c>
      <c r="J230" t="s">
        <v>43</v>
      </c>
      <c r="K230" t="s">
        <v>43</v>
      </c>
      <c r="L230" t="s">
        <v>43</v>
      </c>
      <c r="M230" t="s">
        <v>43</v>
      </c>
      <c r="N230" t="s">
        <v>45</v>
      </c>
      <c r="O230" t="s">
        <v>43</v>
      </c>
      <c r="P230" t="s">
        <v>43</v>
      </c>
      <c r="Q230" t="s">
        <v>43</v>
      </c>
      <c r="R230" t="s">
        <v>43</v>
      </c>
      <c r="S230" t="s">
        <v>43</v>
      </c>
      <c r="T230" t="s">
        <v>43</v>
      </c>
      <c r="U230" t="s">
        <v>43</v>
      </c>
      <c r="V230" t="s">
        <v>43</v>
      </c>
      <c r="W230" t="s">
        <v>43</v>
      </c>
      <c r="X230" t="s">
        <v>43</v>
      </c>
      <c r="Y230" t="s">
        <v>43</v>
      </c>
      <c r="Z230" t="s">
        <v>43</v>
      </c>
      <c r="AA230" t="s">
        <v>43</v>
      </c>
      <c r="AB230" t="s">
        <v>43</v>
      </c>
      <c r="AC230" t="s">
        <v>43</v>
      </c>
      <c r="AD230" t="s">
        <v>43</v>
      </c>
      <c r="AE230" t="s">
        <v>43</v>
      </c>
      <c r="AF230" t="s">
        <v>43</v>
      </c>
      <c r="AG230" t="s">
        <v>43</v>
      </c>
      <c r="AH230" t="s">
        <v>43</v>
      </c>
      <c r="AI230" t="s">
        <v>43</v>
      </c>
      <c r="AJ230" t="s">
        <v>43</v>
      </c>
      <c r="AK230" t="s">
        <v>43</v>
      </c>
      <c r="AL230" t="s">
        <v>43</v>
      </c>
      <c r="AM230" t="s">
        <v>43</v>
      </c>
      <c r="AN230" t="str">
        <f>HYPERLINK("https://www.google.com/maps?q=11.05476475,79.06095886","Open Location")</f>
        <v>Open Location</v>
      </c>
    </row>
    <row r="231" spans="1:40" x14ac:dyDescent="0.3">
      <c r="A231" s="1">
        <v>46210.973379629628</v>
      </c>
      <c r="B231" t="s">
        <v>40</v>
      </c>
      <c r="C231" t="s">
        <v>41</v>
      </c>
      <c r="D231" s="1">
        <v>46210.976388888892</v>
      </c>
      <c r="E231" t="s">
        <v>42</v>
      </c>
      <c r="F231" t="s">
        <v>43</v>
      </c>
      <c r="G231" t="s">
        <v>43</v>
      </c>
      <c r="H231" t="s">
        <v>43</v>
      </c>
      <c r="I231" t="s">
        <v>153</v>
      </c>
      <c r="J231" t="s">
        <v>43</v>
      </c>
      <c r="K231" t="s">
        <v>43</v>
      </c>
      <c r="L231" t="s">
        <v>43</v>
      </c>
      <c r="M231" t="s">
        <v>43</v>
      </c>
      <c r="N231" t="s">
        <v>45</v>
      </c>
      <c r="O231" t="s">
        <v>43</v>
      </c>
      <c r="P231" t="s">
        <v>43</v>
      </c>
      <c r="Q231" t="s">
        <v>43</v>
      </c>
      <c r="R231" t="s">
        <v>43</v>
      </c>
      <c r="S231" t="s">
        <v>43</v>
      </c>
      <c r="T231" t="s">
        <v>43</v>
      </c>
      <c r="U231" t="s">
        <v>43</v>
      </c>
      <c r="V231" t="s">
        <v>43</v>
      </c>
      <c r="W231" t="s">
        <v>43</v>
      </c>
      <c r="X231" t="s">
        <v>43</v>
      </c>
      <c r="Y231" t="s">
        <v>43</v>
      </c>
      <c r="Z231" t="s">
        <v>43</v>
      </c>
      <c r="AA231" t="s">
        <v>43</v>
      </c>
      <c r="AB231" t="s">
        <v>43</v>
      </c>
      <c r="AC231" t="s">
        <v>43</v>
      </c>
      <c r="AD231" t="s">
        <v>43</v>
      </c>
      <c r="AE231" t="s">
        <v>43</v>
      </c>
      <c r="AF231" t="s">
        <v>43</v>
      </c>
      <c r="AG231" t="s">
        <v>43</v>
      </c>
      <c r="AH231" t="s">
        <v>43</v>
      </c>
      <c r="AI231" t="s">
        <v>43</v>
      </c>
      <c r="AJ231" t="s">
        <v>43</v>
      </c>
      <c r="AK231" t="s">
        <v>43</v>
      </c>
      <c r="AL231" t="s">
        <v>43</v>
      </c>
      <c r="AM231" t="s">
        <v>43</v>
      </c>
      <c r="AN231" t="str">
        <f>HYPERLINK("https://www.google.com/maps?q=11.05476856,79.06095886","Open Location")</f>
        <v>Open Location</v>
      </c>
    </row>
    <row r="232" spans="1:40" x14ac:dyDescent="0.3">
      <c r="A232" s="1">
        <v>46210.973263888889</v>
      </c>
      <c r="B232" t="s">
        <v>40</v>
      </c>
      <c r="C232" t="s">
        <v>41</v>
      </c>
      <c r="D232" s="1">
        <v>46210.97619212963</v>
      </c>
      <c r="E232" t="s">
        <v>42</v>
      </c>
      <c r="F232" t="s">
        <v>43</v>
      </c>
      <c r="G232" t="s">
        <v>43</v>
      </c>
      <c r="H232" t="s">
        <v>43</v>
      </c>
      <c r="I232" t="s">
        <v>43</v>
      </c>
      <c r="J232" t="s">
        <v>43</v>
      </c>
      <c r="K232" t="s">
        <v>43</v>
      </c>
      <c r="L232" t="s">
        <v>43</v>
      </c>
      <c r="M232" t="s">
        <v>43</v>
      </c>
      <c r="N232" t="s">
        <v>45</v>
      </c>
      <c r="O232" t="s">
        <v>43</v>
      </c>
      <c r="P232" t="s">
        <v>43</v>
      </c>
      <c r="Q232" t="s">
        <v>43</v>
      </c>
      <c r="R232" t="s">
        <v>43</v>
      </c>
      <c r="S232" t="s">
        <v>43</v>
      </c>
      <c r="T232" t="s">
        <v>43</v>
      </c>
      <c r="U232" t="s">
        <v>43</v>
      </c>
      <c r="V232" t="s">
        <v>43</v>
      </c>
      <c r="W232" t="s">
        <v>43</v>
      </c>
      <c r="X232" t="s">
        <v>43</v>
      </c>
      <c r="Y232" t="s">
        <v>43</v>
      </c>
      <c r="Z232" t="s">
        <v>43</v>
      </c>
      <c r="AA232" t="s">
        <v>43</v>
      </c>
      <c r="AB232" t="s">
        <v>43</v>
      </c>
      <c r="AC232" t="s">
        <v>43</v>
      </c>
      <c r="AD232" t="s">
        <v>43</v>
      </c>
      <c r="AE232" t="s">
        <v>43</v>
      </c>
      <c r="AF232" t="s">
        <v>43</v>
      </c>
      <c r="AG232" t="s">
        <v>43</v>
      </c>
      <c r="AH232" t="s">
        <v>43</v>
      </c>
      <c r="AI232" t="s">
        <v>43</v>
      </c>
      <c r="AJ232" t="s">
        <v>43</v>
      </c>
      <c r="AK232" t="s">
        <v>43</v>
      </c>
      <c r="AL232" t="s">
        <v>43</v>
      </c>
      <c r="AM232" t="s">
        <v>43</v>
      </c>
      <c r="AN232" t="s">
        <v>43</v>
      </c>
    </row>
    <row r="233" spans="1:40" x14ac:dyDescent="0.3">
      <c r="A233" s="1">
        <v>46210.97314814815</v>
      </c>
      <c r="B233" t="s">
        <v>40</v>
      </c>
      <c r="C233" t="s">
        <v>41</v>
      </c>
      <c r="D233" s="1">
        <v>46210.976076388892</v>
      </c>
      <c r="E233" t="s">
        <v>42</v>
      </c>
      <c r="F233" t="s">
        <v>43</v>
      </c>
      <c r="G233" t="s">
        <v>43</v>
      </c>
      <c r="H233" t="s">
        <v>43</v>
      </c>
      <c r="I233" t="s">
        <v>154</v>
      </c>
      <c r="J233" t="s">
        <v>43</v>
      </c>
      <c r="K233" t="s">
        <v>43</v>
      </c>
      <c r="L233" t="s">
        <v>43</v>
      </c>
      <c r="M233" t="s">
        <v>43</v>
      </c>
      <c r="N233" t="s">
        <v>45</v>
      </c>
      <c r="O233" t="s">
        <v>43</v>
      </c>
      <c r="P233" t="s">
        <v>43</v>
      </c>
      <c r="Q233" t="s">
        <v>43</v>
      </c>
      <c r="R233" t="s">
        <v>43</v>
      </c>
      <c r="S233" t="s">
        <v>43</v>
      </c>
      <c r="T233" t="s">
        <v>43</v>
      </c>
      <c r="U233" t="s">
        <v>43</v>
      </c>
      <c r="V233" t="s">
        <v>43</v>
      </c>
      <c r="W233" t="s">
        <v>43</v>
      </c>
      <c r="X233" t="s">
        <v>43</v>
      </c>
      <c r="Y233" t="s">
        <v>43</v>
      </c>
      <c r="Z233" t="s">
        <v>43</v>
      </c>
      <c r="AA233" t="s">
        <v>43</v>
      </c>
      <c r="AB233" t="s">
        <v>43</v>
      </c>
      <c r="AC233" t="s">
        <v>43</v>
      </c>
      <c r="AD233" t="s">
        <v>43</v>
      </c>
      <c r="AE233" t="s">
        <v>43</v>
      </c>
      <c r="AF233" t="s">
        <v>43</v>
      </c>
      <c r="AG233" t="s">
        <v>43</v>
      </c>
      <c r="AH233" t="s">
        <v>43</v>
      </c>
      <c r="AI233" t="s">
        <v>43</v>
      </c>
      <c r="AJ233" t="s">
        <v>43</v>
      </c>
      <c r="AK233" t="s">
        <v>43</v>
      </c>
      <c r="AL233" t="s">
        <v>43</v>
      </c>
      <c r="AM233" t="s">
        <v>43</v>
      </c>
      <c r="AN233" t="str">
        <f>HYPERLINK("https://www.google.com/maps?q=11.05476761,79.06095886","Open Location")</f>
        <v>Open Location</v>
      </c>
    </row>
    <row r="234" spans="1:40" x14ac:dyDescent="0.3">
      <c r="A234" s="1">
        <v>46210.973032407404</v>
      </c>
      <c r="B234" t="s">
        <v>40</v>
      </c>
      <c r="C234" t="s">
        <v>41</v>
      </c>
      <c r="D234" s="1">
        <v>46210.975821759261</v>
      </c>
      <c r="E234" t="s">
        <v>42</v>
      </c>
      <c r="F234" t="s">
        <v>43</v>
      </c>
      <c r="G234" t="s">
        <v>43</v>
      </c>
      <c r="H234" t="s">
        <v>43</v>
      </c>
      <c r="I234" t="s">
        <v>155</v>
      </c>
      <c r="J234" t="s">
        <v>43</v>
      </c>
      <c r="K234" t="s">
        <v>43</v>
      </c>
      <c r="L234" t="s">
        <v>43</v>
      </c>
      <c r="M234" t="s">
        <v>43</v>
      </c>
      <c r="N234" t="s">
        <v>45</v>
      </c>
      <c r="O234" t="s">
        <v>43</v>
      </c>
      <c r="P234" t="s">
        <v>43</v>
      </c>
      <c r="Q234" t="s">
        <v>43</v>
      </c>
      <c r="R234" t="s">
        <v>43</v>
      </c>
      <c r="S234" t="s">
        <v>43</v>
      </c>
      <c r="T234" t="s">
        <v>43</v>
      </c>
      <c r="U234" t="s">
        <v>43</v>
      </c>
      <c r="V234" t="s">
        <v>43</v>
      </c>
      <c r="W234" t="s">
        <v>43</v>
      </c>
      <c r="X234" t="s">
        <v>43</v>
      </c>
      <c r="Y234" t="s">
        <v>43</v>
      </c>
      <c r="Z234" t="s">
        <v>43</v>
      </c>
      <c r="AA234" t="s">
        <v>43</v>
      </c>
      <c r="AB234" t="s">
        <v>43</v>
      </c>
      <c r="AC234" t="s">
        <v>43</v>
      </c>
      <c r="AD234" t="s">
        <v>43</v>
      </c>
      <c r="AE234" t="s">
        <v>43</v>
      </c>
      <c r="AF234" t="s">
        <v>43</v>
      </c>
      <c r="AG234" t="s">
        <v>43</v>
      </c>
      <c r="AH234" t="s">
        <v>43</v>
      </c>
      <c r="AI234" t="s">
        <v>43</v>
      </c>
      <c r="AJ234" t="s">
        <v>43</v>
      </c>
      <c r="AK234" t="s">
        <v>43</v>
      </c>
      <c r="AL234" t="s">
        <v>43</v>
      </c>
      <c r="AM234" t="s">
        <v>43</v>
      </c>
      <c r="AN234" t="str">
        <f>HYPERLINK("https://www.google.com/maps?q=11.05477238,79.06096649","Open Location")</f>
        <v>Open Location</v>
      </c>
    </row>
    <row r="235" spans="1:40" x14ac:dyDescent="0.3">
      <c r="A235" s="1">
        <v>46210.972916666666</v>
      </c>
      <c r="B235" t="s">
        <v>40</v>
      </c>
      <c r="C235" t="s">
        <v>41</v>
      </c>
      <c r="D235" s="1">
        <v>46210.975578703707</v>
      </c>
      <c r="E235" t="s">
        <v>42</v>
      </c>
      <c r="F235" t="s">
        <v>43</v>
      </c>
      <c r="G235" t="s">
        <v>43</v>
      </c>
      <c r="H235" t="s">
        <v>43</v>
      </c>
      <c r="I235" t="s">
        <v>156</v>
      </c>
      <c r="J235" t="s">
        <v>43</v>
      </c>
      <c r="K235" t="s">
        <v>43</v>
      </c>
      <c r="L235" t="s">
        <v>43</v>
      </c>
      <c r="M235" t="s">
        <v>43</v>
      </c>
      <c r="N235" t="s">
        <v>45</v>
      </c>
      <c r="O235" t="s">
        <v>43</v>
      </c>
      <c r="P235" t="s">
        <v>43</v>
      </c>
      <c r="Q235" t="s">
        <v>43</v>
      </c>
      <c r="R235" t="s">
        <v>43</v>
      </c>
      <c r="S235" t="s">
        <v>43</v>
      </c>
      <c r="T235" t="s">
        <v>43</v>
      </c>
      <c r="U235" t="s">
        <v>43</v>
      </c>
      <c r="V235" t="s">
        <v>43</v>
      </c>
      <c r="W235" t="s">
        <v>43</v>
      </c>
      <c r="X235" t="s">
        <v>43</v>
      </c>
      <c r="Y235" t="s">
        <v>43</v>
      </c>
      <c r="Z235" t="s">
        <v>43</v>
      </c>
      <c r="AA235" t="s">
        <v>43</v>
      </c>
      <c r="AB235" t="s">
        <v>43</v>
      </c>
      <c r="AC235" t="s">
        <v>43</v>
      </c>
      <c r="AD235" t="s">
        <v>43</v>
      </c>
      <c r="AE235" t="s">
        <v>43</v>
      </c>
      <c r="AF235" t="s">
        <v>43</v>
      </c>
      <c r="AG235" t="s">
        <v>43</v>
      </c>
      <c r="AH235" t="s">
        <v>43</v>
      </c>
      <c r="AI235" t="s">
        <v>43</v>
      </c>
      <c r="AJ235" t="s">
        <v>43</v>
      </c>
      <c r="AK235" t="s">
        <v>43</v>
      </c>
      <c r="AL235" t="s">
        <v>43</v>
      </c>
      <c r="AM235" t="s">
        <v>43</v>
      </c>
      <c r="AN235" t="str">
        <f>HYPERLINK("https://www.google.com/maps?q=11.05477333,79.06096649","Open Location")</f>
        <v>Open Location</v>
      </c>
    </row>
    <row r="236" spans="1:40" x14ac:dyDescent="0.3">
      <c r="A236" s="1">
        <v>46210.972800925927</v>
      </c>
      <c r="B236" t="s">
        <v>40</v>
      </c>
      <c r="C236" t="s">
        <v>41</v>
      </c>
      <c r="D236" s="1">
        <v>46210.97556712963</v>
      </c>
      <c r="E236" t="s">
        <v>42</v>
      </c>
      <c r="F236" t="s">
        <v>43</v>
      </c>
      <c r="G236" t="s">
        <v>43</v>
      </c>
      <c r="H236" t="s">
        <v>43</v>
      </c>
      <c r="I236" t="s">
        <v>121</v>
      </c>
      <c r="J236" t="s">
        <v>43</v>
      </c>
      <c r="K236" t="s">
        <v>43</v>
      </c>
      <c r="L236" t="s">
        <v>43</v>
      </c>
      <c r="M236" t="s">
        <v>43</v>
      </c>
      <c r="N236" t="s">
        <v>45</v>
      </c>
      <c r="O236" t="s">
        <v>43</v>
      </c>
      <c r="P236" t="s">
        <v>43</v>
      </c>
      <c r="Q236" t="s">
        <v>43</v>
      </c>
      <c r="R236" t="s">
        <v>43</v>
      </c>
      <c r="S236" t="s">
        <v>43</v>
      </c>
      <c r="T236" t="s">
        <v>43</v>
      </c>
      <c r="U236" t="s">
        <v>43</v>
      </c>
      <c r="V236" t="s">
        <v>43</v>
      </c>
      <c r="W236" t="s">
        <v>43</v>
      </c>
      <c r="X236" t="s">
        <v>43</v>
      </c>
      <c r="Y236" t="s">
        <v>43</v>
      </c>
      <c r="Z236" t="s">
        <v>43</v>
      </c>
      <c r="AA236" t="s">
        <v>43</v>
      </c>
      <c r="AB236" t="s">
        <v>43</v>
      </c>
      <c r="AC236" t="s">
        <v>43</v>
      </c>
      <c r="AD236" t="s">
        <v>43</v>
      </c>
      <c r="AE236" t="s">
        <v>43</v>
      </c>
      <c r="AF236" t="s">
        <v>43</v>
      </c>
      <c r="AG236" t="s">
        <v>43</v>
      </c>
      <c r="AH236" t="s">
        <v>43</v>
      </c>
      <c r="AI236" t="s">
        <v>43</v>
      </c>
      <c r="AJ236" t="s">
        <v>43</v>
      </c>
      <c r="AK236" t="s">
        <v>43</v>
      </c>
      <c r="AL236" t="s">
        <v>43</v>
      </c>
      <c r="AM236" t="s">
        <v>43</v>
      </c>
      <c r="AN236" t="str">
        <f>HYPERLINK("https://www.google.com/maps?q=11.05477047,79.06096649","Open Location")</f>
        <v>Open Location</v>
      </c>
    </row>
    <row r="237" spans="1:40" x14ac:dyDescent="0.3">
      <c r="A237" s="1">
        <v>46210.972685185188</v>
      </c>
      <c r="B237" t="s">
        <v>40</v>
      </c>
      <c r="C237" t="s">
        <v>41</v>
      </c>
      <c r="D237" s="1">
        <v>46210.975335648145</v>
      </c>
      <c r="E237" t="s">
        <v>42</v>
      </c>
      <c r="F237" t="s">
        <v>43</v>
      </c>
      <c r="G237" t="s">
        <v>43</v>
      </c>
      <c r="H237" t="s">
        <v>43</v>
      </c>
      <c r="I237" t="s">
        <v>121</v>
      </c>
      <c r="J237" t="s">
        <v>43</v>
      </c>
      <c r="K237" t="s">
        <v>43</v>
      </c>
      <c r="L237" t="s">
        <v>43</v>
      </c>
      <c r="M237" t="s">
        <v>43</v>
      </c>
      <c r="N237" t="s">
        <v>45</v>
      </c>
      <c r="O237" t="s">
        <v>43</v>
      </c>
      <c r="P237" t="s">
        <v>43</v>
      </c>
      <c r="Q237" t="s">
        <v>43</v>
      </c>
      <c r="R237" t="s">
        <v>43</v>
      </c>
      <c r="S237" t="s">
        <v>43</v>
      </c>
      <c r="T237" t="s">
        <v>43</v>
      </c>
      <c r="U237" t="s">
        <v>43</v>
      </c>
      <c r="V237" t="s">
        <v>43</v>
      </c>
      <c r="W237" t="s">
        <v>43</v>
      </c>
      <c r="X237" t="s">
        <v>43</v>
      </c>
      <c r="Y237" t="s">
        <v>43</v>
      </c>
      <c r="Z237" t="s">
        <v>43</v>
      </c>
      <c r="AA237" t="s">
        <v>43</v>
      </c>
      <c r="AB237" t="s">
        <v>43</v>
      </c>
      <c r="AC237" t="s">
        <v>43</v>
      </c>
      <c r="AD237" t="s">
        <v>43</v>
      </c>
      <c r="AE237" t="s">
        <v>43</v>
      </c>
      <c r="AF237" t="s">
        <v>43</v>
      </c>
      <c r="AG237" t="s">
        <v>43</v>
      </c>
      <c r="AH237" t="s">
        <v>43</v>
      </c>
      <c r="AI237" t="s">
        <v>43</v>
      </c>
      <c r="AJ237" t="s">
        <v>43</v>
      </c>
      <c r="AK237" t="s">
        <v>43</v>
      </c>
      <c r="AL237" t="s">
        <v>43</v>
      </c>
      <c r="AM237" t="s">
        <v>43</v>
      </c>
      <c r="AN237" t="str">
        <f>HYPERLINK("https://www.google.com/maps?q=11.05477047,79.06096649","Open Location")</f>
        <v>Open Location</v>
      </c>
    </row>
    <row r="238" spans="1:40" x14ac:dyDescent="0.3">
      <c r="A238" s="1">
        <v>46210.972569444442</v>
      </c>
      <c r="B238" t="s">
        <v>40</v>
      </c>
      <c r="C238" t="s">
        <v>41</v>
      </c>
      <c r="D238" s="1">
        <v>46210.975462962961</v>
      </c>
      <c r="E238" t="s">
        <v>42</v>
      </c>
      <c r="F238" t="s">
        <v>43</v>
      </c>
      <c r="G238" t="s">
        <v>43</v>
      </c>
      <c r="H238" t="s">
        <v>43</v>
      </c>
      <c r="I238" t="s">
        <v>43</v>
      </c>
      <c r="J238" t="s">
        <v>43</v>
      </c>
      <c r="K238" t="s">
        <v>43</v>
      </c>
      <c r="L238" t="s">
        <v>43</v>
      </c>
      <c r="M238" t="s">
        <v>43</v>
      </c>
      <c r="N238" t="s">
        <v>45</v>
      </c>
      <c r="O238" t="s">
        <v>43</v>
      </c>
      <c r="P238" t="s">
        <v>43</v>
      </c>
      <c r="Q238" t="s">
        <v>43</v>
      </c>
      <c r="R238" t="s">
        <v>43</v>
      </c>
      <c r="S238" t="s">
        <v>43</v>
      </c>
      <c r="T238" t="s">
        <v>43</v>
      </c>
      <c r="U238" t="s">
        <v>43</v>
      </c>
      <c r="V238" t="s">
        <v>43</v>
      </c>
      <c r="W238" t="s">
        <v>43</v>
      </c>
      <c r="X238" t="s">
        <v>43</v>
      </c>
      <c r="Y238" t="s">
        <v>43</v>
      </c>
      <c r="Z238" t="s">
        <v>43</v>
      </c>
      <c r="AA238" t="s">
        <v>43</v>
      </c>
      <c r="AB238" t="s">
        <v>43</v>
      </c>
      <c r="AC238" t="s">
        <v>43</v>
      </c>
      <c r="AD238" t="s">
        <v>43</v>
      </c>
      <c r="AE238" t="s">
        <v>43</v>
      </c>
      <c r="AF238" t="s">
        <v>43</v>
      </c>
      <c r="AG238" t="s">
        <v>43</v>
      </c>
      <c r="AH238" t="s">
        <v>43</v>
      </c>
      <c r="AI238" t="s">
        <v>43</v>
      </c>
      <c r="AJ238" t="s">
        <v>43</v>
      </c>
      <c r="AK238" t="s">
        <v>43</v>
      </c>
      <c r="AL238" t="s">
        <v>43</v>
      </c>
      <c r="AM238" t="s">
        <v>43</v>
      </c>
      <c r="AN238" t="s">
        <v>43</v>
      </c>
    </row>
    <row r="239" spans="1:40" x14ac:dyDescent="0.3">
      <c r="A239" s="1">
        <v>46210.972453703704</v>
      </c>
      <c r="B239" t="s">
        <v>40</v>
      </c>
      <c r="C239" t="s">
        <v>41</v>
      </c>
      <c r="D239" s="1">
        <v>46210.975682870368</v>
      </c>
      <c r="E239" t="s">
        <v>42</v>
      </c>
      <c r="F239" t="s">
        <v>43</v>
      </c>
      <c r="G239" t="s">
        <v>43</v>
      </c>
      <c r="H239" t="s">
        <v>43</v>
      </c>
      <c r="I239" t="s">
        <v>122</v>
      </c>
      <c r="J239" t="s">
        <v>43</v>
      </c>
      <c r="K239" t="s">
        <v>43</v>
      </c>
      <c r="L239" t="s">
        <v>43</v>
      </c>
      <c r="M239" t="s">
        <v>43</v>
      </c>
      <c r="N239" t="s">
        <v>45</v>
      </c>
      <c r="O239" t="s">
        <v>43</v>
      </c>
      <c r="P239" t="s">
        <v>43</v>
      </c>
      <c r="Q239" t="s">
        <v>43</v>
      </c>
      <c r="R239" t="s">
        <v>43</v>
      </c>
      <c r="S239" t="s">
        <v>43</v>
      </c>
      <c r="T239" t="s">
        <v>43</v>
      </c>
      <c r="U239" t="s">
        <v>43</v>
      </c>
      <c r="V239" t="s">
        <v>43</v>
      </c>
      <c r="W239" t="s">
        <v>43</v>
      </c>
      <c r="X239" t="s">
        <v>43</v>
      </c>
      <c r="Y239" t="s">
        <v>43</v>
      </c>
      <c r="Z239" t="s">
        <v>43</v>
      </c>
      <c r="AA239" t="s">
        <v>43</v>
      </c>
      <c r="AB239" t="s">
        <v>43</v>
      </c>
      <c r="AC239" t="s">
        <v>43</v>
      </c>
      <c r="AD239" t="s">
        <v>43</v>
      </c>
      <c r="AE239" t="s">
        <v>43</v>
      </c>
      <c r="AF239" t="s">
        <v>43</v>
      </c>
      <c r="AG239" t="s">
        <v>43</v>
      </c>
      <c r="AH239" t="s">
        <v>43</v>
      </c>
      <c r="AI239" t="s">
        <v>43</v>
      </c>
      <c r="AJ239" t="s">
        <v>43</v>
      </c>
      <c r="AK239" t="s">
        <v>43</v>
      </c>
      <c r="AL239" t="s">
        <v>43</v>
      </c>
      <c r="AM239" t="s">
        <v>43</v>
      </c>
      <c r="AN239" t="str">
        <f>HYPERLINK("https://www.google.com/maps?q=11.05476761,79.06096649","Open Location")</f>
        <v>Open Location</v>
      </c>
    </row>
    <row r="240" spans="1:40" x14ac:dyDescent="0.3">
      <c r="A240" s="1">
        <v>46210.972337962965</v>
      </c>
      <c r="B240" t="s">
        <v>40</v>
      </c>
      <c r="C240" t="s">
        <v>41</v>
      </c>
      <c r="D240" s="1">
        <v>46210.975370370368</v>
      </c>
      <c r="E240" t="s">
        <v>42</v>
      </c>
      <c r="F240" t="s">
        <v>43</v>
      </c>
      <c r="G240" t="s">
        <v>43</v>
      </c>
      <c r="H240" t="s">
        <v>43</v>
      </c>
      <c r="I240" t="s">
        <v>157</v>
      </c>
      <c r="J240" t="s">
        <v>43</v>
      </c>
      <c r="K240" t="s">
        <v>43</v>
      </c>
      <c r="L240" t="s">
        <v>43</v>
      </c>
      <c r="M240" t="s">
        <v>43</v>
      </c>
      <c r="N240" t="s">
        <v>45</v>
      </c>
      <c r="O240" t="s">
        <v>43</v>
      </c>
      <c r="P240" t="s">
        <v>43</v>
      </c>
      <c r="Q240" t="s">
        <v>43</v>
      </c>
      <c r="R240" t="s">
        <v>43</v>
      </c>
      <c r="S240" t="s">
        <v>43</v>
      </c>
      <c r="T240" t="s">
        <v>43</v>
      </c>
      <c r="U240" t="s">
        <v>43</v>
      </c>
      <c r="V240" t="s">
        <v>43</v>
      </c>
      <c r="W240" t="s">
        <v>43</v>
      </c>
      <c r="X240" t="s">
        <v>43</v>
      </c>
      <c r="Y240" t="s">
        <v>43</v>
      </c>
      <c r="Z240" t="s">
        <v>43</v>
      </c>
      <c r="AA240" t="s">
        <v>43</v>
      </c>
      <c r="AB240" t="s">
        <v>43</v>
      </c>
      <c r="AC240" t="s">
        <v>43</v>
      </c>
      <c r="AD240" t="s">
        <v>43</v>
      </c>
      <c r="AE240" t="s">
        <v>43</v>
      </c>
      <c r="AF240" t="s">
        <v>43</v>
      </c>
      <c r="AG240" t="s">
        <v>43</v>
      </c>
      <c r="AH240" t="s">
        <v>43</v>
      </c>
      <c r="AI240" t="s">
        <v>43</v>
      </c>
      <c r="AJ240" t="s">
        <v>43</v>
      </c>
      <c r="AK240" t="s">
        <v>43</v>
      </c>
      <c r="AL240" t="s">
        <v>43</v>
      </c>
      <c r="AM240" t="s">
        <v>43</v>
      </c>
      <c r="AN240" t="str">
        <f>HYPERLINK("https://www.google.com/maps?q=11.0547657,79.06095886","Open Location")</f>
        <v>Open Location</v>
      </c>
    </row>
    <row r="241" spans="1:40" x14ac:dyDescent="0.3">
      <c r="A241" s="1">
        <v>46210.972222222219</v>
      </c>
      <c r="B241" t="s">
        <v>40</v>
      </c>
      <c r="C241" t="s">
        <v>41</v>
      </c>
      <c r="D241" s="1">
        <v>46210.975092592591</v>
      </c>
      <c r="E241" t="s">
        <v>42</v>
      </c>
      <c r="F241" t="s">
        <v>43</v>
      </c>
      <c r="G241" t="s">
        <v>43</v>
      </c>
      <c r="H241" t="s">
        <v>43</v>
      </c>
      <c r="I241" t="s">
        <v>113</v>
      </c>
      <c r="J241" t="s">
        <v>43</v>
      </c>
      <c r="K241" t="s">
        <v>43</v>
      </c>
      <c r="L241" t="s">
        <v>43</v>
      </c>
      <c r="M241" t="s">
        <v>43</v>
      </c>
      <c r="N241" t="s">
        <v>45</v>
      </c>
      <c r="O241" t="s">
        <v>43</v>
      </c>
      <c r="P241" t="s">
        <v>43</v>
      </c>
      <c r="Q241" t="s">
        <v>43</v>
      </c>
      <c r="R241" t="s">
        <v>43</v>
      </c>
      <c r="S241" t="s">
        <v>43</v>
      </c>
      <c r="T241" t="s">
        <v>43</v>
      </c>
      <c r="U241" t="s">
        <v>43</v>
      </c>
      <c r="V241" t="s">
        <v>43</v>
      </c>
      <c r="W241" t="s">
        <v>43</v>
      </c>
      <c r="X241" t="s">
        <v>43</v>
      </c>
      <c r="Y241" t="s">
        <v>43</v>
      </c>
      <c r="Z241" t="s">
        <v>43</v>
      </c>
      <c r="AA241" t="s">
        <v>43</v>
      </c>
      <c r="AB241" t="s">
        <v>43</v>
      </c>
      <c r="AC241" t="s">
        <v>43</v>
      </c>
      <c r="AD241" t="s">
        <v>43</v>
      </c>
      <c r="AE241" t="s">
        <v>43</v>
      </c>
      <c r="AF241" t="s">
        <v>43</v>
      </c>
      <c r="AG241" t="s">
        <v>43</v>
      </c>
      <c r="AH241" t="s">
        <v>43</v>
      </c>
      <c r="AI241" t="s">
        <v>43</v>
      </c>
      <c r="AJ241" t="s">
        <v>43</v>
      </c>
      <c r="AK241" t="s">
        <v>43</v>
      </c>
      <c r="AL241" t="s">
        <v>43</v>
      </c>
      <c r="AM241" t="s">
        <v>43</v>
      </c>
      <c r="AN241" t="str">
        <f>HYPERLINK("https://www.google.com/maps?q=11.05476665,79.06095886","Open Location")</f>
        <v>Open Location</v>
      </c>
    </row>
    <row r="242" spans="1:40" x14ac:dyDescent="0.3">
      <c r="A242" s="1">
        <v>46210.97210648148</v>
      </c>
      <c r="B242" t="s">
        <v>40</v>
      </c>
      <c r="C242" t="s">
        <v>41</v>
      </c>
      <c r="D242" s="1">
        <v>46210.975092592591</v>
      </c>
      <c r="E242" t="s">
        <v>42</v>
      </c>
      <c r="F242" t="s">
        <v>43</v>
      </c>
      <c r="G242" t="s">
        <v>43</v>
      </c>
      <c r="H242" t="s">
        <v>43</v>
      </c>
      <c r="I242" t="s">
        <v>153</v>
      </c>
      <c r="J242" t="s">
        <v>43</v>
      </c>
      <c r="K242" t="s">
        <v>43</v>
      </c>
      <c r="L242" t="s">
        <v>43</v>
      </c>
      <c r="M242" t="s">
        <v>43</v>
      </c>
      <c r="N242" t="s">
        <v>45</v>
      </c>
      <c r="O242" t="s">
        <v>43</v>
      </c>
      <c r="P242" t="s">
        <v>43</v>
      </c>
      <c r="Q242" t="s">
        <v>43</v>
      </c>
      <c r="R242" t="s">
        <v>43</v>
      </c>
      <c r="S242" t="s">
        <v>43</v>
      </c>
      <c r="T242" t="s">
        <v>43</v>
      </c>
      <c r="U242" t="s">
        <v>43</v>
      </c>
      <c r="V242" t="s">
        <v>43</v>
      </c>
      <c r="W242" t="s">
        <v>43</v>
      </c>
      <c r="X242" t="s">
        <v>43</v>
      </c>
      <c r="Y242" t="s">
        <v>43</v>
      </c>
      <c r="Z242" t="s">
        <v>43</v>
      </c>
      <c r="AA242" t="s">
        <v>43</v>
      </c>
      <c r="AB242" t="s">
        <v>43</v>
      </c>
      <c r="AC242" t="s">
        <v>43</v>
      </c>
      <c r="AD242" t="s">
        <v>43</v>
      </c>
      <c r="AE242" t="s">
        <v>43</v>
      </c>
      <c r="AF242" t="s">
        <v>43</v>
      </c>
      <c r="AG242" t="s">
        <v>43</v>
      </c>
      <c r="AH242" t="s">
        <v>43</v>
      </c>
      <c r="AI242" t="s">
        <v>43</v>
      </c>
      <c r="AJ242" t="s">
        <v>43</v>
      </c>
      <c r="AK242" t="s">
        <v>43</v>
      </c>
      <c r="AL242" t="s">
        <v>43</v>
      </c>
      <c r="AM242" t="s">
        <v>43</v>
      </c>
      <c r="AN242" t="str">
        <f>HYPERLINK("https://www.google.com/maps?q=11.05476856,79.06095886","Open Location")</f>
        <v>Open Location</v>
      </c>
    </row>
    <row r="243" spans="1:40" x14ac:dyDescent="0.3">
      <c r="A243" s="1">
        <v>46210.971990740742</v>
      </c>
      <c r="B243" t="s">
        <v>40</v>
      </c>
      <c r="C243" t="s">
        <v>41</v>
      </c>
      <c r="D243" s="1">
        <v>46210.974652777775</v>
      </c>
      <c r="E243" t="s">
        <v>42</v>
      </c>
      <c r="F243" t="s">
        <v>43</v>
      </c>
      <c r="G243" t="s">
        <v>43</v>
      </c>
      <c r="H243" t="s">
        <v>43</v>
      </c>
      <c r="I243" t="s">
        <v>113</v>
      </c>
      <c r="J243" t="s">
        <v>43</v>
      </c>
      <c r="K243" t="s">
        <v>43</v>
      </c>
      <c r="L243" t="s">
        <v>43</v>
      </c>
      <c r="M243" t="s">
        <v>43</v>
      </c>
      <c r="N243" t="s">
        <v>45</v>
      </c>
      <c r="O243" t="s">
        <v>43</v>
      </c>
      <c r="P243" t="s">
        <v>43</v>
      </c>
      <c r="Q243" t="s">
        <v>43</v>
      </c>
      <c r="R243" t="s">
        <v>43</v>
      </c>
      <c r="S243" t="s">
        <v>43</v>
      </c>
      <c r="T243" t="s">
        <v>43</v>
      </c>
      <c r="U243" t="s">
        <v>43</v>
      </c>
      <c r="V243" t="s">
        <v>43</v>
      </c>
      <c r="W243" t="s">
        <v>43</v>
      </c>
      <c r="X243" t="s">
        <v>43</v>
      </c>
      <c r="Y243" t="s">
        <v>43</v>
      </c>
      <c r="Z243" t="s">
        <v>43</v>
      </c>
      <c r="AA243" t="s">
        <v>43</v>
      </c>
      <c r="AB243" t="s">
        <v>43</v>
      </c>
      <c r="AC243" t="s">
        <v>43</v>
      </c>
      <c r="AD243" t="s">
        <v>43</v>
      </c>
      <c r="AE243" t="s">
        <v>43</v>
      </c>
      <c r="AF243" t="s">
        <v>43</v>
      </c>
      <c r="AG243" t="s">
        <v>43</v>
      </c>
      <c r="AH243" t="s">
        <v>43</v>
      </c>
      <c r="AI243" t="s">
        <v>43</v>
      </c>
      <c r="AJ243" t="s">
        <v>43</v>
      </c>
      <c r="AK243" t="s">
        <v>43</v>
      </c>
      <c r="AL243" t="s">
        <v>43</v>
      </c>
      <c r="AM243" t="s">
        <v>43</v>
      </c>
      <c r="AN243" t="str">
        <f>HYPERLINK("https://www.google.com/maps?q=11.05476665,79.06095886","Open Location")</f>
        <v>Open Location</v>
      </c>
    </row>
    <row r="244" spans="1:40" x14ac:dyDescent="0.3">
      <c r="A244" s="1">
        <v>46210.971875000003</v>
      </c>
      <c r="B244" t="s">
        <v>40</v>
      </c>
      <c r="C244" t="s">
        <v>41</v>
      </c>
      <c r="D244" s="1">
        <v>46210.974641203706</v>
      </c>
      <c r="E244" t="s">
        <v>42</v>
      </c>
      <c r="F244" t="s">
        <v>43</v>
      </c>
      <c r="G244" t="s">
        <v>43</v>
      </c>
      <c r="H244" t="s">
        <v>43</v>
      </c>
      <c r="I244" t="s">
        <v>43</v>
      </c>
      <c r="J244" t="s">
        <v>43</v>
      </c>
      <c r="K244" t="s">
        <v>43</v>
      </c>
      <c r="L244" t="s">
        <v>43</v>
      </c>
      <c r="M244" t="s">
        <v>43</v>
      </c>
      <c r="N244" t="s">
        <v>45</v>
      </c>
      <c r="O244" t="s">
        <v>43</v>
      </c>
      <c r="P244" t="s">
        <v>43</v>
      </c>
      <c r="Q244" t="s">
        <v>43</v>
      </c>
      <c r="R244" t="s">
        <v>43</v>
      </c>
      <c r="S244" t="s">
        <v>43</v>
      </c>
      <c r="T244" t="s">
        <v>43</v>
      </c>
      <c r="U244" t="s">
        <v>43</v>
      </c>
      <c r="V244" t="s">
        <v>43</v>
      </c>
      <c r="W244" t="s">
        <v>43</v>
      </c>
      <c r="X244" t="s">
        <v>43</v>
      </c>
      <c r="Y244" t="s">
        <v>43</v>
      </c>
      <c r="Z244" t="s">
        <v>43</v>
      </c>
      <c r="AA244" t="s">
        <v>43</v>
      </c>
      <c r="AB244" t="s">
        <v>43</v>
      </c>
      <c r="AC244" t="s">
        <v>43</v>
      </c>
      <c r="AD244" t="s">
        <v>43</v>
      </c>
      <c r="AE244" t="s">
        <v>43</v>
      </c>
      <c r="AF244" t="s">
        <v>43</v>
      </c>
      <c r="AG244" t="s">
        <v>43</v>
      </c>
      <c r="AH244" t="s">
        <v>43</v>
      </c>
      <c r="AI244" t="s">
        <v>43</v>
      </c>
      <c r="AJ244" t="s">
        <v>43</v>
      </c>
      <c r="AK244" t="s">
        <v>43</v>
      </c>
      <c r="AL244" t="s">
        <v>43</v>
      </c>
      <c r="AM244" t="s">
        <v>43</v>
      </c>
      <c r="AN244" t="s">
        <v>43</v>
      </c>
    </row>
    <row r="245" spans="1:40" x14ac:dyDescent="0.3">
      <c r="A245" s="1">
        <v>46210.971759259257</v>
      </c>
      <c r="B245" t="s">
        <v>40</v>
      </c>
      <c r="C245" t="s">
        <v>41</v>
      </c>
      <c r="D245" s="1">
        <v>46210.974490740744</v>
      </c>
      <c r="E245" t="s">
        <v>42</v>
      </c>
      <c r="F245" t="s">
        <v>43</v>
      </c>
      <c r="G245" t="s">
        <v>43</v>
      </c>
      <c r="H245" t="s">
        <v>43</v>
      </c>
      <c r="I245" t="s">
        <v>152</v>
      </c>
      <c r="J245" t="s">
        <v>43</v>
      </c>
      <c r="K245" t="s">
        <v>43</v>
      </c>
      <c r="L245" t="s">
        <v>43</v>
      </c>
      <c r="M245" t="s">
        <v>43</v>
      </c>
      <c r="N245" t="s">
        <v>45</v>
      </c>
      <c r="O245" t="s">
        <v>43</v>
      </c>
      <c r="P245" t="s">
        <v>43</v>
      </c>
      <c r="Q245" t="s">
        <v>43</v>
      </c>
      <c r="R245" t="s">
        <v>43</v>
      </c>
      <c r="S245" t="s">
        <v>43</v>
      </c>
      <c r="T245" t="s">
        <v>43</v>
      </c>
      <c r="U245" t="s">
        <v>43</v>
      </c>
      <c r="V245" t="s">
        <v>43</v>
      </c>
      <c r="W245" t="s">
        <v>43</v>
      </c>
      <c r="X245" t="s">
        <v>43</v>
      </c>
      <c r="Y245" t="s">
        <v>43</v>
      </c>
      <c r="Z245" t="s">
        <v>43</v>
      </c>
      <c r="AA245" t="s">
        <v>43</v>
      </c>
      <c r="AB245" t="s">
        <v>43</v>
      </c>
      <c r="AC245" t="s">
        <v>43</v>
      </c>
      <c r="AD245" t="s">
        <v>43</v>
      </c>
      <c r="AE245" t="s">
        <v>43</v>
      </c>
      <c r="AF245" t="s">
        <v>43</v>
      </c>
      <c r="AG245" t="s">
        <v>43</v>
      </c>
      <c r="AH245" t="s">
        <v>43</v>
      </c>
      <c r="AI245" t="s">
        <v>43</v>
      </c>
      <c r="AJ245" t="s">
        <v>43</v>
      </c>
      <c r="AK245" t="s">
        <v>43</v>
      </c>
      <c r="AL245" t="s">
        <v>43</v>
      </c>
      <c r="AM245" t="s">
        <v>43</v>
      </c>
      <c r="AN245" t="str">
        <f>HYPERLINK("https://www.google.com/maps?q=11.05476284,79.06095886","Open Location")</f>
        <v>Open Location</v>
      </c>
    </row>
    <row r="246" spans="1:40" x14ac:dyDescent="0.3">
      <c r="A246" s="1">
        <v>46210.971643518518</v>
      </c>
      <c r="B246" t="s">
        <v>40</v>
      </c>
      <c r="C246" t="s">
        <v>41</v>
      </c>
      <c r="D246" s="1">
        <v>46210.97451388889</v>
      </c>
      <c r="E246" t="s">
        <v>42</v>
      </c>
      <c r="F246" t="s">
        <v>43</v>
      </c>
      <c r="G246" t="s">
        <v>43</v>
      </c>
      <c r="H246" t="s">
        <v>43</v>
      </c>
      <c r="I246" t="s">
        <v>152</v>
      </c>
      <c r="J246" t="s">
        <v>43</v>
      </c>
      <c r="K246" t="s">
        <v>43</v>
      </c>
      <c r="L246" t="s">
        <v>43</v>
      </c>
      <c r="M246" t="s">
        <v>43</v>
      </c>
      <c r="N246" t="s">
        <v>45</v>
      </c>
      <c r="O246" t="s">
        <v>43</v>
      </c>
      <c r="P246" t="s">
        <v>43</v>
      </c>
      <c r="Q246" t="s">
        <v>43</v>
      </c>
      <c r="R246" t="s">
        <v>43</v>
      </c>
      <c r="S246" t="s">
        <v>43</v>
      </c>
      <c r="T246" t="s">
        <v>43</v>
      </c>
      <c r="U246" t="s">
        <v>43</v>
      </c>
      <c r="V246" t="s">
        <v>43</v>
      </c>
      <c r="W246" t="s">
        <v>43</v>
      </c>
      <c r="X246" t="s">
        <v>43</v>
      </c>
      <c r="Y246" t="s">
        <v>43</v>
      </c>
      <c r="Z246" t="s">
        <v>43</v>
      </c>
      <c r="AA246" t="s">
        <v>43</v>
      </c>
      <c r="AB246" t="s">
        <v>43</v>
      </c>
      <c r="AC246" t="s">
        <v>43</v>
      </c>
      <c r="AD246" t="s">
        <v>43</v>
      </c>
      <c r="AE246" t="s">
        <v>43</v>
      </c>
      <c r="AF246" t="s">
        <v>43</v>
      </c>
      <c r="AG246" t="s">
        <v>43</v>
      </c>
      <c r="AH246" t="s">
        <v>43</v>
      </c>
      <c r="AI246" t="s">
        <v>43</v>
      </c>
      <c r="AJ246" t="s">
        <v>43</v>
      </c>
      <c r="AK246" t="s">
        <v>43</v>
      </c>
      <c r="AL246" t="s">
        <v>43</v>
      </c>
      <c r="AM246" t="s">
        <v>43</v>
      </c>
      <c r="AN246" t="str">
        <f>HYPERLINK("https://www.google.com/maps?q=11.05476284,79.06095886","Open Location")</f>
        <v>Open Location</v>
      </c>
    </row>
    <row r="247" spans="1:40" x14ac:dyDescent="0.3">
      <c r="A247" s="1">
        <v>46210.97152777778</v>
      </c>
      <c r="B247" t="s">
        <v>40</v>
      </c>
      <c r="C247" t="s">
        <v>41</v>
      </c>
      <c r="D247" s="1">
        <v>46210.97451388889</v>
      </c>
      <c r="E247" t="s">
        <v>42</v>
      </c>
      <c r="F247" t="s">
        <v>43</v>
      </c>
      <c r="G247" t="s">
        <v>43</v>
      </c>
      <c r="H247" t="s">
        <v>43</v>
      </c>
      <c r="I247" t="s">
        <v>157</v>
      </c>
      <c r="J247" t="s">
        <v>43</v>
      </c>
      <c r="K247" t="s">
        <v>43</v>
      </c>
      <c r="L247" t="s">
        <v>43</v>
      </c>
      <c r="M247" t="s">
        <v>43</v>
      </c>
      <c r="N247" t="s">
        <v>45</v>
      </c>
      <c r="O247" t="s">
        <v>43</v>
      </c>
      <c r="P247" t="s">
        <v>43</v>
      </c>
      <c r="Q247" t="s">
        <v>43</v>
      </c>
      <c r="R247" t="s">
        <v>43</v>
      </c>
      <c r="S247" t="s">
        <v>43</v>
      </c>
      <c r="T247" t="s">
        <v>43</v>
      </c>
      <c r="U247" t="s">
        <v>43</v>
      </c>
      <c r="V247" t="s">
        <v>43</v>
      </c>
      <c r="W247" t="s">
        <v>43</v>
      </c>
      <c r="X247" t="s">
        <v>43</v>
      </c>
      <c r="Y247" t="s">
        <v>43</v>
      </c>
      <c r="Z247" t="s">
        <v>43</v>
      </c>
      <c r="AA247" t="s">
        <v>43</v>
      </c>
      <c r="AB247" t="s">
        <v>43</v>
      </c>
      <c r="AC247" t="s">
        <v>43</v>
      </c>
      <c r="AD247" t="s">
        <v>43</v>
      </c>
      <c r="AE247" t="s">
        <v>43</v>
      </c>
      <c r="AF247" t="s">
        <v>43</v>
      </c>
      <c r="AG247" t="s">
        <v>43</v>
      </c>
      <c r="AH247" t="s">
        <v>43</v>
      </c>
      <c r="AI247" t="s">
        <v>43</v>
      </c>
      <c r="AJ247" t="s">
        <v>43</v>
      </c>
      <c r="AK247" t="s">
        <v>43</v>
      </c>
      <c r="AL247" t="s">
        <v>43</v>
      </c>
      <c r="AM247" t="s">
        <v>43</v>
      </c>
      <c r="AN247" t="str">
        <f>HYPERLINK("https://www.google.com/maps?q=11.0547657,79.06095886","Open Location")</f>
        <v>Open Location</v>
      </c>
    </row>
    <row r="248" spans="1:40" x14ac:dyDescent="0.3">
      <c r="A248" s="1">
        <v>46210.971412037034</v>
      </c>
      <c r="B248" t="s">
        <v>40</v>
      </c>
      <c r="C248" t="s">
        <v>41</v>
      </c>
      <c r="D248" s="1">
        <v>46210.974398148152</v>
      </c>
      <c r="E248" t="s">
        <v>42</v>
      </c>
      <c r="F248" t="s">
        <v>43</v>
      </c>
      <c r="G248" t="s">
        <v>43</v>
      </c>
      <c r="H248" t="s">
        <v>43</v>
      </c>
      <c r="I248" t="s">
        <v>93</v>
      </c>
      <c r="J248" t="s">
        <v>43</v>
      </c>
      <c r="K248" t="s">
        <v>43</v>
      </c>
      <c r="L248" t="s">
        <v>43</v>
      </c>
      <c r="M248" t="s">
        <v>43</v>
      </c>
      <c r="N248" t="s">
        <v>45</v>
      </c>
      <c r="O248" t="s">
        <v>43</v>
      </c>
      <c r="P248" t="s">
        <v>43</v>
      </c>
      <c r="Q248" t="s">
        <v>43</v>
      </c>
      <c r="R248" t="s">
        <v>43</v>
      </c>
      <c r="S248" t="s">
        <v>43</v>
      </c>
      <c r="T248" t="s">
        <v>43</v>
      </c>
      <c r="U248" t="s">
        <v>43</v>
      </c>
      <c r="V248" t="s">
        <v>43</v>
      </c>
      <c r="W248" t="s">
        <v>43</v>
      </c>
      <c r="X248" t="s">
        <v>43</v>
      </c>
      <c r="Y248" t="s">
        <v>43</v>
      </c>
      <c r="Z248" t="s">
        <v>43</v>
      </c>
      <c r="AA248" t="s">
        <v>43</v>
      </c>
      <c r="AB248" t="s">
        <v>43</v>
      </c>
      <c r="AC248" t="s">
        <v>43</v>
      </c>
      <c r="AD248" t="s">
        <v>43</v>
      </c>
      <c r="AE248" t="s">
        <v>43</v>
      </c>
      <c r="AF248" t="s">
        <v>43</v>
      </c>
      <c r="AG248" t="s">
        <v>43</v>
      </c>
      <c r="AH248" t="s">
        <v>43</v>
      </c>
      <c r="AI248" t="s">
        <v>43</v>
      </c>
      <c r="AJ248" t="s">
        <v>43</v>
      </c>
      <c r="AK248" t="s">
        <v>43</v>
      </c>
      <c r="AL248" t="s">
        <v>43</v>
      </c>
      <c r="AM248" t="s">
        <v>43</v>
      </c>
      <c r="AN248" t="str">
        <f>HYPERLINK("https://www.google.com/maps?q=11.05476665,79.06096649","Open Location")</f>
        <v>Open Location</v>
      </c>
    </row>
    <row r="249" spans="1:40" x14ac:dyDescent="0.3">
      <c r="A249" s="1">
        <v>46210.971296296295</v>
      </c>
      <c r="B249" t="s">
        <v>40</v>
      </c>
      <c r="C249" t="s">
        <v>41</v>
      </c>
      <c r="D249" s="1">
        <v>46210.974143518521</v>
      </c>
      <c r="E249" t="s">
        <v>42</v>
      </c>
      <c r="F249" t="s">
        <v>43</v>
      </c>
      <c r="G249" t="s">
        <v>43</v>
      </c>
      <c r="H249" t="s">
        <v>43</v>
      </c>
      <c r="I249" t="s">
        <v>43</v>
      </c>
      <c r="J249" t="s">
        <v>43</v>
      </c>
      <c r="K249" t="s">
        <v>43</v>
      </c>
      <c r="L249" t="s">
        <v>43</v>
      </c>
      <c r="M249" t="s">
        <v>43</v>
      </c>
      <c r="N249" t="s">
        <v>45</v>
      </c>
      <c r="O249" t="s">
        <v>43</v>
      </c>
      <c r="P249" t="s">
        <v>43</v>
      </c>
      <c r="Q249" t="s">
        <v>43</v>
      </c>
      <c r="R249" t="s">
        <v>43</v>
      </c>
      <c r="S249" t="s">
        <v>43</v>
      </c>
      <c r="T249" t="s">
        <v>43</v>
      </c>
      <c r="U249" t="s">
        <v>43</v>
      </c>
      <c r="V249" t="s">
        <v>43</v>
      </c>
      <c r="W249" t="s">
        <v>43</v>
      </c>
      <c r="X249" t="s">
        <v>43</v>
      </c>
      <c r="Y249" t="s">
        <v>43</v>
      </c>
      <c r="Z249" t="s">
        <v>43</v>
      </c>
      <c r="AA249" t="s">
        <v>43</v>
      </c>
      <c r="AB249" t="s">
        <v>43</v>
      </c>
      <c r="AC249" t="s">
        <v>43</v>
      </c>
      <c r="AD249" t="s">
        <v>43</v>
      </c>
      <c r="AE249" t="s">
        <v>43</v>
      </c>
      <c r="AF249" t="s">
        <v>43</v>
      </c>
      <c r="AG249" t="s">
        <v>43</v>
      </c>
      <c r="AH249" t="s">
        <v>43</v>
      </c>
      <c r="AI249" t="s">
        <v>43</v>
      </c>
      <c r="AJ249" t="s">
        <v>43</v>
      </c>
      <c r="AK249" t="s">
        <v>43</v>
      </c>
      <c r="AL249" t="s">
        <v>43</v>
      </c>
      <c r="AM249" t="s">
        <v>43</v>
      </c>
      <c r="AN249" t="s">
        <v>43</v>
      </c>
    </row>
    <row r="250" spans="1:40" x14ac:dyDescent="0.3">
      <c r="A250" s="1">
        <v>46210.971180555556</v>
      </c>
      <c r="B250" t="s">
        <v>40</v>
      </c>
      <c r="C250" t="s">
        <v>41</v>
      </c>
      <c r="D250" s="1">
        <v>46210.974074074074</v>
      </c>
      <c r="E250" t="s">
        <v>42</v>
      </c>
      <c r="F250" t="s">
        <v>43</v>
      </c>
      <c r="G250" t="s">
        <v>43</v>
      </c>
      <c r="H250" t="s">
        <v>43</v>
      </c>
      <c r="I250" t="s">
        <v>121</v>
      </c>
      <c r="J250" t="s">
        <v>43</v>
      </c>
      <c r="K250" t="s">
        <v>43</v>
      </c>
      <c r="L250" t="s">
        <v>43</v>
      </c>
      <c r="M250" t="s">
        <v>43</v>
      </c>
      <c r="N250" t="s">
        <v>45</v>
      </c>
      <c r="O250" t="s">
        <v>43</v>
      </c>
      <c r="P250" t="s">
        <v>43</v>
      </c>
      <c r="Q250" t="s">
        <v>43</v>
      </c>
      <c r="R250" t="s">
        <v>43</v>
      </c>
      <c r="S250" t="s">
        <v>43</v>
      </c>
      <c r="T250" t="s">
        <v>43</v>
      </c>
      <c r="U250" t="s">
        <v>43</v>
      </c>
      <c r="V250" t="s">
        <v>43</v>
      </c>
      <c r="W250" t="s">
        <v>43</v>
      </c>
      <c r="X250" t="s">
        <v>43</v>
      </c>
      <c r="Y250" t="s">
        <v>43</v>
      </c>
      <c r="Z250" t="s">
        <v>43</v>
      </c>
      <c r="AA250" t="s">
        <v>43</v>
      </c>
      <c r="AB250" t="s">
        <v>43</v>
      </c>
      <c r="AC250" t="s">
        <v>43</v>
      </c>
      <c r="AD250" t="s">
        <v>43</v>
      </c>
      <c r="AE250" t="s">
        <v>43</v>
      </c>
      <c r="AF250" t="s">
        <v>43</v>
      </c>
      <c r="AG250" t="s">
        <v>43</v>
      </c>
      <c r="AH250" t="s">
        <v>43</v>
      </c>
      <c r="AI250" t="s">
        <v>43</v>
      </c>
      <c r="AJ250" t="s">
        <v>43</v>
      </c>
      <c r="AK250" t="s">
        <v>43</v>
      </c>
      <c r="AL250" t="s">
        <v>43</v>
      </c>
      <c r="AM250" t="s">
        <v>43</v>
      </c>
      <c r="AN250" t="str">
        <f>HYPERLINK("https://www.google.com/maps?q=11.05477047,79.06096649","Open Location")</f>
        <v>Open Location</v>
      </c>
    </row>
    <row r="251" spans="1:40" x14ac:dyDescent="0.3">
      <c r="A251" s="1">
        <v>46210.971064814818</v>
      </c>
      <c r="B251" t="s">
        <v>40</v>
      </c>
      <c r="C251" t="s">
        <v>41</v>
      </c>
      <c r="D251" s="1">
        <v>46210.97383101852</v>
      </c>
      <c r="E251" t="s">
        <v>42</v>
      </c>
      <c r="F251" t="s">
        <v>43</v>
      </c>
      <c r="G251" t="s">
        <v>43</v>
      </c>
      <c r="H251" t="s">
        <v>43</v>
      </c>
      <c r="I251" t="s">
        <v>107</v>
      </c>
      <c r="J251" t="s">
        <v>43</v>
      </c>
      <c r="K251" t="s">
        <v>43</v>
      </c>
      <c r="L251" t="s">
        <v>43</v>
      </c>
      <c r="M251" t="s">
        <v>43</v>
      </c>
      <c r="N251" t="s">
        <v>45</v>
      </c>
      <c r="O251" t="s">
        <v>43</v>
      </c>
      <c r="P251" t="s">
        <v>43</v>
      </c>
      <c r="Q251" t="s">
        <v>43</v>
      </c>
      <c r="R251" t="s">
        <v>43</v>
      </c>
      <c r="S251" t="s">
        <v>43</v>
      </c>
      <c r="T251" t="s">
        <v>43</v>
      </c>
      <c r="U251" t="s">
        <v>43</v>
      </c>
      <c r="V251" t="s">
        <v>43</v>
      </c>
      <c r="W251" t="s">
        <v>43</v>
      </c>
      <c r="X251" t="s">
        <v>43</v>
      </c>
      <c r="Y251" t="s">
        <v>43</v>
      </c>
      <c r="Z251" t="s">
        <v>43</v>
      </c>
      <c r="AA251" t="s">
        <v>43</v>
      </c>
      <c r="AB251" t="s">
        <v>43</v>
      </c>
      <c r="AC251" t="s">
        <v>43</v>
      </c>
      <c r="AD251" t="s">
        <v>43</v>
      </c>
      <c r="AE251" t="s">
        <v>43</v>
      </c>
      <c r="AF251" t="s">
        <v>43</v>
      </c>
      <c r="AG251" t="s">
        <v>43</v>
      </c>
      <c r="AH251" t="s">
        <v>43</v>
      </c>
      <c r="AI251" t="s">
        <v>43</v>
      </c>
      <c r="AJ251" t="s">
        <v>43</v>
      </c>
      <c r="AK251" t="s">
        <v>43</v>
      </c>
      <c r="AL251" t="s">
        <v>43</v>
      </c>
      <c r="AM251" t="s">
        <v>43</v>
      </c>
      <c r="AN251" t="str">
        <f>HYPERLINK("https://www.google.com/maps?q=11.05477333,79.06095886","Open Location")</f>
        <v>Open Location</v>
      </c>
    </row>
    <row r="252" spans="1:40" x14ac:dyDescent="0.3">
      <c r="A252" s="1">
        <v>46210.970949074072</v>
      </c>
      <c r="B252" t="s">
        <v>40</v>
      </c>
      <c r="C252" t="s">
        <v>41</v>
      </c>
      <c r="D252" s="1">
        <v>46210.973692129628</v>
      </c>
      <c r="E252" t="s">
        <v>42</v>
      </c>
      <c r="F252" t="s">
        <v>43</v>
      </c>
      <c r="G252" t="s">
        <v>43</v>
      </c>
      <c r="H252" t="s">
        <v>43</v>
      </c>
      <c r="I252" t="s">
        <v>107</v>
      </c>
      <c r="J252" t="s">
        <v>43</v>
      </c>
      <c r="K252" t="s">
        <v>43</v>
      </c>
      <c r="L252" t="s">
        <v>43</v>
      </c>
      <c r="M252" t="s">
        <v>43</v>
      </c>
      <c r="N252" t="s">
        <v>45</v>
      </c>
      <c r="O252" t="s">
        <v>43</v>
      </c>
      <c r="P252" t="s">
        <v>43</v>
      </c>
      <c r="Q252" t="s">
        <v>43</v>
      </c>
      <c r="R252" t="s">
        <v>43</v>
      </c>
      <c r="S252" t="s">
        <v>43</v>
      </c>
      <c r="T252" t="s">
        <v>43</v>
      </c>
      <c r="U252" t="s">
        <v>43</v>
      </c>
      <c r="V252" t="s">
        <v>43</v>
      </c>
      <c r="W252" t="s">
        <v>43</v>
      </c>
      <c r="X252" t="s">
        <v>43</v>
      </c>
      <c r="Y252" t="s">
        <v>43</v>
      </c>
      <c r="Z252" t="s">
        <v>43</v>
      </c>
      <c r="AA252" t="s">
        <v>43</v>
      </c>
      <c r="AB252" t="s">
        <v>43</v>
      </c>
      <c r="AC252" t="s">
        <v>43</v>
      </c>
      <c r="AD252" t="s">
        <v>43</v>
      </c>
      <c r="AE252" t="s">
        <v>43</v>
      </c>
      <c r="AF252" t="s">
        <v>43</v>
      </c>
      <c r="AG252" t="s">
        <v>43</v>
      </c>
      <c r="AH252" t="s">
        <v>43</v>
      </c>
      <c r="AI252" t="s">
        <v>43</v>
      </c>
      <c r="AJ252" t="s">
        <v>43</v>
      </c>
      <c r="AK252" t="s">
        <v>43</v>
      </c>
      <c r="AL252" t="s">
        <v>43</v>
      </c>
      <c r="AM252" t="s">
        <v>43</v>
      </c>
      <c r="AN252" t="str">
        <f>HYPERLINK("https://www.google.com/maps?q=11.05477333,79.06095886","Open Location")</f>
        <v>Open Location</v>
      </c>
    </row>
    <row r="253" spans="1:40" x14ac:dyDescent="0.3">
      <c r="A253" s="1">
        <v>46210.970833333333</v>
      </c>
      <c r="B253" t="s">
        <v>40</v>
      </c>
      <c r="C253" t="s">
        <v>41</v>
      </c>
      <c r="D253" s="1">
        <v>46210.97383101852</v>
      </c>
      <c r="E253" t="s">
        <v>42</v>
      </c>
      <c r="F253" t="s">
        <v>43</v>
      </c>
      <c r="G253" t="s">
        <v>43</v>
      </c>
      <c r="H253" t="s">
        <v>43</v>
      </c>
      <c r="I253" t="s">
        <v>98</v>
      </c>
      <c r="J253" t="s">
        <v>43</v>
      </c>
      <c r="K253" t="s">
        <v>43</v>
      </c>
      <c r="L253" t="s">
        <v>43</v>
      </c>
      <c r="M253" t="s">
        <v>43</v>
      </c>
      <c r="N253" t="s">
        <v>45</v>
      </c>
      <c r="O253" t="s">
        <v>43</v>
      </c>
      <c r="P253" t="s">
        <v>43</v>
      </c>
      <c r="Q253" t="s">
        <v>43</v>
      </c>
      <c r="R253" t="s">
        <v>43</v>
      </c>
      <c r="S253" t="s">
        <v>43</v>
      </c>
      <c r="T253" t="s">
        <v>43</v>
      </c>
      <c r="U253" t="s">
        <v>43</v>
      </c>
      <c r="V253" t="s">
        <v>43</v>
      </c>
      <c r="W253" t="s">
        <v>43</v>
      </c>
      <c r="X253" t="s">
        <v>43</v>
      </c>
      <c r="Y253" t="s">
        <v>43</v>
      </c>
      <c r="Z253" t="s">
        <v>43</v>
      </c>
      <c r="AA253" t="s">
        <v>43</v>
      </c>
      <c r="AB253" t="s">
        <v>43</v>
      </c>
      <c r="AC253" t="s">
        <v>43</v>
      </c>
      <c r="AD253" t="s">
        <v>43</v>
      </c>
      <c r="AE253" t="s">
        <v>43</v>
      </c>
      <c r="AF253" t="s">
        <v>43</v>
      </c>
      <c r="AG253" t="s">
        <v>43</v>
      </c>
      <c r="AH253" t="s">
        <v>43</v>
      </c>
      <c r="AI253" t="s">
        <v>43</v>
      </c>
      <c r="AJ253" t="s">
        <v>43</v>
      </c>
      <c r="AK253" t="s">
        <v>43</v>
      </c>
      <c r="AL253" t="s">
        <v>43</v>
      </c>
      <c r="AM253" t="s">
        <v>43</v>
      </c>
      <c r="AN253" t="str">
        <f>HYPERLINK("https://www.google.com/maps?q=11.05477428,79.06095886","Open Location")</f>
        <v>Open Location</v>
      </c>
    </row>
    <row r="254" spans="1:40" x14ac:dyDescent="0.3">
      <c r="A254" s="1">
        <v>46210.970717592594</v>
      </c>
      <c r="B254" t="s">
        <v>40</v>
      </c>
      <c r="C254" t="s">
        <v>41</v>
      </c>
      <c r="D254" s="1">
        <v>46210.973657407405</v>
      </c>
      <c r="E254" t="s">
        <v>42</v>
      </c>
      <c r="F254" t="s">
        <v>43</v>
      </c>
      <c r="G254" t="s">
        <v>43</v>
      </c>
      <c r="H254" t="s">
        <v>43</v>
      </c>
      <c r="I254" t="s">
        <v>112</v>
      </c>
      <c r="J254" t="s">
        <v>43</v>
      </c>
      <c r="K254" t="s">
        <v>43</v>
      </c>
      <c r="L254" t="s">
        <v>43</v>
      </c>
      <c r="M254" t="s">
        <v>43</v>
      </c>
      <c r="N254" t="s">
        <v>45</v>
      </c>
      <c r="O254" t="s">
        <v>43</v>
      </c>
      <c r="P254" t="s">
        <v>43</v>
      </c>
      <c r="Q254" t="s">
        <v>43</v>
      </c>
      <c r="R254" t="s">
        <v>43</v>
      </c>
      <c r="S254" t="s">
        <v>43</v>
      </c>
      <c r="T254" t="s">
        <v>43</v>
      </c>
      <c r="U254" t="s">
        <v>43</v>
      </c>
      <c r="V254" t="s">
        <v>43</v>
      </c>
      <c r="W254" t="s">
        <v>43</v>
      </c>
      <c r="X254" t="s">
        <v>43</v>
      </c>
      <c r="Y254" t="s">
        <v>43</v>
      </c>
      <c r="Z254" t="s">
        <v>43</v>
      </c>
      <c r="AA254" t="s">
        <v>43</v>
      </c>
      <c r="AB254" t="s">
        <v>43</v>
      </c>
      <c r="AC254" t="s">
        <v>43</v>
      </c>
      <c r="AD254" t="s">
        <v>43</v>
      </c>
      <c r="AE254" t="s">
        <v>43</v>
      </c>
      <c r="AF254" t="s">
        <v>43</v>
      </c>
      <c r="AG254" t="s">
        <v>43</v>
      </c>
      <c r="AH254" t="s">
        <v>43</v>
      </c>
      <c r="AI254" t="s">
        <v>43</v>
      </c>
      <c r="AJ254" t="s">
        <v>43</v>
      </c>
      <c r="AK254" t="s">
        <v>43</v>
      </c>
      <c r="AL254" t="s">
        <v>43</v>
      </c>
      <c r="AM254" t="s">
        <v>43</v>
      </c>
      <c r="AN254" t="str">
        <f>HYPERLINK("https://www.google.com/maps?q=11.05477238,79.06095886","Open Location")</f>
        <v>Open Location</v>
      </c>
    </row>
    <row r="255" spans="1:40" x14ac:dyDescent="0.3">
      <c r="A255" s="1">
        <v>46210.970601851855</v>
      </c>
      <c r="B255" t="s">
        <v>40</v>
      </c>
      <c r="C255" t="s">
        <v>41</v>
      </c>
      <c r="D255" s="1">
        <v>46210.973437499997</v>
      </c>
      <c r="E255" t="s">
        <v>42</v>
      </c>
      <c r="F255" t="s">
        <v>43</v>
      </c>
      <c r="G255" t="s">
        <v>43</v>
      </c>
      <c r="H255" t="s">
        <v>43</v>
      </c>
      <c r="I255" t="s">
        <v>43</v>
      </c>
      <c r="J255" t="s">
        <v>43</v>
      </c>
      <c r="K255" t="s">
        <v>43</v>
      </c>
      <c r="L255" t="s">
        <v>43</v>
      </c>
      <c r="M255" t="s">
        <v>43</v>
      </c>
      <c r="N255" t="s">
        <v>45</v>
      </c>
      <c r="O255" t="s">
        <v>43</v>
      </c>
      <c r="P255" t="s">
        <v>43</v>
      </c>
      <c r="Q255" t="s">
        <v>43</v>
      </c>
      <c r="R255" t="s">
        <v>43</v>
      </c>
      <c r="S255" t="s">
        <v>43</v>
      </c>
      <c r="T255" t="s">
        <v>43</v>
      </c>
      <c r="U255" t="s">
        <v>43</v>
      </c>
      <c r="V255" t="s">
        <v>43</v>
      </c>
      <c r="W255" t="s">
        <v>43</v>
      </c>
      <c r="X255" t="s">
        <v>43</v>
      </c>
      <c r="Y255" t="s">
        <v>43</v>
      </c>
      <c r="Z255" t="s">
        <v>43</v>
      </c>
      <c r="AA255" t="s">
        <v>43</v>
      </c>
      <c r="AB255" t="s">
        <v>43</v>
      </c>
      <c r="AC255" t="s">
        <v>43</v>
      </c>
      <c r="AD255" t="s">
        <v>43</v>
      </c>
      <c r="AE255" t="s">
        <v>43</v>
      </c>
      <c r="AF255" t="s">
        <v>43</v>
      </c>
      <c r="AG255" t="s">
        <v>43</v>
      </c>
      <c r="AH255" t="s">
        <v>43</v>
      </c>
      <c r="AI255" t="s">
        <v>43</v>
      </c>
      <c r="AJ255" t="s">
        <v>43</v>
      </c>
      <c r="AK255" t="s">
        <v>43</v>
      </c>
      <c r="AL255" t="s">
        <v>43</v>
      </c>
      <c r="AM255" t="s">
        <v>43</v>
      </c>
      <c r="AN255" t="s">
        <v>43</v>
      </c>
    </row>
    <row r="256" spans="1:40" x14ac:dyDescent="0.3">
      <c r="A256" s="1">
        <v>46210.970486111109</v>
      </c>
      <c r="B256" t="s">
        <v>40</v>
      </c>
      <c r="C256" t="s">
        <v>41</v>
      </c>
      <c r="D256" s="1">
        <v>46210.973449074074</v>
      </c>
      <c r="E256" t="s">
        <v>42</v>
      </c>
      <c r="F256" t="s">
        <v>43</v>
      </c>
      <c r="G256" t="s">
        <v>43</v>
      </c>
      <c r="H256" t="s">
        <v>43</v>
      </c>
      <c r="I256" t="s">
        <v>153</v>
      </c>
      <c r="J256" t="s">
        <v>43</v>
      </c>
      <c r="K256" t="s">
        <v>43</v>
      </c>
      <c r="L256" t="s">
        <v>43</v>
      </c>
      <c r="M256" t="s">
        <v>43</v>
      </c>
      <c r="N256" t="s">
        <v>45</v>
      </c>
      <c r="O256" t="s">
        <v>43</v>
      </c>
      <c r="P256" t="s">
        <v>43</v>
      </c>
      <c r="Q256" t="s">
        <v>43</v>
      </c>
      <c r="R256" t="s">
        <v>43</v>
      </c>
      <c r="S256" t="s">
        <v>43</v>
      </c>
      <c r="T256" t="s">
        <v>43</v>
      </c>
      <c r="U256" t="s">
        <v>43</v>
      </c>
      <c r="V256" t="s">
        <v>43</v>
      </c>
      <c r="W256" t="s">
        <v>43</v>
      </c>
      <c r="X256" t="s">
        <v>43</v>
      </c>
      <c r="Y256" t="s">
        <v>43</v>
      </c>
      <c r="Z256" t="s">
        <v>43</v>
      </c>
      <c r="AA256" t="s">
        <v>43</v>
      </c>
      <c r="AB256" t="s">
        <v>43</v>
      </c>
      <c r="AC256" t="s">
        <v>43</v>
      </c>
      <c r="AD256" t="s">
        <v>43</v>
      </c>
      <c r="AE256" t="s">
        <v>43</v>
      </c>
      <c r="AF256" t="s">
        <v>43</v>
      </c>
      <c r="AG256" t="s">
        <v>43</v>
      </c>
      <c r="AH256" t="s">
        <v>43</v>
      </c>
      <c r="AI256" t="s">
        <v>43</v>
      </c>
      <c r="AJ256" t="s">
        <v>43</v>
      </c>
      <c r="AK256" t="s">
        <v>43</v>
      </c>
      <c r="AL256" t="s">
        <v>43</v>
      </c>
      <c r="AM256" t="s">
        <v>43</v>
      </c>
      <c r="AN256" t="str">
        <f>HYPERLINK("https://www.google.com/maps?q=11.05476856,79.06095886","Open Location")</f>
        <v>Open Location</v>
      </c>
    </row>
    <row r="257" spans="1:40" x14ac:dyDescent="0.3">
      <c r="A257" s="1">
        <v>46210.970370370371</v>
      </c>
      <c r="B257" t="s">
        <v>40</v>
      </c>
      <c r="C257" t="s">
        <v>41</v>
      </c>
      <c r="D257" s="1">
        <v>46210.973333333335</v>
      </c>
      <c r="E257" t="s">
        <v>42</v>
      </c>
      <c r="F257" t="s">
        <v>43</v>
      </c>
      <c r="G257" t="s">
        <v>43</v>
      </c>
      <c r="H257" t="s">
        <v>43</v>
      </c>
      <c r="I257" t="s">
        <v>113</v>
      </c>
      <c r="J257" t="s">
        <v>43</v>
      </c>
      <c r="K257" t="s">
        <v>43</v>
      </c>
      <c r="L257" t="s">
        <v>43</v>
      </c>
      <c r="M257" t="s">
        <v>43</v>
      </c>
      <c r="N257" t="s">
        <v>45</v>
      </c>
      <c r="O257" t="s">
        <v>43</v>
      </c>
      <c r="P257" t="s">
        <v>43</v>
      </c>
      <c r="Q257" t="s">
        <v>43</v>
      </c>
      <c r="R257" t="s">
        <v>43</v>
      </c>
      <c r="S257" t="s">
        <v>43</v>
      </c>
      <c r="T257" t="s">
        <v>43</v>
      </c>
      <c r="U257" t="s">
        <v>43</v>
      </c>
      <c r="V257" t="s">
        <v>43</v>
      </c>
      <c r="W257" t="s">
        <v>43</v>
      </c>
      <c r="X257" t="s">
        <v>43</v>
      </c>
      <c r="Y257" t="s">
        <v>43</v>
      </c>
      <c r="Z257" t="s">
        <v>43</v>
      </c>
      <c r="AA257" t="s">
        <v>43</v>
      </c>
      <c r="AB257" t="s">
        <v>43</v>
      </c>
      <c r="AC257" t="s">
        <v>43</v>
      </c>
      <c r="AD257" t="s">
        <v>43</v>
      </c>
      <c r="AE257" t="s">
        <v>43</v>
      </c>
      <c r="AF257" t="s">
        <v>43</v>
      </c>
      <c r="AG257" t="s">
        <v>43</v>
      </c>
      <c r="AH257" t="s">
        <v>43</v>
      </c>
      <c r="AI257" t="s">
        <v>43</v>
      </c>
      <c r="AJ257" t="s">
        <v>43</v>
      </c>
      <c r="AK257" t="s">
        <v>43</v>
      </c>
      <c r="AL257" t="s">
        <v>43</v>
      </c>
      <c r="AM257" t="s">
        <v>43</v>
      </c>
      <c r="AN257" t="str">
        <f>HYPERLINK("https://www.google.com/maps?q=11.05476665,79.06095886","Open Location")</f>
        <v>Open Location</v>
      </c>
    </row>
    <row r="258" spans="1:40" x14ac:dyDescent="0.3">
      <c r="A258" s="1">
        <v>46210.970254629632</v>
      </c>
      <c r="B258" t="s">
        <v>40</v>
      </c>
      <c r="C258" t="s">
        <v>41</v>
      </c>
      <c r="D258" s="1">
        <v>46210.973113425927</v>
      </c>
      <c r="E258" t="s">
        <v>42</v>
      </c>
      <c r="F258" t="s">
        <v>43</v>
      </c>
      <c r="G258" t="s">
        <v>43</v>
      </c>
      <c r="H258" t="s">
        <v>43</v>
      </c>
      <c r="I258" t="s">
        <v>113</v>
      </c>
      <c r="J258" t="s">
        <v>43</v>
      </c>
      <c r="K258" t="s">
        <v>43</v>
      </c>
      <c r="L258" t="s">
        <v>43</v>
      </c>
      <c r="M258" t="s">
        <v>43</v>
      </c>
      <c r="N258" t="s">
        <v>45</v>
      </c>
      <c r="O258" t="s">
        <v>43</v>
      </c>
      <c r="P258" t="s">
        <v>43</v>
      </c>
      <c r="Q258" t="s">
        <v>43</v>
      </c>
      <c r="R258" t="s">
        <v>43</v>
      </c>
      <c r="S258" t="s">
        <v>43</v>
      </c>
      <c r="T258" t="s">
        <v>43</v>
      </c>
      <c r="U258" t="s">
        <v>43</v>
      </c>
      <c r="V258" t="s">
        <v>43</v>
      </c>
      <c r="W258" t="s">
        <v>43</v>
      </c>
      <c r="X258" t="s">
        <v>43</v>
      </c>
      <c r="Y258" t="s">
        <v>43</v>
      </c>
      <c r="Z258" t="s">
        <v>43</v>
      </c>
      <c r="AA258" t="s">
        <v>43</v>
      </c>
      <c r="AB258" t="s">
        <v>43</v>
      </c>
      <c r="AC258" t="s">
        <v>43</v>
      </c>
      <c r="AD258" t="s">
        <v>43</v>
      </c>
      <c r="AE258" t="s">
        <v>43</v>
      </c>
      <c r="AF258" t="s">
        <v>43</v>
      </c>
      <c r="AG258" t="s">
        <v>43</v>
      </c>
      <c r="AH258" t="s">
        <v>43</v>
      </c>
      <c r="AI258" t="s">
        <v>43</v>
      </c>
      <c r="AJ258" t="s">
        <v>43</v>
      </c>
      <c r="AK258" t="s">
        <v>43</v>
      </c>
      <c r="AL258" t="s">
        <v>43</v>
      </c>
      <c r="AM258" t="s">
        <v>43</v>
      </c>
      <c r="AN258" t="str">
        <f>HYPERLINK("https://www.google.com/maps?q=11.05476665,79.06095886","Open Location")</f>
        <v>Open Location</v>
      </c>
    </row>
    <row r="259" spans="1:40" x14ac:dyDescent="0.3">
      <c r="A259" s="1">
        <v>46210.970138888886</v>
      </c>
      <c r="B259" t="s">
        <v>40</v>
      </c>
      <c r="C259" t="s">
        <v>41</v>
      </c>
      <c r="D259" s="1">
        <v>46210.972881944443</v>
      </c>
      <c r="E259" t="s">
        <v>42</v>
      </c>
      <c r="F259" t="s">
        <v>43</v>
      </c>
      <c r="G259" t="s">
        <v>43</v>
      </c>
      <c r="H259" t="s">
        <v>43</v>
      </c>
      <c r="I259" t="s">
        <v>158</v>
      </c>
      <c r="J259" t="s">
        <v>43</v>
      </c>
      <c r="K259" t="s">
        <v>43</v>
      </c>
      <c r="L259" t="s">
        <v>43</v>
      </c>
      <c r="M259" t="s">
        <v>43</v>
      </c>
      <c r="N259" t="s">
        <v>45</v>
      </c>
      <c r="O259" t="s">
        <v>43</v>
      </c>
      <c r="P259" t="s">
        <v>43</v>
      </c>
      <c r="Q259" t="s">
        <v>43</v>
      </c>
      <c r="R259" t="s">
        <v>43</v>
      </c>
      <c r="S259" t="s">
        <v>43</v>
      </c>
      <c r="T259" t="s">
        <v>43</v>
      </c>
      <c r="U259" t="s">
        <v>43</v>
      </c>
      <c r="V259" t="s">
        <v>43</v>
      </c>
      <c r="W259" t="s">
        <v>43</v>
      </c>
      <c r="X259" t="s">
        <v>43</v>
      </c>
      <c r="Y259" t="s">
        <v>43</v>
      </c>
      <c r="Z259" t="s">
        <v>43</v>
      </c>
      <c r="AA259" t="s">
        <v>43</v>
      </c>
      <c r="AB259" t="s">
        <v>43</v>
      </c>
      <c r="AC259" t="s">
        <v>43</v>
      </c>
      <c r="AD259" t="s">
        <v>43</v>
      </c>
      <c r="AE259" t="s">
        <v>43</v>
      </c>
      <c r="AF259" t="s">
        <v>43</v>
      </c>
      <c r="AG259" t="s">
        <v>43</v>
      </c>
      <c r="AH259" t="s">
        <v>43</v>
      </c>
      <c r="AI259" t="s">
        <v>43</v>
      </c>
      <c r="AJ259" t="s">
        <v>43</v>
      </c>
      <c r="AK259" t="s">
        <v>43</v>
      </c>
      <c r="AL259" t="s">
        <v>43</v>
      </c>
      <c r="AM259" t="s">
        <v>43</v>
      </c>
      <c r="AN259" t="str">
        <f>HYPERLINK("https://www.google.com/maps?q=11.05477142,79.06095123","Open Location")</f>
        <v>Open Location</v>
      </c>
    </row>
    <row r="260" spans="1:40" x14ac:dyDescent="0.3">
      <c r="A260" s="1">
        <v>46210.970023148147</v>
      </c>
      <c r="B260" t="s">
        <v>40</v>
      </c>
      <c r="C260" t="s">
        <v>41</v>
      </c>
      <c r="D260" s="1">
        <v>46210.972754629627</v>
      </c>
      <c r="E260" t="s">
        <v>42</v>
      </c>
      <c r="F260" t="s">
        <v>43</v>
      </c>
      <c r="G260" t="s">
        <v>43</v>
      </c>
      <c r="H260" t="s">
        <v>43</v>
      </c>
      <c r="I260" t="s">
        <v>43</v>
      </c>
      <c r="J260" t="s">
        <v>43</v>
      </c>
      <c r="K260" t="s">
        <v>43</v>
      </c>
      <c r="L260" t="s">
        <v>43</v>
      </c>
      <c r="M260" t="s">
        <v>43</v>
      </c>
      <c r="N260" t="s">
        <v>45</v>
      </c>
      <c r="O260" t="s">
        <v>43</v>
      </c>
      <c r="P260" t="s">
        <v>43</v>
      </c>
      <c r="Q260" t="s">
        <v>43</v>
      </c>
      <c r="R260" t="s">
        <v>43</v>
      </c>
      <c r="S260" t="s">
        <v>43</v>
      </c>
      <c r="T260" t="s">
        <v>43</v>
      </c>
      <c r="U260" t="s">
        <v>43</v>
      </c>
      <c r="V260" t="s">
        <v>43</v>
      </c>
      <c r="W260" t="s">
        <v>43</v>
      </c>
      <c r="X260" t="s">
        <v>43</v>
      </c>
      <c r="Y260" t="s">
        <v>43</v>
      </c>
      <c r="Z260" t="s">
        <v>43</v>
      </c>
      <c r="AA260" t="s">
        <v>43</v>
      </c>
      <c r="AB260" t="s">
        <v>43</v>
      </c>
      <c r="AC260" t="s">
        <v>43</v>
      </c>
      <c r="AD260" t="s">
        <v>43</v>
      </c>
      <c r="AE260" t="s">
        <v>43</v>
      </c>
      <c r="AF260" t="s">
        <v>43</v>
      </c>
      <c r="AG260" t="s">
        <v>43</v>
      </c>
      <c r="AH260" t="s">
        <v>43</v>
      </c>
      <c r="AI260" t="s">
        <v>43</v>
      </c>
      <c r="AJ260" t="s">
        <v>43</v>
      </c>
      <c r="AK260" t="s">
        <v>43</v>
      </c>
      <c r="AL260" t="s">
        <v>43</v>
      </c>
      <c r="AM260" t="s">
        <v>43</v>
      </c>
      <c r="AN260" t="s">
        <v>43</v>
      </c>
    </row>
    <row r="261" spans="1:40" x14ac:dyDescent="0.3">
      <c r="A261" s="1">
        <v>46210.969907407409</v>
      </c>
      <c r="B261" t="s">
        <v>40</v>
      </c>
      <c r="C261" t="s">
        <v>41</v>
      </c>
      <c r="D261" s="1">
        <v>46210.972650462965</v>
      </c>
      <c r="E261" t="s">
        <v>42</v>
      </c>
      <c r="F261" t="s">
        <v>43</v>
      </c>
      <c r="G261" t="s">
        <v>43</v>
      </c>
      <c r="H261" t="s">
        <v>43</v>
      </c>
      <c r="I261" t="s">
        <v>43</v>
      </c>
      <c r="J261" t="s">
        <v>43</v>
      </c>
      <c r="K261" t="s">
        <v>43</v>
      </c>
      <c r="L261" t="s">
        <v>43</v>
      </c>
      <c r="M261" t="s">
        <v>43</v>
      </c>
      <c r="N261" t="s">
        <v>45</v>
      </c>
      <c r="O261" t="s">
        <v>43</v>
      </c>
      <c r="P261" t="s">
        <v>43</v>
      </c>
      <c r="Q261" t="s">
        <v>43</v>
      </c>
      <c r="R261" t="s">
        <v>43</v>
      </c>
      <c r="S261" t="s">
        <v>43</v>
      </c>
      <c r="T261" t="s">
        <v>43</v>
      </c>
      <c r="U261" t="s">
        <v>43</v>
      </c>
      <c r="V261" t="s">
        <v>43</v>
      </c>
      <c r="W261" t="s">
        <v>43</v>
      </c>
      <c r="X261" t="s">
        <v>43</v>
      </c>
      <c r="Y261" t="s">
        <v>43</v>
      </c>
      <c r="Z261" t="s">
        <v>43</v>
      </c>
      <c r="AA261" t="s">
        <v>43</v>
      </c>
      <c r="AB261" t="s">
        <v>43</v>
      </c>
      <c r="AC261" t="s">
        <v>43</v>
      </c>
      <c r="AD261" t="s">
        <v>43</v>
      </c>
      <c r="AE261" t="s">
        <v>43</v>
      </c>
      <c r="AF261" t="s">
        <v>43</v>
      </c>
      <c r="AG261" t="s">
        <v>43</v>
      </c>
      <c r="AH261" t="s">
        <v>43</v>
      </c>
      <c r="AI261" t="s">
        <v>43</v>
      </c>
      <c r="AJ261" t="s">
        <v>43</v>
      </c>
      <c r="AK261" t="s">
        <v>43</v>
      </c>
      <c r="AL261" t="s">
        <v>43</v>
      </c>
      <c r="AM261" t="s">
        <v>43</v>
      </c>
      <c r="AN261" t="s">
        <v>43</v>
      </c>
    </row>
    <row r="262" spans="1:40" x14ac:dyDescent="0.3">
      <c r="A262" s="1">
        <v>46210.96979166667</v>
      </c>
      <c r="B262" t="s">
        <v>40</v>
      </c>
      <c r="C262" t="s">
        <v>41</v>
      </c>
      <c r="D262" s="1">
        <v>46210.972754629627</v>
      </c>
      <c r="E262" t="s">
        <v>42</v>
      </c>
      <c r="F262" t="s">
        <v>43</v>
      </c>
      <c r="G262" t="s">
        <v>43</v>
      </c>
      <c r="H262" t="s">
        <v>43</v>
      </c>
      <c r="I262" t="s">
        <v>159</v>
      </c>
      <c r="J262" t="s">
        <v>43</v>
      </c>
      <c r="K262" t="s">
        <v>43</v>
      </c>
      <c r="L262" t="s">
        <v>43</v>
      </c>
      <c r="M262" t="s">
        <v>43</v>
      </c>
      <c r="N262" t="s">
        <v>45</v>
      </c>
      <c r="O262" t="s">
        <v>43</v>
      </c>
      <c r="P262" t="s">
        <v>43</v>
      </c>
      <c r="Q262" t="s">
        <v>43</v>
      </c>
      <c r="R262" t="s">
        <v>43</v>
      </c>
      <c r="S262" t="s">
        <v>43</v>
      </c>
      <c r="T262" t="s">
        <v>43</v>
      </c>
      <c r="U262" t="s">
        <v>43</v>
      </c>
      <c r="V262" t="s">
        <v>43</v>
      </c>
      <c r="W262" t="s">
        <v>43</v>
      </c>
      <c r="X262" t="s">
        <v>43</v>
      </c>
      <c r="Y262" t="s">
        <v>43</v>
      </c>
      <c r="Z262" t="s">
        <v>43</v>
      </c>
      <c r="AA262" t="s">
        <v>43</v>
      </c>
      <c r="AB262" t="s">
        <v>43</v>
      </c>
      <c r="AC262" t="s">
        <v>43</v>
      </c>
      <c r="AD262" t="s">
        <v>43</v>
      </c>
      <c r="AE262" t="s">
        <v>43</v>
      </c>
      <c r="AF262" t="s">
        <v>43</v>
      </c>
      <c r="AG262" t="s">
        <v>43</v>
      </c>
      <c r="AH262" t="s">
        <v>43</v>
      </c>
      <c r="AI262" t="s">
        <v>43</v>
      </c>
      <c r="AJ262" t="s">
        <v>43</v>
      </c>
      <c r="AK262" t="s">
        <v>43</v>
      </c>
      <c r="AL262" t="s">
        <v>43</v>
      </c>
      <c r="AM262" t="s">
        <v>43</v>
      </c>
      <c r="AN262" t="str">
        <f>HYPERLINK("https://www.google.com/maps?q=11.05477333,79.06095123","Open Location")</f>
        <v>Open Location</v>
      </c>
    </row>
    <row r="263" spans="1:40" x14ac:dyDescent="0.3">
      <c r="A263" s="1">
        <v>46210.969675925924</v>
      </c>
      <c r="B263" t="s">
        <v>40</v>
      </c>
      <c r="C263" t="s">
        <v>41</v>
      </c>
      <c r="D263" s="1">
        <v>46210.972881944443</v>
      </c>
      <c r="E263" t="s">
        <v>42</v>
      </c>
      <c r="F263" t="s">
        <v>43</v>
      </c>
      <c r="G263" t="s">
        <v>43</v>
      </c>
      <c r="H263" t="s">
        <v>43</v>
      </c>
      <c r="I263" t="s">
        <v>43</v>
      </c>
      <c r="J263" t="s">
        <v>43</v>
      </c>
      <c r="K263" t="s">
        <v>43</v>
      </c>
      <c r="L263" t="s">
        <v>43</v>
      </c>
      <c r="M263" t="s">
        <v>43</v>
      </c>
      <c r="N263" t="s">
        <v>45</v>
      </c>
      <c r="O263" t="s">
        <v>43</v>
      </c>
      <c r="P263" t="s">
        <v>43</v>
      </c>
      <c r="Q263" t="s">
        <v>43</v>
      </c>
      <c r="R263" t="s">
        <v>43</v>
      </c>
      <c r="S263" t="s">
        <v>43</v>
      </c>
      <c r="T263" t="s">
        <v>43</v>
      </c>
      <c r="U263" t="s">
        <v>43</v>
      </c>
      <c r="V263" t="s">
        <v>43</v>
      </c>
      <c r="W263" t="s">
        <v>43</v>
      </c>
      <c r="X263" t="s">
        <v>43</v>
      </c>
      <c r="Y263" t="s">
        <v>43</v>
      </c>
      <c r="Z263" t="s">
        <v>43</v>
      </c>
      <c r="AA263" t="s">
        <v>43</v>
      </c>
      <c r="AB263" t="s">
        <v>43</v>
      </c>
      <c r="AC263" t="s">
        <v>43</v>
      </c>
      <c r="AD263" t="s">
        <v>43</v>
      </c>
      <c r="AE263" t="s">
        <v>43</v>
      </c>
      <c r="AF263" t="s">
        <v>43</v>
      </c>
      <c r="AG263" t="s">
        <v>43</v>
      </c>
      <c r="AH263" t="s">
        <v>43</v>
      </c>
      <c r="AI263" t="s">
        <v>43</v>
      </c>
      <c r="AJ263" t="s">
        <v>43</v>
      </c>
      <c r="AK263" t="s">
        <v>43</v>
      </c>
      <c r="AL263" t="s">
        <v>43</v>
      </c>
      <c r="AM263" t="s">
        <v>43</v>
      </c>
      <c r="AN263" t="s">
        <v>43</v>
      </c>
    </row>
    <row r="264" spans="1:40" x14ac:dyDescent="0.3">
      <c r="A264" s="1">
        <v>46210.969560185185</v>
      </c>
      <c r="B264" t="s">
        <v>40</v>
      </c>
      <c r="C264" t="s">
        <v>41</v>
      </c>
      <c r="D264" s="1">
        <v>46210.972650462965</v>
      </c>
      <c r="E264" t="s">
        <v>42</v>
      </c>
      <c r="F264" t="s">
        <v>43</v>
      </c>
      <c r="G264" t="s">
        <v>43</v>
      </c>
      <c r="H264" t="s">
        <v>43</v>
      </c>
      <c r="I264" t="s">
        <v>160</v>
      </c>
      <c r="J264" t="s">
        <v>43</v>
      </c>
      <c r="K264" t="s">
        <v>43</v>
      </c>
      <c r="L264" t="s">
        <v>43</v>
      </c>
      <c r="M264" t="s">
        <v>43</v>
      </c>
      <c r="N264" t="s">
        <v>45</v>
      </c>
      <c r="O264" t="s">
        <v>43</v>
      </c>
      <c r="P264" t="s">
        <v>43</v>
      </c>
      <c r="Q264" t="s">
        <v>43</v>
      </c>
      <c r="R264" t="s">
        <v>43</v>
      </c>
      <c r="S264" t="s">
        <v>43</v>
      </c>
      <c r="T264" t="s">
        <v>43</v>
      </c>
      <c r="U264" t="s">
        <v>43</v>
      </c>
      <c r="V264" t="s">
        <v>43</v>
      </c>
      <c r="W264" t="s">
        <v>43</v>
      </c>
      <c r="X264" t="s">
        <v>43</v>
      </c>
      <c r="Y264" t="s">
        <v>43</v>
      </c>
      <c r="Z264" t="s">
        <v>43</v>
      </c>
      <c r="AA264" t="s">
        <v>43</v>
      </c>
      <c r="AB264" t="s">
        <v>43</v>
      </c>
      <c r="AC264" t="s">
        <v>43</v>
      </c>
      <c r="AD264" t="s">
        <v>43</v>
      </c>
      <c r="AE264" t="s">
        <v>43</v>
      </c>
      <c r="AF264" t="s">
        <v>43</v>
      </c>
      <c r="AG264" t="s">
        <v>43</v>
      </c>
      <c r="AH264" t="s">
        <v>43</v>
      </c>
      <c r="AI264" t="s">
        <v>43</v>
      </c>
      <c r="AJ264" t="s">
        <v>43</v>
      </c>
      <c r="AK264" t="s">
        <v>43</v>
      </c>
      <c r="AL264" t="s">
        <v>43</v>
      </c>
      <c r="AM264" t="s">
        <v>43</v>
      </c>
      <c r="AN264" t="str">
        <f>HYPERLINK("https://www.google.com/maps?q=11.05477238,79.0609436","Open Location")</f>
        <v>Open Location</v>
      </c>
    </row>
    <row r="265" spans="1:40" x14ac:dyDescent="0.3">
      <c r="A265" s="1">
        <v>46210.969444444447</v>
      </c>
      <c r="B265" t="s">
        <v>40</v>
      </c>
      <c r="C265" t="s">
        <v>41</v>
      </c>
      <c r="D265" s="1">
        <v>46210.972245370373</v>
      </c>
      <c r="E265" t="s">
        <v>42</v>
      </c>
      <c r="F265" t="s">
        <v>43</v>
      </c>
      <c r="G265" t="s">
        <v>43</v>
      </c>
      <c r="H265" t="s">
        <v>43</v>
      </c>
      <c r="I265" t="s">
        <v>109</v>
      </c>
      <c r="J265" t="s">
        <v>43</v>
      </c>
      <c r="K265" t="s">
        <v>43</v>
      </c>
      <c r="L265" t="s">
        <v>43</v>
      </c>
      <c r="M265" t="s">
        <v>43</v>
      </c>
      <c r="N265" t="s">
        <v>45</v>
      </c>
      <c r="O265" t="s">
        <v>43</v>
      </c>
      <c r="P265" t="s">
        <v>43</v>
      </c>
      <c r="Q265" t="s">
        <v>43</v>
      </c>
      <c r="R265" t="s">
        <v>43</v>
      </c>
      <c r="S265" t="s">
        <v>43</v>
      </c>
      <c r="T265" t="s">
        <v>43</v>
      </c>
      <c r="U265" t="s">
        <v>43</v>
      </c>
      <c r="V265" t="s">
        <v>43</v>
      </c>
      <c r="W265" t="s">
        <v>43</v>
      </c>
      <c r="X265" t="s">
        <v>43</v>
      </c>
      <c r="Y265" t="s">
        <v>43</v>
      </c>
      <c r="Z265" t="s">
        <v>43</v>
      </c>
      <c r="AA265" t="s">
        <v>43</v>
      </c>
      <c r="AB265" t="s">
        <v>43</v>
      </c>
      <c r="AC265" t="s">
        <v>43</v>
      </c>
      <c r="AD265" t="s">
        <v>43</v>
      </c>
      <c r="AE265" t="s">
        <v>43</v>
      </c>
      <c r="AF265" t="s">
        <v>43</v>
      </c>
      <c r="AG265" t="s">
        <v>43</v>
      </c>
      <c r="AH265" t="s">
        <v>43</v>
      </c>
      <c r="AI265" t="s">
        <v>43</v>
      </c>
      <c r="AJ265" t="s">
        <v>43</v>
      </c>
      <c r="AK265" t="s">
        <v>43</v>
      </c>
      <c r="AL265" t="s">
        <v>43</v>
      </c>
      <c r="AM265" t="s">
        <v>43</v>
      </c>
      <c r="AN265" t="str">
        <f>HYPERLINK("https://www.google.com/maps?q=11.05477524,79.06095123","Open Location")</f>
        <v>Open Location</v>
      </c>
    </row>
    <row r="266" spans="1:40" x14ac:dyDescent="0.3">
      <c r="A266" s="1">
        <v>46210.969328703701</v>
      </c>
      <c r="B266" t="s">
        <v>40</v>
      </c>
      <c r="C266" t="s">
        <v>41</v>
      </c>
      <c r="D266" s="1">
        <v>46210.97246527778</v>
      </c>
      <c r="E266" t="s">
        <v>42</v>
      </c>
      <c r="F266" t="s">
        <v>43</v>
      </c>
      <c r="G266" t="s">
        <v>43</v>
      </c>
      <c r="H266" t="s">
        <v>43</v>
      </c>
      <c r="I266" t="s">
        <v>43</v>
      </c>
      <c r="J266" t="s">
        <v>43</v>
      </c>
      <c r="K266" t="s">
        <v>43</v>
      </c>
      <c r="L266" t="s">
        <v>43</v>
      </c>
      <c r="M266" t="s">
        <v>43</v>
      </c>
      <c r="N266" t="s">
        <v>45</v>
      </c>
      <c r="O266" t="s">
        <v>43</v>
      </c>
      <c r="P266" t="s">
        <v>43</v>
      </c>
      <c r="Q266" t="s">
        <v>43</v>
      </c>
      <c r="R266" t="s">
        <v>43</v>
      </c>
      <c r="S266" t="s">
        <v>43</v>
      </c>
      <c r="T266" t="s">
        <v>43</v>
      </c>
      <c r="U266" t="s">
        <v>43</v>
      </c>
      <c r="V266" t="s">
        <v>43</v>
      </c>
      <c r="W266" t="s">
        <v>43</v>
      </c>
      <c r="X266" t="s">
        <v>43</v>
      </c>
      <c r="Y266" t="s">
        <v>43</v>
      </c>
      <c r="Z266" t="s">
        <v>43</v>
      </c>
      <c r="AA266" t="s">
        <v>43</v>
      </c>
      <c r="AB266" t="s">
        <v>43</v>
      </c>
      <c r="AC266" t="s">
        <v>43</v>
      </c>
      <c r="AD266" t="s">
        <v>43</v>
      </c>
      <c r="AE266" t="s">
        <v>43</v>
      </c>
      <c r="AF266" t="s">
        <v>43</v>
      </c>
      <c r="AG266" t="s">
        <v>43</v>
      </c>
      <c r="AH266" t="s">
        <v>43</v>
      </c>
      <c r="AI266" t="s">
        <v>43</v>
      </c>
      <c r="AJ266" t="s">
        <v>43</v>
      </c>
      <c r="AK266" t="s">
        <v>43</v>
      </c>
      <c r="AL266" t="s">
        <v>43</v>
      </c>
      <c r="AM266" t="s">
        <v>43</v>
      </c>
      <c r="AN266" t="s">
        <v>43</v>
      </c>
    </row>
    <row r="267" spans="1:40" x14ac:dyDescent="0.3">
      <c r="A267" s="1">
        <v>46210.969212962962</v>
      </c>
      <c r="B267" t="s">
        <v>40</v>
      </c>
      <c r="C267" t="s">
        <v>41</v>
      </c>
      <c r="D267" s="1">
        <v>46210.972627314812</v>
      </c>
      <c r="E267" t="s">
        <v>42</v>
      </c>
      <c r="F267" t="s">
        <v>43</v>
      </c>
      <c r="G267" t="s">
        <v>43</v>
      </c>
      <c r="H267" t="s">
        <v>43</v>
      </c>
      <c r="I267" t="s">
        <v>161</v>
      </c>
      <c r="J267" t="s">
        <v>43</v>
      </c>
      <c r="K267" t="s">
        <v>43</v>
      </c>
      <c r="L267" t="s">
        <v>43</v>
      </c>
      <c r="M267" t="s">
        <v>43</v>
      </c>
      <c r="N267" t="s">
        <v>45</v>
      </c>
      <c r="O267" t="s">
        <v>43</v>
      </c>
      <c r="P267" t="s">
        <v>43</v>
      </c>
      <c r="Q267" t="s">
        <v>43</v>
      </c>
      <c r="R267" t="s">
        <v>43</v>
      </c>
      <c r="S267" t="s">
        <v>43</v>
      </c>
      <c r="T267" t="s">
        <v>43</v>
      </c>
      <c r="U267" t="s">
        <v>43</v>
      </c>
      <c r="V267" t="s">
        <v>43</v>
      </c>
      <c r="W267" t="s">
        <v>43</v>
      </c>
      <c r="X267" t="s">
        <v>43</v>
      </c>
      <c r="Y267" t="s">
        <v>43</v>
      </c>
      <c r="Z267" t="s">
        <v>43</v>
      </c>
      <c r="AA267" t="s">
        <v>43</v>
      </c>
      <c r="AB267" t="s">
        <v>43</v>
      </c>
      <c r="AC267" t="s">
        <v>43</v>
      </c>
      <c r="AD267" t="s">
        <v>43</v>
      </c>
      <c r="AE267" t="s">
        <v>43</v>
      </c>
      <c r="AF267" t="s">
        <v>43</v>
      </c>
      <c r="AG267" t="s">
        <v>43</v>
      </c>
      <c r="AH267" t="s">
        <v>43</v>
      </c>
      <c r="AI267" t="s">
        <v>43</v>
      </c>
      <c r="AJ267" t="s">
        <v>43</v>
      </c>
      <c r="AK267" t="s">
        <v>43</v>
      </c>
      <c r="AL267" t="s">
        <v>43</v>
      </c>
      <c r="AM267" t="s">
        <v>43</v>
      </c>
      <c r="AN267" t="str">
        <f>HYPERLINK("https://www.google.com/maps?q=11.05477905,79.0609436","Open Location")</f>
        <v>Open Location</v>
      </c>
    </row>
    <row r="268" spans="1:40" x14ac:dyDescent="0.3">
      <c r="A268" s="1">
        <v>46210.969097222223</v>
      </c>
      <c r="B268" t="s">
        <v>40</v>
      </c>
      <c r="C268" t="s">
        <v>41</v>
      </c>
      <c r="D268" s="1">
        <v>46210.972395833334</v>
      </c>
      <c r="E268" t="s">
        <v>42</v>
      </c>
      <c r="F268" t="s">
        <v>43</v>
      </c>
      <c r="G268" t="s">
        <v>43</v>
      </c>
      <c r="H268" t="s">
        <v>43</v>
      </c>
      <c r="I268" t="s">
        <v>162</v>
      </c>
      <c r="J268" t="s">
        <v>43</v>
      </c>
      <c r="K268" t="s">
        <v>43</v>
      </c>
      <c r="L268" t="s">
        <v>43</v>
      </c>
      <c r="M268" t="s">
        <v>43</v>
      </c>
      <c r="N268" t="s">
        <v>45</v>
      </c>
      <c r="O268" t="s">
        <v>43</v>
      </c>
      <c r="P268" t="s">
        <v>43</v>
      </c>
      <c r="Q268" t="s">
        <v>43</v>
      </c>
      <c r="R268" t="s">
        <v>43</v>
      </c>
      <c r="S268" t="s">
        <v>43</v>
      </c>
      <c r="T268" t="s">
        <v>43</v>
      </c>
      <c r="U268" t="s">
        <v>43</v>
      </c>
      <c r="V268" t="s">
        <v>43</v>
      </c>
      <c r="W268" t="s">
        <v>43</v>
      </c>
      <c r="X268" t="s">
        <v>43</v>
      </c>
      <c r="Y268" t="s">
        <v>43</v>
      </c>
      <c r="Z268" t="s">
        <v>43</v>
      </c>
      <c r="AA268" t="s">
        <v>43</v>
      </c>
      <c r="AB268" t="s">
        <v>43</v>
      </c>
      <c r="AC268" t="s">
        <v>43</v>
      </c>
      <c r="AD268" t="s">
        <v>43</v>
      </c>
      <c r="AE268" t="s">
        <v>43</v>
      </c>
      <c r="AF268" t="s">
        <v>43</v>
      </c>
      <c r="AG268" t="s">
        <v>43</v>
      </c>
      <c r="AH268" t="s">
        <v>43</v>
      </c>
      <c r="AI268" t="s">
        <v>43</v>
      </c>
      <c r="AJ268" t="s">
        <v>43</v>
      </c>
      <c r="AK268" t="s">
        <v>43</v>
      </c>
      <c r="AL268" t="s">
        <v>43</v>
      </c>
      <c r="AM268" t="s">
        <v>43</v>
      </c>
      <c r="AN268" t="str">
        <f>HYPERLINK("https://www.google.com/maps?q=11.05477715,79.06095123","Open Location")</f>
        <v>Open Location</v>
      </c>
    </row>
    <row r="269" spans="1:40" x14ac:dyDescent="0.3">
      <c r="A269" s="1">
        <v>46210.968981481485</v>
      </c>
      <c r="B269" t="s">
        <v>40</v>
      </c>
      <c r="C269" t="s">
        <v>41</v>
      </c>
      <c r="D269" s="1">
        <v>46210.972187500003</v>
      </c>
      <c r="E269" t="s">
        <v>42</v>
      </c>
      <c r="F269" t="s">
        <v>43</v>
      </c>
      <c r="G269" t="s">
        <v>43</v>
      </c>
      <c r="H269" t="s">
        <v>43</v>
      </c>
      <c r="I269" t="s">
        <v>163</v>
      </c>
      <c r="J269" t="s">
        <v>43</v>
      </c>
      <c r="K269" t="s">
        <v>43</v>
      </c>
      <c r="L269" t="s">
        <v>43</v>
      </c>
      <c r="M269" t="s">
        <v>43</v>
      </c>
      <c r="N269" t="s">
        <v>45</v>
      </c>
      <c r="O269" t="s">
        <v>43</v>
      </c>
      <c r="P269" t="s">
        <v>43</v>
      </c>
      <c r="Q269" t="s">
        <v>43</v>
      </c>
      <c r="R269" t="s">
        <v>43</v>
      </c>
      <c r="S269" t="s">
        <v>43</v>
      </c>
      <c r="T269" t="s">
        <v>43</v>
      </c>
      <c r="U269" t="s">
        <v>43</v>
      </c>
      <c r="V269" t="s">
        <v>43</v>
      </c>
      <c r="W269" t="s">
        <v>43</v>
      </c>
      <c r="X269" t="s">
        <v>43</v>
      </c>
      <c r="Y269" t="s">
        <v>43</v>
      </c>
      <c r="Z269" t="s">
        <v>43</v>
      </c>
      <c r="AA269" t="s">
        <v>43</v>
      </c>
      <c r="AB269" t="s">
        <v>43</v>
      </c>
      <c r="AC269" t="s">
        <v>43</v>
      </c>
      <c r="AD269" t="s">
        <v>43</v>
      </c>
      <c r="AE269" t="s">
        <v>43</v>
      </c>
      <c r="AF269" t="s">
        <v>43</v>
      </c>
      <c r="AG269" t="s">
        <v>43</v>
      </c>
      <c r="AH269" t="s">
        <v>43</v>
      </c>
      <c r="AI269" t="s">
        <v>43</v>
      </c>
      <c r="AJ269" t="s">
        <v>43</v>
      </c>
      <c r="AK269" t="s">
        <v>43</v>
      </c>
      <c r="AL269" t="s">
        <v>43</v>
      </c>
      <c r="AM269" t="s">
        <v>43</v>
      </c>
      <c r="AN269" t="str">
        <f>HYPERLINK("https://www.google.com/maps?q=11.05477142,79.0609436","Open Location")</f>
        <v>Open Location</v>
      </c>
    </row>
    <row r="270" spans="1:40" x14ac:dyDescent="0.3">
      <c r="A270" s="1">
        <v>46210.968865740739</v>
      </c>
      <c r="B270" t="s">
        <v>40</v>
      </c>
      <c r="C270" t="s">
        <v>41</v>
      </c>
      <c r="D270" s="1">
        <v>46210.971909722219</v>
      </c>
      <c r="E270" t="s">
        <v>42</v>
      </c>
      <c r="F270" t="s">
        <v>43</v>
      </c>
      <c r="G270" t="s">
        <v>43</v>
      </c>
      <c r="H270" t="s">
        <v>43</v>
      </c>
      <c r="I270" t="s">
        <v>164</v>
      </c>
      <c r="J270" t="s">
        <v>43</v>
      </c>
      <c r="K270" t="s">
        <v>43</v>
      </c>
      <c r="L270" t="s">
        <v>43</v>
      </c>
      <c r="M270" t="s">
        <v>43</v>
      </c>
      <c r="N270" t="s">
        <v>45</v>
      </c>
      <c r="O270" t="s">
        <v>43</v>
      </c>
      <c r="P270" t="s">
        <v>43</v>
      </c>
      <c r="Q270" t="s">
        <v>43</v>
      </c>
      <c r="R270" t="s">
        <v>43</v>
      </c>
      <c r="S270" t="s">
        <v>43</v>
      </c>
      <c r="T270" t="s">
        <v>43</v>
      </c>
      <c r="U270" t="s">
        <v>43</v>
      </c>
      <c r="V270" t="s">
        <v>43</v>
      </c>
      <c r="W270" t="s">
        <v>43</v>
      </c>
      <c r="X270" t="s">
        <v>43</v>
      </c>
      <c r="Y270" t="s">
        <v>43</v>
      </c>
      <c r="Z270" t="s">
        <v>43</v>
      </c>
      <c r="AA270" t="s">
        <v>43</v>
      </c>
      <c r="AB270" t="s">
        <v>43</v>
      </c>
      <c r="AC270" t="s">
        <v>43</v>
      </c>
      <c r="AD270" t="s">
        <v>43</v>
      </c>
      <c r="AE270" t="s">
        <v>43</v>
      </c>
      <c r="AF270" t="s">
        <v>43</v>
      </c>
      <c r="AG270" t="s">
        <v>43</v>
      </c>
      <c r="AH270" t="s">
        <v>43</v>
      </c>
      <c r="AI270" t="s">
        <v>43</v>
      </c>
      <c r="AJ270" t="s">
        <v>43</v>
      </c>
      <c r="AK270" t="s">
        <v>43</v>
      </c>
      <c r="AL270" t="s">
        <v>43</v>
      </c>
      <c r="AM270" t="s">
        <v>43</v>
      </c>
      <c r="AN270" t="str">
        <f>HYPERLINK("https://www.google.com/maps?q=11.05476189,79.0609436","Open Location")</f>
        <v>Open Location</v>
      </c>
    </row>
    <row r="271" spans="1:40" x14ac:dyDescent="0.3">
      <c r="A271" s="1">
        <v>46210.96875</v>
      </c>
      <c r="B271" t="s">
        <v>40</v>
      </c>
      <c r="C271" t="s">
        <v>41</v>
      </c>
      <c r="D271" s="1">
        <v>46210.97247685185</v>
      </c>
      <c r="E271" t="s">
        <v>42</v>
      </c>
      <c r="F271" t="s">
        <v>43</v>
      </c>
      <c r="G271" t="s">
        <v>43</v>
      </c>
      <c r="H271" t="s">
        <v>43</v>
      </c>
      <c r="I271" t="s">
        <v>43</v>
      </c>
      <c r="J271" t="s">
        <v>43</v>
      </c>
      <c r="K271" t="s">
        <v>43</v>
      </c>
      <c r="L271" t="s">
        <v>43</v>
      </c>
      <c r="M271" t="s">
        <v>43</v>
      </c>
      <c r="N271" t="s">
        <v>45</v>
      </c>
      <c r="O271" t="s">
        <v>43</v>
      </c>
      <c r="P271" t="s">
        <v>43</v>
      </c>
      <c r="Q271" t="s">
        <v>43</v>
      </c>
      <c r="R271" t="s">
        <v>43</v>
      </c>
      <c r="S271" t="s">
        <v>43</v>
      </c>
      <c r="T271" t="s">
        <v>43</v>
      </c>
      <c r="U271" t="s">
        <v>43</v>
      </c>
      <c r="V271" t="s">
        <v>43</v>
      </c>
      <c r="W271" t="s">
        <v>43</v>
      </c>
      <c r="X271" t="s">
        <v>43</v>
      </c>
      <c r="Y271" t="s">
        <v>43</v>
      </c>
      <c r="Z271" t="s">
        <v>43</v>
      </c>
      <c r="AA271" t="s">
        <v>43</v>
      </c>
      <c r="AB271" t="s">
        <v>43</v>
      </c>
      <c r="AC271" t="s">
        <v>43</v>
      </c>
      <c r="AD271" t="s">
        <v>43</v>
      </c>
      <c r="AE271" t="s">
        <v>43</v>
      </c>
      <c r="AF271" t="s">
        <v>43</v>
      </c>
      <c r="AG271" t="s">
        <v>43</v>
      </c>
      <c r="AH271" t="s">
        <v>43</v>
      </c>
      <c r="AI271" t="s">
        <v>43</v>
      </c>
      <c r="AJ271" t="s">
        <v>43</v>
      </c>
      <c r="AK271" t="s">
        <v>43</v>
      </c>
      <c r="AL271" t="s">
        <v>43</v>
      </c>
      <c r="AM271" t="s">
        <v>43</v>
      </c>
      <c r="AN271" t="s">
        <v>43</v>
      </c>
    </row>
    <row r="272" spans="1:40" x14ac:dyDescent="0.3">
      <c r="A272" s="1">
        <v>46210.968634259261</v>
      </c>
      <c r="B272" t="s">
        <v>40</v>
      </c>
      <c r="C272" t="s">
        <v>41</v>
      </c>
      <c r="D272" s="1">
        <v>46210.97252314815</v>
      </c>
      <c r="E272" t="s">
        <v>42</v>
      </c>
      <c r="F272" t="s">
        <v>43</v>
      </c>
      <c r="G272" t="s">
        <v>43</v>
      </c>
      <c r="H272" t="s">
        <v>43</v>
      </c>
      <c r="I272" t="s">
        <v>165</v>
      </c>
      <c r="J272" t="s">
        <v>43</v>
      </c>
      <c r="K272" t="s">
        <v>43</v>
      </c>
      <c r="L272" t="s">
        <v>43</v>
      </c>
      <c r="M272" t="s">
        <v>43</v>
      </c>
      <c r="N272" t="s">
        <v>45</v>
      </c>
      <c r="O272" t="s">
        <v>43</v>
      </c>
      <c r="P272" t="s">
        <v>43</v>
      </c>
      <c r="Q272" t="s">
        <v>43</v>
      </c>
      <c r="R272" t="s">
        <v>43</v>
      </c>
      <c r="S272" t="s">
        <v>43</v>
      </c>
      <c r="T272" t="s">
        <v>43</v>
      </c>
      <c r="U272" t="s">
        <v>43</v>
      </c>
      <c r="V272" t="s">
        <v>43</v>
      </c>
      <c r="W272" t="s">
        <v>43</v>
      </c>
      <c r="X272" t="s">
        <v>43</v>
      </c>
      <c r="Y272" t="s">
        <v>43</v>
      </c>
      <c r="Z272" t="s">
        <v>43</v>
      </c>
      <c r="AA272" t="s">
        <v>43</v>
      </c>
      <c r="AB272" t="s">
        <v>43</v>
      </c>
      <c r="AC272" t="s">
        <v>43</v>
      </c>
      <c r="AD272" t="s">
        <v>43</v>
      </c>
      <c r="AE272" t="s">
        <v>43</v>
      </c>
      <c r="AF272" t="s">
        <v>43</v>
      </c>
      <c r="AG272" t="s">
        <v>43</v>
      </c>
      <c r="AH272" t="s">
        <v>43</v>
      </c>
      <c r="AI272" t="s">
        <v>43</v>
      </c>
      <c r="AJ272" t="s">
        <v>43</v>
      </c>
      <c r="AK272" t="s">
        <v>43</v>
      </c>
      <c r="AL272" t="s">
        <v>43</v>
      </c>
      <c r="AM272" t="s">
        <v>43</v>
      </c>
      <c r="AN272" t="str">
        <f>HYPERLINK("https://www.google.com/maps?q=11.05476284,79.0609436","Open Location")</f>
        <v>Open Location</v>
      </c>
    </row>
    <row r="273" spans="1:40" x14ac:dyDescent="0.3">
      <c r="A273" s="1">
        <v>46210.968518518515</v>
      </c>
      <c r="B273" t="s">
        <v>40</v>
      </c>
      <c r="C273" t="s">
        <v>41</v>
      </c>
      <c r="D273" s="1">
        <v>46210.97152777778</v>
      </c>
      <c r="E273" t="s">
        <v>42</v>
      </c>
      <c r="F273" t="s">
        <v>43</v>
      </c>
      <c r="G273" t="s">
        <v>43</v>
      </c>
      <c r="H273" t="s">
        <v>43</v>
      </c>
      <c r="I273" t="s">
        <v>166</v>
      </c>
      <c r="J273" t="s">
        <v>43</v>
      </c>
      <c r="K273" t="s">
        <v>43</v>
      </c>
      <c r="L273" t="s">
        <v>43</v>
      </c>
      <c r="M273" t="s">
        <v>43</v>
      </c>
      <c r="N273" t="s">
        <v>45</v>
      </c>
      <c r="O273" t="s">
        <v>43</v>
      </c>
      <c r="P273" t="s">
        <v>43</v>
      </c>
      <c r="Q273" t="s">
        <v>43</v>
      </c>
      <c r="R273" t="s">
        <v>43</v>
      </c>
      <c r="S273" t="s">
        <v>43</v>
      </c>
      <c r="T273" t="s">
        <v>43</v>
      </c>
      <c r="U273" t="s">
        <v>43</v>
      </c>
      <c r="V273" t="s">
        <v>43</v>
      </c>
      <c r="W273" t="s">
        <v>43</v>
      </c>
      <c r="X273" t="s">
        <v>43</v>
      </c>
      <c r="Y273" t="s">
        <v>43</v>
      </c>
      <c r="Z273" t="s">
        <v>43</v>
      </c>
      <c r="AA273" t="s">
        <v>43</v>
      </c>
      <c r="AB273" t="s">
        <v>43</v>
      </c>
      <c r="AC273" t="s">
        <v>43</v>
      </c>
      <c r="AD273" t="s">
        <v>43</v>
      </c>
      <c r="AE273" t="s">
        <v>43</v>
      </c>
      <c r="AF273" t="s">
        <v>43</v>
      </c>
      <c r="AG273" t="s">
        <v>43</v>
      </c>
      <c r="AH273" t="s">
        <v>43</v>
      </c>
      <c r="AI273" t="s">
        <v>43</v>
      </c>
      <c r="AJ273" t="s">
        <v>43</v>
      </c>
      <c r="AK273" t="s">
        <v>43</v>
      </c>
      <c r="AL273" t="s">
        <v>43</v>
      </c>
      <c r="AM273" t="s">
        <v>43</v>
      </c>
      <c r="AN273" t="str">
        <f>HYPERLINK("https://www.google.com/maps?q=11.05476856,79.06095123","Open Location")</f>
        <v>Open Location</v>
      </c>
    </row>
    <row r="274" spans="1:40" x14ac:dyDescent="0.3">
      <c r="A274" s="1">
        <v>46210.968402777777</v>
      </c>
      <c r="B274" t="s">
        <v>40</v>
      </c>
      <c r="C274" t="s">
        <v>41</v>
      </c>
      <c r="D274" s="1">
        <v>46210.971562500003</v>
      </c>
      <c r="E274" t="s">
        <v>42</v>
      </c>
      <c r="F274" t="s">
        <v>43</v>
      </c>
      <c r="G274" t="s">
        <v>43</v>
      </c>
      <c r="H274" t="s">
        <v>43</v>
      </c>
      <c r="I274" t="s">
        <v>167</v>
      </c>
      <c r="J274" t="s">
        <v>43</v>
      </c>
      <c r="K274" t="s">
        <v>43</v>
      </c>
      <c r="L274" t="s">
        <v>43</v>
      </c>
      <c r="M274" t="s">
        <v>43</v>
      </c>
      <c r="N274" t="s">
        <v>45</v>
      </c>
      <c r="O274" t="s">
        <v>43</v>
      </c>
      <c r="P274" t="s">
        <v>43</v>
      </c>
      <c r="Q274" t="s">
        <v>43</v>
      </c>
      <c r="R274" t="s">
        <v>43</v>
      </c>
      <c r="S274" t="s">
        <v>43</v>
      </c>
      <c r="T274" t="s">
        <v>43</v>
      </c>
      <c r="U274" t="s">
        <v>43</v>
      </c>
      <c r="V274" t="s">
        <v>43</v>
      </c>
      <c r="W274" t="s">
        <v>43</v>
      </c>
      <c r="X274" t="s">
        <v>43</v>
      </c>
      <c r="Y274" t="s">
        <v>43</v>
      </c>
      <c r="Z274" t="s">
        <v>43</v>
      </c>
      <c r="AA274" t="s">
        <v>43</v>
      </c>
      <c r="AB274" t="s">
        <v>43</v>
      </c>
      <c r="AC274" t="s">
        <v>43</v>
      </c>
      <c r="AD274" t="s">
        <v>43</v>
      </c>
      <c r="AE274" t="s">
        <v>43</v>
      </c>
      <c r="AF274" t="s">
        <v>43</v>
      </c>
      <c r="AG274" t="s">
        <v>43</v>
      </c>
      <c r="AH274" t="s">
        <v>43</v>
      </c>
      <c r="AI274" t="s">
        <v>43</v>
      </c>
      <c r="AJ274" t="s">
        <v>43</v>
      </c>
      <c r="AK274" t="s">
        <v>43</v>
      </c>
      <c r="AL274" t="s">
        <v>43</v>
      </c>
      <c r="AM274" t="s">
        <v>43</v>
      </c>
      <c r="AN274" t="str">
        <f>HYPERLINK("https://www.google.com/maps?q=11.05476761,79.06095123","Open Location")</f>
        <v>Open Location</v>
      </c>
    </row>
    <row r="275" spans="1:40" x14ac:dyDescent="0.3">
      <c r="A275" s="1">
        <v>46210.968287037038</v>
      </c>
      <c r="B275" t="s">
        <v>40</v>
      </c>
      <c r="C275" t="s">
        <v>41</v>
      </c>
      <c r="D275" s="1">
        <v>46210.971921296295</v>
      </c>
      <c r="E275" t="s">
        <v>42</v>
      </c>
      <c r="F275" t="s">
        <v>43</v>
      </c>
      <c r="G275" t="s">
        <v>43</v>
      </c>
      <c r="H275" t="s">
        <v>43</v>
      </c>
      <c r="I275" t="s">
        <v>168</v>
      </c>
      <c r="J275" t="s">
        <v>43</v>
      </c>
      <c r="K275" t="s">
        <v>43</v>
      </c>
      <c r="L275" t="s">
        <v>43</v>
      </c>
      <c r="M275" t="s">
        <v>43</v>
      </c>
      <c r="N275" t="s">
        <v>45</v>
      </c>
      <c r="O275" t="s">
        <v>43</v>
      </c>
      <c r="P275" t="s">
        <v>43</v>
      </c>
      <c r="Q275" t="s">
        <v>43</v>
      </c>
      <c r="R275" t="s">
        <v>43</v>
      </c>
      <c r="S275" t="s">
        <v>43</v>
      </c>
      <c r="T275" t="s">
        <v>43</v>
      </c>
      <c r="U275" t="s">
        <v>43</v>
      </c>
      <c r="V275" t="s">
        <v>43</v>
      </c>
      <c r="W275" t="s">
        <v>43</v>
      </c>
      <c r="X275" t="s">
        <v>43</v>
      </c>
      <c r="Y275" t="s">
        <v>43</v>
      </c>
      <c r="Z275" t="s">
        <v>43</v>
      </c>
      <c r="AA275" t="s">
        <v>43</v>
      </c>
      <c r="AB275" t="s">
        <v>43</v>
      </c>
      <c r="AC275" t="s">
        <v>43</v>
      </c>
      <c r="AD275" t="s">
        <v>43</v>
      </c>
      <c r="AE275" t="s">
        <v>43</v>
      </c>
      <c r="AF275" t="s">
        <v>43</v>
      </c>
      <c r="AG275" t="s">
        <v>43</v>
      </c>
      <c r="AH275" t="s">
        <v>43</v>
      </c>
      <c r="AI275" t="s">
        <v>43</v>
      </c>
      <c r="AJ275" t="s">
        <v>43</v>
      </c>
      <c r="AK275" t="s">
        <v>43</v>
      </c>
      <c r="AL275" t="s">
        <v>43</v>
      </c>
      <c r="AM275" t="s">
        <v>43</v>
      </c>
      <c r="AN275" t="str">
        <f>HYPERLINK("https://www.google.com/maps?q=11.05477047,79.06095123","Open Location")</f>
        <v>Open Location</v>
      </c>
    </row>
    <row r="276" spans="1:40" x14ac:dyDescent="0.3">
      <c r="A276" s="1">
        <v>46210.968171296299</v>
      </c>
      <c r="B276" t="s">
        <v>40</v>
      </c>
      <c r="C276" t="s">
        <v>41</v>
      </c>
      <c r="D276" s="1">
        <v>46210.971817129626</v>
      </c>
      <c r="E276" t="s">
        <v>42</v>
      </c>
      <c r="F276" t="s">
        <v>43</v>
      </c>
      <c r="G276" t="s">
        <v>43</v>
      </c>
      <c r="H276" t="s">
        <v>43</v>
      </c>
      <c r="I276" t="s">
        <v>110</v>
      </c>
      <c r="J276" t="s">
        <v>43</v>
      </c>
      <c r="K276" t="s">
        <v>43</v>
      </c>
      <c r="L276" t="s">
        <v>43</v>
      </c>
      <c r="M276" t="s">
        <v>43</v>
      </c>
      <c r="N276" t="s">
        <v>45</v>
      </c>
      <c r="O276" t="s">
        <v>43</v>
      </c>
      <c r="P276" t="s">
        <v>43</v>
      </c>
      <c r="Q276" t="s">
        <v>43</v>
      </c>
      <c r="R276" t="s">
        <v>43</v>
      </c>
      <c r="S276" t="s">
        <v>43</v>
      </c>
      <c r="T276" t="s">
        <v>43</v>
      </c>
      <c r="U276" t="s">
        <v>43</v>
      </c>
      <c r="V276" t="s">
        <v>43</v>
      </c>
      <c r="W276" t="s">
        <v>43</v>
      </c>
      <c r="X276" t="s">
        <v>43</v>
      </c>
      <c r="Y276" t="s">
        <v>43</v>
      </c>
      <c r="Z276" t="s">
        <v>43</v>
      </c>
      <c r="AA276" t="s">
        <v>43</v>
      </c>
      <c r="AB276" t="s">
        <v>43</v>
      </c>
      <c r="AC276" t="s">
        <v>43</v>
      </c>
      <c r="AD276" t="s">
        <v>43</v>
      </c>
      <c r="AE276" t="s">
        <v>43</v>
      </c>
      <c r="AF276" t="s">
        <v>43</v>
      </c>
      <c r="AG276" t="s">
        <v>43</v>
      </c>
      <c r="AH276" t="s">
        <v>43</v>
      </c>
      <c r="AI276" t="s">
        <v>43</v>
      </c>
      <c r="AJ276" t="s">
        <v>43</v>
      </c>
      <c r="AK276" t="s">
        <v>43</v>
      </c>
      <c r="AL276" t="s">
        <v>43</v>
      </c>
      <c r="AM276" t="s">
        <v>43</v>
      </c>
      <c r="AN276" t="str">
        <f>HYPERLINK("https://www.google.com/maps?q=11.05477238,79.06095123","Open Location")</f>
        <v>Open Location</v>
      </c>
    </row>
    <row r="277" spans="1:40" x14ac:dyDescent="0.3">
      <c r="A277" s="1">
        <v>46210.968055555553</v>
      </c>
      <c r="B277" t="s">
        <v>40</v>
      </c>
      <c r="C277" t="s">
        <v>41</v>
      </c>
      <c r="D277" s="1">
        <v>46210.971504629626</v>
      </c>
      <c r="E277" t="s">
        <v>42</v>
      </c>
      <c r="F277" t="s">
        <v>43</v>
      </c>
      <c r="G277" t="s">
        <v>43</v>
      </c>
      <c r="H277" t="s">
        <v>43</v>
      </c>
      <c r="I277" t="s">
        <v>43</v>
      </c>
      <c r="J277" t="s">
        <v>43</v>
      </c>
      <c r="K277" t="s">
        <v>43</v>
      </c>
      <c r="L277" t="s">
        <v>43</v>
      </c>
      <c r="M277" t="s">
        <v>43</v>
      </c>
      <c r="N277" t="s">
        <v>45</v>
      </c>
      <c r="O277" t="s">
        <v>43</v>
      </c>
      <c r="P277" t="s">
        <v>43</v>
      </c>
      <c r="Q277" t="s">
        <v>43</v>
      </c>
      <c r="R277" t="s">
        <v>43</v>
      </c>
      <c r="S277" t="s">
        <v>43</v>
      </c>
      <c r="T277" t="s">
        <v>43</v>
      </c>
      <c r="U277" t="s">
        <v>43</v>
      </c>
      <c r="V277" t="s">
        <v>43</v>
      </c>
      <c r="W277" t="s">
        <v>43</v>
      </c>
      <c r="X277" t="s">
        <v>43</v>
      </c>
      <c r="Y277" t="s">
        <v>43</v>
      </c>
      <c r="Z277" t="s">
        <v>43</v>
      </c>
      <c r="AA277" t="s">
        <v>43</v>
      </c>
      <c r="AB277" t="s">
        <v>43</v>
      </c>
      <c r="AC277" t="s">
        <v>43</v>
      </c>
      <c r="AD277" t="s">
        <v>43</v>
      </c>
      <c r="AE277" t="s">
        <v>43</v>
      </c>
      <c r="AF277" t="s">
        <v>43</v>
      </c>
      <c r="AG277" t="s">
        <v>43</v>
      </c>
      <c r="AH277" t="s">
        <v>43</v>
      </c>
      <c r="AI277" t="s">
        <v>43</v>
      </c>
      <c r="AJ277" t="s">
        <v>43</v>
      </c>
      <c r="AK277" t="s">
        <v>43</v>
      </c>
      <c r="AL277" t="s">
        <v>43</v>
      </c>
      <c r="AM277" t="s">
        <v>43</v>
      </c>
      <c r="AN277" t="s">
        <v>43</v>
      </c>
    </row>
    <row r="278" spans="1:40" x14ac:dyDescent="0.3">
      <c r="A278" s="1">
        <v>46210.967939814815</v>
      </c>
      <c r="B278" t="s">
        <v>40</v>
      </c>
      <c r="C278" t="s">
        <v>41</v>
      </c>
      <c r="D278" s="1">
        <v>46210.971539351849</v>
      </c>
      <c r="E278" t="s">
        <v>42</v>
      </c>
      <c r="F278" t="s">
        <v>43</v>
      </c>
      <c r="G278" t="s">
        <v>43</v>
      </c>
      <c r="H278" t="s">
        <v>43</v>
      </c>
      <c r="I278" t="s">
        <v>107</v>
      </c>
      <c r="J278" t="s">
        <v>43</v>
      </c>
      <c r="K278" t="s">
        <v>43</v>
      </c>
      <c r="L278" t="s">
        <v>43</v>
      </c>
      <c r="M278" t="s">
        <v>43</v>
      </c>
      <c r="N278" t="s">
        <v>45</v>
      </c>
      <c r="O278" t="s">
        <v>43</v>
      </c>
      <c r="P278" t="s">
        <v>43</v>
      </c>
      <c r="Q278" t="s">
        <v>43</v>
      </c>
      <c r="R278" t="s">
        <v>43</v>
      </c>
      <c r="S278" t="s">
        <v>43</v>
      </c>
      <c r="T278" t="s">
        <v>43</v>
      </c>
      <c r="U278" t="s">
        <v>43</v>
      </c>
      <c r="V278" t="s">
        <v>43</v>
      </c>
      <c r="W278" t="s">
        <v>43</v>
      </c>
      <c r="X278" t="s">
        <v>43</v>
      </c>
      <c r="Y278" t="s">
        <v>43</v>
      </c>
      <c r="Z278" t="s">
        <v>43</v>
      </c>
      <c r="AA278" t="s">
        <v>43</v>
      </c>
      <c r="AB278" t="s">
        <v>43</v>
      </c>
      <c r="AC278" t="s">
        <v>43</v>
      </c>
      <c r="AD278" t="s">
        <v>43</v>
      </c>
      <c r="AE278" t="s">
        <v>43</v>
      </c>
      <c r="AF278" t="s">
        <v>43</v>
      </c>
      <c r="AG278" t="s">
        <v>43</v>
      </c>
      <c r="AH278" t="s">
        <v>43</v>
      </c>
      <c r="AI278" t="s">
        <v>43</v>
      </c>
      <c r="AJ278" t="s">
        <v>43</v>
      </c>
      <c r="AK278" t="s">
        <v>43</v>
      </c>
      <c r="AL278" t="s">
        <v>43</v>
      </c>
      <c r="AM278" t="s">
        <v>43</v>
      </c>
      <c r="AN278" t="str">
        <f>HYPERLINK("https://www.google.com/maps?q=11.05477333,79.06095886","Open Location")</f>
        <v>Open Location</v>
      </c>
    </row>
    <row r="279" spans="1:40" x14ac:dyDescent="0.3">
      <c r="A279" s="1">
        <v>46210.967824074076</v>
      </c>
      <c r="B279" t="s">
        <v>40</v>
      </c>
      <c r="C279" t="s">
        <v>41</v>
      </c>
      <c r="D279" s="1">
        <v>46210.972187500003</v>
      </c>
      <c r="E279" t="s">
        <v>42</v>
      </c>
      <c r="F279" t="s">
        <v>43</v>
      </c>
      <c r="G279" t="s">
        <v>43</v>
      </c>
      <c r="H279" t="s">
        <v>43</v>
      </c>
      <c r="I279" t="s">
        <v>98</v>
      </c>
      <c r="J279" t="s">
        <v>43</v>
      </c>
      <c r="K279" t="s">
        <v>43</v>
      </c>
      <c r="L279" t="s">
        <v>43</v>
      </c>
      <c r="M279" t="s">
        <v>43</v>
      </c>
      <c r="N279" t="s">
        <v>45</v>
      </c>
      <c r="O279" t="s">
        <v>43</v>
      </c>
      <c r="P279" t="s">
        <v>43</v>
      </c>
      <c r="Q279" t="s">
        <v>43</v>
      </c>
      <c r="R279" t="s">
        <v>43</v>
      </c>
      <c r="S279" t="s">
        <v>43</v>
      </c>
      <c r="T279" t="s">
        <v>43</v>
      </c>
      <c r="U279" t="s">
        <v>43</v>
      </c>
      <c r="V279" t="s">
        <v>43</v>
      </c>
      <c r="W279" t="s">
        <v>43</v>
      </c>
      <c r="X279" t="s">
        <v>43</v>
      </c>
      <c r="Y279" t="s">
        <v>43</v>
      </c>
      <c r="Z279" t="s">
        <v>43</v>
      </c>
      <c r="AA279" t="s">
        <v>43</v>
      </c>
      <c r="AB279" t="s">
        <v>43</v>
      </c>
      <c r="AC279" t="s">
        <v>43</v>
      </c>
      <c r="AD279" t="s">
        <v>43</v>
      </c>
      <c r="AE279" t="s">
        <v>43</v>
      </c>
      <c r="AF279" t="s">
        <v>43</v>
      </c>
      <c r="AG279" t="s">
        <v>43</v>
      </c>
      <c r="AH279" t="s">
        <v>43</v>
      </c>
      <c r="AI279" t="s">
        <v>43</v>
      </c>
      <c r="AJ279" t="s">
        <v>43</v>
      </c>
      <c r="AK279" t="s">
        <v>43</v>
      </c>
      <c r="AL279" t="s">
        <v>43</v>
      </c>
      <c r="AM279" t="s">
        <v>43</v>
      </c>
      <c r="AN279" t="str">
        <f>HYPERLINK("https://www.google.com/maps?q=11.05477428,79.06095886","Open Location")</f>
        <v>Open Location</v>
      </c>
    </row>
    <row r="280" spans="1:40" x14ac:dyDescent="0.3">
      <c r="A280" s="1">
        <v>46210.96770833333</v>
      </c>
      <c r="B280" t="s">
        <v>40</v>
      </c>
      <c r="C280" t="s">
        <v>41</v>
      </c>
      <c r="D280" s="1">
        <v>46210.97179398148</v>
      </c>
      <c r="E280" t="s">
        <v>42</v>
      </c>
      <c r="F280" t="s">
        <v>43</v>
      </c>
      <c r="G280" t="s">
        <v>43</v>
      </c>
      <c r="H280" t="s">
        <v>43</v>
      </c>
      <c r="I280" t="s">
        <v>103</v>
      </c>
      <c r="J280" t="s">
        <v>43</v>
      </c>
      <c r="K280" t="s">
        <v>43</v>
      </c>
      <c r="L280" t="s">
        <v>43</v>
      </c>
      <c r="M280" t="s">
        <v>43</v>
      </c>
      <c r="N280" t="s">
        <v>45</v>
      </c>
      <c r="O280" t="s">
        <v>43</v>
      </c>
      <c r="P280" t="s">
        <v>43</v>
      </c>
      <c r="Q280" t="s">
        <v>43</v>
      </c>
      <c r="R280" t="s">
        <v>43</v>
      </c>
      <c r="S280" t="s">
        <v>43</v>
      </c>
      <c r="T280" t="s">
        <v>43</v>
      </c>
      <c r="U280" t="s">
        <v>43</v>
      </c>
      <c r="V280" t="s">
        <v>43</v>
      </c>
      <c r="W280" t="s">
        <v>43</v>
      </c>
      <c r="X280" t="s">
        <v>43</v>
      </c>
      <c r="Y280" t="s">
        <v>43</v>
      </c>
      <c r="Z280" t="s">
        <v>43</v>
      </c>
      <c r="AA280" t="s">
        <v>43</v>
      </c>
      <c r="AB280" t="s">
        <v>43</v>
      </c>
      <c r="AC280" t="s">
        <v>43</v>
      </c>
      <c r="AD280" t="s">
        <v>43</v>
      </c>
      <c r="AE280" t="s">
        <v>43</v>
      </c>
      <c r="AF280" t="s">
        <v>43</v>
      </c>
      <c r="AG280" t="s">
        <v>43</v>
      </c>
      <c r="AH280" t="s">
        <v>43</v>
      </c>
      <c r="AI280" t="s">
        <v>43</v>
      </c>
      <c r="AJ280" t="s">
        <v>43</v>
      </c>
      <c r="AK280" t="s">
        <v>43</v>
      </c>
      <c r="AL280" t="s">
        <v>43</v>
      </c>
      <c r="AM280" t="s">
        <v>43</v>
      </c>
      <c r="AN280" t="str">
        <f>HYPERLINK("https://www.google.com/maps?q=11.05478001,79.06095886","Open Location")</f>
        <v>Open Location</v>
      </c>
    </row>
    <row r="281" spans="1:40" x14ac:dyDescent="0.3">
      <c r="A281" s="1">
        <v>46210.967592592591</v>
      </c>
      <c r="B281" t="s">
        <v>40</v>
      </c>
      <c r="C281" t="s">
        <v>41</v>
      </c>
      <c r="D281" s="1">
        <v>46210.971168981479</v>
      </c>
      <c r="E281" t="s">
        <v>42</v>
      </c>
      <c r="F281" t="s">
        <v>43</v>
      </c>
      <c r="G281" t="s">
        <v>43</v>
      </c>
      <c r="H281" t="s">
        <v>43</v>
      </c>
      <c r="I281" t="s">
        <v>106</v>
      </c>
      <c r="J281" t="s">
        <v>43</v>
      </c>
      <c r="K281" t="s">
        <v>43</v>
      </c>
      <c r="L281" t="s">
        <v>43</v>
      </c>
      <c r="M281" t="s">
        <v>43</v>
      </c>
      <c r="N281" t="s">
        <v>45</v>
      </c>
      <c r="O281" t="s">
        <v>43</v>
      </c>
      <c r="P281" t="s">
        <v>43</v>
      </c>
      <c r="Q281" t="s">
        <v>43</v>
      </c>
      <c r="R281" t="s">
        <v>43</v>
      </c>
      <c r="S281" t="s">
        <v>43</v>
      </c>
      <c r="T281" t="s">
        <v>43</v>
      </c>
      <c r="U281" t="s">
        <v>43</v>
      </c>
      <c r="V281" t="s">
        <v>43</v>
      </c>
      <c r="W281" t="s">
        <v>43</v>
      </c>
      <c r="X281" t="s">
        <v>43</v>
      </c>
      <c r="Y281" t="s">
        <v>43</v>
      </c>
      <c r="Z281" t="s">
        <v>43</v>
      </c>
      <c r="AA281" t="s">
        <v>43</v>
      </c>
      <c r="AB281" t="s">
        <v>43</v>
      </c>
      <c r="AC281" t="s">
        <v>43</v>
      </c>
      <c r="AD281" t="s">
        <v>43</v>
      </c>
      <c r="AE281" t="s">
        <v>43</v>
      </c>
      <c r="AF281" t="s">
        <v>43</v>
      </c>
      <c r="AG281" t="s">
        <v>43</v>
      </c>
      <c r="AH281" t="s">
        <v>43</v>
      </c>
      <c r="AI281" t="s">
        <v>43</v>
      </c>
      <c r="AJ281" t="s">
        <v>43</v>
      </c>
      <c r="AK281" t="s">
        <v>43</v>
      </c>
      <c r="AL281" t="s">
        <v>43</v>
      </c>
      <c r="AM281" t="s">
        <v>43</v>
      </c>
      <c r="AN281" t="str">
        <f>HYPERLINK("https://www.google.com/maps?q=11.05477619,79.06095886","Open Location")</f>
        <v>Open Location</v>
      </c>
    </row>
    <row r="282" spans="1:40" x14ac:dyDescent="0.3">
      <c r="A282" s="1">
        <v>46210.967476851853</v>
      </c>
      <c r="B282" t="s">
        <v>40</v>
      </c>
      <c r="C282" t="s">
        <v>41</v>
      </c>
      <c r="D282" s="1">
        <v>46210.971284722225</v>
      </c>
      <c r="E282" t="s">
        <v>42</v>
      </c>
      <c r="F282" t="s">
        <v>43</v>
      </c>
      <c r="G282" t="s">
        <v>43</v>
      </c>
      <c r="H282" t="s">
        <v>43</v>
      </c>
      <c r="I282" t="s">
        <v>162</v>
      </c>
      <c r="J282" t="s">
        <v>43</v>
      </c>
      <c r="K282" t="s">
        <v>43</v>
      </c>
      <c r="L282" t="s">
        <v>43</v>
      </c>
      <c r="M282" t="s">
        <v>43</v>
      </c>
      <c r="N282" t="s">
        <v>45</v>
      </c>
      <c r="O282" t="s">
        <v>43</v>
      </c>
      <c r="P282" t="s">
        <v>43</v>
      </c>
      <c r="Q282" t="s">
        <v>43</v>
      </c>
      <c r="R282" t="s">
        <v>43</v>
      </c>
      <c r="S282" t="s">
        <v>43</v>
      </c>
      <c r="T282" t="s">
        <v>43</v>
      </c>
      <c r="U282" t="s">
        <v>43</v>
      </c>
      <c r="V282" t="s">
        <v>43</v>
      </c>
      <c r="W282" t="s">
        <v>43</v>
      </c>
      <c r="X282" t="s">
        <v>43</v>
      </c>
      <c r="Y282" t="s">
        <v>43</v>
      </c>
      <c r="Z282" t="s">
        <v>43</v>
      </c>
      <c r="AA282" t="s">
        <v>43</v>
      </c>
      <c r="AB282" t="s">
        <v>43</v>
      </c>
      <c r="AC282" t="s">
        <v>43</v>
      </c>
      <c r="AD282" t="s">
        <v>43</v>
      </c>
      <c r="AE282" t="s">
        <v>43</v>
      </c>
      <c r="AF282" t="s">
        <v>43</v>
      </c>
      <c r="AG282" t="s">
        <v>43</v>
      </c>
      <c r="AH282" t="s">
        <v>43</v>
      </c>
      <c r="AI282" t="s">
        <v>43</v>
      </c>
      <c r="AJ282" t="s">
        <v>43</v>
      </c>
      <c r="AK282" t="s">
        <v>43</v>
      </c>
      <c r="AL282" t="s">
        <v>43</v>
      </c>
      <c r="AM282" t="s">
        <v>43</v>
      </c>
      <c r="AN282" t="str">
        <f>HYPERLINK("https://www.google.com/maps?q=11.05477715,79.06095123","Open Location")</f>
        <v>Open Location</v>
      </c>
    </row>
    <row r="283" spans="1:40" x14ac:dyDescent="0.3">
      <c r="A283" s="1">
        <v>46210.967361111114</v>
      </c>
      <c r="B283" t="s">
        <v>40</v>
      </c>
      <c r="C283" t="s">
        <v>41</v>
      </c>
      <c r="D283" s="1">
        <v>46210.971284722225</v>
      </c>
      <c r="E283" t="s">
        <v>42</v>
      </c>
      <c r="F283" t="s">
        <v>43</v>
      </c>
      <c r="G283" t="s">
        <v>43</v>
      </c>
      <c r="H283" t="s">
        <v>43</v>
      </c>
      <c r="I283" t="s">
        <v>43</v>
      </c>
      <c r="J283" t="s">
        <v>43</v>
      </c>
      <c r="K283" t="s">
        <v>43</v>
      </c>
      <c r="L283" t="s">
        <v>43</v>
      </c>
      <c r="M283" t="s">
        <v>43</v>
      </c>
      <c r="N283" t="s">
        <v>45</v>
      </c>
      <c r="O283" t="s">
        <v>43</v>
      </c>
      <c r="P283" t="s">
        <v>43</v>
      </c>
      <c r="Q283" t="s">
        <v>43</v>
      </c>
      <c r="R283" t="s">
        <v>43</v>
      </c>
      <c r="S283" t="s">
        <v>43</v>
      </c>
      <c r="T283" t="s">
        <v>43</v>
      </c>
      <c r="U283" t="s">
        <v>43</v>
      </c>
      <c r="V283" t="s">
        <v>43</v>
      </c>
      <c r="W283" t="s">
        <v>43</v>
      </c>
      <c r="X283" t="s">
        <v>43</v>
      </c>
      <c r="Y283" t="s">
        <v>43</v>
      </c>
      <c r="Z283" t="s">
        <v>43</v>
      </c>
      <c r="AA283" t="s">
        <v>43</v>
      </c>
      <c r="AB283" t="s">
        <v>43</v>
      </c>
      <c r="AC283" t="s">
        <v>43</v>
      </c>
      <c r="AD283" t="s">
        <v>43</v>
      </c>
      <c r="AE283" t="s">
        <v>43</v>
      </c>
      <c r="AF283" t="s">
        <v>43</v>
      </c>
      <c r="AG283" t="s">
        <v>43</v>
      </c>
      <c r="AH283" t="s">
        <v>43</v>
      </c>
      <c r="AI283" t="s">
        <v>43</v>
      </c>
      <c r="AJ283" t="s">
        <v>43</v>
      </c>
      <c r="AK283" t="s">
        <v>43</v>
      </c>
      <c r="AL283" t="s">
        <v>43</v>
      </c>
      <c r="AM283" t="s">
        <v>43</v>
      </c>
      <c r="AN283" t="s">
        <v>43</v>
      </c>
    </row>
    <row r="284" spans="1:40" x14ac:dyDescent="0.3">
      <c r="A284" s="1">
        <v>46210.967245370368</v>
      </c>
      <c r="B284" t="s">
        <v>40</v>
      </c>
      <c r="C284" t="s">
        <v>41</v>
      </c>
      <c r="D284" s="1">
        <v>46210.971284722225</v>
      </c>
      <c r="E284" t="s">
        <v>42</v>
      </c>
      <c r="F284" t="s">
        <v>43</v>
      </c>
      <c r="G284" t="s">
        <v>43</v>
      </c>
      <c r="H284" t="s">
        <v>43</v>
      </c>
      <c r="I284" t="s">
        <v>109</v>
      </c>
      <c r="J284" t="s">
        <v>43</v>
      </c>
      <c r="K284" t="s">
        <v>43</v>
      </c>
      <c r="L284" t="s">
        <v>43</v>
      </c>
      <c r="M284" t="s">
        <v>43</v>
      </c>
      <c r="N284" t="s">
        <v>45</v>
      </c>
      <c r="O284" t="s">
        <v>43</v>
      </c>
      <c r="P284" t="s">
        <v>43</v>
      </c>
      <c r="Q284" t="s">
        <v>43</v>
      </c>
      <c r="R284" t="s">
        <v>43</v>
      </c>
      <c r="S284" t="s">
        <v>43</v>
      </c>
      <c r="T284" t="s">
        <v>43</v>
      </c>
      <c r="U284" t="s">
        <v>43</v>
      </c>
      <c r="V284" t="s">
        <v>43</v>
      </c>
      <c r="W284" t="s">
        <v>43</v>
      </c>
      <c r="X284" t="s">
        <v>43</v>
      </c>
      <c r="Y284" t="s">
        <v>43</v>
      </c>
      <c r="Z284" t="s">
        <v>43</v>
      </c>
      <c r="AA284" t="s">
        <v>43</v>
      </c>
      <c r="AB284" t="s">
        <v>43</v>
      </c>
      <c r="AC284" t="s">
        <v>43</v>
      </c>
      <c r="AD284" t="s">
        <v>43</v>
      </c>
      <c r="AE284" t="s">
        <v>43</v>
      </c>
      <c r="AF284" t="s">
        <v>43</v>
      </c>
      <c r="AG284" t="s">
        <v>43</v>
      </c>
      <c r="AH284" t="s">
        <v>43</v>
      </c>
      <c r="AI284" t="s">
        <v>43</v>
      </c>
      <c r="AJ284" t="s">
        <v>43</v>
      </c>
      <c r="AK284" t="s">
        <v>43</v>
      </c>
      <c r="AL284" t="s">
        <v>43</v>
      </c>
      <c r="AM284" t="s">
        <v>43</v>
      </c>
      <c r="AN284" t="str">
        <f>HYPERLINK("https://www.google.com/maps?q=11.05477524,79.06095123","Open Location")</f>
        <v>Open Location</v>
      </c>
    </row>
    <row r="285" spans="1:40" x14ac:dyDescent="0.3">
      <c r="A285" s="1">
        <v>46210.967129629629</v>
      </c>
      <c r="B285" t="s">
        <v>40</v>
      </c>
      <c r="C285" t="s">
        <v>41</v>
      </c>
      <c r="D285" s="1">
        <v>46210.971354166664</v>
      </c>
      <c r="E285" t="s">
        <v>42</v>
      </c>
      <c r="F285" t="s">
        <v>43</v>
      </c>
      <c r="G285" t="s">
        <v>43</v>
      </c>
      <c r="H285" t="s">
        <v>43</v>
      </c>
      <c r="I285" t="s">
        <v>158</v>
      </c>
      <c r="J285" t="s">
        <v>43</v>
      </c>
      <c r="K285" t="s">
        <v>43</v>
      </c>
      <c r="L285" t="s">
        <v>43</v>
      </c>
      <c r="M285" t="s">
        <v>43</v>
      </c>
      <c r="N285" t="s">
        <v>45</v>
      </c>
      <c r="O285" t="s">
        <v>43</v>
      </c>
      <c r="P285" t="s">
        <v>43</v>
      </c>
      <c r="Q285" t="s">
        <v>43</v>
      </c>
      <c r="R285" t="s">
        <v>43</v>
      </c>
      <c r="S285" t="s">
        <v>43</v>
      </c>
      <c r="T285" t="s">
        <v>43</v>
      </c>
      <c r="U285" t="s">
        <v>43</v>
      </c>
      <c r="V285" t="s">
        <v>43</v>
      </c>
      <c r="W285" t="s">
        <v>43</v>
      </c>
      <c r="X285" t="s">
        <v>43</v>
      </c>
      <c r="Y285" t="s">
        <v>43</v>
      </c>
      <c r="Z285" t="s">
        <v>43</v>
      </c>
      <c r="AA285" t="s">
        <v>43</v>
      </c>
      <c r="AB285" t="s">
        <v>43</v>
      </c>
      <c r="AC285" t="s">
        <v>43</v>
      </c>
      <c r="AD285" t="s">
        <v>43</v>
      </c>
      <c r="AE285" t="s">
        <v>43</v>
      </c>
      <c r="AF285" t="s">
        <v>43</v>
      </c>
      <c r="AG285" t="s">
        <v>43</v>
      </c>
      <c r="AH285" t="s">
        <v>43</v>
      </c>
      <c r="AI285" t="s">
        <v>43</v>
      </c>
      <c r="AJ285" t="s">
        <v>43</v>
      </c>
      <c r="AK285" t="s">
        <v>43</v>
      </c>
      <c r="AL285" t="s">
        <v>43</v>
      </c>
      <c r="AM285" t="s">
        <v>43</v>
      </c>
      <c r="AN285" t="str">
        <f>HYPERLINK("https://www.google.com/maps?q=11.05477142,79.06095123","Open Location")</f>
        <v>Open Location</v>
      </c>
    </row>
    <row r="286" spans="1:40" x14ac:dyDescent="0.3">
      <c r="A286" s="1">
        <v>46210.967013888891</v>
      </c>
      <c r="B286" t="s">
        <v>40</v>
      </c>
      <c r="C286" t="s">
        <v>41</v>
      </c>
      <c r="D286" s="1">
        <v>46210.971643518518</v>
      </c>
      <c r="E286" t="s">
        <v>42</v>
      </c>
      <c r="F286" t="s">
        <v>43</v>
      </c>
      <c r="G286" t="s">
        <v>43</v>
      </c>
      <c r="H286" t="s">
        <v>43</v>
      </c>
      <c r="I286" t="s">
        <v>111</v>
      </c>
      <c r="J286" t="s">
        <v>43</v>
      </c>
      <c r="K286" t="s">
        <v>43</v>
      </c>
      <c r="L286" t="s">
        <v>43</v>
      </c>
      <c r="M286" t="s">
        <v>43</v>
      </c>
      <c r="N286" t="s">
        <v>45</v>
      </c>
      <c r="O286" t="s">
        <v>43</v>
      </c>
      <c r="P286" t="s">
        <v>43</v>
      </c>
      <c r="Q286" t="s">
        <v>43</v>
      </c>
      <c r="R286" t="s">
        <v>43</v>
      </c>
      <c r="S286" t="s">
        <v>43</v>
      </c>
      <c r="T286" t="s">
        <v>43</v>
      </c>
      <c r="U286" t="s">
        <v>43</v>
      </c>
      <c r="V286" t="s">
        <v>43</v>
      </c>
      <c r="W286" t="s">
        <v>43</v>
      </c>
      <c r="X286" t="s">
        <v>43</v>
      </c>
      <c r="Y286" t="s">
        <v>43</v>
      </c>
      <c r="Z286" t="s">
        <v>43</v>
      </c>
      <c r="AA286" t="s">
        <v>43</v>
      </c>
      <c r="AB286" t="s">
        <v>43</v>
      </c>
      <c r="AC286" t="s">
        <v>43</v>
      </c>
      <c r="AD286" t="s">
        <v>43</v>
      </c>
      <c r="AE286" t="s">
        <v>43</v>
      </c>
      <c r="AF286" t="s">
        <v>43</v>
      </c>
      <c r="AG286" t="s">
        <v>43</v>
      </c>
      <c r="AH286" t="s">
        <v>43</v>
      </c>
      <c r="AI286" t="s">
        <v>43</v>
      </c>
      <c r="AJ286" t="s">
        <v>43</v>
      </c>
      <c r="AK286" t="s">
        <v>43</v>
      </c>
      <c r="AL286" t="s">
        <v>43</v>
      </c>
      <c r="AM286" t="s">
        <v>43</v>
      </c>
      <c r="AN286" t="str">
        <f>HYPERLINK("https://www.google.com/maps?q=11.05477142,79.06095886","Open Location")</f>
        <v>Open Location</v>
      </c>
    </row>
    <row r="287" spans="1:40" x14ac:dyDescent="0.3">
      <c r="A287" s="1">
        <v>46210.966898148145</v>
      </c>
      <c r="B287" t="s">
        <v>40</v>
      </c>
      <c r="C287" t="s">
        <v>41</v>
      </c>
      <c r="D287" s="1">
        <v>46210.971168981479</v>
      </c>
      <c r="E287" t="s">
        <v>42</v>
      </c>
      <c r="F287" t="s">
        <v>43</v>
      </c>
      <c r="G287" t="s">
        <v>43</v>
      </c>
      <c r="H287" t="s">
        <v>43</v>
      </c>
      <c r="I287" t="s">
        <v>169</v>
      </c>
      <c r="J287" t="s">
        <v>43</v>
      </c>
      <c r="K287" t="s">
        <v>43</v>
      </c>
      <c r="L287" t="s">
        <v>43</v>
      </c>
      <c r="M287" t="s">
        <v>43</v>
      </c>
      <c r="N287" t="s">
        <v>45</v>
      </c>
      <c r="O287" t="s">
        <v>43</v>
      </c>
      <c r="P287" t="s">
        <v>43</v>
      </c>
      <c r="Q287" t="s">
        <v>43</v>
      </c>
      <c r="R287" t="s">
        <v>43</v>
      </c>
      <c r="S287" t="s">
        <v>43</v>
      </c>
      <c r="T287" t="s">
        <v>43</v>
      </c>
      <c r="U287" t="s">
        <v>43</v>
      </c>
      <c r="V287" t="s">
        <v>43</v>
      </c>
      <c r="W287" t="s">
        <v>43</v>
      </c>
      <c r="X287" t="s">
        <v>43</v>
      </c>
      <c r="Y287" t="s">
        <v>43</v>
      </c>
      <c r="Z287" t="s">
        <v>43</v>
      </c>
      <c r="AA287" t="s">
        <v>43</v>
      </c>
      <c r="AB287" t="s">
        <v>43</v>
      </c>
      <c r="AC287" t="s">
        <v>43</v>
      </c>
      <c r="AD287" t="s">
        <v>43</v>
      </c>
      <c r="AE287" t="s">
        <v>43</v>
      </c>
      <c r="AF287" t="s">
        <v>43</v>
      </c>
      <c r="AG287" t="s">
        <v>43</v>
      </c>
      <c r="AH287" t="s">
        <v>43</v>
      </c>
      <c r="AI287" t="s">
        <v>43</v>
      </c>
      <c r="AJ287" t="s">
        <v>43</v>
      </c>
      <c r="AK287" t="s">
        <v>43</v>
      </c>
      <c r="AL287" t="s">
        <v>43</v>
      </c>
      <c r="AM287" t="s">
        <v>43</v>
      </c>
      <c r="AN287" t="str">
        <f>HYPERLINK("https://www.google.com/maps?q=11.0547781,79.06095123","Open Location")</f>
        <v>Open Location</v>
      </c>
    </row>
    <row r="288" spans="1:40" x14ac:dyDescent="0.3">
      <c r="A288" s="1">
        <v>46210.966782407406</v>
      </c>
      <c r="B288" t="s">
        <v>40</v>
      </c>
      <c r="C288" t="s">
        <v>41</v>
      </c>
      <c r="D288" s="1">
        <v>46210.971168981479</v>
      </c>
      <c r="E288" t="s">
        <v>42</v>
      </c>
      <c r="F288" t="s">
        <v>43</v>
      </c>
      <c r="G288" t="s">
        <v>43</v>
      </c>
      <c r="H288" t="s">
        <v>43</v>
      </c>
      <c r="I288" t="s">
        <v>169</v>
      </c>
      <c r="J288" t="s">
        <v>43</v>
      </c>
      <c r="K288" t="s">
        <v>43</v>
      </c>
      <c r="L288" t="s">
        <v>43</v>
      </c>
      <c r="M288" t="s">
        <v>43</v>
      </c>
      <c r="N288" t="s">
        <v>45</v>
      </c>
      <c r="O288" t="s">
        <v>43</v>
      </c>
      <c r="P288" t="s">
        <v>43</v>
      </c>
      <c r="Q288" t="s">
        <v>43</v>
      </c>
      <c r="R288" t="s">
        <v>43</v>
      </c>
      <c r="S288" t="s">
        <v>43</v>
      </c>
      <c r="T288" t="s">
        <v>43</v>
      </c>
      <c r="U288" t="s">
        <v>43</v>
      </c>
      <c r="V288" t="s">
        <v>43</v>
      </c>
      <c r="W288" t="s">
        <v>43</v>
      </c>
      <c r="X288" t="s">
        <v>43</v>
      </c>
      <c r="Y288" t="s">
        <v>43</v>
      </c>
      <c r="Z288" t="s">
        <v>43</v>
      </c>
      <c r="AA288" t="s">
        <v>43</v>
      </c>
      <c r="AB288" t="s">
        <v>43</v>
      </c>
      <c r="AC288" t="s">
        <v>43</v>
      </c>
      <c r="AD288" t="s">
        <v>43</v>
      </c>
      <c r="AE288" t="s">
        <v>43</v>
      </c>
      <c r="AF288" t="s">
        <v>43</v>
      </c>
      <c r="AG288" t="s">
        <v>43</v>
      </c>
      <c r="AH288" t="s">
        <v>43</v>
      </c>
      <c r="AI288" t="s">
        <v>43</v>
      </c>
      <c r="AJ288" t="s">
        <v>43</v>
      </c>
      <c r="AK288" t="s">
        <v>43</v>
      </c>
      <c r="AL288" t="s">
        <v>43</v>
      </c>
      <c r="AM288" t="s">
        <v>43</v>
      </c>
      <c r="AN288" t="str">
        <f>HYPERLINK("https://www.google.com/maps?q=11.0547781,79.06095123","Open Location")</f>
        <v>Open Location</v>
      </c>
    </row>
    <row r="289" spans="1:40" x14ac:dyDescent="0.3">
      <c r="A289" s="1">
        <v>46210.966666666667</v>
      </c>
      <c r="B289" t="s">
        <v>40</v>
      </c>
      <c r="C289" t="s">
        <v>41</v>
      </c>
      <c r="D289" s="1">
        <v>46210.971238425926</v>
      </c>
      <c r="E289" t="s">
        <v>42</v>
      </c>
      <c r="F289" t="s">
        <v>43</v>
      </c>
      <c r="G289" t="s">
        <v>43</v>
      </c>
      <c r="H289" t="s">
        <v>43</v>
      </c>
      <c r="I289" t="s">
        <v>43</v>
      </c>
      <c r="J289" t="s">
        <v>43</v>
      </c>
      <c r="K289" t="s">
        <v>43</v>
      </c>
      <c r="L289" t="s">
        <v>43</v>
      </c>
      <c r="M289" t="s">
        <v>43</v>
      </c>
      <c r="N289" t="s">
        <v>45</v>
      </c>
      <c r="O289" t="s">
        <v>43</v>
      </c>
      <c r="P289" t="s">
        <v>43</v>
      </c>
      <c r="Q289" t="s">
        <v>43</v>
      </c>
      <c r="R289" t="s">
        <v>43</v>
      </c>
      <c r="S289" t="s">
        <v>43</v>
      </c>
      <c r="T289" t="s">
        <v>43</v>
      </c>
      <c r="U289" t="s">
        <v>43</v>
      </c>
      <c r="V289" t="s">
        <v>43</v>
      </c>
      <c r="W289" t="s">
        <v>43</v>
      </c>
      <c r="X289" t="s">
        <v>43</v>
      </c>
      <c r="Y289" t="s">
        <v>43</v>
      </c>
      <c r="Z289" t="s">
        <v>43</v>
      </c>
      <c r="AA289" t="s">
        <v>43</v>
      </c>
      <c r="AB289" t="s">
        <v>43</v>
      </c>
      <c r="AC289" t="s">
        <v>43</v>
      </c>
      <c r="AD289" t="s">
        <v>43</v>
      </c>
      <c r="AE289" t="s">
        <v>43</v>
      </c>
      <c r="AF289" t="s">
        <v>43</v>
      </c>
      <c r="AG289" t="s">
        <v>43</v>
      </c>
      <c r="AH289" t="s">
        <v>43</v>
      </c>
      <c r="AI289" t="s">
        <v>43</v>
      </c>
      <c r="AJ289" t="s">
        <v>43</v>
      </c>
      <c r="AK289" t="s">
        <v>43</v>
      </c>
      <c r="AL289" t="s">
        <v>43</v>
      </c>
      <c r="AM289" t="s">
        <v>43</v>
      </c>
      <c r="AN289" t="s">
        <v>43</v>
      </c>
    </row>
    <row r="290" spans="1:40" x14ac:dyDescent="0.3">
      <c r="A290" s="1">
        <v>46210.966550925928</v>
      </c>
      <c r="B290" t="s">
        <v>40</v>
      </c>
      <c r="C290" t="s">
        <v>41</v>
      </c>
      <c r="D290" s="1">
        <v>46210.971180555556</v>
      </c>
      <c r="E290" t="s">
        <v>42</v>
      </c>
      <c r="F290" t="s">
        <v>43</v>
      </c>
      <c r="G290" t="s">
        <v>43</v>
      </c>
      <c r="H290" t="s">
        <v>43</v>
      </c>
      <c r="I290" t="s">
        <v>170</v>
      </c>
      <c r="J290" t="s">
        <v>43</v>
      </c>
      <c r="K290" t="s">
        <v>43</v>
      </c>
      <c r="L290" t="s">
        <v>43</v>
      </c>
      <c r="M290" t="s">
        <v>43</v>
      </c>
      <c r="N290" t="s">
        <v>45</v>
      </c>
      <c r="O290" t="s">
        <v>43</v>
      </c>
      <c r="P290" t="s">
        <v>43</v>
      </c>
      <c r="Q290" t="s">
        <v>43</v>
      </c>
      <c r="R290" t="s">
        <v>43</v>
      </c>
      <c r="S290" t="s">
        <v>43</v>
      </c>
      <c r="T290" t="s">
        <v>43</v>
      </c>
      <c r="U290" t="s">
        <v>43</v>
      </c>
      <c r="V290" t="s">
        <v>43</v>
      </c>
      <c r="W290" t="s">
        <v>43</v>
      </c>
      <c r="X290" t="s">
        <v>43</v>
      </c>
      <c r="Y290" t="s">
        <v>43</v>
      </c>
      <c r="Z290" t="s">
        <v>43</v>
      </c>
      <c r="AA290" t="s">
        <v>43</v>
      </c>
      <c r="AB290" t="s">
        <v>43</v>
      </c>
      <c r="AC290" t="s">
        <v>43</v>
      </c>
      <c r="AD290" t="s">
        <v>43</v>
      </c>
      <c r="AE290" t="s">
        <v>43</v>
      </c>
      <c r="AF290" t="s">
        <v>43</v>
      </c>
      <c r="AG290" t="s">
        <v>43</v>
      </c>
      <c r="AH290" t="s">
        <v>43</v>
      </c>
      <c r="AI290" t="s">
        <v>43</v>
      </c>
      <c r="AJ290" t="s">
        <v>43</v>
      </c>
      <c r="AK290" t="s">
        <v>43</v>
      </c>
      <c r="AL290" t="s">
        <v>43</v>
      </c>
      <c r="AM290" t="s">
        <v>43</v>
      </c>
      <c r="AN290" t="str">
        <f>HYPERLINK("https://www.google.com/maps?q=11.05478001,79.06095123","Open Location")</f>
        <v>Open Location</v>
      </c>
    </row>
    <row r="291" spans="1:40" x14ac:dyDescent="0.3">
      <c r="A291" s="1">
        <v>46210.966435185182</v>
      </c>
      <c r="B291" t="s">
        <v>40</v>
      </c>
      <c r="C291" t="s">
        <v>41</v>
      </c>
      <c r="D291" s="1">
        <v>46210.970868055556</v>
      </c>
      <c r="E291" t="s">
        <v>42</v>
      </c>
      <c r="F291" t="s">
        <v>43</v>
      </c>
      <c r="G291" t="s">
        <v>43</v>
      </c>
      <c r="H291" t="s">
        <v>43</v>
      </c>
      <c r="I291" t="s">
        <v>171</v>
      </c>
      <c r="J291" t="s">
        <v>43</v>
      </c>
      <c r="K291" t="s">
        <v>43</v>
      </c>
      <c r="L291" t="s">
        <v>43</v>
      </c>
      <c r="M291" t="s">
        <v>43</v>
      </c>
      <c r="N291" t="s">
        <v>45</v>
      </c>
      <c r="O291" t="s">
        <v>43</v>
      </c>
      <c r="P291" t="s">
        <v>43</v>
      </c>
      <c r="Q291" t="s">
        <v>43</v>
      </c>
      <c r="R291" t="s">
        <v>43</v>
      </c>
      <c r="S291" t="s">
        <v>43</v>
      </c>
      <c r="T291" t="s">
        <v>43</v>
      </c>
      <c r="U291" t="s">
        <v>43</v>
      </c>
      <c r="V291" t="s">
        <v>43</v>
      </c>
      <c r="W291" t="s">
        <v>43</v>
      </c>
      <c r="X291" t="s">
        <v>43</v>
      </c>
      <c r="Y291" t="s">
        <v>43</v>
      </c>
      <c r="Z291" t="s">
        <v>43</v>
      </c>
      <c r="AA291" t="s">
        <v>43</v>
      </c>
      <c r="AB291" t="s">
        <v>43</v>
      </c>
      <c r="AC291" t="s">
        <v>43</v>
      </c>
      <c r="AD291" t="s">
        <v>43</v>
      </c>
      <c r="AE291" t="s">
        <v>43</v>
      </c>
      <c r="AF291" t="s">
        <v>43</v>
      </c>
      <c r="AG291" t="s">
        <v>43</v>
      </c>
      <c r="AH291" t="s">
        <v>43</v>
      </c>
      <c r="AI291" t="s">
        <v>43</v>
      </c>
      <c r="AJ291" t="s">
        <v>43</v>
      </c>
      <c r="AK291" t="s">
        <v>43</v>
      </c>
      <c r="AL291" t="s">
        <v>43</v>
      </c>
      <c r="AM291" t="s">
        <v>43</v>
      </c>
      <c r="AN291" t="str">
        <f>HYPERLINK("https://www.google.com/maps?q=11.0547781,79.0609436","Open Location")</f>
        <v>Open Location</v>
      </c>
    </row>
    <row r="292" spans="1:40" x14ac:dyDescent="0.3">
      <c r="A292" s="1">
        <v>46210.966319444444</v>
      </c>
      <c r="B292" t="s">
        <v>40</v>
      </c>
      <c r="C292" t="s">
        <v>41</v>
      </c>
      <c r="D292" s="1">
        <v>46210.970879629633</v>
      </c>
      <c r="E292" t="s">
        <v>42</v>
      </c>
      <c r="F292" t="s">
        <v>43</v>
      </c>
      <c r="G292" t="s">
        <v>43</v>
      </c>
      <c r="H292" t="s">
        <v>43</v>
      </c>
      <c r="I292" t="s">
        <v>172</v>
      </c>
      <c r="J292" t="s">
        <v>43</v>
      </c>
      <c r="K292" t="s">
        <v>43</v>
      </c>
      <c r="L292" t="s">
        <v>43</v>
      </c>
      <c r="M292" t="s">
        <v>43</v>
      </c>
      <c r="N292" t="s">
        <v>45</v>
      </c>
      <c r="O292" t="s">
        <v>43</v>
      </c>
      <c r="P292" t="s">
        <v>43</v>
      </c>
      <c r="Q292" t="s">
        <v>43</v>
      </c>
      <c r="R292" t="s">
        <v>43</v>
      </c>
      <c r="S292" t="s">
        <v>43</v>
      </c>
      <c r="T292" t="s">
        <v>43</v>
      </c>
      <c r="U292" t="s">
        <v>43</v>
      </c>
      <c r="V292" t="s">
        <v>43</v>
      </c>
      <c r="W292" t="s">
        <v>43</v>
      </c>
      <c r="X292" t="s">
        <v>43</v>
      </c>
      <c r="Y292" t="s">
        <v>43</v>
      </c>
      <c r="Z292" t="s">
        <v>43</v>
      </c>
      <c r="AA292" t="s">
        <v>43</v>
      </c>
      <c r="AB292" t="s">
        <v>43</v>
      </c>
      <c r="AC292" t="s">
        <v>43</v>
      </c>
      <c r="AD292" t="s">
        <v>43</v>
      </c>
      <c r="AE292" t="s">
        <v>43</v>
      </c>
      <c r="AF292" t="s">
        <v>43</v>
      </c>
      <c r="AG292" t="s">
        <v>43</v>
      </c>
      <c r="AH292" t="s">
        <v>43</v>
      </c>
      <c r="AI292" t="s">
        <v>43</v>
      </c>
      <c r="AJ292" t="s">
        <v>43</v>
      </c>
      <c r="AK292" t="s">
        <v>43</v>
      </c>
      <c r="AL292" t="s">
        <v>43</v>
      </c>
      <c r="AM292" t="s">
        <v>43</v>
      </c>
      <c r="AN292" t="str">
        <f>HYPERLINK("https://www.google.com/maps?q=11.05478001,79.0609436","Open Location")</f>
        <v>Open Location</v>
      </c>
    </row>
    <row r="293" spans="1:40" x14ac:dyDescent="0.3">
      <c r="A293" s="1">
        <v>46210.966203703705</v>
      </c>
      <c r="B293" t="s">
        <v>40</v>
      </c>
      <c r="C293" t="s">
        <v>41</v>
      </c>
      <c r="D293" s="1">
        <v>46210.969594907408</v>
      </c>
      <c r="E293" t="s">
        <v>42</v>
      </c>
      <c r="F293" t="s">
        <v>43</v>
      </c>
      <c r="G293" t="s">
        <v>43</v>
      </c>
      <c r="H293" t="s">
        <v>43</v>
      </c>
      <c r="I293" t="s">
        <v>173</v>
      </c>
      <c r="J293" t="s">
        <v>43</v>
      </c>
      <c r="K293" t="s">
        <v>43</v>
      </c>
      <c r="L293" t="s">
        <v>43</v>
      </c>
      <c r="M293" t="s">
        <v>43</v>
      </c>
      <c r="N293" t="s">
        <v>45</v>
      </c>
      <c r="O293" t="s">
        <v>43</v>
      </c>
      <c r="P293" t="s">
        <v>43</v>
      </c>
      <c r="Q293" t="s">
        <v>43</v>
      </c>
      <c r="R293" t="s">
        <v>43</v>
      </c>
      <c r="S293" t="s">
        <v>43</v>
      </c>
      <c r="T293" t="s">
        <v>43</v>
      </c>
      <c r="U293" t="s">
        <v>43</v>
      </c>
      <c r="V293" t="s">
        <v>43</v>
      </c>
      <c r="W293" t="s">
        <v>43</v>
      </c>
      <c r="X293" t="s">
        <v>43</v>
      </c>
      <c r="Y293" t="s">
        <v>43</v>
      </c>
      <c r="Z293" t="s">
        <v>43</v>
      </c>
      <c r="AA293" t="s">
        <v>43</v>
      </c>
      <c r="AB293" t="s">
        <v>43</v>
      </c>
      <c r="AC293" t="s">
        <v>43</v>
      </c>
      <c r="AD293" t="s">
        <v>43</v>
      </c>
      <c r="AE293" t="s">
        <v>43</v>
      </c>
      <c r="AF293" t="s">
        <v>43</v>
      </c>
      <c r="AG293" t="s">
        <v>43</v>
      </c>
      <c r="AH293" t="s">
        <v>43</v>
      </c>
      <c r="AI293" t="s">
        <v>43</v>
      </c>
      <c r="AJ293" t="s">
        <v>43</v>
      </c>
      <c r="AK293" t="s">
        <v>43</v>
      </c>
      <c r="AL293" t="s">
        <v>43</v>
      </c>
      <c r="AM293" t="s">
        <v>43</v>
      </c>
      <c r="AN293" t="str">
        <f>HYPERLINK("https://www.google.com/maps?q=11.05477524,79.0609436","Open Location")</f>
        <v>Open Location</v>
      </c>
    </row>
    <row r="294" spans="1:40" x14ac:dyDescent="0.3">
      <c r="A294" s="1">
        <v>46210.966087962966</v>
      </c>
      <c r="B294" t="s">
        <v>40</v>
      </c>
      <c r="C294" t="s">
        <v>41</v>
      </c>
      <c r="D294" s="1">
        <v>46210.96974537037</v>
      </c>
      <c r="E294" t="s">
        <v>42</v>
      </c>
      <c r="F294" t="s">
        <v>43</v>
      </c>
      <c r="G294" t="s">
        <v>43</v>
      </c>
      <c r="H294" t="s">
        <v>43</v>
      </c>
      <c r="I294" t="s">
        <v>43</v>
      </c>
      <c r="J294" t="s">
        <v>43</v>
      </c>
      <c r="K294" t="s">
        <v>43</v>
      </c>
      <c r="L294" t="s">
        <v>43</v>
      </c>
      <c r="M294" t="s">
        <v>43</v>
      </c>
      <c r="N294" t="s">
        <v>45</v>
      </c>
      <c r="O294" t="s">
        <v>43</v>
      </c>
      <c r="P294" t="s">
        <v>43</v>
      </c>
      <c r="Q294" t="s">
        <v>43</v>
      </c>
      <c r="R294" t="s">
        <v>43</v>
      </c>
      <c r="S294" t="s">
        <v>43</v>
      </c>
      <c r="T294" t="s">
        <v>43</v>
      </c>
      <c r="U294" t="s">
        <v>43</v>
      </c>
      <c r="V294" t="s">
        <v>43</v>
      </c>
      <c r="W294" t="s">
        <v>43</v>
      </c>
      <c r="X294" t="s">
        <v>43</v>
      </c>
      <c r="Y294" t="s">
        <v>43</v>
      </c>
      <c r="Z294" t="s">
        <v>43</v>
      </c>
      <c r="AA294" t="s">
        <v>43</v>
      </c>
      <c r="AB294" t="s">
        <v>43</v>
      </c>
      <c r="AC294" t="s">
        <v>43</v>
      </c>
      <c r="AD294" t="s">
        <v>43</v>
      </c>
      <c r="AE294" t="s">
        <v>43</v>
      </c>
      <c r="AF294" t="s">
        <v>43</v>
      </c>
      <c r="AG294" t="s">
        <v>43</v>
      </c>
      <c r="AH294" t="s">
        <v>43</v>
      </c>
      <c r="AI294" t="s">
        <v>43</v>
      </c>
      <c r="AJ294" t="s">
        <v>43</v>
      </c>
      <c r="AK294" t="s">
        <v>43</v>
      </c>
      <c r="AL294" t="s">
        <v>43</v>
      </c>
      <c r="AM294" t="s">
        <v>43</v>
      </c>
      <c r="AN294" t="s">
        <v>43</v>
      </c>
    </row>
    <row r="295" spans="1:40" x14ac:dyDescent="0.3">
      <c r="A295" s="1">
        <v>46210.96597222222</v>
      </c>
      <c r="B295" t="s">
        <v>40</v>
      </c>
      <c r="C295" t="s">
        <v>41</v>
      </c>
      <c r="D295" s="1">
        <v>46210.970370370371</v>
      </c>
      <c r="E295" t="s">
        <v>42</v>
      </c>
      <c r="F295" t="s">
        <v>43</v>
      </c>
      <c r="G295" t="s">
        <v>43</v>
      </c>
      <c r="H295" t="s">
        <v>43</v>
      </c>
      <c r="I295" t="s">
        <v>173</v>
      </c>
      <c r="J295" t="s">
        <v>43</v>
      </c>
      <c r="K295" t="s">
        <v>43</v>
      </c>
      <c r="L295" t="s">
        <v>43</v>
      </c>
      <c r="M295" t="s">
        <v>43</v>
      </c>
      <c r="N295" t="s">
        <v>45</v>
      </c>
      <c r="O295" t="s">
        <v>43</v>
      </c>
      <c r="P295" t="s">
        <v>43</v>
      </c>
      <c r="Q295" t="s">
        <v>43</v>
      </c>
      <c r="R295" t="s">
        <v>43</v>
      </c>
      <c r="S295" t="s">
        <v>43</v>
      </c>
      <c r="T295" t="s">
        <v>43</v>
      </c>
      <c r="U295" t="s">
        <v>43</v>
      </c>
      <c r="V295" t="s">
        <v>43</v>
      </c>
      <c r="W295" t="s">
        <v>43</v>
      </c>
      <c r="X295" t="s">
        <v>43</v>
      </c>
      <c r="Y295" t="s">
        <v>43</v>
      </c>
      <c r="Z295" t="s">
        <v>43</v>
      </c>
      <c r="AA295" t="s">
        <v>43</v>
      </c>
      <c r="AB295" t="s">
        <v>43</v>
      </c>
      <c r="AC295" t="s">
        <v>43</v>
      </c>
      <c r="AD295" t="s">
        <v>43</v>
      </c>
      <c r="AE295" t="s">
        <v>43</v>
      </c>
      <c r="AF295" t="s">
        <v>43</v>
      </c>
      <c r="AG295" t="s">
        <v>43</v>
      </c>
      <c r="AH295" t="s">
        <v>43</v>
      </c>
      <c r="AI295" t="s">
        <v>43</v>
      </c>
      <c r="AJ295" t="s">
        <v>43</v>
      </c>
      <c r="AK295" t="s">
        <v>43</v>
      </c>
      <c r="AL295" t="s">
        <v>43</v>
      </c>
      <c r="AM295" t="s">
        <v>43</v>
      </c>
      <c r="AN295" t="str">
        <f>HYPERLINK("https://www.google.com/maps?q=11.05477524,79.0609436","Open Location")</f>
        <v>Open Location</v>
      </c>
    </row>
    <row r="296" spans="1:40" x14ac:dyDescent="0.3">
      <c r="A296" s="1">
        <v>46210.965856481482</v>
      </c>
      <c r="B296" t="s">
        <v>40</v>
      </c>
      <c r="C296" t="s">
        <v>41</v>
      </c>
      <c r="D296" s="1">
        <v>46210.969826388886</v>
      </c>
      <c r="E296" t="s">
        <v>42</v>
      </c>
      <c r="F296" t="s">
        <v>43</v>
      </c>
      <c r="G296" t="s">
        <v>43</v>
      </c>
      <c r="H296" t="s">
        <v>43</v>
      </c>
      <c r="I296" t="s">
        <v>173</v>
      </c>
      <c r="J296" t="s">
        <v>43</v>
      </c>
      <c r="K296" t="s">
        <v>43</v>
      </c>
      <c r="L296" t="s">
        <v>43</v>
      </c>
      <c r="M296" t="s">
        <v>43</v>
      </c>
      <c r="N296" t="s">
        <v>45</v>
      </c>
      <c r="O296" t="s">
        <v>43</v>
      </c>
      <c r="P296" t="s">
        <v>43</v>
      </c>
      <c r="Q296" t="s">
        <v>43</v>
      </c>
      <c r="R296" t="s">
        <v>43</v>
      </c>
      <c r="S296" t="s">
        <v>43</v>
      </c>
      <c r="T296" t="s">
        <v>43</v>
      </c>
      <c r="U296" t="s">
        <v>43</v>
      </c>
      <c r="V296" t="s">
        <v>43</v>
      </c>
      <c r="W296" t="s">
        <v>43</v>
      </c>
      <c r="X296" t="s">
        <v>43</v>
      </c>
      <c r="Y296" t="s">
        <v>43</v>
      </c>
      <c r="Z296" t="s">
        <v>43</v>
      </c>
      <c r="AA296" t="s">
        <v>43</v>
      </c>
      <c r="AB296" t="s">
        <v>43</v>
      </c>
      <c r="AC296" t="s">
        <v>43</v>
      </c>
      <c r="AD296" t="s">
        <v>43</v>
      </c>
      <c r="AE296" t="s">
        <v>43</v>
      </c>
      <c r="AF296" t="s">
        <v>43</v>
      </c>
      <c r="AG296" t="s">
        <v>43</v>
      </c>
      <c r="AH296" t="s">
        <v>43</v>
      </c>
      <c r="AI296" t="s">
        <v>43</v>
      </c>
      <c r="AJ296" t="s">
        <v>43</v>
      </c>
      <c r="AK296" t="s">
        <v>43</v>
      </c>
      <c r="AL296" t="s">
        <v>43</v>
      </c>
      <c r="AM296" t="s">
        <v>43</v>
      </c>
      <c r="AN296" t="str">
        <f>HYPERLINK("https://www.google.com/maps?q=11.05477524,79.0609436","Open Location")</f>
        <v>Open Location</v>
      </c>
    </row>
    <row r="297" spans="1:40" x14ac:dyDescent="0.3">
      <c r="A297" s="1">
        <v>46210.965740740743</v>
      </c>
      <c r="B297" t="s">
        <v>40</v>
      </c>
      <c r="C297" t="s">
        <v>41</v>
      </c>
      <c r="D297" s="1">
        <v>46210.970370370371</v>
      </c>
      <c r="E297" t="s">
        <v>42</v>
      </c>
      <c r="F297" t="s">
        <v>43</v>
      </c>
      <c r="G297" t="s">
        <v>43</v>
      </c>
      <c r="H297" t="s">
        <v>43</v>
      </c>
      <c r="I297" t="s">
        <v>174</v>
      </c>
      <c r="J297" t="s">
        <v>43</v>
      </c>
      <c r="K297" t="s">
        <v>43</v>
      </c>
      <c r="L297" t="s">
        <v>43</v>
      </c>
      <c r="M297" t="s">
        <v>43</v>
      </c>
      <c r="N297" t="s">
        <v>45</v>
      </c>
      <c r="O297" t="s">
        <v>43</v>
      </c>
      <c r="P297" t="s">
        <v>43</v>
      </c>
      <c r="Q297" t="s">
        <v>43</v>
      </c>
      <c r="R297" t="s">
        <v>43</v>
      </c>
      <c r="S297" t="s">
        <v>43</v>
      </c>
      <c r="T297" t="s">
        <v>43</v>
      </c>
      <c r="U297" t="s">
        <v>43</v>
      </c>
      <c r="V297" t="s">
        <v>43</v>
      </c>
      <c r="W297" t="s">
        <v>43</v>
      </c>
      <c r="X297" t="s">
        <v>43</v>
      </c>
      <c r="Y297" t="s">
        <v>43</v>
      </c>
      <c r="Z297" t="s">
        <v>43</v>
      </c>
      <c r="AA297" t="s">
        <v>43</v>
      </c>
      <c r="AB297" t="s">
        <v>43</v>
      </c>
      <c r="AC297" t="s">
        <v>43</v>
      </c>
      <c r="AD297" t="s">
        <v>43</v>
      </c>
      <c r="AE297" t="s">
        <v>43</v>
      </c>
      <c r="AF297" t="s">
        <v>43</v>
      </c>
      <c r="AG297" t="s">
        <v>43</v>
      </c>
      <c r="AH297" t="s">
        <v>43</v>
      </c>
      <c r="AI297" t="s">
        <v>43</v>
      </c>
      <c r="AJ297" t="s">
        <v>43</v>
      </c>
      <c r="AK297" t="s">
        <v>43</v>
      </c>
      <c r="AL297" t="s">
        <v>43</v>
      </c>
      <c r="AM297" t="s">
        <v>43</v>
      </c>
      <c r="AN297" t="str">
        <f>HYPERLINK("https://www.google.com/maps?q=11.05477428,79.0609436","Open Location")</f>
        <v>Open Location</v>
      </c>
    </row>
    <row r="298" spans="1:40" x14ac:dyDescent="0.3">
      <c r="A298" s="1">
        <v>46210.965624999997</v>
      </c>
      <c r="B298" t="s">
        <v>40</v>
      </c>
      <c r="C298" t="s">
        <v>41</v>
      </c>
      <c r="D298" s="1">
        <v>46210.969965277778</v>
      </c>
      <c r="E298" t="s">
        <v>42</v>
      </c>
      <c r="F298" t="s">
        <v>43</v>
      </c>
      <c r="G298" t="s">
        <v>43</v>
      </c>
      <c r="H298" t="s">
        <v>43</v>
      </c>
      <c r="I298" t="s">
        <v>163</v>
      </c>
      <c r="J298" t="s">
        <v>43</v>
      </c>
      <c r="K298" t="s">
        <v>43</v>
      </c>
      <c r="L298" t="s">
        <v>43</v>
      </c>
      <c r="M298" t="s">
        <v>43</v>
      </c>
      <c r="N298" t="s">
        <v>45</v>
      </c>
      <c r="O298" t="s">
        <v>43</v>
      </c>
      <c r="P298" t="s">
        <v>43</v>
      </c>
      <c r="Q298" t="s">
        <v>43</v>
      </c>
      <c r="R298" t="s">
        <v>43</v>
      </c>
      <c r="S298" t="s">
        <v>43</v>
      </c>
      <c r="T298" t="s">
        <v>43</v>
      </c>
      <c r="U298" t="s">
        <v>43</v>
      </c>
      <c r="V298" t="s">
        <v>43</v>
      </c>
      <c r="W298" t="s">
        <v>43</v>
      </c>
      <c r="X298" t="s">
        <v>43</v>
      </c>
      <c r="Y298" t="s">
        <v>43</v>
      </c>
      <c r="Z298" t="s">
        <v>43</v>
      </c>
      <c r="AA298" t="s">
        <v>43</v>
      </c>
      <c r="AB298" t="s">
        <v>43</v>
      </c>
      <c r="AC298" t="s">
        <v>43</v>
      </c>
      <c r="AD298" t="s">
        <v>43</v>
      </c>
      <c r="AE298" t="s">
        <v>43</v>
      </c>
      <c r="AF298" t="s">
        <v>43</v>
      </c>
      <c r="AG298" t="s">
        <v>43</v>
      </c>
      <c r="AH298" t="s">
        <v>43</v>
      </c>
      <c r="AI298" t="s">
        <v>43</v>
      </c>
      <c r="AJ298" t="s">
        <v>43</v>
      </c>
      <c r="AK298" t="s">
        <v>43</v>
      </c>
      <c r="AL298" t="s">
        <v>43</v>
      </c>
      <c r="AM298" t="s">
        <v>43</v>
      </c>
      <c r="AN298" t="str">
        <f>HYPERLINK("https://www.google.com/maps?q=11.05477142,79.0609436","Open Location")</f>
        <v>Open Location</v>
      </c>
    </row>
    <row r="299" spans="1:40" x14ac:dyDescent="0.3">
      <c r="A299" s="1">
        <v>46210.965509259258</v>
      </c>
      <c r="B299" t="s">
        <v>40</v>
      </c>
      <c r="C299" t="s">
        <v>41</v>
      </c>
      <c r="D299" s="1">
        <v>46210.969942129632</v>
      </c>
      <c r="E299" t="s">
        <v>42</v>
      </c>
      <c r="F299" t="s">
        <v>43</v>
      </c>
      <c r="G299" t="s">
        <v>43</v>
      </c>
      <c r="H299" t="s">
        <v>43</v>
      </c>
      <c r="I299" t="s">
        <v>175</v>
      </c>
      <c r="J299" t="s">
        <v>43</v>
      </c>
      <c r="K299" t="s">
        <v>43</v>
      </c>
      <c r="L299" t="s">
        <v>43</v>
      </c>
      <c r="M299" t="s">
        <v>43</v>
      </c>
      <c r="N299" t="s">
        <v>45</v>
      </c>
      <c r="O299" t="s">
        <v>43</v>
      </c>
      <c r="P299" t="s">
        <v>43</v>
      </c>
      <c r="Q299" t="s">
        <v>43</v>
      </c>
      <c r="R299" t="s">
        <v>43</v>
      </c>
      <c r="S299" t="s">
        <v>43</v>
      </c>
      <c r="T299" t="s">
        <v>43</v>
      </c>
      <c r="U299" t="s">
        <v>43</v>
      </c>
      <c r="V299" t="s">
        <v>43</v>
      </c>
      <c r="W299" t="s">
        <v>43</v>
      </c>
      <c r="X299" t="s">
        <v>43</v>
      </c>
      <c r="Y299" t="s">
        <v>43</v>
      </c>
      <c r="Z299" t="s">
        <v>43</v>
      </c>
      <c r="AA299" t="s">
        <v>43</v>
      </c>
      <c r="AB299" t="s">
        <v>43</v>
      </c>
      <c r="AC299" t="s">
        <v>43</v>
      </c>
      <c r="AD299" t="s">
        <v>43</v>
      </c>
      <c r="AE299" t="s">
        <v>43</v>
      </c>
      <c r="AF299" t="s">
        <v>43</v>
      </c>
      <c r="AG299" t="s">
        <v>43</v>
      </c>
      <c r="AH299" t="s">
        <v>43</v>
      </c>
      <c r="AI299" t="s">
        <v>43</v>
      </c>
      <c r="AJ299" t="s">
        <v>43</v>
      </c>
      <c r="AK299" t="s">
        <v>43</v>
      </c>
      <c r="AL299" t="s">
        <v>43</v>
      </c>
      <c r="AM299" t="s">
        <v>43</v>
      </c>
      <c r="AN299" t="str">
        <f>HYPERLINK("https://www.google.com/maps?q=11.0547657,79.0609436","Open Location")</f>
        <v>Open Location</v>
      </c>
    </row>
    <row r="300" spans="1:40" x14ac:dyDescent="0.3">
      <c r="A300" s="1">
        <v>46210.96539351852</v>
      </c>
      <c r="B300" t="s">
        <v>40</v>
      </c>
      <c r="C300" t="s">
        <v>41</v>
      </c>
      <c r="D300" s="1">
        <v>46210.970370370371</v>
      </c>
      <c r="E300" t="s">
        <v>42</v>
      </c>
      <c r="F300" t="s">
        <v>43</v>
      </c>
      <c r="G300" t="s">
        <v>43</v>
      </c>
      <c r="H300" t="s">
        <v>43</v>
      </c>
      <c r="I300" t="s">
        <v>43</v>
      </c>
      <c r="J300" t="s">
        <v>43</v>
      </c>
      <c r="K300" t="s">
        <v>43</v>
      </c>
      <c r="L300" t="s">
        <v>43</v>
      </c>
      <c r="M300" t="s">
        <v>43</v>
      </c>
      <c r="N300" t="s">
        <v>45</v>
      </c>
      <c r="O300" t="s">
        <v>43</v>
      </c>
      <c r="P300" t="s">
        <v>43</v>
      </c>
      <c r="Q300" t="s">
        <v>43</v>
      </c>
      <c r="R300" t="s">
        <v>43</v>
      </c>
      <c r="S300" t="s">
        <v>43</v>
      </c>
      <c r="T300" t="s">
        <v>43</v>
      </c>
      <c r="U300" t="s">
        <v>43</v>
      </c>
      <c r="V300" t="s">
        <v>43</v>
      </c>
      <c r="W300" t="s">
        <v>43</v>
      </c>
      <c r="X300" t="s">
        <v>43</v>
      </c>
      <c r="Y300" t="s">
        <v>43</v>
      </c>
      <c r="Z300" t="s">
        <v>43</v>
      </c>
      <c r="AA300" t="s">
        <v>43</v>
      </c>
      <c r="AB300" t="s">
        <v>43</v>
      </c>
      <c r="AC300" t="s">
        <v>43</v>
      </c>
      <c r="AD300" t="s">
        <v>43</v>
      </c>
      <c r="AE300" t="s">
        <v>43</v>
      </c>
      <c r="AF300" t="s">
        <v>43</v>
      </c>
      <c r="AG300" t="s">
        <v>43</v>
      </c>
      <c r="AH300" t="s">
        <v>43</v>
      </c>
      <c r="AI300" t="s">
        <v>43</v>
      </c>
      <c r="AJ300" t="s">
        <v>43</v>
      </c>
      <c r="AK300" t="s">
        <v>43</v>
      </c>
      <c r="AL300" t="s">
        <v>43</v>
      </c>
      <c r="AM300" t="s">
        <v>43</v>
      </c>
      <c r="AN300" t="s">
        <v>43</v>
      </c>
    </row>
    <row r="301" spans="1:40" x14ac:dyDescent="0.3">
      <c r="A301" s="1">
        <v>46210.965277777781</v>
      </c>
      <c r="B301" t="s">
        <v>40</v>
      </c>
      <c r="C301" t="s">
        <v>41</v>
      </c>
      <c r="D301" s="1">
        <v>46210.970046296294</v>
      </c>
      <c r="E301" t="s">
        <v>42</v>
      </c>
      <c r="F301" t="s">
        <v>43</v>
      </c>
      <c r="G301" t="s">
        <v>43</v>
      </c>
      <c r="H301" t="s">
        <v>43</v>
      </c>
      <c r="I301" t="s">
        <v>176</v>
      </c>
      <c r="J301" t="s">
        <v>43</v>
      </c>
      <c r="K301" t="s">
        <v>43</v>
      </c>
      <c r="L301" t="s">
        <v>43</v>
      </c>
      <c r="M301" t="s">
        <v>43</v>
      </c>
      <c r="N301" t="s">
        <v>45</v>
      </c>
      <c r="O301" t="s">
        <v>43</v>
      </c>
      <c r="P301" t="s">
        <v>43</v>
      </c>
      <c r="Q301" t="s">
        <v>43</v>
      </c>
      <c r="R301" t="s">
        <v>43</v>
      </c>
      <c r="S301" t="s">
        <v>43</v>
      </c>
      <c r="T301" t="s">
        <v>43</v>
      </c>
      <c r="U301" t="s">
        <v>43</v>
      </c>
      <c r="V301" t="s">
        <v>43</v>
      </c>
      <c r="W301" t="s">
        <v>43</v>
      </c>
      <c r="X301" t="s">
        <v>43</v>
      </c>
      <c r="Y301" t="s">
        <v>43</v>
      </c>
      <c r="Z301" t="s">
        <v>43</v>
      </c>
      <c r="AA301" t="s">
        <v>43</v>
      </c>
      <c r="AB301" t="s">
        <v>43</v>
      </c>
      <c r="AC301" t="s">
        <v>43</v>
      </c>
      <c r="AD301" t="s">
        <v>43</v>
      </c>
      <c r="AE301" t="s">
        <v>43</v>
      </c>
      <c r="AF301" t="s">
        <v>43</v>
      </c>
      <c r="AG301" t="s">
        <v>43</v>
      </c>
      <c r="AH301" t="s">
        <v>43</v>
      </c>
      <c r="AI301" t="s">
        <v>43</v>
      </c>
      <c r="AJ301" t="s">
        <v>43</v>
      </c>
      <c r="AK301" t="s">
        <v>43</v>
      </c>
      <c r="AL301" t="s">
        <v>43</v>
      </c>
      <c r="AM301" t="s">
        <v>43</v>
      </c>
      <c r="AN301" t="str">
        <f>HYPERLINK("https://www.google.com/maps?q=11.05477428,79.06093597","Open Location")</f>
        <v>Open Location</v>
      </c>
    </row>
    <row r="302" spans="1:40" x14ac:dyDescent="0.3">
      <c r="A302" s="1">
        <v>46210.965162037035</v>
      </c>
      <c r="B302" t="s">
        <v>40</v>
      </c>
      <c r="C302" t="s">
        <v>41</v>
      </c>
      <c r="D302" s="1">
        <v>46210.969224537039</v>
      </c>
      <c r="E302" t="s">
        <v>42</v>
      </c>
      <c r="F302" t="s">
        <v>43</v>
      </c>
      <c r="G302" t="s">
        <v>43</v>
      </c>
      <c r="H302" t="s">
        <v>43</v>
      </c>
      <c r="I302" t="s">
        <v>176</v>
      </c>
      <c r="J302" t="s">
        <v>43</v>
      </c>
      <c r="K302" t="s">
        <v>43</v>
      </c>
      <c r="L302" t="s">
        <v>43</v>
      </c>
      <c r="M302" t="s">
        <v>43</v>
      </c>
      <c r="N302" t="s">
        <v>45</v>
      </c>
      <c r="O302" t="s">
        <v>43</v>
      </c>
      <c r="P302" t="s">
        <v>43</v>
      </c>
      <c r="Q302" t="s">
        <v>43</v>
      </c>
      <c r="R302" t="s">
        <v>43</v>
      </c>
      <c r="S302" t="s">
        <v>43</v>
      </c>
      <c r="T302" t="s">
        <v>43</v>
      </c>
      <c r="U302" t="s">
        <v>43</v>
      </c>
      <c r="V302" t="s">
        <v>43</v>
      </c>
      <c r="W302" t="s">
        <v>43</v>
      </c>
      <c r="X302" t="s">
        <v>43</v>
      </c>
      <c r="Y302" t="s">
        <v>43</v>
      </c>
      <c r="Z302" t="s">
        <v>43</v>
      </c>
      <c r="AA302" t="s">
        <v>43</v>
      </c>
      <c r="AB302" t="s">
        <v>43</v>
      </c>
      <c r="AC302" t="s">
        <v>43</v>
      </c>
      <c r="AD302" t="s">
        <v>43</v>
      </c>
      <c r="AE302" t="s">
        <v>43</v>
      </c>
      <c r="AF302" t="s">
        <v>43</v>
      </c>
      <c r="AG302" t="s">
        <v>43</v>
      </c>
      <c r="AH302" t="s">
        <v>43</v>
      </c>
      <c r="AI302" t="s">
        <v>43</v>
      </c>
      <c r="AJ302" t="s">
        <v>43</v>
      </c>
      <c r="AK302" t="s">
        <v>43</v>
      </c>
      <c r="AL302" t="s">
        <v>43</v>
      </c>
      <c r="AM302" t="s">
        <v>43</v>
      </c>
      <c r="AN302" t="str">
        <f>HYPERLINK("https://www.google.com/maps?q=11.05477428,79.06093597","Open Location")</f>
        <v>Open Location</v>
      </c>
    </row>
    <row r="303" spans="1:40" x14ac:dyDescent="0.3">
      <c r="A303" s="1">
        <v>46210.965046296296</v>
      </c>
      <c r="B303" t="s">
        <v>40</v>
      </c>
      <c r="C303" t="s">
        <v>41</v>
      </c>
      <c r="D303" s="1">
        <v>46210.9690625</v>
      </c>
      <c r="E303" t="s">
        <v>42</v>
      </c>
      <c r="F303" t="s">
        <v>43</v>
      </c>
      <c r="G303" t="s">
        <v>43</v>
      </c>
      <c r="H303" t="s">
        <v>43</v>
      </c>
      <c r="I303" t="s">
        <v>177</v>
      </c>
      <c r="J303" t="s">
        <v>43</v>
      </c>
      <c r="K303" t="s">
        <v>43</v>
      </c>
      <c r="L303" t="s">
        <v>43</v>
      </c>
      <c r="M303" t="s">
        <v>43</v>
      </c>
      <c r="N303" t="s">
        <v>45</v>
      </c>
      <c r="O303" t="s">
        <v>43</v>
      </c>
      <c r="P303" t="s">
        <v>43</v>
      </c>
      <c r="Q303" t="s">
        <v>43</v>
      </c>
      <c r="R303" t="s">
        <v>43</v>
      </c>
      <c r="S303" t="s">
        <v>43</v>
      </c>
      <c r="T303" t="s">
        <v>43</v>
      </c>
      <c r="U303" t="s">
        <v>43</v>
      </c>
      <c r="V303" t="s">
        <v>43</v>
      </c>
      <c r="W303" t="s">
        <v>43</v>
      </c>
      <c r="X303" t="s">
        <v>43</v>
      </c>
      <c r="Y303" t="s">
        <v>43</v>
      </c>
      <c r="Z303" t="s">
        <v>43</v>
      </c>
      <c r="AA303" t="s">
        <v>43</v>
      </c>
      <c r="AB303" t="s">
        <v>43</v>
      </c>
      <c r="AC303" t="s">
        <v>43</v>
      </c>
      <c r="AD303" t="s">
        <v>43</v>
      </c>
      <c r="AE303" t="s">
        <v>43</v>
      </c>
      <c r="AF303" t="s">
        <v>43</v>
      </c>
      <c r="AG303" t="s">
        <v>43</v>
      </c>
      <c r="AH303" t="s">
        <v>43</v>
      </c>
      <c r="AI303" t="s">
        <v>43</v>
      </c>
      <c r="AJ303" t="s">
        <v>43</v>
      </c>
      <c r="AK303" t="s">
        <v>43</v>
      </c>
      <c r="AL303" t="s">
        <v>43</v>
      </c>
      <c r="AM303" t="s">
        <v>43</v>
      </c>
      <c r="AN303" t="str">
        <f>HYPERLINK("https://www.google.com/maps?q=11.05477142,79.06093597","Open Location")</f>
        <v>Open Location</v>
      </c>
    </row>
    <row r="304" spans="1:40" x14ac:dyDescent="0.3">
      <c r="A304" s="1">
        <v>46210.964930555558</v>
      </c>
      <c r="B304" t="s">
        <v>40</v>
      </c>
      <c r="C304" t="s">
        <v>41</v>
      </c>
      <c r="D304" s="1">
        <v>46210.969490740739</v>
      </c>
      <c r="E304" t="s">
        <v>42</v>
      </c>
      <c r="F304" t="s">
        <v>43</v>
      </c>
      <c r="G304" t="s">
        <v>43</v>
      </c>
      <c r="H304" t="s">
        <v>43</v>
      </c>
      <c r="I304" t="s">
        <v>178</v>
      </c>
      <c r="J304" t="s">
        <v>43</v>
      </c>
      <c r="K304" t="s">
        <v>43</v>
      </c>
      <c r="L304" t="s">
        <v>43</v>
      </c>
      <c r="M304" t="s">
        <v>43</v>
      </c>
      <c r="N304" t="s">
        <v>45</v>
      </c>
      <c r="O304" t="s">
        <v>43</v>
      </c>
      <c r="P304" t="s">
        <v>43</v>
      </c>
      <c r="Q304" t="s">
        <v>43</v>
      </c>
      <c r="R304" t="s">
        <v>43</v>
      </c>
      <c r="S304" t="s">
        <v>43</v>
      </c>
      <c r="T304" t="s">
        <v>43</v>
      </c>
      <c r="U304" t="s">
        <v>43</v>
      </c>
      <c r="V304" t="s">
        <v>43</v>
      </c>
      <c r="W304" t="s">
        <v>43</v>
      </c>
      <c r="X304" t="s">
        <v>43</v>
      </c>
      <c r="Y304" t="s">
        <v>43</v>
      </c>
      <c r="Z304" t="s">
        <v>43</v>
      </c>
      <c r="AA304" t="s">
        <v>43</v>
      </c>
      <c r="AB304" t="s">
        <v>43</v>
      </c>
      <c r="AC304" t="s">
        <v>43</v>
      </c>
      <c r="AD304" t="s">
        <v>43</v>
      </c>
      <c r="AE304" t="s">
        <v>43</v>
      </c>
      <c r="AF304" t="s">
        <v>43</v>
      </c>
      <c r="AG304" t="s">
        <v>43</v>
      </c>
      <c r="AH304" t="s">
        <v>43</v>
      </c>
      <c r="AI304" t="s">
        <v>43</v>
      </c>
      <c r="AJ304" t="s">
        <v>43</v>
      </c>
      <c r="AK304" t="s">
        <v>43</v>
      </c>
      <c r="AL304" t="s">
        <v>43</v>
      </c>
      <c r="AM304" t="s">
        <v>43</v>
      </c>
      <c r="AN304" t="str">
        <f>HYPERLINK("https://www.google.com/maps?q=11.05477333,79.06093597","Open Location")</f>
        <v>Open Location</v>
      </c>
    </row>
    <row r="305" spans="1:40" x14ac:dyDescent="0.3">
      <c r="A305" s="1">
        <v>46210.964814814812</v>
      </c>
      <c r="B305" t="s">
        <v>40</v>
      </c>
      <c r="C305" t="s">
        <v>41</v>
      </c>
      <c r="D305" s="1">
        <v>46210.969502314816</v>
      </c>
      <c r="E305" t="s">
        <v>42</v>
      </c>
      <c r="F305" t="s">
        <v>43</v>
      </c>
      <c r="G305" t="s">
        <v>43</v>
      </c>
      <c r="H305" t="s">
        <v>43</v>
      </c>
      <c r="I305" t="s">
        <v>179</v>
      </c>
      <c r="J305" t="s">
        <v>43</v>
      </c>
      <c r="K305" t="s">
        <v>43</v>
      </c>
      <c r="L305" t="s">
        <v>43</v>
      </c>
      <c r="M305" t="s">
        <v>43</v>
      </c>
      <c r="N305" t="s">
        <v>45</v>
      </c>
      <c r="O305" t="s">
        <v>43</v>
      </c>
      <c r="P305" t="s">
        <v>43</v>
      </c>
      <c r="Q305" t="s">
        <v>43</v>
      </c>
      <c r="R305" t="s">
        <v>43</v>
      </c>
      <c r="S305" t="s">
        <v>43</v>
      </c>
      <c r="T305" t="s">
        <v>43</v>
      </c>
      <c r="U305" t="s">
        <v>43</v>
      </c>
      <c r="V305" t="s">
        <v>43</v>
      </c>
      <c r="W305" t="s">
        <v>43</v>
      </c>
      <c r="X305" t="s">
        <v>43</v>
      </c>
      <c r="Y305" t="s">
        <v>43</v>
      </c>
      <c r="Z305" t="s">
        <v>43</v>
      </c>
      <c r="AA305" t="s">
        <v>43</v>
      </c>
      <c r="AB305" t="s">
        <v>43</v>
      </c>
      <c r="AC305" t="s">
        <v>43</v>
      </c>
      <c r="AD305" t="s">
        <v>43</v>
      </c>
      <c r="AE305" t="s">
        <v>43</v>
      </c>
      <c r="AF305" t="s">
        <v>43</v>
      </c>
      <c r="AG305" t="s">
        <v>43</v>
      </c>
      <c r="AH305" t="s">
        <v>43</v>
      </c>
      <c r="AI305" t="s">
        <v>43</v>
      </c>
      <c r="AJ305" t="s">
        <v>43</v>
      </c>
      <c r="AK305" t="s">
        <v>43</v>
      </c>
      <c r="AL305" t="s">
        <v>43</v>
      </c>
      <c r="AM305" t="s">
        <v>43</v>
      </c>
      <c r="AN305" t="str">
        <f>HYPERLINK("https://www.google.com/maps?q=11.05477238,79.06093597","Open Location")</f>
        <v>Open Location</v>
      </c>
    </row>
    <row r="306" spans="1:40" x14ac:dyDescent="0.3">
      <c r="A306" s="1">
        <v>46210.964699074073</v>
      </c>
      <c r="B306" t="s">
        <v>40</v>
      </c>
      <c r="C306" t="s">
        <v>41</v>
      </c>
      <c r="D306" s="1">
        <v>46210.969351851854</v>
      </c>
      <c r="E306" t="s">
        <v>42</v>
      </c>
      <c r="F306" t="s">
        <v>43</v>
      </c>
      <c r="G306" t="s">
        <v>43</v>
      </c>
      <c r="H306" t="s">
        <v>43</v>
      </c>
      <c r="I306" t="s">
        <v>43</v>
      </c>
      <c r="J306" t="s">
        <v>43</v>
      </c>
      <c r="K306" t="s">
        <v>43</v>
      </c>
      <c r="L306" t="s">
        <v>43</v>
      </c>
      <c r="M306" t="s">
        <v>43</v>
      </c>
      <c r="N306" t="s">
        <v>45</v>
      </c>
      <c r="O306" t="s">
        <v>43</v>
      </c>
      <c r="P306" t="s">
        <v>43</v>
      </c>
      <c r="Q306" t="s">
        <v>43</v>
      </c>
      <c r="R306" t="s">
        <v>43</v>
      </c>
      <c r="S306" t="s">
        <v>43</v>
      </c>
      <c r="T306" t="s">
        <v>43</v>
      </c>
      <c r="U306" t="s">
        <v>43</v>
      </c>
      <c r="V306" t="s">
        <v>43</v>
      </c>
      <c r="W306" t="s">
        <v>43</v>
      </c>
      <c r="X306" t="s">
        <v>43</v>
      </c>
      <c r="Y306" t="s">
        <v>43</v>
      </c>
      <c r="Z306" t="s">
        <v>43</v>
      </c>
      <c r="AA306" t="s">
        <v>43</v>
      </c>
      <c r="AB306" t="s">
        <v>43</v>
      </c>
      <c r="AC306" t="s">
        <v>43</v>
      </c>
      <c r="AD306" t="s">
        <v>43</v>
      </c>
      <c r="AE306" t="s">
        <v>43</v>
      </c>
      <c r="AF306" t="s">
        <v>43</v>
      </c>
      <c r="AG306" t="s">
        <v>43</v>
      </c>
      <c r="AH306" t="s">
        <v>43</v>
      </c>
      <c r="AI306" t="s">
        <v>43</v>
      </c>
      <c r="AJ306" t="s">
        <v>43</v>
      </c>
      <c r="AK306" t="s">
        <v>43</v>
      </c>
      <c r="AL306" t="s">
        <v>43</v>
      </c>
      <c r="AM306" t="s">
        <v>43</v>
      </c>
      <c r="AN306" t="s">
        <v>43</v>
      </c>
    </row>
    <row r="307" spans="1:40" x14ac:dyDescent="0.3">
      <c r="A307" s="1">
        <v>46210.964583333334</v>
      </c>
      <c r="B307" t="s">
        <v>40</v>
      </c>
      <c r="C307" t="s">
        <v>41</v>
      </c>
      <c r="D307" s="1">
        <v>46210.969490740739</v>
      </c>
      <c r="E307" t="s">
        <v>42</v>
      </c>
      <c r="F307" t="s">
        <v>43</v>
      </c>
      <c r="G307" t="s">
        <v>43</v>
      </c>
      <c r="H307" t="s">
        <v>43</v>
      </c>
      <c r="I307" t="s">
        <v>180</v>
      </c>
      <c r="J307" t="s">
        <v>43</v>
      </c>
      <c r="K307" t="s">
        <v>43</v>
      </c>
      <c r="L307" t="s">
        <v>43</v>
      </c>
      <c r="M307" t="s">
        <v>43</v>
      </c>
      <c r="N307" t="s">
        <v>45</v>
      </c>
      <c r="O307" t="s">
        <v>43</v>
      </c>
      <c r="P307" t="s">
        <v>43</v>
      </c>
      <c r="Q307" t="s">
        <v>43</v>
      </c>
      <c r="R307" t="s">
        <v>43</v>
      </c>
      <c r="S307" t="s">
        <v>43</v>
      </c>
      <c r="T307" t="s">
        <v>43</v>
      </c>
      <c r="U307" t="s">
        <v>43</v>
      </c>
      <c r="V307" t="s">
        <v>43</v>
      </c>
      <c r="W307" t="s">
        <v>43</v>
      </c>
      <c r="X307" t="s">
        <v>43</v>
      </c>
      <c r="Y307" t="s">
        <v>43</v>
      </c>
      <c r="Z307" t="s">
        <v>43</v>
      </c>
      <c r="AA307" t="s">
        <v>43</v>
      </c>
      <c r="AB307" t="s">
        <v>43</v>
      </c>
      <c r="AC307" t="s">
        <v>43</v>
      </c>
      <c r="AD307" t="s">
        <v>43</v>
      </c>
      <c r="AE307" t="s">
        <v>43</v>
      </c>
      <c r="AF307" t="s">
        <v>43</v>
      </c>
      <c r="AG307" t="s">
        <v>43</v>
      </c>
      <c r="AH307" t="s">
        <v>43</v>
      </c>
      <c r="AI307" t="s">
        <v>43</v>
      </c>
      <c r="AJ307" t="s">
        <v>43</v>
      </c>
      <c r="AK307" t="s">
        <v>43</v>
      </c>
      <c r="AL307" t="s">
        <v>43</v>
      </c>
      <c r="AM307" t="s">
        <v>43</v>
      </c>
      <c r="AN307" t="str">
        <f>HYPERLINK("https://www.google.com/maps?q=11.05476665,79.06093597","Open Location")</f>
        <v>Open Location</v>
      </c>
    </row>
    <row r="308" spans="1:40" x14ac:dyDescent="0.3">
      <c r="A308" s="1">
        <v>46210.964467592596</v>
      </c>
      <c r="B308" t="s">
        <v>40</v>
      </c>
      <c r="C308" t="s">
        <v>41</v>
      </c>
      <c r="D308" s="1">
        <v>46210.96974537037</v>
      </c>
      <c r="E308" t="s">
        <v>42</v>
      </c>
      <c r="F308" t="s">
        <v>43</v>
      </c>
      <c r="G308" t="s">
        <v>43</v>
      </c>
      <c r="H308" t="s">
        <v>43</v>
      </c>
      <c r="I308" t="s">
        <v>181</v>
      </c>
      <c r="J308" t="s">
        <v>43</v>
      </c>
      <c r="K308" t="s">
        <v>43</v>
      </c>
      <c r="L308" t="s">
        <v>43</v>
      </c>
      <c r="M308" t="s">
        <v>43</v>
      </c>
      <c r="N308" t="s">
        <v>45</v>
      </c>
      <c r="O308" t="s">
        <v>43</v>
      </c>
      <c r="P308" t="s">
        <v>43</v>
      </c>
      <c r="Q308" t="s">
        <v>43</v>
      </c>
      <c r="R308" t="s">
        <v>43</v>
      </c>
      <c r="S308" t="s">
        <v>43</v>
      </c>
      <c r="T308" t="s">
        <v>43</v>
      </c>
      <c r="U308" t="s">
        <v>43</v>
      </c>
      <c r="V308" t="s">
        <v>43</v>
      </c>
      <c r="W308" t="s">
        <v>43</v>
      </c>
      <c r="X308" t="s">
        <v>43</v>
      </c>
      <c r="Y308" t="s">
        <v>43</v>
      </c>
      <c r="Z308" t="s">
        <v>43</v>
      </c>
      <c r="AA308" t="s">
        <v>43</v>
      </c>
      <c r="AB308" t="s">
        <v>43</v>
      </c>
      <c r="AC308" t="s">
        <v>43</v>
      </c>
      <c r="AD308" t="s">
        <v>43</v>
      </c>
      <c r="AE308" t="s">
        <v>43</v>
      </c>
      <c r="AF308" t="s">
        <v>43</v>
      </c>
      <c r="AG308" t="s">
        <v>43</v>
      </c>
      <c r="AH308" t="s">
        <v>43</v>
      </c>
      <c r="AI308" t="s">
        <v>43</v>
      </c>
      <c r="AJ308" t="s">
        <v>43</v>
      </c>
      <c r="AK308" t="s">
        <v>43</v>
      </c>
      <c r="AL308" t="s">
        <v>43</v>
      </c>
      <c r="AM308" t="s">
        <v>43</v>
      </c>
      <c r="AN308" t="str">
        <f>HYPERLINK("https://www.google.com/maps?q=11.05476761,79.06093597","Open Location")</f>
        <v>Open Location</v>
      </c>
    </row>
    <row r="309" spans="1:40" x14ac:dyDescent="0.3">
      <c r="A309" s="1">
        <v>46210.96435185185</v>
      </c>
      <c r="B309" t="s">
        <v>40</v>
      </c>
      <c r="C309" t="s">
        <v>41</v>
      </c>
      <c r="D309" s="1">
        <v>46210.967974537038</v>
      </c>
      <c r="E309" t="s">
        <v>42</v>
      </c>
      <c r="F309" t="s">
        <v>43</v>
      </c>
      <c r="G309" t="s">
        <v>43</v>
      </c>
      <c r="H309" t="s">
        <v>43</v>
      </c>
      <c r="I309" t="s">
        <v>179</v>
      </c>
      <c r="J309" t="s">
        <v>43</v>
      </c>
      <c r="K309" t="s">
        <v>43</v>
      </c>
      <c r="L309" t="s">
        <v>43</v>
      </c>
      <c r="M309" t="s">
        <v>43</v>
      </c>
      <c r="N309" t="s">
        <v>45</v>
      </c>
      <c r="O309" t="s">
        <v>43</v>
      </c>
      <c r="P309" t="s">
        <v>43</v>
      </c>
      <c r="Q309" t="s">
        <v>43</v>
      </c>
      <c r="R309" t="s">
        <v>43</v>
      </c>
      <c r="S309" t="s">
        <v>43</v>
      </c>
      <c r="T309" t="s">
        <v>43</v>
      </c>
      <c r="U309" t="s">
        <v>43</v>
      </c>
      <c r="V309" t="s">
        <v>43</v>
      </c>
      <c r="W309" t="s">
        <v>43</v>
      </c>
      <c r="X309" t="s">
        <v>43</v>
      </c>
      <c r="Y309" t="s">
        <v>43</v>
      </c>
      <c r="Z309" t="s">
        <v>43</v>
      </c>
      <c r="AA309" t="s">
        <v>43</v>
      </c>
      <c r="AB309" t="s">
        <v>43</v>
      </c>
      <c r="AC309" t="s">
        <v>43</v>
      </c>
      <c r="AD309" t="s">
        <v>43</v>
      </c>
      <c r="AE309" t="s">
        <v>43</v>
      </c>
      <c r="AF309" t="s">
        <v>43</v>
      </c>
      <c r="AG309" t="s">
        <v>43</v>
      </c>
      <c r="AH309" t="s">
        <v>43</v>
      </c>
      <c r="AI309" t="s">
        <v>43</v>
      </c>
      <c r="AJ309" t="s">
        <v>43</v>
      </c>
      <c r="AK309" t="s">
        <v>43</v>
      </c>
      <c r="AL309" t="s">
        <v>43</v>
      </c>
      <c r="AM309" t="s">
        <v>43</v>
      </c>
      <c r="AN309" t="str">
        <f>HYPERLINK("https://www.google.com/maps?q=11.05477238,79.06093597","Open Location")</f>
        <v>Open Location</v>
      </c>
    </row>
    <row r="310" spans="1:40" x14ac:dyDescent="0.3">
      <c r="A310" s="1">
        <v>46210.964236111111</v>
      </c>
      <c r="B310" t="s">
        <v>40</v>
      </c>
      <c r="C310" t="s">
        <v>41</v>
      </c>
      <c r="D310" s="1">
        <v>46210.967974537038</v>
      </c>
      <c r="E310" t="s">
        <v>42</v>
      </c>
      <c r="F310" t="s">
        <v>43</v>
      </c>
      <c r="G310" t="s">
        <v>43</v>
      </c>
      <c r="H310" t="s">
        <v>43</v>
      </c>
      <c r="I310" t="s">
        <v>176</v>
      </c>
      <c r="J310" t="s">
        <v>43</v>
      </c>
      <c r="K310" t="s">
        <v>43</v>
      </c>
      <c r="L310" t="s">
        <v>43</v>
      </c>
      <c r="M310" t="s">
        <v>43</v>
      </c>
      <c r="N310" t="s">
        <v>45</v>
      </c>
      <c r="O310" t="s">
        <v>43</v>
      </c>
      <c r="P310" t="s">
        <v>43</v>
      </c>
      <c r="Q310" t="s">
        <v>43</v>
      </c>
      <c r="R310" t="s">
        <v>43</v>
      </c>
      <c r="S310" t="s">
        <v>43</v>
      </c>
      <c r="T310" t="s">
        <v>43</v>
      </c>
      <c r="U310" t="s">
        <v>43</v>
      </c>
      <c r="V310" t="s">
        <v>43</v>
      </c>
      <c r="W310" t="s">
        <v>43</v>
      </c>
      <c r="X310" t="s">
        <v>43</v>
      </c>
      <c r="Y310" t="s">
        <v>43</v>
      </c>
      <c r="Z310" t="s">
        <v>43</v>
      </c>
      <c r="AA310" t="s">
        <v>43</v>
      </c>
      <c r="AB310" t="s">
        <v>43</v>
      </c>
      <c r="AC310" t="s">
        <v>43</v>
      </c>
      <c r="AD310" t="s">
        <v>43</v>
      </c>
      <c r="AE310" t="s">
        <v>43</v>
      </c>
      <c r="AF310" t="s">
        <v>43</v>
      </c>
      <c r="AG310" t="s">
        <v>43</v>
      </c>
      <c r="AH310" t="s">
        <v>43</v>
      </c>
      <c r="AI310" t="s">
        <v>43</v>
      </c>
      <c r="AJ310" t="s">
        <v>43</v>
      </c>
      <c r="AK310" t="s">
        <v>43</v>
      </c>
      <c r="AL310" t="s">
        <v>43</v>
      </c>
      <c r="AM310" t="s">
        <v>43</v>
      </c>
      <c r="AN310" t="str">
        <f>HYPERLINK("https://www.google.com/maps?q=11.05477428,79.06093597","Open Location")</f>
        <v>Open Location</v>
      </c>
    </row>
    <row r="311" spans="1:40" x14ac:dyDescent="0.3">
      <c r="A311" s="1">
        <v>46210.964120370372</v>
      </c>
      <c r="B311" t="s">
        <v>40</v>
      </c>
      <c r="C311" t="s">
        <v>41</v>
      </c>
      <c r="D311" s="1">
        <v>46210.967465277776</v>
      </c>
      <c r="E311" t="s">
        <v>42</v>
      </c>
      <c r="F311" t="s">
        <v>43</v>
      </c>
      <c r="G311" t="s">
        <v>43</v>
      </c>
      <c r="H311" t="s">
        <v>43</v>
      </c>
      <c r="I311" t="s">
        <v>43</v>
      </c>
      <c r="J311" t="s">
        <v>43</v>
      </c>
      <c r="K311" t="s">
        <v>43</v>
      </c>
      <c r="L311" t="s">
        <v>43</v>
      </c>
      <c r="M311" t="s">
        <v>43</v>
      </c>
      <c r="N311" t="s">
        <v>45</v>
      </c>
      <c r="O311" t="s">
        <v>43</v>
      </c>
      <c r="P311" t="s">
        <v>43</v>
      </c>
      <c r="Q311" t="s">
        <v>43</v>
      </c>
      <c r="R311" t="s">
        <v>43</v>
      </c>
      <c r="S311" t="s">
        <v>43</v>
      </c>
      <c r="T311" t="s">
        <v>43</v>
      </c>
      <c r="U311" t="s">
        <v>43</v>
      </c>
      <c r="V311" t="s">
        <v>43</v>
      </c>
      <c r="W311" t="s">
        <v>43</v>
      </c>
      <c r="X311" t="s">
        <v>43</v>
      </c>
      <c r="Y311" t="s">
        <v>43</v>
      </c>
      <c r="Z311" t="s">
        <v>43</v>
      </c>
      <c r="AA311" t="s">
        <v>43</v>
      </c>
      <c r="AB311" t="s">
        <v>43</v>
      </c>
      <c r="AC311" t="s">
        <v>43</v>
      </c>
      <c r="AD311" t="s">
        <v>43</v>
      </c>
      <c r="AE311" t="s">
        <v>43</v>
      </c>
      <c r="AF311" t="s">
        <v>43</v>
      </c>
      <c r="AG311" t="s">
        <v>43</v>
      </c>
      <c r="AH311" t="s">
        <v>43</v>
      </c>
      <c r="AI311" t="s">
        <v>43</v>
      </c>
      <c r="AJ311" t="s">
        <v>43</v>
      </c>
      <c r="AK311" t="s">
        <v>43</v>
      </c>
      <c r="AL311" t="s">
        <v>43</v>
      </c>
      <c r="AM311" t="s">
        <v>43</v>
      </c>
      <c r="AN311" t="s">
        <v>43</v>
      </c>
    </row>
    <row r="312" spans="1:40" x14ac:dyDescent="0.3">
      <c r="A312" s="1">
        <v>46210.964004629626</v>
      </c>
      <c r="B312" t="s">
        <v>40</v>
      </c>
      <c r="C312" t="s">
        <v>41</v>
      </c>
      <c r="D312" s="1">
        <v>46210.967604166668</v>
      </c>
      <c r="E312" t="s">
        <v>42</v>
      </c>
      <c r="F312" t="s">
        <v>43</v>
      </c>
      <c r="G312" t="s">
        <v>43</v>
      </c>
      <c r="H312" t="s">
        <v>43</v>
      </c>
      <c r="I312" t="s">
        <v>182</v>
      </c>
      <c r="J312" t="s">
        <v>43</v>
      </c>
      <c r="K312" t="s">
        <v>43</v>
      </c>
      <c r="L312" t="s">
        <v>43</v>
      </c>
      <c r="M312" t="s">
        <v>43</v>
      </c>
      <c r="N312" t="s">
        <v>45</v>
      </c>
      <c r="O312" t="s">
        <v>43</v>
      </c>
      <c r="P312" t="s">
        <v>43</v>
      </c>
      <c r="Q312" t="s">
        <v>43</v>
      </c>
      <c r="R312" t="s">
        <v>43</v>
      </c>
      <c r="S312" t="s">
        <v>43</v>
      </c>
      <c r="T312" t="s">
        <v>43</v>
      </c>
      <c r="U312" t="s">
        <v>43</v>
      </c>
      <c r="V312" t="s">
        <v>43</v>
      </c>
      <c r="W312" t="s">
        <v>43</v>
      </c>
      <c r="X312" t="s">
        <v>43</v>
      </c>
      <c r="Y312" t="s">
        <v>43</v>
      </c>
      <c r="Z312" t="s">
        <v>43</v>
      </c>
      <c r="AA312" t="s">
        <v>43</v>
      </c>
      <c r="AB312" t="s">
        <v>43</v>
      </c>
      <c r="AC312" t="s">
        <v>43</v>
      </c>
      <c r="AD312" t="s">
        <v>43</v>
      </c>
      <c r="AE312" t="s">
        <v>43</v>
      </c>
      <c r="AF312" t="s">
        <v>43</v>
      </c>
      <c r="AG312" t="s">
        <v>43</v>
      </c>
      <c r="AH312" t="s">
        <v>43</v>
      </c>
      <c r="AI312" t="s">
        <v>43</v>
      </c>
      <c r="AJ312" t="s">
        <v>43</v>
      </c>
      <c r="AK312" t="s">
        <v>43</v>
      </c>
      <c r="AL312" t="s">
        <v>43</v>
      </c>
      <c r="AM312" t="s">
        <v>43</v>
      </c>
      <c r="AN312" t="str">
        <f>HYPERLINK("https://www.google.com/maps?q=11.0547781,79.06092834","Open Location")</f>
        <v>Open Location</v>
      </c>
    </row>
    <row r="313" spans="1:40" x14ac:dyDescent="0.3">
      <c r="A313" s="1">
        <v>46210.963888888888</v>
      </c>
      <c r="B313" t="s">
        <v>40</v>
      </c>
      <c r="C313" t="s">
        <v>41</v>
      </c>
      <c r="D313" s="1">
        <v>46210.968148148146</v>
      </c>
      <c r="E313" t="s">
        <v>42</v>
      </c>
      <c r="F313" t="s">
        <v>43</v>
      </c>
      <c r="G313" t="s">
        <v>43</v>
      </c>
      <c r="H313" t="s">
        <v>43</v>
      </c>
      <c r="I313" t="s">
        <v>183</v>
      </c>
      <c r="J313" t="s">
        <v>43</v>
      </c>
      <c r="K313" t="s">
        <v>43</v>
      </c>
      <c r="L313" t="s">
        <v>43</v>
      </c>
      <c r="M313" t="s">
        <v>43</v>
      </c>
      <c r="N313" t="s">
        <v>45</v>
      </c>
      <c r="O313" t="s">
        <v>43</v>
      </c>
      <c r="P313" t="s">
        <v>43</v>
      </c>
      <c r="Q313" t="s">
        <v>43</v>
      </c>
      <c r="R313" t="s">
        <v>43</v>
      </c>
      <c r="S313" t="s">
        <v>43</v>
      </c>
      <c r="T313" t="s">
        <v>43</v>
      </c>
      <c r="U313" t="s">
        <v>43</v>
      </c>
      <c r="V313" t="s">
        <v>43</v>
      </c>
      <c r="W313" t="s">
        <v>43</v>
      </c>
      <c r="X313" t="s">
        <v>43</v>
      </c>
      <c r="Y313" t="s">
        <v>43</v>
      </c>
      <c r="Z313" t="s">
        <v>43</v>
      </c>
      <c r="AA313" t="s">
        <v>43</v>
      </c>
      <c r="AB313" t="s">
        <v>43</v>
      </c>
      <c r="AC313" t="s">
        <v>43</v>
      </c>
      <c r="AD313" t="s">
        <v>43</v>
      </c>
      <c r="AE313" t="s">
        <v>43</v>
      </c>
      <c r="AF313" t="s">
        <v>43</v>
      </c>
      <c r="AG313" t="s">
        <v>43</v>
      </c>
      <c r="AH313" t="s">
        <v>43</v>
      </c>
      <c r="AI313" t="s">
        <v>43</v>
      </c>
      <c r="AJ313" t="s">
        <v>43</v>
      </c>
      <c r="AK313" t="s">
        <v>43</v>
      </c>
      <c r="AL313" t="s">
        <v>43</v>
      </c>
      <c r="AM313" t="s">
        <v>43</v>
      </c>
      <c r="AN313" t="str">
        <f>HYPERLINK("https://www.google.com/maps?q=11.05478001,79.06092834","Open Location")</f>
        <v>Open Location</v>
      </c>
    </row>
    <row r="314" spans="1:40" x14ac:dyDescent="0.3">
      <c r="A314" s="1">
        <v>46210.963773148149</v>
      </c>
      <c r="B314" t="s">
        <v>40</v>
      </c>
      <c r="C314" t="s">
        <v>41</v>
      </c>
      <c r="D314" s="1">
        <v>46210.968078703707</v>
      </c>
      <c r="E314" t="s">
        <v>42</v>
      </c>
      <c r="F314" t="s">
        <v>43</v>
      </c>
      <c r="G314" t="s">
        <v>43</v>
      </c>
      <c r="H314" t="s">
        <v>43</v>
      </c>
      <c r="I314" t="s">
        <v>184</v>
      </c>
      <c r="J314" t="s">
        <v>43</v>
      </c>
      <c r="K314" t="s">
        <v>43</v>
      </c>
      <c r="L314" t="s">
        <v>43</v>
      </c>
      <c r="M314" t="s">
        <v>43</v>
      </c>
      <c r="N314" t="s">
        <v>45</v>
      </c>
      <c r="O314" t="s">
        <v>43</v>
      </c>
      <c r="P314" t="s">
        <v>43</v>
      </c>
      <c r="Q314" t="s">
        <v>43</v>
      </c>
      <c r="R314" t="s">
        <v>43</v>
      </c>
      <c r="S314" t="s">
        <v>43</v>
      </c>
      <c r="T314" t="s">
        <v>43</v>
      </c>
      <c r="U314" t="s">
        <v>43</v>
      </c>
      <c r="V314" t="s">
        <v>43</v>
      </c>
      <c r="W314" t="s">
        <v>43</v>
      </c>
      <c r="X314" t="s">
        <v>43</v>
      </c>
      <c r="Y314" t="s">
        <v>43</v>
      </c>
      <c r="Z314" t="s">
        <v>43</v>
      </c>
      <c r="AA314" t="s">
        <v>43</v>
      </c>
      <c r="AB314" t="s">
        <v>43</v>
      </c>
      <c r="AC314" t="s">
        <v>43</v>
      </c>
      <c r="AD314" t="s">
        <v>43</v>
      </c>
      <c r="AE314" t="s">
        <v>43</v>
      </c>
      <c r="AF314" t="s">
        <v>43</v>
      </c>
      <c r="AG314" t="s">
        <v>43</v>
      </c>
      <c r="AH314" t="s">
        <v>43</v>
      </c>
      <c r="AI314" t="s">
        <v>43</v>
      </c>
      <c r="AJ314" t="s">
        <v>43</v>
      </c>
      <c r="AK314" t="s">
        <v>43</v>
      </c>
      <c r="AL314" t="s">
        <v>43</v>
      </c>
      <c r="AM314" t="s">
        <v>43</v>
      </c>
      <c r="AN314" t="str">
        <f>HYPERLINK("https://www.google.com/maps?q=11.05477905,79.06092834","Open Location")</f>
        <v>Open Location</v>
      </c>
    </row>
    <row r="315" spans="1:40" x14ac:dyDescent="0.3">
      <c r="A315" s="1">
        <v>46210.96365740741</v>
      </c>
      <c r="B315" t="s">
        <v>40</v>
      </c>
      <c r="C315" t="s">
        <v>41</v>
      </c>
      <c r="D315" s="1">
        <v>46210.967083333337</v>
      </c>
      <c r="E315" t="s">
        <v>42</v>
      </c>
      <c r="F315" t="s">
        <v>43</v>
      </c>
      <c r="G315" t="s">
        <v>43</v>
      </c>
      <c r="H315" t="s">
        <v>43</v>
      </c>
      <c r="I315" t="s">
        <v>182</v>
      </c>
      <c r="J315" t="s">
        <v>43</v>
      </c>
      <c r="K315" t="s">
        <v>43</v>
      </c>
      <c r="L315" t="s">
        <v>43</v>
      </c>
      <c r="M315" t="s">
        <v>43</v>
      </c>
      <c r="N315" t="s">
        <v>45</v>
      </c>
      <c r="O315" t="s">
        <v>43</v>
      </c>
      <c r="P315" t="s">
        <v>43</v>
      </c>
      <c r="Q315" t="s">
        <v>43</v>
      </c>
      <c r="R315" t="s">
        <v>43</v>
      </c>
      <c r="S315" t="s">
        <v>43</v>
      </c>
      <c r="T315" t="s">
        <v>43</v>
      </c>
      <c r="U315" t="s">
        <v>43</v>
      </c>
      <c r="V315" t="s">
        <v>43</v>
      </c>
      <c r="W315" t="s">
        <v>43</v>
      </c>
      <c r="X315" t="s">
        <v>43</v>
      </c>
      <c r="Y315" t="s">
        <v>43</v>
      </c>
      <c r="Z315" t="s">
        <v>43</v>
      </c>
      <c r="AA315" t="s">
        <v>43</v>
      </c>
      <c r="AB315" t="s">
        <v>43</v>
      </c>
      <c r="AC315" t="s">
        <v>43</v>
      </c>
      <c r="AD315" t="s">
        <v>43</v>
      </c>
      <c r="AE315" t="s">
        <v>43</v>
      </c>
      <c r="AF315" t="s">
        <v>43</v>
      </c>
      <c r="AG315" t="s">
        <v>43</v>
      </c>
      <c r="AH315" t="s">
        <v>43</v>
      </c>
      <c r="AI315" t="s">
        <v>43</v>
      </c>
      <c r="AJ315" t="s">
        <v>43</v>
      </c>
      <c r="AK315" t="s">
        <v>43</v>
      </c>
      <c r="AL315" t="s">
        <v>43</v>
      </c>
      <c r="AM315" t="s">
        <v>43</v>
      </c>
      <c r="AN315" t="str">
        <f>HYPERLINK("https://www.google.com/maps?q=11.0547781,79.06092834","Open Location")</f>
        <v>Open Location</v>
      </c>
    </row>
    <row r="316" spans="1:40" x14ac:dyDescent="0.3">
      <c r="A316" s="1">
        <v>46210.963541666664</v>
      </c>
      <c r="B316" t="s">
        <v>40</v>
      </c>
      <c r="C316" t="s">
        <v>41</v>
      </c>
      <c r="D316" s="1">
        <v>46210.967083333337</v>
      </c>
      <c r="E316" t="s">
        <v>42</v>
      </c>
      <c r="F316" t="s">
        <v>43</v>
      </c>
      <c r="G316" t="s">
        <v>43</v>
      </c>
      <c r="H316" t="s">
        <v>43</v>
      </c>
      <c r="I316" t="s">
        <v>185</v>
      </c>
      <c r="J316" t="s">
        <v>43</v>
      </c>
      <c r="K316" t="s">
        <v>43</v>
      </c>
      <c r="L316" t="s">
        <v>43</v>
      </c>
      <c r="M316" t="s">
        <v>43</v>
      </c>
      <c r="N316" t="s">
        <v>45</v>
      </c>
      <c r="O316" t="s">
        <v>43</v>
      </c>
      <c r="P316" t="s">
        <v>43</v>
      </c>
      <c r="Q316" t="s">
        <v>43</v>
      </c>
      <c r="R316" t="s">
        <v>43</v>
      </c>
      <c r="S316" t="s">
        <v>43</v>
      </c>
      <c r="T316" t="s">
        <v>43</v>
      </c>
      <c r="U316" t="s">
        <v>43</v>
      </c>
      <c r="V316" t="s">
        <v>43</v>
      </c>
      <c r="W316" t="s">
        <v>43</v>
      </c>
      <c r="X316" t="s">
        <v>43</v>
      </c>
      <c r="Y316" t="s">
        <v>43</v>
      </c>
      <c r="Z316" t="s">
        <v>43</v>
      </c>
      <c r="AA316" t="s">
        <v>43</v>
      </c>
      <c r="AB316" t="s">
        <v>43</v>
      </c>
      <c r="AC316" t="s">
        <v>43</v>
      </c>
      <c r="AD316" t="s">
        <v>43</v>
      </c>
      <c r="AE316" t="s">
        <v>43</v>
      </c>
      <c r="AF316" t="s">
        <v>43</v>
      </c>
      <c r="AG316" t="s">
        <v>43</v>
      </c>
      <c r="AH316" t="s">
        <v>43</v>
      </c>
      <c r="AI316" t="s">
        <v>43</v>
      </c>
      <c r="AJ316" t="s">
        <v>43</v>
      </c>
      <c r="AK316" t="s">
        <v>43</v>
      </c>
      <c r="AL316" t="s">
        <v>43</v>
      </c>
      <c r="AM316" t="s">
        <v>43</v>
      </c>
      <c r="AN316" t="str">
        <f>HYPERLINK("https://www.google.com/maps?q=11.05477715,79.06092834","Open Location")</f>
        <v>Open Location</v>
      </c>
    </row>
    <row r="317" spans="1:40" x14ac:dyDescent="0.3">
      <c r="A317" s="1">
        <v>46210.963425925926</v>
      </c>
      <c r="B317" t="s">
        <v>40</v>
      </c>
      <c r="C317" t="s">
        <v>41</v>
      </c>
      <c r="D317" s="1">
        <v>46210.968356481484</v>
      </c>
      <c r="E317" t="s">
        <v>42</v>
      </c>
      <c r="F317" t="s">
        <v>43</v>
      </c>
      <c r="G317" t="s">
        <v>43</v>
      </c>
      <c r="H317" t="s">
        <v>43</v>
      </c>
      <c r="I317" t="s">
        <v>43</v>
      </c>
      <c r="J317" t="s">
        <v>43</v>
      </c>
      <c r="K317" t="s">
        <v>43</v>
      </c>
      <c r="L317" t="s">
        <v>43</v>
      </c>
      <c r="M317" t="s">
        <v>43</v>
      </c>
      <c r="N317" t="s">
        <v>45</v>
      </c>
      <c r="O317" t="s">
        <v>43</v>
      </c>
      <c r="P317" t="s">
        <v>43</v>
      </c>
      <c r="Q317" t="s">
        <v>43</v>
      </c>
      <c r="R317" t="s">
        <v>43</v>
      </c>
      <c r="S317" t="s">
        <v>43</v>
      </c>
      <c r="T317" t="s">
        <v>43</v>
      </c>
      <c r="U317" t="s">
        <v>43</v>
      </c>
      <c r="V317" t="s">
        <v>43</v>
      </c>
      <c r="W317" t="s">
        <v>43</v>
      </c>
      <c r="X317" t="s">
        <v>43</v>
      </c>
      <c r="Y317" t="s">
        <v>43</v>
      </c>
      <c r="Z317" t="s">
        <v>43</v>
      </c>
      <c r="AA317" t="s">
        <v>43</v>
      </c>
      <c r="AB317" t="s">
        <v>43</v>
      </c>
      <c r="AC317" t="s">
        <v>43</v>
      </c>
      <c r="AD317" t="s">
        <v>43</v>
      </c>
      <c r="AE317" t="s">
        <v>43</v>
      </c>
      <c r="AF317" t="s">
        <v>43</v>
      </c>
      <c r="AG317" t="s">
        <v>43</v>
      </c>
      <c r="AH317" t="s">
        <v>43</v>
      </c>
      <c r="AI317" t="s">
        <v>43</v>
      </c>
      <c r="AJ317" t="s">
        <v>43</v>
      </c>
      <c r="AK317" t="s">
        <v>43</v>
      </c>
      <c r="AL317" t="s">
        <v>43</v>
      </c>
      <c r="AM317" t="s">
        <v>43</v>
      </c>
      <c r="AN317" t="s">
        <v>43</v>
      </c>
    </row>
    <row r="318" spans="1:40" x14ac:dyDescent="0.3">
      <c r="A318" s="1">
        <v>46210.963310185187</v>
      </c>
      <c r="B318" t="s">
        <v>40</v>
      </c>
      <c r="C318" t="s">
        <v>41</v>
      </c>
      <c r="D318" s="1">
        <v>46210.968240740738</v>
      </c>
      <c r="E318" t="s">
        <v>42</v>
      </c>
      <c r="F318" t="s">
        <v>43</v>
      </c>
      <c r="G318" t="s">
        <v>43</v>
      </c>
      <c r="H318" t="s">
        <v>43</v>
      </c>
      <c r="I318" t="s">
        <v>186</v>
      </c>
      <c r="J318" t="s">
        <v>43</v>
      </c>
      <c r="K318" t="s">
        <v>43</v>
      </c>
      <c r="L318" t="s">
        <v>43</v>
      </c>
      <c r="M318" t="s">
        <v>43</v>
      </c>
      <c r="N318" t="s">
        <v>45</v>
      </c>
      <c r="O318" t="s">
        <v>43</v>
      </c>
      <c r="P318" t="s">
        <v>43</v>
      </c>
      <c r="Q318" t="s">
        <v>43</v>
      </c>
      <c r="R318" t="s">
        <v>43</v>
      </c>
      <c r="S318" t="s">
        <v>43</v>
      </c>
      <c r="T318" t="s">
        <v>43</v>
      </c>
      <c r="U318" t="s">
        <v>43</v>
      </c>
      <c r="V318" t="s">
        <v>43</v>
      </c>
      <c r="W318" t="s">
        <v>43</v>
      </c>
      <c r="X318" t="s">
        <v>43</v>
      </c>
      <c r="Y318" t="s">
        <v>43</v>
      </c>
      <c r="Z318" t="s">
        <v>43</v>
      </c>
      <c r="AA318" t="s">
        <v>43</v>
      </c>
      <c r="AB318" t="s">
        <v>43</v>
      </c>
      <c r="AC318" t="s">
        <v>43</v>
      </c>
      <c r="AD318" t="s">
        <v>43</v>
      </c>
      <c r="AE318" t="s">
        <v>43</v>
      </c>
      <c r="AF318" t="s">
        <v>43</v>
      </c>
      <c r="AG318" t="s">
        <v>43</v>
      </c>
      <c r="AH318" t="s">
        <v>43</v>
      </c>
      <c r="AI318" t="s">
        <v>43</v>
      </c>
      <c r="AJ318" t="s">
        <v>43</v>
      </c>
      <c r="AK318" t="s">
        <v>43</v>
      </c>
      <c r="AL318" t="s">
        <v>43</v>
      </c>
      <c r="AM318" t="s">
        <v>43</v>
      </c>
      <c r="AN318" t="str">
        <f>HYPERLINK("https://www.google.com/maps?q=11.05478001,79.06093597","Open Location")</f>
        <v>Open Location</v>
      </c>
    </row>
    <row r="319" spans="1:40" x14ac:dyDescent="0.3">
      <c r="A319" s="1">
        <v>46210.963194444441</v>
      </c>
      <c r="B319" t="s">
        <v>40</v>
      </c>
      <c r="C319" t="s">
        <v>41</v>
      </c>
      <c r="D319" s="1">
        <v>46210.968449074076</v>
      </c>
      <c r="E319" t="s">
        <v>42</v>
      </c>
      <c r="F319" t="s">
        <v>43</v>
      </c>
      <c r="G319" t="s">
        <v>43</v>
      </c>
      <c r="H319" t="s">
        <v>43</v>
      </c>
      <c r="I319" t="s">
        <v>187</v>
      </c>
      <c r="J319" t="s">
        <v>43</v>
      </c>
      <c r="K319" t="s">
        <v>43</v>
      </c>
      <c r="L319" t="s">
        <v>43</v>
      </c>
      <c r="M319" t="s">
        <v>43</v>
      </c>
      <c r="N319" t="s">
        <v>45</v>
      </c>
      <c r="O319" t="s">
        <v>43</v>
      </c>
      <c r="P319" t="s">
        <v>43</v>
      </c>
      <c r="Q319" t="s">
        <v>43</v>
      </c>
      <c r="R319" t="s">
        <v>43</v>
      </c>
      <c r="S319" t="s">
        <v>43</v>
      </c>
      <c r="T319" t="s">
        <v>43</v>
      </c>
      <c r="U319" t="s">
        <v>43</v>
      </c>
      <c r="V319" t="s">
        <v>43</v>
      </c>
      <c r="W319" t="s">
        <v>43</v>
      </c>
      <c r="X319" t="s">
        <v>43</v>
      </c>
      <c r="Y319" t="s">
        <v>43</v>
      </c>
      <c r="Z319" t="s">
        <v>43</v>
      </c>
      <c r="AA319" t="s">
        <v>43</v>
      </c>
      <c r="AB319" t="s">
        <v>43</v>
      </c>
      <c r="AC319" t="s">
        <v>43</v>
      </c>
      <c r="AD319" t="s">
        <v>43</v>
      </c>
      <c r="AE319" t="s">
        <v>43</v>
      </c>
      <c r="AF319" t="s">
        <v>43</v>
      </c>
      <c r="AG319" t="s">
        <v>43</v>
      </c>
      <c r="AH319" t="s">
        <v>43</v>
      </c>
      <c r="AI319" t="s">
        <v>43</v>
      </c>
      <c r="AJ319" t="s">
        <v>43</v>
      </c>
      <c r="AK319" t="s">
        <v>43</v>
      </c>
      <c r="AL319" t="s">
        <v>43</v>
      </c>
      <c r="AM319" t="s">
        <v>43</v>
      </c>
      <c r="AN319" t="str">
        <f>HYPERLINK("https://www.google.com/maps?q=11.05478287,79.06093597","Open Location")</f>
        <v>Open Location</v>
      </c>
    </row>
    <row r="320" spans="1:40" x14ac:dyDescent="0.3">
      <c r="A320" s="1">
        <v>46210.963078703702</v>
      </c>
      <c r="B320" t="s">
        <v>40</v>
      </c>
      <c r="C320" t="s">
        <v>41</v>
      </c>
      <c r="D320" s="1">
        <v>46210.968449074076</v>
      </c>
      <c r="E320" t="s">
        <v>42</v>
      </c>
      <c r="F320" t="s">
        <v>43</v>
      </c>
      <c r="G320" t="s">
        <v>43</v>
      </c>
      <c r="H320" t="s">
        <v>43</v>
      </c>
      <c r="I320" t="s">
        <v>188</v>
      </c>
      <c r="J320" t="s">
        <v>43</v>
      </c>
      <c r="K320" t="s">
        <v>43</v>
      </c>
      <c r="L320" t="s">
        <v>43</v>
      </c>
      <c r="M320" t="s">
        <v>43</v>
      </c>
      <c r="N320" t="s">
        <v>45</v>
      </c>
      <c r="O320" t="s">
        <v>43</v>
      </c>
      <c r="P320" t="s">
        <v>43</v>
      </c>
      <c r="Q320" t="s">
        <v>43</v>
      </c>
      <c r="R320" t="s">
        <v>43</v>
      </c>
      <c r="S320" t="s">
        <v>43</v>
      </c>
      <c r="T320" t="s">
        <v>43</v>
      </c>
      <c r="U320" t="s">
        <v>43</v>
      </c>
      <c r="V320" t="s">
        <v>43</v>
      </c>
      <c r="W320" t="s">
        <v>43</v>
      </c>
      <c r="X320" t="s">
        <v>43</v>
      </c>
      <c r="Y320" t="s">
        <v>43</v>
      </c>
      <c r="Z320" t="s">
        <v>43</v>
      </c>
      <c r="AA320" t="s">
        <v>43</v>
      </c>
      <c r="AB320" t="s">
        <v>43</v>
      </c>
      <c r="AC320" t="s">
        <v>43</v>
      </c>
      <c r="AD320" t="s">
        <v>43</v>
      </c>
      <c r="AE320" t="s">
        <v>43</v>
      </c>
      <c r="AF320" t="s">
        <v>43</v>
      </c>
      <c r="AG320" t="s">
        <v>43</v>
      </c>
      <c r="AH320" t="s">
        <v>43</v>
      </c>
      <c r="AI320" t="s">
        <v>43</v>
      </c>
      <c r="AJ320" t="s">
        <v>43</v>
      </c>
      <c r="AK320" t="s">
        <v>43</v>
      </c>
      <c r="AL320" t="s">
        <v>43</v>
      </c>
      <c r="AM320" t="s">
        <v>43</v>
      </c>
      <c r="AN320" t="str">
        <f>HYPERLINK("https://www.google.com/maps?q=11.05478477,79.06093597","Open Location")</f>
        <v>Open Location</v>
      </c>
    </row>
    <row r="321" spans="1:40" x14ac:dyDescent="0.3">
      <c r="A321" s="1">
        <v>46210.962962962964</v>
      </c>
      <c r="B321" t="s">
        <v>40</v>
      </c>
      <c r="C321" t="s">
        <v>41</v>
      </c>
      <c r="D321" s="1">
        <v>46210.967604166668</v>
      </c>
      <c r="E321" t="s">
        <v>42</v>
      </c>
      <c r="F321" t="s">
        <v>43</v>
      </c>
      <c r="G321" t="s">
        <v>43</v>
      </c>
      <c r="H321" t="s">
        <v>43</v>
      </c>
      <c r="I321" t="s">
        <v>189</v>
      </c>
      <c r="J321" t="s">
        <v>43</v>
      </c>
      <c r="K321" t="s">
        <v>43</v>
      </c>
      <c r="L321" t="s">
        <v>43</v>
      </c>
      <c r="M321" t="s">
        <v>43</v>
      </c>
      <c r="N321" t="s">
        <v>45</v>
      </c>
      <c r="O321" t="s">
        <v>43</v>
      </c>
      <c r="P321" t="s">
        <v>43</v>
      </c>
      <c r="Q321" t="s">
        <v>43</v>
      </c>
      <c r="R321" t="s">
        <v>43</v>
      </c>
      <c r="S321" t="s">
        <v>43</v>
      </c>
      <c r="T321" t="s">
        <v>43</v>
      </c>
      <c r="U321" t="s">
        <v>43</v>
      </c>
      <c r="V321" t="s">
        <v>43</v>
      </c>
      <c r="W321" t="s">
        <v>43</v>
      </c>
      <c r="X321" t="s">
        <v>43</v>
      </c>
      <c r="Y321" t="s">
        <v>43</v>
      </c>
      <c r="Z321" t="s">
        <v>43</v>
      </c>
      <c r="AA321" t="s">
        <v>43</v>
      </c>
      <c r="AB321" t="s">
        <v>43</v>
      </c>
      <c r="AC321" t="s">
        <v>43</v>
      </c>
      <c r="AD321" t="s">
        <v>43</v>
      </c>
      <c r="AE321" t="s">
        <v>43</v>
      </c>
      <c r="AF321" t="s">
        <v>43</v>
      </c>
      <c r="AG321" t="s">
        <v>43</v>
      </c>
      <c r="AH321" t="s">
        <v>43</v>
      </c>
      <c r="AI321" t="s">
        <v>43</v>
      </c>
      <c r="AJ321" t="s">
        <v>43</v>
      </c>
      <c r="AK321" t="s">
        <v>43</v>
      </c>
      <c r="AL321" t="s">
        <v>43</v>
      </c>
      <c r="AM321" t="s">
        <v>43</v>
      </c>
      <c r="AN321" t="str">
        <f>HYPERLINK("https://www.google.com/maps?q=11.05478191,79.06093597","Open Location")</f>
        <v>Open Location</v>
      </c>
    </row>
    <row r="322" spans="1:40" x14ac:dyDescent="0.3">
      <c r="A322" s="1">
        <v>46210.962847222225</v>
      </c>
      <c r="B322" t="s">
        <v>40</v>
      </c>
      <c r="C322" t="s">
        <v>41</v>
      </c>
      <c r="D322" s="1">
        <v>46210.967604166668</v>
      </c>
      <c r="E322" t="s">
        <v>42</v>
      </c>
      <c r="F322" t="s">
        <v>43</v>
      </c>
      <c r="G322" t="s">
        <v>43</v>
      </c>
      <c r="H322" t="s">
        <v>43</v>
      </c>
      <c r="I322" t="s">
        <v>190</v>
      </c>
      <c r="J322" t="s">
        <v>43</v>
      </c>
      <c r="K322" t="s">
        <v>43</v>
      </c>
      <c r="L322" t="s">
        <v>43</v>
      </c>
      <c r="M322" t="s">
        <v>43</v>
      </c>
      <c r="N322" t="s">
        <v>45</v>
      </c>
      <c r="O322" t="s">
        <v>43</v>
      </c>
      <c r="P322" t="s">
        <v>43</v>
      </c>
      <c r="Q322" t="s">
        <v>43</v>
      </c>
      <c r="R322" t="s">
        <v>43</v>
      </c>
      <c r="S322" t="s">
        <v>43</v>
      </c>
      <c r="T322" t="s">
        <v>43</v>
      </c>
      <c r="U322" t="s">
        <v>43</v>
      </c>
      <c r="V322" t="s">
        <v>43</v>
      </c>
      <c r="W322" t="s">
        <v>43</v>
      </c>
      <c r="X322" t="s">
        <v>43</v>
      </c>
      <c r="Y322" t="s">
        <v>43</v>
      </c>
      <c r="Z322" t="s">
        <v>43</v>
      </c>
      <c r="AA322" t="s">
        <v>43</v>
      </c>
      <c r="AB322" t="s">
        <v>43</v>
      </c>
      <c r="AC322" t="s">
        <v>43</v>
      </c>
      <c r="AD322" t="s">
        <v>43</v>
      </c>
      <c r="AE322" t="s">
        <v>43</v>
      </c>
      <c r="AF322" t="s">
        <v>43</v>
      </c>
      <c r="AG322" t="s">
        <v>43</v>
      </c>
      <c r="AH322" t="s">
        <v>43</v>
      </c>
      <c r="AI322" t="s">
        <v>43</v>
      </c>
      <c r="AJ322" t="s">
        <v>43</v>
      </c>
      <c r="AK322" t="s">
        <v>43</v>
      </c>
      <c r="AL322" t="s">
        <v>43</v>
      </c>
      <c r="AM322" t="s">
        <v>43</v>
      </c>
      <c r="AN322" t="str">
        <f>HYPERLINK("https://www.google.com/maps?q=11.05478096,79.06092834","Open Location")</f>
        <v>Open Location</v>
      </c>
    </row>
    <row r="323" spans="1:40" x14ac:dyDescent="0.3">
      <c r="A323" s="1">
        <v>46210.962731481479</v>
      </c>
      <c r="B323" t="s">
        <v>40</v>
      </c>
      <c r="C323" t="s">
        <v>41</v>
      </c>
      <c r="D323" s="1">
        <v>46210.968078703707</v>
      </c>
      <c r="E323" t="s">
        <v>42</v>
      </c>
      <c r="F323" t="s">
        <v>43</v>
      </c>
      <c r="G323" t="s">
        <v>43</v>
      </c>
      <c r="H323" t="s">
        <v>43</v>
      </c>
      <c r="I323" t="s">
        <v>43</v>
      </c>
      <c r="J323" t="s">
        <v>43</v>
      </c>
      <c r="K323" t="s">
        <v>43</v>
      </c>
      <c r="L323" t="s">
        <v>43</v>
      </c>
      <c r="M323" t="s">
        <v>43</v>
      </c>
      <c r="N323" t="s">
        <v>45</v>
      </c>
      <c r="O323" t="s">
        <v>43</v>
      </c>
      <c r="P323" t="s">
        <v>43</v>
      </c>
      <c r="Q323" t="s">
        <v>43</v>
      </c>
      <c r="R323" t="s">
        <v>43</v>
      </c>
      <c r="S323" t="s">
        <v>43</v>
      </c>
      <c r="T323" t="s">
        <v>43</v>
      </c>
      <c r="U323" t="s">
        <v>43</v>
      </c>
      <c r="V323" t="s">
        <v>43</v>
      </c>
      <c r="W323" t="s">
        <v>43</v>
      </c>
      <c r="X323" t="s">
        <v>43</v>
      </c>
      <c r="Y323" t="s">
        <v>43</v>
      </c>
      <c r="Z323" t="s">
        <v>43</v>
      </c>
      <c r="AA323" t="s">
        <v>43</v>
      </c>
      <c r="AB323" t="s">
        <v>43</v>
      </c>
      <c r="AC323" t="s">
        <v>43</v>
      </c>
      <c r="AD323" t="s">
        <v>43</v>
      </c>
      <c r="AE323" t="s">
        <v>43</v>
      </c>
      <c r="AF323" t="s">
        <v>43</v>
      </c>
      <c r="AG323" t="s">
        <v>43</v>
      </c>
      <c r="AH323" t="s">
        <v>43</v>
      </c>
      <c r="AI323" t="s">
        <v>43</v>
      </c>
      <c r="AJ323" t="s">
        <v>43</v>
      </c>
      <c r="AK323" t="s">
        <v>43</v>
      </c>
      <c r="AL323" t="s">
        <v>43</v>
      </c>
      <c r="AM323" t="s">
        <v>43</v>
      </c>
      <c r="AN323" t="s">
        <v>43</v>
      </c>
    </row>
    <row r="324" spans="1:40" x14ac:dyDescent="0.3">
      <c r="A324" s="1">
        <v>46210.96261574074</v>
      </c>
      <c r="B324" t="s">
        <v>40</v>
      </c>
      <c r="C324" t="s">
        <v>41</v>
      </c>
      <c r="D324" s="1">
        <v>46210.96806712963</v>
      </c>
      <c r="E324" t="s">
        <v>42</v>
      </c>
      <c r="F324" t="s">
        <v>43</v>
      </c>
      <c r="G324" t="s">
        <v>43</v>
      </c>
      <c r="H324" t="s">
        <v>43</v>
      </c>
      <c r="I324" t="s">
        <v>183</v>
      </c>
      <c r="J324" t="s">
        <v>43</v>
      </c>
      <c r="K324" t="s">
        <v>43</v>
      </c>
      <c r="L324" t="s">
        <v>43</v>
      </c>
      <c r="M324" t="s">
        <v>43</v>
      </c>
      <c r="N324" t="s">
        <v>45</v>
      </c>
      <c r="O324" t="s">
        <v>43</v>
      </c>
      <c r="P324" t="s">
        <v>43</v>
      </c>
      <c r="Q324" t="s">
        <v>43</v>
      </c>
      <c r="R324" t="s">
        <v>43</v>
      </c>
      <c r="S324" t="s">
        <v>43</v>
      </c>
      <c r="T324" t="s">
        <v>43</v>
      </c>
      <c r="U324" t="s">
        <v>43</v>
      </c>
      <c r="V324" t="s">
        <v>43</v>
      </c>
      <c r="W324" t="s">
        <v>43</v>
      </c>
      <c r="X324" t="s">
        <v>43</v>
      </c>
      <c r="Y324" t="s">
        <v>43</v>
      </c>
      <c r="Z324" t="s">
        <v>43</v>
      </c>
      <c r="AA324" t="s">
        <v>43</v>
      </c>
      <c r="AB324" t="s">
        <v>43</v>
      </c>
      <c r="AC324" t="s">
        <v>43</v>
      </c>
      <c r="AD324" t="s">
        <v>43</v>
      </c>
      <c r="AE324" t="s">
        <v>43</v>
      </c>
      <c r="AF324" t="s">
        <v>43</v>
      </c>
      <c r="AG324" t="s">
        <v>43</v>
      </c>
      <c r="AH324" t="s">
        <v>43</v>
      </c>
      <c r="AI324" t="s">
        <v>43</v>
      </c>
      <c r="AJ324" t="s">
        <v>43</v>
      </c>
      <c r="AK324" t="s">
        <v>43</v>
      </c>
      <c r="AL324" t="s">
        <v>43</v>
      </c>
      <c r="AM324" t="s">
        <v>43</v>
      </c>
      <c r="AN324" t="str">
        <f>HYPERLINK("https://www.google.com/maps?q=11.05478001,79.06092834","Open Location")</f>
        <v>Open Location</v>
      </c>
    </row>
    <row r="325" spans="1:40" x14ac:dyDescent="0.3">
      <c r="A325" s="1">
        <v>46210.962500000001</v>
      </c>
      <c r="B325" t="s">
        <v>40</v>
      </c>
      <c r="C325" t="s">
        <v>41</v>
      </c>
      <c r="D325" s="1">
        <v>46210.96806712963</v>
      </c>
      <c r="E325" t="s">
        <v>42</v>
      </c>
      <c r="F325" t="s">
        <v>43</v>
      </c>
      <c r="G325" t="s">
        <v>43</v>
      </c>
      <c r="H325" t="s">
        <v>43</v>
      </c>
      <c r="I325" t="s">
        <v>191</v>
      </c>
      <c r="J325" t="s">
        <v>43</v>
      </c>
      <c r="K325" t="s">
        <v>43</v>
      </c>
      <c r="L325" t="s">
        <v>43</v>
      </c>
      <c r="M325" t="s">
        <v>43</v>
      </c>
      <c r="N325" t="s">
        <v>45</v>
      </c>
      <c r="O325" t="s">
        <v>43</v>
      </c>
      <c r="P325" t="s">
        <v>43</v>
      </c>
      <c r="Q325" t="s">
        <v>43</v>
      </c>
      <c r="R325" t="s">
        <v>43</v>
      </c>
      <c r="S325" t="s">
        <v>43</v>
      </c>
      <c r="T325" t="s">
        <v>43</v>
      </c>
      <c r="U325" t="s">
        <v>43</v>
      </c>
      <c r="V325" t="s">
        <v>43</v>
      </c>
      <c r="W325" t="s">
        <v>43</v>
      </c>
      <c r="X325" t="s">
        <v>43</v>
      </c>
      <c r="Y325" t="s">
        <v>43</v>
      </c>
      <c r="Z325" t="s">
        <v>43</v>
      </c>
      <c r="AA325" t="s">
        <v>43</v>
      </c>
      <c r="AB325" t="s">
        <v>43</v>
      </c>
      <c r="AC325" t="s">
        <v>43</v>
      </c>
      <c r="AD325" t="s">
        <v>43</v>
      </c>
      <c r="AE325" t="s">
        <v>43</v>
      </c>
      <c r="AF325" t="s">
        <v>43</v>
      </c>
      <c r="AG325" t="s">
        <v>43</v>
      </c>
      <c r="AH325" t="s">
        <v>43</v>
      </c>
      <c r="AI325" t="s">
        <v>43</v>
      </c>
      <c r="AJ325" t="s">
        <v>43</v>
      </c>
      <c r="AK325" t="s">
        <v>43</v>
      </c>
      <c r="AL325" t="s">
        <v>43</v>
      </c>
      <c r="AM325" t="s">
        <v>43</v>
      </c>
      <c r="AN325" t="str">
        <f>HYPERLINK("https://www.google.com/maps?q=11.05478382,79.06093597","Open Location")</f>
        <v>Open Location</v>
      </c>
    </row>
    <row r="326" spans="1:40" x14ac:dyDescent="0.3">
      <c r="A326" s="1">
        <v>46210.962384259263</v>
      </c>
      <c r="B326" t="s">
        <v>40</v>
      </c>
      <c r="C326" t="s">
        <v>41</v>
      </c>
      <c r="D326" s="1">
        <v>46210.968148148146</v>
      </c>
      <c r="E326" t="s">
        <v>42</v>
      </c>
      <c r="F326" t="s">
        <v>43</v>
      </c>
      <c r="G326" t="s">
        <v>43</v>
      </c>
      <c r="H326" t="s">
        <v>43</v>
      </c>
      <c r="I326" t="s">
        <v>192</v>
      </c>
      <c r="J326" t="s">
        <v>43</v>
      </c>
      <c r="K326" t="s">
        <v>43</v>
      </c>
      <c r="L326" t="s">
        <v>43</v>
      </c>
      <c r="M326" t="s">
        <v>43</v>
      </c>
      <c r="N326" t="s">
        <v>45</v>
      </c>
      <c r="O326" t="s">
        <v>43</v>
      </c>
      <c r="P326" t="s">
        <v>43</v>
      </c>
      <c r="Q326" t="s">
        <v>43</v>
      </c>
      <c r="R326" t="s">
        <v>43</v>
      </c>
      <c r="S326" t="s">
        <v>43</v>
      </c>
      <c r="T326" t="s">
        <v>43</v>
      </c>
      <c r="U326" t="s">
        <v>43</v>
      </c>
      <c r="V326" t="s">
        <v>43</v>
      </c>
      <c r="W326" t="s">
        <v>43</v>
      </c>
      <c r="X326" t="s">
        <v>43</v>
      </c>
      <c r="Y326" t="s">
        <v>43</v>
      </c>
      <c r="Z326" t="s">
        <v>43</v>
      </c>
      <c r="AA326" t="s">
        <v>43</v>
      </c>
      <c r="AB326" t="s">
        <v>43</v>
      </c>
      <c r="AC326" t="s">
        <v>43</v>
      </c>
      <c r="AD326" t="s">
        <v>43</v>
      </c>
      <c r="AE326" t="s">
        <v>43</v>
      </c>
      <c r="AF326" t="s">
        <v>43</v>
      </c>
      <c r="AG326" t="s">
        <v>43</v>
      </c>
      <c r="AH326" t="s">
        <v>43</v>
      </c>
      <c r="AI326" t="s">
        <v>43</v>
      </c>
      <c r="AJ326" t="s">
        <v>43</v>
      </c>
      <c r="AK326" t="s">
        <v>43</v>
      </c>
      <c r="AL326" t="s">
        <v>43</v>
      </c>
      <c r="AM326" t="s">
        <v>43</v>
      </c>
      <c r="AN326" t="str">
        <f>HYPERLINK("https://www.google.com/maps?q=11.05478287,79.0609436","Open Location")</f>
        <v>Open Location</v>
      </c>
    </row>
    <row r="327" spans="1:40" x14ac:dyDescent="0.3">
      <c r="A327" s="1">
        <v>46210.962268518517</v>
      </c>
      <c r="B327" t="s">
        <v>40</v>
      </c>
      <c r="C327" t="s">
        <v>41</v>
      </c>
      <c r="D327" s="1">
        <v>46210.967118055552</v>
      </c>
      <c r="E327" t="s">
        <v>42</v>
      </c>
      <c r="F327" t="s">
        <v>43</v>
      </c>
      <c r="G327" t="s">
        <v>43</v>
      </c>
      <c r="H327" t="s">
        <v>43</v>
      </c>
      <c r="I327" t="s">
        <v>193</v>
      </c>
      <c r="J327" t="s">
        <v>43</v>
      </c>
      <c r="K327" t="s">
        <v>43</v>
      </c>
      <c r="L327" t="s">
        <v>43</v>
      </c>
      <c r="M327" t="s">
        <v>43</v>
      </c>
      <c r="N327" t="s">
        <v>45</v>
      </c>
      <c r="O327" t="s">
        <v>43</v>
      </c>
      <c r="P327" t="s">
        <v>43</v>
      </c>
      <c r="Q327" t="s">
        <v>43</v>
      </c>
      <c r="R327" t="s">
        <v>43</v>
      </c>
      <c r="S327" t="s">
        <v>43</v>
      </c>
      <c r="T327" t="s">
        <v>43</v>
      </c>
      <c r="U327" t="s">
        <v>43</v>
      </c>
      <c r="V327" t="s">
        <v>43</v>
      </c>
      <c r="W327" t="s">
        <v>43</v>
      </c>
      <c r="X327" t="s">
        <v>43</v>
      </c>
      <c r="Y327" t="s">
        <v>43</v>
      </c>
      <c r="Z327" t="s">
        <v>43</v>
      </c>
      <c r="AA327" t="s">
        <v>43</v>
      </c>
      <c r="AB327" t="s">
        <v>43</v>
      </c>
      <c r="AC327" t="s">
        <v>43</v>
      </c>
      <c r="AD327" t="s">
        <v>43</v>
      </c>
      <c r="AE327" t="s">
        <v>43</v>
      </c>
      <c r="AF327" t="s">
        <v>43</v>
      </c>
      <c r="AG327" t="s">
        <v>43</v>
      </c>
      <c r="AH327" t="s">
        <v>43</v>
      </c>
      <c r="AI327" t="s">
        <v>43</v>
      </c>
      <c r="AJ327" t="s">
        <v>43</v>
      </c>
      <c r="AK327" t="s">
        <v>43</v>
      </c>
      <c r="AL327" t="s">
        <v>43</v>
      </c>
      <c r="AM327" t="s">
        <v>43</v>
      </c>
      <c r="AN327" t="str">
        <f>HYPERLINK("https://www.google.com/maps?q=11.05478477,79.0609436","Open Location")</f>
        <v>Open Location</v>
      </c>
    </row>
    <row r="328" spans="1:40" x14ac:dyDescent="0.3">
      <c r="A328" s="1">
        <v>46210.962152777778</v>
      </c>
      <c r="B328" t="s">
        <v>40</v>
      </c>
      <c r="C328" t="s">
        <v>41</v>
      </c>
      <c r="D328" s="1">
        <v>46210.967083333337</v>
      </c>
      <c r="E328" t="s">
        <v>42</v>
      </c>
      <c r="F328" t="s">
        <v>43</v>
      </c>
      <c r="G328" t="s">
        <v>43</v>
      </c>
      <c r="H328" t="s">
        <v>43</v>
      </c>
      <c r="I328" t="s">
        <v>43</v>
      </c>
      <c r="J328" t="s">
        <v>43</v>
      </c>
      <c r="K328" t="s">
        <v>43</v>
      </c>
      <c r="L328" t="s">
        <v>43</v>
      </c>
      <c r="M328" t="s">
        <v>43</v>
      </c>
      <c r="N328" t="s">
        <v>45</v>
      </c>
      <c r="O328" t="s">
        <v>43</v>
      </c>
      <c r="P328" t="s">
        <v>43</v>
      </c>
      <c r="Q328" t="s">
        <v>43</v>
      </c>
      <c r="R328" t="s">
        <v>43</v>
      </c>
      <c r="S328" t="s">
        <v>43</v>
      </c>
      <c r="T328" t="s">
        <v>43</v>
      </c>
      <c r="U328" t="s">
        <v>43</v>
      </c>
      <c r="V328" t="s">
        <v>43</v>
      </c>
      <c r="W328" t="s">
        <v>43</v>
      </c>
      <c r="X328" t="s">
        <v>43</v>
      </c>
      <c r="Y328" t="s">
        <v>43</v>
      </c>
      <c r="Z328" t="s">
        <v>43</v>
      </c>
      <c r="AA328" t="s">
        <v>43</v>
      </c>
      <c r="AB328" t="s">
        <v>43</v>
      </c>
      <c r="AC328" t="s">
        <v>43</v>
      </c>
      <c r="AD328" t="s">
        <v>43</v>
      </c>
      <c r="AE328" t="s">
        <v>43</v>
      </c>
      <c r="AF328" t="s">
        <v>43</v>
      </c>
      <c r="AG328" t="s">
        <v>43</v>
      </c>
      <c r="AH328" t="s">
        <v>43</v>
      </c>
      <c r="AI328" t="s">
        <v>43</v>
      </c>
      <c r="AJ328" t="s">
        <v>43</v>
      </c>
      <c r="AK328" t="s">
        <v>43</v>
      </c>
      <c r="AL328" t="s">
        <v>43</v>
      </c>
      <c r="AM328" t="s">
        <v>43</v>
      </c>
      <c r="AN328" t="s">
        <v>43</v>
      </c>
    </row>
    <row r="329" spans="1:40" x14ac:dyDescent="0.3">
      <c r="A329" s="1">
        <v>46210.962037037039</v>
      </c>
      <c r="B329" t="s">
        <v>40</v>
      </c>
      <c r="C329" t="s">
        <v>41</v>
      </c>
      <c r="D329" s="1">
        <v>46210.966979166667</v>
      </c>
      <c r="E329" t="s">
        <v>42</v>
      </c>
      <c r="F329" t="s">
        <v>43</v>
      </c>
      <c r="G329" t="s">
        <v>43</v>
      </c>
      <c r="H329" t="s">
        <v>43</v>
      </c>
      <c r="I329" t="s">
        <v>194</v>
      </c>
      <c r="J329" t="s">
        <v>43</v>
      </c>
      <c r="K329" t="s">
        <v>43</v>
      </c>
      <c r="L329" t="s">
        <v>43</v>
      </c>
      <c r="M329" t="s">
        <v>43</v>
      </c>
      <c r="N329" t="s">
        <v>45</v>
      </c>
      <c r="O329" t="s">
        <v>43</v>
      </c>
      <c r="P329" t="s">
        <v>43</v>
      </c>
      <c r="Q329" t="s">
        <v>43</v>
      </c>
      <c r="R329" t="s">
        <v>43</v>
      </c>
      <c r="S329" t="s">
        <v>43</v>
      </c>
      <c r="T329" t="s">
        <v>43</v>
      </c>
      <c r="U329" t="s">
        <v>43</v>
      </c>
      <c r="V329" t="s">
        <v>43</v>
      </c>
      <c r="W329" t="s">
        <v>43</v>
      </c>
      <c r="X329" t="s">
        <v>43</v>
      </c>
      <c r="Y329" t="s">
        <v>43</v>
      </c>
      <c r="Z329" t="s">
        <v>43</v>
      </c>
      <c r="AA329" t="s">
        <v>43</v>
      </c>
      <c r="AB329" t="s">
        <v>43</v>
      </c>
      <c r="AC329" t="s">
        <v>43</v>
      </c>
      <c r="AD329" t="s">
        <v>43</v>
      </c>
      <c r="AE329" t="s">
        <v>43</v>
      </c>
      <c r="AF329" t="s">
        <v>43</v>
      </c>
      <c r="AG329" t="s">
        <v>43</v>
      </c>
      <c r="AH329" t="s">
        <v>43</v>
      </c>
      <c r="AI329" t="s">
        <v>43</v>
      </c>
      <c r="AJ329" t="s">
        <v>43</v>
      </c>
      <c r="AK329" t="s">
        <v>43</v>
      </c>
      <c r="AL329" t="s">
        <v>43</v>
      </c>
      <c r="AM329" t="s">
        <v>43</v>
      </c>
      <c r="AN329" t="str">
        <f>HYPERLINK("https://www.google.com/maps?q=11.05478382,79.06095123","Open Location")</f>
        <v>Open Location</v>
      </c>
    </row>
    <row r="330" spans="1:40" x14ac:dyDescent="0.3">
      <c r="A330" s="1">
        <v>46210.961921296293</v>
      </c>
      <c r="B330" t="s">
        <v>40</v>
      </c>
      <c r="C330" t="s">
        <v>41</v>
      </c>
      <c r="D330" s="1">
        <v>46210.965902777774</v>
      </c>
      <c r="E330" t="s">
        <v>42</v>
      </c>
      <c r="F330" t="s">
        <v>43</v>
      </c>
      <c r="G330" t="s">
        <v>43</v>
      </c>
      <c r="H330" t="s">
        <v>43</v>
      </c>
      <c r="I330" t="s">
        <v>169</v>
      </c>
      <c r="J330" t="s">
        <v>43</v>
      </c>
      <c r="K330" t="s">
        <v>43</v>
      </c>
      <c r="L330" t="s">
        <v>43</v>
      </c>
      <c r="M330" t="s">
        <v>43</v>
      </c>
      <c r="N330" t="s">
        <v>45</v>
      </c>
      <c r="O330" t="s">
        <v>43</v>
      </c>
      <c r="P330" t="s">
        <v>43</v>
      </c>
      <c r="Q330" t="s">
        <v>43</v>
      </c>
      <c r="R330" t="s">
        <v>43</v>
      </c>
      <c r="S330" t="s">
        <v>43</v>
      </c>
      <c r="T330" t="s">
        <v>43</v>
      </c>
      <c r="U330" t="s">
        <v>43</v>
      </c>
      <c r="V330" t="s">
        <v>43</v>
      </c>
      <c r="W330" t="s">
        <v>43</v>
      </c>
      <c r="X330" t="s">
        <v>43</v>
      </c>
      <c r="Y330" t="s">
        <v>43</v>
      </c>
      <c r="Z330" t="s">
        <v>43</v>
      </c>
      <c r="AA330" t="s">
        <v>43</v>
      </c>
      <c r="AB330" t="s">
        <v>43</v>
      </c>
      <c r="AC330" t="s">
        <v>43</v>
      </c>
      <c r="AD330" t="s">
        <v>43</v>
      </c>
      <c r="AE330" t="s">
        <v>43</v>
      </c>
      <c r="AF330" t="s">
        <v>43</v>
      </c>
      <c r="AG330" t="s">
        <v>43</v>
      </c>
      <c r="AH330" t="s">
        <v>43</v>
      </c>
      <c r="AI330" t="s">
        <v>43</v>
      </c>
      <c r="AJ330" t="s">
        <v>43</v>
      </c>
      <c r="AK330" t="s">
        <v>43</v>
      </c>
      <c r="AL330" t="s">
        <v>43</v>
      </c>
      <c r="AM330" t="s">
        <v>43</v>
      </c>
      <c r="AN330" t="str">
        <f>HYPERLINK("https://www.google.com/maps?q=11.0547781,79.06095123","Open Location")</f>
        <v>Open Location</v>
      </c>
    </row>
    <row r="331" spans="1:40" x14ac:dyDescent="0.3">
      <c r="A331" s="1">
        <v>46210.961805555555</v>
      </c>
      <c r="B331" t="s">
        <v>40</v>
      </c>
      <c r="C331" t="s">
        <v>41</v>
      </c>
      <c r="D331" s="1">
        <v>46210.965300925927</v>
      </c>
      <c r="E331" t="s">
        <v>42</v>
      </c>
      <c r="F331" t="s">
        <v>43</v>
      </c>
      <c r="G331" t="s">
        <v>43</v>
      </c>
      <c r="H331" t="s">
        <v>43</v>
      </c>
      <c r="I331" t="s">
        <v>195</v>
      </c>
      <c r="J331" t="s">
        <v>43</v>
      </c>
      <c r="K331" t="s">
        <v>43</v>
      </c>
      <c r="L331" t="s">
        <v>43</v>
      </c>
      <c r="M331" t="s">
        <v>43</v>
      </c>
      <c r="N331" t="s">
        <v>45</v>
      </c>
      <c r="O331" t="s">
        <v>43</v>
      </c>
      <c r="P331" t="s">
        <v>43</v>
      </c>
      <c r="Q331" t="s">
        <v>43</v>
      </c>
      <c r="R331" t="s">
        <v>43</v>
      </c>
      <c r="S331" t="s">
        <v>43</v>
      </c>
      <c r="T331" t="s">
        <v>43</v>
      </c>
      <c r="U331" t="s">
        <v>43</v>
      </c>
      <c r="V331" t="s">
        <v>43</v>
      </c>
      <c r="W331" t="s">
        <v>43</v>
      </c>
      <c r="X331" t="s">
        <v>43</v>
      </c>
      <c r="Y331" t="s">
        <v>43</v>
      </c>
      <c r="Z331" t="s">
        <v>43</v>
      </c>
      <c r="AA331" t="s">
        <v>43</v>
      </c>
      <c r="AB331" t="s">
        <v>43</v>
      </c>
      <c r="AC331" t="s">
        <v>43</v>
      </c>
      <c r="AD331" t="s">
        <v>43</v>
      </c>
      <c r="AE331" t="s">
        <v>43</v>
      </c>
      <c r="AF331" t="s">
        <v>43</v>
      </c>
      <c r="AG331" t="s">
        <v>43</v>
      </c>
      <c r="AH331" t="s">
        <v>43</v>
      </c>
      <c r="AI331" t="s">
        <v>43</v>
      </c>
      <c r="AJ331" t="s">
        <v>43</v>
      </c>
      <c r="AK331" t="s">
        <v>43</v>
      </c>
      <c r="AL331" t="s">
        <v>43</v>
      </c>
      <c r="AM331" t="s">
        <v>43</v>
      </c>
      <c r="AN331" t="str">
        <f>HYPERLINK("https://www.google.com/maps?q=11.05478382,79.06095886","Open Location")</f>
        <v>Open Location</v>
      </c>
    </row>
    <row r="332" spans="1:40" x14ac:dyDescent="0.3">
      <c r="A332" s="1">
        <v>46210.961689814816</v>
      </c>
      <c r="B332" t="s">
        <v>40</v>
      </c>
      <c r="C332" t="s">
        <v>41</v>
      </c>
      <c r="D332" s="1">
        <v>46210.965266203704</v>
      </c>
      <c r="E332" t="s">
        <v>42</v>
      </c>
      <c r="F332" t="s">
        <v>43</v>
      </c>
      <c r="G332" t="s">
        <v>43</v>
      </c>
      <c r="H332" t="s">
        <v>43</v>
      </c>
      <c r="I332" t="s">
        <v>100</v>
      </c>
      <c r="J332" t="s">
        <v>43</v>
      </c>
      <c r="K332" t="s">
        <v>43</v>
      </c>
      <c r="L332" t="s">
        <v>43</v>
      </c>
      <c r="M332" t="s">
        <v>43</v>
      </c>
      <c r="N332" t="s">
        <v>45</v>
      </c>
      <c r="O332" t="s">
        <v>43</v>
      </c>
      <c r="P332" t="s">
        <v>43</v>
      </c>
      <c r="Q332" t="s">
        <v>43</v>
      </c>
      <c r="R332" t="s">
        <v>43</v>
      </c>
      <c r="S332" t="s">
        <v>43</v>
      </c>
      <c r="T332" t="s">
        <v>43</v>
      </c>
      <c r="U332" t="s">
        <v>43</v>
      </c>
      <c r="V332" t="s">
        <v>43</v>
      </c>
      <c r="W332" t="s">
        <v>43</v>
      </c>
      <c r="X332" t="s">
        <v>43</v>
      </c>
      <c r="Y332" t="s">
        <v>43</v>
      </c>
      <c r="Z332" t="s">
        <v>43</v>
      </c>
      <c r="AA332" t="s">
        <v>43</v>
      </c>
      <c r="AB332" t="s">
        <v>43</v>
      </c>
      <c r="AC332" t="s">
        <v>43</v>
      </c>
      <c r="AD332" t="s">
        <v>43</v>
      </c>
      <c r="AE332" t="s">
        <v>43</v>
      </c>
      <c r="AF332" t="s">
        <v>43</v>
      </c>
      <c r="AG332" t="s">
        <v>43</v>
      </c>
      <c r="AH332" t="s">
        <v>43</v>
      </c>
      <c r="AI332" t="s">
        <v>43</v>
      </c>
      <c r="AJ332" t="s">
        <v>43</v>
      </c>
      <c r="AK332" t="s">
        <v>43</v>
      </c>
      <c r="AL332" t="s">
        <v>43</v>
      </c>
      <c r="AM332" t="s">
        <v>43</v>
      </c>
      <c r="AN332" t="str">
        <f>HYPERLINK("https://www.google.com/maps?q=11.05477905,79.06095886","Open Location")</f>
        <v>Open Location</v>
      </c>
    </row>
    <row r="333" spans="1:40" x14ac:dyDescent="0.3">
      <c r="A333" s="1">
        <v>46210.961574074077</v>
      </c>
      <c r="B333" t="s">
        <v>40</v>
      </c>
      <c r="C333" t="s">
        <v>41</v>
      </c>
      <c r="D333" s="1">
        <v>46210.966238425928</v>
      </c>
      <c r="E333" t="s">
        <v>42</v>
      </c>
      <c r="F333" t="s">
        <v>43</v>
      </c>
      <c r="G333" t="s">
        <v>43</v>
      </c>
      <c r="H333" t="s">
        <v>43</v>
      </c>
      <c r="I333" t="s">
        <v>196</v>
      </c>
      <c r="J333" t="s">
        <v>43</v>
      </c>
      <c r="K333" t="s">
        <v>43</v>
      </c>
      <c r="L333" t="s">
        <v>43</v>
      </c>
      <c r="M333" t="s">
        <v>43</v>
      </c>
      <c r="N333" t="s">
        <v>45</v>
      </c>
      <c r="O333" t="s">
        <v>43</v>
      </c>
      <c r="P333" t="s">
        <v>43</v>
      </c>
      <c r="Q333" t="s">
        <v>43</v>
      </c>
      <c r="R333" t="s">
        <v>43</v>
      </c>
      <c r="S333" t="s">
        <v>43</v>
      </c>
      <c r="T333" t="s">
        <v>43</v>
      </c>
      <c r="U333" t="s">
        <v>43</v>
      </c>
      <c r="V333" t="s">
        <v>43</v>
      </c>
      <c r="W333" t="s">
        <v>43</v>
      </c>
      <c r="X333" t="s">
        <v>43</v>
      </c>
      <c r="Y333" t="s">
        <v>43</v>
      </c>
      <c r="Z333" t="s">
        <v>43</v>
      </c>
      <c r="AA333" t="s">
        <v>43</v>
      </c>
      <c r="AB333" t="s">
        <v>43</v>
      </c>
      <c r="AC333" t="s">
        <v>43</v>
      </c>
      <c r="AD333" t="s">
        <v>43</v>
      </c>
      <c r="AE333" t="s">
        <v>43</v>
      </c>
      <c r="AF333" t="s">
        <v>43</v>
      </c>
      <c r="AG333" t="s">
        <v>43</v>
      </c>
      <c r="AH333" t="s">
        <v>43</v>
      </c>
      <c r="AI333" t="s">
        <v>43</v>
      </c>
      <c r="AJ333" t="s">
        <v>43</v>
      </c>
      <c r="AK333" t="s">
        <v>43</v>
      </c>
      <c r="AL333" t="s">
        <v>43</v>
      </c>
      <c r="AM333" t="s">
        <v>43</v>
      </c>
      <c r="AN333" t="str">
        <f>HYPERLINK("https://www.google.com/maps?q=11.05477428,79.06096649","Open Location")</f>
        <v>Open Location</v>
      </c>
    </row>
    <row r="334" spans="1:40" x14ac:dyDescent="0.3">
      <c r="A334" s="1">
        <v>46210.961458333331</v>
      </c>
      <c r="B334" t="s">
        <v>40</v>
      </c>
      <c r="C334" t="s">
        <v>41</v>
      </c>
      <c r="D334" s="1">
        <v>46210.966226851851</v>
      </c>
      <c r="E334" t="s">
        <v>42</v>
      </c>
      <c r="F334" t="s">
        <v>43</v>
      </c>
      <c r="G334" t="s">
        <v>43</v>
      </c>
      <c r="H334" t="s">
        <v>43</v>
      </c>
      <c r="I334" t="s">
        <v>43</v>
      </c>
      <c r="J334" t="s">
        <v>43</v>
      </c>
      <c r="K334" t="s">
        <v>43</v>
      </c>
      <c r="L334" t="s">
        <v>43</v>
      </c>
      <c r="M334" t="s">
        <v>43</v>
      </c>
      <c r="N334" t="s">
        <v>45</v>
      </c>
      <c r="O334" t="s">
        <v>43</v>
      </c>
      <c r="P334" t="s">
        <v>43</v>
      </c>
      <c r="Q334" t="s">
        <v>43</v>
      </c>
      <c r="R334" t="s">
        <v>43</v>
      </c>
      <c r="S334" t="s">
        <v>43</v>
      </c>
      <c r="T334" t="s">
        <v>43</v>
      </c>
      <c r="U334" t="s">
        <v>43</v>
      </c>
      <c r="V334" t="s">
        <v>43</v>
      </c>
      <c r="W334" t="s">
        <v>43</v>
      </c>
      <c r="X334" t="s">
        <v>43</v>
      </c>
      <c r="Y334" t="s">
        <v>43</v>
      </c>
      <c r="Z334" t="s">
        <v>43</v>
      </c>
      <c r="AA334" t="s">
        <v>43</v>
      </c>
      <c r="AB334" t="s">
        <v>43</v>
      </c>
      <c r="AC334" t="s">
        <v>43</v>
      </c>
      <c r="AD334" t="s">
        <v>43</v>
      </c>
      <c r="AE334" t="s">
        <v>43</v>
      </c>
      <c r="AF334" t="s">
        <v>43</v>
      </c>
      <c r="AG334" t="s">
        <v>43</v>
      </c>
      <c r="AH334" t="s">
        <v>43</v>
      </c>
      <c r="AI334" t="s">
        <v>43</v>
      </c>
      <c r="AJ334" t="s">
        <v>43</v>
      </c>
      <c r="AK334" t="s">
        <v>43</v>
      </c>
      <c r="AL334" t="s">
        <v>43</v>
      </c>
      <c r="AM334" t="s">
        <v>43</v>
      </c>
      <c r="AN334" t="s">
        <v>43</v>
      </c>
    </row>
    <row r="335" spans="1:40" x14ac:dyDescent="0.3">
      <c r="A335" s="1">
        <v>46210.961342592593</v>
      </c>
      <c r="B335" t="s">
        <v>40</v>
      </c>
      <c r="C335" t="s">
        <v>41</v>
      </c>
      <c r="D335" s="1">
        <v>46210.966932870368</v>
      </c>
      <c r="E335" t="s">
        <v>42</v>
      </c>
      <c r="F335" t="s">
        <v>43</v>
      </c>
      <c r="G335" t="s">
        <v>43</v>
      </c>
      <c r="H335" t="s">
        <v>43</v>
      </c>
      <c r="I335" t="s">
        <v>197</v>
      </c>
      <c r="J335" t="s">
        <v>43</v>
      </c>
      <c r="K335" t="s">
        <v>43</v>
      </c>
      <c r="L335" t="s">
        <v>43</v>
      </c>
      <c r="M335" t="s">
        <v>43</v>
      </c>
      <c r="N335" t="s">
        <v>45</v>
      </c>
      <c r="O335" t="s">
        <v>43</v>
      </c>
      <c r="P335" t="s">
        <v>43</v>
      </c>
      <c r="Q335" t="s">
        <v>43</v>
      </c>
      <c r="R335" t="s">
        <v>43</v>
      </c>
      <c r="S335" t="s">
        <v>43</v>
      </c>
      <c r="T335" t="s">
        <v>43</v>
      </c>
      <c r="U335" t="s">
        <v>43</v>
      </c>
      <c r="V335" t="s">
        <v>43</v>
      </c>
      <c r="W335" t="s">
        <v>43</v>
      </c>
      <c r="X335" t="s">
        <v>43</v>
      </c>
      <c r="Y335" t="s">
        <v>43</v>
      </c>
      <c r="Z335" t="s">
        <v>43</v>
      </c>
      <c r="AA335" t="s">
        <v>43</v>
      </c>
      <c r="AB335" t="s">
        <v>43</v>
      </c>
      <c r="AC335" t="s">
        <v>43</v>
      </c>
      <c r="AD335" t="s">
        <v>43</v>
      </c>
      <c r="AE335" t="s">
        <v>43</v>
      </c>
      <c r="AF335" t="s">
        <v>43</v>
      </c>
      <c r="AG335" t="s">
        <v>43</v>
      </c>
      <c r="AH335" t="s">
        <v>43</v>
      </c>
      <c r="AI335" t="s">
        <v>43</v>
      </c>
      <c r="AJ335" t="s">
        <v>43</v>
      </c>
      <c r="AK335" t="s">
        <v>43</v>
      </c>
      <c r="AL335" t="s">
        <v>43</v>
      </c>
      <c r="AM335" t="s">
        <v>43</v>
      </c>
      <c r="AN335" t="str">
        <f>HYPERLINK("https://www.google.com/maps?q=11.05477715,79.06096649","Open Location")</f>
        <v>Open Location</v>
      </c>
    </row>
    <row r="336" spans="1:40" x14ac:dyDescent="0.3">
      <c r="A336" s="1">
        <v>46210.961226851854</v>
      </c>
      <c r="B336" t="s">
        <v>40</v>
      </c>
      <c r="C336" t="s">
        <v>41</v>
      </c>
      <c r="D336" s="1">
        <v>46210.966898148145</v>
      </c>
      <c r="E336" t="s">
        <v>42</v>
      </c>
      <c r="F336" t="s">
        <v>43</v>
      </c>
      <c r="G336" t="s">
        <v>43</v>
      </c>
      <c r="H336" t="s">
        <v>43</v>
      </c>
      <c r="I336" t="s">
        <v>198</v>
      </c>
      <c r="J336" t="s">
        <v>43</v>
      </c>
      <c r="K336" t="s">
        <v>43</v>
      </c>
      <c r="L336" t="s">
        <v>43</v>
      </c>
      <c r="M336" t="s">
        <v>43</v>
      </c>
      <c r="N336" t="s">
        <v>45</v>
      </c>
      <c r="O336" t="s">
        <v>43</v>
      </c>
      <c r="P336" t="s">
        <v>43</v>
      </c>
      <c r="Q336" t="s">
        <v>43</v>
      </c>
      <c r="R336" t="s">
        <v>43</v>
      </c>
      <c r="S336" t="s">
        <v>43</v>
      </c>
      <c r="T336" t="s">
        <v>43</v>
      </c>
      <c r="U336" t="s">
        <v>43</v>
      </c>
      <c r="V336" t="s">
        <v>43</v>
      </c>
      <c r="W336" t="s">
        <v>43</v>
      </c>
      <c r="X336" t="s">
        <v>43</v>
      </c>
      <c r="Y336" t="s">
        <v>43</v>
      </c>
      <c r="Z336" t="s">
        <v>43</v>
      </c>
      <c r="AA336" t="s">
        <v>43</v>
      </c>
      <c r="AB336" t="s">
        <v>43</v>
      </c>
      <c r="AC336" t="s">
        <v>43</v>
      </c>
      <c r="AD336" t="s">
        <v>43</v>
      </c>
      <c r="AE336" t="s">
        <v>43</v>
      </c>
      <c r="AF336" t="s">
        <v>43</v>
      </c>
      <c r="AG336" t="s">
        <v>43</v>
      </c>
      <c r="AH336" t="s">
        <v>43</v>
      </c>
      <c r="AI336" t="s">
        <v>43</v>
      </c>
      <c r="AJ336" t="s">
        <v>43</v>
      </c>
      <c r="AK336" t="s">
        <v>43</v>
      </c>
      <c r="AL336" t="s">
        <v>43</v>
      </c>
      <c r="AM336" t="s">
        <v>43</v>
      </c>
      <c r="AN336" t="str">
        <f>HYPERLINK("https://www.google.com/maps?q=11.05477619,79.06097412","Open Location")</f>
        <v>Open Location</v>
      </c>
    </row>
    <row r="337" spans="1:40" x14ac:dyDescent="0.3">
      <c r="A337" s="1">
        <v>46210.961111111108</v>
      </c>
      <c r="B337" t="s">
        <v>40</v>
      </c>
      <c r="C337" t="s">
        <v>41</v>
      </c>
      <c r="D337" s="1">
        <v>46210.966064814813</v>
      </c>
      <c r="E337" t="s">
        <v>42</v>
      </c>
      <c r="F337" t="s">
        <v>43</v>
      </c>
      <c r="G337" t="s">
        <v>43</v>
      </c>
      <c r="H337" t="s">
        <v>43</v>
      </c>
      <c r="I337" t="s">
        <v>199</v>
      </c>
      <c r="J337" t="s">
        <v>43</v>
      </c>
      <c r="K337" t="s">
        <v>43</v>
      </c>
      <c r="L337" t="s">
        <v>43</v>
      </c>
      <c r="M337" t="s">
        <v>43</v>
      </c>
      <c r="N337" t="s">
        <v>45</v>
      </c>
      <c r="O337" t="s">
        <v>43</v>
      </c>
      <c r="P337" t="s">
        <v>43</v>
      </c>
      <c r="Q337" t="s">
        <v>43</v>
      </c>
      <c r="R337" t="s">
        <v>43</v>
      </c>
      <c r="S337" t="s">
        <v>43</v>
      </c>
      <c r="T337" t="s">
        <v>43</v>
      </c>
      <c r="U337" t="s">
        <v>43</v>
      </c>
      <c r="V337" t="s">
        <v>43</v>
      </c>
      <c r="W337" t="s">
        <v>43</v>
      </c>
      <c r="X337" t="s">
        <v>43</v>
      </c>
      <c r="Y337" t="s">
        <v>43</v>
      </c>
      <c r="Z337" t="s">
        <v>43</v>
      </c>
      <c r="AA337" t="s">
        <v>43</v>
      </c>
      <c r="AB337" t="s">
        <v>43</v>
      </c>
      <c r="AC337" t="s">
        <v>43</v>
      </c>
      <c r="AD337" t="s">
        <v>43</v>
      </c>
      <c r="AE337" t="s">
        <v>43</v>
      </c>
      <c r="AF337" t="s">
        <v>43</v>
      </c>
      <c r="AG337" t="s">
        <v>43</v>
      </c>
      <c r="AH337" t="s">
        <v>43</v>
      </c>
      <c r="AI337" t="s">
        <v>43</v>
      </c>
      <c r="AJ337" t="s">
        <v>43</v>
      </c>
      <c r="AK337" t="s">
        <v>43</v>
      </c>
      <c r="AL337" t="s">
        <v>43</v>
      </c>
      <c r="AM337" t="s">
        <v>43</v>
      </c>
      <c r="AN337" t="str">
        <f>HYPERLINK("https://www.google.com/maps?q=11.05477905,79.06097412","Open Location")</f>
        <v>Open Location</v>
      </c>
    </row>
    <row r="338" spans="1:40" x14ac:dyDescent="0.3">
      <c r="A338" s="1">
        <v>46210.960995370369</v>
      </c>
      <c r="B338" t="s">
        <v>40</v>
      </c>
      <c r="C338" t="s">
        <v>41</v>
      </c>
      <c r="D338" s="1">
        <v>46210.965902777774</v>
      </c>
      <c r="E338" t="s">
        <v>42</v>
      </c>
      <c r="F338" t="s">
        <v>43</v>
      </c>
      <c r="G338" t="s">
        <v>43</v>
      </c>
      <c r="H338" t="s">
        <v>43</v>
      </c>
      <c r="I338" t="s">
        <v>200</v>
      </c>
      <c r="J338" t="s">
        <v>43</v>
      </c>
      <c r="K338" t="s">
        <v>43</v>
      </c>
      <c r="L338" t="s">
        <v>43</v>
      </c>
      <c r="M338" t="s">
        <v>43</v>
      </c>
      <c r="N338" t="s">
        <v>45</v>
      </c>
      <c r="O338" t="s">
        <v>43</v>
      </c>
      <c r="P338" t="s">
        <v>43</v>
      </c>
      <c r="Q338" t="s">
        <v>43</v>
      </c>
      <c r="R338" t="s">
        <v>43</v>
      </c>
      <c r="S338" t="s">
        <v>43</v>
      </c>
      <c r="T338" t="s">
        <v>43</v>
      </c>
      <c r="U338" t="s">
        <v>43</v>
      </c>
      <c r="V338" t="s">
        <v>43</v>
      </c>
      <c r="W338" t="s">
        <v>43</v>
      </c>
      <c r="X338" t="s">
        <v>43</v>
      </c>
      <c r="Y338" t="s">
        <v>43</v>
      </c>
      <c r="Z338" t="s">
        <v>43</v>
      </c>
      <c r="AA338" t="s">
        <v>43</v>
      </c>
      <c r="AB338" t="s">
        <v>43</v>
      </c>
      <c r="AC338" t="s">
        <v>43</v>
      </c>
      <c r="AD338" t="s">
        <v>43</v>
      </c>
      <c r="AE338" t="s">
        <v>43</v>
      </c>
      <c r="AF338" t="s">
        <v>43</v>
      </c>
      <c r="AG338" t="s">
        <v>43</v>
      </c>
      <c r="AH338" t="s">
        <v>43</v>
      </c>
      <c r="AI338" t="s">
        <v>43</v>
      </c>
      <c r="AJ338" t="s">
        <v>43</v>
      </c>
      <c r="AK338" t="s">
        <v>43</v>
      </c>
      <c r="AL338" t="s">
        <v>43</v>
      </c>
      <c r="AM338" t="s">
        <v>43</v>
      </c>
      <c r="AN338" t="str">
        <f>HYPERLINK("https://www.google.com/maps?q=11.05478191,79.06097412","Open Location")</f>
        <v>Open Location</v>
      </c>
    </row>
    <row r="339" spans="1:40" x14ac:dyDescent="0.3">
      <c r="A339" s="1">
        <v>46210.960879629631</v>
      </c>
      <c r="B339" t="s">
        <v>40</v>
      </c>
      <c r="C339" t="s">
        <v>41</v>
      </c>
      <c r="D339" s="1">
        <v>46210.964537037034</v>
      </c>
      <c r="E339" t="s">
        <v>42</v>
      </c>
      <c r="F339" t="s">
        <v>43</v>
      </c>
      <c r="G339" t="s">
        <v>43</v>
      </c>
      <c r="H339" t="s">
        <v>43</v>
      </c>
      <c r="I339" t="s">
        <v>201</v>
      </c>
      <c r="J339" t="s">
        <v>43</v>
      </c>
      <c r="K339" t="s">
        <v>43</v>
      </c>
      <c r="L339" t="s">
        <v>43</v>
      </c>
      <c r="M339" t="s">
        <v>43</v>
      </c>
      <c r="N339" t="s">
        <v>45</v>
      </c>
      <c r="O339" t="s">
        <v>43</v>
      </c>
      <c r="P339" t="s">
        <v>43</v>
      </c>
      <c r="Q339" t="s">
        <v>43</v>
      </c>
      <c r="R339" t="s">
        <v>43</v>
      </c>
      <c r="S339" t="s">
        <v>43</v>
      </c>
      <c r="T339" t="s">
        <v>43</v>
      </c>
      <c r="U339" t="s">
        <v>43</v>
      </c>
      <c r="V339" t="s">
        <v>43</v>
      </c>
      <c r="W339" t="s">
        <v>43</v>
      </c>
      <c r="X339" t="s">
        <v>43</v>
      </c>
      <c r="Y339" t="s">
        <v>43</v>
      </c>
      <c r="Z339" t="s">
        <v>43</v>
      </c>
      <c r="AA339" t="s">
        <v>43</v>
      </c>
      <c r="AB339" t="s">
        <v>43</v>
      </c>
      <c r="AC339" t="s">
        <v>43</v>
      </c>
      <c r="AD339" t="s">
        <v>43</v>
      </c>
      <c r="AE339" t="s">
        <v>43</v>
      </c>
      <c r="AF339" t="s">
        <v>43</v>
      </c>
      <c r="AG339" t="s">
        <v>43</v>
      </c>
      <c r="AH339" t="s">
        <v>43</v>
      </c>
      <c r="AI339" t="s">
        <v>43</v>
      </c>
      <c r="AJ339" t="s">
        <v>43</v>
      </c>
      <c r="AK339" t="s">
        <v>43</v>
      </c>
      <c r="AL339" t="s">
        <v>43</v>
      </c>
      <c r="AM339" t="s">
        <v>43</v>
      </c>
      <c r="AN339" t="str">
        <f>HYPERLINK("https://www.google.com/maps?q=11.0547781,79.06096649","Open Location")</f>
        <v>Open Location</v>
      </c>
    </row>
    <row r="340" spans="1:40" x14ac:dyDescent="0.3">
      <c r="A340" s="1">
        <v>46210.960763888892</v>
      </c>
      <c r="B340" t="s">
        <v>40</v>
      </c>
      <c r="C340" t="s">
        <v>41</v>
      </c>
      <c r="D340" s="1">
        <v>46210.964618055557</v>
      </c>
      <c r="E340" t="s">
        <v>42</v>
      </c>
      <c r="F340" t="s">
        <v>43</v>
      </c>
      <c r="G340" t="s">
        <v>43</v>
      </c>
      <c r="H340" t="s">
        <v>43</v>
      </c>
      <c r="I340" t="s">
        <v>43</v>
      </c>
      <c r="J340" t="s">
        <v>43</v>
      </c>
      <c r="K340" t="s">
        <v>43</v>
      </c>
      <c r="L340" t="s">
        <v>43</v>
      </c>
      <c r="M340" t="s">
        <v>43</v>
      </c>
      <c r="N340" t="s">
        <v>45</v>
      </c>
      <c r="O340" t="s">
        <v>43</v>
      </c>
      <c r="P340" t="s">
        <v>43</v>
      </c>
      <c r="Q340" t="s">
        <v>43</v>
      </c>
      <c r="R340" t="s">
        <v>43</v>
      </c>
      <c r="S340" t="s">
        <v>43</v>
      </c>
      <c r="T340" t="s">
        <v>43</v>
      </c>
      <c r="U340" t="s">
        <v>43</v>
      </c>
      <c r="V340" t="s">
        <v>43</v>
      </c>
      <c r="W340" t="s">
        <v>43</v>
      </c>
      <c r="X340" t="s">
        <v>43</v>
      </c>
      <c r="Y340" t="s">
        <v>43</v>
      </c>
      <c r="Z340" t="s">
        <v>43</v>
      </c>
      <c r="AA340" t="s">
        <v>43</v>
      </c>
      <c r="AB340" t="s">
        <v>43</v>
      </c>
      <c r="AC340" t="s">
        <v>43</v>
      </c>
      <c r="AD340" t="s">
        <v>43</v>
      </c>
      <c r="AE340" t="s">
        <v>43</v>
      </c>
      <c r="AF340" t="s">
        <v>43</v>
      </c>
      <c r="AG340" t="s">
        <v>43</v>
      </c>
      <c r="AH340" t="s">
        <v>43</v>
      </c>
      <c r="AI340" t="s">
        <v>43</v>
      </c>
      <c r="AJ340" t="s">
        <v>43</v>
      </c>
      <c r="AK340" t="s">
        <v>43</v>
      </c>
      <c r="AL340" t="s">
        <v>43</v>
      </c>
      <c r="AM340" t="s">
        <v>43</v>
      </c>
      <c r="AN340" t="s">
        <v>43</v>
      </c>
    </row>
    <row r="341" spans="1:40" x14ac:dyDescent="0.3">
      <c r="A341" s="1">
        <v>46210.960648148146</v>
      </c>
      <c r="B341" t="s">
        <v>40</v>
      </c>
      <c r="C341" t="s">
        <v>41</v>
      </c>
      <c r="D341" s="1">
        <v>46210.964363425926</v>
      </c>
      <c r="E341" t="s">
        <v>42</v>
      </c>
      <c r="F341" t="s">
        <v>43</v>
      </c>
      <c r="G341" t="s">
        <v>43</v>
      </c>
      <c r="H341" t="s">
        <v>43</v>
      </c>
      <c r="I341" t="s">
        <v>197</v>
      </c>
      <c r="J341" t="s">
        <v>43</v>
      </c>
      <c r="K341" t="s">
        <v>43</v>
      </c>
      <c r="L341" t="s">
        <v>43</v>
      </c>
      <c r="M341" t="s">
        <v>43</v>
      </c>
      <c r="N341" t="s">
        <v>45</v>
      </c>
      <c r="O341" t="s">
        <v>43</v>
      </c>
      <c r="P341" t="s">
        <v>43</v>
      </c>
      <c r="Q341" t="s">
        <v>43</v>
      </c>
      <c r="R341" t="s">
        <v>43</v>
      </c>
      <c r="S341" t="s">
        <v>43</v>
      </c>
      <c r="T341" t="s">
        <v>43</v>
      </c>
      <c r="U341" t="s">
        <v>43</v>
      </c>
      <c r="V341" t="s">
        <v>43</v>
      </c>
      <c r="W341" t="s">
        <v>43</v>
      </c>
      <c r="X341" t="s">
        <v>43</v>
      </c>
      <c r="Y341" t="s">
        <v>43</v>
      </c>
      <c r="Z341" t="s">
        <v>43</v>
      </c>
      <c r="AA341" t="s">
        <v>43</v>
      </c>
      <c r="AB341" t="s">
        <v>43</v>
      </c>
      <c r="AC341" t="s">
        <v>43</v>
      </c>
      <c r="AD341" t="s">
        <v>43</v>
      </c>
      <c r="AE341" t="s">
        <v>43</v>
      </c>
      <c r="AF341" t="s">
        <v>43</v>
      </c>
      <c r="AG341" t="s">
        <v>43</v>
      </c>
      <c r="AH341" t="s">
        <v>43</v>
      </c>
      <c r="AI341" t="s">
        <v>43</v>
      </c>
      <c r="AJ341" t="s">
        <v>43</v>
      </c>
      <c r="AK341" t="s">
        <v>43</v>
      </c>
      <c r="AL341" t="s">
        <v>43</v>
      </c>
      <c r="AM341" t="s">
        <v>43</v>
      </c>
      <c r="AN341" t="str">
        <f>HYPERLINK("https://www.google.com/maps?q=11.05477715,79.06096649","Open Location")</f>
        <v>Open Location</v>
      </c>
    </row>
    <row r="342" spans="1:40" x14ac:dyDescent="0.3">
      <c r="A342" s="1">
        <v>46210.960532407407</v>
      </c>
      <c r="B342" t="s">
        <v>40</v>
      </c>
      <c r="C342" t="s">
        <v>41</v>
      </c>
      <c r="D342" s="1">
        <v>46210.964375000003</v>
      </c>
      <c r="E342" t="s">
        <v>42</v>
      </c>
      <c r="F342" t="s">
        <v>43</v>
      </c>
      <c r="G342" t="s">
        <v>43</v>
      </c>
      <c r="H342" t="s">
        <v>43</v>
      </c>
      <c r="I342" t="s">
        <v>202</v>
      </c>
      <c r="J342" t="s">
        <v>43</v>
      </c>
      <c r="K342" t="s">
        <v>43</v>
      </c>
      <c r="L342" t="s">
        <v>43</v>
      </c>
      <c r="M342" t="s">
        <v>43</v>
      </c>
      <c r="N342" t="s">
        <v>45</v>
      </c>
      <c r="O342" t="s">
        <v>43</v>
      </c>
      <c r="P342" t="s">
        <v>43</v>
      </c>
      <c r="Q342" t="s">
        <v>43</v>
      </c>
      <c r="R342" t="s">
        <v>43</v>
      </c>
      <c r="S342" t="s">
        <v>43</v>
      </c>
      <c r="T342" t="s">
        <v>43</v>
      </c>
      <c r="U342" t="s">
        <v>43</v>
      </c>
      <c r="V342" t="s">
        <v>43</v>
      </c>
      <c r="W342" t="s">
        <v>43</v>
      </c>
      <c r="X342" t="s">
        <v>43</v>
      </c>
      <c r="Y342" t="s">
        <v>43</v>
      </c>
      <c r="Z342" t="s">
        <v>43</v>
      </c>
      <c r="AA342" t="s">
        <v>43</v>
      </c>
      <c r="AB342" t="s">
        <v>43</v>
      </c>
      <c r="AC342" t="s">
        <v>43</v>
      </c>
      <c r="AD342" t="s">
        <v>43</v>
      </c>
      <c r="AE342" t="s">
        <v>43</v>
      </c>
      <c r="AF342" t="s">
        <v>43</v>
      </c>
      <c r="AG342" t="s">
        <v>43</v>
      </c>
      <c r="AH342" t="s">
        <v>43</v>
      </c>
      <c r="AI342" t="s">
        <v>43</v>
      </c>
      <c r="AJ342" t="s">
        <v>43</v>
      </c>
      <c r="AK342" t="s">
        <v>43</v>
      </c>
      <c r="AL342" t="s">
        <v>43</v>
      </c>
      <c r="AM342" t="s">
        <v>43</v>
      </c>
      <c r="AN342" t="str">
        <f>HYPERLINK("https://www.google.com/maps?q=11.0547781,79.06097412","Open Location")</f>
        <v>Open Location</v>
      </c>
    </row>
    <row r="343" spans="1:40" x14ac:dyDescent="0.3">
      <c r="A343" s="1">
        <v>46210.960416666669</v>
      </c>
      <c r="B343" t="s">
        <v>40</v>
      </c>
      <c r="C343" t="s">
        <v>41</v>
      </c>
      <c r="D343" s="1">
        <v>46210.964363425926</v>
      </c>
      <c r="E343" t="s">
        <v>42</v>
      </c>
      <c r="F343" t="s">
        <v>43</v>
      </c>
      <c r="G343" t="s">
        <v>43</v>
      </c>
      <c r="H343" t="s">
        <v>43</v>
      </c>
      <c r="I343" t="s">
        <v>203</v>
      </c>
      <c r="J343" t="s">
        <v>43</v>
      </c>
      <c r="K343" t="s">
        <v>43</v>
      </c>
      <c r="L343" t="s">
        <v>43</v>
      </c>
      <c r="M343" t="s">
        <v>43</v>
      </c>
      <c r="N343" t="s">
        <v>45</v>
      </c>
      <c r="O343" t="s">
        <v>43</v>
      </c>
      <c r="P343" t="s">
        <v>43</v>
      </c>
      <c r="Q343" t="s">
        <v>43</v>
      </c>
      <c r="R343" t="s">
        <v>43</v>
      </c>
      <c r="S343" t="s">
        <v>43</v>
      </c>
      <c r="T343" t="s">
        <v>43</v>
      </c>
      <c r="U343" t="s">
        <v>43</v>
      </c>
      <c r="V343" t="s">
        <v>43</v>
      </c>
      <c r="W343" t="s">
        <v>43</v>
      </c>
      <c r="X343" t="s">
        <v>43</v>
      </c>
      <c r="Y343" t="s">
        <v>43</v>
      </c>
      <c r="Z343" t="s">
        <v>43</v>
      </c>
      <c r="AA343" t="s">
        <v>43</v>
      </c>
      <c r="AB343" t="s">
        <v>43</v>
      </c>
      <c r="AC343" t="s">
        <v>43</v>
      </c>
      <c r="AD343" t="s">
        <v>43</v>
      </c>
      <c r="AE343" t="s">
        <v>43</v>
      </c>
      <c r="AF343" t="s">
        <v>43</v>
      </c>
      <c r="AG343" t="s">
        <v>43</v>
      </c>
      <c r="AH343" t="s">
        <v>43</v>
      </c>
      <c r="AI343" t="s">
        <v>43</v>
      </c>
      <c r="AJ343" t="s">
        <v>43</v>
      </c>
      <c r="AK343" t="s">
        <v>43</v>
      </c>
      <c r="AL343" t="s">
        <v>43</v>
      </c>
      <c r="AM343" t="s">
        <v>43</v>
      </c>
      <c r="AN343" t="str">
        <f>HYPERLINK("https://www.google.com/maps?q=11.05477524,79.06097412","Open Location")</f>
        <v>Open Location</v>
      </c>
    </row>
    <row r="344" spans="1:40" x14ac:dyDescent="0.3">
      <c r="A344" s="1">
        <v>46210.960300925923</v>
      </c>
      <c r="B344" t="s">
        <v>40</v>
      </c>
      <c r="C344" t="s">
        <v>41</v>
      </c>
      <c r="D344" s="1">
        <v>46210.964375000003</v>
      </c>
      <c r="E344" t="s">
        <v>42</v>
      </c>
      <c r="F344" t="s">
        <v>43</v>
      </c>
      <c r="G344" t="s">
        <v>43</v>
      </c>
      <c r="H344" t="s">
        <v>43</v>
      </c>
      <c r="I344" t="s">
        <v>201</v>
      </c>
      <c r="J344" t="s">
        <v>43</v>
      </c>
      <c r="K344" t="s">
        <v>43</v>
      </c>
      <c r="L344" t="s">
        <v>43</v>
      </c>
      <c r="M344" t="s">
        <v>43</v>
      </c>
      <c r="N344" t="s">
        <v>45</v>
      </c>
      <c r="O344" t="s">
        <v>43</v>
      </c>
      <c r="P344" t="s">
        <v>43</v>
      </c>
      <c r="Q344" t="s">
        <v>43</v>
      </c>
      <c r="R344" t="s">
        <v>43</v>
      </c>
      <c r="S344" t="s">
        <v>43</v>
      </c>
      <c r="T344" t="s">
        <v>43</v>
      </c>
      <c r="U344" t="s">
        <v>43</v>
      </c>
      <c r="V344" t="s">
        <v>43</v>
      </c>
      <c r="W344" t="s">
        <v>43</v>
      </c>
      <c r="X344" t="s">
        <v>43</v>
      </c>
      <c r="Y344" t="s">
        <v>43</v>
      </c>
      <c r="Z344" t="s">
        <v>43</v>
      </c>
      <c r="AA344" t="s">
        <v>43</v>
      </c>
      <c r="AB344" t="s">
        <v>43</v>
      </c>
      <c r="AC344" t="s">
        <v>43</v>
      </c>
      <c r="AD344" t="s">
        <v>43</v>
      </c>
      <c r="AE344" t="s">
        <v>43</v>
      </c>
      <c r="AF344" t="s">
        <v>43</v>
      </c>
      <c r="AG344" t="s">
        <v>43</v>
      </c>
      <c r="AH344" t="s">
        <v>43</v>
      </c>
      <c r="AI344" t="s">
        <v>43</v>
      </c>
      <c r="AJ344" t="s">
        <v>43</v>
      </c>
      <c r="AK344" t="s">
        <v>43</v>
      </c>
      <c r="AL344" t="s">
        <v>43</v>
      </c>
      <c r="AM344" t="s">
        <v>43</v>
      </c>
      <c r="AN344" t="str">
        <f>HYPERLINK("https://www.google.com/maps?q=11.0547781,79.06096649","Open Location")</f>
        <v>Open Location</v>
      </c>
    </row>
    <row r="345" spans="1:40" x14ac:dyDescent="0.3">
      <c r="A345" s="1">
        <v>46210.960185185184</v>
      </c>
      <c r="B345" t="s">
        <v>40</v>
      </c>
      <c r="C345" t="s">
        <v>41</v>
      </c>
      <c r="D345" s="1">
        <v>46210.964618055557</v>
      </c>
      <c r="E345" t="s">
        <v>42</v>
      </c>
      <c r="F345" t="s">
        <v>43</v>
      </c>
      <c r="G345" t="s">
        <v>43</v>
      </c>
      <c r="H345" t="s">
        <v>43</v>
      </c>
      <c r="I345" t="s">
        <v>43</v>
      </c>
      <c r="J345" t="s">
        <v>43</v>
      </c>
      <c r="K345" t="s">
        <v>43</v>
      </c>
      <c r="L345" t="s">
        <v>43</v>
      </c>
      <c r="M345" t="s">
        <v>43</v>
      </c>
      <c r="N345" t="s">
        <v>45</v>
      </c>
      <c r="O345" t="s">
        <v>43</v>
      </c>
      <c r="P345" t="s">
        <v>43</v>
      </c>
      <c r="Q345" t="s">
        <v>43</v>
      </c>
      <c r="R345" t="s">
        <v>43</v>
      </c>
      <c r="S345" t="s">
        <v>43</v>
      </c>
      <c r="T345" t="s">
        <v>43</v>
      </c>
      <c r="U345" t="s">
        <v>43</v>
      </c>
      <c r="V345" t="s">
        <v>43</v>
      </c>
      <c r="W345" t="s">
        <v>43</v>
      </c>
      <c r="X345" t="s">
        <v>43</v>
      </c>
      <c r="Y345" t="s">
        <v>43</v>
      </c>
      <c r="Z345" t="s">
        <v>43</v>
      </c>
      <c r="AA345" t="s">
        <v>43</v>
      </c>
      <c r="AB345" t="s">
        <v>43</v>
      </c>
      <c r="AC345" t="s">
        <v>43</v>
      </c>
      <c r="AD345" t="s">
        <v>43</v>
      </c>
      <c r="AE345" t="s">
        <v>43</v>
      </c>
      <c r="AF345" t="s">
        <v>43</v>
      </c>
      <c r="AG345" t="s">
        <v>43</v>
      </c>
      <c r="AH345" t="s">
        <v>43</v>
      </c>
      <c r="AI345" t="s">
        <v>43</v>
      </c>
      <c r="AJ345" t="s">
        <v>43</v>
      </c>
      <c r="AK345" t="s">
        <v>43</v>
      </c>
      <c r="AL345" t="s">
        <v>43</v>
      </c>
      <c r="AM345" t="s">
        <v>43</v>
      </c>
      <c r="AN345" t="s">
        <v>43</v>
      </c>
    </row>
    <row r="346" spans="1:40" x14ac:dyDescent="0.3">
      <c r="A346" s="1">
        <v>46210.960069444445</v>
      </c>
      <c r="B346" t="s">
        <v>40</v>
      </c>
      <c r="C346" t="s">
        <v>41</v>
      </c>
      <c r="D346" s="1">
        <v>46210.964363425926</v>
      </c>
      <c r="E346" t="s">
        <v>42</v>
      </c>
      <c r="F346" t="s">
        <v>43</v>
      </c>
      <c r="G346" t="s">
        <v>43</v>
      </c>
      <c r="H346" t="s">
        <v>43</v>
      </c>
      <c r="I346" t="s">
        <v>156</v>
      </c>
      <c r="J346" t="s">
        <v>43</v>
      </c>
      <c r="K346" t="s">
        <v>43</v>
      </c>
      <c r="L346" t="s">
        <v>43</v>
      </c>
      <c r="M346" t="s">
        <v>43</v>
      </c>
      <c r="N346" t="s">
        <v>45</v>
      </c>
      <c r="O346" t="s">
        <v>43</v>
      </c>
      <c r="P346" t="s">
        <v>43</v>
      </c>
      <c r="Q346" t="s">
        <v>43</v>
      </c>
      <c r="R346" t="s">
        <v>43</v>
      </c>
      <c r="S346" t="s">
        <v>43</v>
      </c>
      <c r="T346" t="s">
        <v>43</v>
      </c>
      <c r="U346" t="s">
        <v>43</v>
      </c>
      <c r="V346" t="s">
        <v>43</v>
      </c>
      <c r="W346" t="s">
        <v>43</v>
      </c>
      <c r="X346" t="s">
        <v>43</v>
      </c>
      <c r="Y346" t="s">
        <v>43</v>
      </c>
      <c r="Z346" t="s">
        <v>43</v>
      </c>
      <c r="AA346" t="s">
        <v>43</v>
      </c>
      <c r="AB346" t="s">
        <v>43</v>
      </c>
      <c r="AC346" t="s">
        <v>43</v>
      </c>
      <c r="AD346" t="s">
        <v>43</v>
      </c>
      <c r="AE346" t="s">
        <v>43</v>
      </c>
      <c r="AF346" t="s">
        <v>43</v>
      </c>
      <c r="AG346" t="s">
        <v>43</v>
      </c>
      <c r="AH346" t="s">
        <v>43</v>
      </c>
      <c r="AI346" t="s">
        <v>43</v>
      </c>
      <c r="AJ346" t="s">
        <v>43</v>
      </c>
      <c r="AK346" t="s">
        <v>43</v>
      </c>
      <c r="AL346" t="s">
        <v>43</v>
      </c>
      <c r="AM346" t="s">
        <v>43</v>
      </c>
      <c r="AN346" t="str">
        <f>HYPERLINK("https://www.google.com/maps?q=11.05477333,79.06096649","Open Location")</f>
        <v>Open Location</v>
      </c>
    </row>
    <row r="347" spans="1:40" x14ac:dyDescent="0.3">
      <c r="A347" s="1">
        <v>46210.959606481483</v>
      </c>
      <c r="B347" t="s">
        <v>40</v>
      </c>
      <c r="C347" t="s">
        <v>41</v>
      </c>
      <c r="D347" s="1">
        <v>46210.96298611111</v>
      </c>
      <c r="E347" t="s">
        <v>42</v>
      </c>
      <c r="F347" t="s">
        <v>43</v>
      </c>
      <c r="G347" t="s">
        <v>43</v>
      </c>
      <c r="H347" t="s">
        <v>43</v>
      </c>
      <c r="I347" t="s">
        <v>43</v>
      </c>
      <c r="J347" t="s">
        <v>43</v>
      </c>
      <c r="K347" t="s">
        <v>43</v>
      </c>
      <c r="L347" t="s">
        <v>43</v>
      </c>
      <c r="M347" t="s">
        <v>43</v>
      </c>
      <c r="N347" t="s">
        <v>45</v>
      </c>
      <c r="O347" t="s">
        <v>43</v>
      </c>
      <c r="P347" t="s">
        <v>43</v>
      </c>
      <c r="Q347" t="s">
        <v>43</v>
      </c>
      <c r="R347" t="s">
        <v>43</v>
      </c>
      <c r="S347" t="s">
        <v>43</v>
      </c>
      <c r="T347" t="s">
        <v>43</v>
      </c>
      <c r="U347" t="s">
        <v>43</v>
      </c>
      <c r="V347" t="s">
        <v>43</v>
      </c>
      <c r="W347" t="s">
        <v>43</v>
      </c>
      <c r="X347" t="s">
        <v>43</v>
      </c>
      <c r="Y347" t="s">
        <v>43</v>
      </c>
      <c r="Z347" t="s">
        <v>43</v>
      </c>
      <c r="AA347" t="s">
        <v>43</v>
      </c>
      <c r="AB347" t="s">
        <v>43</v>
      </c>
      <c r="AC347" t="s">
        <v>43</v>
      </c>
      <c r="AD347" t="s">
        <v>43</v>
      </c>
      <c r="AE347" t="s">
        <v>43</v>
      </c>
      <c r="AF347" t="s">
        <v>43</v>
      </c>
      <c r="AG347" t="s">
        <v>43</v>
      </c>
      <c r="AH347" t="s">
        <v>43</v>
      </c>
      <c r="AI347" t="s">
        <v>43</v>
      </c>
      <c r="AJ347" t="s">
        <v>43</v>
      </c>
      <c r="AK347" t="s">
        <v>43</v>
      </c>
      <c r="AL347" t="s">
        <v>43</v>
      </c>
      <c r="AM347" t="s">
        <v>43</v>
      </c>
      <c r="AN347" t="s">
        <v>43</v>
      </c>
    </row>
    <row r="348" spans="1:40" x14ac:dyDescent="0.3">
      <c r="A348" s="1">
        <v>46210.959490740737</v>
      </c>
      <c r="B348" t="s">
        <v>40</v>
      </c>
      <c r="C348" t="s">
        <v>41</v>
      </c>
      <c r="D348" s="1">
        <v>46210.962962962964</v>
      </c>
      <c r="E348" t="s">
        <v>42</v>
      </c>
      <c r="F348" t="s">
        <v>43</v>
      </c>
      <c r="G348" t="s">
        <v>43</v>
      </c>
      <c r="H348" t="s">
        <v>43</v>
      </c>
      <c r="I348" t="s">
        <v>43</v>
      </c>
      <c r="J348" t="s">
        <v>43</v>
      </c>
      <c r="K348" t="s">
        <v>43</v>
      </c>
      <c r="L348" t="s">
        <v>43</v>
      </c>
      <c r="M348" t="s">
        <v>43</v>
      </c>
      <c r="N348" t="s">
        <v>45</v>
      </c>
      <c r="O348" t="s">
        <v>43</v>
      </c>
      <c r="P348" t="s">
        <v>43</v>
      </c>
      <c r="Q348" t="s">
        <v>43</v>
      </c>
      <c r="R348" t="s">
        <v>43</v>
      </c>
      <c r="S348" t="s">
        <v>43</v>
      </c>
      <c r="T348" t="s">
        <v>43</v>
      </c>
      <c r="U348" t="s">
        <v>43</v>
      </c>
      <c r="V348" t="s">
        <v>43</v>
      </c>
      <c r="W348" t="s">
        <v>43</v>
      </c>
      <c r="X348" t="s">
        <v>43</v>
      </c>
      <c r="Y348" t="s">
        <v>43</v>
      </c>
      <c r="Z348" t="s">
        <v>43</v>
      </c>
      <c r="AA348" t="s">
        <v>43</v>
      </c>
      <c r="AB348" t="s">
        <v>43</v>
      </c>
      <c r="AC348" t="s">
        <v>43</v>
      </c>
      <c r="AD348" t="s">
        <v>43</v>
      </c>
      <c r="AE348" t="s">
        <v>43</v>
      </c>
      <c r="AF348" t="s">
        <v>43</v>
      </c>
      <c r="AG348" t="s">
        <v>43</v>
      </c>
      <c r="AH348" t="s">
        <v>43</v>
      </c>
      <c r="AI348" t="s">
        <v>43</v>
      </c>
      <c r="AJ348" t="s">
        <v>43</v>
      </c>
      <c r="AK348" t="s">
        <v>43</v>
      </c>
      <c r="AL348" t="s">
        <v>43</v>
      </c>
      <c r="AM348" t="s">
        <v>43</v>
      </c>
      <c r="AN348" t="s">
        <v>43</v>
      </c>
    </row>
    <row r="349" spans="1:40" x14ac:dyDescent="0.3">
      <c r="A349" s="1">
        <v>46210.959374999999</v>
      </c>
      <c r="B349" t="s">
        <v>40</v>
      </c>
      <c r="C349" t="s">
        <v>41</v>
      </c>
      <c r="D349" s="1">
        <v>46210.962962962964</v>
      </c>
      <c r="E349" t="s">
        <v>42</v>
      </c>
      <c r="F349" t="s">
        <v>43</v>
      </c>
      <c r="G349" t="s">
        <v>43</v>
      </c>
      <c r="H349" t="s">
        <v>43</v>
      </c>
      <c r="I349" t="s">
        <v>110</v>
      </c>
      <c r="J349" t="s">
        <v>43</v>
      </c>
      <c r="K349" t="s">
        <v>43</v>
      </c>
      <c r="L349" t="s">
        <v>43</v>
      </c>
      <c r="M349" t="s">
        <v>43</v>
      </c>
      <c r="N349" t="s">
        <v>45</v>
      </c>
      <c r="O349" t="s">
        <v>43</v>
      </c>
      <c r="P349" t="s">
        <v>43</v>
      </c>
      <c r="Q349" t="s">
        <v>43</v>
      </c>
      <c r="R349" t="s">
        <v>43</v>
      </c>
      <c r="S349" t="s">
        <v>43</v>
      </c>
      <c r="T349" t="s">
        <v>43</v>
      </c>
      <c r="U349" t="s">
        <v>43</v>
      </c>
      <c r="V349" t="s">
        <v>43</v>
      </c>
      <c r="W349" t="s">
        <v>43</v>
      </c>
      <c r="X349" t="s">
        <v>43</v>
      </c>
      <c r="Y349" t="s">
        <v>43</v>
      </c>
      <c r="Z349" t="s">
        <v>43</v>
      </c>
      <c r="AA349" t="s">
        <v>43</v>
      </c>
      <c r="AB349" t="s">
        <v>43</v>
      </c>
      <c r="AC349" t="s">
        <v>43</v>
      </c>
      <c r="AD349" t="s">
        <v>43</v>
      </c>
      <c r="AE349" t="s">
        <v>43</v>
      </c>
      <c r="AF349" t="s">
        <v>43</v>
      </c>
      <c r="AG349" t="s">
        <v>43</v>
      </c>
      <c r="AH349" t="s">
        <v>43</v>
      </c>
      <c r="AI349" t="s">
        <v>43</v>
      </c>
      <c r="AJ349" t="s">
        <v>43</v>
      </c>
      <c r="AK349" t="s">
        <v>43</v>
      </c>
      <c r="AL349" t="s">
        <v>43</v>
      </c>
      <c r="AM349" t="s">
        <v>43</v>
      </c>
      <c r="AN349" t="str">
        <f>HYPERLINK("https://www.google.com/maps?q=11.05477238,79.06095123","Open Location")</f>
        <v>Open Location</v>
      </c>
    </row>
    <row r="350" spans="1:40" x14ac:dyDescent="0.3">
      <c r="A350" s="1">
        <v>46210.95925925926</v>
      </c>
      <c r="B350" t="s">
        <v>40</v>
      </c>
      <c r="C350" t="s">
        <v>41</v>
      </c>
      <c r="D350" s="1">
        <v>46210.963194444441</v>
      </c>
      <c r="E350" t="s">
        <v>42</v>
      </c>
      <c r="F350" t="s">
        <v>43</v>
      </c>
      <c r="G350" t="s">
        <v>43</v>
      </c>
      <c r="H350" t="s">
        <v>43</v>
      </c>
      <c r="I350" t="s">
        <v>204</v>
      </c>
      <c r="J350" t="s">
        <v>43</v>
      </c>
      <c r="K350" t="s">
        <v>43</v>
      </c>
      <c r="L350" t="s">
        <v>43</v>
      </c>
      <c r="M350" t="s">
        <v>43</v>
      </c>
      <c r="N350" t="s">
        <v>45</v>
      </c>
      <c r="O350" t="s">
        <v>43</v>
      </c>
      <c r="P350" t="s">
        <v>43</v>
      </c>
      <c r="Q350" t="s">
        <v>43</v>
      </c>
      <c r="R350" t="s">
        <v>43</v>
      </c>
      <c r="S350" t="s">
        <v>43</v>
      </c>
      <c r="T350" t="s">
        <v>43</v>
      </c>
      <c r="U350" t="s">
        <v>43</v>
      </c>
      <c r="V350" t="s">
        <v>43</v>
      </c>
      <c r="W350" t="s">
        <v>43</v>
      </c>
      <c r="X350" t="s">
        <v>43</v>
      </c>
      <c r="Y350" t="s">
        <v>43</v>
      </c>
      <c r="Z350" t="s">
        <v>43</v>
      </c>
      <c r="AA350" t="s">
        <v>43</v>
      </c>
      <c r="AB350" t="s">
        <v>43</v>
      </c>
      <c r="AC350" t="s">
        <v>43</v>
      </c>
      <c r="AD350" t="s">
        <v>43</v>
      </c>
      <c r="AE350" t="s">
        <v>43</v>
      </c>
      <c r="AF350" t="s">
        <v>43</v>
      </c>
      <c r="AG350" t="s">
        <v>43</v>
      </c>
      <c r="AH350" t="s">
        <v>43</v>
      </c>
      <c r="AI350" t="s">
        <v>43</v>
      </c>
      <c r="AJ350" t="s">
        <v>43</v>
      </c>
      <c r="AK350" t="s">
        <v>43</v>
      </c>
      <c r="AL350" t="s">
        <v>43</v>
      </c>
      <c r="AM350" t="s">
        <v>43</v>
      </c>
      <c r="AN350" t="str">
        <f>HYPERLINK("https://www.google.com/maps?q=11.05476475,79.0609436","Open Location")</f>
        <v>Open Location</v>
      </c>
    </row>
    <row r="351" spans="1:40" x14ac:dyDescent="0.3">
      <c r="A351" s="1">
        <v>46210.959143518521</v>
      </c>
      <c r="B351" t="s">
        <v>40</v>
      </c>
      <c r="C351" t="s">
        <v>41</v>
      </c>
      <c r="D351" s="1">
        <v>46210.96298611111</v>
      </c>
      <c r="E351" t="s">
        <v>42</v>
      </c>
      <c r="F351" t="s">
        <v>43</v>
      </c>
      <c r="G351" t="s">
        <v>43</v>
      </c>
      <c r="H351" t="s">
        <v>43</v>
      </c>
      <c r="I351" t="s">
        <v>205</v>
      </c>
      <c r="J351" t="s">
        <v>43</v>
      </c>
      <c r="K351" t="s">
        <v>43</v>
      </c>
      <c r="L351" t="s">
        <v>43</v>
      </c>
      <c r="M351" t="s">
        <v>43</v>
      </c>
      <c r="N351" t="s">
        <v>45</v>
      </c>
      <c r="O351" t="s">
        <v>43</v>
      </c>
      <c r="P351" t="s">
        <v>43</v>
      </c>
      <c r="Q351" t="s">
        <v>43</v>
      </c>
      <c r="R351" t="s">
        <v>43</v>
      </c>
      <c r="S351" t="s">
        <v>43</v>
      </c>
      <c r="T351" t="s">
        <v>43</v>
      </c>
      <c r="U351" t="s">
        <v>43</v>
      </c>
      <c r="V351" t="s">
        <v>43</v>
      </c>
      <c r="W351" t="s">
        <v>43</v>
      </c>
      <c r="X351" t="s">
        <v>43</v>
      </c>
      <c r="Y351" t="s">
        <v>43</v>
      </c>
      <c r="Z351" t="s">
        <v>43</v>
      </c>
      <c r="AA351" t="s">
        <v>43</v>
      </c>
      <c r="AB351" t="s">
        <v>43</v>
      </c>
      <c r="AC351" t="s">
        <v>43</v>
      </c>
      <c r="AD351" t="s">
        <v>43</v>
      </c>
      <c r="AE351" t="s">
        <v>43</v>
      </c>
      <c r="AF351" t="s">
        <v>43</v>
      </c>
      <c r="AG351" t="s">
        <v>43</v>
      </c>
      <c r="AH351" t="s">
        <v>43</v>
      </c>
      <c r="AI351" t="s">
        <v>43</v>
      </c>
      <c r="AJ351" t="s">
        <v>43</v>
      </c>
      <c r="AK351" t="s">
        <v>43</v>
      </c>
      <c r="AL351" t="s">
        <v>43</v>
      </c>
      <c r="AM351" t="s">
        <v>43</v>
      </c>
      <c r="AN351" t="str">
        <f>HYPERLINK("https://www.google.com/maps?q=11.05475998,79.0609436","Open Location")</f>
        <v>Open Location</v>
      </c>
    </row>
    <row r="352" spans="1:40" x14ac:dyDescent="0.3">
      <c r="A352" s="1">
        <v>46210.959027777775</v>
      </c>
      <c r="B352" t="s">
        <v>40</v>
      </c>
      <c r="C352" t="s">
        <v>41</v>
      </c>
      <c r="D352" s="1">
        <v>46210.962962962964</v>
      </c>
      <c r="E352" t="s">
        <v>42</v>
      </c>
      <c r="F352" t="s">
        <v>43</v>
      </c>
      <c r="G352" t="s">
        <v>43</v>
      </c>
      <c r="H352" t="s">
        <v>43</v>
      </c>
      <c r="I352" t="s">
        <v>206</v>
      </c>
      <c r="J352" t="s">
        <v>43</v>
      </c>
      <c r="K352" t="s">
        <v>43</v>
      </c>
      <c r="L352" t="s">
        <v>43</v>
      </c>
      <c r="M352" t="s">
        <v>43</v>
      </c>
      <c r="N352" t="s">
        <v>45</v>
      </c>
      <c r="O352" t="s">
        <v>43</v>
      </c>
      <c r="P352" t="s">
        <v>43</v>
      </c>
      <c r="Q352" t="s">
        <v>43</v>
      </c>
      <c r="R352" t="s">
        <v>43</v>
      </c>
      <c r="S352" t="s">
        <v>43</v>
      </c>
      <c r="T352" t="s">
        <v>43</v>
      </c>
      <c r="U352" t="s">
        <v>43</v>
      </c>
      <c r="V352" t="s">
        <v>43</v>
      </c>
      <c r="W352" t="s">
        <v>43</v>
      </c>
      <c r="X352" t="s">
        <v>43</v>
      </c>
      <c r="Y352" t="s">
        <v>43</v>
      </c>
      <c r="Z352" t="s">
        <v>43</v>
      </c>
      <c r="AA352" t="s">
        <v>43</v>
      </c>
      <c r="AB352" t="s">
        <v>43</v>
      </c>
      <c r="AC352" t="s">
        <v>43</v>
      </c>
      <c r="AD352" t="s">
        <v>43</v>
      </c>
      <c r="AE352" t="s">
        <v>43</v>
      </c>
      <c r="AF352" t="s">
        <v>43</v>
      </c>
      <c r="AG352" t="s">
        <v>43</v>
      </c>
      <c r="AH352" t="s">
        <v>43</v>
      </c>
      <c r="AI352" t="s">
        <v>43</v>
      </c>
      <c r="AJ352" t="s">
        <v>43</v>
      </c>
      <c r="AK352" t="s">
        <v>43</v>
      </c>
      <c r="AL352" t="s">
        <v>43</v>
      </c>
      <c r="AM352" t="s">
        <v>43</v>
      </c>
      <c r="AN352" t="str">
        <f>HYPERLINK("https://www.google.com/maps?q=11.05475712,79.06095123","Open Location")</f>
        <v>Open Location</v>
      </c>
    </row>
    <row r="353" spans="1:40" x14ac:dyDescent="0.3">
      <c r="A353" s="1">
        <v>46210.958912037036</v>
      </c>
      <c r="B353" t="s">
        <v>40</v>
      </c>
      <c r="C353" t="s">
        <v>41</v>
      </c>
      <c r="D353" s="1">
        <v>46210.96298611111</v>
      </c>
      <c r="E353" t="s">
        <v>42</v>
      </c>
      <c r="F353" t="s">
        <v>43</v>
      </c>
      <c r="G353" t="s">
        <v>43</v>
      </c>
      <c r="H353" t="s">
        <v>43</v>
      </c>
      <c r="I353" t="s">
        <v>207</v>
      </c>
      <c r="J353" t="s">
        <v>43</v>
      </c>
      <c r="K353" t="s">
        <v>43</v>
      </c>
      <c r="L353" t="s">
        <v>43</v>
      </c>
      <c r="M353" t="s">
        <v>43</v>
      </c>
      <c r="N353" t="s">
        <v>45</v>
      </c>
      <c r="O353" t="s">
        <v>43</v>
      </c>
      <c r="P353" t="s">
        <v>43</v>
      </c>
      <c r="Q353" t="s">
        <v>43</v>
      </c>
      <c r="R353" t="s">
        <v>43</v>
      </c>
      <c r="S353" t="s">
        <v>43</v>
      </c>
      <c r="T353" t="s">
        <v>43</v>
      </c>
      <c r="U353" t="s">
        <v>43</v>
      </c>
      <c r="V353" t="s">
        <v>43</v>
      </c>
      <c r="W353" t="s">
        <v>43</v>
      </c>
      <c r="X353" t="s">
        <v>43</v>
      </c>
      <c r="Y353" t="s">
        <v>43</v>
      </c>
      <c r="Z353" t="s">
        <v>43</v>
      </c>
      <c r="AA353" t="s">
        <v>43</v>
      </c>
      <c r="AB353" t="s">
        <v>43</v>
      </c>
      <c r="AC353" t="s">
        <v>43</v>
      </c>
      <c r="AD353" t="s">
        <v>43</v>
      </c>
      <c r="AE353" t="s">
        <v>43</v>
      </c>
      <c r="AF353" t="s">
        <v>43</v>
      </c>
      <c r="AG353" t="s">
        <v>43</v>
      </c>
      <c r="AH353" t="s">
        <v>43</v>
      </c>
      <c r="AI353" t="s">
        <v>43</v>
      </c>
      <c r="AJ353" t="s">
        <v>43</v>
      </c>
      <c r="AK353" t="s">
        <v>43</v>
      </c>
      <c r="AL353" t="s">
        <v>43</v>
      </c>
      <c r="AM353" t="s">
        <v>43</v>
      </c>
      <c r="AN353" t="str">
        <f>HYPERLINK("https://www.google.com/maps?q=11.05475426,79.06095123","Open Location")</f>
        <v>Open Location</v>
      </c>
    </row>
    <row r="354" spans="1:40" x14ac:dyDescent="0.3">
      <c r="A354" s="1">
        <v>46210.958796296298</v>
      </c>
      <c r="B354" t="s">
        <v>40</v>
      </c>
      <c r="C354" t="s">
        <v>41</v>
      </c>
      <c r="D354" s="1">
        <v>46210.96297453704</v>
      </c>
      <c r="E354" t="s">
        <v>42</v>
      </c>
      <c r="F354" t="s">
        <v>43</v>
      </c>
      <c r="G354" t="s">
        <v>43</v>
      </c>
      <c r="H354" t="s">
        <v>43</v>
      </c>
      <c r="I354" t="s">
        <v>43</v>
      </c>
      <c r="J354" t="s">
        <v>43</v>
      </c>
      <c r="K354" t="s">
        <v>43</v>
      </c>
      <c r="L354" t="s">
        <v>43</v>
      </c>
      <c r="M354" t="s">
        <v>43</v>
      </c>
      <c r="N354" t="s">
        <v>45</v>
      </c>
      <c r="O354" t="s">
        <v>43</v>
      </c>
      <c r="P354" t="s">
        <v>43</v>
      </c>
      <c r="Q354" t="s">
        <v>43</v>
      </c>
      <c r="R354" t="s">
        <v>43</v>
      </c>
      <c r="S354" t="s">
        <v>43</v>
      </c>
      <c r="T354" t="s">
        <v>43</v>
      </c>
      <c r="U354" t="s">
        <v>43</v>
      </c>
      <c r="V354" t="s">
        <v>43</v>
      </c>
      <c r="W354" t="s">
        <v>43</v>
      </c>
      <c r="X354" t="s">
        <v>43</v>
      </c>
      <c r="Y354" t="s">
        <v>43</v>
      </c>
      <c r="Z354" t="s">
        <v>43</v>
      </c>
      <c r="AA354" t="s">
        <v>43</v>
      </c>
      <c r="AB354" t="s">
        <v>43</v>
      </c>
      <c r="AC354" t="s">
        <v>43</v>
      </c>
      <c r="AD354" t="s">
        <v>43</v>
      </c>
      <c r="AE354" t="s">
        <v>43</v>
      </c>
      <c r="AF354" t="s">
        <v>43</v>
      </c>
      <c r="AG354" t="s">
        <v>43</v>
      </c>
      <c r="AH354" t="s">
        <v>43</v>
      </c>
      <c r="AI354" t="s">
        <v>43</v>
      </c>
      <c r="AJ354" t="s">
        <v>43</v>
      </c>
      <c r="AK354" t="s">
        <v>43</v>
      </c>
      <c r="AL354" t="s">
        <v>43</v>
      </c>
      <c r="AM354" t="s">
        <v>43</v>
      </c>
      <c r="AN354" t="s">
        <v>43</v>
      </c>
    </row>
    <row r="355" spans="1:40" x14ac:dyDescent="0.3">
      <c r="A355" s="1">
        <v>46210.958680555559</v>
      </c>
      <c r="B355" t="s">
        <v>40</v>
      </c>
      <c r="C355" t="s">
        <v>41</v>
      </c>
      <c r="D355" s="1">
        <v>46210.96297453704</v>
      </c>
      <c r="E355" t="s">
        <v>42</v>
      </c>
      <c r="F355" t="s">
        <v>43</v>
      </c>
      <c r="G355" t="s">
        <v>43</v>
      </c>
      <c r="H355" t="s">
        <v>43</v>
      </c>
      <c r="I355" t="s">
        <v>208</v>
      </c>
      <c r="J355" t="s">
        <v>43</v>
      </c>
      <c r="K355" t="s">
        <v>43</v>
      </c>
      <c r="L355" t="s">
        <v>43</v>
      </c>
      <c r="M355" t="s">
        <v>43</v>
      </c>
      <c r="N355" t="s">
        <v>45</v>
      </c>
      <c r="O355" t="s">
        <v>43</v>
      </c>
      <c r="P355" t="s">
        <v>43</v>
      </c>
      <c r="Q355" t="s">
        <v>43</v>
      </c>
      <c r="R355" t="s">
        <v>43</v>
      </c>
      <c r="S355" t="s">
        <v>43</v>
      </c>
      <c r="T355" t="s">
        <v>43</v>
      </c>
      <c r="U355" t="s">
        <v>43</v>
      </c>
      <c r="V355" t="s">
        <v>43</v>
      </c>
      <c r="W355" t="s">
        <v>43</v>
      </c>
      <c r="X355" t="s">
        <v>43</v>
      </c>
      <c r="Y355" t="s">
        <v>43</v>
      </c>
      <c r="Z355" t="s">
        <v>43</v>
      </c>
      <c r="AA355" t="s">
        <v>43</v>
      </c>
      <c r="AB355" t="s">
        <v>43</v>
      </c>
      <c r="AC355" t="s">
        <v>43</v>
      </c>
      <c r="AD355" t="s">
        <v>43</v>
      </c>
      <c r="AE355" t="s">
        <v>43</v>
      </c>
      <c r="AF355" t="s">
        <v>43</v>
      </c>
      <c r="AG355" t="s">
        <v>43</v>
      </c>
      <c r="AH355" t="s">
        <v>43</v>
      </c>
      <c r="AI355" t="s">
        <v>43</v>
      </c>
      <c r="AJ355" t="s">
        <v>43</v>
      </c>
      <c r="AK355" t="s">
        <v>43</v>
      </c>
      <c r="AL355" t="s">
        <v>43</v>
      </c>
      <c r="AM355" t="s">
        <v>43</v>
      </c>
      <c r="AN355" t="str">
        <f>HYPERLINK("https://www.google.com/maps?q=11.05475426,79.0609436","Open Location")</f>
        <v>Open Location</v>
      </c>
    </row>
    <row r="356" spans="1:40" x14ac:dyDescent="0.3">
      <c r="A356" s="1">
        <v>46210.958564814813</v>
      </c>
      <c r="B356" t="s">
        <v>40</v>
      </c>
      <c r="C356" t="s">
        <v>41</v>
      </c>
      <c r="D356" s="1">
        <v>46210.961342592593</v>
      </c>
      <c r="E356" t="s">
        <v>42</v>
      </c>
      <c r="F356" t="s">
        <v>43</v>
      </c>
      <c r="G356" t="s">
        <v>43</v>
      </c>
      <c r="H356" t="s">
        <v>43</v>
      </c>
      <c r="I356" t="s">
        <v>209</v>
      </c>
      <c r="J356" t="s">
        <v>43</v>
      </c>
      <c r="K356" t="s">
        <v>43</v>
      </c>
      <c r="L356" t="s">
        <v>43</v>
      </c>
      <c r="M356" t="s">
        <v>43</v>
      </c>
      <c r="N356" t="s">
        <v>45</v>
      </c>
      <c r="O356" t="s">
        <v>43</v>
      </c>
      <c r="P356" t="s">
        <v>43</v>
      </c>
      <c r="Q356" t="s">
        <v>43</v>
      </c>
      <c r="R356" t="s">
        <v>43</v>
      </c>
      <c r="S356" t="s">
        <v>43</v>
      </c>
      <c r="T356" t="s">
        <v>43</v>
      </c>
      <c r="U356" t="s">
        <v>43</v>
      </c>
      <c r="V356" t="s">
        <v>43</v>
      </c>
      <c r="W356" t="s">
        <v>43</v>
      </c>
      <c r="X356" t="s">
        <v>43</v>
      </c>
      <c r="Y356" t="s">
        <v>43</v>
      </c>
      <c r="Z356" t="s">
        <v>43</v>
      </c>
      <c r="AA356" t="s">
        <v>43</v>
      </c>
      <c r="AB356" t="s">
        <v>43</v>
      </c>
      <c r="AC356" t="s">
        <v>43</v>
      </c>
      <c r="AD356" t="s">
        <v>43</v>
      </c>
      <c r="AE356" t="s">
        <v>43</v>
      </c>
      <c r="AF356" t="s">
        <v>43</v>
      </c>
      <c r="AG356" t="s">
        <v>43</v>
      </c>
      <c r="AH356" t="s">
        <v>43</v>
      </c>
      <c r="AI356" t="s">
        <v>43</v>
      </c>
      <c r="AJ356" t="s">
        <v>43</v>
      </c>
      <c r="AK356" t="s">
        <v>43</v>
      </c>
      <c r="AL356" t="s">
        <v>43</v>
      </c>
      <c r="AM356" t="s">
        <v>43</v>
      </c>
      <c r="AN356" t="str">
        <f>HYPERLINK("https://www.google.com/maps?q=11.05475044,79.0609436","Open Location")</f>
        <v>Open Location</v>
      </c>
    </row>
    <row r="357" spans="1:40" x14ac:dyDescent="0.3">
      <c r="A357" s="1">
        <v>46210.958449074074</v>
      </c>
      <c r="B357" t="s">
        <v>40</v>
      </c>
      <c r="C357" t="s">
        <v>41</v>
      </c>
      <c r="D357" s="1">
        <v>46210.961296296293</v>
      </c>
      <c r="E357" t="s">
        <v>42</v>
      </c>
      <c r="F357" t="s">
        <v>43</v>
      </c>
      <c r="G357" t="s">
        <v>43</v>
      </c>
      <c r="H357" t="s">
        <v>43</v>
      </c>
      <c r="I357" t="s">
        <v>207</v>
      </c>
      <c r="J357" t="s">
        <v>43</v>
      </c>
      <c r="K357" t="s">
        <v>43</v>
      </c>
      <c r="L357" t="s">
        <v>43</v>
      </c>
      <c r="M357" t="s">
        <v>43</v>
      </c>
      <c r="N357" t="s">
        <v>45</v>
      </c>
      <c r="O357" t="s">
        <v>43</v>
      </c>
      <c r="P357" t="s">
        <v>43</v>
      </c>
      <c r="Q357" t="s">
        <v>43</v>
      </c>
      <c r="R357" t="s">
        <v>43</v>
      </c>
      <c r="S357" t="s">
        <v>43</v>
      </c>
      <c r="T357" t="s">
        <v>43</v>
      </c>
      <c r="U357" t="s">
        <v>43</v>
      </c>
      <c r="V357" t="s">
        <v>43</v>
      </c>
      <c r="W357" t="s">
        <v>43</v>
      </c>
      <c r="X357" t="s">
        <v>43</v>
      </c>
      <c r="Y357" t="s">
        <v>43</v>
      </c>
      <c r="Z357" t="s">
        <v>43</v>
      </c>
      <c r="AA357" t="s">
        <v>43</v>
      </c>
      <c r="AB357" t="s">
        <v>43</v>
      </c>
      <c r="AC357" t="s">
        <v>43</v>
      </c>
      <c r="AD357" t="s">
        <v>43</v>
      </c>
      <c r="AE357" t="s">
        <v>43</v>
      </c>
      <c r="AF357" t="s">
        <v>43</v>
      </c>
      <c r="AG357" t="s">
        <v>43</v>
      </c>
      <c r="AH357" t="s">
        <v>43</v>
      </c>
      <c r="AI357" t="s">
        <v>43</v>
      </c>
      <c r="AJ357" t="s">
        <v>43</v>
      </c>
      <c r="AK357" t="s">
        <v>43</v>
      </c>
      <c r="AL357" t="s">
        <v>43</v>
      </c>
      <c r="AM357" t="s">
        <v>43</v>
      </c>
      <c r="AN357" t="str">
        <f>HYPERLINK("https://www.google.com/maps?q=11.05475426,79.06095123","Open Location")</f>
        <v>Open Location</v>
      </c>
    </row>
    <row r="358" spans="1:40" x14ac:dyDescent="0.3">
      <c r="A358" s="1">
        <v>46210.958333333336</v>
      </c>
      <c r="B358" t="s">
        <v>40</v>
      </c>
      <c r="C358" t="s">
        <v>41</v>
      </c>
      <c r="D358" s="1">
        <v>46210.961030092592</v>
      </c>
      <c r="E358" t="s">
        <v>42</v>
      </c>
      <c r="F358" t="s">
        <v>43</v>
      </c>
      <c r="G358" t="s">
        <v>43</v>
      </c>
      <c r="H358" t="s">
        <v>43</v>
      </c>
      <c r="I358" t="s">
        <v>207</v>
      </c>
      <c r="J358" t="s">
        <v>43</v>
      </c>
      <c r="K358" t="s">
        <v>43</v>
      </c>
      <c r="L358" t="s">
        <v>43</v>
      </c>
      <c r="M358" t="s">
        <v>43</v>
      </c>
      <c r="N358" t="s">
        <v>45</v>
      </c>
      <c r="O358" t="s">
        <v>43</v>
      </c>
      <c r="P358" t="s">
        <v>43</v>
      </c>
      <c r="Q358" t="s">
        <v>43</v>
      </c>
      <c r="R358" t="s">
        <v>43</v>
      </c>
      <c r="S358" t="s">
        <v>43</v>
      </c>
      <c r="T358" t="s">
        <v>43</v>
      </c>
      <c r="U358" t="s">
        <v>43</v>
      </c>
      <c r="V358" t="s">
        <v>43</v>
      </c>
      <c r="W358" t="s">
        <v>43</v>
      </c>
      <c r="X358" t="s">
        <v>43</v>
      </c>
      <c r="Y358" t="s">
        <v>43</v>
      </c>
      <c r="Z358" t="s">
        <v>43</v>
      </c>
      <c r="AA358" t="s">
        <v>43</v>
      </c>
      <c r="AB358" t="s">
        <v>43</v>
      </c>
      <c r="AC358" t="s">
        <v>43</v>
      </c>
      <c r="AD358" t="s">
        <v>43</v>
      </c>
      <c r="AE358" t="s">
        <v>43</v>
      </c>
      <c r="AF358" t="s">
        <v>43</v>
      </c>
      <c r="AG358" t="s">
        <v>43</v>
      </c>
      <c r="AH358" t="s">
        <v>43</v>
      </c>
      <c r="AI358" t="s">
        <v>43</v>
      </c>
      <c r="AJ358" t="s">
        <v>43</v>
      </c>
      <c r="AK358" t="s">
        <v>43</v>
      </c>
      <c r="AL358" t="s">
        <v>43</v>
      </c>
      <c r="AM358" t="s">
        <v>43</v>
      </c>
      <c r="AN358" t="str">
        <f>HYPERLINK("https://www.google.com/maps?q=11.05475426,79.06095123","Open Location")</f>
        <v>Open Location</v>
      </c>
    </row>
    <row r="359" spans="1:40" x14ac:dyDescent="0.3">
      <c r="A359" s="1">
        <v>46210.95821759259</v>
      </c>
      <c r="B359" t="s">
        <v>40</v>
      </c>
      <c r="C359" t="s">
        <v>41</v>
      </c>
      <c r="D359" s="1">
        <v>46210.961030092592</v>
      </c>
      <c r="E359" t="s">
        <v>42</v>
      </c>
      <c r="F359" t="s">
        <v>43</v>
      </c>
      <c r="G359" t="s">
        <v>43</v>
      </c>
      <c r="H359" t="s">
        <v>43</v>
      </c>
      <c r="I359" t="s">
        <v>43</v>
      </c>
      <c r="J359" t="s">
        <v>43</v>
      </c>
      <c r="K359" t="s">
        <v>43</v>
      </c>
      <c r="L359" t="s">
        <v>43</v>
      </c>
      <c r="M359" t="s">
        <v>43</v>
      </c>
      <c r="N359" t="s">
        <v>45</v>
      </c>
      <c r="O359" t="s">
        <v>43</v>
      </c>
      <c r="P359" t="s">
        <v>43</v>
      </c>
      <c r="Q359" t="s">
        <v>43</v>
      </c>
      <c r="R359" t="s">
        <v>43</v>
      </c>
      <c r="S359" t="s">
        <v>43</v>
      </c>
      <c r="T359" t="s">
        <v>43</v>
      </c>
      <c r="U359" t="s">
        <v>43</v>
      </c>
      <c r="V359" t="s">
        <v>43</v>
      </c>
      <c r="W359" t="s">
        <v>43</v>
      </c>
      <c r="X359" t="s">
        <v>43</v>
      </c>
      <c r="Y359" t="s">
        <v>43</v>
      </c>
      <c r="Z359" t="s">
        <v>43</v>
      </c>
      <c r="AA359" t="s">
        <v>43</v>
      </c>
      <c r="AB359" t="s">
        <v>43</v>
      </c>
      <c r="AC359" t="s">
        <v>43</v>
      </c>
      <c r="AD359" t="s">
        <v>43</v>
      </c>
      <c r="AE359" t="s">
        <v>43</v>
      </c>
      <c r="AF359" t="s">
        <v>43</v>
      </c>
      <c r="AG359" t="s">
        <v>43</v>
      </c>
      <c r="AH359" t="s">
        <v>43</v>
      </c>
      <c r="AI359" t="s">
        <v>43</v>
      </c>
      <c r="AJ359" t="s">
        <v>43</v>
      </c>
      <c r="AK359" t="s">
        <v>43</v>
      </c>
      <c r="AL359" t="s">
        <v>43</v>
      </c>
      <c r="AM359" t="s">
        <v>43</v>
      </c>
      <c r="AN359" t="s">
        <v>43</v>
      </c>
    </row>
    <row r="360" spans="1:40" x14ac:dyDescent="0.3">
      <c r="A360" s="1">
        <v>46210.958101851851</v>
      </c>
      <c r="B360" t="s">
        <v>40</v>
      </c>
      <c r="C360" t="s">
        <v>41</v>
      </c>
      <c r="D360" s="1">
        <v>46210.961030092592</v>
      </c>
      <c r="E360" t="s">
        <v>42</v>
      </c>
      <c r="F360" t="s">
        <v>43</v>
      </c>
      <c r="G360" t="s">
        <v>43</v>
      </c>
      <c r="H360" t="s">
        <v>43</v>
      </c>
      <c r="I360" t="s">
        <v>207</v>
      </c>
      <c r="J360" t="s">
        <v>43</v>
      </c>
      <c r="K360" t="s">
        <v>43</v>
      </c>
      <c r="L360" t="s">
        <v>43</v>
      </c>
      <c r="M360" t="s">
        <v>43</v>
      </c>
      <c r="N360" t="s">
        <v>45</v>
      </c>
      <c r="O360" t="s">
        <v>43</v>
      </c>
      <c r="P360" t="s">
        <v>43</v>
      </c>
      <c r="Q360" t="s">
        <v>43</v>
      </c>
      <c r="R360" t="s">
        <v>43</v>
      </c>
      <c r="S360" t="s">
        <v>43</v>
      </c>
      <c r="T360" t="s">
        <v>43</v>
      </c>
      <c r="U360" t="s">
        <v>43</v>
      </c>
      <c r="V360" t="s">
        <v>43</v>
      </c>
      <c r="W360" t="s">
        <v>43</v>
      </c>
      <c r="X360" t="s">
        <v>43</v>
      </c>
      <c r="Y360" t="s">
        <v>43</v>
      </c>
      <c r="Z360" t="s">
        <v>43</v>
      </c>
      <c r="AA360" t="s">
        <v>43</v>
      </c>
      <c r="AB360" t="s">
        <v>43</v>
      </c>
      <c r="AC360" t="s">
        <v>43</v>
      </c>
      <c r="AD360" t="s">
        <v>43</v>
      </c>
      <c r="AE360" t="s">
        <v>43</v>
      </c>
      <c r="AF360" t="s">
        <v>43</v>
      </c>
      <c r="AG360" t="s">
        <v>43</v>
      </c>
      <c r="AH360" t="s">
        <v>43</v>
      </c>
      <c r="AI360" t="s">
        <v>43</v>
      </c>
      <c r="AJ360" t="s">
        <v>43</v>
      </c>
      <c r="AK360" t="s">
        <v>43</v>
      </c>
      <c r="AL360" t="s">
        <v>43</v>
      </c>
      <c r="AM360" t="s">
        <v>43</v>
      </c>
      <c r="AN360" t="str">
        <f>HYPERLINK("https://www.google.com/maps?q=11.05475426,79.06095123","Open Location")</f>
        <v>Open Location</v>
      </c>
    </row>
    <row r="361" spans="1:40" x14ac:dyDescent="0.3">
      <c r="A361" s="1">
        <v>46210.957986111112</v>
      </c>
      <c r="B361" t="s">
        <v>40</v>
      </c>
      <c r="C361" t="s">
        <v>41</v>
      </c>
      <c r="D361" s="1">
        <v>46210.961168981485</v>
      </c>
      <c r="E361" t="s">
        <v>42</v>
      </c>
      <c r="F361" t="s">
        <v>43</v>
      </c>
      <c r="G361" t="s">
        <v>43</v>
      </c>
      <c r="H361" t="s">
        <v>43</v>
      </c>
      <c r="I361" t="s">
        <v>210</v>
      </c>
      <c r="J361" t="s">
        <v>43</v>
      </c>
      <c r="K361" t="s">
        <v>43</v>
      </c>
      <c r="L361" t="s">
        <v>43</v>
      </c>
      <c r="M361" t="s">
        <v>43</v>
      </c>
      <c r="N361" t="s">
        <v>45</v>
      </c>
      <c r="O361" t="s">
        <v>43</v>
      </c>
      <c r="P361" t="s">
        <v>43</v>
      </c>
      <c r="Q361" t="s">
        <v>43</v>
      </c>
      <c r="R361" t="s">
        <v>43</v>
      </c>
      <c r="S361" t="s">
        <v>43</v>
      </c>
      <c r="T361" t="s">
        <v>43</v>
      </c>
      <c r="U361" t="s">
        <v>43</v>
      </c>
      <c r="V361" t="s">
        <v>43</v>
      </c>
      <c r="W361" t="s">
        <v>43</v>
      </c>
      <c r="X361" t="s">
        <v>43</v>
      </c>
      <c r="Y361" t="s">
        <v>43</v>
      </c>
      <c r="Z361" t="s">
        <v>43</v>
      </c>
      <c r="AA361" t="s">
        <v>43</v>
      </c>
      <c r="AB361" t="s">
        <v>43</v>
      </c>
      <c r="AC361" t="s">
        <v>43</v>
      </c>
      <c r="AD361" t="s">
        <v>43</v>
      </c>
      <c r="AE361" t="s">
        <v>43</v>
      </c>
      <c r="AF361" t="s">
        <v>43</v>
      </c>
      <c r="AG361" t="s">
        <v>43</v>
      </c>
      <c r="AH361" t="s">
        <v>43</v>
      </c>
      <c r="AI361" t="s">
        <v>43</v>
      </c>
      <c r="AJ361" t="s">
        <v>43</v>
      </c>
      <c r="AK361" t="s">
        <v>43</v>
      </c>
      <c r="AL361" t="s">
        <v>43</v>
      </c>
      <c r="AM361" t="s">
        <v>43</v>
      </c>
      <c r="AN361" t="str">
        <f>HYPERLINK("https://www.google.com/maps?q=11.05475807,79.06095123","Open Location")</f>
        <v>Open Location</v>
      </c>
    </row>
    <row r="362" spans="1:40" x14ac:dyDescent="0.3">
      <c r="A362" s="1">
        <v>46210.957870370374</v>
      </c>
      <c r="B362" t="s">
        <v>40</v>
      </c>
      <c r="C362" t="s">
        <v>41</v>
      </c>
      <c r="D362" s="1">
        <v>46210.96056712963</v>
      </c>
      <c r="E362" t="s">
        <v>42</v>
      </c>
      <c r="F362" t="s">
        <v>43</v>
      </c>
      <c r="G362" t="s">
        <v>43</v>
      </c>
      <c r="H362" t="s">
        <v>43</v>
      </c>
      <c r="I362" t="s">
        <v>211</v>
      </c>
      <c r="J362" t="s">
        <v>43</v>
      </c>
      <c r="K362" t="s">
        <v>43</v>
      </c>
      <c r="L362" t="s">
        <v>43</v>
      </c>
      <c r="M362" t="s">
        <v>43</v>
      </c>
      <c r="N362" t="s">
        <v>45</v>
      </c>
      <c r="O362" t="s">
        <v>43</v>
      </c>
      <c r="P362" t="s">
        <v>43</v>
      </c>
      <c r="Q362" t="s">
        <v>43</v>
      </c>
      <c r="R362" t="s">
        <v>43</v>
      </c>
      <c r="S362" t="s">
        <v>43</v>
      </c>
      <c r="T362" t="s">
        <v>43</v>
      </c>
      <c r="U362" t="s">
        <v>43</v>
      </c>
      <c r="V362" t="s">
        <v>43</v>
      </c>
      <c r="W362" t="s">
        <v>43</v>
      </c>
      <c r="X362" t="s">
        <v>43</v>
      </c>
      <c r="Y362" t="s">
        <v>43</v>
      </c>
      <c r="Z362" t="s">
        <v>43</v>
      </c>
      <c r="AA362" t="s">
        <v>43</v>
      </c>
      <c r="AB362" t="s">
        <v>43</v>
      </c>
      <c r="AC362" t="s">
        <v>43</v>
      </c>
      <c r="AD362" t="s">
        <v>43</v>
      </c>
      <c r="AE362" t="s">
        <v>43</v>
      </c>
      <c r="AF362" t="s">
        <v>43</v>
      </c>
      <c r="AG362" t="s">
        <v>43</v>
      </c>
      <c r="AH362" t="s">
        <v>43</v>
      </c>
      <c r="AI362" t="s">
        <v>43</v>
      </c>
      <c r="AJ362" t="s">
        <v>43</v>
      </c>
      <c r="AK362" t="s">
        <v>43</v>
      </c>
      <c r="AL362" t="s">
        <v>43</v>
      </c>
      <c r="AM362" t="s">
        <v>43</v>
      </c>
      <c r="AN362" t="str">
        <f>HYPERLINK("https://www.google.com/maps?q=11.05475616,79.06095123","Open Location")</f>
        <v>Open Location</v>
      </c>
    </row>
    <row r="363" spans="1:40" x14ac:dyDescent="0.3">
      <c r="A363" s="1">
        <v>46210.957754629628</v>
      </c>
      <c r="B363" t="s">
        <v>40</v>
      </c>
      <c r="C363" t="s">
        <v>41</v>
      </c>
      <c r="D363" s="1">
        <v>46210.960682870369</v>
      </c>
      <c r="E363" t="s">
        <v>42</v>
      </c>
      <c r="F363" t="s">
        <v>43</v>
      </c>
      <c r="G363" t="s">
        <v>43</v>
      </c>
      <c r="H363" t="s">
        <v>43</v>
      </c>
      <c r="I363" t="s">
        <v>204</v>
      </c>
      <c r="J363" t="s">
        <v>43</v>
      </c>
      <c r="K363" t="s">
        <v>43</v>
      </c>
      <c r="L363" t="s">
        <v>43</v>
      </c>
      <c r="M363" t="s">
        <v>43</v>
      </c>
      <c r="N363" t="s">
        <v>45</v>
      </c>
      <c r="O363" t="s">
        <v>43</v>
      </c>
      <c r="P363" t="s">
        <v>43</v>
      </c>
      <c r="Q363" t="s">
        <v>43</v>
      </c>
      <c r="R363" t="s">
        <v>43</v>
      </c>
      <c r="S363" t="s">
        <v>43</v>
      </c>
      <c r="T363" t="s">
        <v>43</v>
      </c>
      <c r="U363" t="s">
        <v>43</v>
      </c>
      <c r="V363" t="s">
        <v>43</v>
      </c>
      <c r="W363" t="s">
        <v>43</v>
      </c>
      <c r="X363" t="s">
        <v>43</v>
      </c>
      <c r="Y363" t="s">
        <v>43</v>
      </c>
      <c r="Z363" t="s">
        <v>43</v>
      </c>
      <c r="AA363" t="s">
        <v>43</v>
      </c>
      <c r="AB363" t="s">
        <v>43</v>
      </c>
      <c r="AC363" t="s">
        <v>43</v>
      </c>
      <c r="AD363" t="s">
        <v>43</v>
      </c>
      <c r="AE363" t="s">
        <v>43</v>
      </c>
      <c r="AF363" t="s">
        <v>43</v>
      </c>
      <c r="AG363" t="s">
        <v>43</v>
      </c>
      <c r="AH363" t="s">
        <v>43</v>
      </c>
      <c r="AI363" t="s">
        <v>43</v>
      </c>
      <c r="AJ363" t="s">
        <v>43</v>
      </c>
      <c r="AK363" t="s">
        <v>43</v>
      </c>
      <c r="AL363" t="s">
        <v>43</v>
      </c>
      <c r="AM363" t="s">
        <v>43</v>
      </c>
      <c r="AN363" t="str">
        <f>HYPERLINK("https://www.google.com/maps?q=11.05476475,79.0609436","Open Location")</f>
        <v>Open Location</v>
      </c>
    </row>
    <row r="364" spans="1:40" x14ac:dyDescent="0.3">
      <c r="A364" s="1">
        <v>46210.957638888889</v>
      </c>
      <c r="B364" t="s">
        <v>40</v>
      </c>
      <c r="C364" t="s">
        <v>41</v>
      </c>
      <c r="D364" s="1">
        <v>46210.960509259261</v>
      </c>
      <c r="E364" t="s">
        <v>42</v>
      </c>
      <c r="F364" t="s">
        <v>43</v>
      </c>
      <c r="G364" t="s">
        <v>43</v>
      </c>
      <c r="H364" t="s">
        <v>43</v>
      </c>
      <c r="I364" t="s">
        <v>212</v>
      </c>
      <c r="J364" t="s">
        <v>43</v>
      </c>
      <c r="K364" t="s">
        <v>43</v>
      </c>
      <c r="L364" t="s">
        <v>43</v>
      </c>
      <c r="M364" t="s">
        <v>43</v>
      </c>
      <c r="N364" t="s">
        <v>45</v>
      </c>
      <c r="O364" t="s">
        <v>43</v>
      </c>
      <c r="P364" t="s">
        <v>43</v>
      </c>
      <c r="Q364" t="s">
        <v>43</v>
      </c>
      <c r="R364" t="s">
        <v>43</v>
      </c>
      <c r="S364" t="s">
        <v>43</v>
      </c>
      <c r="T364" t="s">
        <v>43</v>
      </c>
      <c r="U364" t="s">
        <v>43</v>
      </c>
      <c r="V364" t="s">
        <v>43</v>
      </c>
      <c r="W364" t="s">
        <v>43</v>
      </c>
      <c r="X364" t="s">
        <v>43</v>
      </c>
      <c r="Y364" t="s">
        <v>43</v>
      </c>
      <c r="Z364" t="s">
        <v>43</v>
      </c>
      <c r="AA364" t="s">
        <v>43</v>
      </c>
      <c r="AB364" t="s">
        <v>43</v>
      </c>
      <c r="AC364" t="s">
        <v>43</v>
      </c>
      <c r="AD364" t="s">
        <v>43</v>
      </c>
      <c r="AE364" t="s">
        <v>43</v>
      </c>
      <c r="AF364" t="s">
        <v>43</v>
      </c>
      <c r="AG364" t="s">
        <v>43</v>
      </c>
      <c r="AH364" t="s">
        <v>43</v>
      </c>
      <c r="AI364" t="s">
        <v>43</v>
      </c>
      <c r="AJ364" t="s">
        <v>43</v>
      </c>
      <c r="AK364" t="s">
        <v>43</v>
      </c>
      <c r="AL364" t="s">
        <v>43</v>
      </c>
      <c r="AM364" t="s">
        <v>43</v>
      </c>
      <c r="AN364" t="str">
        <f>HYPERLINK("https://www.google.com/maps?q=11.05476475,79.06095123","Open Location")</f>
        <v>Open Location</v>
      </c>
    </row>
    <row r="365" spans="1:40" x14ac:dyDescent="0.3">
      <c r="A365" s="1">
        <v>46210.95752314815</v>
      </c>
      <c r="B365" t="s">
        <v>40</v>
      </c>
      <c r="C365" t="s">
        <v>41</v>
      </c>
      <c r="D365" s="1">
        <v>46210.960312499999</v>
      </c>
      <c r="E365" t="s">
        <v>42</v>
      </c>
      <c r="F365" t="s">
        <v>43</v>
      </c>
      <c r="G365" t="s">
        <v>43</v>
      </c>
      <c r="H365" t="s">
        <v>43</v>
      </c>
      <c r="I365" t="s">
        <v>43</v>
      </c>
      <c r="J365" t="s">
        <v>43</v>
      </c>
      <c r="K365" t="s">
        <v>43</v>
      </c>
      <c r="L365" t="s">
        <v>43</v>
      </c>
      <c r="M365" t="s">
        <v>43</v>
      </c>
      <c r="N365" t="s">
        <v>45</v>
      </c>
      <c r="O365" t="s">
        <v>43</v>
      </c>
      <c r="P365" t="s">
        <v>43</v>
      </c>
      <c r="Q365" t="s">
        <v>43</v>
      </c>
      <c r="R365" t="s">
        <v>43</v>
      </c>
      <c r="S365" t="s">
        <v>43</v>
      </c>
      <c r="T365" t="s">
        <v>43</v>
      </c>
      <c r="U365" t="s">
        <v>43</v>
      </c>
      <c r="V365" t="s">
        <v>43</v>
      </c>
      <c r="W365" t="s">
        <v>43</v>
      </c>
      <c r="X365" t="s">
        <v>43</v>
      </c>
      <c r="Y365" t="s">
        <v>43</v>
      </c>
      <c r="Z365" t="s">
        <v>43</v>
      </c>
      <c r="AA365" t="s">
        <v>43</v>
      </c>
      <c r="AB365" t="s">
        <v>43</v>
      </c>
      <c r="AC365" t="s">
        <v>43</v>
      </c>
      <c r="AD365" t="s">
        <v>43</v>
      </c>
      <c r="AE365" t="s">
        <v>43</v>
      </c>
      <c r="AF365" t="s">
        <v>43</v>
      </c>
      <c r="AG365" t="s">
        <v>43</v>
      </c>
      <c r="AH365" t="s">
        <v>43</v>
      </c>
      <c r="AI365" t="s">
        <v>43</v>
      </c>
      <c r="AJ365" t="s">
        <v>43</v>
      </c>
      <c r="AK365" t="s">
        <v>43</v>
      </c>
      <c r="AL365" t="s">
        <v>43</v>
      </c>
      <c r="AM365" t="s">
        <v>43</v>
      </c>
      <c r="AN365" t="s">
        <v>43</v>
      </c>
    </row>
    <row r="366" spans="1:40" x14ac:dyDescent="0.3">
      <c r="A366" s="1">
        <v>46210.957407407404</v>
      </c>
      <c r="B366" t="s">
        <v>40</v>
      </c>
      <c r="C366" t="s">
        <v>41</v>
      </c>
      <c r="D366" s="1">
        <v>46210.960393518515</v>
      </c>
      <c r="E366" t="s">
        <v>42</v>
      </c>
      <c r="F366" t="s">
        <v>43</v>
      </c>
      <c r="G366" t="s">
        <v>43</v>
      </c>
      <c r="H366" t="s">
        <v>43</v>
      </c>
      <c r="I366" t="s">
        <v>113</v>
      </c>
      <c r="J366" t="s">
        <v>43</v>
      </c>
      <c r="K366" t="s">
        <v>43</v>
      </c>
      <c r="L366" t="s">
        <v>43</v>
      </c>
      <c r="M366" t="s">
        <v>43</v>
      </c>
      <c r="N366" t="s">
        <v>45</v>
      </c>
      <c r="O366" t="s">
        <v>43</v>
      </c>
      <c r="P366" t="s">
        <v>43</v>
      </c>
      <c r="Q366" t="s">
        <v>43</v>
      </c>
      <c r="R366" t="s">
        <v>43</v>
      </c>
      <c r="S366" t="s">
        <v>43</v>
      </c>
      <c r="T366" t="s">
        <v>43</v>
      </c>
      <c r="U366" t="s">
        <v>43</v>
      </c>
      <c r="V366" t="s">
        <v>43</v>
      </c>
      <c r="W366" t="s">
        <v>43</v>
      </c>
      <c r="X366" t="s">
        <v>43</v>
      </c>
      <c r="Y366" t="s">
        <v>43</v>
      </c>
      <c r="Z366" t="s">
        <v>43</v>
      </c>
      <c r="AA366" t="s">
        <v>43</v>
      </c>
      <c r="AB366" t="s">
        <v>43</v>
      </c>
      <c r="AC366" t="s">
        <v>43</v>
      </c>
      <c r="AD366" t="s">
        <v>43</v>
      </c>
      <c r="AE366" t="s">
        <v>43</v>
      </c>
      <c r="AF366" t="s">
        <v>43</v>
      </c>
      <c r="AG366" t="s">
        <v>43</v>
      </c>
      <c r="AH366" t="s">
        <v>43</v>
      </c>
      <c r="AI366" t="s">
        <v>43</v>
      </c>
      <c r="AJ366" t="s">
        <v>43</v>
      </c>
      <c r="AK366" t="s">
        <v>43</v>
      </c>
      <c r="AL366" t="s">
        <v>43</v>
      </c>
      <c r="AM366" t="s">
        <v>43</v>
      </c>
      <c r="AN366" t="str">
        <f>HYPERLINK("https://www.google.com/maps?q=11.05476665,79.06095886","Open Location")</f>
        <v>Open Location</v>
      </c>
    </row>
    <row r="367" spans="1:40" x14ac:dyDescent="0.3">
      <c r="A367" s="1">
        <v>46210.957291666666</v>
      </c>
      <c r="B367" t="s">
        <v>40</v>
      </c>
      <c r="C367" t="s">
        <v>41</v>
      </c>
      <c r="D367" s="1">
        <v>46210.960046296299</v>
      </c>
      <c r="E367" t="s">
        <v>42</v>
      </c>
      <c r="F367" t="s">
        <v>43</v>
      </c>
      <c r="G367" t="s">
        <v>43</v>
      </c>
      <c r="H367" t="s">
        <v>43</v>
      </c>
      <c r="I367" t="s">
        <v>213</v>
      </c>
      <c r="J367" t="s">
        <v>43</v>
      </c>
      <c r="K367" t="s">
        <v>43</v>
      </c>
      <c r="L367" t="s">
        <v>43</v>
      </c>
      <c r="M367" t="s">
        <v>43</v>
      </c>
      <c r="N367" t="s">
        <v>45</v>
      </c>
      <c r="O367" t="s">
        <v>43</v>
      </c>
      <c r="P367" t="s">
        <v>43</v>
      </c>
      <c r="Q367" t="s">
        <v>43</v>
      </c>
      <c r="R367" t="s">
        <v>43</v>
      </c>
      <c r="S367" t="s">
        <v>43</v>
      </c>
      <c r="T367" t="s">
        <v>43</v>
      </c>
      <c r="U367" t="s">
        <v>43</v>
      </c>
      <c r="V367" t="s">
        <v>43</v>
      </c>
      <c r="W367" t="s">
        <v>43</v>
      </c>
      <c r="X367" t="s">
        <v>43</v>
      </c>
      <c r="Y367" t="s">
        <v>43</v>
      </c>
      <c r="Z367" t="s">
        <v>43</v>
      </c>
      <c r="AA367" t="s">
        <v>43</v>
      </c>
      <c r="AB367" t="s">
        <v>43</v>
      </c>
      <c r="AC367" t="s">
        <v>43</v>
      </c>
      <c r="AD367" t="s">
        <v>43</v>
      </c>
      <c r="AE367" t="s">
        <v>43</v>
      </c>
      <c r="AF367" t="s">
        <v>43</v>
      </c>
      <c r="AG367" t="s">
        <v>43</v>
      </c>
      <c r="AH367" t="s">
        <v>43</v>
      </c>
      <c r="AI367" t="s">
        <v>43</v>
      </c>
      <c r="AJ367" t="s">
        <v>43</v>
      </c>
      <c r="AK367" t="s">
        <v>43</v>
      </c>
      <c r="AL367" t="s">
        <v>43</v>
      </c>
      <c r="AM367" t="s">
        <v>43</v>
      </c>
      <c r="AN367" t="str">
        <f>HYPERLINK("https://www.google.com/maps?q=11.05476379,79.06095123","Open Location")</f>
        <v>Open Location</v>
      </c>
    </row>
    <row r="368" spans="1:40" x14ac:dyDescent="0.3">
      <c r="A368" s="1">
        <v>46210.957175925927</v>
      </c>
      <c r="B368" t="s">
        <v>40</v>
      </c>
      <c r="C368" t="s">
        <v>41</v>
      </c>
      <c r="D368" s="1">
        <v>46210.959756944445</v>
      </c>
      <c r="E368" t="s">
        <v>42</v>
      </c>
      <c r="F368" t="s">
        <v>43</v>
      </c>
      <c r="G368" t="s">
        <v>43</v>
      </c>
      <c r="H368" t="s">
        <v>43</v>
      </c>
      <c r="I368" t="s">
        <v>152</v>
      </c>
      <c r="J368" t="s">
        <v>43</v>
      </c>
      <c r="K368" t="s">
        <v>43</v>
      </c>
      <c r="L368" t="s">
        <v>43</v>
      </c>
      <c r="M368" t="s">
        <v>43</v>
      </c>
      <c r="N368" t="s">
        <v>45</v>
      </c>
      <c r="O368" t="s">
        <v>43</v>
      </c>
      <c r="P368" t="s">
        <v>43</v>
      </c>
      <c r="Q368" t="s">
        <v>43</v>
      </c>
      <c r="R368" t="s">
        <v>43</v>
      </c>
      <c r="S368" t="s">
        <v>43</v>
      </c>
      <c r="T368" t="s">
        <v>43</v>
      </c>
      <c r="U368" t="s">
        <v>43</v>
      </c>
      <c r="V368" t="s">
        <v>43</v>
      </c>
      <c r="W368" t="s">
        <v>43</v>
      </c>
      <c r="X368" t="s">
        <v>43</v>
      </c>
      <c r="Y368" t="s">
        <v>43</v>
      </c>
      <c r="Z368" t="s">
        <v>43</v>
      </c>
      <c r="AA368" t="s">
        <v>43</v>
      </c>
      <c r="AB368" t="s">
        <v>43</v>
      </c>
      <c r="AC368" t="s">
        <v>43</v>
      </c>
      <c r="AD368" t="s">
        <v>43</v>
      </c>
      <c r="AE368" t="s">
        <v>43</v>
      </c>
      <c r="AF368" t="s">
        <v>43</v>
      </c>
      <c r="AG368" t="s">
        <v>43</v>
      </c>
      <c r="AH368" t="s">
        <v>43</v>
      </c>
      <c r="AI368" t="s">
        <v>43</v>
      </c>
      <c r="AJ368" t="s">
        <v>43</v>
      </c>
      <c r="AK368" t="s">
        <v>43</v>
      </c>
      <c r="AL368" t="s">
        <v>43</v>
      </c>
      <c r="AM368" t="s">
        <v>43</v>
      </c>
      <c r="AN368" t="str">
        <f>HYPERLINK("https://www.google.com/maps?q=11.05476284,79.06095886","Open Location")</f>
        <v>Open Location</v>
      </c>
    </row>
    <row r="369" spans="1:40" x14ac:dyDescent="0.3">
      <c r="A369" s="1">
        <v>46210.957060185188</v>
      </c>
      <c r="B369" t="s">
        <v>40</v>
      </c>
      <c r="C369" t="s">
        <v>41</v>
      </c>
      <c r="D369" s="1">
        <v>46210.959722222222</v>
      </c>
      <c r="E369" t="s">
        <v>42</v>
      </c>
      <c r="F369" t="s">
        <v>43</v>
      </c>
      <c r="G369" t="s">
        <v>43</v>
      </c>
      <c r="H369" t="s">
        <v>43</v>
      </c>
      <c r="I369" t="s">
        <v>214</v>
      </c>
      <c r="J369" t="s">
        <v>43</v>
      </c>
      <c r="K369" t="s">
        <v>43</v>
      </c>
      <c r="L369" t="s">
        <v>43</v>
      </c>
      <c r="M369" t="s">
        <v>43</v>
      </c>
      <c r="N369" t="s">
        <v>45</v>
      </c>
      <c r="O369" t="s">
        <v>43</v>
      </c>
      <c r="P369" t="s">
        <v>43</v>
      </c>
      <c r="Q369" t="s">
        <v>43</v>
      </c>
      <c r="R369" t="s">
        <v>43</v>
      </c>
      <c r="S369" t="s">
        <v>43</v>
      </c>
      <c r="T369" t="s">
        <v>43</v>
      </c>
      <c r="U369" t="s">
        <v>43</v>
      </c>
      <c r="V369" t="s">
        <v>43</v>
      </c>
      <c r="W369" t="s">
        <v>43</v>
      </c>
      <c r="X369" t="s">
        <v>43</v>
      </c>
      <c r="Y369" t="s">
        <v>43</v>
      </c>
      <c r="Z369" t="s">
        <v>43</v>
      </c>
      <c r="AA369" t="s">
        <v>43</v>
      </c>
      <c r="AB369" t="s">
        <v>43</v>
      </c>
      <c r="AC369" t="s">
        <v>43</v>
      </c>
      <c r="AD369" t="s">
        <v>43</v>
      </c>
      <c r="AE369" t="s">
        <v>43</v>
      </c>
      <c r="AF369" t="s">
        <v>43</v>
      </c>
      <c r="AG369" t="s">
        <v>43</v>
      </c>
      <c r="AH369" t="s">
        <v>43</v>
      </c>
      <c r="AI369" t="s">
        <v>43</v>
      </c>
      <c r="AJ369" t="s">
        <v>43</v>
      </c>
      <c r="AK369" t="s">
        <v>43</v>
      </c>
      <c r="AL369" t="s">
        <v>43</v>
      </c>
      <c r="AM369" t="s">
        <v>43</v>
      </c>
      <c r="AN369" t="str">
        <f>HYPERLINK("https://www.google.com/maps?q=11.05475903,79.06095123","Open Location")</f>
        <v>Open Location</v>
      </c>
    </row>
    <row r="370" spans="1:40" x14ac:dyDescent="0.3">
      <c r="A370" s="1">
        <v>46210.956944444442</v>
      </c>
      <c r="B370" t="s">
        <v>40</v>
      </c>
      <c r="C370" t="s">
        <v>41</v>
      </c>
      <c r="D370" s="1">
        <v>46210.959629629629</v>
      </c>
      <c r="E370" t="s">
        <v>42</v>
      </c>
      <c r="F370" t="s">
        <v>43</v>
      </c>
      <c r="G370" t="s">
        <v>43</v>
      </c>
      <c r="H370" t="s">
        <v>43</v>
      </c>
      <c r="I370" t="s">
        <v>215</v>
      </c>
      <c r="J370" t="s">
        <v>43</v>
      </c>
      <c r="K370" t="s">
        <v>43</v>
      </c>
      <c r="L370" t="s">
        <v>43</v>
      </c>
      <c r="M370" t="s">
        <v>43</v>
      </c>
      <c r="N370" t="s">
        <v>45</v>
      </c>
      <c r="O370" t="s">
        <v>43</v>
      </c>
      <c r="P370" t="s">
        <v>43</v>
      </c>
      <c r="Q370" t="s">
        <v>43</v>
      </c>
      <c r="R370" t="s">
        <v>43</v>
      </c>
      <c r="S370" t="s">
        <v>43</v>
      </c>
      <c r="T370" t="s">
        <v>43</v>
      </c>
      <c r="U370" t="s">
        <v>43</v>
      </c>
      <c r="V370" t="s">
        <v>43</v>
      </c>
      <c r="W370" t="s">
        <v>43</v>
      </c>
      <c r="X370" t="s">
        <v>43</v>
      </c>
      <c r="Y370" t="s">
        <v>43</v>
      </c>
      <c r="Z370" t="s">
        <v>43</v>
      </c>
      <c r="AA370" t="s">
        <v>43</v>
      </c>
      <c r="AB370" t="s">
        <v>43</v>
      </c>
      <c r="AC370" t="s">
        <v>43</v>
      </c>
      <c r="AD370" t="s">
        <v>43</v>
      </c>
      <c r="AE370" t="s">
        <v>43</v>
      </c>
      <c r="AF370" t="s">
        <v>43</v>
      </c>
      <c r="AG370" t="s">
        <v>43</v>
      </c>
      <c r="AH370" t="s">
        <v>43</v>
      </c>
      <c r="AI370" t="s">
        <v>43</v>
      </c>
      <c r="AJ370" t="s">
        <v>43</v>
      </c>
      <c r="AK370" t="s">
        <v>43</v>
      </c>
      <c r="AL370" t="s">
        <v>43</v>
      </c>
      <c r="AM370" t="s">
        <v>43</v>
      </c>
      <c r="AN370" t="str">
        <f>HYPERLINK("https://www.google.com/maps?q=11.05476284,79.06095123","Open Location")</f>
        <v>Open Location</v>
      </c>
    </row>
    <row r="371" spans="1:40" x14ac:dyDescent="0.3">
      <c r="A371" s="1">
        <v>46210.956828703704</v>
      </c>
      <c r="B371" t="s">
        <v>40</v>
      </c>
      <c r="C371" t="s">
        <v>41</v>
      </c>
      <c r="D371" s="1">
        <v>46210.959722222222</v>
      </c>
      <c r="E371" t="s">
        <v>42</v>
      </c>
      <c r="F371" t="s">
        <v>43</v>
      </c>
      <c r="G371" t="s">
        <v>43</v>
      </c>
      <c r="H371" t="s">
        <v>43</v>
      </c>
      <c r="I371" t="s">
        <v>43</v>
      </c>
      <c r="J371" t="s">
        <v>43</v>
      </c>
      <c r="K371" t="s">
        <v>43</v>
      </c>
      <c r="L371" t="s">
        <v>43</v>
      </c>
      <c r="M371" t="s">
        <v>43</v>
      </c>
      <c r="N371" t="s">
        <v>45</v>
      </c>
      <c r="O371" t="s">
        <v>43</v>
      </c>
      <c r="P371" t="s">
        <v>43</v>
      </c>
      <c r="Q371" t="s">
        <v>43</v>
      </c>
      <c r="R371" t="s">
        <v>43</v>
      </c>
      <c r="S371" t="s">
        <v>43</v>
      </c>
      <c r="T371" t="s">
        <v>43</v>
      </c>
      <c r="U371" t="s">
        <v>43</v>
      </c>
      <c r="V371" t="s">
        <v>43</v>
      </c>
      <c r="W371" t="s">
        <v>43</v>
      </c>
      <c r="X371" t="s">
        <v>43</v>
      </c>
      <c r="Y371" t="s">
        <v>43</v>
      </c>
      <c r="Z371" t="s">
        <v>43</v>
      </c>
      <c r="AA371" t="s">
        <v>43</v>
      </c>
      <c r="AB371" t="s">
        <v>43</v>
      </c>
      <c r="AC371" t="s">
        <v>43</v>
      </c>
      <c r="AD371" t="s">
        <v>43</v>
      </c>
      <c r="AE371" t="s">
        <v>43</v>
      </c>
      <c r="AF371" t="s">
        <v>43</v>
      </c>
      <c r="AG371" t="s">
        <v>43</v>
      </c>
      <c r="AH371" t="s">
        <v>43</v>
      </c>
      <c r="AI371" t="s">
        <v>43</v>
      </c>
      <c r="AJ371" t="s">
        <v>43</v>
      </c>
      <c r="AK371" t="s">
        <v>43</v>
      </c>
      <c r="AL371" t="s">
        <v>43</v>
      </c>
      <c r="AM371" t="s">
        <v>43</v>
      </c>
      <c r="AN371" t="s">
        <v>43</v>
      </c>
    </row>
    <row r="372" spans="1:40" x14ac:dyDescent="0.3">
      <c r="A372" s="1">
        <v>46210.956712962965</v>
      </c>
      <c r="B372" t="s">
        <v>40</v>
      </c>
      <c r="C372" t="s">
        <v>41</v>
      </c>
      <c r="D372" s="1">
        <v>46210.959652777776</v>
      </c>
      <c r="E372" t="s">
        <v>42</v>
      </c>
      <c r="F372" t="s">
        <v>43</v>
      </c>
      <c r="G372" t="s">
        <v>43</v>
      </c>
      <c r="H372" t="s">
        <v>43</v>
      </c>
      <c r="I372" t="s">
        <v>216</v>
      </c>
      <c r="J372" t="s">
        <v>43</v>
      </c>
      <c r="K372" t="s">
        <v>43</v>
      </c>
      <c r="L372" t="s">
        <v>43</v>
      </c>
      <c r="M372" t="s">
        <v>43</v>
      </c>
      <c r="N372" t="s">
        <v>45</v>
      </c>
      <c r="O372" t="s">
        <v>43</v>
      </c>
      <c r="P372" t="s">
        <v>43</v>
      </c>
      <c r="Q372" t="s">
        <v>43</v>
      </c>
      <c r="R372" t="s">
        <v>43</v>
      </c>
      <c r="S372" t="s">
        <v>43</v>
      </c>
      <c r="T372" t="s">
        <v>43</v>
      </c>
      <c r="U372" t="s">
        <v>43</v>
      </c>
      <c r="V372" t="s">
        <v>43</v>
      </c>
      <c r="W372" t="s">
        <v>43</v>
      </c>
      <c r="X372" t="s">
        <v>43</v>
      </c>
      <c r="Y372" t="s">
        <v>43</v>
      </c>
      <c r="Z372" t="s">
        <v>43</v>
      </c>
      <c r="AA372" t="s">
        <v>43</v>
      </c>
      <c r="AB372" t="s">
        <v>43</v>
      </c>
      <c r="AC372" t="s">
        <v>43</v>
      </c>
      <c r="AD372" t="s">
        <v>43</v>
      </c>
      <c r="AE372" t="s">
        <v>43</v>
      </c>
      <c r="AF372" t="s">
        <v>43</v>
      </c>
      <c r="AG372" t="s">
        <v>43</v>
      </c>
      <c r="AH372" t="s">
        <v>43</v>
      </c>
      <c r="AI372" t="s">
        <v>43</v>
      </c>
      <c r="AJ372" t="s">
        <v>43</v>
      </c>
      <c r="AK372" t="s">
        <v>43</v>
      </c>
      <c r="AL372" t="s">
        <v>43</v>
      </c>
      <c r="AM372" t="s">
        <v>43</v>
      </c>
      <c r="AN372" t="str">
        <f>HYPERLINK("https://www.google.com/maps?q=11.05476093,79.0609436","Open Location")</f>
        <v>Open Location</v>
      </c>
    </row>
    <row r="373" spans="1:40" x14ac:dyDescent="0.3">
      <c r="A373" s="1">
        <v>46210.956597222219</v>
      </c>
      <c r="B373" t="s">
        <v>40</v>
      </c>
      <c r="C373" t="s">
        <v>41</v>
      </c>
      <c r="D373" s="1">
        <v>46210.959756944445</v>
      </c>
      <c r="E373" t="s">
        <v>42</v>
      </c>
      <c r="F373" t="s">
        <v>43</v>
      </c>
      <c r="G373" t="s">
        <v>43</v>
      </c>
      <c r="H373" t="s">
        <v>43</v>
      </c>
      <c r="I373" t="s">
        <v>217</v>
      </c>
      <c r="J373" t="s">
        <v>43</v>
      </c>
      <c r="K373" t="s">
        <v>43</v>
      </c>
      <c r="L373" t="s">
        <v>43</v>
      </c>
      <c r="M373" t="s">
        <v>43</v>
      </c>
      <c r="N373" t="s">
        <v>45</v>
      </c>
      <c r="O373" t="s">
        <v>43</v>
      </c>
      <c r="P373" t="s">
        <v>43</v>
      </c>
      <c r="Q373" t="s">
        <v>43</v>
      </c>
      <c r="R373" t="s">
        <v>43</v>
      </c>
      <c r="S373" t="s">
        <v>43</v>
      </c>
      <c r="T373" t="s">
        <v>43</v>
      </c>
      <c r="U373" t="s">
        <v>43</v>
      </c>
      <c r="V373" t="s">
        <v>43</v>
      </c>
      <c r="W373" t="s">
        <v>43</v>
      </c>
      <c r="X373" t="s">
        <v>43</v>
      </c>
      <c r="Y373" t="s">
        <v>43</v>
      </c>
      <c r="Z373" t="s">
        <v>43</v>
      </c>
      <c r="AA373" t="s">
        <v>43</v>
      </c>
      <c r="AB373" t="s">
        <v>43</v>
      </c>
      <c r="AC373" t="s">
        <v>43</v>
      </c>
      <c r="AD373" t="s">
        <v>43</v>
      </c>
      <c r="AE373" t="s">
        <v>43</v>
      </c>
      <c r="AF373" t="s">
        <v>43</v>
      </c>
      <c r="AG373" t="s">
        <v>43</v>
      </c>
      <c r="AH373" t="s">
        <v>43</v>
      </c>
      <c r="AI373" t="s">
        <v>43</v>
      </c>
      <c r="AJ373" t="s">
        <v>43</v>
      </c>
      <c r="AK373" t="s">
        <v>43</v>
      </c>
      <c r="AL373" t="s">
        <v>43</v>
      </c>
      <c r="AM373" t="s">
        <v>43</v>
      </c>
      <c r="AN373" t="str">
        <f>HYPERLINK("https://www.google.com/maps?q=11.05476665,79.0609436","Open Location")</f>
        <v>Open Location</v>
      </c>
    </row>
    <row r="374" spans="1:40" x14ac:dyDescent="0.3">
      <c r="A374" s="1">
        <v>46210.95648148148</v>
      </c>
      <c r="B374" t="s">
        <v>40</v>
      </c>
      <c r="C374" t="s">
        <v>41</v>
      </c>
      <c r="D374" s="1">
        <v>46210.959201388891</v>
      </c>
      <c r="E374" t="s">
        <v>42</v>
      </c>
      <c r="F374" t="s">
        <v>43</v>
      </c>
      <c r="G374" t="s">
        <v>43</v>
      </c>
      <c r="H374" t="s">
        <v>43</v>
      </c>
      <c r="I374" t="s">
        <v>218</v>
      </c>
      <c r="J374" t="s">
        <v>43</v>
      </c>
      <c r="K374" t="s">
        <v>43</v>
      </c>
      <c r="L374" t="s">
        <v>43</v>
      </c>
      <c r="M374" t="s">
        <v>43</v>
      </c>
      <c r="N374" t="s">
        <v>45</v>
      </c>
      <c r="O374" t="s">
        <v>43</v>
      </c>
      <c r="P374" t="s">
        <v>43</v>
      </c>
      <c r="Q374" t="s">
        <v>43</v>
      </c>
      <c r="R374" t="s">
        <v>43</v>
      </c>
      <c r="S374" t="s">
        <v>43</v>
      </c>
      <c r="T374" t="s">
        <v>43</v>
      </c>
      <c r="U374" t="s">
        <v>43</v>
      </c>
      <c r="V374" t="s">
        <v>43</v>
      </c>
      <c r="W374" t="s">
        <v>43</v>
      </c>
      <c r="X374" t="s">
        <v>43</v>
      </c>
      <c r="Y374" t="s">
        <v>43</v>
      </c>
      <c r="Z374" t="s">
        <v>43</v>
      </c>
      <c r="AA374" t="s">
        <v>43</v>
      </c>
      <c r="AB374" t="s">
        <v>43</v>
      </c>
      <c r="AC374" t="s">
        <v>43</v>
      </c>
      <c r="AD374" t="s">
        <v>43</v>
      </c>
      <c r="AE374" t="s">
        <v>43</v>
      </c>
      <c r="AF374" t="s">
        <v>43</v>
      </c>
      <c r="AG374" t="s">
        <v>43</v>
      </c>
      <c r="AH374" t="s">
        <v>43</v>
      </c>
      <c r="AI374" t="s">
        <v>43</v>
      </c>
      <c r="AJ374" t="s">
        <v>43</v>
      </c>
      <c r="AK374" t="s">
        <v>43</v>
      </c>
      <c r="AL374" t="s">
        <v>43</v>
      </c>
      <c r="AM374" t="s">
        <v>43</v>
      </c>
      <c r="AN374" t="str">
        <f>HYPERLINK("https://www.google.com/maps?q=11.05476379,79.0609436","Open Location")</f>
        <v>Open Location</v>
      </c>
    </row>
    <row r="375" spans="1:40" x14ac:dyDescent="0.3">
      <c r="A375" s="1">
        <v>46210.956365740742</v>
      </c>
      <c r="B375" t="s">
        <v>40</v>
      </c>
      <c r="C375" t="s">
        <v>41</v>
      </c>
      <c r="D375" s="1">
        <v>46210.959247685183</v>
      </c>
      <c r="E375" t="s">
        <v>42</v>
      </c>
      <c r="F375" t="s">
        <v>43</v>
      </c>
      <c r="G375" t="s">
        <v>43</v>
      </c>
      <c r="H375" t="s">
        <v>43</v>
      </c>
      <c r="I375" t="s">
        <v>168</v>
      </c>
      <c r="J375" t="s">
        <v>43</v>
      </c>
      <c r="K375" t="s">
        <v>43</v>
      </c>
      <c r="L375" t="s">
        <v>43</v>
      </c>
      <c r="M375" t="s">
        <v>43</v>
      </c>
      <c r="N375" t="s">
        <v>45</v>
      </c>
      <c r="O375" t="s">
        <v>43</v>
      </c>
      <c r="P375" t="s">
        <v>43</v>
      </c>
      <c r="Q375" t="s">
        <v>43</v>
      </c>
      <c r="R375" t="s">
        <v>43</v>
      </c>
      <c r="S375" t="s">
        <v>43</v>
      </c>
      <c r="T375" t="s">
        <v>43</v>
      </c>
      <c r="U375" t="s">
        <v>43</v>
      </c>
      <c r="V375" t="s">
        <v>43</v>
      </c>
      <c r="W375" t="s">
        <v>43</v>
      </c>
      <c r="X375" t="s">
        <v>43</v>
      </c>
      <c r="Y375" t="s">
        <v>43</v>
      </c>
      <c r="Z375" t="s">
        <v>43</v>
      </c>
      <c r="AA375" t="s">
        <v>43</v>
      </c>
      <c r="AB375" t="s">
        <v>43</v>
      </c>
      <c r="AC375" t="s">
        <v>43</v>
      </c>
      <c r="AD375" t="s">
        <v>43</v>
      </c>
      <c r="AE375" t="s">
        <v>43</v>
      </c>
      <c r="AF375" t="s">
        <v>43</v>
      </c>
      <c r="AG375" t="s">
        <v>43</v>
      </c>
      <c r="AH375" t="s">
        <v>43</v>
      </c>
      <c r="AI375" t="s">
        <v>43</v>
      </c>
      <c r="AJ375" t="s">
        <v>43</v>
      </c>
      <c r="AK375" t="s">
        <v>43</v>
      </c>
      <c r="AL375" t="s">
        <v>43</v>
      </c>
      <c r="AM375" t="s">
        <v>43</v>
      </c>
      <c r="AN375" t="str">
        <f>HYPERLINK("https://www.google.com/maps?q=11.05477047,79.06095123","Open Location")</f>
        <v>Open Location</v>
      </c>
    </row>
    <row r="376" spans="1:40" x14ac:dyDescent="0.3">
      <c r="A376" s="1">
        <v>46210.956250000003</v>
      </c>
      <c r="B376" t="s">
        <v>40</v>
      </c>
      <c r="C376" t="s">
        <v>41</v>
      </c>
      <c r="D376" s="1">
        <v>46210.959074074075</v>
      </c>
      <c r="E376" t="s">
        <v>42</v>
      </c>
      <c r="F376" t="s">
        <v>43</v>
      </c>
      <c r="G376" t="s">
        <v>43</v>
      </c>
      <c r="H376" t="s">
        <v>43</v>
      </c>
      <c r="I376" t="s">
        <v>43</v>
      </c>
      <c r="J376" t="s">
        <v>43</v>
      </c>
      <c r="K376" t="s">
        <v>43</v>
      </c>
      <c r="L376" t="s">
        <v>43</v>
      </c>
      <c r="M376" t="s">
        <v>43</v>
      </c>
      <c r="N376" t="s">
        <v>45</v>
      </c>
      <c r="O376" t="s">
        <v>43</v>
      </c>
      <c r="P376" t="s">
        <v>43</v>
      </c>
      <c r="Q376" t="s">
        <v>43</v>
      </c>
      <c r="R376" t="s">
        <v>43</v>
      </c>
      <c r="S376" t="s">
        <v>43</v>
      </c>
      <c r="T376" t="s">
        <v>43</v>
      </c>
      <c r="U376" t="s">
        <v>43</v>
      </c>
      <c r="V376" t="s">
        <v>43</v>
      </c>
      <c r="W376" t="s">
        <v>43</v>
      </c>
      <c r="X376" t="s">
        <v>43</v>
      </c>
      <c r="Y376" t="s">
        <v>43</v>
      </c>
      <c r="Z376" t="s">
        <v>43</v>
      </c>
      <c r="AA376" t="s">
        <v>43</v>
      </c>
      <c r="AB376" t="s">
        <v>43</v>
      </c>
      <c r="AC376" t="s">
        <v>43</v>
      </c>
      <c r="AD376" t="s">
        <v>43</v>
      </c>
      <c r="AE376" t="s">
        <v>43</v>
      </c>
      <c r="AF376" t="s">
        <v>43</v>
      </c>
      <c r="AG376" t="s">
        <v>43</v>
      </c>
      <c r="AH376" t="s">
        <v>43</v>
      </c>
      <c r="AI376" t="s">
        <v>43</v>
      </c>
      <c r="AJ376" t="s">
        <v>43</v>
      </c>
      <c r="AK376" t="s">
        <v>43</v>
      </c>
      <c r="AL376" t="s">
        <v>43</v>
      </c>
      <c r="AM376" t="s">
        <v>43</v>
      </c>
      <c r="AN376" t="s">
        <v>43</v>
      </c>
    </row>
    <row r="377" spans="1:40" x14ac:dyDescent="0.3">
      <c r="A377" s="1">
        <v>46210.956134259257</v>
      </c>
      <c r="B377" t="s">
        <v>40</v>
      </c>
      <c r="C377" t="s">
        <v>41</v>
      </c>
      <c r="D377" s="1">
        <v>46210.959340277775</v>
      </c>
      <c r="E377" t="s">
        <v>42</v>
      </c>
      <c r="F377" t="s">
        <v>43</v>
      </c>
      <c r="G377" t="s">
        <v>43</v>
      </c>
      <c r="H377" t="s">
        <v>43</v>
      </c>
      <c r="I377" t="s">
        <v>158</v>
      </c>
      <c r="J377" t="s">
        <v>43</v>
      </c>
      <c r="K377" t="s">
        <v>43</v>
      </c>
      <c r="L377" t="s">
        <v>43</v>
      </c>
      <c r="M377" t="s">
        <v>43</v>
      </c>
      <c r="N377" t="s">
        <v>45</v>
      </c>
      <c r="O377" t="s">
        <v>43</v>
      </c>
      <c r="P377" t="s">
        <v>43</v>
      </c>
      <c r="Q377" t="s">
        <v>43</v>
      </c>
      <c r="R377" t="s">
        <v>43</v>
      </c>
      <c r="S377" t="s">
        <v>43</v>
      </c>
      <c r="T377" t="s">
        <v>43</v>
      </c>
      <c r="U377" t="s">
        <v>43</v>
      </c>
      <c r="V377" t="s">
        <v>43</v>
      </c>
      <c r="W377" t="s">
        <v>43</v>
      </c>
      <c r="X377" t="s">
        <v>43</v>
      </c>
      <c r="Y377" t="s">
        <v>43</v>
      </c>
      <c r="Z377" t="s">
        <v>43</v>
      </c>
      <c r="AA377" t="s">
        <v>43</v>
      </c>
      <c r="AB377" t="s">
        <v>43</v>
      </c>
      <c r="AC377" t="s">
        <v>43</v>
      </c>
      <c r="AD377" t="s">
        <v>43</v>
      </c>
      <c r="AE377" t="s">
        <v>43</v>
      </c>
      <c r="AF377" t="s">
        <v>43</v>
      </c>
      <c r="AG377" t="s">
        <v>43</v>
      </c>
      <c r="AH377" t="s">
        <v>43</v>
      </c>
      <c r="AI377" t="s">
        <v>43</v>
      </c>
      <c r="AJ377" t="s">
        <v>43</v>
      </c>
      <c r="AK377" t="s">
        <v>43</v>
      </c>
      <c r="AL377" t="s">
        <v>43</v>
      </c>
      <c r="AM377" t="s">
        <v>43</v>
      </c>
      <c r="AN377" t="str">
        <f>HYPERLINK("https://www.google.com/maps?q=11.05477142,79.06095123","Open Location")</f>
        <v>Open Location</v>
      </c>
    </row>
    <row r="378" spans="1:40" x14ac:dyDescent="0.3">
      <c r="A378" s="1">
        <v>46210.956018518518</v>
      </c>
      <c r="B378" t="s">
        <v>40</v>
      </c>
      <c r="C378" t="s">
        <v>41</v>
      </c>
      <c r="D378" s="1">
        <v>46210.958703703705</v>
      </c>
      <c r="E378" t="s">
        <v>42</v>
      </c>
      <c r="F378" t="s">
        <v>43</v>
      </c>
      <c r="G378" t="s">
        <v>43</v>
      </c>
      <c r="H378" t="s">
        <v>43</v>
      </c>
      <c r="I378" t="s">
        <v>163</v>
      </c>
      <c r="J378" t="s">
        <v>43</v>
      </c>
      <c r="K378" t="s">
        <v>43</v>
      </c>
      <c r="L378" t="s">
        <v>43</v>
      </c>
      <c r="M378" t="s">
        <v>43</v>
      </c>
      <c r="N378" t="s">
        <v>45</v>
      </c>
      <c r="O378" t="s">
        <v>43</v>
      </c>
      <c r="P378" t="s">
        <v>43</v>
      </c>
      <c r="Q378" t="s">
        <v>43</v>
      </c>
      <c r="R378" t="s">
        <v>43</v>
      </c>
      <c r="S378" t="s">
        <v>43</v>
      </c>
      <c r="T378" t="s">
        <v>43</v>
      </c>
      <c r="U378" t="s">
        <v>43</v>
      </c>
      <c r="V378" t="s">
        <v>43</v>
      </c>
      <c r="W378" t="s">
        <v>43</v>
      </c>
      <c r="X378" t="s">
        <v>43</v>
      </c>
      <c r="Y378" t="s">
        <v>43</v>
      </c>
      <c r="Z378" t="s">
        <v>43</v>
      </c>
      <c r="AA378" t="s">
        <v>43</v>
      </c>
      <c r="AB378" t="s">
        <v>43</v>
      </c>
      <c r="AC378" t="s">
        <v>43</v>
      </c>
      <c r="AD378" t="s">
        <v>43</v>
      </c>
      <c r="AE378" t="s">
        <v>43</v>
      </c>
      <c r="AF378" t="s">
        <v>43</v>
      </c>
      <c r="AG378" t="s">
        <v>43</v>
      </c>
      <c r="AH378" t="s">
        <v>43</v>
      </c>
      <c r="AI378" t="s">
        <v>43</v>
      </c>
      <c r="AJ378" t="s">
        <v>43</v>
      </c>
      <c r="AK378" t="s">
        <v>43</v>
      </c>
      <c r="AL378" t="s">
        <v>43</v>
      </c>
      <c r="AM378" t="s">
        <v>43</v>
      </c>
      <c r="AN378" t="str">
        <f>HYPERLINK("https://www.google.com/maps?q=11.05477142,79.0609436","Open Location")</f>
        <v>Open Location</v>
      </c>
    </row>
    <row r="379" spans="1:40" x14ac:dyDescent="0.3">
      <c r="A379" s="1">
        <v>46210.95590277778</v>
      </c>
      <c r="B379" t="s">
        <v>40</v>
      </c>
      <c r="C379" t="s">
        <v>41</v>
      </c>
      <c r="D379" s="1">
        <v>46210.958749999998</v>
      </c>
      <c r="E379" t="s">
        <v>42</v>
      </c>
      <c r="F379" t="s">
        <v>43</v>
      </c>
      <c r="G379" t="s">
        <v>43</v>
      </c>
      <c r="H379" t="s">
        <v>43</v>
      </c>
      <c r="I379" t="s">
        <v>219</v>
      </c>
      <c r="J379" t="s">
        <v>43</v>
      </c>
      <c r="K379" t="s">
        <v>43</v>
      </c>
      <c r="L379" t="s">
        <v>43</v>
      </c>
      <c r="M379" t="s">
        <v>43</v>
      </c>
      <c r="N379" t="s">
        <v>45</v>
      </c>
      <c r="O379" t="s">
        <v>43</v>
      </c>
      <c r="P379" t="s">
        <v>43</v>
      </c>
      <c r="Q379" t="s">
        <v>43</v>
      </c>
      <c r="R379" t="s">
        <v>43</v>
      </c>
      <c r="S379" t="s">
        <v>43</v>
      </c>
      <c r="T379" t="s">
        <v>43</v>
      </c>
      <c r="U379" t="s">
        <v>43</v>
      </c>
      <c r="V379" t="s">
        <v>43</v>
      </c>
      <c r="W379" t="s">
        <v>43</v>
      </c>
      <c r="X379" t="s">
        <v>43</v>
      </c>
      <c r="Y379" t="s">
        <v>43</v>
      </c>
      <c r="Z379" t="s">
        <v>43</v>
      </c>
      <c r="AA379" t="s">
        <v>43</v>
      </c>
      <c r="AB379" t="s">
        <v>43</v>
      </c>
      <c r="AC379" t="s">
        <v>43</v>
      </c>
      <c r="AD379" t="s">
        <v>43</v>
      </c>
      <c r="AE379" t="s">
        <v>43</v>
      </c>
      <c r="AF379" t="s">
        <v>43</v>
      </c>
      <c r="AG379" t="s">
        <v>43</v>
      </c>
      <c r="AH379" t="s">
        <v>43</v>
      </c>
      <c r="AI379" t="s">
        <v>43</v>
      </c>
      <c r="AJ379" t="s">
        <v>43</v>
      </c>
      <c r="AK379" t="s">
        <v>43</v>
      </c>
      <c r="AL379" t="s">
        <v>43</v>
      </c>
      <c r="AM379" t="s">
        <v>43</v>
      </c>
      <c r="AN379" t="str">
        <f>HYPERLINK("https://www.google.com/maps?q=11.05477047,79.0609436","Open Location")</f>
        <v>Open Location</v>
      </c>
    </row>
    <row r="380" spans="1:40" x14ac:dyDescent="0.3">
      <c r="A380" s="1">
        <v>46210.955787037034</v>
      </c>
      <c r="B380" t="s">
        <v>40</v>
      </c>
      <c r="C380" t="s">
        <v>41</v>
      </c>
      <c r="D380" s="1">
        <v>46210.958969907406</v>
      </c>
      <c r="E380" t="s">
        <v>42</v>
      </c>
      <c r="F380" t="s">
        <v>43</v>
      </c>
      <c r="G380" t="s">
        <v>43</v>
      </c>
      <c r="H380" t="s">
        <v>43</v>
      </c>
      <c r="I380" t="s">
        <v>180</v>
      </c>
      <c r="J380" t="s">
        <v>43</v>
      </c>
      <c r="K380" t="s">
        <v>43</v>
      </c>
      <c r="L380" t="s">
        <v>43</v>
      </c>
      <c r="M380" t="s">
        <v>43</v>
      </c>
      <c r="N380" t="s">
        <v>45</v>
      </c>
      <c r="O380" t="s">
        <v>43</v>
      </c>
      <c r="P380" t="s">
        <v>43</v>
      </c>
      <c r="Q380" t="s">
        <v>43</v>
      </c>
      <c r="R380" t="s">
        <v>43</v>
      </c>
      <c r="S380" t="s">
        <v>43</v>
      </c>
      <c r="T380" t="s">
        <v>43</v>
      </c>
      <c r="U380" t="s">
        <v>43</v>
      </c>
      <c r="V380" t="s">
        <v>43</v>
      </c>
      <c r="W380" t="s">
        <v>43</v>
      </c>
      <c r="X380" t="s">
        <v>43</v>
      </c>
      <c r="Y380" t="s">
        <v>43</v>
      </c>
      <c r="Z380" t="s">
        <v>43</v>
      </c>
      <c r="AA380" t="s">
        <v>43</v>
      </c>
      <c r="AB380" t="s">
        <v>43</v>
      </c>
      <c r="AC380" t="s">
        <v>43</v>
      </c>
      <c r="AD380" t="s">
        <v>43</v>
      </c>
      <c r="AE380" t="s">
        <v>43</v>
      </c>
      <c r="AF380" t="s">
        <v>43</v>
      </c>
      <c r="AG380" t="s">
        <v>43</v>
      </c>
      <c r="AH380" t="s">
        <v>43</v>
      </c>
      <c r="AI380" t="s">
        <v>43</v>
      </c>
      <c r="AJ380" t="s">
        <v>43</v>
      </c>
      <c r="AK380" t="s">
        <v>43</v>
      </c>
      <c r="AL380" t="s">
        <v>43</v>
      </c>
      <c r="AM380" t="s">
        <v>43</v>
      </c>
      <c r="AN380" t="str">
        <f>HYPERLINK("https://www.google.com/maps?q=11.05476665,79.06093597","Open Location")</f>
        <v>Open Location</v>
      </c>
    </row>
    <row r="381" spans="1:40" x14ac:dyDescent="0.3">
      <c r="A381" s="1">
        <v>46210.955671296295</v>
      </c>
      <c r="B381" t="s">
        <v>40</v>
      </c>
      <c r="C381" t="s">
        <v>41</v>
      </c>
      <c r="D381" s="1">
        <v>46210.958483796298</v>
      </c>
      <c r="E381" t="s">
        <v>42</v>
      </c>
      <c r="F381" t="s">
        <v>43</v>
      </c>
      <c r="G381" t="s">
        <v>43</v>
      </c>
      <c r="H381" t="s">
        <v>43</v>
      </c>
      <c r="I381" t="s">
        <v>220</v>
      </c>
      <c r="J381" t="s">
        <v>43</v>
      </c>
      <c r="K381" t="s">
        <v>43</v>
      </c>
      <c r="L381" t="s">
        <v>43</v>
      </c>
      <c r="M381" t="s">
        <v>43</v>
      </c>
      <c r="N381" t="s">
        <v>45</v>
      </c>
      <c r="O381" t="s">
        <v>43</v>
      </c>
      <c r="P381" t="s">
        <v>43</v>
      </c>
      <c r="Q381" t="s">
        <v>43</v>
      </c>
      <c r="R381" t="s">
        <v>43</v>
      </c>
      <c r="S381" t="s">
        <v>43</v>
      </c>
      <c r="T381" t="s">
        <v>43</v>
      </c>
      <c r="U381" t="s">
        <v>43</v>
      </c>
      <c r="V381" t="s">
        <v>43</v>
      </c>
      <c r="W381" t="s">
        <v>43</v>
      </c>
      <c r="X381" t="s">
        <v>43</v>
      </c>
      <c r="Y381" t="s">
        <v>43</v>
      </c>
      <c r="Z381" t="s">
        <v>43</v>
      </c>
      <c r="AA381" t="s">
        <v>43</v>
      </c>
      <c r="AB381" t="s">
        <v>43</v>
      </c>
      <c r="AC381" t="s">
        <v>43</v>
      </c>
      <c r="AD381" t="s">
        <v>43</v>
      </c>
      <c r="AE381" t="s">
        <v>43</v>
      </c>
      <c r="AF381" t="s">
        <v>43</v>
      </c>
      <c r="AG381" t="s">
        <v>43</v>
      </c>
      <c r="AH381" t="s">
        <v>43</v>
      </c>
      <c r="AI381" t="s">
        <v>43</v>
      </c>
      <c r="AJ381" t="s">
        <v>43</v>
      </c>
      <c r="AK381" t="s">
        <v>43</v>
      </c>
      <c r="AL381" t="s">
        <v>43</v>
      </c>
      <c r="AM381" t="s">
        <v>43</v>
      </c>
      <c r="AN381" t="str">
        <f>HYPERLINK("https://www.google.com/maps?q=11.0547657,79.06093597","Open Location")</f>
        <v>Open Location</v>
      </c>
    </row>
    <row r="382" spans="1:40" x14ac:dyDescent="0.3">
      <c r="A382" s="1">
        <v>46210.955555555556</v>
      </c>
      <c r="B382" t="s">
        <v>40</v>
      </c>
      <c r="C382" t="s">
        <v>41</v>
      </c>
      <c r="D382" s="1">
        <v>46210.958472222221</v>
      </c>
      <c r="E382" t="s">
        <v>42</v>
      </c>
      <c r="F382" t="s">
        <v>43</v>
      </c>
      <c r="G382" t="s">
        <v>43</v>
      </c>
      <c r="H382" t="s">
        <v>43</v>
      </c>
      <c r="I382" t="s">
        <v>43</v>
      </c>
      <c r="J382" t="s">
        <v>43</v>
      </c>
      <c r="K382" t="s">
        <v>43</v>
      </c>
      <c r="L382" t="s">
        <v>43</v>
      </c>
      <c r="M382" t="s">
        <v>43</v>
      </c>
      <c r="N382" t="s">
        <v>45</v>
      </c>
      <c r="O382" t="s">
        <v>43</v>
      </c>
      <c r="P382" t="s">
        <v>43</v>
      </c>
      <c r="Q382" t="s">
        <v>43</v>
      </c>
      <c r="R382" t="s">
        <v>43</v>
      </c>
      <c r="S382" t="s">
        <v>43</v>
      </c>
      <c r="T382" t="s">
        <v>43</v>
      </c>
      <c r="U382" t="s">
        <v>43</v>
      </c>
      <c r="V382" t="s">
        <v>43</v>
      </c>
      <c r="W382" t="s">
        <v>43</v>
      </c>
      <c r="X382" t="s">
        <v>43</v>
      </c>
      <c r="Y382" t="s">
        <v>43</v>
      </c>
      <c r="Z382" t="s">
        <v>43</v>
      </c>
      <c r="AA382" t="s">
        <v>43</v>
      </c>
      <c r="AB382" t="s">
        <v>43</v>
      </c>
      <c r="AC382" t="s">
        <v>43</v>
      </c>
      <c r="AD382" t="s">
        <v>43</v>
      </c>
      <c r="AE382" t="s">
        <v>43</v>
      </c>
      <c r="AF382" t="s">
        <v>43</v>
      </c>
      <c r="AG382" t="s">
        <v>43</v>
      </c>
      <c r="AH382" t="s">
        <v>43</v>
      </c>
      <c r="AI382" t="s">
        <v>43</v>
      </c>
      <c r="AJ382" t="s">
        <v>43</v>
      </c>
      <c r="AK382" t="s">
        <v>43</v>
      </c>
      <c r="AL382" t="s">
        <v>43</v>
      </c>
      <c r="AM382" t="s">
        <v>43</v>
      </c>
      <c r="AN382" t="s">
        <v>43</v>
      </c>
    </row>
    <row r="383" spans="1:40" x14ac:dyDescent="0.3">
      <c r="A383" s="1">
        <v>46210.955439814818</v>
      </c>
      <c r="B383" t="s">
        <v>40</v>
      </c>
      <c r="C383" t="s">
        <v>41</v>
      </c>
      <c r="D383" s="1">
        <v>46210.958587962959</v>
      </c>
      <c r="E383" t="s">
        <v>42</v>
      </c>
      <c r="F383" t="s">
        <v>43</v>
      </c>
      <c r="G383" t="s">
        <v>43</v>
      </c>
      <c r="H383" t="s">
        <v>43</v>
      </c>
      <c r="I383" t="s">
        <v>180</v>
      </c>
      <c r="J383" t="s">
        <v>43</v>
      </c>
      <c r="K383" t="s">
        <v>43</v>
      </c>
      <c r="L383" t="s">
        <v>43</v>
      </c>
      <c r="M383" t="s">
        <v>43</v>
      </c>
      <c r="N383" t="s">
        <v>45</v>
      </c>
      <c r="O383" t="s">
        <v>43</v>
      </c>
      <c r="P383" t="s">
        <v>43</v>
      </c>
      <c r="Q383" t="s">
        <v>43</v>
      </c>
      <c r="R383" t="s">
        <v>43</v>
      </c>
      <c r="S383" t="s">
        <v>43</v>
      </c>
      <c r="T383" t="s">
        <v>43</v>
      </c>
      <c r="U383" t="s">
        <v>43</v>
      </c>
      <c r="V383" t="s">
        <v>43</v>
      </c>
      <c r="W383" t="s">
        <v>43</v>
      </c>
      <c r="X383" t="s">
        <v>43</v>
      </c>
      <c r="Y383" t="s">
        <v>43</v>
      </c>
      <c r="Z383" t="s">
        <v>43</v>
      </c>
      <c r="AA383" t="s">
        <v>43</v>
      </c>
      <c r="AB383" t="s">
        <v>43</v>
      </c>
      <c r="AC383" t="s">
        <v>43</v>
      </c>
      <c r="AD383" t="s">
        <v>43</v>
      </c>
      <c r="AE383" t="s">
        <v>43</v>
      </c>
      <c r="AF383" t="s">
        <v>43</v>
      </c>
      <c r="AG383" t="s">
        <v>43</v>
      </c>
      <c r="AH383" t="s">
        <v>43</v>
      </c>
      <c r="AI383" t="s">
        <v>43</v>
      </c>
      <c r="AJ383" t="s">
        <v>43</v>
      </c>
      <c r="AK383" t="s">
        <v>43</v>
      </c>
      <c r="AL383" t="s">
        <v>43</v>
      </c>
      <c r="AM383" t="s">
        <v>43</v>
      </c>
      <c r="AN383" t="str">
        <f>HYPERLINK("https://www.google.com/maps?q=11.05476665,79.06093597","Open Location")</f>
        <v>Open Location</v>
      </c>
    </row>
    <row r="384" spans="1:40" x14ac:dyDescent="0.3">
      <c r="A384" s="1">
        <v>46210.955324074072</v>
      </c>
      <c r="B384" t="s">
        <v>40</v>
      </c>
      <c r="C384" t="s">
        <v>41</v>
      </c>
      <c r="D384" s="1">
        <v>46210.958333333336</v>
      </c>
      <c r="E384" t="s">
        <v>42</v>
      </c>
      <c r="F384" t="s">
        <v>43</v>
      </c>
      <c r="G384" t="s">
        <v>43</v>
      </c>
      <c r="H384" t="s">
        <v>43</v>
      </c>
      <c r="I384" t="s">
        <v>177</v>
      </c>
      <c r="J384" t="s">
        <v>43</v>
      </c>
      <c r="K384" t="s">
        <v>43</v>
      </c>
      <c r="L384" t="s">
        <v>43</v>
      </c>
      <c r="M384" t="s">
        <v>43</v>
      </c>
      <c r="N384" t="s">
        <v>45</v>
      </c>
      <c r="O384" t="s">
        <v>43</v>
      </c>
      <c r="P384" t="s">
        <v>43</v>
      </c>
      <c r="Q384" t="s">
        <v>43</v>
      </c>
      <c r="R384" t="s">
        <v>43</v>
      </c>
      <c r="S384" t="s">
        <v>43</v>
      </c>
      <c r="T384" t="s">
        <v>43</v>
      </c>
      <c r="U384" t="s">
        <v>43</v>
      </c>
      <c r="V384" t="s">
        <v>43</v>
      </c>
      <c r="W384" t="s">
        <v>43</v>
      </c>
      <c r="X384" t="s">
        <v>43</v>
      </c>
      <c r="Y384" t="s">
        <v>43</v>
      </c>
      <c r="Z384" t="s">
        <v>43</v>
      </c>
      <c r="AA384" t="s">
        <v>43</v>
      </c>
      <c r="AB384" t="s">
        <v>43</v>
      </c>
      <c r="AC384" t="s">
        <v>43</v>
      </c>
      <c r="AD384" t="s">
        <v>43</v>
      </c>
      <c r="AE384" t="s">
        <v>43</v>
      </c>
      <c r="AF384" t="s">
        <v>43</v>
      </c>
      <c r="AG384" t="s">
        <v>43</v>
      </c>
      <c r="AH384" t="s">
        <v>43</v>
      </c>
      <c r="AI384" t="s">
        <v>43</v>
      </c>
      <c r="AJ384" t="s">
        <v>43</v>
      </c>
      <c r="AK384" t="s">
        <v>43</v>
      </c>
      <c r="AL384" t="s">
        <v>43</v>
      </c>
      <c r="AM384" t="s">
        <v>43</v>
      </c>
      <c r="AN384" t="str">
        <f>HYPERLINK("https://www.google.com/maps?q=11.05477142,79.06093597","Open Location")</f>
        <v>Open Location</v>
      </c>
    </row>
    <row r="385" spans="1:40" x14ac:dyDescent="0.3">
      <c r="A385" s="1">
        <v>46210.955208333333</v>
      </c>
      <c r="B385" t="s">
        <v>40</v>
      </c>
      <c r="C385" t="s">
        <v>41</v>
      </c>
      <c r="D385" s="1">
        <v>46210.958101851851</v>
      </c>
      <c r="E385" t="s">
        <v>42</v>
      </c>
      <c r="F385" t="s">
        <v>43</v>
      </c>
      <c r="G385" t="s">
        <v>43</v>
      </c>
      <c r="H385" t="s">
        <v>43</v>
      </c>
      <c r="I385" t="s">
        <v>221</v>
      </c>
      <c r="J385" t="s">
        <v>43</v>
      </c>
      <c r="K385" t="s">
        <v>43</v>
      </c>
      <c r="L385" t="s">
        <v>43</v>
      </c>
      <c r="M385" t="s">
        <v>43</v>
      </c>
      <c r="N385" t="s">
        <v>45</v>
      </c>
      <c r="O385" t="s">
        <v>43</v>
      </c>
      <c r="P385" t="s">
        <v>43</v>
      </c>
      <c r="Q385" t="s">
        <v>43</v>
      </c>
      <c r="R385" t="s">
        <v>43</v>
      </c>
      <c r="S385" t="s">
        <v>43</v>
      </c>
      <c r="T385" t="s">
        <v>43</v>
      </c>
      <c r="U385" t="s">
        <v>43</v>
      </c>
      <c r="V385" t="s">
        <v>43</v>
      </c>
      <c r="W385" t="s">
        <v>43</v>
      </c>
      <c r="X385" t="s">
        <v>43</v>
      </c>
      <c r="Y385" t="s">
        <v>43</v>
      </c>
      <c r="Z385" t="s">
        <v>43</v>
      </c>
      <c r="AA385" t="s">
        <v>43</v>
      </c>
      <c r="AB385" t="s">
        <v>43</v>
      </c>
      <c r="AC385" t="s">
        <v>43</v>
      </c>
      <c r="AD385" t="s">
        <v>43</v>
      </c>
      <c r="AE385" t="s">
        <v>43</v>
      </c>
      <c r="AF385" t="s">
        <v>43</v>
      </c>
      <c r="AG385" t="s">
        <v>43</v>
      </c>
      <c r="AH385" t="s">
        <v>43</v>
      </c>
      <c r="AI385" t="s">
        <v>43</v>
      </c>
      <c r="AJ385" t="s">
        <v>43</v>
      </c>
      <c r="AK385" t="s">
        <v>43</v>
      </c>
      <c r="AL385" t="s">
        <v>43</v>
      </c>
      <c r="AM385" t="s">
        <v>43</v>
      </c>
      <c r="AN385" t="str">
        <f>HYPERLINK("https://www.google.com/maps?q=11.05477333,79.06092834","Open Location")</f>
        <v>Open Location</v>
      </c>
    </row>
    <row r="386" spans="1:40" x14ac:dyDescent="0.3">
      <c r="A386" s="1">
        <v>46210.955092592594</v>
      </c>
      <c r="B386" t="s">
        <v>40</v>
      </c>
      <c r="C386" t="s">
        <v>41</v>
      </c>
      <c r="D386" s="1">
        <v>46210.958101851851</v>
      </c>
      <c r="E386" t="s">
        <v>42</v>
      </c>
      <c r="F386" t="s">
        <v>43</v>
      </c>
      <c r="G386" t="s">
        <v>43</v>
      </c>
      <c r="H386" t="s">
        <v>43</v>
      </c>
      <c r="I386" t="s">
        <v>222</v>
      </c>
      <c r="J386" t="s">
        <v>43</v>
      </c>
      <c r="K386" t="s">
        <v>43</v>
      </c>
      <c r="L386" t="s">
        <v>43</v>
      </c>
      <c r="M386" t="s">
        <v>43</v>
      </c>
      <c r="N386" t="s">
        <v>45</v>
      </c>
      <c r="O386" t="s">
        <v>43</v>
      </c>
      <c r="P386" t="s">
        <v>43</v>
      </c>
      <c r="Q386" t="s">
        <v>43</v>
      </c>
      <c r="R386" t="s">
        <v>43</v>
      </c>
      <c r="S386" t="s">
        <v>43</v>
      </c>
      <c r="T386" t="s">
        <v>43</v>
      </c>
      <c r="U386" t="s">
        <v>43</v>
      </c>
      <c r="V386" t="s">
        <v>43</v>
      </c>
      <c r="W386" t="s">
        <v>43</v>
      </c>
      <c r="X386" t="s">
        <v>43</v>
      </c>
      <c r="Y386" t="s">
        <v>43</v>
      </c>
      <c r="Z386" t="s">
        <v>43</v>
      </c>
      <c r="AA386" t="s">
        <v>43</v>
      </c>
      <c r="AB386" t="s">
        <v>43</v>
      </c>
      <c r="AC386" t="s">
        <v>43</v>
      </c>
      <c r="AD386" t="s">
        <v>43</v>
      </c>
      <c r="AE386" t="s">
        <v>43</v>
      </c>
      <c r="AF386" t="s">
        <v>43</v>
      </c>
      <c r="AG386" t="s">
        <v>43</v>
      </c>
      <c r="AH386" t="s">
        <v>43</v>
      </c>
      <c r="AI386" t="s">
        <v>43</v>
      </c>
      <c r="AJ386" t="s">
        <v>43</v>
      </c>
      <c r="AK386" t="s">
        <v>43</v>
      </c>
      <c r="AL386" t="s">
        <v>43</v>
      </c>
      <c r="AM386" t="s">
        <v>43</v>
      </c>
      <c r="AN386" t="str">
        <f>HYPERLINK("https://www.google.com/maps?q=11.05477238,79.06092834","Open Location")</f>
        <v>Open Location</v>
      </c>
    </row>
    <row r="387" spans="1:40" x14ac:dyDescent="0.3">
      <c r="A387" s="1">
        <v>46210.954976851855</v>
      </c>
      <c r="B387" t="s">
        <v>40</v>
      </c>
      <c r="C387" t="s">
        <v>41</v>
      </c>
      <c r="D387" s="1">
        <v>46210.957777777781</v>
      </c>
      <c r="E387" t="s">
        <v>42</v>
      </c>
      <c r="F387" t="s">
        <v>43</v>
      </c>
      <c r="G387" t="s">
        <v>43</v>
      </c>
      <c r="H387" t="s">
        <v>43</v>
      </c>
      <c r="I387" t="s">
        <v>177</v>
      </c>
      <c r="J387" t="s">
        <v>43</v>
      </c>
      <c r="K387" t="s">
        <v>43</v>
      </c>
      <c r="L387" t="s">
        <v>43</v>
      </c>
      <c r="M387" t="s">
        <v>43</v>
      </c>
      <c r="N387" t="s">
        <v>45</v>
      </c>
      <c r="O387" t="s">
        <v>43</v>
      </c>
      <c r="P387" t="s">
        <v>43</v>
      </c>
      <c r="Q387" t="s">
        <v>43</v>
      </c>
      <c r="R387" t="s">
        <v>43</v>
      </c>
      <c r="S387" t="s">
        <v>43</v>
      </c>
      <c r="T387" t="s">
        <v>43</v>
      </c>
      <c r="U387" t="s">
        <v>43</v>
      </c>
      <c r="V387" t="s">
        <v>43</v>
      </c>
      <c r="W387" t="s">
        <v>43</v>
      </c>
      <c r="X387" t="s">
        <v>43</v>
      </c>
      <c r="Y387" t="s">
        <v>43</v>
      </c>
      <c r="Z387" t="s">
        <v>43</v>
      </c>
      <c r="AA387" t="s">
        <v>43</v>
      </c>
      <c r="AB387" t="s">
        <v>43</v>
      </c>
      <c r="AC387" t="s">
        <v>43</v>
      </c>
      <c r="AD387" t="s">
        <v>43</v>
      </c>
      <c r="AE387" t="s">
        <v>43</v>
      </c>
      <c r="AF387" t="s">
        <v>43</v>
      </c>
      <c r="AG387" t="s">
        <v>43</v>
      </c>
      <c r="AH387" t="s">
        <v>43</v>
      </c>
      <c r="AI387" t="s">
        <v>43</v>
      </c>
      <c r="AJ387" t="s">
        <v>43</v>
      </c>
      <c r="AK387" t="s">
        <v>43</v>
      </c>
      <c r="AL387" t="s">
        <v>43</v>
      </c>
      <c r="AM387" t="s">
        <v>43</v>
      </c>
      <c r="AN387" t="str">
        <f>HYPERLINK("https://www.google.com/maps?q=11.05477142,79.06093597","Open Location")</f>
        <v>Open Location</v>
      </c>
    </row>
    <row r="388" spans="1:40" x14ac:dyDescent="0.3">
      <c r="A388" s="1">
        <v>46210.954861111109</v>
      </c>
      <c r="B388" t="s">
        <v>40</v>
      </c>
      <c r="C388" t="s">
        <v>41</v>
      </c>
      <c r="D388" s="1">
        <v>46210.957974537036</v>
      </c>
      <c r="E388" t="s">
        <v>42</v>
      </c>
      <c r="F388" t="s">
        <v>43</v>
      </c>
      <c r="G388" t="s">
        <v>43</v>
      </c>
      <c r="H388" t="s">
        <v>43</v>
      </c>
      <c r="I388" t="s">
        <v>43</v>
      </c>
      <c r="J388" t="s">
        <v>43</v>
      </c>
      <c r="K388" t="s">
        <v>43</v>
      </c>
      <c r="L388" t="s">
        <v>43</v>
      </c>
      <c r="M388" t="s">
        <v>43</v>
      </c>
      <c r="N388" t="s">
        <v>45</v>
      </c>
      <c r="O388" t="s">
        <v>43</v>
      </c>
      <c r="P388" t="s">
        <v>43</v>
      </c>
      <c r="Q388" t="s">
        <v>43</v>
      </c>
      <c r="R388" t="s">
        <v>43</v>
      </c>
      <c r="S388" t="s">
        <v>43</v>
      </c>
      <c r="T388" t="s">
        <v>43</v>
      </c>
      <c r="U388" t="s">
        <v>43</v>
      </c>
      <c r="V388" t="s">
        <v>43</v>
      </c>
      <c r="W388" t="s">
        <v>43</v>
      </c>
      <c r="X388" t="s">
        <v>43</v>
      </c>
      <c r="Y388" t="s">
        <v>43</v>
      </c>
      <c r="Z388" t="s">
        <v>43</v>
      </c>
      <c r="AA388" t="s">
        <v>43</v>
      </c>
      <c r="AB388" t="s">
        <v>43</v>
      </c>
      <c r="AC388" t="s">
        <v>43</v>
      </c>
      <c r="AD388" t="s">
        <v>43</v>
      </c>
      <c r="AE388" t="s">
        <v>43</v>
      </c>
      <c r="AF388" t="s">
        <v>43</v>
      </c>
      <c r="AG388" t="s">
        <v>43</v>
      </c>
      <c r="AH388" t="s">
        <v>43</v>
      </c>
      <c r="AI388" t="s">
        <v>43</v>
      </c>
      <c r="AJ388" t="s">
        <v>43</v>
      </c>
      <c r="AK388" t="s">
        <v>43</v>
      </c>
      <c r="AL388" t="s">
        <v>43</v>
      </c>
      <c r="AM388" t="s">
        <v>43</v>
      </c>
      <c r="AN388" t="s">
        <v>43</v>
      </c>
    </row>
    <row r="389" spans="1:40" x14ac:dyDescent="0.3">
      <c r="A389" s="1">
        <v>46210.954745370371</v>
      </c>
      <c r="B389" t="s">
        <v>40</v>
      </c>
      <c r="C389" t="s">
        <v>41</v>
      </c>
      <c r="D389" s="1">
        <v>46210.957569444443</v>
      </c>
      <c r="E389" t="s">
        <v>42</v>
      </c>
      <c r="F389" t="s">
        <v>43</v>
      </c>
      <c r="G389" t="s">
        <v>43</v>
      </c>
      <c r="H389" t="s">
        <v>43</v>
      </c>
      <c r="I389" t="s">
        <v>220</v>
      </c>
      <c r="J389" t="s">
        <v>43</v>
      </c>
      <c r="K389" t="s">
        <v>43</v>
      </c>
      <c r="L389" t="s">
        <v>43</v>
      </c>
      <c r="M389" t="s">
        <v>43</v>
      </c>
      <c r="N389" t="s">
        <v>45</v>
      </c>
      <c r="O389" t="s">
        <v>43</v>
      </c>
      <c r="P389" t="s">
        <v>43</v>
      </c>
      <c r="Q389" t="s">
        <v>43</v>
      </c>
      <c r="R389" t="s">
        <v>43</v>
      </c>
      <c r="S389" t="s">
        <v>43</v>
      </c>
      <c r="T389" t="s">
        <v>43</v>
      </c>
      <c r="U389" t="s">
        <v>43</v>
      </c>
      <c r="V389" t="s">
        <v>43</v>
      </c>
      <c r="W389" t="s">
        <v>43</v>
      </c>
      <c r="X389" t="s">
        <v>43</v>
      </c>
      <c r="Y389" t="s">
        <v>43</v>
      </c>
      <c r="Z389" t="s">
        <v>43</v>
      </c>
      <c r="AA389" t="s">
        <v>43</v>
      </c>
      <c r="AB389" t="s">
        <v>43</v>
      </c>
      <c r="AC389" t="s">
        <v>43</v>
      </c>
      <c r="AD389" t="s">
        <v>43</v>
      </c>
      <c r="AE389" t="s">
        <v>43</v>
      </c>
      <c r="AF389" t="s">
        <v>43</v>
      </c>
      <c r="AG389" t="s">
        <v>43</v>
      </c>
      <c r="AH389" t="s">
        <v>43</v>
      </c>
      <c r="AI389" t="s">
        <v>43</v>
      </c>
      <c r="AJ389" t="s">
        <v>43</v>
      </c>
      <c r="AK389" t="s">
        <v>43</v>
      </c>
      <c r="AL389" t="s">
        <v>43</v>
      </c>
      <c r="AM389" t="s">
        <v>43</v>
      </c>
      <c r="AN389" t="str">
        <f>HYPERLINK("https://www.google.com/maps?q=11.0547657,79.06093597","Open Location")</f>
        <v>Open Location</v>
      </c>
    </row>
    <row r="390" spans="1:40" x14ac:dyDescent="0.3">
      <c r="A390" s="1">
        <v>46210.954629629632</v>
      </c>
      <c r="B390" t="s">
        <v>40</v>
      </c>
      <c r="C390" t="s">
        <v>41</v>
      </c>
      <c r="D390" s="1">
        <v>46210.957685185182</v>
      </c>
      <c r="E390" t="s">
        <v>42</v>
      </c>
      <c r="F390" t="s">
        <v>43</v>
      </c>
      <c r="G390" t="s">
        <v>43</v>
      </c>
      <c r="H390" t="s">
        <v>43</v>
      </c>
      <c r="I390" t="s">
        <v>180</v>
      </c>
      <c r="J390" t="s">
        <v>43</v>
      </c>
      <c r="K390" t="s">
        <v>43</v>
      </c>
      <c r="L390" t="s">
        <v>43</v>
      </c>
      <c r="M390" t="s">
        <v>43</v>
      </c>
      <c r="N390" t="s">
        <v>45</v>
      </c>
      <c r="O390" t="s">
        <v>43</v>
      </c>
      <c r="P390" t="s">
        <v>43</v>
      </c>
      <c r="Q390" t="s">
        <v>43</v>
      </c>
      <c r="R390" t="s">
        <v>43</v>
      </c>
      <c r="S390" t="s">
        <v>43</v>
      </c>
      <c r="T390" t="s">
        <v>43</v>
      </c>
      <c r="U390" t="s">
        <v>43</v>
      </c>
      <c r="V390" t="s">
        <v>43</v>
      </c>
      <c r="W390" t="s">
        <v>43</v>
      </c>
      <c r="X390" t="s">
        <v>43</v>
      </c>
      <c r="Y390" t="s">
        <v>43</v>
      </c>
      <c r="Z390" t="s">
        <v>43</v>
      </c>
      <c r="AA390" t="s">
        <v>43</v>
      </c>
      <c r="AB390" t="s">
        <v>43</v>
      </c>
      <c r="AC390" t="s">
        <v>43</v>
      </c>
      <c r="AD390" t="s">
        <v>43</v>
      </c>
      <c r="AE390" t="s">
        <v>43</v>
      </c>
      <c r="AF390" t="s">
        <v>43</v>
      </c>
      <c r="AG390" t="s">
        <v>43</v>
      </c>
      <c r="AH390" t="s">
        <v>43</v>
      </c>
      <c r="AI390" t="s">
        <v>43</v>
      </c>
      <c r="AJ390" t="s">
        <v>43</v>
      </c>
      <c r="AK390" t="s">
        <v>43</v>
      </c>
      <c r="AL390" t="s">
        <v>43</v>
      </c>
      <c r="AM390" t="s">
        <v>43</v>
      </c>
      <c r="AN390" t="str">
        <f>HYPERLINK("https://www.google.com/maps?q=11.05476665,79.06093597","Open Location")</f>
        <v>Open Location</v>
      </c>
    </row>
    <row r="391" spans="1:40" x14ac:dyDescent="0.3">
      <c r="A391" s="1">
        <v>46210.954513888886</v>
      </c>
      <c r="B391" t="s">
        <v>40</v>
      </c>
      <c r="C391" t="s">
        <v>41</v>
      </c>
      <c r="D391" s="1">
        <v>46210.957685185182</v>
      </c>
      <c r="E391" t="s">
        <v>42</v>
      </c>
      <c r="F391" t="s">
        <v>43</v>
      </c>
      <c r="G391" t="s">
        <v>43</v>
      </c>
      <c r="H391" t="s">
        <v>43</v>
      </c>
      <c r="I391" t="s">
        <v>180</v>
      </c>
      <c r="J391" t="s">
        <v>43</v>
      </c>
      <c r="K391" t="s">
        <v>43</v>
      </c>
      <c r="L391" t="s">
        <v>43</v>
      </c>
      <c r="M391" t="s">
        <v>43</v>
      </c>
      <c r="N391" t="s">
        <v>45</v>
      </c>
      <c r="O391" t="s">
        <v>43</v>
      </c>
      <c r="P391" t="s">
        <v>43</v>
      </c>
      <c r="Q391" t="s">
        <v>43</v>
      </c>
      <c r="R391" t="s">
        <v>43</v>
      </c>
      <c r="S391" t="s">
        <v>43</v>
      </c>
      <c r="T391" t="s">
        <v>43</v>
      </c>
      <c r="U391" t="s">
        <v>43</v>
      </c>
      <c r="V391" t="s">
        <v>43</v>
      </c>
      <c r="W391" t="s">
        <v>43</v>
      </c>
      <c r="X391" t="s">
        <v>43</v>
      </c>
      <c r="Y391" t="s">
        <v>43</v>
      </c>
      <c r="Z391" t="s">
        <v>43</v>
      </c>
      <c r="AA391" t="s">
        <v>43</v>
      </c>
      <c r="AB391" t="s">
        <v>43</v>
      </c>
      <c r="AC391" t="s">
        <v>43</v>
      </c>
      <c r="AD391" t="s">
        <v>43</v>
      </c>
      <c r="AE391" t="s">
        <v>43</v>
      </c>
      <c r="AF391" t="s">
        <v>43</v>
      </c>
      <c r="AG391" t="s">
        <v>43</v>
      </c>
      <c r="AH391" t="s">
        <v>43</v>
      </c>
      <c r="AI391" t="s">
        <v>43</v>
      </c>
      <c r="AJ391" t="s">
        <v>43</v>
      </c>
      <c r="AK391" t="s">
        <v>43</v>
      </c>
      <c r="AL391" t="s">
        <v>43</v>
      </c>
      <c r="AM391" t="s">
        <v>43</v>
      </c>
      <c r="AN391" t="str">
        <f>HYPERLINK("https://www.google.com/maps?q=11.05476665,79.06093597","Open Location")</f>
        <v>Open Location</v>
      </c>
    </row>
    <row r="392" spans="1:40" x14ac:dyDescent="0.3">
      <c r="A392" s="1">
        <v>46210.954398148147</v>
      </c>
      <c r="B392" t="s">
        <v>40</v>
      </c>
      <c r="C392" t="s">
        <v>41</v>
      </c>
      <c r="D392" s="1">
        <v>46210.957430555558</v>
      </c>
      <c r="E392" t="s">
        <v>42</v>
      </c>
      <c r="F392" t="s">
        <v>43</v>
      </c>
      <c r="G392" t="s">
        <v>43</v>
      </c>
      <c r="H392" t="s">
        <v>43</v>
      </c>
      <c r="I392" t="s">
        <v>217</v>
      </c>
      <c r="J392" t="s">
        <v>43</v>
      </c>
      <c r="K392" t="s">
        <v>43</v>
      </c>
      <c r="L392" t="s">
        <v>43</v>
      </c>
      <c r="M392" t="s">
        <v>43</v>
      </c>
      <c r="N392" t="s">
        <v>45</v>
      </c>
      <c r="O392" t="s">
        <v>43</v>
      </c>
      <c r="P392" t="s">
        <v>43</v>
      </c>
      <c r="Q392" t="s">
        <v>43</v>
      </c>
      <c r="R392" t="s">
        <v>43</v>
      </c>
      <c r="S392" t="s">
        <v>43</v>
      </c>
      <c r="T392" t="s">
        <v>43</v>
      </c>
      <c r="U392" t="s">
        <v>43</v>
      </c>
      <c r="V392" t="s">
        <v>43</v>
      </c>
      <c r="W392" t="s">
        <v>43</v>
      </c>
      <c r="X392" t="s">
        <v>43</v>
      </c>
      <c r="Y392" t="s">
        <v>43</v>
      </c>
      <c r="Z392" t="s">
        <v>43</v>
      </c>
      <c r="AA392" t="s">
        <v>43</v>
      </c>
      <c r="AB392" t="s">
        <v>43</v>
      </c>
      <c r="AC392" t="s">
        <v>43</v>
      </c>
      <c r="AD392" t="s">
        <v>43</v>
      </c>
      <c r="AE392" t="s">
        <v>43</v>
      </c>
      <c r="AF392" t="s">
        <v>43</v>
      </c>
      <c r="AG392" t="s">
        <v>43</v>
      </c>
      <c r="AH392" t="s">
        <v>43</v>
      </c>
      <c r="AI392" t="s">
        <v>43</v>
      </c>
      <c r="AJ392" t="s">
        <v>43</v>
      </c>
      <c r="AK392" t="s">
        <v>43</v>
      </c>
      <c r="AL392" t="s">
        <v>43</v>
      </c>
      <c r="AM392" t="s">
        <v>43</v>
      </c>
      <c r="AN392" t="str">
        <f>HYPERLINK("https://www.google.com/maps?q=11.05476665,79.0609436","Open Location")</f>
        <v>Open Location</v>
      </c>
    </row>
    <row r="393" spans="1:40" x14ac:dyDescent="0.3">
      <c r="A393" s="1">
        <v>46210.954282407409</v>
      </c>
      <c r="B393" t="s">
        <v>40</v>
      </c>
      <c r="C393" t="s">
        <v>41</v>
      </c>
      <c r="D393" s="1">
        <v>46210.957280092596</v>
      </c>
      <c r="E393" t="s">
        <v>42</v>
      </c>
      <c r="F393" t="s">
        <v>43</v>
      </c>
      <c r="G393" t="s">
        <v>43</v>
      </c>
      <c r="H393" t="s">
        <v>43</v>
      </c>
      <c r="I393" t="s">
        <v>43</v>
      </c>
      <c r="J393" t="s">
        <v>43</v>
      </c>
      <c r="K393" t="s">
        <v>43</v>
      </c>
      <c r="L393" t="s">
        <v>43</v>
      </c>
      <c r="M393" t="s">
        <v>43</v>
      </c>
      <c r="N393" t="s">
        <v>45</v>
      </c>
      <c r="O393" t="s">
        <v>43</v>
      </c>
      <c r="P393" t="s">
        <v>43</v>
      </c>
      <c r="Q393" t="s">
        <v>43</v>
      </c>
      <c r="R393" t="s">
        <v>43</v>
      </c>
      <c r="S393" t="s">
        <v>43</v>
      </c>
      <c r="T393" t="s">
        <v>43</v>
      </c>
      <c r="U393" t="s">
        <v>43</v>
      </c>
      <c r="V393" t="s">
        <v>43</v>
      </c>
      <c r="W393" t="s">
        <v>43</v>
      </c>
      <c r="X393" t="s">
        <v>43</v>
      </c>
      <c r="Y393" t="s">
        <v>43</v>
      </c>
      <c r="Z393" t="s">
        <v>43</v>
      </c>
      <c r="AA393" t="s">
        <v>43</v>
      </c>
      <c r="AB393" t="s">
        <v>43</v>
      </c>
      <c r="AC393" t="s">
        <v>43</v>
      </c>
      <c r="AD393" t="s">
        <v>43</v>
      </c>
      <c r="AE393" t="s">
        <v>43</v>
      </c>
      <c r="AF393" t="s">
        <v>43</v>
      </c>
      <c r="AG393" t="s">
        <v>43</v>
      </c>
      <c r="AH393" t="s">
        <v>43</v>
      </c>
      <c r="AI393" t="s">
        <v>43</v>
      </c>
      <c r="AJ393" t="s">
        <v>43</v>
      </c>
      <c r="AK393" t="s">
        <v>43</v>
      </c>
      <c r="AL393" t="s">
        <v>43</v>
      </c>
      <c r="AM393" t="s">
        <v>43</v>
      </c>
      <c r="AN393" t="s">
        <v>43</v>
      </c>
    </row>
    <row r="394" spans="1:40" x14ac:dyDescent="0.3">
      <c r="A394" s="1">
        <v>46210.95416666667</v>
      </c>
      <c r="B394" t="s">
        <v>40</v>
      </c>
      <c r="C394" t="s">
        <v>41</v>
      </c>
      <c r="D394" s="1">
        <v>46210.957037037035</v>
      </c>
      <c r="E394" t="s">
        <v>42</v>
      </c>
      <c r="F394" t="s">
        <v>43</v>
      </c>
      <c r="G394" t="s">
        <v>43</v>
      </c>
      <c r="H394" t="s">
        <v>43</v>
      </c>
      <c r="I394" t="s">
        <v>164</v>
      </c>
      <c r="J394" t="s">
        <v>43</v>
      </c>
      <c r="K394" t="s">
        <v>43</v>
      </c>
      <c r="L394" t="s">
        <v>43</v>
      </c>
      <c r="M394" t="s">
        <v>43</v>
      </c>
      <c r="N394" t="s">
        <v>45</v>
      </c>
      <c r="O394" t="s">
        <v>43</v>
      </c>
      <c r="P394" t="s">
        <v>43</v>
      </c>
      <c r="Q394" t="s">
        <v>43</v>
      </c>
      <c r="R394" t="s">
        <v>43</v>
      </c>
      <c r="S394" t="s">
        <v>43</v>
      </c>
      <c r="T394" t="s">
        <v>43</v>
      </c>
      <c r="U394" t="s">
        <v>43</v>
      </c>
      <c r="V394" t="s">
        <v>43</v>
      </c>
      <c r="W394" t="s">
        <v>43</v>
      </c>
      <c r="X394" t="s">
        <v>43</v>
      </c>
      <c r="Y394" t="s">
        <v>43</v>
      </c>
      <c r="Z394" t="s">
        <v>43</v>
      </c>
      <c r="AA394" t="s">
        <v>43</v>
      </c>
      <c r="AB394" t="s">
        <v>43</v>
      </c>
      <c r="AC394" t="s">
        <v>43</v>
      </c>
      <c r="AD394" t="s">
        <v>43</v>
      </c>
      <c r="AE394" t="s">
        <v>43</v>
      </c>
      <c r="AF394" t="s">
        <v>43</v>
      </c>
      <c r="AG394" t="s">
        <v>43</v>
      </c>
      <c r="AH394" t="s">
        <v>43</v>
      </c>
      <c r="AI394" t="s">
        <v>43</v>
      </c>
      <c r="AJ394" t="s">
        <v>43</v>
      </c>
      <c r="AK394" t="s">
        <v>43</v>
      </c>
      <c r="AL394" t="s">
        <v>43</v>
      </c>
      <c r="AM394" t="s">
        <v>43</v>
      </c>
      <c r="AN394" t="str">
        <f>HYPERLINK("https://www.google.com/maps?q=11.05476189,79.0609436","Open Location")</f>
        <v>Open Location</v>
      </c>
    </row>
    <row r="395" spans="1:40" x14ac:dyDescent="0.3">
      <c r="A395" s="1">
        <v>46210.954050925924</v>
      </c>
      <c r="B395" t="s">
        <v>40</v>
      </c>
      <c r="C395" t="s">
        <v>41</v>
      </c>
      <c r="D395" s="1">
        <v>46210.956956018519</v>
      </c>
      <c r="E395" t="s">
        <v>42</v>
      </c>
      <c r="F395" t="s">
        <v>43</v>
      </c>
      <c r="G395" t="s">
        <v>43</v>
      </c>
      <c r="H395" t="s">
        <v>43</v>
      </c>
      <c r="I395" t="s">
        <v>223</v>
      </c>
      <c r="J395" t="s">
        <v>43</v>
      </c>
      <c r="K395" t="s">
        <v>43</v>
      </c>
      <c r="L395" t="s">
        <v>43</v>
      </c>
      <c r="M395" t="s">
        <v>43</v>
      </c>
      <c r="N395" t="s">
        <v>45</v>
      </c>
      <c r="O395" t="s">
        <v>43</v>
      </c>
      <c r="P395" t="s">
        <v>43</v>
      </c>
      <c r="Q395" t="s">
        <v>43</v>
      </c>
      <c r="R395" t="s">
        <v>43</v>
      </c>
      <c r="S395" t="s">
        <v>43</v>
      </c>
      <c r="T395" t="s">
        <v>43</v>
      </c>
      <c r="U395" t="s">
        <v>43</v>
      </c>
      <c r="V395" t="s">
        <v>43</v>
      </c>
      <c r="W395" t="s">
        <v>43</v>
      </c>
      <c r="X395" t="s">
        <v>43</v>
      </c>
      <c r="Y395" t="s">
        <v>43</v>
      </c>
      <c r="Z395" t="s">
        <v>43</v>
      </c>
      <c r="AA395" t="s">
        <v>43</v>
      </c>
      <c r="AB395" t="s">
        <v>43</v>
      </c>
      <c r="AC395" t="s">
        <v>43</v>
      </c>
      <c r="AD395" t="s">
        <v>43</v>
      </c>
      <c r="AE395" t="s">
        <v>43</v>
      </c>
      <c r="AF395" t="s">
        <v>43</v>
      </c>
      <c r="AG395" t="s">
        <v>43</v>
      </c>
      <c r="AH395" t="s">
        <v>43</v>
      </c>
      <c r="AI395" t="s">
        <v>43</v>
      </c>
      <c r="AJ395" t="s">
        <v>43</v>
      </c>
      <c r="AK395" t="s">
        <v>43</v>
      </c>
      <c r="AL395" t="s">
        <v>43</v>
      </c>
      <c r="AM395" t="s">
        <v>43</v>
      </c>
      <c r="AN395" t="str">
        <f>HYPERLINK("https://www.google.com/maps?q=11.05475903,79.0609436","Open Location")</f>
        <v>Open Location</v>
      </c>
    </row>
    <row r="396" spans="1:40" x14ac:dyDescent="0.3">
      <c r="A396" s="1">
        <v>46210.953935185185</v>
      </c>
      <c r="B396" t="s">
        <v>40</v>
      </c>
      <c r="C396" t="s">
        <v>41</v>
      </c>
      <c r="D396" s="1">
        <v>46210.95684027778</v>
      </c>
      <c r="E396" t="s">
        <v>42</v>
      </c>
      <c r="F396" t="s">
        <v>43</v>
      </c>
      <c r="G396" t="s">
        <v>43</v>
      </c>
      <c r="H396" t="s">
        <v>43</v>
      </c>
      <c r="I396" t="s">
        <v>224</v>
      </c>
      <c r="J396" t="s">
        <v>43</v>
      </c>
      <c r="K396" t="s">
        <v>43</v>
      </c>
      <c r="L396" t="s">
        <v>43</v>
      </c>
      <c r="M396" t="s">
        <v>43</v>
      </c>
      <c r="N396" t="s">
        <v>45</v>
      </c>
      <c r="O396" t="s">
        <v>43</v>
      </c>
      <c r="P396" t="s">
        <v>43</v>
      </c>
      <c r="Q396" t="s">
        <v>43</v>
      </c>
      <c r="R396" t="s">
        <v>43</v>
      </c>
      <c r="S396" t="s">
        <v>43</v>
      </c>
      <c r="T396" t="s">
        <v>43</v>
      </c>
      <c r="U396" t="s">
        <v>43</v>
      </c>
      <c r="V396" t="s">
        <v>43</v>
      </c>
      <c r="W396" t="s">
        <v>43</v>
      </c>
      <c r="X396" t="s">
        <v>43</v>
      </c>
      <c r="Y396" t="s">
        <v>43</v>
      </c>
      <c r="Z396" t="s">
        <v>43</v>
      </c>
      <c r="AA396" t="s">
        <v>43</v>
      </c>
      <c r="AB396" t="s">
        <v>43</v>
      </c>
      <c r="AC396" t="s">
        <v>43</v>
      </c>
      <c r="AD396" t="s">
        <v>43</v>
      </c>
      <c r="AE396" t="s">
        <v>43</v>
      </c>
      <c r="AF396" t="s">
        <v>43</v>
      </c>
      <c r="AG396" t="s">
        <v>43</v>
      </c>
      <c r="AH396" t="s">
        <v>43</v>
      </c>
      <c r="AI396" t="s">
        <v>43</v>
      </c>
      <c r="AJ396" t="s">
        <v>43</v>
      </c>
      <c r="AK396" t="s">
        <v>43</v>
      </c>
      <c r="AL396" t="s">
        <v>43</v>
      </c>
      <c r="AM396" t="s">
        <v>43</v>
      </c>
      <c r="AN396" t="str">
        <f>HYPERLINK("https://www.google.com/maps?q=11.05475712,79.0609436","Open Location")</f>
        <v>Open Location</v>
      </c>
    </row>
    <row r="397" spans="1:40" x14ac:dyDescent="0.3">
      <c r="A397" s="1">
        <v>46210.953819444447</v>
      </c>
      <c r="B397" t="s">
        <v>40</v>
      </c>
      <c r="C397" t="s">
        <v>41</v>
      </c>
      <c r="D397" s="1">
        <v>46210.956701388888</v>
      </c>
      <c r="E397" t="s">
        <v>42</v>
      </c>
      <c r="F397" t="s">
        <v>43</v>
      </c>
      <c r="G397" t="s">
        <v>43</v>
      </c>
      <c r="H397" t="s">
        <v>43</v>
      </c>
      <c r="I397" t="s">
        <v>225</v>
      </c>
      <c r="J397" t="s">
        <v>43</v>
      </c>
      <c r="K397" t="s">
        <v>43</v>
      </c>
      <c r="L397" t="s">
        <v>43</v>
      </c>
      <c r="M397" t="s">
        <v>43</v>
      </c>
      <c r="N397" t="s">
        <v>45</v>
      </c>
      <c r="O397" t="s">
        <v>43</v>
      </c>
      <c r="P397" t="s">
        <v>43</v>
      </c>
      <c r="Q397" t="s">
        <v>43</v>
      </c>
      <c r="R397" t="s">
        <v>43</v>
      </c>
      <c r="S397" t="s">
        <v>43</v>
      </c>
      <c r="T397" t="s">
        <v>43</v>
      </c>
      <c r="U397" t="s">
        <v>43</v>
      </c>
      <c r="V397" t="s">
        <v>43</v>
      </c>
      <c r="W397" t="s">
        <v>43</v>
      </c>
      <c r="X397" t="s">
        <v>43</v>
      </c>
      <c r="Y397" t="s">
        <v>43</v>
      </c>
      <c r="Z397" t="s">
        <v>43</v>
      </c>
      <c r="AA397" t="s">
        <v>43</v>
      </c>
      <c r="AB397" t="s">
        <v>43</v>
      </c>
      <c r="AC397" t="s">
        <v>43</v>
      </c>
      <c r="AD397" t="s">
        <v>43</v>
      </c>
      <c r="AE397" t="s">
        <v>43</v>
      </c>
      <c r="AF397" t="s">
        <v>43</v>
      </c>
      <c r="AG397" t="s">
        <v>43</v>
      </c>
      <c r="AH397" t="s">
        <v>43</v>
      </c>
      <c r="AI397" t="s">
        <v>43</v>
      </c>
      <c r="AJ397" t="s">
        <v>43</v>
      </c>
      <c r="AK397" t="s">
        <v>43</v>
      </c>
      <c r="AL397" t="s">
        <v>43</v>
      </c>
      <c r="AM397" t="s">
        <v>43</v>
      </c>
      <c r="AN397" t="str">
        <f>HYPERLINK("https://www.google.com/maps?q=11.05475616,79.0609436","Open Location")</f>
        <v>Open Location</v>
      </c>
    </row>
    <row r="398" spans="1:40" x14ac:dyDescent="0.3">
      <c r="A398" s="1">
        <v>46210.953703703701</v>
      </c>
      <c r="B398" t="s">
        <v>40</v>
      </c>
      <c r="C398" t="s">
        <v>41</v>
      </c>
      <c r="D398" s="1">
        <v>46210.956921296296</v>
      </c>
      <c r="E398" t="s">
        <v>42</v>
      </c>
      <c r="F398" t="s">
        <v>43</v>
      </c>
      <c r="G398" t="s">
        <v>43</v>
      </c>
      <c r="H398" t="s">
        <v>43</v>
      </c>
      <c r="I398" t="s">
        <v>226</v>
      </c>
      <c r="J398" t="s">
        <v>43</v>
      </c>
      <c r="K398" t="s">
        <v>43</v>
      </c>
      <c r="L398" t="s">
        <v>43</v>
      </c>
      <c r="M398" t="s">
        <v>43</v>
      </c>
      <c r="N398" t="s">
        <v>45</v>
      </c>
      <c r="O398" t="s">
        <v>43</v>
      </c>
      <c r="P398" t="s">
        <v>43</v>
      </c>
      <c r="Q398" t="s">
        <v>43</v>
      </c>
      <c r="R398" t="s">
        <v>43</v>
      </c>
      <c r="S398" t="s">
        <v>43</v>
      </c>
      <c r="T398" t="s">
        <v>43</v>
      </c>
      <c r="U398" t="s">
        <v>43</v>
      </c>
      <c r="V398" t="s">
        <v>43</v>
      </c>
      <c r="W398" t="s">
        <v>43</v>
      </c>
      <c r="X398" t="s">
        <v>43</v>
      </c>
      <c r="Y398" t="s">
        <v>43</v>
      </c>
      <c r="Z398" t="s">
        <v>43</v>
      </c>
      <c r="AA398" t="s">
        <v>43</v>
      </c>
      <c r="AB398" t="s">
        <v>43</v>
      </c>
      <c r="AC398" t="s">
        <v>43</v>
      </c>
      <c r="AD398" t="s">
        <v>43</v>
      </c>
      <c r="AE398" t="s">
        <v>43</v>
      </c>
      <c r="AF398" t="s">
        <v>43</v>
      </c>
      <c r="AG398" t="s">
        <v>43</v>
      </c>
      <c r="AH398" t="s">
        <v>43</v>
      </c>
      <c r="AI398" t="s">
        <v>43</v>
      </c>
      <c r="AJ398" t="s">
        <v>43</v>
      </c>
      <c r="AK398" t="s">
        <v>43</v>
      </c>
      <c r="AL398" t="s">
        <v>43</v>
      </c>
      <c r="AM398" t="s">
        <v>43</v>
      </c>
      <c r="AN398" t="str">
        <f>HYPERLINK("https://www.google.com/maps?q=11.05475807,79.0609436","Open Location")</f>
        <v>Open Location</v>
      </c>
    </row>
    <row r="399" spans="1:40" x14ac:dyDescent="0.3">
      <c r="A399" s="1">
        <v>46210.953587962962</v>
      </c>
      <c r="B399" t="s">
        <v>40</v>
      </c>
      <c r="C399" t="s">
        <v>41</v>
      </c>
      <c r="D399" s="1">
        <v>46210.956828703704</v>
      </c>
      <c r="E399" t="s">
        <v>42</v>
      </c>
      <c r="F399" t="s">
        <v>43</v>
      </c>
      <c r="G399" t="s">
        <v>43</v>
      </c>
      <c r="H399" t="s">
        <v>43</v>
      </c>
      <c r="I399" t="s">
        <v>43</v>
      </c>
      <c r="J399" t="s">
        <v>43</v>
      </c>
      <c r="K399" t="s">
        <v>43</v>
      </c>
      <c r="L399" t="s">
        <v>43</v>
      </c>
      <c r="M399" t="s">
        <v>43</v>
      </c>
      <c r="N399" t="s">
        <v>45</v>
      </c>
      <c r="O399" t="s">
        <v>43</v>
      </c>
      <c r="P399" t="s">
        <v>43</v>
      </c>
      <c r="Q399" t="s">
        <v>43</v>
      </c>
      <c r="R399" t="s">
        <v>43</v>
      </c>
      <c r="S399" t="s">
        <v>43</v>
      </c>
      <c r="T399" t="s">
        <v>43</v>
      </c>
      <c r="U399" t="s">
        <v>43</v>
      </c>
      <c r="V399" t="s">
        <v>43</v>
      </c>
      <c r="W399" t="s">
        <v>43</v>
      </c>
      <c r="X399" t="s">
        <v>43</v>
      </c>
      <c r="Y399" t="s">
        <v>43</v>
      </c>
      <c r="Z399" t="s">
        <v>43</v>
      </c>
      <c r="AA399" t="s">
        <v>43</v>
      </c>
      <c r="AB399" t="s">
        <v>43</v>
      </c>
      <c r="AC399" t="s">
        <v>43</v>
      </c>
      <c r="AD399" t="s">
        <v>43</v>
      </c>
      <c r="AE399" t="s">
        <v>43</v>
      </c>
      <c r="AF399" t="s">
        <v>43</v>
      </c>
      <c r="AG399" t="s">
        <v>43</v>
      </c>
      <c r="AH399" t="s">
        <v>43</v>
      </c>
      <c r="AI399" t="s">
        <v>43</v>
      </c>
      <c r="AJ399" t="s">
        <v>43</v>
      </c>
      <c r="AK399" t="s">
        <v>43</v>
      </c>
      <c r="AL399" t="s">
        <v>43</v>
      </c>
      <c r="AM399" t="s">
        <v>43</v>
      </c>
      <c r="AN399" t="s">
        <v>43</v>
      </c>
    </row>
    <row r="400" spans="1:40" x14ac:dyDescent="0.3">
      <c r="A400" s="1">
        <v>46210.953472222223</v>
      </c>
      <c r="B400" t="s">
        <v>40</v>
      </c>
      <c r="C400" t="s">
        <v>41</v>
      </c>
      <c r="D400" s="1">
        <v>46210.956469907411</v>
      </c>
      <c r="E400" t="s">
        <v>42</v>
      </c>
      <c r="F400" t="s">
        <v>43</v>
      </c>
      <c r="G400" t="s">
        <v>43</v>
      </c>
      <c r="H400" t="s">
        <v>43</v>
      </c>
      <c r="I400" t="s">
        <v>216</v>
      </c>
      <c r="J400" t="s">
        <v>43</v>
      </c>
      <c r="K400" t="s">
        <v>43</v>
      </c>
      <c r="L400" t="s">
        <v>43</v>
      </c>
      <c r="M400" t="s">
        <v>43</v>
      </c>
      <c r="N400" t="s">
        <v>45</v>
      </c>
      <c r="O400" t="s">
        <v>43</v>
      </c>
      <c r="P400" t="s">
        <v>43</v>
      </c>
      <c r="Q400" t="s">
        <v>43</v>
      </c>
      <c r="R400" t="s">
        <v>43</v>
      </c>
      <c r="S400" t="s">
        <v>43</v>
      </c>
      <c r="T400" t="s">
        <v>43</v>
      </c>
      <c r="U400" t="s">
        <v>43</v>
      </c>
      <c r="V400" t="s">
        <v>43</v>
      </c>
      <c r="W400" t="s">
        <v>43</v>
      </c>
      <c r="X400" t="s">
        <v>43</v>
      </c>
      <c r="Y400" t="s">
        <v>43</v>
      </c>
      <c r="Z400" t="s">
        <v>43</v>
      </c>
      <c r="AA400" t="s">
        <v>43</v>
      </c>
      <c r="AB400" t="s">
        <v>43</v>
      </c>
      <c r="AC400" t="s">
        <v>43</v>
      </c>
      <c r="AD400" t="s">
        <v>43</v>
      </c>
      <c r="AE400" t="s">
        <v>43</v>
      </c>
      <c r="AF400" t="s">
        <v>43</v>
      </c>
      <c r="AG400" t="s">
        <v>43</v>
      </c>
      <c r="AH400" t="s">
        <v>43</v>
      </c>
      <c r="AI400" t="s">
        <v>43</v>
      </c>
      <c r="AJ400" t="s">
        <v>43</v>
      </c>
      <c r="AK400" t="s">
        <v>43</v>
      </c>
      <c r="AL400" t="s">
        <v>43</v>
      </c>
      <c r="AM400" t="s">
        <v>43</v>
      </c>
      <c r="AN400" t="str">
        <f>HYPERLINK("https://www.google.com/maps?q=11.05476093,79.0609436","Open Location")</f>
        <v>Open Location</v>
      </c>
    </row>
    <row r="401" spans="1:40" x14ac:dyDescent="0.3">
      <c r="A401" s="1">
        <v>46210.953356481485</v>
      </c>
      <c r="B401" t="s">
        <v>40</v>
      </c>
      <c r="C401" t="s">
        <v>41</v>
      </c>
      <c r="D401" s="1">
        <v>46210.956180555557</v>
      </c>
      <c r="E401" t="s">
        <v>42</v>
      </c>
      <c r="F401" t="s">
        <v>43</v>
      </c>
      <c r="G401" t="s">
        <v>43</v>
      </c>
      <c r="H401" t="s">
        <v>43</v>
      </c>
      <c r="I401" t="s">
        <v>180</v>
      </c>
      <c r="J401" t="s">
        <v>43</v>
      </c>
      <c r="K401" t="s">
        <v>43</v>
      </c>
      <c r="L401" t="s">
        <v>43</v>
      </c>
      <c r="M401" t="s">
        <v>43</v>
      </c>
      <c r="N401" t="s">
        <v>45</v>
      </c>
      <c r="O401" t="s">
        <v>43</v>
      </c>
      <c r="P401" t="s">
        <v>43</v>
      </c>
      <c r="Q401" t="s">
        <v>43</v>
      </c>
      <c r="R401" t="s">
        <v>43</v>
      </c>
      <c r="S401" t="s">
        <v>43</v>
      </c>
      <c r="T401" t="s">
        <v>43</v>
      </c>
      <c r="U401" t="s">
        <v>43</v>
      </c>
      <c r="V401" t="s">
        <v>43</v>
      </c>
      <c r="W401" t="s">
        <v>43</v>
      </c>
      <c r="X401" t="s">
        <v>43</v>
      </c>
      <c r="Y401" t="s">
        <v>43</v>
      </c>
      <c r="Z401" t="s">
        <v>43</v>
      </c>
      <c r="AA401" t="s">
        <v>43</v>
      </c>
      <c r="AB401" t="s">
        <v>43</v>
      </c>
      <c r="AC401" t="s">
        <v>43</v>
      </c>
      <c r="AD401" t="s">
        <v>43</v>
      </c>
      <c r="AE401" t="s">
        <v>43</v>
      </c>
      <c r="AF401" t="s">
        <v>43</v>
      </c>
      <c r="AG401" t="s">
        <v>43</v>
      </c>
      <c r="AH401" t="s">
        <v>43</v>
      </c>
      <c r="AI401" t="s">
        <v>43</v>
      </c>
      <c r="AJ401" t="s">
        <v>43</v>
      </c>
      <c r="AK401" t="s">
        <v>43</v>
      </c>
      <c r="AL401" t="s">
        <v>43</v>
      </c>
      <c r="AM401" t="s">
        <v>43</v>
      </c>
      <c r="AN401" t="str">
        <f>HYPERLINK("https://www.google.com/maps?q=11.05476665,79.06093597","Open Location")</f>
        <v>Open Location</v>
      </c>
    </row>
    <row r="402" spans="1:40" x14ac:dyDescent="0.3">
      <c r="A402" s="1">
        <v>46210.953240740739</v>
      </c>
      <c r="B402" t="s">
        <v>40</v>
      </c>
      <c r="C402" t="s">
        <v>41</v>
      </c>
      <c r="D402" s="1">
        <v>46210.95621527778</v>
      </c>
      <c r="E402" t="s">
        <v>42</v>
      </c>
      <c r="F402" t="s">
        <v>43</v>
      </c>
      <c r="G402" t="s">
        <v>43</v>
      </c>
      <c r="H402" t="s">
        <v>43</v>
      </c>
      <c r="I402" t="s">
        <v>217</v>
      </c>
      <c r="J402" t="s">
        <v>43</v>
      </c>
      <c r="K402" t="s">
        <v>43</v>
      </c>
      <c r="L402" t="s">
        <v>43</v>
      </c>
      <c r="M402" t="s">
        <v>43</v>
      </c>
      <c r="N402" t="s">
        <v>45</v>
      </c>
      <c r="O402" t="s">
        <v>43</v>
      </c>
      <c r="P402" t="s">
        <v>43</v>
      </c>
      <c r="Q402" t="s">
        <v>43</v>
      </c>
      <c r="R402" t="s">
        <v>43</v>
      </c>
      <c r="S402" t="s">
        <v>43</v>
      </c>
      <c r="T402" t="s">
        <v>43</v>
      </c>
      <c r="U402" t="s">
        <v>43</v>
      </c>
      <c r="V402" t="s">
        <v>43</v>
      </c>
      <c r="W402" t="s">
        <v>43</v>
      </c>
      <c r="X402" t="s">
        <v>43</v>
      </c>
      <c r="Y402" t="s">
        <v>43</v>
      </c>
      <c r="Z402" t="s">
        <v>43</v>
      </c>
      <c r="AA402" t="s">
        <v>43</v>
      </c>
      <c r="AB402" t="s">
        <v>43</v>
      </c>
      <c r="AC402" t="s">
        <v>43</v>
      </c>
      <c r="AD402" t="s">
        <v>43</v>
      </c>
      <c r="AE402" t="s">
        <v>43</v>
      </c>
      <c r="AF402" t="s">
        <v>43</v>
      </c>
      <c r="AG402" t="s">
        <v>43</v>
      </c>
      <c r="AH402" t="s">
        <v>43</v>
      </c>
      <c r="AI402" t="s">
        <v>43</v>
      </c>
      <c r="AJ402" t="s">
        <v>43</v>
      </c>
      <c r="AK402" t="s">
        <v>43</v>
      </c>
      <c r="AL402" t="s">
        <v>43</v>
      </c>
      <c r="AM402" t="s">
        <v>43</v>
      </c>
      <c r="AN402" t="str">
        <f>HYPERLINK("https://www.google.com/maps?q=11.05476665,79.0609436","Open Location")</f>
        <v>Open Location</v>
      </c>
    </row>
    <row r="403" spans="1:40" x14ac:dyDescent="0.3">
      <c r="A403" s="1">
        <v>46210.953125</v>
      </c>
      <c r="B403" t="s">
        <v>40</v>
      </c>
      <c r="C403" t="s">
        <v>41</v>
      </c>
      <c r="D403" s="1">
        <v>46210.95585648148</v>
      </c>
      <c r="E403" t="s">
        <v>42</v>
      </c>
      <c r="F403" t="s">
        <v>43</v>
      </c>
      <c r="G403" t="s">
        <v>43</v>
      </c>
      <c r="H403" t="s">
        <v>43</v>
      </c>
      <c r="I403" t="s">
        <v>163</v>
      </c>
      <c r="J403" t="s">
        <v>43</v>
      </c>
      <c r="K403" t="s">
        <v>43</v>
      </c>
      <c r="L403" t="s">
        <v>43</v>
      </c>
      <c r="M403" t="s">
        <v>43</v>
      </c>
      <c r="N403" t="s">
        <v>45</v>
      </c>
      <c r="O403" t="s">
        <v>43</v>
      </c>
      <c r="P403" t="s">
        <v>43</v>
      </c>
      <c r="Q403" t="s">
        <v>43</v>
      </c>
      <c r="R403" t="s">
        <v>43</v>
      </c>
      <c r="S403" t="s">
        <v>43</v>
      </c>
      <c r="T403" t="s">
        <v>43</v>
      </c>
      <c r="U403" t="s">
        <v>43</v>
      </c>
      <c r="V403" t="s">
        <v>43</v>
      </c>
      <c r="W403" t="s">
        <v>43</v>
      </c>
      <c r="X403" t="s">
        <v>43</v>
      </c>
      <c r="Y403" t="s">
        <v>43</v>
      </c>
      <c r="Z403" t="s">
        <v>43</v>
      </c>
      <c r="AA403" t="s">
        <v>43</v>
      </c>
      <c r="AB403" t="s">
        <v>43</v>
      </c>
      <c r="AC403" t="s">
        <v>43</v>
      </c>
      <c r="AD403" t="s">
        <v>43</v>
      </c>
      <c r="AE403" t="s">
        <v>43</v>
      </c>
      <c r="AF403" t="s">
        <v>43</v>
      </c>
      <c r="AG403" t="s">
        <v>43</v>
      </c>
      <c r="AH403" t="s">
        <v>43</v>
      </c>
      <c r="AI403" t="s">
        <v>43</v>
      </c>
      <c r="AJ403" t="s">
        <v>43</v>
      </c>
      <c r="AK403" t="s">
        <v>43</v>
      </c>
      <c r="AL403" t="s">
        <v>43</v>
      </c>
      <c r="AM403" t="s">
        <v>43</v>
      </c>
      <c r="AN403" t="str">
        <f>HYPERLINK("https://www.google.com/maps?q=11.05477142,79.0609436","Open Location")</f>
        <v>Open Location</v>
      </c>
    </row>
    <row r="404" spans="1:40" x14ac:dyDescent="0.3">
      <c r="A404" s="1">
        <v>46210.953009259261</v>
      </c>
      <c r="B404" t="s">
        <v>40</v>
      </c>
      <c r="C404" t="s">
        <v>41</v>
      </c>
      <c r="D404" s="1">
        <v>46210.95584490741</v>
      </c>
      <c r="E404" t="s">
        <v>42</v>
      </c>
      <c r="F404" t="s">
        <v>43</v>
      </c>
      <c r="G404" t="s">
        <v>43</v>
      </c>
      <c r="H404" t="s">
        <v>43</v>
      </c>
      <c r="I404" t="s">
        <v>227</v>
      </c>
      <c r="J404" t="s">
        <v>43</v>
      </c>
      <c r="K404" t="s">
        <v>43</v>
      </c>
      <c r="L404" t="s">
        <v>43</v>
      </c>
      <c r="M404" t="s">
        <v>43</v>
      </c>
      <c r="N404" t="s">
        <v>45</v>
      </c>
      <c r="O404" t="s">
        <v>43</v>
      </c>
      <c r="P404" t="s">
        <v>43</v>
      </c>
      <c r="Q404" t="s">
        <v>43</v>
      </c>
      <c r="R404" t="s">
        <v>43</v>
      </c>
      <c r="S404" t="s">
        <v>43</v>
      </c>
      <c r="T404" t="s">
        <v>43</v>
      </c>
      <c r="U404" t="s">
        <v>43</v>
      </c>
      <c r="V404" t="s">
        <v>43</v>
      </c>
      <c r="W404" t="s">
        <v>43</v>
      </c>
      <c r="X404" t="s">
        <v>43</v>
      </c>
      <c r="Y404" t="s">
        <v>43</v>
      </c>
      <c r="Z404" t="s">
        <v>43</v>
      </c>
      <c r="AA404" t="s">
        <v>43</v>
      </c>
      <c r="AB404" t="s">
        <v>43</v>
      </c>
      <c r="AC404" t="s">
        <v>43</v>
      </c>
      <c r="AD404" t="s">
        <v>43</v>
      </c>
      <c r="AE404" t="s">
        <v>43</v>
      </c>
      <c r="AF404" t="s">
        <v>43</v>
      </c>
      <c r="AG404" t="s">
        <v>43</v>
      </c>
      <c r="AH404" t="s">
        <v>43</v>
      </c>
      <c r="AI404" t="s">
        <v>43</v>
      </c>
      <c r="AJ404" t="s">
        <v>43</v>
      </c>
      <c r="AK404" t="s">
        <v>43</v>
      </c>
      <c r="AL404" t="s">
        <v>43</v>
      </c>
      <c r="AM404" t="s">
        <v>43</v>
      </c>
      <c r="AN404" t="str">
        <f>HYPERLINK("https://www.google.com/maps?q=11.05476856,79.06093597","Open Location")</f>
        <v>Open Location</v>
      </c>
    </row>
    <row r="405" spans="1:40" x14ac:dyDescent="0.3">
      <c r="A405" s="1">
        <v>46210.952893518515</v>
      </c>
      <c r="B405" t="s">
        <v>40</v>
      </c>
      <c r="C405" t="s">
        <v>41</v>
      </c>
      <c r="D405" s="1">
        <v>46210.95584490741</v>
      </c>
      <c r="E405" t="s">
        <v>42</v>
      </c>
      <c r="F405" t="s">
        <v>43</v>
      </c>
      <c r="G405" t="s">
        <v>43</v>
      </c>
      <c r="H405" t="s">
        <v>43</v>
      </c>
      <c r="I405" t="s">
        <v>43</v>
      </c>
      <c r="J405" t="s">
        <v>43</v>
      </c>
      <c r="K405" t="s">
        <v>43</v>
      </c>
      <c r="L405" t="s">
        <v>43</v>
      </c>
      <c r="M405" t="s">
        <v>43</v>
      </c>
      <c r="N405" t="s">
        <v>45</v>
      </c>
      <c r="O405" t="s">
        <v>43</v>
      </c>
      <c r="P405" t="s">
        <v>43</v>
      </c>
      <c r="Q405" t="s">
        <v>43</v>
      </c>
      <c r="R405" t="s">
        <v>43</v>
      </c>
      <c r="S405" t="s">
        <v>43</v>
      </c>
      <c r="T405" t="s">
        <v>43</v>
      </c>
      <c r="U405" t="s">
        <v>43</v>
      </c>
      <c r="V405" t="s">
        <v>43</v>
      </c>
      <c r="W405" t="s">
        <v>43</v>
      </c>
      <c r="X405" t="s">
        <v>43</v>
      </c>
      <c r="Y405" t="s">
        <v>43</v>
      </c>
      <c r="Z405" t="s">
        <v>43</v>
      </c>
      <c r="AA405" t="s">
        <v>43</v>
      </c>
      <c r="AB405" t="s">
        <v>43</v>
      </c>
      <c r="AC405" t="s">
        <v>43</v>
      </c>
      <c r="AD405" t="s">
        <v>43</v>
      </c>
      <c r="AE405" t="s">
        <v>43</v>
      </c>
      <c r="AF405" t="s">
        <v>43</v>
      </c>
      <c r="AG405" t="s">
        <v>43</v>
      </c>
      <c r="AH405" t="s">
        <v>43</v>
      </c>
      <c r="AI405" t="s">
        <v>43</v>
      </c>
      <c r="AJ405" t="s">
        <v>43</v>
      </c>
      <c r="AK405" t="s">
        <v>43</v>
      </c>
      <c r="AL405" t="s">
        <v>43</v>
      </c>
      <c r="AM405" t="s">
        <v>43</v>
      </c>
      <c r="AN405" t="s">
        <v>43</v>
      </c>
    </row>
    <row r="406" spans="1:40" x14ac:dyDescent="0.3">
      <c r="A406" s="1">
        <v>46210.952777777777</v>
      </c>
      <c r="B406" t="s">
        <v>40</v>
      </c>
      <c r="C406" t="s">
        <v>41</v>
      </c>
      <c r="D406" s="1">
        <v>46210.955821759257</v>
      </c>
      <c r="E406" t="s">
        <v>42</v>
      </c>
      <c r="F406" t="s">
        <v>43</v>
      </c>
      <c r="G406" t="s">
        <v>43</v>
      </c>
      <c r="H406" t="s">
        <v>43</v>
      </c>
      <c r="I406" t="s">
        <v>227</v>
      </c>
      <c r="J406" t="s">
        <v>43</v>
      </c>
      <c r="K406" t="s">
        <v>43</v>
      </c>
      <c r="L406" t="s">
        <v>43</v>
      </c>
      <c r="M406" t="s">
        <v>43</v>
      </c>
      <c r="N406" t="s">
        <v>45</v>
      </c>
      <c r="O406" t="s">
        <v>43</v>
      </c>
      <c r="P406" t="s">
        <v>43</v>
      </c>
      <c r="Q406" t="s">
        <v>43</v>
      </c>
      <c r="R406" t="s">
        <v>43</v>
      </c>
      <c r="S406" t="s">
        <v>43</v>
      </c>
      <c r="T406" t="s">
        <v>43</v>
      </c>
      <c r="U406" t="s">
        <v>43</v>
      </c>
      <c r="V406" t="s">
        <v>43</v>
      </c>
      <c r="W406" t="s">
        <v>43</v>
      </c>
      <c r="X406" t="s">
        <v>43</v>
      </c>
      <c r="Y406" t="s">
        <v>43</v>
      </c>
      <c r="Z406" t="s">
        <v>43</v>
      </c>
      <c r="AA406" t="s">
        <v>43</v>
      </c>
      <c r="AB406" t="s">
        <v>43</v>
      </c>
      <c r="AC406" t="s">
        <v>43</v>
      </c>
      <c r="AD406" t="s">
        <v>43</v>
      </c>
      <c r="AE406" t="s">
        <v>43</v>
      </c>
      <c r="AF406" t="s">
        <v>43</v>
      </c>
      <c r="AG406" t="s">
        <v>43</v>
      </c>
      <c r="AH406" t="s">
        <v>43</v>
      </c>
      <c r="AI406" t="s">
        <v>43</v>
      </c>
      <c r="AJ406" t="s">
        <v>43</v>
      </c>
      <c r="AK406" t="s">
        <v>43</v>
      </c>
      <c r="AL406" t="s">
        <v>43</v>
      </c>
      <c r="AM406" t="s">
        <v>43</v>
      </c>
      <c r="AN406" t="str">
        <f>HYPERLINK("https://www.google.com/maps?q=11.05476856,79.06093597","Open Location")</f>
        <v>Open Location</v>
      </c>
    </row>
    <row r="407" spans="1:40" x14ac:dyDescent="0.3">
      <c r="A407" s="1">
        <v>46210.952662037038</v>
      </c>
      <c r="B407" t="s">
        <v>40</v>
      </c>
      <c r="C407" t="s">
        <v>41</v>
      </c>
      <c r="D407" s="1">
        <v>46210.955439814818</v>
      </c>
      <c r="E407" t="s">
        <v>42</v>
      </c>
      <c r="F407" t="s">
        <v>43</v>
      </c>
      <c r="G407" t="s">
        <v>43</v>
      </c>
      <c r="H407" t="s">
        <v>43</v>
      </c>
      <c r="I407" t="s">
        <v>227</v>
      </c>
      <c r="J407" t="s">
        <v>43</v>
      </c>
      <c r="K407" t="s">
        <v>43</v>
      </c>
      <c r="L407" t="s">
        <v>43</v>
      </c>
      <c r="M407" t="s">
        <v>43</v>
      </c>
      <c r="N407" t="s">
        <v>45</v>
      </c>
      <c r="O407" t="s">
        <v>43</v>
      </c>
      <c r="P407" t="s">
        <v>43</v>
      </c>
      <c r="Q407" t="s">
        <v>43</v>
      </c>
      <c r="R407" t="s">
        <v>43</v>
      </c>
      <c r="S407" t="s">
        <v>43</v>
      </c>
      <c r="T407" t="s">
        <v>43</v>
      </c>
      <c r="U407" t="s">
        <v>43</v>
      </c>
      <c r="V407" t="s">
        <v>43</v>
      </c>
      <c r="W407" t="s">
        <v>43</v>
      </c>
      <c r="X407" t="s">
        <v>43</v>
      </c>
      <c r="Y407" t="s">
        <v>43</v>
      </c>
      <c r="Z407" t="s">
        <v>43</v>
      </c>
      <c r="AA407" t="s">
        <v>43</v>
      </c>
      <c r="AB407" t="s">
        <v>43</v>
      </c>
      <c r="AC407" t="s">
        <v>43</v>
      </c>
      <c r="AD407" t="s">
        <v>43</v>
      </c>
      <c r="AE407" t="s">
        <v>43</v>
      </c>
      <c r="AF407" t="s">
        <v>43</v>
      </c>
      <c r="AG407" t="s">
        <v>43</v>
      </c>
      <c r="AH407" t="s">
        <v>43</v>
      </c>
      <c r="AI407" t="s">
        <v>43</v>
      </c>
      <c r="AJ407" t="s">
        <v>43</v>
      </c>
      <c r="AK407" t="s">
        <v>43</v>
      </c>
      <c r="AL407" t="s">
        <v>43</v>
      </c>
      <c r="AM407" t="s">
        <v>43</v>
      </c>
      <c r="AN407" t="str">
        <f>HYPERLINK("https://www.google.com/maps?q=11.05476856,79.06093597","Open Location")</f>
        <v>Open Location</v>
      </c>
    </row>
    <row r="408" spans="1:40" x14ac:dyDescent="0.3">
      <c r="A408" s="1">
        <v>46210.952546296299</v>
      </c>
      <c r="B408" t="s">
        <v>40</v>
      </c>
      <c r="C408" t="s">
        <v>41</v>
      </c>
      <c r="D408" s="1">
        <v>46210.955567129633</v>
      </c>
      <c r="E408" t="s">
        <v>42</v>
      </c>
      <c r="F408" t="s">
        <v>43</v>
      </c>
      <c r="G408" t="s">
        <v>43</v>
      </c>
      <c r="H408" t="s">
        <v>43</v>
      </c>
      <c r="I408" t="s">
        <v>222</v>
      </c>
      <c r="J408" t="s">
        <v>43</v>
      </c>
      <c r="K408" t="s">
        <v>43</v>
      </c>
      <c r="L408" t="s">
        <v>43</v>
      </c>
      <c r="M408" t="s">
        <v>43</v>
      </c>
      <c r="N408" t="s">
        <v>45</v>
      </c>
      <c r="O408" t="s">
        <v>43</v>
      </c>
      <c r="P408" t="s">
        <v>43</v>
      </c>
      <c r="Q408" t="s">
        <v>43</v>
      </c>
      <c r="R408" t="s">
        <v>43</v>
      </c>
      <c r="S408" t="s">
        <v>43</v>
      </c>
      <c r="T408" t="s">
        <v>43</v>
      </c>
      <c r="U408" t="s">
        <v>43</v>
      </c>
      <c r="V408" t="s">
        <v>43</v>
      </c>
      <c r="W408" t="s">
        <v>43</v>
      </c>
      <c r="X408" t="s">
        <v>43</v>
      </c>
      <c r="Y408" t="s">
        <v>43</v>
      </c>
      <c r="Z408" t="s">
        <v>43</v>
      </c>
      <c r="AA408" t="s">
        <v>43</v>
      </c>
      <c r="AB408" t="s">
        <v>43</v>
      </c>
      <c r="AC408" t="s">
        <v>43</v>
      </c>
      <c r="AD408" t="s">
        <v>43</v>
      </c>
      <c r="AE408" t="s">
        <v>43</v>
      </c>
      <c r="AF408" t="s">
        <v>43</v>
      </c>
      <c r="AG408" t="s">
        <v>43</v>
      </c>
      <c r="AH408" t="s">
        <v>43</v>
      </c>
      <c r="AI408" t="s">
        <v>43</v>
      </c>
      <c r="AJ408" t="s">
        <v>43</v>
      </c>
      <c r="AK408" t="s">
        <v>43</v>
      </c>
      <c r="AL408" t="s">
        <v>43</v>
      </c>
      <c r="AM408" t="s">
        <v>43</v>
      </c>
      <c r="AN408" t="str">
        <f>HYPERLINK("https://www.google.com/maps?q=11.05477238,79.06092834","Open Location")</f>
        <v>Open Location</v>
      </c>
    </row>
    <row r="409" spans="1:40" x14ac:dyDescent="0.3">
      <c r="A409" s="1">
        <v>46210.952430555553</v>
      </c>
      <c r="B409" t="s">
        <v>40</v>
      </c>
      <c r="C409" t="s">
        <v>41</v>
      </c>
      <c r="D409" s="1">
        <v>46210.95516203704</v>
      </c>
      <c r="E409" t="s">
        <v>42</v>
      </c>
      <c r="F409" t="s">
        <v>43</v>
      </c>
      <c r="G409" t="s">
        <v>43</v>
      </c>
      <c r="H409" t="s">
        <v>43</v>
      </c>
      <c r="I409" t="s">
        <v>228</v>
      </c>
      <c r="J409" t="s">
        <v>43</v>
      </c>
      <c r="K409" t="s">
        <v>43</v>
      </c>
      <c r="L409" t="s">
        <v>43</v>
      </c>
      <c r="M409" t="s">
        <v>43</v>
      </c>
      <c r="N409" t="s">
        <v>45</v>
      </c>
      <c r="O409" t="s">
        <v>43</v>
      </c>
      <c r="P409" t="s">
        <v>43</v>
      </c>
      <c r="Q409" t="s">
        <v>43</v>
      </c>
      <c r="R409" t="s">
        <v>43</v>
      </c>
      <c r="S409" t="s">
        <v>43</v>
      </c>
      <c r="T409" t="s">
        <v>43</v>
      </c>
      <c r="U409" t="s">
        <v>43</v>
      </c>
      <c r="V409" t="s">
        <v>43</v>
      </c>
      <c r="W409" t="s">
        <v>43</v>
      </c>
      <c r="X409" t="s">
        <v>43</v>
      </c>
      <c r="Y409" t="s">
        <v>43</v>
      </c>
      <c r="Z409" t="s">
        <v>43</v>
      </c>
      <c r="AA409" t="s">
        <v>43</v>
      </c>
      <c r="AB409" t="s">
        <v>43</v>
      </c>
      <c r="AC409" t="s">
        <v>43</v>
      </c>
      <c r="AD409" t="s">
        <v>43</v>
      </c>
      <c r="AE409" t="s">
        <v>43</v>
      </c>
      <c r="AF409" t="s">
        <v>43</v>
      </c>
      <c r="AG409" t="s">
        <v>43</v>
      </c>
      <c r="AH409" t="s">
        <v>43</v>
      </c>
      <c r="AI409" t="s">
        <v>43</v>
      </c>
      <c r="AJ409" t="s">
        <v>43</v>
      </c>
      <c r="AK409" t="s">
        <v>43</v>
      </c>
      <c r="AL409" t="s">
        <v>43</v>
      </c>
      <c r="AM409" t="s">
        <v>43</v>
      </c>
      <c r="AN409" t="str">
        <f>HYPERLINK("https://www.google.com/maps?q=11.05477428,79.06092834","Open Location")</f>
        <v>Open Location</v>
      </c>
    </row>
    <row r="410" spans="1:40" x14ac:dyDescent="0.3">
      <c r="A410" s="1">
        <v>46210.952314814815</v>
      </c>
      <c r="B410" t="s">
        <v>40</v>
      </c>
      <c r="C410" t="s">
        <v>41</v>
      </c>
      <c r="D410" s="1">
        <v>46210.95516203704</v>
      </c>
      <c r="E410" t="s">
        <v>42</v>
      </c>
      <c r="F410" t="s">
        <v>43</v>
      </c>
      <c r="G410" t="s">
        <v>43</v>
      </c>
      <c r="H410" t="s">
        <v>43</v>
      </c>
      <c r="I410" t="s">
        <v>43</v>
      </c>
      <c r="J410" t="s">
        <v>43</v>
      </c>
      <c r="K410" t="s">
        <v>43</v>
      </c>
      <c r="L410" t="s">
        <v>43</v>
      </c>
      <c r="M410" t="s">
        <v>43</v>
      </c>
      <c r="N410" t="s">
        <v>45</v>
      </c>
      <c r="O410" t="s">
        <v>43</v>
      </c>
      <c r="P410" t="s">
        <v>43</v>
      </c>
      <c r="Q410" t="s">
        <v>43</v>
      </c>
      <c r="R410" t="s">
        <v>43</v>
      </c>
      <c r="S410" t="s">
        <v>43</v>
      </c>
      <c r="T410" t="s">
        <v>43</v>
      </c>
      <c r="U410" t="s">
        <v>43</v>
      </c>
      <c r="V410" t="s">
        <v>43</v>
      </c>
      <c r="W410" t="s">
        <v>43</v>
      </c>
      <c r="X410" t="s">
        <v>43</v>
      </c>
      <c r="Y410" t="s">
        <v>43</v>
      </c>
      <c r="Z410" t="s">
        <v>43</v>
      </c>
      <c r="AA410" t="s">
        <v>43</v>
      </c>
      <c r="AB410" t="s">
        <v>43</v>
      </c>
      <c r="AC410" t="s">
        <v>43</v>
      </c>
      <c r="AD410" t="s">
        <v>43</v>
      </c>
      <c r="AE410" t="s">
        <v>43</v>
      </c>
      <c r="AF410" t="s">
        <v>43</v>
      </c>
      <c r="AG410" t="s">
        <v>43</v>
      </c>
      <c r="AH410" t="s">
        <v>43</v>
      </c>
      <c r="AI410" t="s">
        <v>43</v>
      </c>
      <c r="AJ410" t="s">
        <v>43</v>
      </c>
      <c r="AK410" t="s">
        <v>43</v>
      </c>
      <c r="AL410" t="s">
        <v>43</v>
      </c>
      <c r="AM410" t="s">
        <v>43</v>
      </c>
      <c r="AN410" t="s">
        <v>43</v>
      </c>
    </row>
    <row r="411" spans="1:40" x14ac:dyDescent="0.3">
      <c r="A411" s="1">
        <v>46210.952199074076</v>
      </c>
      <c r="B411" t="s">
        <v>40</v>
      </c>
      <c r="C411" t="s">
        <v>41</v>
      </c>
      <c r="D411" s="1">
        <v>46210.955185185187</v>
      </c>
      <c r="E411" t="s">
        <v>42</v>
      </c>
      <c r="F411" t="s">
        <v>43</v>
      </c>
      <c r="G411" t="s">
        <v>43</v>
      </c>
      <c r="H411" t="s">
        <v>43</v>
      </c>
      <c r="I411" t="s">
        <v>229</v>
      </c>
      <c r="J411" t="s">
        <v>43</v>
      </c>
      <c r="K411" t="s">
        <v>43</v>
      </c>
      <c r="L411" t="s">
        <v>43</v>
      </c>
      <c r="M411" t="s">
        <v>43</v>
      </c>
      <c r="N411" t="s">
        <v>45</v>
      </c>
      <c r="O411" t="s">
        <v>43</v>
      </c>
      <c r="P411" t="s">
        <v>43</v>
      </c>
      <c r="Q411" t="s">
        <v>43</v>
      </c>
      <c r="R411" t="s">
        <v>43</v>
      </c>
      <c r="S411" t="s">
        <v>43</v>
      </c>
      <c r="T411" t="s">
        <v>43</v>
      </c>
      <c r="U411" t="s">
        <v>43</v>
      </c>
      <c r="V411" t="s">
        <v>43</v>
      </c>
      <c r="W411" t="s">
        <v>43</v>
      </c>
      <c r="X411" t="s">
        <v>43</v>
      </c>
      <c r="Y411" t="s">
        <v>43</v>
      </c>
      <c r="Z411" t="s">
        <v>43</v>
      </c>
      <c r="AA411" t="s">
        <v>43</v>
      </c>
      <c r="AB411" t="s">
        <v>43</v>
      </c>
      <c r="AC411" t="s">
        <v>43</v>
      </c>
      <c r="AD411" t="s">
        <v>43</v>
      </c>
      <c r="AE411" t="s">
        <v>43</v>
      </c>
      <c r="AF411" t="s">
        <v>43</v>
      </c>
      <c r="AG411" t="s">
        <v>43</v>
      </c>
      <c r="AH411" t="s">
        <v>43</v>
      </c>
      <c r="AI411" t="s">
        <v>43</v>
      </c>
      <c r="AJ411" t="s">
        <v>43</v>
      </c>
      <c r="AK411" t="s">
        <v>43</v>
      </c>
      <c r="AL411" t="s">
        <v>43</v>
      </c>
      <c r="AM411" t="s">
        <v>43</v>
      </c>
      <c r="AN411" t="str">
        <f>HYPERLINK("https://www.google.com/maps?q=11.05477524,79.06092834","Open Location")</f>
        <v>Open Location</v>
      </c>
    </row>
    <row r="412" spans="1:40" x14ac:dyDescent="0.3">
      <c r="A412" s="1">
        <v>46210.95208333333</v>
      </c>
      <c r="B412" t="s">
        <v>40</v>
      </c>
      <c r="C412" t="s">
        <v>41</v>
      </c>
      <c r="D412" s="1">
        <v>46210.955127314817</v>
      </c>
      <c r="E412" t="s">
        <v>42</v>
      </c>
      <c r="F412" t="s">
        <v>43</v>
      </c>
      <c r="G412" t="s">
        <v>43</v>
      </c>
      <c r="H412" t="s">
        <v>43</v>
      </c>
      <c r="I412" t="s">
        <v>230</v>
      </c>
      <c r="J412" t="s">
        <v>43</v>
      </c>
      <c r="K412" t="s">
        <v>43</v>
      </c>
      <c r="L412" t="s">
        <v>43</v>
      </c>
      <c r="M412" t="s">
        <v>43</v>
      </c>
      <c r="N412" t="s">
        <v>45</v>
      </c>
      <c r="O412" t="s">
        <v>43</v>
      </c>
      <c r="P412" t="s">
        <v>43</v>
      </c>
      <c r="Q412" t="s">
        <v>43</v>
      </c>
      <c r="R412" t="s">
        <v>43</v>
      </c>
      <c r="S412" t="s">
        <v>43</v>
      </c>
      <c r="T412" t="s">
        <v>43</v>
      </c>
      <c r="U412" t="s">
        <v>43</v>
      </c>
      <c r="V412" t="s">
        <v>43</v>
      </c>
      <c r="W412" t="s">
        <v>43</v>
      </c>
      <c r="X412" t="s">
        <v>43</v>
      </c>
      <c r="Y412" t="s">
        <v>43</v>
      </c>
      <c r="Z412" t="s">
        <v>43</v>
      </c>
      <c r="AA412" t="s">
        <v>43</v>
      </c>
      <c r="AB412" t="s">
        <v>43</v>
      </c>
      <c r="AC412" t="s">
        <v>43</v>
      </c>
      <c r="AD412" t="s">
        <v>43</v>
      </c>
      <c r="AE412" t="s">
        <v>43</v>
      </c>
      <c r="AF412" t="s">
        <v>43</v>
      </c>
      <c r="AG412" t="s">
        <v>43</v>
      </c>
      <c r="AH412" t="s">
        <v>43</v>
      </c>
      <c r="AI412" t="s">
        <v>43</v>
      </c>
      <c r="AJ412" t="s">
        <v>43</v>
      </c>
      <c r="AK412" t="s">
        <v>43</v>
      </c>
      <c r="AL412" t="s">
        <v>43</v>
      </c>
      <c r="AM412" t="s">
        <v>43</v>
      </c>
      <c r="AN412" t="str">
        <f>HYPERLINK("https://www.google.com/maps?q=11.05477142,79.06092834","Open Location")</f>
        <v>Open Location</v>
      </c>
    </row>
    <row r="413" spans="1:40" x14ac:dyDescent="0.3">
      <c r="A413" s="1">
        <v>46210.951967592591</v>
      </c>
      <c r="B413" t="s">
        <v>40</v>
      </c>
      <c r="C413" t="s">
        <v>41</v>
      </c>
      <c r="D413" s="1">
        <v>46210.955046296294</v>
      </c>
      <c r="E413" t="s">
        <v>42</v>
      </c>
      <c r="F413" t="s">
        <v>43</v>
      </c>
      <c r="G413" t="s">
        <v>43</v>
      </c>
      <c r="H413" t="s">
        <v>43</v>
      </c>
      <c r="I413" t="s">
        <v>222</v>
      </c>
      <c r="J413" t="s">
        <v>43</v>
      </c>
      <c r="K413" t="s">
        <v>43</v>
      </c>
      <c r="L413" t="s">
        <v>43</v>
      </c>
      <c r="M413" t="s">
        <v>43</v>
      </c>
      <c r="N413" t="s">
        <v>45</v>
      </c>
      <c r="O413" t="s">
        <v>43</v>
      </c>
      <c r="P413" t="s">
        <v>43</v>
      </c>
      <c r="Q413" t="s">
        <v>43</v>
      </c>
      <c r="R413" t="s">
        <v>43</v>
      </c>
      <c r="S413" t="s">
        <v>43</v>
      </c>
      <c r="T413" t="s">
        <v>43</v>
      </c>
      <c r="U413" t="s">
        <v>43</v>
      </c>
      <c r="V413" t="s">
        <v>43</v>
      </c>
      <c r="W413" t="s">
        <v>43</v>
      </c>
      <c r="X413" t="s">
        <v>43</v>
      </c>
      <c r="Y413" t="s">
        <v>43</v>
      </c>
      <c r="Z413" t="s">
        <v>43</v>
      </c>
      <c r="AA413" t="s">
        <v>43</v>
      </c>
      <c r="AB413" t="s">
        <v>43</v>
      </c>
      <c r="AC413" t="s">
        <v>43</v>
      </c>
      <c r="AD413" t="s">
        <v>43</v>
      </c>
      <c r="AE413" t="s">
        <v>43</v>
      </c>
      <c r="AF413" t="s">
        <v>43</v>
      </c>
      <c r="AG413" t="s">
        <v>43</v>
      </c>
      <c r="AH413" t="s">
        <v>43</v>
      </c>
      <c r="AI413" t="s">
        <v>43</v>
      </c>
      <c r="AJ413" t="s">
        <v>43</v>
      </c>
      <c r="AK413" t="s">
        <v>43</v>
      </c>
      <c r="AL413" t="s">
        <v>43</v>
      </c>
      <c r="AM413" t="s">
        <v>43</v>
      </c>
      <c r="AN413" t="str">
        <f>HYPERLINK("https://www.google.com/maps?q=11.05477238,79.06092834","Open Location")</f>
        <v>Open Location</v>
      </c>
    </row>
    <row r="414" spans="1:40" x14ac:dyDescent="0.3">
      <c r="A414" s="1">
        <v>46210.951851851853</v>
      </c>
      <c r="B414" t="s">
        <v>40</v>
      </c>
      <c r="C414" t="s">
        <v>41</v>
      </c>
      <c r="D414" s="1">
        <v>46210.954814814817</v>
      </c>
      <c r="E414" t="s">
        <v>42</v>
      </c>
      <c r="F414" t="s">
        <v>43</v>
      </c>
      <c r="G414" t="s">
        <v>43</v>
      </c>
      <c r="H414" t="s">
        <v>43</v>
      </c>
      <c r="I414" t="s">
        <v>230</v>
      </c>
      <c r="J414" t="s">
        <v>43</v>
      </c>
      <c r="K414" t="s">
        <v>43</v>
      </c>
      <c r="L414" t="s">
        <v>43</v>
      </c>
      <c r="M414" t="s">
        <v>43</v>
      </c>
      <c r="N414" t="s">
        <v>45</v>
      </c>
      <c r="O414" t="s">
        <v>43</v>
      </c>
      <c r="P414" t="s">
        <v>43</v>
      </c>
      <c r="Q414" t="s">
        <v>43</v>
      </c>
      <c r="R414" t="s">
        <v>43</v>
      </c>
      <c r="S414" t="s">
        <v>43</v>
      </c>
      <c r="T414" t="s">
        <v>43</v>
      </c>
      <c r="U414" t="s">
        <v>43</v>
      </c>
      <c r="V414" t="s">
        <v>43</v>
      </c>
      <c r="W414" t="s">
        <v>43</v>
      </c>
      <c r="X414" t="s">
        <v>43</v>
      </c>
      <c r="Y414" t="s">
        <v>43</v>
      </c>
      <c r="Z414" t="s">
        <v>43</v>
      </c>
      <c r="AA414" t="s">
        <v>43</v>
      </c>
      <c r="AB414" t="s">
        <v>43</v>
      </c>
      <c r="AC414" t="s">
        <v>43</v>
      </c>
      <c r="AD414" t="s">
        <v>43</v>
      </c>
      <c r="AE414" t="s">
        <v>43</v>
      </c>
      <c r="AF414" t="s">
        <v>43</v>
      </c>
      <c r="AG414" t="s">
        <v>43</v>
      </c>
      <c r="AH414" t="s">
        <v>43</v>
      </c>
      <c r="AI414" t="s">
        <v>43</v>
      </c>
      <c r="AJ414" t="s">
        <v>43</v>
      </c>
      <c r="AK414" t="s">
        <v>43</v>
      </c>
      <c r="AL414" t="s">
        <v>43</v>
      </c>
      <c r="AM414" t="s">
        <v>43</v>
      </c>
      <c r="AN414" t="str">
        <f>HYPERLINK("https://www.google.com/maps?q=11.05477142,79.06092834","Open Location")</f>
        <v>Open Location</v>
      </c>
    </row>
    <row r="415" spans="1:40" x14ac:dyDescent="0.3">
      <c r="A415" s="1">
        <v>46210.951736111114</v>
      </c>
      <c r="B415" t="s">
        <v>40</v>
      </c>
      <c r="C415" t="s">
        <v>41</v>
      </c>
      <c r="D415" s="1">
        <v>46210.954814814817</v>
      </c>
      <c r="E415" t="s">
        <v>42</v>
      </c>
      <c r="F415" t="s">
        <v>43</v>
      </c>
      <c r="G415" t="s">
        <v>43</v>
      </c>
      <c r="H415" t="s">
        <v>43</v>
      </c>
      <c r="I415" t="s">
        <v>231</v>
      </c>
      <c r="J415" t="s">
        <v>43</v>
      </c>
      <c r="K415" t="s">
        <v>43</v>
      </c>
      <c r="L415" t="s">
        <v>43</v>
      </c>
      <c r="M415" t="s">
        <v>43</v>
      </c>
      <c r="N415" t="s">
        <v>45</v>
      </c>
      <c r="O415" t="s">
        <v>43</v>
      </c>
      <c r="P415" t="s">
        <v>43</v>
      </c>
      <c r="Q415" t="s">
        <v>43</v>
      </c>
      <c r="R415" t="s">
        <v>43</v>
      </c>
      <c r="S415" t="s">
        <v>43</v>
      </c>
      <c r="T415" t="s">
        <v>43</v>
      </c>
      <c r="U415" t="s">
        <v>43</v>
      </c>
      <c r="V415" t="s">
        <v>43</v>
      </c>
      <c r="W415" t="s">
        <v>43</v>
      </c>
      <c r="X415" t="s">
        <v>43</v>
      </c>
      <c r="Y415" t="s">
        <v>43</v>
      </c>
      <c r="Z415" t="s">
        <v>43</v>
      </c>
      <c r="AA415" t="s">
        <v>43</v>
      </c>
      <c r="AB415" t="s">
        <v>43</v>
      </c>
      <c r="AC415" t="s">
        <v>43</v>
      </c>
      <c r="AD415" t="s">
        <v>43</v>
      </c>
      <c r="AE415" t="s">
        <v>43</v>
      </c>
      <c r="AF415" t="s">
        <v>43</v>
      </c>
      <c r="AG415" t="s">
        <v>43</v>
      </c>
      <c r="AH415" t="s">
        <v>43</v>
      </c>
      <c r="AI415" t="s">
        <v>43</v>
      </c>
      <c r="AJ415" t="s">
        <v>43</v>
      </c>
      <c r="AK415" t="s">
        <v>43</v>
      </c>
      <c r="AL415" t="s">
        <v>43</v>
      </c>
      <c r="AM415" t="s">
        <v>43</v>
      </c>
      <c r="AN415" t="str">
        <f>HYPERLINK("https://www.google.com/maps?q=11.05477142,79.06092072","Open Location")</f>
        <v>Open Location</v>
      </c>
    </row>
    <row r="416" spans="1:40" x14ac:dyDescent="0.3">
      <c r="A416" s="1">
        <v>46210.951620370368</v>
      </c>
      <c r="B416" t="s">
        <v>40</v>
      </c>
      <c r="C416" t="s">
        <v>41</v>
      </c>
      <c r="D416" s="1">
        <v>46210.954791666663</v>
      </c>
      <c r="E416" t="s">
        <v>42</v>
      </c>
      <c r="F416" t="s">
        <v>43</v>
      </c>
      <c r="G416" t="s">
        <v>43</v>
      </c>
      <c r="H416" t="s">
        <v>43</v>
      </c>
      <c r="I416" t="s">
        <v>43</v>
      </c>
      <c r="J416" t="s">
        <v>43</v>
      </c>
      <c r="K416" t="s">
        <v>43</v>
      </c>
      <c r="L416" t="s">
        <v>43</v>
      </c>
      <c r="M416" t="s">
        <v>43</v>
      </c>
      <c r="N416" t="s">
        <v>45</v>
      </c>
      <c r="O416" t="s">
        <v>43</v>
      </c>
      <c r="P416" t="s">
        <v>43</v>
      </c>
      <c r="Q416" t="s">
        <v>43</v>
      </c>
      <c r="R416" t="s">
        <v>43</v>
      </c>
      <c r="S416" t="s">
        <v>43</v>
      </c>
      <c r="T416" t="s">
        <v>43</v>
      </c>
      <c r="U416" t="s">
        <v>43</v>
      </c>
      <c r="V416" t="s">
        <v>43</v>
      </c>
      <c r="W416" t="s">
        <v>43</v>
      </c>
      <c r="X416" t="s">
        <v>43</v>
      </c>
      <c r="Y416" t="s">
        <v>43</v>
      </c>
      <c r="Z416" t="s">
        <v>43</v>
      </c>
      <c r="AA416" t="s">
        <v>43</v>
      </c>
      <c r="AB416" t="s">
        <v>43</v>
      </c>
      <c r="AC416" t="s">
        <v>43</v>
      </c>
      <c r="AD416" t="s">
        <v>43</v>
      </c>
      <c r="AE416" t="s">
        <v>43</v>
      </c>
      <c r="AF416" t="s">
        <v>43</v>
      </c>
      <c r="AG416" t="s">
        <v>43</v>
      </c>
      <c r="AH416" t="s">
        <v>43</v>
      </c>
      <c r="AI416" t="s">
        <v>43</v>
      </c>
      <c r="AJ416" t="s">
        <v>43</v>
      </c>
      <c r="AK416" t="s">
        <v>43</v>
      </c>
      <c r="AL416" t="s">
        <v>43</v>
      </c>
      <c r="AM416" t="s">
        <v>43</v>
      </c>
      <c r="AN416" t="s">
        <v>43</v>
      </c>
    </row>
    <row r="417" spans="1:40" x14ac:dyDescent="0.3">
      <c r="A417" s="1">
        <v>46210.951504629629</v>
      </c>
      <c r="B417" t="s">
        <v>40</v>
      </c>
      <c r="C417" t="s">
        <v>41</v>
      </c>
      <c r="D417" s="1">
        <v>46210.954409722224</v>
      </c>
      <c r="E417" t="s">
        <v>42</v>
      </c>
      <c r="F417" t="s">
        <v>43</v>
      </c>
      <c r="G417" t="s">
        <v>43</v>
      </c>
      <c r="H417" t="s">
        <v>43</v>
      </c>
      <c r="I417" t="s">
        <v>232</v>
      </c>
      <c r="J417" t="s">
        <v>43</v>
      </c>
      <c r="K417" t="s">
        <v>43</v>
      </c>
      <c r="L417" t="s">
        <v>43</v>
      </c>
      <c r="M417" t="s">
        <v>43</v>
      </c>
      <c r="N417" t="s">
        <v>45</v>
      </c>
      <c r="O417" t="s">
        <v>43</v>
      </c>
      <c r="P417" t="s">
        <v>43</v>
      </c>
      <c r="Q417" t="s">
        <v>43</v>
      </c>
      <c r="R417" t="s">
        <v>43</v>
      </c>
      <c r="S417" t="s">
        <v>43</v>
      </c>
      <c r="T417" t="s">
        <v>43</v>
      </c>
      <c r="U417" t="s">
        <v>43</v>
      </c>
      <c r="V417" t="s">
        <v>43</v>
      </c>
      <c r="W417" t="s">
        <v>43</v>
      </c>
      <c r="X417" t="s">
        <v>43</v>
      </c>
      <c r="Y417" t="s">
        <v>43</v>
      </c>
      <c r="Z417" t="s">
        <v>43</v>
      </c>
      <c r="AA417" t="s">
        <v>43</v>
      </c>
      <c r="AB417" t="s">
        <v>43</v>
      </c>
      <c r="AC417" t="s">
        <v>43</v>
      </c>
      <c r="AD417" t="s">
        <v>43</v>
      </c>
      <c r="AE417" t="s">
        <v>43</v>
      </c>
      <c r="AF417" t="s">
        <v>43</v>
      </c>
      <c r="AG417" t="s">
        <v>43</v>
      </c>
      <c r="AH417" t="s">
        <v>43</v>
      </c>
      <c r="AI417" t="s">
        <v>43</v>
      </c>
      <c r="AJ417" t="s">
        <v>43</v>
      </c>
      <c r="AK417" t="s">
        <v>43</v>
      </c>
      <c r="AL417" t="s">
        <v>43</v>
      </c>
      <c r="AM417" t="s">
        <v>43</v>
      </c>
      <c r="AN417" t="str">
        <f>HYPERLINK("https://www.google.com/maps?q=11.05476856,79.06092072","Open Location")</f>
        <v>Open Location</v>
      </c>
    </row>
    <row r="418" spans="1:40" x14ac:dyDescent="0.3">
      <c r="A418" s="1">
        <v>46210.951388888891</v>
      </c>
      <c r="B418" t="s">
        <v>40</v>
      </c>
      <c r="C418" t="s">
        <v>41</v>
      </c>
      <c r="D418" s="1">
        <v>46210.954687500001</v>
      </c>
      <c r="E418" t="s">
        <v>42</v>
      </c>
      <c r="F418" t="s">
        <v>43</v>
      </c>
      <c r="G418" t="s">
        <v>43</v>
      </c>
      <c r="H418" t="s">
        <v>43</v>
      </c>
      <c r="I418" t="s">
        <v>233</v>
      </c>
      <c r="J418" t="s">
        <v>43</v>
      </c>
      <c r="K418" t="s">
        <v>43</v>
      </c>
      <c r="L418" t="s">
        <v>43</v>
      </c>
      <c r="M418" t="s">
        <v>43</v>
      </c>
      <c r="N418" t="s">
        <v>45</v>
      </c>
      <c r="O418" t="s">
        <v>43</v>
      </c>
      <c r="P418" t="s">
        <v>43</v>
      </c>
      <c r="Q418" t="s">
        <v>43</v>
      </c>
      <c r="R418" t="s">
        <v>43</v>
      </c>
      <c r="S418" t="s">
        <v>43</v>
      </c>
      <c r="T418" t="s">
        <v>43</v>
      </c>
      <c r="U418" t="s">
        <v>43</v>
      </c>
      <c r="V418" t="s">
        <v>43</v>
      </c>
      <c r="W418" t="s">
        <v>43</v>
      </c>
      <c r="X418" t="s">
        <v>43</v>
      </c>
      <c r="Y418" t="s">
        <v>43</v>
      </c>
      <c r="Z418" t="s">
        <v>43</v>
      </c>
      <c r="AA418" t="s">
        <v>43</v>
      </c>
      <c r="AB418" t="s">
        <v>43</v>
      </c>
      <c r="AC418" t="s">
        <v>43</v>
      </c>
      <c r="AD418" t="s">
        <v>43</v>
      </c>
      <c r="AE418" t="s">
        <v>43</v>
      </c>
      <c r="AF418" t="s">
        <v>43</v>
      </c>
      <c r="AG418" t="s">
        <v>43</v>
      </c>
      <c r="AH418" t="s">
        <v>43</v>
      </c>
      <c r="AI418" t="s">
        <v>43</v>
      </c>
      <c r="AJ418" t="s">
        <v>43</v>
      </c>
      <c r="AK418" t="s">
        <v>43</v>
      </c>
      <c r="AL418" t="s">
        <v>43</v>
      </c>
      <c r="AM418" t="s">
        <v>43</v>
      </c>
      <c r="AN418" t="str">
        <f>HYPERLINK("https://www.google.com/maps?q=11.05476856,79.06092834","Open Location")</f>
        <v>Open Location</v>
      </c>
    </row>
    <row r="419" spans="1:40" x14ac:dyDescent="0.3">
      <c r="A419" s="1">
        <v>46210.951273148145</v>
      </c>
      <c r="B419" t="s">
        <v>40</v>
      </c>
      <c r="C419" t="s">
        <v>41</v>
      </c>
      <c r="D419" s="1">
        <v>46210.954409722224</v>
      </c>
      <c r="E419" t="s">
        <v>42</v>
      </c>
      <c r="F419" t="s">
        <v>43</v>
      </c>
      <c r="G419" t="s">
        <v>43</v>
      </c>
      <c r="H419" t="s">
        <v>43</v>
      </c>
      <c r="I419" t="s">
        <v>231</v>
      </c>
      <c r="J419" t="s">
        <v>43</v>
      </c>
      <c r="K419" t="s">
        <v>43</v>
      </c>
      <c r="L419" t="s">
        <v>43</v>
      </c>
      <c r="M419" t="s">
        <v>43</v>
      </c>
      <c r="N419" t="s">
        <v>45</v>
      </c>
      <c r="O419" t="s">
        <v>43</v>
      </c>
      <c r="P419" t="s">
        <v>43</v>
      </c>
      <c r="Q419" t="s">
        <v>43</v>
      </c>
      <c r="R419" t="s">
        <v>43</v>
      </c>
      <c r="S419" t="s">
        <v>43</v>
      </c>
      <c r="T419" t="s">
        <v>43</v>
      </c>
      <c r="U419" t="s">
        <v>43</v>
      </c>
      <c r="V419" t="s">
        <v>43</v>
      </c>
      <c r="W419" t="s">
        <v>43</v>
      </c>
      <c r="X419" t="s">
        <v>43</v>
      </c>
      <c r="Y419" t="s">
        <v>43</v>
      </c>
      <c r="Z419" t="s">
        <v>43</v>
      </c>
      <c r="AA419" t="s">
        <v>43</v>
      </c>
      <c r="AB419" t="s">
        <v>43</v>
      </c>
      <c r="AC419" t="s">
        <v>43</v>
      </c>
      <c r="AD419" t="s">
        <v>43</v>
      </c>
      <c r="AE419" t="s">
        <v>43</v>
      </c>
      <c r="AF419" t="s">
        <v>43</v>
      </c>
      <c r="AG419" t="s">
        <v>43</v>
      </c>
      <c r="AH419" t="s">
        <v>43</v>
      </c>
      <c r="AI419" t="s">
        <v>43</v>
      </c>
      <c r="AJ419" t="s">
        <v>43</v>
      </c>
      <c r="AK419" t="s">
        <v>43</v>
      </c>
      <c r="AL419" t="s">
        <v>43</v>
      </c>
      <c r="AM419" t="s">
        <v>43</v>
      </c>
      <c r="AN419" t="str">
        <f>HYPERLINK("https://www.google.com/maps?q=11.05477142,79.06092072","Open Location")</f>
        <v>Open Location</v>
      </c>
    </row>
    <row r="420" spans="1:40" x14ac:dyDescent="0.3">
      <c r="A420" s="1">
        <v>46210.951157407406</v>
      </c>
      <c r="B420" t="s">
        <v>40</v>
      </c>
      <c r="C420" t="s">
        <v>41</v>
      </c>
      <c r="D420" s="1">
        <v>46210.954270833332</v>
      </c>
      <c r="E420" t="s">
        <v>42</v>
      </c>
      <c r="F420" t="s">
        <v>43</v>
      </c>
      <c r="G420" t="s">
        <v>43</v>
      </c>
      <c r="H420" t="s">
        <v>43</v>
      </c>
      <c r="I420" t="s">
        <v>234</v>
      </c>
      <c r="J420" t="s">
        <v>43</v>
      </c>
      <c r="K420" t="s">
        <v>43</v>
      </c>
      <c r="L420" t="s">
        <v>43</v>
      </c>
      <c r="M420" t="s">
        <v>43</v>
      </c>
      <c r="N420" t="s">
        <v>45</v>
      </c>
      <c r="O420" t="s">
        <v>43</v>
      </c>
      <c r="P420" t="s">
        <v>43</v>
      </c>
      <c r="Q420" t="s">
        <v>43</v>
      </c>
      <c r="R420" t="s">
        <v>43</v>
      </c>
      <c r="S420" t="s">
        <v>43</v>
      </c>
      <c r="T420" t="s">
        <v>43</v>
      </c>
      <c r="U420" t="s">
        <v>43</v>
      </c>
      <c r="V420" t="s">
        <v>43</v>
      </c>
      <c r="W420" t="s">
        <v>43</v>
      </c>
      <c r="X420" t="s">
        <v>43</v>
      </c>
      <c r="Y420" t="s">
        <v>43</v>
      </c>
      <c r="Z420" t="s">
        <v>43</v>
      </c>
      <c r="AA420" t="s">
        <v>43</v>
      </c>
      <c r="AB420" t="s">
        <v>43</v>
      </c>
      <c r="AC420" t="s">
        <v>43</v>
      </c>
      <c r="AD420" t="s">
        <v>43</v>
      </c>
      <c r="AE420" t="s">
        <v>43</v>
      </c>
      <c r="AF420" t="s">
        <v>43</v>
      </c>
      <c r="AG420" t="s">
        <v>43</v>
      </c>
      <c r="AH420" t="s">
        <v>43</v>
      </c>
      <c r="AI420" t="s">
        <v>43</v>
      </c>
      <c r="AJ420" t="s">
        <v>43</v>
      </c>
      <c r="AK420" t="s">
        <v>43</v>
      </c>
      <c r="AL420" t="s">
        <v>43</v>
      </c>
      <c r="AM420" t="s">
        <v>43</v>
      </c>
      <c r="AN420" t="str">
        <f>HYPERLINK("https://www.google.com/maps?q=11.05477905,79.06092072","Open Location")</f>
        <v>Open Location</v>
      </c>
    </row>
    <row r="421" spans="1:40" x14ac:dyDescent="0.3">
      <c r="A421" s="1">
        <v>46210.951041666667</v>
      </c>
      <c r="B421" t="s">
        <v>40</v>
      </c>
      <c r="C421" t="s">
        <v>41</v>
      </c>
      <c r="D421" s="1">
        <v>46210.953831018516</v>
      </c>
      <c r="E421" t="s">
        <v>42</v>
      </c>
      <c r="F421" t="s">
        <v>43</v>
      </c>
      <c r="G421" t="s">
        <v>43</v>
      </c>
      <c r="H421" t="s">
        <v>43</v>
      </c>
      <c r="I421" t="s">
        <v>235</v>
      </c>
      <c r="J421" t="s">
        <v>43</v>
      </c>
      <c r="K421" t="s">
        <v>43</v>
      </c>
      <c r="L421" t="s">
        <v>43</v>
      </c>
      <c r="M421" t="s">
        <v>43</v>
      </c>
      <c r="N421" t="s">
        <v>45</v>
      </c>
      <c r="O421" t="s">
        <v>43</v>
      </c>
      <c r="P421" t="s">
        <v>43</v>
      </c>
      <c r="Q421" t="s">
        <v>43</v>
      </c>
      <c r="R421" t="s">
        <v>43</v>
      </c>
      <c r="S421" t="s">
        <v>43</v>
      </c>
      <c r="T421" t="s">
        <v>43</v>
      </c>
      <c r="U421" t="s">
        <v>43</v>
      </c>
      <c r="V421" t="s">
        <v>43</v>
      </c>
      <c r="W421" t="s">
        <v>43</v>
      </c>
      <c r="X421" t="s">
        <v>43</v>
      </c>
      <c r="Y421" t="s">
        <v>43</v>
      </c>
      <c r="Z421" t="s">
        <v>43</v>
      </c>
      <c r="AA421" t="s">
        <v>43</v>
      </c>
      <c r="AB421" t="s">
        <v>43</v>
      </c>
      <c r="AC421" t="s">
        <v>43</v>
      </c>
      <c r="AD421" t="s">
        <v>43</v>
      </c>
      <c r="AE421" t="s">
        <v>43</v>
      </c>
      <c r="AF421" t="s">
        <v>43</v>
      </c>
      <c r="AG421" t="s">
        <v>43</v>
      </c>
      <c r="AH421" t="s">
        <v>43</v>
      </c>
      <c r="AI421" t="s">
        <v>43</v>
      </c>
      <c r="AJ421" t="s">
        <v>43</v>
      </c>
      <c r="AK421" t="s">
        <v>43</v>
      </c>
      <c r="AL421" t="s">
        <v>43</v>
      </c>
      <c r="AM421" t="s">
        <v>43</v>
      </c>
      <c r="AN421" t="str">
        <f>HYPERLINK("https://www.google.com/maps?q=11.05478191,79.06091309","Open Location")</f>
        <v>Open Location</v>
      </c>
    </row>
    <row r="422" spans="1:40" x14ac:dyDescent="0.3">
      <c r="A422" s="1">
        <v>46210.950925925928</v>
      </c>
      <c r="B422" t="s">
        <v>40</v>
      </c>
      <c r="C422" t="s">
        <v>41</v>
      </c>
      <c r="D422" s="1">
        <v>46210.953842592593</v>
      </c>
      <c r="E422" t="s">
        <v>42</v>
      </c>
      <c r="F422" t="s">
        <v>43</v>
      </c>
      <c r="G422" t="s">
        <v>43</v>
      </c>
      <c r="H422" t="s">
        <v>43</v>
      </c>
      <c r="I422" t="s">
        <v>43</v>
      </c>
      <c r="J422" t="s">
        <v>43</v>
      </c>
      <c r="K422" t="s">
        <v>43</v>
      </c>
      <c r="L422" t="s">
        <v>43</v>
      </c>
      <c r="M422" t="s">
        <v>43</v>
      </c>
      <c r="N422" t="s">
        <v>45</v>
      </c>
      <c r="O422" t="s">
        <v>43</v>
      </c>
      <c r="P422" t="s">
        <v>43</v>
      </c>
      <c r="Q422" t="s">
        <v>43</v>
      </c>
      <c r="R422" t="s">
        <v>43</v>
      </c>
      <c r="S422" t="s">
        <v>43</v>
      </c>
      <c r="T422" t="s">
        <v>43</v>
      </c>
      <c r="U422" t="s">
        <v>43</v>
      </c>
      <c r="V422" t="s">
        <v>43</v>
      </c>
      <c r="W422" t="s">
        <v>43</v>
      </c>
      <c r="X422" t="s">
        <v>43</v>
      </c>
      <c r="Y422" t="s">
        <v>43</v>
      </c>
      <c r="Z422" t="s">
        <v>43</v>
      </c>
      <c r="AA422" t="s">
        <v>43</v>
      </c>
      <c r="AB422" t="s">
        <v>43</v>
      </c>
      <c r="AC422" t="s">
        <v>43</v>
      </c>
      <c r="AD422" t="s">
        <v>43</v>
      </c>
      <c r="AE422" t="s">
        <v>43</v>
      </c>
      <c r="AF422" t="s">
        <v>43</v>
      </c>
      <c r="AG422" t="s">
        <v>43</v>
      </c>
      <c r="AH422" t="s">
        <v>43</v>
      </c>
      <c r="AI422" t="s">
        <v>43</v>
      </c>
      <c r="AJ422" t="s">
        <v>43</v>
      </c>
      <c r="AK422" t="s">
        <v>43</v>
      </c>
      <c r="AL422" t="s">
        <v>43</v>
      </c>
      <c r="AM422" t="s">
        <v>43</v>
      </c>
      <c r="AN422" t="s">
        <v>43</v>
      </c>
    </row>
    <row r="423" spans="1:40" x14ac:dyDescent="0.3">
      <c r="A423" s="1">
        <v>46210.950810185182</v>
      </c>
      <c r="B423" t="s">
        <v>40</v>
      </c>
      <c r="C423" t="s">
        <v>41</v>
      </c>
      <c r="D423" s="1">
        <v>46210.953483796293</v>
      </c>
      <c r="E423" t="s">
        <v>42</v>
      </c>
      <c r="F423" t="s">
        <v>43</v>
      </c>
      <c r="G423" t="s">
        <v>43</v>
      </c>
      <c r="H423" t="s">
        <v>43</v>
      </c>
      <c r="I423" t="s">
        <v>236</v>
      </c>
      <c r="J423" t="s">
        <v>43</v>
      </c>
      <c r="K423" t="s">
        <v>43</v>
      </c>
      <c r="L423" t="s">
        <v>43</v>
      </c>
      <c r="M423" t="s">
        <v>43</v>
      </c>
      <c r="N423" t="s">
        <v>45</v>
      </c>
      <c r="O423" t="s">
        <v>43</v>
      </c>
      <c r="P423" t="s">
        <v>43</v>
      </c>
      <c r="Q423" t="s">
        <v>43</v>
      </c>
      <c r="R423" t="s">
        <v>43</v>
      </c>
      <c r="S423" t="s">
        <v>43</v>
      </c>
      <c r="T423" t="s">
        <v>43</v>
      </c>
      <c r="U423" t="s">
        <v>43</v>
      </c>
      <c r="V423" t="s">
        <v>43</v>
      </c>
      <c r="W423" t="s">
        <v>43</v>
      </c>
      <c r="X423" t="s">
        <v>43</v>
      </c>
      <c r="Y423" t="s">
        <v>43</v>
      </c>
      <c r="Z423" t="s">
        <v>43</v>
      </c>
      <c r="AA423" t="s">
        <v>43</v>
      </c>
      <c r="AB423" t="s">
        <v>43</v>
      </c>
      <c r="AC423" t="s">
        <v>43</v>
      </c>
      <c r="AD423" t="s">
        <v>43</v>
      </c>
      <c r="AE423" t="s">
        <v>43</v>
      </c>
      <c r="AF423" t="s">
        <v>43</v>
      </c>
      <c r="AG423" t="s">
        <v>43</v>
      </c>
      <c r="AH423" t="s">
        <v>43</v>
      </c>
      <c r="AI423" t="s">
        <v>43</v>
      </c>
      <c r="AJ423" t="s">
        <v>43</v>
      </c>
      <c r="AK423" t="s">
        <v>43</v>
      </c>
      <c r="AL423" t="s">
        <v>43</v>
      </c>
      <c r="AM423" t="s">
        <v>43</v>
      </c>
      <c r="AN423" t="str">
        <f>HYPERLINK("https://www.google.com/maps?q=11.05478001,79.06091309","Open Location")</f>
        <v>Open Location</v>
      </c>
    </row>
    <row r="424" spans="1:40" x14ac:dyDescent="0.3">
      <c r="A424" s="1">
        <v>46210.950694444444</v>
      </c>
      <c r="B424" t="s">
        <v>40</v>
      </c>
      <c r="C424" t="s">
        <v>41</v>
      </c>
      <c r="D424" s="1">
        <v>46210.953483796293</v>
      </c>
      <c r="E424" t="s">
        <v>42</v>
      </c>
      <c r="F424" t="s">
        <v>43</v>
      </c>
      <c r="G424" t="s">
        <v>43</v>
      </c>
      <c r="H424" t="s">
        <v>43</v>
      </c>
      <c r="I424" t="s">
        <v>237</v>
      </c>
      <c r="J424" t="s">
        <v>43</v>
      </c>
      <c r="K424" t="s">
        <v>43</v>
      </c>
      <c r="L424" t="s">
        <v>43</v>
      </c>
      <c r="M424" t="s">
        <v>43</v>
      </c>
      <c r="N424" t="s">
        <v>45</v>
      </c>
      <c r="O424" t="s">
        <v>43</v>
      </c>
      <c r="P424" t="s">
        <v>43</v>
      </c>
      <c r="Q424" t="s">
        <v>43</v>
      </c>
      <c r="R424" t="s">
        <v>43</v>
      </c>
      <c r="S424" t="s">
        <v>43</v>
      </c>
      <c r="T424" t="s">
        <v>43</v>
      </c>
      <c r="U424" t="s">
        <v>43</v>
      </c>
      <c r="V424" t="s">
        <v>43</v>
      </c>
      <c r="W424" t="s">
        <v>43</v>
      </c>
      <c r="X424" t="s">
        <v>43</v>
      </c>
      <c r="Y424" t="s">
        <v>43</v>
      </c>
      <c r="Z424" t="s">
        <v>43</v>
      </c>
      <c r="AA424" t="s">
        <v>43</v>
      </c>
      <c r="AB424" t="s">
        <v>43</v>
      </c>
      <c r="AC424" t="s">
        <v>43</v>
      </c>
      <c r="AD424" t="s">
        <v>43</v>
      </c>
      <c r="AE424" t="s">
        <v>43</v>
      </c>
      <c r="AF424" t="s">
        <v>43</v>
      </c>
      <c r="AG424" t="s">
        <v>43</v>
      </c>
      <c r="AH424" t="s">
        <v>43</v>
      </c>
      <c r="AI424" t="s">
        <v>43</v>
      </c>
      <c r="AJ424" t="s">
        <v>43</v>
      </c>
      <c r="AK424" t="s">
        <v>43</v>
      </c>
      <c r="AL424" t="s">
        <v>43</v>
      </c>
      <c r="AM424" t="s">
        <v>43</v>
      </c>
      <c r="AN424" t="str">
        <f>HYPERLINK("https://www.google.com/maps?q=11.05478096,79.06092072","Open Location")</f>
        <v>Open Location</v>
      </c>
    </row>
    <row r="425" spans="1:40" x14ac:dyDescent="0.3">
      <c r="A425" s="1">
        <v>46210.950578703705</v>
      </c>
      <c r="B425" t="s">
        <v>40</v>
      </c>
      <c r="C425" t="s">
        <v>41</v>
      </c>
      <c r="D425" s="1">
        <v>46210.95349537037</v>
      </c>
      <c r="E425" t="s">
        <v>42</v>
      </c>
      <c r="F425" t="s">
        <v>43</v>
      </c>
      <c r="G425" t="s">
        <v>43</v>
      </c>
      <c r="H425" t="s">
        <v>43</v>
      </c>
      <c r="I425" t="s">
        <v>235</v>
      </c>
      <c r="J425" t="s">
        <v>43</v>
      </c>
      <c r="K425" t="s">
        <v>43</v>
      </c>
      <c r="L425" t="s">
        <v>43</v>
      </c>
      <c r="M425" t="s">
        <v>43</v>
      </c>
      <c r="N425" t="s">
        <v>45</v>
      </c>
      <c r="O425" t="s">
        <v>43</v>
      </c>
      <c r="P425" t="s">
        <v>43</v>
      </c>
      <c r="Q425" t="s">
        <v>43</v>
      </c>
      <c r="R425" t="s">
        <v>43</v>
      </c>
      <c r="S425" t="s">
        <v>43</v>
      </c>
      <c r="T425" t="s">
        <v>43</v>
      </c>
      <c r="U425" t="s">
        <v>43</v>
      </c>
      <c r="V425" t="s">
        <v>43</v>
      </c>
      <c r="W425" t="s">
        <v>43</v>
      </c>
      <c r="X425" t="s">
        <v>43</v>
      </c>
      <c r="Y425" t="s">
        <v>43</v>
      </c>
      <c r="Z425" t="s">
        <v>43</v>
      </c>
      <c r="AA425" t="s">
        <v>43</v>
      </c>
      <c r="AB425" t="s">
        <v>43</v>
      </c>
      <c r="AC425" t="s">
        <v>43</v>
      </c>
      <c r="AD425" t="s">
        <v>43</v>
      </c>
      <c r="AE425" t="s">
        <v>43</v>
      </c>
      <c r="AF425" t="s">
        <v>43</v>
      </c>
      <c r="AG425" t="s">
        <v>43</v>
      </c>
      <c r="AH425" t="s">
        <v>43</v>
      </c>
      <c r="AI425" t="s">
        <v>43</v>
      </c>
      <c r="AJ425" t="s">
        <v>43</v>
      </c>
      <c r="AK425" t="s">
        <v>43</v>
      </c>
      <c r="AL425" t="s">
        <v>43</v>
      </c>
      <c r="AM425" t="s">
        <v>43</v>
      </c>
      <c r="AN425" t="str">
        <f>HYPERLINK("https://www.google.com/maps?q=11.05478191,79.06091309","Open Location")</f>
        <v>Open Location</v>
      </c>
    </row>
    <row r="426" spans="1:40" x14ac:dyDescent="0.3">
      <c r="A426" s="1">
        <v>46210.950462962966</v>
      </c>
      <c r="B426" t="s">
        <v>40</v>
      </c>
      <c r="C426" t="s">
        <v>41</v>
      </c>
      <c r="D426" s="1">
        <v>46210.9533912037</v>
      </c>
      <c r="E426" t="s">
        <v>42</v>
      </c>
      <c r="F426" t="s">
        <v>43</v>
      </c>
      <c r="G426" t="s">
        <v>43</v>
      </c>
      <c r="H426" t="s">
        <v>43</v>
      </c>
      <c r="I426" t="s">
        <v>237</v>
      </c>
      <c r="J426" t="s">
        <v>43</v>
      </c>
      <c r="K426" t="s">
        <v>43</v>
      </c>
      <c r="L426" t="s">
        <v>43</v>
      </c>
      <c r="M426" t="s">
        <v>43</v>
      </c>
      <c r="N426" t="s">
        <v>45</v>
      </c>
      <c r="O426" t="s">
        <v>43</v>
      </c>
      <c r="P426" t="s">
        <v>43</v>
      </c>
      <c r="Q426" t="s">
        <v>43</v>
      </c>
      <c r="R426" t="s">
        <v>43</v>
      </c>
      <c r="S426" t="s">
        <v>43</v>
      </c>
      <c r="T426" t="s">
        <v>43</v>
      </c>
      <c r="U426" t="s">
        <v>43</v>
      </c>
      <c r="V426" t="s">
        <v>43</v>
      </c>
      <c r="W426" t="s">
        <v>43</v>
      </c>
      <c r="X426" t="s">
        <v>43</v>
      </c>
      <c r="Y426" t="s">
        <v>43</v>
      </c>
      <c r="Z426" t="s">
        <v>43</v>
      </c>
      <c r="AA426" t="s">
        <v>43</v>
      </c>
      <c r="AB426" t="s">
        <v>43</v>
      </c>
      <c r="AC426" t="s">
        <v>43</v>
      </c>
      <c r="AD426" t="s">
        <v>43</v>
      </c>
      <c r="AE426" t="s">
        <v>43</v>
      </c>
      <c r="AF426" t="s">
        <v>43</v>
      </c>
      <c r="AG426" t="s">
        <v>43</v>
      </c>
      <c r="AH426" t="s">
        <v>43</v>
      </c>
      <c r="AI426" t="s">
        <v>43</v>
      </c>
      <c r="AJ426" t="s">
        <v>43</v>
      </c>
      <c r="AK426" t="s">
        <v>43</v>
      </c>
      <c r="AL426" t="s">
        <v>43</v>
      </c>
      <c r="AM426" t="s">
        <v>43</v>
      </c>
      <c r="AN426" t="str">
        <f>HYPERLINK("https://www.google.com/maps?q=11.05478096,79.06092072","Open Location")</f>
        <v>Open Location</v>
      </c>
    </row>
    <row r="427" spans="1:40" x14ac:dyDescent="0.3">
      <c r="A427" s="1">
        <v>46210.95034722222</v>
      </c>
      <c r="B427" t="s">
        <v>40</v>
      </c>
      <c r="C427" t="s">
        <v>41</v>
      </c>
      <c r="D427" s="1">
        <v>46210.953125</v>
      </c>
      <c r="E427" t="s">
        <v>42</v>
      </c>
      <c r="F427" t="s">
        <v>43</v>
      </c>
      <c r="G427" t="s">
        <v>43</v>
      </c>
      <c r="H427" t="s">
        <v>43</v>
      </c>
      <c r="I427" t="s">
        <v>43</v>
      </c>
      <c r="J427" t="s">
        <v>43</v>
      </c>
      <c r="K427" t="s">
        <v>43</v>
      </c>
      <c r="L427" t="s">
        <v>43</v>
      </c>
      <c r="M427" t="s">
        <v>43</v>
      </c>
      <c r="N427" t="s">
        <v>45</v>
      </c>
      <c r="O427" t="s">
        <v>43</v>
      </c>
      <c r="P427" t="s">
        <v>43</v>
      </c>
      <c r="Q427" t="s">
        <v>43</v>
      </c>
      <c r="R427" t="s">
        <v>43</v>
      </c>
      <c r="S427" t="s">
        <v>43</v>
      </c>
      <c r="T427" t="s">
        <v>43</v>
      </c>
      <c r="U427" t="s">
        <v>43</v>
      </c>
      <c r="V427" t="s">
        <v>43</v>
      </c>
      <c r="W427" t="s">
        <v>43</v>
      </c>
      <c r="X427" t="s">
        <v>43</v>
      </c>
      <c r="Y427" t="s">
        <v>43</v>
      </c>
      <c r="Z427" t="s">
        <v>43</v>
      </c>
      <c r="AA427" t="s">
        <v>43</v>
      </c>
      <c r="AB427" t="s">
        <v>43</v>
      </c>
      <c r="AC427" t="s">
        <v>43</v>
      </c>
      <c r="AD427" t="s">
        <v>43</v>
      </c>
      <c r="AE427" t="s">
        <v>43</v>
      </c>
      <c r="AF427" t="s">
        <v>43</v>
      </c>
      <c r="AG427" t="s">
        <v>43</v>
      </c>
      <c r="AH427" t="s">
        <v>43</v>
      </c>
      <c r="AI427" t="s">
        <v>43</v>
      </c>
      <c r="AJ427" t="s">
        <v>43</v>
      </c>
      <c r="AK427" t="s">
        <v>43</v>
      </c>
      <c r="AL427" t="s">
        <v>43</v>
      </c>
      <c r="AM427" t="s">
        <v>43</v>
      </c>
      <c r="AN427" t="s">
        <v>43</v>
      </c>
    </row>
    <row r="428" spans="1:40" x14ac:dyDescent="0.3">
      <c r="A428" s="1">
        <v>46210.950231481482</v>
      </c>
      <c r="B428" t="s">
        <v>40</v>
      </c>
      <c r="C428" t="s">
        <v>41</v>
      </c>
      <c r="D428" s="1">
        <v>46210.953275462962</v>
      </c>
      <c r="E428" t="s">
        <v>42</v>
      </c>
      <c r="F428" t="s">
        <v>43</v>
      </c>
      <c r="G428" t="s">
        <v>43</v>
      </c>
      <c r="H428" t="s">
        <v>43</v>
      </c>
      <c r="I428" t="s">
        <v>238</v>
      </c>
      <c r="J428" t="s">
        <v>43</v>
      </c>
      <c r="K428" t="s">
        <v>43</v>
      </c>
      <c r="L428" t="s">
        <v>43</v>
      </c>
      <c r="M428" t="s">
        <v>43</v>
      </c>
      <c r="N428" t="s">
        <v>45</v>
      </c>
      <c r="O428" t="s">
        <v>43</v>
      </c>
      <c r="P428" t="s">
        <v>43</v>
      </c>
      <c r="Q428" t="s">
        <v>43</v>
      </c>
      <c r="R428" t="s">
        <v>43</v>
      </c>
      <c r="S428" t="s">
        <v>43</v>
      </c>
      <c r="T428" t="s">
        <v>43</v>
      </c>
      <c r="U428" t="s">
        <v>43</v>
      </c>
      <c r="V428" t="s">
        <v>43</v>
      </c>
      <c r="W428" t="s">
        <v>43</v>
      </c>
      <c r="X428" t="s">
        <v>43</v>
      </c>
      <c r="Y428" t="s">
        <v>43</v>
      </c>
      <c r="Z428" t="s">
        <v>43</v>
      </c>
      <c r="AA428" t="s">
        <v>43</v>
      </c>
      <c r="AB428" t="s">
        <v>43</v>
      </c>
      <c r="AC428" t="s">
        <v>43</v>
      </c>
      <c r="AD428" t="s">
        <v>43</v>
      </c>
      <c r="AE428" t="s">
        <v>43</v>
      </c>
      <c r="AF428" t="s">
        <v>43</v>
      </c>
      <c r="AG428" t="s">
        <v>43</v>
      </c>
      <c r="AH428" t="s">
        <v>43</v>
      </c>
      <c r="AI428" t="s">
        <v>43</v>
      </c>
      <c r="AJ428" t="s">
        <v>43</v>
      </c>
      <c r="AK428" t="s">
        <v>43</v>
      </c>
      <c r="AL428" t="s">
        <v>43</v>
      </c>
      <c r="AM428" t="s">
        <v>43</v>
      </c>
      <c r="AN428" t="str">
        <f>HYPERLINK("https://www.google.com/maps?q=11.05478477,79.06092072","Open Location")</f>
        <v>Open Location</v>
      </c>
    </row>
    <row r="429" spans="1:40" x14ac:dyDescent="0.3">
      <c r="A429" s="1">
        <v>46210.950115740743</v>
      </c>
      <c r="B429" t="s">
        <v>40</v>
      </c>
      <c r="C429" t="s">
        <v>41</v>
      </c>
      <c r="D429" s="1">
        <v>46210.953252314815</v>
      </c>
      <c r="E429" t="s">
        <v>42</v>
      </c>
      <c r="F429" t="s">
        <v>43</v>
      </c>
      <c r="G429" t="s">
        <v>43</v>
      </c>
      <c r="H429" t="s">
        <v>43</v>
      </c>
      <c r="I429" t="s">
        <v>239</v>
      </c>
      <c r="J429" t="s">
        <v>43</v>
      </c>
      <c r="K429" t="s">
        <v>43</v>
      </c>
      <c r="L429" t="s">
        <v>43</v>
      </c>
      <c r="M429" t="s">
        <v>43</v>
      </c>
      <c r="N429" t="s">
        <v>45</v>
      </c>
      <c r="O429" t="s">
        <v>43</v>
      </c>
      <c r="P429" t="s">
        <v>43</v>
      </c>
      <c r="Q429" t="s">
        <v>43</v>
      </c>
      <c r="R429" t="s">
        <v>43</v>
      </c>
      <c r="S429" t="s">
        <v>43</v>
      </c>
      <c r="T429" t="s">
        <v>43</v>
      </c>
      <c r="U429" t="s">
        <v>43</v>
      </c>
      <c r="V429" t="s">
        <v>43</v>
      </c>
      <c r="W429" t="s">
        <v>43</v>
      </c>
      <c r="X429" t="s">
        <v>43</v>
      </c>
      <c r="Y429" t="s">
        <v>43</v>
      </c>
      <c r="Z429" t="s">
        <v>43</v>
      </c>
      <c r="AA429" t="s">
        <v>43</v>
      </c>
      <c r="AB429" t="s">
        <v>43</v>
      </c>
      <c r="AC429" t="s">
        <v>43</v>
      </c>
      <c r="AD429" t="s">
        <v>43</v>
      </c>
      <c r="AE429" t="s">
        <v>43</v>
      </c>
      <c r="AF429" t="s">
        <v>43</v>
      </c>
      <c r="AG429" t="s">
        <v>43</v>
      </c>
      <c r="AH429" t="s">
        <v>43</v>
      </c>
      <c r="AI429" t="s">
        <v>43</v>
      </c>
      <c r="AJ429" t="s">
        <v>43</v>
      </c>
      <c r="AK429" t="s">
        <v>43</v>
      </c>
      <c r="AL429" t="s">
        <v>43</v>
      </c>
      <c r="AM429" t="s">
        <v>43</v>
      </c>
      <c r="AN429" t="str">
        <f>HYPERLINK("https://www.google.com/maps?q=11.05478573,79.06092834","Open Location")</f>
        <v>Open Location</v>
      </c>
    </row>
    <row r="430" spans="1:40" x14ac:dyDescent="0.3">
      <c r="A430" s="1">
        <v>46210.95</v>
      </c>
      <c r="B430" t="s">
        <v>40</v>
      </c>
      <c r="C430" t="s">
        <v>41</v>
      </c>
      <c r="D430" s="1">
        <v>46210.953055555554</v>
      </c>
      <c r="E430" t="s">
        <v>42</v>
      </c>
      <c r="F430" t="s">
        <v>43</v>
      </c>
      <c r="G430" t="s">
        <v>43</v>
      </c>
      <c r="H430" t="s">
        <v>43</v>
      </c>
      <c r="I430" t="s">
        <v>190</v>
      </c>
      <c r="J430" t="s">
        <v>43</v>
      </c>
      <c r="K430" t="s">
        <v>43</v>
      </c>
      <c r="L430" t="s">
        <v>43</v>
      </c>
      <c r="M430" t="s">
        <v>43</v>
      </c>
      <c r="N430" t="s">
        <v>45</v>
      </c>
      <c r="O430" t="s">
        <v>43</v>
      </c>
      <c r="P430" t="s">
        <v>43</v>
      </c>
      <c r="Q430" t="s">
        <v>43</v>
      </c>
      <c r="R430" t="s">
        <v>43</v>
      </c>
      <c r="S430" t="s">
        <v>43</v>
      </c>
      <c r="T430" t="s">
        <v>43</v>
      </c>
      <c r="U430" t="s">
        <v>43</v>
      </c>
      <c r="V430" t="s">
        <v>43</v>
      </c>
      <c r="W430" t="s">
        <v>43</v>
      </c>
      <c r="X430" t="s">
        <v>43</v>
      </c>
      <c r="Y430" t="s">
        <v>43</v>
      </c>
      <c r="Z430" t="s">
        <v>43</v>
      </c>
      <c r="AA430" t="s">
        <v>43</v>
      </c>
      <c r="AB430" t="s">
        <v>43</v>
      </c>
      <c r="AC430" t="s">
        <v>43</v>
      </c>
      <c r="AD430" t="s">
        <v>43</v>
      </c>
      <c r="AE430" t="s">
        <v>43</v>
      </c>
      <c r="AF430" t="s">
        <v>43</v>
      </c>
      <c r="AG430" t="s">
        <v>43</v>
      </c>
      <c r="AH430" t="s">
        <v>43</v>
      </c>
      <c r="AI430" t="s">
        <v>43</v>
      </c>
      <c r="AJ430" t="s">
        <v>43</v>
      </c>
      <c r="AK430" t="s">
        <v>43</v>
      </c>
      <c r="AL430" t="s">
        <v>43</v>
      </c>
      <c r="AM430" t="s">
        <v>43</v>
      </c>
      <c r="AN430" t="str">
        <f>HYPERLINK("https://www.google.com/maps?q=11.05478096,79.06092834","Open Location")</f>
        <v>Open Location</v>
      </c>
    </row>
    <row r="431" spans="1:40" x14ac:dyDescent="0.3">
      <c r="A431" s="1">
        <v>46210.949884259258</v>
      </c>
      <c r="B431" t="s">
        <v>40</v>
      </c>
      <c r="C431" t="s">
        <v>41</v>
      </c>
      <c r="D431" s="1">
        <v>46210.952893518515</v>
      </c>
      <c r="E431" t="s">
        <v>42</v>
      </c>
      <c r="F431" t="s">
        <v>43</v>
      </c>
      <c r="G431" t="s">
        <v>43</v>
      </c>
      <c r="H431" t="s">
        <v>43</v>
      </c>
      <c r="I431" t="s">
        <v>179</v>
      </c>
      <c r="J431" t="s">
        <v>43</v>
      </c>
      <c r="K431" t="s">
        <v>43</v>
      </c>
      <c r="L431" t="s">
        <v>43</v>
      </c>
      <c r="M431" t="s">
        <v>43</v>
      </c>
      <c r="N431" t="s">
        <v>45</v>
      </c>
      <c r="O431" t="s">
        <v>43</v>
      </c>
      <c r="P431" t="s">
        <v>43</v>
      </c>
      <c r="Q431" t="s">
        <v>43</v>
      </c>
      <c r="R431" t="s">
        <v>43</v>
      </c>
      <c r="S431" t="s">
        <v>43</v>
      </c>
      <c r="T431" t="s">
        <v>43</v>
      </c>
      <c r="U431" t="s">
        <v>43</v>
      </c>
      <c r="V431" t="s">
        <v>43</v>
      </c>
      <c r="W431" t="s">
        <v>43</v>
      </c>
      <c r="X431" t="s">
        <v>43</v>
      </c>
      <c r="Y431" t="s">
        <v>43</v>
      </c>
      <c r="Z431" t="s">
        <v>43</v>
      </c>
      <c r="AA431" t="s">
        <v>43</v>
      </c>
      <c r="AB431" t="s">
        <v>43</v>
      </c>
      <c r="AC431" t="s">
        <v>43</v>
      </c>
      <c r="AD431" t="s">
        <v>43</v>
      </c>
      <c r="AE431" t="s">
        <v>43</v>
      </c>
      <c r="AF431" t="s">
        <v>43</v>
      </c>
      <c r="AG431" t="s">
        <v>43</v>
      </c>
      <c r="AH431" t="s">
        <v>43</v>
      </c>
      <c r="AI431" t="s">
        <v>43</v>
      </c>
      <c r="AJ431" t="s">
        <v>43</v>
      </c>
      <c r="AK431" t="s">
        <v>43</v>
      </c>
      <c r="AL431" t="s">
        <v>43</v>
      </c>
      <c r="AM431" t="s">
        <v>43</v>
      </c>
      <c r="AN431" t="str">
        <f>HYPERLINK("https://www.google.com/maps?q=11.05477238,79.06093597","Open Location")</f>
        <v>Open Location</v>
      </c>
    </row>
    <row r="432" spans="1:40" x14ac:dyDescent="0.3">
      <c r="A432" s="1">
        <v>46210.94976851852</v>
      </c>
      <c r="B432" t="s">
        <v>40</v>
      </c>
      <c r="C432" t="s">
        <v>41</v>
      </c>
      <c r="D432" s="1">
        <v>46210.952662037038</v>
      </c>
      <c r="E432" t="s">
        <v>42</v>
      </c>
      <c r="F432" t="s">
        <v>43</v>
      </c>
      <c r="G432" t="s">
        <v>43</v>
      </c>
      <c r="H432" t="s">
        <v>43</v>
      </c>
      <c r="I432" t="s">
        <v>240</v>
      </c>
      <c r="J432" t="s">
        <v>43</v>
      </c>
      <c r="K432" t="s">
        <v>43</v>
      </c>
      <c r="L432" t="s">
        <v>43</v>
      </c>
      <c r="M432" t="s">
        <v>43</v>
      </c>
      <c r="N432" t="s">
        <v>45</v>
      </c>
      <c r="O432" t="s">
        <v>43</v>
      </c>
      <c r="P432" t="s">
        <v>43</v>
      </c>
      <c r="Q432" t="s">
        <v>43</v>
      </c>
      <c r="R432" t="s">
        <v>43</v>
      </c>
      <c r="S432" t="s">
        <v>43</v>
      </c>
      <c r="T432" t="s">
        <v>43</v>
      </c>
      <c r="U432" t="s">
        <v>43</v>
      </c>
      <c r="V432" t="s">
        <v>43</v>
      </c>
      <c r="W432" t="s">
        <v>43</v>
      </c>
      <c r="X432" t="s">
        <v>43</v>
      </c>
      <c r="Y432" t="s">
        <v>43</v>
      </c>
      <c r="Z432" t="s">
        <v>43</v>
      </c>
      <c r="AA432" t="s">
        <v>43</v>
      </c>
      <c r="AB432" t="s">
        <v>43</v>
      </c>
      <c r="AC432" t="s">
        <v>43</v>
      </c>
      <c r="AD432" t="s">
        <v>43</v>
      </c>
      <c r="AE432" t="s">
        <v>43</v>
      </c>
      <c r="AF432" t="s">
        <v>43</v>
      </c>
      <c r="AG432" t="s">
        <v>43</v>
      </c>
      <c r="AH432" t="s">
        <v>43</v>
      </c>
      <c r="AI432" t="s">
        <v>43</v>
      </c>
      <c r="AJ432" t="s">
        <v>43</v>
      </c>
      <c r="AK432" t="s">
        <v>43</v>
      </c>
      <c r="AL432" t="s">
        <v>43</v>
      </c>
      <c r="AM432" t="s">
        <v>43</v>
      </c>
      <c r="AN432" t="str">
        <f>HYPERLINK("https://www.google.com/maps?q=11.05476856,79.0609436","Open Location")</f>
        <v>Open Location</v>
      </c>
    </row>
    <row r="433" spans="1:40" x14ac:dyDescent="0.3">
      <c r="A433" s="1">
        <v>46210.949652777781</v>
      </c>
      <c r="B433" t="s">
        <v>40</v>
      </c>
      <c r="C433" t="s">
        <v>41</v>
      </c>
      <c r="D433" s="1">
        <v>46210.952743055554</v>
      </c>
      <c r="E433" t="s">
        <v>42</v>
      </c>
      <c r="F433" t="s">
        <v>43</v>
      </c>
      <c r="G433" t="s">
        <v>43</v>
      </c>
      <c r="H433" t="s">
        <v>43</v>
      </c>
      <c r="I433" t="s">
        <v>43</v>
      </c>
      <c r="J433" t="s">
        <v>43</v>
      </c>
      <c r="K433" t="s">
        <v>43</v>
      </c>
      <c r="L433" t="s">
        <v>43</v>
      </c>
      <c r="M433" t="s">
        <v>43</v>
      </c>
      <c r="N433" t="s">
        <v>45</v>
      </c>
      <c r="O433" t="s">
        <v>43</v>
      </c>
      <c r="P433" t="s">
        <v>43</v>
      </c>
      <c r="Q433" t="s">
        <v>43</v>
      </c>
      <c r="R433" t="s">
        <v>43</v>
      </c>
      <c r="S433" t="s">
        <v>43</v>
      </c>
      <c r="T433" t="s">
        <v>43</v>
      </c>
      <c r="U433" t="s">
        <v>43</v>
      </c>
      <c r="V433" t="s">
        <v>43</v>
      </c>
      <c r="W433" t="s">
        <v>43</v>
      </c>
      <c r="X433" t="s">
        <v>43</v>
      </c>
      <c r="Y433" t="s">
        <v>43</v>
      </c>
      <c r="Z433" t="s">
        <v>43</v>
      </c>
      <c r="AA433" t="s">
        <v>43</v>
      </c>
      <c r="AB433" t="s">
        <v>43</v>
      </c>
      <c r="AC433" t="s">
        <v>43</v>
      </c>
      <c r="AD433" t="s">
        <v>43</v>
      </c>
      <c r="AE433" t="s">
        <v>43</v>
      </c>
      <c r="AF433" t="s">
        <v>43</v>
      </c>
      <c r="AG433" t="s">
        <v>43</v>
      </c>
      <c r="AH433" t="s">
        <v>43</v>
      </c>
      <c r="AI433" t="s">
        <v>43</v>
      </c>
      <c r="AJ433" t="s">
        <v>43</v>
      </c>
      <c r="AK433" t="s">
        <v>43</v>
      </c>
      <c r="AL433" t="s">
        <v>43</v>
      </c>
      <c r="AM433" t="s">
        <v>43</v>
      </c>
      <c r="AN433" t="s">
        <v>43</v>
      </c>
    </row>
    <row r="434" spans="1:40" x14ac:dyDescent="0.3">
      <c r="A434" s="1">
        <v>46210.949537037035</v>
      </c>
      <c r="B434" t="s">
        <v>40</v>
      </c>
      <c r="C434" t="s">
        <v>41</v>
      </c>
      <c r="D434" s="1">
        <v>46210.952476851853</v>
      </c>
      <c r="E434" t="s">
        <v>42</v>
      </c>
      <c r="F434" t="s">
        <v>43</v>
      </c>
      <c r="G434" t="s">
        <v>43</v>
      </c>
      <c r="H434" t="s">
        <v>43</v>
      </c>
      <c r="I434" t="s">
        <v>164</v>
      </c>
      <c r="J434" t="s">
        <v>43</v>
      </c>
      <c r="K434" t="s">
        <v>43</v>
      </c>
      <c r="L434" t="s">
        <v>43</v>
      </c>
      <c r="M434" t="s">
        <v>43</v>
      </c>
      <c r="N434" t="s">
        <v>45</v>
      </c>
      <c r="O434" t="s">
        <v>43</v>
      </c>
      <c r="P434" t="s">
        <v>43</v>
      </c>
      <c r="Q434" t="s">
        <v>43</v>
      </c>
      <c r="R434" t="s">
        <v>43</v>
      </c>
      <c r="S434" t="s">
        <v>43</v>
      </c>
      <c r="T434" t="s">
        <v>43</v>
      </c>
      <c r="U434" t="s">
        <v>43</v>
      </c>
      <c r="V434" t="s">
        <v>43</v>
      </c>
      <c r="W434" t="s">
        <v>43</v>
      </c>
      <c r="X434" t="s">
        <v>43</v>
      </c>
      <c r="Y434" t="s">
        <v>43</v>
      </c>
      <c r="Z434" t="s">
        <v>43</v>
      </c>
      <c r="AA434" t="s">
        <v>43</v>
      </c>
      <c r="AB434" t="s">
        <v>43</v>
      </c>
      <c r="AC434" t="s">
        <v>43</v>
      </c>
      <c r="AD434" t="s">
        <v>43</v>
      </c>
      <c r="AE434" t="s">
        <v>43</v>
      </c>
      <c r="AF434" t="s">
        <v>43</v>
      </c>
      <c r="AG434" t="s">
        <v>43</v>
      </c>
      <c r="AH434" t="s">
        <v>43</v>
      </c>
      <c r="AI434" t="s">
        <v>43</v>
      </c>
      <c r="AJ434" t="s">
        <v>43</v>
      </c>
      <c r="AK434" t="s">
        <v>43</v>
      </c>
      <c r="AL434" t="s">
        <v>43</v>
      </c>
      <c r="AM434" t="s">
        <v>43</v>
      </c>
      <c r="AN434" t="str">
        <f>HYPERLINK("https://www.google.com/maps?q=11.05476189,79.0609436","Open Location")</f>
        <v>Open Location</v>
      </c>
    </row>
    <row r="435" spans="1:40" x14ac:dyDescent="0.3">
      <c r="A435" s="1">
        <v>46210.949421296296</v>
      </c>
      <c r="B435" t="s">
        <v>40</v>
      </c>
      <c r="C435" t="s">
        <v>41</v>
      </c>
      <c r="D435" s="1">
        <v>46210.952291666668</v>
      </c>
      <c r="E435" t="s">
        <v>42</v>
      </c>
      <c r="F435" t="s">
        <v>43</v>
      </c>
      <c r="G435" t="s">
        <v>43</v>
      </c>
      <c r="H435" t="s">
        <v>43</v>
      </c>
      <c r="I435" t="s">
        <v>223</v>
      </c>
      <c r="J435" t="s">
        <v>43</v>
      </c>
      <c r="K435" t="s">
        <v>43</v>
      </c>
      <c r="L435" t="s">
        <v>43</v>
      </c>
      <c r="M435" t="s">
        <v>43</v>
      </c>
      <c r="N435" t="s">
        <v>45</v>
      </c>
      <c r="O435" t="s">
        <v>43</v>
      </c>
      <c r="P435" t="s">
        <v>43</v>
      </c>
      <c r="Q435" t="s">
        <v>43</v>
      </c>
      <c r="R435" t="s">
        <v>43</v>
      </c>
      <c r="S435" t="s">
        <v>43</v>
      </c>
      <c r="T435" t="s">
        <v>43</v>
      </c>
      <c r="U435" t="s">
        <v>43</v>
      </c>
      <c r="V435" t="s">
        <v>43</v>
      </c>
      <c r="W435" t="s">
        <v>43</v>
      </c>
      <c r="X435" t="s">
        <v>43</v>
      </c>
      <c r="Y435" t="s">
        <v>43</v>
      </c>
      <c r="Z435" t="s">
        <v>43</v>
      </c>
      <c r="AA435" t="s">
        <v>43</v>
      </c>
      <c r="AB435" t="s">
        <v>43</v>
      </c>
      <c r="AC435" t="s">
        <v>43</v>
      </c>
      <c r="AD435" t="s">
        <v>43</v>
      </c>
      <c r="AE435" t="s">
        <v>43</v>
      </c>
      <c r="AF435" t="s">
        <v>43</v>
      </c>
      <c r="AG435" t="s">
        <v>43</v>
      </c>
      <c r="AH435" t="s">
        <v>43</v>
      </c>
      <c r="AI435" t="s">
        <v>43</v>
      </c>
      <c r="AJ435" t="s">
        <v>43</v>
      </c>
      <c r="AK435" t="s">
        <v>43</v>
      </c>
      <c r="AL435" t="s">
        <v>43</v>
      </c>
      <c r="AM435" t="s">
        <v>43</v>
      </c>
      <c r="AN435" t="str">
        <f>HYPERLINK("https://www.google.com/maps?q=11.05475903,79.0609436","Open Location")</f>
        <v>Open Location</v>
      </c>
    </row>
    <row r="436" spans="1:40" x14ac:dyDescent="0.3">
      <c r="A436" s="1">
        <v>46210.949305555558</v>
      </c>
      <c r="B436" t="s">
        <v>40</v>
      </c>
      <c r="C436" t="s">
        <v>41</v>
      </c>
      <c r="D436" s="1">
        <v>46210.95244212963</v>
      </c>
      <c r="E436" t="s">
        <v>42</v>
      </c>
      <c r="F436" t="s">
        <v>43</v>
      </c>
      <c r="G436" t="s">
        <v>43</v>
      </c>
      <c r="H436" t="s">
        <v>43</v>
      </c>
      <c r="I436" t="s">
        <v>165</v>
      </c>
      <c r="J436" t="s">
        <v>43</v>
      </c>
      <c r="K436" t="s">
        <v>43</v>
      </c>
      <c r="L436" t="s">
        <v>43</v>
      </c>
      <c r="M436" t="s">
        <v>43</v>
      </c>
      <c r="N436" t="s">
        <v>45</v>
      </c>
      <c r="O436" t="s">
        <v>43</v>
      </c>
      <c r="P436" t="s">
        <v>43</v>
      </c>
      <c r="Q436" t="s">
        <v>43</v>
      </c>
      <c r="R436" t="s">
        <v>43</v>
      </c>
      <c r="S436" t="s">
        <v>43</v>
      </c>
      <c r="T436" t="s">
        <v>43</v>
      </c>
      <c r="U436" t="s">
        <v>43</v>
      </c>
      <c r="V436" t="s">
        <v>43</v>
      </c>
      <c r="W436" t="s">
        <v>43</v>
      </c>
      <c r="X436" t="s">
        <v>43</v>
      </c>
      <c r="Y436" t="s">
        <v>43</v>
      </c>
      <c r="Z436" t="s">
        <v>43</v>
      </c>
      <c r="AA436" t="s">
        <v>43</v>
      </c>
      <c r="AB436" t="s">
        <v>43</v>
      </c>
      <c r="AC436" t="s">
        <v>43</v>
      </c>
      <c r="AD436" t="s">
        <v>43</v>
      </c>
      <c r="AE436" t="s">
        <v>43</v>
      </c>
      <c r="AF436" t="s">
        <v>43</v>
      </c>
      <c r="AG436" t="s">
        <v>43</v>
      </c>
      <c r="AH436" t="s">
        <v>43</v>
      </c>
      <c r="AI436" t="s">
        <v>43</v>
      </c>
      <c r="AJ436" t="s">
        <v>43</v>
      </c>
      <c r="AK436" t="s">
        <v>43</v>
      </c>
      <c r="AL436" t="s">
        <v>43</v>
      </c>
      <c r="AM436" t="s">
        <v>43</v>
      </c>
      <c r="AN436" t="str">
        <f>HYPERLINK("https://www.google.com/maps?q=11.05476284,79.0609436","Open Location")</f>
        <v>Open Location</v>
      </c>
    </row>
    <row r="437" spans="1:40" x14ac:dyDescent="0.3">
      <c r="A437" s="1">
        <v>46210.949189814812</v>
      </c>
      <c r="B437" t="s">
        <v>40</v>
      </c>
      <c r="C437" t="s">
        <v>41</v>
      </c>
      <c r="D437" s="1">
        <v>46210.952037037037</v>
      </c>
      <c r="E437" t="s">
        <v>42</v>
      </c>
      <c r="F437" t="s">
        <v>43</v>
      </c>
      <c r="G437" t="s">
        <v>43</v>
      </c>
      <c r="H437" t="s">
        <v>43</v>
      </c>
      <c r="I437" t="s">
        <v>218</v>
      </c>
      <c r="J437" t="s">
        <v>43</v>
      </c>
      <c r="K437" t="s">
        <v>43</v>
      </c>
      <c r="L437" t="s">
        <v>43</v>
      </c>
      <c r="M437" t="s">
        <v>43</v>
      </c>
      <c r="N437" t="s">
        <v>45</v>
      </c>
      <c r="O437" t="s">
        <v>43</v>
      </c>
      <c r="P437" t="s">
        <v>43</v>
      </c>
      <c r="Q437" t="s">
        <v>43</v>
      </c>
      <c r="R437" t="s">
        <v>43</v>
      </c>
      <c r="S437" t="s">
        <v>43</v>
      </c>
      <c r="T437" t="s">
        <v>43</v>
      </c>
      <c r="U437" t="s">
        <v>43</v>
      </c>
      <c r="V437" t="s">
        <v>43</v>
      </c>
      <c r="W437" t="s">
        <v>43</v>
      </c>
      <c r="X437" t="s">
        <v>43</v>
      </c>
      <c r="Y437" t="s">
        <v>43</v>
      </c>
      <c r="Z437" t="s">
        <v>43</v>
      </c>
      <c r="AA437" t="s">
        <v>43</v>
      </c>
      <c r="AB437" t="s">
        <v>43</v>
      </c>
      <c r="AC437" t="s">
        <v>43</v>
      </c>
      <c r="AD437" t="s">
        <v>43</v>
      </c>
      <c r="AE437" t="s">
        <v>43</v>
      </c>
      <c r="AF437" t="s">
        <v>43</v>
      </c>
      <c r="AG437" t="s">
        <v>43</v>
      </c>
      <c r="AH437" t="s">
        <v>43</v>
      </c>
      <c r="AI437" t="s">
        <v>43</v>
      </c>
      <c r="AJ437" t="s">
        <v>43</v>
      </c>
      <c r="AK437" t="s">
        <v>43</v>
      </c>
      <c r="AL437" t="s">
        <v>43</v>
      </c>
      <c r="AM437" t="s">
        <v>43</v>
      </c>
      <c r="AN437" t="str">
        <f>HYPERLINK("https://www.google.com/maps?q=11.05476379,79.0609436","Open Location")</f>
        <v>Open Location</v>
      </c>
    </row>
    <row r="438" spans="1:40" x14ac:dyDescent="0.3">
      <c r="A438" s="1">
        <v>46210.949074074073</v>
      </c>
      <c r="B438" t="s">
        <v>40</v>
      </c>
      <c r="C438" t="s">
        <v>41</v>
      </c>
      <c r="D438" s="1">
        <v>46210.951956018522</v>
      </c>
      <c r="E438" t="s">
        <v>42</v>
      </c>
      <c r="F438" t="s">
        <v>43</v>
      </c>
      <c r="G438" t="s">
        <v>43</v>
      </c>
      <c r="H438" t="s">
        <v>43</v>
      </c>
      <c r="I438" t="s">
        <v>205</v>
      </c>
      <c r="J438" t="s">
        <v>43</v>
      </c>
      <c r="K438" t="s">
        <v>43</v>
      </c>
      <c r="L438" t="s">
        <v>43</v>
      </c>
      <c r="M438" t="s">
        <v>43</v>
      </c>
      <c r="N438" t="s">
        <v>45</v>
      </c>
      <c r="O438" t="s">
        <v>43</v>
      </c>
      <c r="P438" t="s">
        <v>43</v>
      </c>
      <c r="Q438" t="s">
        <v>43</v>
      </c>
      <c r="R438" t="s">
        <v>43</v>
      </c>
      <c r="S438" t="s">
        <v>43</v>
      </c>
      <c r="T438" t="s">
        <v>43</v>
      </c>
      <c r="U438" t="s">
        <v>43</v>
      </c>
      <c r="V438" t="s">
        <v>43</v>
      </c>
      <c r="W438" t="s">
        <v>43</v>
      </c>
      <c r="X438" t="s">
        <v>43</v>
      </c>
      <c r="Y438" t="s">
        <v>43</v>
      </c>
      <c r="Z438" t="s">
        <v>43</v>
      </c>
      <c r="AA438" t="s">
        <v>43</v>
      </c>
      <c r="AB438" t="s">
        <v>43</v>
      </c>
      <c r="AC438" t="s">
        <v>43</v>
      </c>
      <c r="AD438" t="s">
        <v>43</v>
      </c>
      <c r="AE438" t="s">
        <v>43</v>
      </c>
      <c r="AF438" t="s">
        <v>43</v>
      </c>
      <c r="AG438" t="s">
        <v>43</v>
      </c>
      <c r="AH438" t="s">
        <v>43</v>
      </c>
      <c r="AI438" t="s">
        <v>43</v>
      </c>
      <c r="AJ438" t="s">
        <v>43</v>
      </c>
      <c r="AK438" t="s">
        <v>43</v>
      </c>
      <c r="AL438" t="s">
        <v>43</v>
      </c>
      <c r="AM438" t="s">
        <v>43</v>
      </c>
      <c r="AN438" t="str">
        <f>HYPERLINK("https://www.google.com/maps?q=11.05475998,79.0609436","Open Location")</f>
        <v>Open Location</v>
      </c>
    </row>
    <row r="439" spans="1:40" x14ac:dyDescent="0.3">
      <c r="A439" s="1">
        <v>46210.948958333334</v>
      </c>
      <c r="B439" t="s">
        <v>40</v>
      </c>
      <c r="C439" t="s">
        <v>41</v>
      </c>
      <c r="D439" s="1">
        <v>46210.951689814814</v>
      </c>
      <c r="E439" t="s">
        <v>42</v>
      </c>
      <c r="F439" t="s">
        <v>43</v>
      </c>
      <c r="G439" t="s">
        <v>43</v>
      </c>
      <c r="H439" t="s">
        <v>43</v>
      </c>
      <c r="I439" t="s">
        <v>43</v>
      </c>
      <c r="J439" t="s">
        <v>43</v>
      </c>
      <c r="K439" t="s">
        <v>43</v>
      </c>
      <c r="L439" t="s">
        <v>43</v>
      </c>
      <c r="M439" t="s">
        <v>43</v>
      </c>
      <c r="N439" t="s">
        <v>45</v>
      </c>
      <c r="O439" t="s">
        <v>43</v>
      </c>
      <c r="P439" t="s">
        <v>43</v>
      </c>
      <c r="Q439" t="s">
        <v>43</v>
      </c>
      <c r="R439" t="s">
        <v>43</v>
      </c>
      <c r="S439" t="s">
        <v>43</v>
      </c>
      <c r="T439" t="s">
        <v>43</v>
      </c>
      <c r="U439" t="s">
        <v>43</v>
      </c>
      <c r="V439" t="s">
        <v>43</v>
      </c>
      <c r="W439" t="s">
        <v>43</v>
      </c>
      <c r="X439" t="s">
        <v>43</v>
      </c>
      <c r="Y439" t="s">
        <v>43</v>
      </c>
      <c r="Z439" t="s">
        <v>43</v>
      </c>
      <c r="AA439" t="s">
        <v>43</v>
      </c>
      <c r="AB439" t="s">
        <v>43</v>
      </c>
      <c r="AC439" t="s">
        <v>43</v>
      </c>
      <c r="AD439" t="s">
        <v>43</v>
      </c>
      <c r="AE439" t="s">
        <v>43</v>
      </c>
      <c r="AF439" t="s">
        <v>43</v>
      </c>
      <c r="AG439" t="s">
        <v>43</v>
      </c>
      <c r="AH439" t="s">
        <v>43</v>
      </c>
      <c r="AI439" t="s">
        <v>43</v>
      </c>
      <c r="AJ439" t="s">
        <v>43</v>
      </c>
      <c r="AK439" t="s">
        <v>43</v>
      </c>
      <c r="AL439" t="s">
        <v>43</v>
      </c>
      <c r="AM439" t="s">
        <v>43</v>
      </c>
      <c r="AN439" t="s">
        <v>43</v>
      </c>
    </row>
    <row r="440" spans="1:40" x14ac:dyDescent="0.3">
      <c r="A440" s="1">
        <v>46210.948842592596</v>
      </c>
      <c r="B440" t="s">
        <v>40</v>
      </c>
      <c r="C440" t="s">
        <v>41</v>
      </c>
      <c r="D440" s="1">
        <v>46210.951956018522</v>
      </c>
      <c r="E440" t="s">
        <v>42</v>
      </c>
      <c r="F440" t="s">
        <v>43</v>
      </c>
      <c r="G440" t="s">
        <v>43</v>
      </c>
      <c r="H440" t="s">
        <v>43</v>
      </c>
      <c r="I440" t="s">
        <v>214</v>
      </c>
      <c r="J440" t="s">
        <v>43</v>
      </c>
      <c r="K440" t="s">
        <v>43</v>
      </c>
      <c r="L440" t="s">
        <v>43</v>
      </c>
      <c r="M440" t="s">
        <v>43</v>
      </c>
      <c r="N440" t="s">
        <v>45</v>
      </c>
      <c r="O440" t="s">
        <v>43</v>
      </c>
      <c r="P440" t="s">
        <v>43</v>
      </c>
      <c r="Q440" t="s">
        <v>43</v>
      </c>
      <c r="R440" t="s">
        <v>43</v>
      </c>
      <c r="S440" t="s">
        <v>43</v>
      </c>
      <c r="T440" t="s">
        <v>43</v>
      </c>
      <c r="U440" t="s">
        <v>43</v>
      </c>
      <c r="V440" t="s">
        <v>43</v>
      </c>
      <c r="W440" t="s">
        <v>43</v>
      </c>
      <c r="X440" t="s">
        <v>43</v>
      </c>
      <c r="Y440" t="s">
        <v>43</v>
      </c>
      <c r="Z440" t="s">
        <v>43</v>
      </c>
      <c r="AA440" t="s">
        <v>43</v>
      </c>
      <c r="AB440" t="s">
        <v>43</v>
      </c>
      <c r="AC440" t="s">
        <v>43</v>
      </c>
      <c r="AD440" t="s">
        <v>43</v>
      </c>
      <c r="AE440" t="s">
        <v>43</v>
      </c>
      <c r="AF440" t="s">
        <v>43</v>
      </c>
      <c r="AG440" t="s">
        <v>43</v>
      </c>
      <c r="AH440" t="s">
        <v>43</v>
      </c>
      <c r="AI440" t="s">
        <v>43</v>
      </c>
      <c r="AJ440" t="s">
        <v>43</v>
      </c>
      <c r="AK440" t="s">
        <v>43</v>
      </c>
      <c r="AL440" t="s">
        <v>43</v>
      </c>
      <c r="AM440" t="s">
        <v>43</v>
      </c>
      <c r="AN440" t="str">
        <f>HYPERLINK("https://www.google.com/maps?q=11.05475903,79.06095123","Open Location")</f>
        <v>Open Location</v>
      </c>
    </row>
    <row r="441" spans="1:40" x14ac:dyDescent="0.3">
      <c r="A441" s="1">
        <v>46210.94872685185</v>
      </c>
      <c r="B441" t="s">
        <v>40</v>
      </c>
      <c r="C441" t="s">
        <v>41</v>
      </c>
      <c r="D441" s="1">
        <v>46210.951574074075</v>
      </c>
      <c r="E441" t="s">
        <v>42</v>
      </c>
      <c r="F441" t="s">
        <v>43</v>
      </c>
      <c r="G441" t="s">
        <v>43</v>
      </c>
      <c r="H441" t="s">
        <v>43</v>
      </c>
      <c r="I441" t="s">
        <v>241</v>
      </c>
      <c r="J441" t="s">
        <v>43</v>
      </c>
      <c r="K441" t="s">
        <v>43</v>
      </c>
      <c r="L441" t="s">
        <v>43</v>
      </c>
      <c r="M441" t="s">
        <v>43</v>
      </c>
      <c r="N441" t="s">
        <v>45</v>
      </c>
      <c r="O441" t="s">
        <v>43</v>
      </c>
      <c r="P441" t="s">
        <v>43</v>
      </c>
      <c r="Q441" t="s">
        <v>43</v>
      </c>
      <c r="R441" t="s">
        <v>43</v>
      </c>
      <c r="S441" t="s">
        <v>43</v>
      </c>
      <c r="T441" t="s">
        <v>43</v>
      </c>
      <c r="U441" t="s">
        <v>43</v>
      </c>
      <c r="V441" t="s">
        <v>43</v>
      </c>
      <c r="W441" t="s">
        <v>43</v>
      </c>
      <c r="X441" t="s">
        <v>43</v>
      </c>
      <c r="Y441" t="s">
        <v>43</v>
      </c>
      <c r="Z441" t="s">
        <v>43</v>
      </c>
      <c r="AA441" t="s">
        <v>43</v>
      </c>
      <c r="AB441" t="s">
        <v>43</v>
      </c>
      <c r="AC441" t="s">
        <v>43</v>
      </c>
      <c r="AD441" t="s">
        <v>43</v>
      </c>
      <c r="AE441" t="s">
        <v>43</v>
      </c>
      <c r="AF441" t="s">
        <v>43</v>
      </c>
      <c r="AG441" t="s">
        <v>43</v>
      </c>
      <c r="AH441" t="s">
        <v>43</v>
      </c>
      <c r="AI441" t="s">
        <v>43</v>
      </c>
      <c r="AJ441" t="s">
        <v>43</v>
      </c>
      <c r="AK441" t="s">
        <v>43</v>
      </c>
      <c r="AL441" t="s">
        <v>43</v>
      </c>
      <c r="AM441" t="s">
        <v>43</v>
      </c>
      <c r="AN441" t="str">
        <f>HYPERLINK("https://www.google.com/maps?q=11.05476093,79.06095123","Open Location")</f>
        <v>Open Location</v>
      </c>
    </row>
    <row r="442" spans="1:40" x14ac:dyDescent="0.3">
      <c r="A442" s="1">
        <v>46210.948611111111</v>
      </c>
      <c r="B442" t="s">
        <v>40</v>
      </c>
      <c r="C442" t="s">
        <v>41</v>
      </c>
      <c r="D442" s="1">
        <v>46210.951562499999</v>
      </c>
      <c r="E442" t="s">
        <v>42</v>
      </c>
      <c r="F442" t="s">
        <v>43</v>
      </c>
      <c r="G442" t="s">
        <v>43</v>
      </c>
      <c r="H442" t="s">
        <v>43</v>
      </c>
      <c r="I442" t="s">
        <v>212</v>
      </c>
      <c r="J442" t="s">
        <v>43</v>
      </c>
      <c r="K442" t="s">
        <v>43</v>
      </c>
      <c r="L442" t="s">
        <v>43</v>
      </c>
      <c r="M442" t="s">
        <v>43</v>
      </c>
      <c r="N442" t="s">
        <v>45</v>
      </c>
      <c r="O442" t="s">
        <v>43</v>
      </c>
      <c r="P442" t="s">
        <v>43</v>
      </c>
      <c r="Q442" t="s">
        <v>43</v>
      </c>
      <c r="R442" t="s">
        <v>43</v>
      </c>
      <c r="S442" t="s">
        <v>43</v>
      </c>
      <c r="T442" t="s">
        <v>43</v>
      </c>
      <c r="U442" t="s">
        <v>43</v>
      </c>
      <c r="V442" t="s">
        <v>43</v>
      </c>
      <c r="W442" t="s">
        <v>43</v>
      </c>
      <c r="X442" t="s">
        <v>43</v>
      </c>
      <c r="Y442" t="s">
        <v>43</v>
      </c>
      <c r="Z442" t="s">
        <v>43</v>
      </c>
      <c r="AA442" t="s">
        <v>43</v>
      </c>
      <c r="AB442" t="s">
        <v>43</v>
      </c>
      <c r="AC442" t="s">
        <v>43</v>
      </c>
      <c r="AD442" t="s">
        <v>43</v>
      </c>
      <c r="AE442" t="s">
        <v>43</v>
      </c>
      <c r="AF442" t="s">
        <v>43</v>
      </c>
      <c r="AG442" t="s">
        <v>43</v>
      </c>
      <c r="AH442" t="s">
        <v>43</v>
      </c>
      <c r="AI442" t="s">
        <v>43</v>
      </c>
      <c r="AJ442" t="s">
        <v>43</v>
      </c>
      <c r="AK442" t="s">
        <v>43</v>
      </c>
      <c r="AL442" t="s">
        <v>43</v>
      </c>
      <c r="AM442" t="s">
        <v>43</v>
      </c>
      <c r="AN442" t="str">
        <f>HYPERLINK("https://www.google.com/maps?q=11.05476475,79.06095123","Open Location")</f>
        <v>Open Location</v>
      </c>
    </row>
    <row r="443" spans="1:40" x14ac:dyDescent="0.3">
      <c r="A443" s="1">
        <v>46210.948495370372</v>
      </c>
      <c r="B443" t="s">
        <v>40</v>
      </c>
      <c r="C443" t="s">
        <v>41</v>
      </c>
      <c r="D443" s="1">
        <v>46210.951319444444</v>
      </c>
      <c r="E443" t="s">
        <v>42</v>
      </c>
      <c r="F443" t="s">
        <v>43</v>
      </c>
      <c r="G443" t="s">
        <v>43</v>
      </c>
      <c r="H443" t="s">
        <v>43</v>
      </c>
      <c r="I443" t="s">
        <v>242</v>
      </c>
      <c r="J443" t="s">
        <v>43</v>
      </c>
      <c r="K443" t="s">
        <v>43</v>
      </c>
      <c r="L443" t="s">
        <v>43</v>
      </c>
      <c r="M443" t="s">
        <v>43</v>
      </c>
      <c r="N443" t="s">
        <v>45</v>
      </c>
      <c r="O443" t="s">
        <v>43</v>
      </c>
      <c r="P443" t="s">
        <v>43</v>
      </c>
      <c r="Q443" t="s">
        <v>43</v>
      </c>
      <c r="R443" t="s">
        <v>43</v>
      </c>
      <c r="S443" t="s">
        <v>43</v>
      </c>
      <c r="T443" t="s">
        <v>43</v>
      </c>
      <c r="U443" t="s">
        <v>43</v>
      </c>
      <c r="V443" t="s">
        <v>43</v>
      </c>
      <c r="W443" t="s">
        <v>43</v>
      </c>
      <c r="X443" t="s">
        <v>43</v>
      </c>
      <c r="Y443" t="s">
        <v>43</v>
      </c>
      <c r="Z443" t="s">
        <v>43</v>
      </c>
      <c r="AA443" t="s">
        <v>43</v>
      </c>
      <c r="AB443" t="s">
        <v>43</v>
      </c>
      <c r="AC443" t="s">
        <v>43</v>
      </c>
      <c r="AD443" t="s">
        <v>43</v>
      </c>
      <c r="AE443" t="s">
        <v>43</v>
      </c>
      <c r="AF443" t="s">
        <v>43</v>
      </c>
      <c r="AG443" t="s">
        <v>43</v>
      </c>
      <c r="AH443" t="s">
        <v>43</v>
      </c>
      <c r="AI443" t="s">
        <v>43</v>
      </c>
      <c r="AJ443" t="s">
        <v>43</v>
      </c>
      <c r="AK443" t="s">
        <v>43</v>
      </c>
      <c r="AL443" t="s">
        <v>43</v>
      </c>
      <c r="AM443" t="s">
        <v>43</v>
      </c>
      <c r="AN443" t="str">
        <f>HYPERLINK("https://www.google.com/maps?q=11.05476189,79.06095123","Open Location")</f>
        <v>Open Location</v>
      </c>
    </row>
    <row r="444" spans="1:40" x14ac:dyDescent="0.3">
      <c r="A444" s="1">
        <v>46210.948379629626</v>
      </c>
      <c r="B444" t="s">
        <v>40</v>
      </c>
      <c r="C444" t="s">
        <v>41</v>
      </c>
      <c r="D444" s="1">
        <v>46210.951574074075</v>
      </c>
      <c r="E444" t="s">
        <v>42</v>
      </c>
      <c r="F444" t="s">
        <v>43</v>
      </c>
      <c r="G444" t="s">
        <v>43</v>
      </c>
      <c r="H444" t="s">
        <v>43</v>
      </c>
      <c r="I444" t="s">
        <v>131</v>
      </c>
      <c r="J444" t="s">
        <v>43</v>
      </c>
      <c r="K444" t="s">
        <v>43</v>
      </c>
      <c r="L444" t="s">
        <v>43</v>
      </c>
      <c r="M444" t="s">
        <v>43</v>
      </c>
      <c r="N444" t="s">
        <v>45</v>
      </c>
      <c r="O444" t="s">
        <v>43</v>
      </c>
      <c r="P444" t="s">
        <v>43</v>
      </c>
      <c r="Q444" t="s">
        <v>43</v>
      </c>
      <c r="R444" t="s">
        <v>43</v>
      </c>
      <c r="S444" t="s">
        <v>43</v>
      </c>
      <c r="T444" t="s">
        <v>43</v>
      </c>
      <c r="U444" t="s">
        <v>43</v>
      </c>
      <c r="V444" t="s">
        <v>43</v>
      </c>
      <c r="W444" t="s">
        <v>43</v>
      </c>
      <c r="X444" t="s">
        <v>43</v>
      </c>
      <c r="Y444" t="s">
        <v>43</v>
      </c>
      <c r="Z444" t="s">
        <v>43</v>
      </c>
      <c r="AA444" t="s">
        <v>43</v>
      </c>
      <c r="AB444" t="s">
        <v>43</v>
      </c>
      <c r="AC444" t="s">
        <v>43</v>
      </c>
      <c r="AD444" t="s">
        <v>43</v>
      </c>
      <c r="AE444" t="s">
        <v>43</v>
      </c>
      <c r="AF444" t="s">
        <v>43</v>
      </c>
      <c r="AG444" t="s">
        <v>43</v>
      </c>
      <c r="AH444" t="s">
        <v>43</v>
      </c>
      <c r="AI444" t="s">
        <v>43</v>
      </c>
      <c r="AJ444" t="s">
        <v>43</v>
      </c>
      <c r="AK444" t="s">
        <v>43</v>
      </c>
      <c r="AL444" t="s">
        <v>43</v>
      </c>
      <c r="AM444" t="s">
        <v>43</v>
      </c>
      <c r="AN444" t="str">
        <f>HYPERLINK("https://www.google.com/maps?q=11.05476189,79.06095886","Open Location")</f>
        <v>Open Location</v>
      </c>
    </row>
    <row r="445" spans="1:40" x14ac:dyDescent="0.3">
      <c r="A445" s="1">
        <v>46210.948263888888</v>
      </c>
      <c r="B445" t="s">
        <v>40</v>
      </c>
      <c r="C445" t="s">
        <v>41</v>
      </c>
      <c r="D445" s="1">
        <v>46210.95108796296</v>
      </c>
      <c r="E445" t="s">
        <v>42</v>
      </c>
      <c r="F445" t="s">
        <v>43</v>
      </c>
      <c r="G445" t="s">
        <v>43</v>
      </c>
      <c r="H445" t="s">
        <v>43</v>
      </c>
      <c r="I445" t="s">
        <v>43</v>
      </c>
      <c r="J445" t="s">
        <v>43</v>
      </c>
      <c r="K445" t="s">
        <v>43</v>
      </c>
      <c r="L445" t="s">
        <v>43</v>
      </c>
      <c r="M445" t="s">
        <v>43</v>
      </c>
      <c r="N445" t="s">
        <v>45</v>
      </c>
      <c r="O445" t="s">
        <v>43</v>
      </c>
      <c r="P445" t="s">
        <v>43</v>
      </c>
      <c r="Q445" t="s">
        <v>43</v>
      </c>
      <c r="R445" t="s">
        <v>43</v>
      </c>
      <c r="S445" t="s">
        <v>43</v>
      </c>
      <c r="T445" t="s">
        <v>43</v>
      </c>
      <c r="U445" t="s">
        <v>43</v>
      </c>
      <c r="V445" t="s">
        <v>43</v>
      </c>
      <c r="W445" t="s">
        <v>43</v>
      </c>
      <c r="X445" t="s">
        <v>43</v>
      </c>
      <c r="Y445" t="s">
        <v>43</v>
      </c>
      <c r="Z445" t="s">
        <v>43</v>
      </c>
      <c r="AA445" t="s">
        <v>43</v>
      </c>
      <c r="AB445" t="s">
        <v>43</v>
      </c>
      <c r="AC445" t="s">
        <v>43</v>
      </c>
      <c r="AD445" t="s">
        <v>43</v>
      </c>
      <c r="AE445" t="s">
        <v>43</v>
      </c>
      <c r="AF445" t="s">
        <v>43</v>
      </c>
      <c r="AG445" t="s">
        <v>43</v>
      </c>
      <c r="AH445" t="s">
        <v>43</v>
      </c>
      <c r="AI445" t="s">
        <v>43</v>
      </c>
      <c r="AJ445" t="s">
        <v>43</v>
      </c>
      <c r="AK445" t="s">
        <v>43</v>
      </c>
      <c r="AL445" t="s">
        <v>43</v>
      </c>
      <c r="AM445" t="s">
        <v>43</v>
      </c>
      <c r="AN445" t="s">
        <v>43</v>
      </c>
    </row>
    <row r="446" spans="1:40" x14ac:dyDescent="0.3">
      <c r="A446" s="1">
        <v>46210.948148148149</v>
      </c>
      <c r="B446" t="s">
        <v>40</v>
      </c>
      <c r="C446" t="s">
        <v>41</v>
      </c>
      <c r="D446" s="1">
        <v>46210.951238425929</v>
      </c>
      <c r="E446" t="s">
        <v>42</v>
      </c>
      <c r="F446" t="s">
        <v>43</v>
      </c>
      <c r="G446" t="s">
        <v>43</v>
      </c>
      <c r="H446" t="s">
        <v>43</v>
      </c>
      <c r="I446" t="s">
        <v>94</v>
      </c>
      <c r="J446" t="s">
        <v>43</v>
      </c>
      <c r="K446" t="s">
        <v>43</v>
      </c>
      <c r="L446" t="s">
        <v>43</v>
      </c>
      <c r="M446" t="s">
        <v>43</v>
      </c>
      <c r="N446" t="s">
        <v>45</v>
      </c>
      <c r="O446" t="s">
        <v>43</v>
      </c>
      <c r="P446" t="s">
        <v>43</v>
      </c>
      <c r="Q446" t="s">
        <v>43</v>
      </c>
      <c r="R446" t="s">
        <v>43</v>
      </c>
      <c r="S446" t="s">
        <v>43</v>
      </c>
      <c r="T446" t="s">
        <v>43</v>
      </c>
      <c r="U446" t="s">
        <v>43</v>
      </c>
      <c r="V446" t="s">
        <v>43</v>
      </c>
      <c r="W446" t="s">
        <v>43</v>
      </c>
      <c r="X446" t="s">
        <v>43</v>
      </c>
      <c r="Y446" t="s">
        <v>43</v>
      </c>
      <c r="Z446" t="s">
        <v>43</v>
      </c>
      <c r="AA446" t="s">
        <v>43</v>
      </c>
      <c r="AB446" t="s">
        <v>43</v>
      </c>
      <c r="AC446" t="s">
        <v>43</v>
      </c>
      <c r="AD446" t="s">
        <v>43</v>
      </c>
      <c r="AE446" t="s">
        <v>43</v>
      </c>
      <c r="AF446" t="s">
        <v>43</v>
      </c>
      <c r="AG446" t="s">
        <v>43</v>
      </c>
      <c r="AH446" t="s">
        <v>43</v>
      </c>
      <c r="AI446" t="s">
        <v>43</v>
      </c>
      <c r="AJ446" t="s">
        <v>43</v>
      </c>
      <c r="AK446" t="s">
        <v>43</v>
      </c>
      <c r="AL446" t="s">
        <v>43</v>
      </c>
      <c r="AM446" t="s">
        <v>43</v>
      </c>
      <c r="AN446" t="str">
        <f>HYPERLINK("https://www.google.com/maps?q=11.05476284,79.06096649","Open Location")</f>
        <v>Open Location</v>
      </c>
    </row>
    <row r="447" spans="1:40" x14ac:dyDescent="0.3">
      <c r="A447" s="1">
        <v>46210.94803240741</v>
      </c>
      <c r="B447" t="s">
        <v>40</v>
      </c>
      <c r="C447" t="s">
        <v>41</v>
      </c>
      <c r="D447" s="1">
        <v>46210.951180555552</v>
      </c>
      <c r="E447" t="s">
        <v>42</v>
      </c>
      <c r="F447" t="s">
        <v>43</v>
      </c>
      <c r="G447" t="s">
        <v>43</v>
      </c>
      <c r="H447" t="s">
        <v>43</v>
      </c>
      <c r="I447" t="s">
        <v>95</v>
      </c>
      <c r="J447" t="s">
        <v>43</v>
      </c>
      <c r="K447" t="s">
        <v>43</v>
      </c>
      <c r="L447" t="s">
        <v>43</v>
      </c>
      <c r="M447" t="s">
        <v>43</v>
      </c>
      <c r="N447" t="s">
        <v>45</v>
      </c>
      <c r="O447" t="s">
        <v>43</v>
      </c>
      <c r="P447" t="s">
        <v>43</v>
      </c>
      <c r="Q447" t="s">
        <v>43</v>
      </c>
      <c r="R447" t="s">
        <v>43</v>
      </c>
      <c r="S447" t="s">
        <v>43</v>
      </c>
      <c r="T447" t="s">
        <v>43</v>
      </c>
      <c r="U447" t="s">
        <v>43</v>
      </c>
      <c r="V447" t="s">
        <v>43</v>
      </c>
      <c r="W447" t="s">
        <v>43</v>
      </c>
      <c r="X447" t="s">
        <v>43</v>
      </c>
      <c r="Y447" t="s">
        <v>43</v>
      </c>
      <c r="Z447" t="s">
        <v>43</v>
      </c>
      <c r="AA447" t="s">
        <v>43</v>
      </c>
      <c r="AB447" t="s">
        <v>43</v>
      </c>
      <c r="AC447" t="s">
        <v>43</v>
      </c>
      <c r="AD447" t="s">
        <v>43</v>
      </c>
      <c r="AE447" t="s">
        <v>43</v>
      </c>
      <c r="AF447" t="s">
        <v>43</v>
      </c>
      <c r="AG447" t="s">
        <v>43</v>
      </c>
      <c r="AH447" t="s">
        <v>43</v>
      </c>
      <c r="AI447" t="s">
        <v>43</v>
      </c>
      <c r="AJ447" t="s">
        <v>43</v>
      </c>
      <c r="AK447" t="s">
        <v>43</v>
      </c>
      <c r="AL447" t="s">
        <v>43</v>
      </c>
      <c r="AM447" t="s">
        <v>43</v>
      </c>
      <c r="AN447" t="str">
        <f>HYPERLINK("https://www.google.com/maps?q=11.05476093,79.06096649","Open Location")</f>
        <v>Open Location</v>
      </c>
    </row>
    <row r="448" spans="1:40" x14ac:dyDescent="0.3">
      <c r="A448" s="1">
        <v>46210.947916666664</v>
      </c>
      <c r="B448" t="s">
        <v>40</v>
      </c>
      <c r="C448" t="s">
        <v>41</v>
      </c>
      <c r="D448" s="1">
        <v>46210.951099537036</v>
      </c>
      <c r="E448" t="s">
        <v>42</v>
      </c>
      <c r="F448" t="s">
        <v>43</v>
      </c>
      <c r="G448" t="s">
        <v>43</v>
      </c>
      <c r="H448" t="s">
        <v>43</v>
      </c>
      <c r="I448" t="s">
        <v>157</v>
      </c>
      <c r="J448" t="s">
        <v>43</v>
      </c>
      <c r="K448" t="s">
        <v>43</v>
      </c>
      <c r="L448" t="s">
        <v>43</v>
      </c>
      <c r="M448" t="s">
        <v>43</v>
      </c>
      <c r="N448" t="s">
        <v>45</v>
      </c>
      <c r="O448" t="s">
        <v>43</v>
      </c>
      <c r="P448" t="s">
        <v>43</v>
      </c>
      <c r="Q448" t="s">
        <v>43</v>
      </c>
      <c r="R448" t="s">
        <v>43</v>
      </c>
      <c r="S448">
        <v>0</v>
      </c>
      <c r="T448">
        <v>-40</v>
      </c>
      <c r="U448">
        <v>38</v>
      </c>
      <c r="V448">
        <v>0</v>
      </c>
      <c r="W448" t="s">
        <v>43</v>
      </c>
      <c r="X448" t="s">
        <v>43</v>
      </c>
      <c r="Y448" t="s">
        <v>43</v>
      </c>
      <c r="Z448" t="s">
        <v>43</v>
      </c>
      <c r="AA448" t="s">
        <v>43</v>
      </c>
      <c r="AB448" t="s">
        <v>43</v>
      </c>
      <c r="AC448" t="s">
        <v>43</v>
      </c>
      <c r="AD448" t="s">
        <v>43</v>
      </c>
      <c r="AE448" t="s">
        <v>43</v>
      </c>
      <c r="AF448" t="s">
        <v>43</v>
      </c>
      <c r="AG448" t="s">
        <v>43</v>
      </c>
      <c r="AH448" t="s">
        <v>43</v>
      </c>
      <c r="AI448" t="s">
        <v>43</v>
      </c>
      <c r="AJ448" t="s">
        <v>43</v>
      </c>
      <c r="AK448" t="s">
        <v>43</v>
      </c>
      <c r="AL448" t="s">
        <v>43</v>
      </c>
      <c r="AM448" t="s">
        <v>43</v>
      </c>
      <c r="AN448" t="str">
        <f>HYPERLINK("https://www.google.com/maps?q=11.0547657,79.06095886","Open Location")</f>
        <v>Open Location</v>
      </c>
    </row>
    <row r="449" spans="1:40" x14ac:dyDescent="0.3">
      <c r="A449" s="1">
        <v>46210.947800925926</v>
      </c>
      <c r="B449" t="s">
        <v>40</v>
      </c>
      <c r="C449" t="s">
        <v>41</v>
      </c>
      <c r="D449" s="1">
        <v>46210.950787037036</v>
      </c>
      <c r="E449" t="s">
        <v>42</v>
      </c>
      <c r="F449" t="s">
        <v>43</v>
      </c>
      <c r="G449" t="s">
        <v>43</v>
      </c>
      <c r="H449" t="s">
        <v>43</v>
      </c>
      <c r="I449" t="s">
        <v>153</v>
      </c>
      <c r="J449" t="s">
        <v>43</v>
      </c>
      <c r="K449" t="s">
        <v>43</v>
      </c>
      <c r="L449" t="s">
        <v>43</v>
      </c>
      <c r="M449" t="s">
        <v>43</v>
      </c>
      <c r="N449" t="s">
        <v>45</v>
      </c>
      <c r="O449" t="s">
        <v>43</v>
      </c>
      <c r="P449" t="s">
        <v>43</v>
      </c>
      <c r="Q449" t="s">
        <v>43</v>
      </c>
      <c r="R449" t="s">
        <v>43</v>
      </c>
      <c r="S449">
        <v>0</v>
      </c>
      <c r="T449">
        <v>-40</v>
      </c>
      <c r="U449">
        <v>38</v>
      </c>
      <c r="V449">
        <v>0</v>
      </c>
      <c r="W449" t="s">
        <v>43</v>
      </c>
      <c r="X449" t="s">
        <v>43</v>
      </c>
      <c r="Y449" t="s">
        <v>43</v>
      </c>
      <c r="Z449" t="s">
        <v>43</v>
      </c>
      <c r="AA449" t="s">
        <v>43</v>
      </c>
      <c r="AB449" t="s">
        <v>43</v>
      </c>
      <c r="AC449" t="s">
        <v>43</v>
      </c>
      <c r="AD449" t="s">
        <v>43</v>
      </c>
      <c r="AE449" t="s">
        <v>43</v>
      </c>
      <c r="AF449" t="s">
        <v>43</v>
      </c>
      <c r="AG449" t="s">
        <v>43</v>
      </c>
      <c r="AH449" t="s">
        <v>43</v>
      </c>
      <c r="AI449" t="s">
        <v>43</v>
      </c>
      <c r="AJ449" t="s">
        <v>43</v>
      </c>
      <c r="AK449" t="s">
        <v>43</v>
      </c>
      <c r="AL449" t="s">
        <v>43</v>
      </c>
      <c r="AM449" t="s">
        <v>43</v>
      </c>
      <c r="AN449" t="str">
        <f>HYPERLINK("https://www.google.com/maps?q=11.05476856,79.06095886","Open Location")</f>
        <v>Open Location</v>
      </c>
    </row>
    <row r="450" spans="1:40" x14ac:dyDescent="0.3">
      <c r="A450" s="1">
        <v>46210.947685185187</v>
      </c>
      <c r="B450" t="s">
        <v>40</v>
      </c>
      <c r="C450" t="s">
        <v>41</v>
      </c>
      <c r="D450" s="1">
        <v>46210.950613425928</v>
      </c>
      <c r="E450" t="s">
        <v>42</v>
      </c>
      <c r="F450" t="s">
        <v>43</v>
      </c>
      <c r="G450" t="s">
        <v>43</v>
      </c>
      <c r="H450" t="s">
        <v>43</v>
      </c>
      <c r="I450" t="s">
        <v>43</v>
      </c>
      <c r="J450" t="s">
        <v>43</v>
      </c>
      <c r="K450" t="s">
        <v>43</v>
      </c>
      <c r="L450" t="s">
        <v>43</v>
      </c>
      <c r="M450" t="s">
        <v>43</v>
      </c>
      <c r="N450" t="s">
        <v>45</v>
      </c>
      <c r="O450" t="s">
        <v>43</v>
      </c>
      <c r="P450" t="s">
        <v>43</v>
      </c>
      <c r="Q450" t="s">
        <v>43</v>
      </c>
      <c r="R450" t="s">
        <v>43</v>
      </c>
      <c r="S450">
        <v>0</v>
      </c>
      <c r="T450">
        <v>-40</v>
      </c>
      <c r="U450">
        <v>38</v>
      </c>
      <c r="V450">
        <v>0</v>
      </c>
      <c r="W450" t="s">
        <v>43</v>
      </c>
      <c r="X450" t="s">
        <v>43</v>
      </c>
      <c r="Y450" t="s">
        <v>43</v>
      </c>
      <c r="Z450" t="s">
        <v>43</v>
      </c>
      <c r="AA450" t="s">
        <v>43</v>
      </c>
      <c r="AB450" t="s">
        <v>43</v>
      </c>
      <c r="AC450" t="s">
        <v>43</v>
      </c>
      <c r="AD450" t="s">
        <v>43</v>
      </c>
      <c r="AE450" t="s">
        <v>43</v>
      </c>
      <c r="AF450" t="s">
        <v>43</v>
      </c>
      <c r="AG450" t="s">
        <v>43</v>
      </c>
      <c r="AH450" t="s">
        <v>43</v>
      </c>
      <c r="AI450" t="s">
        <v>43</v>
      </c>
      <c r="AJ450" t="s">
        <v>43</v>
      </c>
      <c r="AK450" t="s">
        <v>43</v>
      </c>
      <c r="AL450" t="s">
        <v>43</v>
      </c>
      <c r="AM450" t="s">
        <v>43</v>
      </c>
      <c r="AN450" t="s">
        <v>43</v>
      </c>
    </row>
    <row r="451" spans="1:40" x14ac:dyDescent="0.3">
      <c r="A451" s="1">
        <v>46210.947569444441</v>
      </c>
      <c r="B451" t="s">
        <v>40</v>
      </c>
      <c r="C451" t="s">
        <v>41</v>
      </c>
      <c r="D451" s="1">
        <v>46210.950486111113</v>
      </c>
      <c r="E451" t="s">
        <v>42</v>
      </c>
      <c r="F451" t="s">
        <v>43</v>
      </c>
      <c r="G451" t="s">
        <v>43</v>
      </c>
      <c r="H451" t="s">
        <v>43</v>
      </c>
      <c r="I451" t="s">
        <v>111</v>
      </c>
      <c r="J451" t="s">
        <v>43</v>
      </c>
      <c r="K451" t="s">
        <v>43</v>
      </c>
      <c r="L451" t="s">
        <v>43</v>
      </c>
      <c r="M451" t="s">
        <v>43</v>
      </c>
      <c r="N451" t="s">
        <v>45</v>
      </c>
      <c r="O451" t="s">
        <v>43</v>
      </c>
      <c r="P451" t="s">
        <v>43</v>
      </c>
      <c r="Q451" t="s">
        <v>43</v>
      </c>
      <c r="R451" t="s">
        <v>43</v>
      </c>
      <c r="S451">
        <v>0</v>
      </c>
      <c r="T451">
        <v>-40</v>
      </c>
      <c r="U451">
        <v>38</v>
      </c>
      <c r="V451">
        <v>0</v>
      </c>
      <c r="W451" t="s">
        <v>43</v>
      </c>
      <c r="X451" t="s">
        <v>43</v>
      </c>
      <c r="Y451" t="s">
        <v>43</v>
      </c>
      <c r="Z451" t="s">
        <v>43</v>
      </c>
      <c r="AA451" t="s">
        <v>43</v>
      </c>
      <c r="AB451" t="s">
        <v>43</v>
      </c>
      <c r="AC451" t="s">
        <v>43</v>
      </c>
      <c r="AD451" t="s">
        <v>43</v>
      </c>
      <c r="AE451" t="s">
        <v>43</v>
      </c>
      <c r="AF451" t="s">
        <v>43</v>
      </c>
      <c r="AG451" t="s">
        <v>43</v>
      </c>
      <c r="AH451" t="s">
        <v>43</v>
      </c>
      <c r="AI451" t="s">
        <v>43</v>
      </c>
      <c r="AJ451" t="s">
        <v>43</v>
      </c>
      <c r="AK451" t="s">
        <v>43</v>
      </c>
      <c r="AL451" t="s">
        <v>43</v>
      </c>
      <c r="AM451" t="s">
        <v>43</v>
      </c>
      <c r="AN451" t="str">
        <f>HYPERLINK("https://www.google.com/maps?q=11.05477142,79.06095886","Open Location")</f>
        <v>Open Location</v>
      </c>
    </row>
    <row r="452" spans="1:40" x14ac:dyDescent="0.3">
      <c r="A452" s="1">
        <v>46210.947453703702</v>
      </c>
      <c r="B452" t="s">
        <v>40</v>
      </c>
      <c r="C452" t="s">
        <v>41</v>
      </c>
      <c r="D452" s="1">
        <v>46210.950601851851</v>
      </c>
      <c r="E452" t="s">
        <v>42</v>
      </c>
      <c r="F452" t="s">
        <v>43</v>
      </c>
      <c r="G452" t="s">
        <v>43</v>
      </c>
      <c r="H452" t="s">
        <v>43</v>
      </c>
      <c r="I452" t="s">
        <v>111</v>
      </c>
      <c r="J452" t="s">
        <v>43</v>
      </c>
      <c r="K452" t="s">
        <v>43</v>
      </c>
      <c r="L452" t="s">
        <v>43</v>
      </c>
      <c r="M452" t="s">
        <v>43</v>
      </c>
      <c r="N452" t="s">
        <v>45</v>
      </c>
      <c r="O452" t="s">
        <v>43</v>
      </c>
      <c r="P452" t="s">
        <v>43</v>
      </c>
      <c r="Q452" t="s">
        <v>43</v>
      </c>
      <c r="R452" t="s">
        <v>43</v>
      </c>
      <c r="S452">
        <v>0</v>
      </c>
      <c r="T452">
        <v>-40</v>
      </c>
      <c r="U452">
        <v>38</v>
      </c>
      <c r="V452">
        <v>0</v>
      </c>
      <c r="W452" t="s">
        <v>43</v>
      </c>
      <c r="X452" t="s">
        <v>43</v>
      </c>
      <c r="Y452" t="s">
        <v>43</v>
      </c>
      <c r="Z452" t="s">
        <v>43</v>
      </c>
      <c r="AA452" t="s">
        <v>43</v>
      </c>
      <c r="AB452" t="s">
        <v>43</v>
      </c>
      <c r="AC452" t="s">
        <v>43</v>
      </c>
      <c r="AD452" t="s">
        <v>43</v>
      </c>
      <c r="AE452" t="s">
        <v>43</v>
      </c>
      <c r="AF452" t="s">
        <v>43</v>
      </c>
      <c r="AG452" t="s">
        <v>43</v>
      </c>
      <c r="AH452" t="s">
        <v>43</v>
      </c>
      <c r="AI452" t="s">
        <v>43</v>
      </c>
      <c r="AJ452" t="s">
        <v>43</v>
      </c>
      <c r="AK452" t="s">
        <v>43</v>
      </c>
      <c r="AL452" t="s">
        <v>43</v>
      </c>
      <c r="AM452" t="s">
        <v>43</v>
      </c>
      <c r="AN452" t="str">
        <f>HYPERLINK("https://www.google.com/maps?q=11.05477142,79.06095886","Open Location")</f>
        <v>Open Location</v>
      </c>
    </row>
    <row r="453" spans="1:40" x14ac:dyDescent="0.3">
      <c r="A453" s="1">
        <v>46210.947337962964</v>
      </c>
      <c r="B453" t="s">
        <v>40</v>
      </c>
      <c r="C453" t="s">
        <v>41</v>
      </c>
      <c r="D453" s="1">
        <v>46210.950254629628</v>
      </c>
      <c r="E453" t="s">
        <v>42</v>
      </c>
      <c r="F453" t="s">
        <v>43</v>
      </c>
      <c r="G453" t="s">
        <v>43</v>
      </c>
      <c r="H453" t="s">
        <v>43</v>
      </c>
      <c r="I453" t="s">
        <v>109</v>
      </c>
      <c r="J453" t="s">
        <v>43</v>
      </c>
      <c r="K453" t="s">
        <v>43</v>
      </c>
      <c r="L453" t="s">
        <v>43</v>
      </c>
      <c r="M453" t="s">
        <v>43</v>
      </c>
      <c r="N453" t="s">
        <v>45</v>
      </c>
      <c r="O453" t="s">
        <v>43</v>
      </c>
      <c r="P453" t="s">
        <v>43</v>
      </c>
      <c r="Q453" t="s">
        <v>43</v>
      </c>
      <c r="R453" t="s">
        <v>43</v>
      </c>
      <c r="S453">
        <v>0</v>
      </c>
      <c r="T453">
        <v>-40</v>
      </c>
      <c r="U453">
        <v>38</v>
      </c>
      <c r="V453">
        <v>0</v>
      </c>
      <c r="W453" t="s">
        <v>43</v>
      </c>
      <c r="X453" t="s">
        <v>43</v>
      </c>
      <c r="Y453" t="s">
        <v>43</v>
      </c>
      <c r="Z453" t="s">
        <v>43</v>
      </c>
      <c r="AA453" t="s">
        <v>43</v>
      </c>
      <c r="AB453" t="s">
        <v>43</v>
      </c>
      <c r="AC453" t="s">
        <v>43</v>
      </c>
      <c r="AD453" t="s">
        <v>43</v>
      </c>
      <c r="AE453" t="s">
        <v>43</v>
      </c>
      <c r="AF453" t="s">
        <v>43</v>
      </c>
      <c r="AG453" t="s">
        <v>43</v>
      </c>
      <c r="AH453" t="s">
        <v>43</v>
      </c>
      <c r="AI453" t="s">
        <v>43</v>
      </c>
      <c r="AJ453" t="s">
        <v>43</v>
      </c>
      <c r="AK453" t="s">
        <v>43</v>
      </c>
      <c r="AL453" t="s">
        <v>43</v>
      </c>
      <c r="AM453" t="s">
        <v>43</v>
      </c>
      <c r="AN453" t="str">
        <f>HYPERLINK("https://www.google.com/maps?q=11.05477524,79.06095123","Open Location")</f>
        <v>Open Location</v>
      </c>
    </row>
    <row r="454" spans="1:40" x14ac:dyDescent="0.3">
      <c r="A454" s="1">
        <v>46210.947222222225</v>
      </c>
      <c r="B454" t="s">
        <v>40</v>
      </c>
      <c r="C454" t="s">
        <v>41</v>
      </c>
      <c r="D454" s="1">
        <v>46210.950243055559</v>
      </c>
      <c r="E454" t="s">
        <v>42</v>
      </c>
      <c r="F454" t="s">
        <v>43</v>
      </c>
      <c r="G454" t="s">
        <v>43</v>
      </c>
      <c r="H454" t="s">
        <v>43</v>
      </c>
      <c r="I454" t="s">
        <v>109</v>
      </c>
      <c r="J454" t="s">
        <v>43</v>
      </c>
      <c r="K454" t="s">
        <v>43</v>
      </c>
      <c r="L454" t="s">
        <v>43</v>
      </c>
      <c r="M454" t="s">
        <v>43</v>
      </c>
      <c r="N454" t="s">
        <v>45</v>
      </c>
      <c r="O454" t="s">
        <v>43</v>
      </c>
      <c r="P454" t="s">
        <v>43</v>
      </c>
      <c r="Q454" t="s">
        <v>43</v>
      </c>
      <c r="R454" t="s">
        <v>43</v>
      </c>
      <c r="S454">
        <v>0</v>
      </c>
      <c r="T454">
        <v>-40</v>
      </c>
      <c r="U454">
        <v>38</v>
      </c>
      <c r="V454">
        <v>0</v>
      </c>
      <c r="W454" t="s">
        <v>43</v>
      </c>
      <c r="X454" t="s">
        <v>43</v>
      </c>
      <c r="Y454" t="s">
        <v>43</v>
      </c>
      <c r="Z454" t="s">
        <v>43</v>
      </c>
      <c r="AA454" t="s">
        <v>43</v>
      </c>
      <c r="AB454" t="s">
        <v>43</v>
      </c>
      <c r="AC454" t="s">
        <v>43</v>
      </c>
      <c r="AD454" t="s">
        <v>43</v>
      </c>
      <c r="AE454" t="s">
        <v>43</v>
      </c>
      <c r="AF454" t="s">
        <v>43</v>
      </c>
      <c r="AG454" t="s">
        <v>43</v>
      </c>
      <c r="AH454" t="s">
        <v>43</v>
      </c>
      <c r="AI454" t="s">
        <v>43</v>
      </c>
      <c r="AJ454" t="s">
        <v>43</v>
      </c>
      <c r="AK454" t="s">
        <v>43</v>
      </c>
      <c r="AL454" t="s">
        <v>43</v>
      </c>
      <c r="AM454" t="s">
        <v>43</v>
      </c>
      <c r="AN454" t="str">
        <f>HYPERLINK("https://www.google.com/maps?q=11.05477524,79.06095123","Open Location")</f>
        <v>Open Location</v>
      </c>
    </row>
    <row r="455" spans="1:40" x14ac:dyDescent="0.3">
      <c r="A455" s="1">
        <v>46210.947106481479</v>
      </c>
      <c r="B455" t="s">
        <v>40</v>
      </c>
      <c r="C455" t="s">
        <v>41</v>
      </c>
      <c r="D455" s="1">
        <v>46210.950127314813</v>
      </c>
      <c r="E455" t="s">
        <v>42</v>
      </c>
      <c r="F455" t="s">
        <v>43</v>
      </c>
      <c r="G455" t="s">
        <v>43</v>
      </c>
      <c r="H455" t="s">
        <v>43</v>
      </c>
      <c r="I455" t="s">
        <v>98</v>
      </c>
      <c r="J455" t="s">
        <v>43</v>
      </c>
      <c r="K455" t="s">
        <v>43</v>
      </c>
      <c r="L455" t="s">
        <v>43</v>
      </c>
      <c r="M455" t="s">
        <v>43</v>
      </c>
      <c r="N455" t="s">
        <v>45</v>
      </c>
      <c r="O455" t="s">
        <v>43</v>
      </c>
      <c r="P455" t="s">
        <v>43</v>
      </c>
      <c r="Q455" t="s">
        <v>43</v>
      </c>
      <c r="R455" t="s">
        <v>43</v>
      </c>
      <c r="S455">
        <v>0</v>
      </c>
      <c r="T455">
        <v>-40</v>
      </c>
      <c r="U455">
        <v>39</v>
      </c>
      <c r="V455">
        <v>0</v>
      </c>
      <c r="W455" t="s">
        <v>43</v>
      </c>
      <c r="X455" t="s">
        <v>43</v>
      </c>
      <c r="Y455" t="s">
        <v>43</v>
      </c>
      <c r="Z455" t="s">
        <v>43</v>
      </c>
      <c r="AA455" t="s">
        <v>43</v>
      </c>
      <c r="AB455" t="s">
        <v>43</v>
      </c>
      <c r="AC455" t="s">
        <v>43</v>
      </c>
      <c r="AD455" t="s">
        <v>43</v>
      </c>
      <c r="AE455" t="s">
        <v>43</v>
      </c>
      <c r="AF455" t="s">
        <v>43</v>
      </c>
      <c r="AG455" t="s">
        <v>43</v>
      </c>
      <c r="AH455" t="s">
        <v>43</v>
      </c>
      <c r="AI455" t="s">
        <v>43</v>
      </c>
      <c r="AJ455" t="s">
        <v>43</v>
      </c>
      <c r="AK455" t="s">
        <v>43</v>
      </c>
      <c r="AL455" t="s">
        <v>43</v>
      </c>
      <c r="AM455" t="s">
        <v>43</v>
      </c>
      <c r="AN455" t="str">
        <f>HYPERLINK("https://www.google.com/maps?q=11.05477428,79.06095886","Open Location")</f>
        <v>Open Location</v>
      </c>
    </row>
    <row r="456" spans="1:40" x14ac:dyDescent="0.3">
      <c r="A456" s="1">
        <v>46210.94699074074</v>
      </c>
      <c r="B456" t="s">
        <v>40</v>
      </c>
      <c r="C456" t="s">
        <v>41</v>
      </c>
      <c r="D456" s="1">
        <v>46210.949884259258</v>
      </c>
      <c r="E456" t="s">
        <v>42</v>
      </c>
      <c r="F456" t="s">
        <v>43</v>
      </c>
      <c r="G456" t="s">
        <v>43</v>
      </c>
      <c r="H456" t="s">
        <v>43</v>
      </c>
      <c r="I456" t="s">
        <v>43</v>
      </c>
      <c r="J456" t="s">
        <v>43</v>
      </c>
      <c r="K456" t="s">
        <v>43</v>
      </c>
      <c r="L456" t="s">
        <v>43</v>
      </c>
      <c r="M456" t="s">
        <v>43</v>
      </c>
      <c r="N456" t="s">
        <v>45</v>
      </c>
      <c r="O456" t="s">
        <v>43</v>
      </c>
      <c r="P456" t="s">
        <v>43</v>
      </c>
      <c r="Q456" t="s">
        <v>43</v>
      </c>
      <c r="R456" t="s">
        <v>43</v>
      </c>
      <c r="S456">
        <v>0</v>
      </c>
      <c r="T456">
        <v>-40</v>
      </c>
      <c r="U456">
        <v>39</v>
      </c>
      <c r="V456">
        <v>0</v>
      </c>
      <c r="W456" t="s">
        <v>43</v>
      </c>
      <c r="X456" t="s">
        <v>43</v>
      </c>
      <c r="Y456" t="s">
        <v>43</v>
      </c>
      <c r="Z456" t="s">
        <v>43</v>
      </c>
      <c r="AA456" t="s">
        <v>43</v>
      </c>
      <c r="AB456" t="s">
        <v>43</v>
      </c>
      <c r="AC456" t="s">
        <v>43</v>
      </c>
      <c r="AD456" t="s">
        <v>43</v>
      </c>
      <c r="AE456" t="s">
        <v>43</v>
      </c>
      <c r="AF456" t="s">
        <v>43</v>
      </c>
      <c r="AG456" t="s">
        <v>43</v>
      </c>
      <c r="AH456" t="s">
        <v>43</v>
      </c>
      <c r="AI456" t="s">
        <v>43</v>
      </c>
      <c r="AJ456" t="s">
        <v>43</v>
      </c>
      <c r="AK456" t="s">
        <v>43</v>
      </c>
      <c r="AL456" t="s">
        <v>43</v>
      </c>
      <c r="AM456" t="s">
        <v>43</v>
      </c>
      <c r="AN456" t="s">
        <v>43</v>
      </c>
    </row>
    <row r="457" spans="1:40" x14ac:dyDescent="0.3">
      <c r="A457" s="1">
        <v>46210.946875000001</v>
      </c>
      <c r="B457" t="s">
        <v>40</v>
      </c>
      <c r="C457" t="s">
        <v>41</v>
      </c>
      <c r="D457" s="1">
        <v>46210.94971064815</v>
      </c>
      <c r="E457" t="s">
        <v>42</v>
      </c>
      <c r="F457" t="s">
        <v>43</v>
      </c>
      <c r="G457">
        <v>0</v>
      </c>
      <c r="H457">
        <v>33206</v>
      </c>
      <c r="I457" t="s">
        <v>159</v>
      </c>
      <c r="J457">
        <v>35</v>
      </c>
      <c r="K457">
        <v>3</v>
      </c>
      <c r="L457">
        <v>98</v>
      </c>
      <c r="M457">
        <v>630.20001220999995</v>
      </c>
      <c r="N457" t="s">
        <v>81</v>
      </c>
      <c r="O457" t="s">
        <v>43</v>
      </c>
      <c r="P457">
        <v>125</v>
      </c>
      <c r="Q457" t="s">
        <v>82</v>
      </c>
      <c r="R457">
        <v>0</v>
      </c>
      <c r="S457">
        <v>0</v>
      </c>
      <c r="T457">
        <v>-40</v>
      </c>
      <c r="U457">
        <v>39</v>
      </c>
      <c r="V457">
        <v>0</v>
      </c>
      <c r="W457">
        <v>29</v>
      </c>
      <c r="X457">
        <v>29</v>
      </c>
      <c r="Y457">
        <v>1</v>
      </c>
      <c r="Z457">
        <v>1</v>
      </c>
      <c r="AA457">
        <v>26</v>
      </c>
      <c r="AB457">
        <v>6</v>
      </c>
      <c r="AC457">
        <v>5</v>
      </c>
      <c r="AD457">
        <v>3.28500009</v>
      </c>
      <c r="AE457">
        <v>1</v>
      </c>
      <c r="AF457">
        <v>1</v>
      </c>
      <c r="AG457">
        <v>3.2820000600000001</v>
      </c>
      <c r="AH457">
        <v>2</v>
      </c>
      <c r="AI457">
        <v>45</v>
      </c>
      <c r="AJ457" t="s">
        <v>43</v>
      </c>
      <c r="AK457" t="s">
        <v>43</v>
      </c>
      <c r="AL457" t="s">
        <v>43</v>
      </c>
      <c r="AM457" t="s">
        <v>43</v>
      </c>
      <c r="AN457" t="str">
        <f>HYPERLINK("https://www.google.com/maps?q=11.05477333,79.06095123","Open Location")</f>
        <v>Open Location</v>
      </c>
    </row>
    <row r="458" spans="1:40" x14ac:dyDescent="0.3">
      <c r="A458" s="1">
        <v>46210.946759259263</v>
      </c>
      <c r="B458" t="s">
        <v>40</v>
      </c>
      <c r="C458" t="s">
        <v>41</v>
      </c>
      <c r="D458" s="1">
        <v>46210.949895833335</v>
      </c>
      <c r="E458" t="s">
        <v>42</v>
      </c>
      <c r="F458" t="s">
        <v>83</v>
      </c>
      <c r="G458">
        <v>0</v>
      </c>
      <c r="H458">
        <v>33206</v>
      </c>
      <c r="I458" t="s">
        <v>159</v>
      </c>
      <c r="J458">
        <v>35</v>
      </c>
      <c r="K458">
        <v>4</v>
      </c>
      <c r="L458">
        <v>98</v>
      </c>
      <c r="M458">
        <v>629.70001220999995</v>
      </c>
      <c r="N458" t="s">
        <v>85</v>
      </c>
      <c r="O458" t="s">
        <v>82</v>
      </c>
      <c r="P458">
        <v>125</v>
      </c>
      <c r="Q458" t="s">
        <v>82</v>
      </c>
      <c r="R458">
        <v>0</v>
      </c>
      <c r="S458">
        <v>0</v>
      </c>
      <c r="T458">
        <v>-40</v>
      </c>
      <c r="U458">
        <v>39</v>
      </c>
      <c r="V458">
        <v>0</v>
      </c>
      <c r="W458">
        <v>29</v>
      </c>
      <c r="X458">
        <v>29</v>
      </c>
      <c r="Y458">
        <v>1</v>
      </c>
      <c r="Z458">
        <v>1</v>
      </c>
      <c r="AA458">
        <v>26</v>
      </c>
      <c r="AB458">
        <v>6</v>
      </c>
      <c r="AC458">
        <v>5</v>
      </c>
      <c r="AD458">
        <v>3.2839999199999999</v>
      </c>
      <c r="AE458">
        <v>1</v>
      </c>
      <c r="AF458">
        <v>1</v>
      </c>
      <c r="AG458">
        <v>3.2809998999999999</v>
      </c>
      <c r="AH458">
        <v>7</v>
      </c>
      <c r="AI458">
        <v>1</v>
      </c>
      <c r="AJ458">
        <v>1</v>
      </c>
      <c r="AK458">
        <v>19</v>
      </c>
      <c r="AL458">
        <v>36</v>
      </c>
      <c r="AM458" t="s">
        <v>43</v>
      </c>
      <c r="AN458" t="str">
        <f>HYPERLINK("https://www.google.com/maps?q=11.05477333,79.06095123","Open Location")</f>
        <v>Open Location</v>
      </c>
    </row>
    <row r="459" spans="1:40" x14ac:dyDescent="0.3">
      <c r="A459" s="1">
        <v>46210.946643518517</v>
      </c>
      <c r="B459" t="s">
        <v>40</v>
      </c>
      <c r="C459" t="s">
        <v>41</v>
      </c>
      <c r="D459" s="1">
        <v>46210.949571759258</v>
      </c>
      <c r="E459" t="s">
        <v>42</v>
      </c>
      <c r="F459" t="s">
        <v>83</v>
      </c>
      <c r="G459">
        <v>0</v>
      </c>
      <c r="H459">
        <v>33206</v>
      </c>
      <c r="I459" t="s">
        <v>159</v>
      </c>
      <c r="J459">
        <v>35</v>
      </c>
      <c r="K459">
        <v>4</v>
      </c>
      <c r="L459">
        <v>98</v>
      </c>
      <c r="M459">
        <v>630</v>
      </c>
      <c r="N459" t="s">
        <v>85</v>
      </c>
      <c r="O459" t="s">
        <v>82</v>
      </c>
      <c r="P459">
        <v>125</v>
      </c>
      <c r="Q459" t="s">
        <v>82</v>
      </c>
      <c r="R459">
        <v>0</v>
      </c>
      <c r="S459">
        <v>0</v>
      </c>
      <c r="T459">
        <v>-40</v>
      </c>
      <c r="U459">
        <v>39</v>
      </c>
      <c r="V459">
        <v>0</v>
      </c>
      <c r="W459">
        <v>29</v>
      </c>
      <c r="X459">
        <v>29</v>
      </c>
      <c r="Y459">
        <v>1</v>
      </c>
      <c r="Z459">
        <v>1</v>
      </c>
      <c r="AA459">
        <v>26</v>
      </c>
      <c r="AB459">
        <v>6</v>
      </c>
      <c r="AC459">
        <v>5</v>
      </c>
      <c r="AD459">
        <v>3.2839999199999999</v>
      </c>
      <c r="AE459">
        <v>1</v>
      </c>
      <c r="AF459">
        <v>1</v>
      </c>
      <c r="AG459">
        <v>3.2809998999999999</v>
      </c>
      <c r="AH459">
        <v>7</v>
      </c>
      <c r="AI459">
        <v>1</v>
      </c>
      <c r="AJ459">
        <v>1</v>
      </c>
      <c r="AK459">
        <v>19</v>
      </c>
      <c r="AL459">
        <v>36</v>
      </c>
      <c r="AM459" t="s">
        <v>43</v>
      </c>
      <c r="AN459" t="str">
        <f>HYPERLINK("https://www.google.com/maps?q=11.05477333,79.06095123","Open Location")</f>
        <v>Open Location</v>
      </c>
    </row>
    <row r="460" spans="1:40" x14ac:dyDescent="0.3">
      <c r="A460" s="1">
        <v>46210.946527777778</v>
      </c>
      <c r="B460" t="s">
        <v>40</v>
      </c>
      <c r="C460" t="s">
        <v>41</v>
      </c>
      <c r="D460" s="1">
        <v>46210.949571759258</v>
      </c>
      <c r="E460" t="s">
        <v>42</v>
      </c>
      <c r="F460" t="s">
        <v>83</v>
      </c>
      <c r="G460">
        <v>0</v>
      </c>
      <c r="H460">
        <v>33206</v>
      </c>
      <c r="I460" t="s">
        <v>159</v>
      </c>
      <c r="J460">
        <v>35</v>
      </c>
      <c r="K460">
        <v>4</v>
      </c>
      <c r="L460">
        <v>98</v>
      </c>
      <c r="M460">
        <v>630.40002441000001</v>
      </c>
      <c r="N460" t="s">
        <v>85</v>
      </c>
      <c r="O460" t="s">
        <v>82</v>
      </c>
      <c r="P460">
        <v>125</v>
      </c>
      <c r="Q460" t="s">
        <v>82</v>
      </c>
      <c r="R460">
        <v>0</v>
      </c>
      <c r="S460">
        <v>0</v>
      </c>
      <c r="T460">
        <v>-40</v>
      </c>
      <c r="U460">
        <v>39</v>
      </c>
      <c r="V460">
        <v>0</v>
      </c>
      <c r="W460">
        <v>29</v>
      </c>
      <c r="X460">
        <v>29</v>
      </c>
      <c r="Y460">
        <v>1</v>
      </c>
      <c r="Z460">
        <v>1</v>
      </c>
      <c r="AA460">
        <v>26</v>
      </c>
      <c r="AB460">
        <v>6</v>
      </c>
      <c r="AC460">
        <v>5</v>
      </c>
      <c r="AD460">
        <v>3.28500009</v>
      </c>
      <c r="AE460">
        <v>1</v>
      </c>
      <c r="AF460">
        <v>25</v>
      </c>
      <c r="AG460">
        <v>3.2809998999999999</v>
      </c>
      <c r="AH460">
        <v>7</v>
      </c>
      <c r="AI460">
        <v>1</v>
      </c>
      <c r="AJ460">
        <v>1</v>
      </c>
      <c r="AK460">
        <v>20</v>
      </c>
      <c r="AL460">
        <v>36</v>
      </c>
      <c r="AM460" t="s">
        <v>43</v>
      </c>
      <c r="AN460" t="str">
        <f>HYPERLINK("https://www.google.com/maps?q=11.05477333,79.06095123","Open Location")</f>
        <v>Open Location</v>
      </c>
    </row>
    <row r="461" spans="1:40" x14ac:dyDescent="0.3">
      <c r="A461" s="1">
        <v>46210.946412037039</v>
      </c>
      <c r="B461" t="s">
        <v>40</v>
      </c>
      <c r="C461" t="s">
        <v>41</v>
      </c>
      <c r="D461" s="1">
        <v>46210.949131944442</v>
      </c>
      <c r="E461" t="s">
        <v>42</v>
      </c>
      <c r="F461" t="s">
        <v>83</v>
      </c>
      <c r="G461">
        <v>0</v>
      </c>
      <c r="H461" t="s">
        <v>43</v>
      </c>
      <c r="I461" t="s">
        <v>159</v>
      </c>
      <c r="J461">
        <v>35</v>
      </c>
      <c r="K461">
        <v>4</v>
      </c>
      <c r="L461">
        <v>98</v>
      </c>
      <c r="M461">
        <v>629.40002441000001</v>
      </c>
      <c r="N461" t="s">
        <v>85</v>
      </c>
      <c r="O461" t="s">
        <v>82</v>
      </c>
      <c r="P461">
        <v>125</v>
      </c>
      <c r="Q461" t="s">
        <v>82</v>
      </c>
      <c r="R461">
        <v>0</v>
      </c>
      <c r="S461">
        <v>0</v>
      </c>
      <c r="T461">
        <v>-40</v>
      </c>
      <c r="U461">
        <v>39</v>
      </c>
      <c r="V461">
        <v>0</v>
      </c>
      <c r="W461">
        <v>29</v>
      </c>
      <c r="X461">
        <v>29</v>
      </c>
      <c r="Y461">
        <v>1</v>
      </c>
      <c r="Z461">
        <v>1</v>
      </c>
      <c r="AA461">
        <v>26</v>
      </c>
      <c r="AB461">
        <v>6</v>
      </c>
      <c r="AC461">
        <v>5</v>
      </c>
      <c r="AD461">
        <v>3.2839999199999999</v>
      </c>
      <c r="AE461">
        <v>1</v>
      </c>
      <c r="AF461">
        <v>1</v>
      </c>
      <c r="AG461">
        <v>3.2809998999999999</v>
      </c>
      <c r="AH461">
        <v>7</v>
      </c>
      <c r="AI461">
        <v>1</v>
      </c>
      <c r="AJ461">
        <v>1</v>
      </c>
      <c r="AK461">
        <v>19</v>
      </c>
      <c r="AL461">
        <v>36</v>
      </c>
      <c r="AM461" t="s">
        <v>43</v>
      </c>
      <c r="AN461" t="str">
        <f>HYPERLINK("https://www.google.com/maps?q=11.05477333,79.06095123","Open Location")</f>
        <v>Open Location</v>
      </c>
    </row>
    <row r="462" spans="1:40" x14ac:dyDescent="0.3">
      <c r="A462" s="1">
        <v>46210.946296296293</v>
      </c>
      <c r="B462" t="s">
        <v>40</v>
      </c>
      <c r="C462" t="s">
        <v>41</v>
      </c>
      <c r="D462" s="1">
        <v>46210.949062500003</v>
      </c>
      <c r="E462" t="s">
        <v>42</v>
      </c>
      <c r="F462" t="s">
        <v>83</v>
      </c>
      <c r="G462">
        <v>0</v>
      </c>
      <c r="H462">
        <v>33206</v>
      </c>
      <c r="I462" t="s">
        <v>43</v>
      </c>
      <c r="J462">
        <v>35</v>
      </c>
      <c r="K462">
        <v>4</v>
      </c>
      <c r="L462">
        <v>98</v>
      </c>
      <c r="M462">
        <v>629.70001220999995</v>
      </c>
      <c r="N462" t="s">
        <v>85</v>
      </c>
      <c r="O462" t="s">
        <v>82</v>
      </c>
      <c r="P462">
        <v>125</v>
      </c>
      <c r="Q462" t="s">
        <v>82</v>
      </c>
      <c r="R462">
        <v>0</v>
      </c>
      <c r="S462">
        <v>0</v>
      </c>
      <c r="T462">
        <v>-40</v>
      </c>
      <c r="U462">
        <v>39</v>
      </c>
      <c r="V462">
        <v>0</v>
      </c>
      <c r="W462" t="s">
        <v>43</v>
      </c>
      <c r="X462" t="s">
        <v>43</v>
      </c>
      <c r="Y462" t="s">
        <v>43</v>
      </c>
      <c r="Z462" t="s">
        <v>43</v>
      </c>
      <c r="AA462" t="s">
        <v>43</v>
      </c>
      <c r="AB462" t="s">
        <v>43</v>
      </c>
      <c r="AC462" t="s">
        <v>43</v>
      </c>
      <c r="AD462">
        <v>3.28500009</v>
      </c>
      <c r="AE462">
        <v>1</v>
      </c>
      <c r="AF462">
        <v>25</v>
      </c>
      <c r="AG462">
        <v>3.2809998999999999</v>
      </c>
      <c r="AH462">
        <v>7</v>
      </c>
      <c r="AI462">
        <v>1</v>
      </c>
      <c r="AJ462" t="s">
        <v>43</v>
      </c>
      <c r="AK462" t="s">
        <v>43</v>
      </c>
      <c r="AL462" t="s">
        <v>43</v>
      </c>
      <c r="AM462" t="s">
        <v>43</v>
      </c>
      <c r="AN462" t="s">
        <v>43</v>
      </c>
    </row>
    <row r="463" spans="1:40" x14ac:dyDescent="0.3">
      <c r="A463" s="1">
        <v>46210.946180555555</v>
      </c>
      <c r="B463" t="s">
        <v>40</v>
      </c>
      <c r="C463" t="s">
        <v>41</v>
      </c>
      <c r="D463" s="1">
        <v>46210.948946759258</v>
      </c>
      <c r="E463" t="s">
        <v>42</v>
      </c>
      <c r="F463" t="s">
        <v>83</v>
      </c>
      <c r="G463">
        <v>0</v>
      </c>
      <c r="H463">
        <v>33206</v>
      </c>
      <c r="I463" t="s">
        <v>110</v>
      </c>
      <c r="J463">
        <v>35</v>
      </c>
      <c r="K463">
        <v>4</v>
      </c>
      <c r="L463">
        <v>98</v>
      </c>
      <c r="M463">
        <v>629.70001220999995</v>
      </c>
      <c r="N463" t="s">
        <v>85</v>
      </c>
      <c r="O463" t="s">
        <v>82</v>
      </c>
      <c r="P463">
        <v>125</v>
      </c>
      <c r="Q463" t="s">
        <v>82</v>
      </c>
      <c r="R463">
        <v>0</v>
      </c>
      <c r="S463">
        <v>0</v>
      </c>
      <c r="T463">
        <v>-40</v>
      </c>
      <c r="U463">
        <v>39</v>
      </c>
      <c r="V463">
        <v>0</v>
      </c>
      <c r="W463">
        <v>29</v>
      </c>
      <c r="X463">
        <v>29</v>
      </c>
      <c r="Y463">
        <v>1</v>
      </c>
      <c r="Z463">
        <v>1</v>
      </c>
      <c r="AA463">
        <v>26</v>
      </c>
      <c r="AB463">
        <v>6</v>
      </c>
      <c r="AC463">
        <v>5</v>
      </c>
      <c r="AD463">
        <v>3.2839999199999999</v>
      </c>
      <c r="AE463">
        <v>1</v>
      </c>
      <c r="AF463">
        <v>1</v>
      </c>
      <c r="AG463">
        <v>3.2809998999999999</v>
      </c>
      <c r="AH463">
        <v>7</v>
      </c>
      <c r="AI463">
        <v>1</v>
      </c>
      <c r="AJ463">
        <v>1</v>
      </c>
      <c r="AK463">
        <v>20</v>
      </c>
      <c r="AL463">
        <v>36</v>
      </c>
      <c r="AM463" t="s">
        <v>43</v>
      </c>
      <c r="AN463" t="str">
        <f>HYPERLINK("https://www.google.com/maps?q=11.05477238,79.06095123","Open Location")</f>
        <v>Open Location</v>
      </c>
    </row>
    <row r="464" spans="1:40" x14ac:dyDescent="0.3">
      <c r="A464" s="1">
        <v>46210.946064814816</v>
      </c>
      <c r="B464" t="s">
        <v>40</v>
      </c>
      <c r="C464" t="s">
        <v>41</v>
      </c>
      <c r="D464" s="1">
        <v>46210.949201388888</v>
      </c>
      <c r="E464" t="s">
        <v>42</v>
      </c>
      <c r="F464" t="s">
        <v>83</v>
      </c>
      <c r="G464">
        <v>0</v>
      </c>
      <c r="H464">
        <v>33206</v>
      </c>
      <c r="I464" t="s">
        <v>167</v>
      </c>
      <c r="J464">
        <v>35</v>
      </c>
      <c r="K464">
        <v>4</v>
      </c>
      <c r="L464">
        <v>98</v>
      </c>
      <c r="M464">
        <v>630.29998779000005</v>
      </c>
      <c r="N464" t="s">
        <v>85</v>
      </c>
      <c r="O464" t="s">
        <v>82</v>
      </c>
      <c r="P464">
        <v>125</v>
      </c>
      <c r="Q464" t="s">
        <v>82</v>
      </c>
      <c r="R464">
        <v>0</v>
      </c>
      <c r="S464">
        <v>0</v>
      </c>
      <c r="T464">
        <v>-40</v>
      </c>
      <c r="U464">
        <v>39</v>
      </c>
      <c r="V464">
        <v>0</v>
      </c>
      <c r="W464">
        <v>29</v>
      </c>
      <c r="X464">
        <v>29</v>
      </c>
      <c r="Y464">
        <v>1</v>
      </c>
      <c r="Z464">
        <v>1</v>
      </c>
      <c r="AA464">
        <v>26</v>
      </c>
      <c r="AB464">
        <v>6</v>
      </c>
      <c r="AC464">
        <v>5</v>
      </c>
      <c r="AD464">
        <v>3.2839999199999999</v>
      </c>
      <c r="AE464">
        <v>1</v>
      </c>
      <c r="AF464">
        <v>1</v>
      </c>
      <c r="AG464">
        <v>3.2809998999999999</v>
      </c>
      <c r="AH464">
        <v>7</v>
      </c>
      <c r="AI464">
        <v>1</v>
      </c>
      <c r="AJ464">
        <v>1</v>
      </c>
      <c r="AK464">
        <v>19</v>
      </c>
      <c r="AL464">
        <v>36</v>
      </c>
      <c r="AM464" t="s">
        <v>43</v>
      </c>
      <c r="AN464" t="str">
        <f>HYPERLINK("https://www.google.com/maps?q=11.05476761,79.06095123","Open Location")</f>
        <v>Open Location</v>
      </c>
    </row>
    <row r="465" spans="1:40" x14ac:dyDescent="0.3">
      <c r="A465" s="1">
        <v>46210.945949074077</v>
      </c>
      <c r="B465" t="s">
        <v>40</v>
      </c>
      <c r="C465" t="s">
        <v>41</v>
      </c>
      <c r="D465" s="1">
        <v>46210.948935185188</v>
      </c>
      <c r="E465" t="s">
        <v>42</v>
      </c>
      <c r="F465" t="s">
        <v>83</v>
      </c>
      <c r="G465">
        <v>0</v>
      </c>
      <c r="H465">
        <v>33206</v>
      </c>
      <c r="I465" t="s">
        <v>158</v>
      </c>
      <c r="J465">
        <v>35</v>
      </c>
      <c r="K465">
        <v>4</v>
      </c>
      <c r="L465">
        <v>98</v>
      </c>
      <c r="M465">
        <v>630.09997558999999</v>
      </c>
      <c r="N465" t="s">
        <v>85</v>
      </c>
      <c r="O465" t="s">
        <v>82</v>
      </c>
      <c r="P465">
        <v>125</v>
      </c>
      <c r="Q465" t="s">
        <v>82</v>
      </c>
      <c r="R465">
        <v>0</v>
      </c>
      <c r="S465">
        <v>0</v>
      </c>
      <c r="T465">
        <v>-40</v>
      </c>
      <c r="U465">
        <v>39</v>
      </c>
      <c r="V465">
        <v>0</v>
      </c>
      <c r="W465">
        <v>29</v>
      </c>
      <c r="X465">
        <v>29</v>
      </c>
      <c r="Y465">
        <v>1</v>
      </c>
      <c r="Z465">
        <v>1</v>
      </c>
      <c r="AA465">
        <v>26</v>
      </c>
      <c r="AB465">
        <v>6</v>
      </c>
      <c r="AC465">
        <v>5</v>
      </c>
      <c r="AD465">
        <v>3.2839999199999999</v>
      </c>
      <c r="AE465">
        <v>1</v>
      </c>
      <c r="AF465">
        <v>1</v>
      </c>
      <c r="AG465">
        <v>3.2809998999999999</v>
      </c>
      <c r="AH465">
        <v>7</v>
      </c>
      <c r="AI465">
        <v>1</v>
      </c>
      <c r="AJ465">
        <v>1</v>
      </c>
      <c r="AK465">
        <v>19</v>
      </c>
      <c r="AL465">
        <v>36</v>
      </c>
      <c r="AM465" t="s">
        <v>43</v>
      </c>
      <c r="AN465" t="str">
        <f>HYPERLINK("https://www.google.com/maps?q=11.05477142,79.06095123","Open Location")</f>
        <v>Open Location</v>
      </c>
    </row>
    <row r="466" spans="1:40" x14ac:dyDescent="0.3">
      <c r="A466" s="1">
        <v>46210.945833333331</v>
      </c>
      <c r="B466" t="s">
        <v>40</v>
      </c>
      <c r="C466" t="s">
        <v>41</v>
      </c>
      <c r="D466" s="1">
        <v>46210.948807870373</v>
      </c>
      <c r="E466" t="s">
        <v>42</v>
      </c>
      <c r="F466" t="s">
        <v>83</v>
      </c>
      <c r="G466">
        <v>0</v>
      </c>
      <c r="H466" t="s">
        <v>43</v>
      </c>
      <c r="I466" t="s">
        <v>163</v>
      </c>
      <c r="J466">
        <v>35</v>
      </c>
      <c r="K466">
        <v>4</v>
      </c>
      <c r="L466">
        <v>98</v>
      </c>
      <c r="M466">
        <v>630.40002441000001</v>
      </c>
      <c r="N466" t="s">
        <v>85</v>
      </c>
      <c r="O466" t="s">
        <v>82</v>
      </c>
      <c r="P466">
        <v>125</v>
      </c>
      <c r="Q466" t="s">
        <v>82</v>
      </c>
      <c r="R466">
        <v>0</v>
      </c>
      <c r="S466">
        <v>0</v>
      </c>
      <c r="T466">
        <v>-40</v>
      </c>
      <c r="U466">
        <v>39</v>
      </c>
      <c r="V466">
        <v>0</v>
      </c>
      <c r="W466">
        <v>29</v>
      </c>
      <c r="X466">
        <v>29</v>
      </c>
      <c r="Y466">
        <v>1</v>
      </c>
      <c r="Z466">
        <v>1</v>
      </c>
      <c r="AA466">
        <v>26</v>
      </c>
      <c r="AB466">
        <v>6</v>
      </c>
      <c r="AC466">
        <v>5</v>
      </c>
      <c r="AD466">
        <v>3.2839999199999999</v>
      </c>
      <c r="AE466">
        <v>1</v>
      </c>
      <c r="AF466">
        <v>1</v>
      </c>
      <c r="AG466">
        <v>3.2809998999999999</v>
      </c>
      <c r="AH466">
        <v>7</v>
      </c>
      <c r="AI466">
        <v>1</v>
      </c>
      <c r="AJ466">
        <v>1</v>
      </c>
      <c r="AK466">
        <v>20</v>
      </c>
      <c r="AL466">
        <v>36</v>
      </c>
      <c r="AM466" t="s">
        <v>43</v>
      </c>
      <c r="AN466" t="str">
        <f>HYPERLINK("https://www.google.com/maps?q=11.05477142,79.0609436","Open Location")</f>
        <v>Open Location</v>
      </c>
    </row>
    <row r="467" spans="1:40" x14ac:dyDescent="0.3">
      <c r="A467" s="1">
        <v>46210.945717592593</v>
      </c>
      <c r="B467" t="s">
        <v>40</v>
      </c>
      <c r="C467" t="s">
        <v>41</v>
      </c>
      <c r="D467" s="1">
        <v>46210.948344907411</v>
      </c>
      <c r="E467" t="s">
        <v>42</v>
      </c>
      <c r="F467" t="s">
        <v>83</v>
      </c>
      <c r="G467">
        <v>0</v>
      </c>
      <c r="H467">
        <v>33206</v>
      </c>
      <c r="I467" t="s">
        <v>43</v>
      </c>
      <c r="J467">
        <v>35</v>
      </c>
      <c r="K467">
        <v>4</v>
      </c>
      <c r="L467">
        <v>98</v>
      </c>
      <c r="M467">
        <v>630.40002441000001</v>
      </c>
      <c r="N467" t="s">
        <v>85</v>
      </c>
      <c r="O467" t="s">
        <v>82</v>
      </c>
      <c r="P467">
        <v>125</v>
      </c>
      <c r="Q467" t="s">
        <v>82</v>
      </c>
      <c r="R467">
        <v>0</v>
      </c>
      <c r="S467">
        <v>0</v>
      </c>
      <c r="T467">
        <v>-40</v>
      </c>
      <c r="U467">
        <v>39</v>
      </c>
      <c r="V467">
        <v>0</v>
      </c>
      <c r="W467">
        <v>29</v>
      </c>
      <c r="X467">
        <v>29</v>
      </c>
      <c r="Y467">
        <v>1</v>
      </c>
      <c r="Z467">
        <v>1</v>
      </c>
      <c r="AA467">
        <v>26</v>
      </c>
      <c r="AB467">
        <v>6</v>
      </c>
      <c r="AC467">
        <v>5</v>
      </c>
      <c r="AD467">
        <v>3.2839999199999999</v>
      </c>
      <c r="AE467">
        <v>1</v>
      </c>
      <c r="AF467">
        <v>1</v>
      </c>
      <c r="AG467">
        <v>3.2809998999999999</v>
      </c>
      <c r="AH467">
        <v>7</v>
      </c>
      <c r="AI467">
        <v>1</v>
      </c>
      <c r="AJ467">
        <v>1</v>
      </c>
      <c r="AK467">
        <v>20</v>
      </c>
      <c r="AL467">
        <v>36</v>
      </c>
      <c r="AM467" t="s">
        <v>43</v>
      </c>
      <c r="AN467" t="s">
        <v>43</v>
      </c>
    </row>
    <row r="468" spans="1:40" x14ac:dyDescent="0.3">
      <c r="A468" s="1">
        <v>46210.945601851854</v>
      </c>
      <c r="B468" t="s">
        <v>40</v>
      </c>
      <c r="C468" t="s">
        <v>41</v>
      </c>
      <c r="D468" s="1">
        <v>46210.948449074072</v>
      </c>
      <c r="E468" t="s">
        <v>42</v>
      </c>
      <c r="F468" t="s">
        <v>83</v>
      </c>
      <c r="G468">
        <v>0</v>
      </c>
      <c r="H468">
        <v>33206</v>
      </c>
      <c r="I468" t="s">
        <v>43</v>
      </c>
      <c r="J468">
        <v>35</v>
      </c>
      <c r="K468">
        <v>4</v>
      </c>
      <c r="L468">
        <v>98</v>
      </c>
      <c r="M468">
        <v>629.59997558999999</v>
      </c>
      <c r="N468" t="s">
        <v>85</v>
      </c>
      <c r="O468" t="s">
        <v>82</v>
      </c>
      <c r="P468">
        <v>125</v>
      </c>
      <c r="Q468" t="s">
        <v>82</v>
      </c>
      <c r="R468">
        <v>0</v>
      </c>
      <c r="S468">
        <v>0</v>
      </c>
      <c r="T468">
        <v>-40</v>
      </c>
      <c r="U468">
        <v>39</v>
      </c>
      <c r="V468">
        <v>0</v>
      </c>
      <c r="W468">
        <v>29</v>
      </c>
      <c r="X468">
        <v>29</v>
      </c>
      <c r="Y468">
        <v>1</v>
      </c>
      <c r="Z468">
        <v>1</v>
      </c>
      <c r="AA468">
        <v>26</v>
      </c>
      <c r="AB468">
        <v>6</v>
      </c>
      <c r="AC468">
        <v>5</v>
      </c>
      <c r="AD468">
        <v>3.2839999199999999</v>
      </c>
      <c r="AE468">
        <v>1</v>
      </c>
      <c r="AF468">
        <v>1</v>
      </c>
      <c r="AG468">
        <v>3.2809998999999999</v>
      </c>
      <c r="AH468">
        <v>7</v>
      </c>
      <c r="AI468">
        <v>1</v>
      </c>
      <c r="AJ468" t="s">
        <v>43</v>
      </c>
      <c r="AK468" t="s">
        <v>43</v>
      </c>
      <c r="AL468" t="s">
        <v>43</v>
      </c>
      <c r="AM468" t="s">
        <v>43</v>
      </c>
      <c r="AN468" t="s">
        <v>43</v>
      </c>
    </row>
    <row r="469" spans="1:40" x14ac:dyDescent="0.3">
      <c r="A469" s="1">
        <v>46210.945486111108</v>
      </c>
      <c r="B469" t="s">
        <v>40</v>
      </c>
      <c r="C469" t="s">
        <v>41</v>
      </c>
      <c r="D469" s="1">
        <v>46210.948425925926</v>
      </c>
      <c r="E469" t="s">
        <v>42</v>
      </c>
      <c r="F469" t="s">
        <v>83</v>
      </c>
      <c r="G469">
        <v>0</v>
      </c>
      <c r="H469">
        <v>33206</v>
      </c>
      <c r="I469" t="s">
        <v>243</v>
      </c>
      <c r="J469">
        <v>35</v>
      </c>
      <c r="K469">
        <v>4</v>
      </c>
      <c r="L469">
        <v>98</v>
      </c>
      <c r="M469">
        <v>629.5</v>
      </c>
      <c r="N469" t="s">
        <v>85</v>
      </c>
      <c r="O469" t="s">
        <v>82</v>
      </c>
      <c r="P469">
        <v>125</v>
      </c>
      <c r="Q469" t="s">
        <v>82</v>
      </c>
      <c r="R469">
        <v>0</v>
      </c>
      <c r="S469">
        <v>0</v>
      </c>
      <c r="T469">
        <v>-40</v>
      </c>
      <c r="U469">
        <v>39</v>
      </c>
      <c r="V469">
        <v>0</v>
      </c>
      <c r="W469">
        <v>29</v>
      </c>
      <c r="X469">
        <v>29</v>
      </c>
      <c r="Y469">
        <v>1</v>
      </c>
      <c r="Z469">
        <v>1</v>
      </c>
      <c r="AA469">
        <v>26</v>
      </c>
      <c r="AB469">
        <v>6</v>
      </c>
      <c r="AC469">
        <v>5</v>
      </c>
      <c r="AD469">
        <v>3.2839999199999999</v>
      </c>
      <c r="AE469">
        <v>1</v>
      </c>
      <c r="AF469">
        <v>1</v>
      </c>
      <c r="AG469">
        <v>3.2809998999999999</v>
      </c>
      <c r="AH469">
        <v>7</v>
      </c>
      <c r="AI469">
        <v>1</v>
      </c>
      <c r="AJ469">
        <v>1</v>
      </c>
      <c r="AK469">
        <v>19</v>
      </c>
      <c r="AL469">
        <v>36</v>
      </c>
      <c r="AM469" t="s">
        <v>43</v>
      </c>
      <c r="AN469" t="str">
        <f>HYPERLINK("https://www.google.com/maps?q=11.05477715,79.0609436","Open Location")</f>
        <v>Open Location</v>
      </c>
    </row>
    <row r="470" spans="1:40" x14ac:dyDescent="0.3">
      <c r="A470" s="1">
        <v>46210.945370370369</v>
      </c>
      <c r="B470" t="s">
        <v>40</v>
      </c>
      <c r="C470" t="s">
        <v>41</v>
      </c>
      <c r="D470" s="1">
        <v>46210.948425925926</v>
      </c>
      <c r="E470" t="s">
        <v>42</v>
      </c>
      <c r="F470" t="s">
        <v>83</v>
      </c>
      <c r="G470">
        <v>0</v>
      </c>
      <c r="H470">
        <v>33206</v>
      </c>
      <c r="I470" t="s">
        <v>244</v>
      </c>
      <c r="J470">
        <v>35</v>
      </c>
      <c r="K470">
        <v>4</v>
      </c>
      <c r="L470">
        <v>98</v>
      </c>
      <c r="M470">
        <v>630.40002441000001</v>
      </c>
      <c r="N470" t="s">
        <v>85</v>
      </c>
      <c r="O470" t="s">
        <v>82</v>
      </c>
      <c r="P470">
        <v>125</v>
      </c>
      <c r="Q470" t="s">
        <v>82</v>
      </c>
      <c r="R470">
        <v>0</v>
      </c>
      <c r="S470">
        <v>0</v>
      </c>
      <c r="T470">
        <v>-40</v>
      </c>
      <c r="U470">
        <v>39</v>
      </c>
      <c r="V470">
        <v>0</v>
      </c>
      <c r="W470">
        <v>29</v>
      </c>
      <c r="X470">
        <v>29</v>
      </c>
      <c r="Y470">
        <v>1</v>
      </c>
      <c r="Z470">
        <v>1</v>
      </c>
      <c r="AA470">
        <v>26</v>
      </c>
      <c r="AB470">
        <v>6</v>
      </c>
      <c r="AC470">
        <v>5</v>
      </c>
      <c r="AD470">
        <v>3.2839999199999999</v>
      </c>
      <c r="AE470">
        <v>1</v>
      </c>
      <c r="AF470">
        <v>1</v>
      </c>
      <c r="AG470">
        <v>3.2809998999999999</v>
      </c>
      <c r="AH470">
        <v>7</v>
      </c>
      <c r="AI470">
        <v>1</v>
      </c>
      <c r="AJ470">
        <v>1</v>
      </c>
      <c r="AK470">
        <v>20</v>
      </c>
      <c r="AL470">
        <v>36</v>
      </c>
      <c r="AM470" t="s">
        <v>43</v>
      </c>
      <c r="AN470" t="str">
        <f>HYPERLINK("https://www.google.com/maps?q=11.05477619,79.0609436","Open Location")</f>
        <v>Open Location</v>
      </c>
    </row>
    <row r="471" spans="1:40" x14ac:dyDescent="0.3">
      <c r="A471" s="1">
        <v>46210.945254629631</v>
      </c>
      <c r="B471" t="s">
        <v>40</v>
      </c>
      <c r="C471" t="s">
        <v>41</v>
      </c>
      <c r="D471" s="1">
        <v>46210.947974537034</v>
      </c>
      <c r="E471" t="s">
        <v>42</v>
      </c>
      <c r="F471" t="s">
        <v>83</v>
      </c>
      <c r="G471">
        <v>0</v>
      </c>
      <c r="H471">
        <v>33206</v>
      </c>
      <c r="I471" t="s">
        <v>219</v>
      </c>
      <c r="J471">
        <v>35</v>
      </c>
      <c r="K471">
        <v>4</v>
      </c>
      <c r="L471">
        <v>98</v>
      </c>
      <c r="M471">
        <v>629.59997558999999</v>
      </c>
      <c r="N471" t="s">
        <v>85</v>
      </c>
      <c r="O471" t="s">
        <v>82</v>
      </c>
      <c r="P471">
        <v>125</v>
      </c>
      <c r="Q471" t="s">
        <v>82</v>
      </c>
      <c r="R471">
        <v>0</v>
      </c>
      <c r="S471">
        <v>0</v>
      </c>
      <c r="T471">
        <v>-40</v>
      </c>
      <c r="U471">
        <v>39</v>
      </c>
      <c r="V471">
        <v>0</v>
      </c>
      <c r="W471">
        <v>29</v>
      </c>
      <c r="X471">
        <v>29</v>
      </c>
      <c r="Y471">
        <v>1</v>
      </c>
      <c r="Z471">
        <v>1</v>
      </c>
      <c r="AA471">
        <v>26</v>
      </c>
      <c r="AB471">
        <v>6</v>
      </c>
      <c r="AC471">
        <v>5</v>
      </c>
      <c r="AD471">
        <v>3.2839999199999999</v>
      </c>
      <c r="AE471">
        <v>1</v>
      </c>
      <c r="AF471">
        <v>1</v>
      </c>
      <c r="AG471">
        <v>3.2809998999999999</v>
      </c>
      <c r="AH471">
        <v>7</v>
      </c>
      <c r="AI471">
        <v>1</v>
      </c>
      <c r="AJ471">
        <v>1</v>
      </c>
      <c r="AK471">
        <v>19</v>
      </c>
      <c r="AL471">
        <v>36</v>
      </c>
      <c r="AM471" t="s">
        <v>43</v>
      </c>
      <c r="AN471" t="str">
        <f>HYPERLINK("https://www.google.com/maps?q=11.05477047,79.0609436","Open Location")</f>
        <v>Open Location</v>
      </c>
    </row>
    <row r="472" spans="1:40" x14ac:dyDescent="0.3">
      <c r="A472" s="1">
        <v>46210.945138888892</v>
      </c>
      <c r="B472" t="s">
        <v>40</v>
      </c>
      <c r="C472" t="s">
        <v>41</v>
      </c>
      <c r="D472" s="1">
        <v>46210.948101851849</v>
      </c>
      <c r="E472" t="s">
        <v>42</v>
      </c>
      <c r="F472" t="s">
        <v>83</v>
      </c>
      <c r="G472">
        <v>0</v>
      </c>
      <c r="H472">
        <v>33206</v>
      </c>
      <c r="I472" t="s">
        <v>168</v>
      </c>
      <c r="J472">
        <v>35</v>
      </c>
      <c r="K472">
        <v>4</v>
      </c>
      <c r="L472">
        <v>98</v>
      </c>
      <c r="M472">
        <v>630.29998779000005</v>
      </c>
      <c r="N472" t="s">
        <v>85</v>
      </c>
      <c r="O472" t="s">
        <v>82</v>
      </c>
      <c r="P472">
        <v>125</v>
      </c>
      <c r="Q472" t="s">
        <v>82</v>
      </c>
      <c r="R472">
        <v>0</v>
      </c>
      <c r="S472">
        <v>0</v>
      </c>
      <c r="T472">
        <v>-40</v>
      </c>
      <c r="U472">
        <v>39</v>
      </c>
      <c r="V472">
        <v>0</v>
      </c>
      <c r="W472">
        <v>29</v>
      </c>
      <c r="X472">
        <v>29</v>
      </c>
      <c r="Y472">
        <v>1</v>
      </c>
      <c r="Z472">
        <v>1</v>
      </c>
      <c r="AA472">
        <v>26</v>
      </c>
      <c r="AB472">
        <v>6</v>
      </c>
      <c r="AC472">
        <v>5</v>
      </c>
      <c r="AD472">
        <v>3.2839999199999999</v>
      </c>
      <c r="AE472">
        <v>1</v>
      </c>
      <c r="AF472">
        <v>1</v>
      </c>
      <c r="AG472">
        <v>3.2809998999999999</v>
      </c>
      <c r="AH472">
        <v>7</v>
      </c>
      <c r="AI472">
        <v>1</v>
      </c>
      <c r="AJ472">
        <v>1</v>
      </c>
      <c r="AK472">
        <v>20</v>
      </c>
      <c r="AL472">
        <v>36</v>
      </c>
      <c r="AM472" t="s">
        <v>43</v>
      </c>
      <c r="AN472" t="str">
        <f>HYPERLINK("https://www.google.com/maps?q=11.05477047,79.06095123","Open Location")</f>
        <v>Open Location</v>
      </c>
    </row>
    <row r="473" spans="1:40" x14ac:dyDescent="0.3">
      <c r="A473" s="1">
        <v>46210.945023148146</v>
      </c>
      <c r="B473" t="s">
        <v>40</v>
      </c>
      <c r="C473" t="s">
        <v>41</v>
      </c>
      <c r="D473" s="1">
        <v>46210.947766203702</v>
      </c>
      <c r="E473" t="s">
        <v>42</v>
      </c>
      <c r="F473" t="s">
        <v>83</v>
      </c>
      <c r="G473">
        <v>0</v>
      </c>
      <c r="H473">
        <v>33206</v>
      </c>
      <c r="I473" t="s">
        <v>43</v>
      </c>
      <c r="J473">
        <v>35</v>
      </c>
      <c r="K473">
        <v>4</v>
      </c>
      <c r="L473">
        <v>98</v>
      </c>
      <c r="M473">
        <v>629.59997558999999</v>
      </c>
      <c r="N473" t="s">
        <v>85</v>
      </c>
      <c r="O473" t="s">
        <v>82</v>
      </c>
      <c r="P473">
        <v>125</v>
      </c>
      <c r="Q473" t="s">
        <v>82</v>
      </c>
      <c r="R473">
        <v>0</v>
      </c>
      <c r="S473">
        <v>0</v>
      </c>
      <c r="T473">
        <v>-40</v>
      </c>
      <c r="U473">
        <v>39</v>
      </c>
      <c r="V473">
        <v>0</v>
      </c>
      <c r="W473">
        <v>29</v>
      </c>
      <c r="X473">
        <v>29</v>
      </c>
      <c r="Y473">
        <v>1</v>
      </c>
      <c r="Z473">
        <v>1</v>
      </c>
      <c r="AA473">
        <v>26</v>
      </c>
      <c r="AB473">
        <v>6</v>
      </c>
      <c r="AC473">
        <v>5</v>
      </c>
      <c r="AD473">
        <v>3.28500009</v>
      </c>
      <c r="AE473">
        <v>1</v>
      </c>
      <c r="AF473">
        <v>25</v>
      </c>
      <c r="AG473">
        <v>3.2809998999999999</v>
      </c>
      <c r="AH473">
        <v>7</v>
      </c>
      <c r="AI473">
        <v>1</v>
      </c>
      <c r="AJ473">
        <v>1</v>
      </c>
      <c r="AK473">
        <v>20</v>
      </c>
      <c r="AL473">
        <v>36</v>
      </c>
      <c r="AM473" t="s">
        <v>43</v>
      </c>
      <c r="AN473" t="s">
        <v>43</v>
      </c>
    </row>
    <row r="474" spans="1:40" x14ac:dyDescent="0.3">
      <c r="A474" s="1">
        <v>46210.944907407407</v>
      </c>
      <c r="B474" t="s">
        <v>40</v>
      </c>
      <c r="C474" t="s">
        <v>41</v>
      </c>
      <c r="D474" s="1">
        <v>46210.947777777779</v>
      </c>
      <c r="E474" t="s">
        <v>42</v>
      </c>
      <c r="F474" t="s">
        <v>83</v>
      </c>
      <c r="G474">
        <v>0</v>
      </c>
      <c r="H474" t="s">
        <v>43</v>
      </c>
      <c r="I474" t="s">
        <v>43</v>
      </c>
      <c r="J474">
        <v>35</v>
      </c>
      <c r="K474">
        <v>4</v>
      </c>
      <c r="L474">
        <v>98</v>
      </c>
      <c r="M474">
        <v>629.70001220999995</v>
      </c>
      <c r="N474" t="s">
        <v>85</v>
      </c>
      <c r="O474" t="s">
        <v>82</v>
      </c>
      <c r="P474">
        <v>125</v>
      </c>
      <c r="Q474" t="s">
        <v>82</v>
      </c>
      <c r="R474">
        <v>0</v>
      </c>
      <c r="S474">
        <v>0</v>
      </c>
      <c r="T474">
        <v>-40</v>
      </c>
      <c r="U474">
        <v>39</v>
      </c>
      <c r="V474">
        <v>0</v>
      </c>
      <c r="W474">
        <v>29</v>
      </c>
      <c r="X474">
        <v>29</v>
      </c>
      <c r="Y474">
        <v>1</v>
      </c>
      <c r="Z474">
        <v>1</v>
      </c>
      <c r="AA474">
        <v>26</v>
      </c>
      <c r="AB474">
        <v>6</v>
      </c>
      <c r="AC474">
        <v>5</v>
      </c>
      <c r="AD474">
        <v>3.28500009</v>
      </c>
      <c r="AE474">
        <v>1</v>
      </c>
      <c r="AF474">
        <v>25</v>
      </c>
      <c r="AG474">
        <v>3.2809998999999999</v>
      </c>
      <c r="AH474">
        <v>7</v>
      </c>
      <c r="AI474">
        <v>1</v>
      </c>
      <c r="AJ474" t="s">
        <v>43</v>
      </c>
      <c r="AK474" t="s">
        <v>43</v>
      </c>
      <c r="AL474" t="s">
        <v>43</v>
      </c>
      <c r="AM474" t="s">
        <v>43</v>
      </c>
      <c r="AN474" t="s">
        <v>43</v>
      </c>
    </row>
    <row r="475" spans="1:40" x14ac:dyDescent="0.3">
      <c r="A475" s="1">
        <v>46210.944791666669</v>
      </c>
      <c r="B475" t="s">
        <v>40</v>
      </c>
      <c r="C475" t="s">
        <v>41</v>
      </c>
      <c r="D475" s="1">
        <v>46210.947777777779</v>
      </c>
      <c r="E475" t="s">
        <v>42</v>
      </c>
      <c r="F475" t="s">
        <v>83</v>
      </c>
      <c r="G475">
        <v>0</v>
      </c>
      <c r="H475">
        <v>33206</v>
      </c>
      <c r="I475" t="s">
        <v>97</v>
      </c>
      <c r="J475">
        <v>35</v>
      </c>
      <c r="K475">
        <v>4</v>
      </c>
      <c r="L475">
        <v>98</v>
      </c>
      <c r="M475">
        <v>630.29998779000005</v>
      </c>
      <c r="N475" t="s">
        <v>85</v>
      </c>
      <c r="O475" t="s">
        <v>82</v>
      </c>
      <c r="P475">
        <v>125</v>
      </c>
      <c r="Q475" t="s">
        <v>82</v>
      </c>
      <c r="R475">
        <v>0</v>
      </c>
      <c r="S475">
        <v>0</v>
      </c>
      <c r="T475">
        <v>-40</v>
      </c>
      <c r="U475">
        <v>39</v>
      </c>
      <c r="V475">
        <v>0</v>
      </c>
      <c r="W475">
        <v>29</v>
      </c>
      <c r="X475">
        <v>29</v>
      </c>
      <c r="Y475">
        <v>1</v>
      </c>
      <c r="Z475">
        <v>1</v>
      </c>
      <c r="AA475">
        <v>26</v>
      </c>
      <c r="AB475">
        <v>6</v>
      </c>
      <c r="AC475">
        <v>5</v>
      </c>
      <c r="AD475">
        <v>3.2839999199999999</v>
      </c>
      <c r="AE475">
        <v>1</v>
      </c>
      <c r="AF475">
        <v>1</v>
      </c>
      <c r="AG475">
        <v>3.2809998999999999</v>
      </c>
      <c r="AH475">
        <v>7</v>
      </c>
      <c r="AI475">
        <v>1</v>
      </c>
      <c r="AJ475">
        <v>1</v>
      </c>
      <c r="AK475">
        <v>20</v>
      </c>
      <c r="AL475">
        <v>36</v>
      </c>
      <c r="AM475" t="s">
        <v>43</v>
      </c>
      <c r="AN475" t="str">
        <f>HYPERLINK("https://www.google.com/maps?q=11.05477047,79.06095886","Open Location")</f>
        <v>Open Location</v>
      </c>
    </row>
    <row r="476" spans="1:40" x14ac:dyDescent="0.3">
      <c r="A476" s="1">
        <v>46210.944675925923</v>
      </c>
      <c r="B476" t="s">
        <v>40</v>
      </c>
      <c r="C476" t="s">
        <v>41</v>
      </c>
      <c r="D476" s="1">
        <v>46210.948020833333</v>
      </c>
      <c r="E476" t="s">
        <v>42</v>
      </c>
      <c r="F476" t="s">
        <v>83</v>
      </c>
      <c r="G476">
        <v>0</v>
      </c>
      <c r="H476">
        <v>33206</v>
      </c>
      <c r="I476" t="s">
        <v>159</v>
      </c>
      <c r="J476">
        <v>35</v>
      </c>
      <c r="K476">
        <v>4</v>
      </c>
      <c r="L476">
        <v>98</v>
      </c>
      <c r="M476">
        <v>630.09997558999999</v>
      </c>
      <c r="N476" t="s">
        <v>85</v>
      </c>
      <c r="O476" t="s">
        <v>82</v>
      </c>
      <c r="P476">
        <v>125</v>
      </c>
      <c r="Q476" t="s">
        <v>82</v>
      </c>
      <c r="R476">
        <v>0</v>
      </c>
      <c r="S476">
        <v>0</v>
      </c>
      <c r="T476">
        <v>-40</v>
      </c>
      <c r="U476">
        <v>39</v>
      </c>
      <c r="V476">
        <v>0</v>
      </c>
      <c r="W476">
        <v>29</v>
      </c>
      <c r="X476">
        <v>29</v>
      </c>
      <c r="Y476">
        <v>1</v>
      </c>
      <c r="Z476">
        <v>1</v>
      </c>
      <c r="AA476">
        <v>26</v>
      </c>
      <c r="AB476">
        <v>6</v>
      </c>
      <c r="AC476">
        <v>5</v>
      </c>
      <c r="AD476">
        <v>3.2839999199999999</v>
      </c>
      <c r="AE476">
        <v>1</v>
      </c>
      <c r="AF476">
        <v>1</v>
      </c>
      <c r="AG476">
        <v>3.2809998999999999</v>
      </c>
      <c r="AH476">
        <v>7</v>
      </c>
      <c r="AI476">
        <v>1</v>
      </c>
      <c r="AJ476">
        <v>1</v>
      </c>
      <c r="AK476">
        <v>20</v>
      </c>
      <c r="AL476">
        <v>36</v>
      </c>
      <c r="AM476" t="s">
        <v>43</v>
      </c>
      <c r="AN476" t="str">
        <f>HYPERLINK("https://www.google.com/maps?q=11.05477333,79.06095123","Open Location")</f>
        <v>Open Location</v>
      </c>
    </row>
    <row r="477" spans="1:40" x14ac:dyDescent="0.3">
      <c r="A477" s="1">
        <v>46210.944560185184</v>
      </c>
      <c r="B477" t="s">
        <v>40</v>
      </c>
      <c r="C477" t="s">
        <v>41</v>
      </c>
      <c r="D477" s="1">
        <v>46210.947372685187</v>
      </c>
      <c r="E477" t="s">
        <v>42</v>
      </c>
      <c r="F477" t="s">
        <v>83</v>
      </c>
      <c r="G477">
        <v>0</v>
      </c>
      <c r="H477">
        <v>33206</v>
      </c>
      <c r="I477" t="s">
        <v>158</v>
      </c>
      <c r="J477">
        <v>35</v>
      </c>
      <c r="K477">
        <v>4</v>
      </c>
      <c r="L477">
        <v>98</v>
      </c>
      <c r="M477">
        <v>630.20001220999995</v>
      </c>
      <c r="N477" t="s">
        <v>85</v>
      </c>
      <c r="O477" t="s">
        <v>82</v>
      </c>
      <c r="P477">
        <v>125</v>
      </c>
      <c r="Q477" t="s">
        <v>82</v>
      </c>
      <c r="R477">
        <v>0</v>
      </c>
      <c r="S477">
        <v>0</v>
      </c>
      <c r="T477">
        <v>-40</v>
      </c>
      <c r="U477">
        <v>39</v>
      </c>
      <c r="V477">
        <v>0</v>
      </c>
      <c r="W477">
        <v>29</v>
      </c>
      <c r="X477">
        <v>29</v>
      </c>
      <c r="Y477">
        <v>1</v>
      </c>
      <c r="Z477">
        <v>1</v>
      </c>
      <c r="AA477">
        <v>26</v>
      </c>
      <c r="AB477">
        <v>6</v>
      </c>
      <c r="AC477">
        <v>5</v>
      </c>
      <c r="AD477">
        <v>3.2839999199999999</v>
      </c>
      <c r="AE477">
        <v>1</v>
      </c>
      <c r="AF477">
        <v>1</v>
      </c>
      <c r="AG477">
        <v>3.2809998999999999</v>
      </c>
      <c r="AH477">
        <v>7</v>
      </c>
      <c r="AI477">
        <v>1</v>
      </c>
      <c r="AJ477">
        <v>1</v>
      </c>
      <c r="AK477">
        <v>19</v>
      </c>
      <c r="AL477">
        <v>36</v>
      </c>
      <c r="AM477" t="s">
        <v>43</v>
      </c>
      <c r="AN477" t="str">
        <f>HYPERLINK("https://www.google.com/maps?q=11.05477142,79.06095123","Open Location")</f>
        <v>Open Location</v>
      </c>
    </row>
    <row r="478" spans="1:40" x14ac:dyDescent="0.3">
      <c r="A478" s="1">
        <v>46210.944444444445</v>
      </c>
      <c r="B478" t="s">
        <v>40</v>
      </c>
      <c r="C478" t="s">
        <v>41</v>
      </c>
      <c r="D478" s="1">
        <v>46210.947662037041</v>
      </c>
      <c r="E478" t="s">
        <v>42</v>
      </c>
      <c r="F478" t="s">
        <v>83</v>
      </c>
      <c r="G478">
        <v>0</v>
      </c>
      <c r="H478">
        <v>33206</v>
      </c>
      <c r="I478" t="s">
        <v>158</v>
      </c>
      <c r="J478">
        <v>35</v>
      </c>
      <c r="K478">
        <v>4</v>
      </c>
      <c r="L478">
        <v>98</v>
      </c>
      <c r="M478">
        <v>630.20001220999995</v>
      </c>
      <c r="N478" t="s">
        <v>85</v>
      </c>
      <c r="O478" t="s">
        <v>82</v>
      </c>
      <c r="P478">
        <v>125</v>
      </c>
      <c r="Q478" t="s">
        <v>82</v>
      </c>
      <c r="R478">
        <v>0</v>
      </c>
      <c r="S478">
        <v>0</v>
      </c>
      <c r="T478">
        <v>-40</v>
      </c>
      <c r="U478">
        <v>39</v>
      </c>
      <c r="V478">
        <v>0</v>
      </c>
      <c r="W478">
        <v>29</v>
      </c>
      <c r="X478">
        <v>29</v>
      </c>
      <c r="Y478">
        <v>1</v>
      </c>
      <c r="Z478">
        <v>1</v>
      </c>
      <c r="AA478">
        <v>26</v>
      </c>
      <c r="AB478">
        <v>6</v>
      </c>
      <c r="AC478">
        <v>5</v>
      </c>
      <c r="AD478">
        <v>3.2839999199999999</v>
      </c>
      <c r="AE478">
        <v>1</v>
      </c>
      <c r="AF478">
        <v>1</v>
      </c>
      <c r="AG478">
        <v>3.2809998999999999</v>
      </c>
      <c r="AH478">
        <v>7</v>
      </c>
      <c r="AI478">
        <v>1</v>
      </c>
      <c r="AJ478">
        <v>1</v>
      </c>
      <c r="AK478">
        <v>20</v>
      </c>
      <c r="AL478">
        <v>36</v>
      </c>
      <c r="AM478" t="s">
        <v>43</v>
      </c>
      <c r="AN478" t="str">
        <f>HYPERLINK("https://www.google.com/maps?q=11.05477142,79.06095123","Open Location")</f>
        <v>Open Location</v>
      </c>
    </row>
    <row r="479" spans="1:40" x14ac:dyDescent="0.3">
      <c r="A479" s="1">
        <v>46210.944328703707</v>
      </c>
      <c r="B479" t="s">
        <v>40</v>
      </c>
      <c r="C479" t="s">
        <v>41</v>
      </c>
      <c r="D479" s="1">
        <v>46210.947210648148</v>
      </c>
      <c r="E479" t="s">
        <v>42</v>
      </c>
      <c r="F479" t="s">
        <v>83</v>
      </c>
      <c r="G479">
        <v>0</v>
      </c>
      <c r="H479">
        <v>33206</v>
      </c>
      <c r="I479" t="s">
        <v>43</v>
      </c>
      <c r="J479">
        <v>35</v>
      </c>
      <c r="K479">
        <v>4</v>
      </c>
      <c r="L479">
        <v>98</v>
      </c>
      <c r="M479">
        <v>630.09997558999999</v>
      </c>
      <c r="N479" t="s">
        <v>85</v>
      </c>
      <c r="O479" t="s">
        <v>82</v>
      </c>
      <c r="P479">
        <v>125</v>
      </c>
      <c r="Q479" t="s">
        <v>82</v>
      </c>
      <c r="R479">
        <v>0</v>
      </c>
      <c r="S479">
        <v>0</v>
      </c>
      <c r="T479">
        <v>-40</v>
      </c>
      <c r="U479">
        <v>39</v>
      </c>
      <c r="V479">
        <v>0</v>
      </c>
      <c r="W479">
        <v>29</v>
      </c>
      <c r="X479">
        <v>29</v>
      </c>
      <c r="Y479">
        <v>1</v>
      </c>
      <c r="Z479">
        <v>1</v>
      </c>
      <c r="AA479">
        <v>26</v>
      </c>
      <c r="AB479">
        <v>6</v>
      </c>
      <c r="AC479">
        <v>5</v>
      </c>
      <c r="AD479">
        <v>3.2839999199999999</v>
      </c>
      <c r="AE479">
        <v>1</v>
      </c>
      <c r="AF479">
        <v>1</v>
      </c>
      <c r="AG479">
        <v>3.2809998999999999</v>
      </c>
      <c r="AH479">
        <v>7</v>
      </c>
      <c r="AI479">
        <v>1</v>
      </c>
      <c r="AJ479">
        <v>1</v>
      </c>
      <c r="AK479">
        <v>20</v>
      </c>
      <c r="AL479">
        <v>36</v>
      </c>
      <c r="AM479" t="s">
        <v>43</v>
      </c>
      <c r="AN479" t="s">
        <v>43</v>
      </c>
    </row>
    <row r="480" spans="1:40" x14ac:dyDescent="0.3">
      <c r="A480" s="1">
        <v>46210.944212962961</v>
      </c>
      <c r="B480" t="s">
        <v>40</v>
      </c>
      <c r="C480" t="s">
        <v>41</v>
      </c>
      <c r="D480" s="1">
        <v>46210.947233796294</v>
      </c>
      <c r="E480" t="s">
        <v>42</v>
      </c>
      <c r="F480" t="s">
        <v>83</v>
      </c>
      <c r="G480">
        <v>0</v>
      </c>
      <c r="H480">
        <v>33206</v>
      </c>
      <c r="I480" t="s">
        <v>43</v>
      </c>
      <c r="J480">
        <v>35</v>
      </c>
      <c r="K480">
        <v>4</v>
      </c>
      <c r="L480">
        <v>98</v>
      </c>
      <c r="M480">
        <v>629.70001220999995</v>
      </c>
      <c r="N480" t="s">
        <v>85</v>
      </c>
      <c r="O480" t="s">
        <v>82</v>
      </c>
      <c r="P480">
        <v>125</v>
      </c>
      <c r="Q480" t="s">
        <v>82</v>
      </c>
      <c r="R480">
        <v>0</v>
      </c>
      <c r="S480">
        <v>0</v>
      </c>
      <c r="T480">
        <v>-40</v>
      </c>
      <c r="U480">
        <v>39</v>
      </c>
      <c r="V480">
        <v>0</v>
      </c>
      <c r="W480" t="s">
        <v>43</v>
      </c>
      <c r="X480" t="s">
        <v>43</v>
      </c>
      <c r="Y480" t="s">
        <v>43</v>
      </c>
      <c r="Z480" t="s">
        <v>43</v>
      </c>
      <c r="AA480" t="s">
        <v>43</v>
      </c>
      <c r="AB480" t="s">
        <v>43</v>
      </c>
      <c r="AC480" t="s">
        <v>43</v>
      </c>
      <c r="AD480" t="s">
        <v>43</v>
      </c>
      <c r="AE480" t="s">
        <v>43</v>
      </c>
      <c r="AF480" t="s">
        <v>43</v>
      </c>
      <c r="AG480" t="s">
        <v>43</v>
      </c>
      <c r="AH480" t="s">
        <v>43</v>
      </c>
      <c r="AI480" t="s">
        <v>43</v>
      </c>
      <c r="AJ480" t="s">
        <v>43</v>
      </c>
      <c r="AK480" t="s">
        <v>43</v>
      </c>
      <c r="AL480" t="s">
        <v>43</v>
      </c>
      <c r="AM480" t="s">
        <v>43</v>
      </c>
      <c r="AN480" t="s">
        <v>43</v>
      </c>
    </row>
    <row r="481" spans="1:40" x14ac:dyDescent="0.3">
      <c r="A481" s="1">
        <v>46210.944097222222</v>
      </c>
      <c r="B481" t="s">
        <v>40</v>
      </c>
      <c r="C481" t="s">
        <v>41</v>
      </c>
      <c r="D481" s="1">
        <v>46210.947013888886</v>
      </c>
      <c r="E481" t="s">
        <v>42</v>
      </c>
      <c r="F481" t="s">
        <v>83</v>
      </c>
      <c r="G481">
        <v>0</v>
      </c>
      <c r="H481">
        <v>33206</v>
      </c>
      <c r="I481" t="s">
        <v>245</v>
      </c>
      <c r="J481">
        <v>35</v>
      </c>
      <c r="K481">
        <v>4</v>
      </c>
      <c r="L481">
        <v>98</v>
      </c>
      <c r="M481">
        <v>629.59997558999999</v>
      </c>
      <c r="N481" t="s">
        <v>85</v>
      </c>
      <c r="O481" t="s">
        <v>82</v>
      </c>
      <c r="P481">
        <v>125</v>
      </c>
      <c r="Q481" t="s">
        <v>43</v>
      </c>
      <c r="R481">
        <v>0</v>
      </c>
      <c r="S481">
        <v>0</v>
      </c>
      <c r="T481">
        <v>-40</v>
      </c>
      <c r="U481">
        <v>39</v>
      </c>
      <c r="V481">
        <v>0</v>
      </c>
      <c r="W481">
        <v>29</v>
      </c>
      <c r="X481">
        <v>29</v>
      </c>
      <c r="Y481">
        <v>1</v>
      </c>
      <c r="Z481">
        <v>1</v>
      </c>
      <c r="AA481">
        <v>26</v>
      </c>
      <c r="AB481">
        <v>6</v>
      </c>
      <c r="AC481">
        <v>5</v>
      </c>
      <c r="AD481">
        <v>3.2839999199999999</v>
      </c>
      <c r="AE481">
        <v>1</v>
      </c>
      <c r="AF481">
        <v>1</v>
      </c>
      <c r="AG481">
        <v>3.2809998999999999</v>
      </c>
      <c r="AH481">
        <v>7</v>
      </c>
      <c r="AI481">
        <v>1</v>
      </c>
      <c r="AJ481">
        <v>1</v>
      </c>
      <c r="AK481">
        <v>19</v>
      </c>
      <c r="AL481">
        <v>36</v>
      </c>
      <c r="AM481" t="s">
        <v>43</v>
      </c>
      <c r="AN481" t="str">
        <f>HYPERLINK("https://www.google.com/maps?q=11.05477428,79.06095123","Open Location")</f>
        <v>Open Location</v>
      </c>
    </row>
    <row r="482" spans="1:40" x14ac:dyDescent="0.3">
      <c r="A482" s="1">
        <v>46210.943981481483</v>
      </c>
      <c r="B482" t="s">
        <v>40</v>
      </c>
      <c r="C482" t="s">
        <v>41</v>
      </c>
      <c r="D482" s="1">
        <v>46210.947280092594</v>
      </c>
      <c r="E482" t="s">
        <v>42</v>
      </c>
      <c r="F482" t="s">
        <v>83</v>
      </c>
      <c r="G482">
        <v>0</v>
      </c>
      <c r="H482">
        <v>33206</v>
      </c>
      <c r="I482" t="s">
        <v>245</v>
      </c>
      <c r="J482">
        <v>35</v>
      </c>
      <c r="K482">
        <v>4</v>
      </c>
      <c r="L482">
        <v>98</v>
      </c>
      <c r="M482">
        <v>630.09997558999999</v>
      </c>
      <c r="N482" t="s">
        <v>85</v>
      </c>
      <c r="O482" t="s">
        <v>82</v>
      </c>
      <c r="P482">
        <v>125</v>
      </c>
      <c r="Q482" t="s">
        <v>82</v>
      </c>
      <c r="R482">
        <v>0</v>
      </c>
      <c r="S482">
        <v>0</v>
      </c>
      <c r="T482">
        <v>-40</v>
      </c>
      <c r="U482">
        <v>39</v>
      </c>
      <c r="V482">
        <v>0</v>
      </c>
      <c r="W482">
        <v>29</v>
      </c>
      <c r="X482">
        <v>29</v>
      </c>
      <c r="Y482">
        <v>1</v>
      </c>
      <c r="Z482">
        <v>1</v>
      </c>
      <c r="AA482">
        <v>26</v>
      </c>
      <c r="AB482">
        <v>6</v>
      </c>
      <c r="AC482">
        <v>5</v>
      </c>
      <c r="AD482">
        <v>3.2839999199999999</v>
      </c>
      <c r="AE482">
        <v>1</v>
      </c>
      <c r="AF482">
        <v>1</v>
      </c>
      <c r="AG482">
        <v>3.2809998999999999</v>
      </c>
      <c r="AH482">
        <v>7</v>
      </c>
      <c r="AI482">
        <v>1</v>
      </c>
      <c r="AJ482">
        <v>1</v>
      </c>
      <c r="AK482">
        <v>19</v>
      </c>
      <c r="AL482">
        <v>35</v>
      </c>
      <c r="AM482" t="s">
        <v>43</v>
      </c>
      <c r="AN482" t="str">
        <f>HYPERLINK("https://www.google.com/maps?q=11.05477428,79.06095123","Open Location")</f>
        <v>Open Location</v>
      </c>
    </row>
    <row r="483" spans="1:40" x14ac:dyDescent="0.3">
      <c r="A483" s="1">
        <v>46210.943865740737</v>
      </c>
      <c r="B483" t="s">
        <v>40</v>
      </c>
      <c r="C483" t="s">
        <v>41</v>
      </c>
      <c r="D483" s="1">
        <v>46210.946898148148</v>
      </c>
      <c r="E483" t="s">
        <v>42</v>
      </c>
      <c r="F483" t="s">
        <v>83</v>
      </c>
      <c r="G483">
        <v>0</v>
      </c>
      <c r="H483" t="s">
        <v>43</v>
      </c>
      <c r="I483" t="s">
        <v>159</v>
      </c>
      <c r="J483">
        <v>35</v>
      </c>
      <c r="K483">
        <v>4</v>
      </c>
      <c r="L483">
        <v>98</v>
      </c>
      <c r="M483">
        <v>630.40002441000001</v>
      </c>
      <c r="N483" t="s">
        <v>85</v>
      </c>
      <c r="O483" t="s">
        <v>82</v>
      </c>
      <c r="P483">
        <v>125</v>
      </c>
      <c r="Q483" t="s">
        <v>82</v>
      </c>
      <c r="R483">
        <v>0</v>
      </c>
      <c r="S483">
        <v>0</v>
      </c>
      <c r="T483">
        <v>-40</v>
      </c>
      <c r="U483">
        <v>39</v>
      </c>
      <c r="V483">
        <v>0</v>
      </c>
      <c r="W483">
        <v>29</v>
      </c>
      <c r="X483">
        <v>29</v>
      </c>
      <c r="Y483">
        <v>1</v>
      </c>
      <c r="Z483">
        <v>1</v>
      </c>
      <c r="AA483">
        <v>26</v>
      </c>
      <c r="AB483">
        <v>6</v>
      </c>
      <c r="AC483">
        <v>5</v>
      </c>
      <c r="AD483">
        <v>3.2839999199999999</v>
      </c>
      <c r="AE483">
        <v>1</v>
      </c>
      <c r="AF483">
        <v>1</v>
      </c>
      <c r="AG483">
        <v>3.2809998999999999</v>
      </c>
      <c r="AH483">
        <v>7</v>
      </c>
      <c r="AI483">
        <v>1</v>
      </c>
      <c r="AJ483">
        <v>1</v>
      </c>
      <c r="AK483">
        <v>20</v>
      </c>
      <c r="AL483">
        <v>35</v>
      </c>
      <c r="AM483" t="s">
        <v>43</v>
      </c>
      <c r="AN483" t="str">
        <f>HYPERLINK("https://www.google.com/maps?q=11.05477333,79.06095123","Open Location")</f>
        <v>Open Location</v>
      </c>
    </row>
    <row r="484" spans="1:40" x14ac:dyDescent="0.3">
      <c r="A484" s="1">
        <v>46210.943749999999</v>
      </c>
      <c r="B484" t="s">
        <v>40</v>
      </c>
      <c r="C484" t="s">
        <v>41</v>
      </c>
      <c r="D484" s="1">
        <v>46210.946851851855</v>
      </c>
      <c r="E484" t="s">
        <v>42</v>
      </c>
      <c r="F484" t="s">
        <v>83</v>
      </c>
      <c r="G484">
        <v>0</v>
      </c>
      <c r="H484">
        <v>33206</v>
      </c>
      <c r="I484" t="s">
        <v>43</v>
      </c>
      <c r="J484">
        <v>35</v>
      </c>
      <c r="K484">
        <v>4</v>
      </c>
      <c r="L484">
        <v>98</v>
      </c>
      <c r="M484">
        <v>630.29998779000005</v>
      </c>
      <c r="N484" t="s">
        <v>85</v>
      </c>
      <c r="O484" t="s">
        <v>82</v>
      </c>
      <c r="P484">
        <v>125</v>
      </c>
      <c r="Q484" t="s">
        <v>82</v>
      </c>
      <c r="R484">
        <v>0</v>
      </c>
      <c r="S484">
        <v>0</v>
      </c>
      <c r="T484">
        <v>-40</v>
      </c>
      <c r="U484">
        <v>39</v>
      </c>
      <c r="V484">
        <v>0</v>
      </c>
      <c r="W484">
        <v>29</v>
      </c>
      <c r="X484">
        <v>29</v>
      </c>
      <c r="Y484">
        <v>1</v>
      </c>
      <c r="Z484">
        <v>1</v>
      </c>
      <c r="AA484">
        <v>26</v>
      </c>
      <c r="AB484">
        <v>6</v>
      </c>
      <c r="AC484">
        <v>5</v>
      </c>
      <c r="AD484" t="s">
        <v>43</v>
      </c>
      <c r="AE484" t="s">
        <v>43</v>
      </c>
      <c r="AF484" t="s">
        <v>43</v>
      </c>
      <c r="AG484" t="s">
        <v>43</v>
      </c>
      <c r="AH484" t="s">
        <v>43</v>
      </c>
      <c r="AI484" t="s">
        <v>43</v>
      </c>
      <c r="AJ484">
        <v>1</v>
      </c>
      <c r="AK484">
        <v>20</v>
      </c>
      <c r="AL484">
        <v>35</v>
      </c>
      <c r="AM484" t="s">
        <v>43</v>
      </c>
      <c r="AN484" t="s">
        <v>43</v>
      </c>
    </row>
    <row r="485" spans="1:40" x14ac:dyDescent="0.3">
      <c r="A485" s="1">
        <v>46210.94363425926</v>
      </c>
      <c r="B485" t="s">
        <v>40</v>
      </c>
      <c r="C485" t="s">
        <v>41</v>
      </c>
      <c r="D485" s="1">
        <v>46210.946412037039</v>
      </c>
      <c r="E485" t="s">
        <v>42</v>
      </c>
      <c r="F485" t="s">
        <v>83</v>
      </c>
      <c r="G485">
        <v>0</v>
      </c>
      <c r="H485">
        <v>33206</v>
      </c>
      <c r="I485" t="s">
        <v>159</v>
      </c>
      <c r="J485">
        <v>35</v>
      </c>
      <c r="K485">
        <v>4</v>
      </c>
      <c r="L485">
        <v>98</v>
      </c>
      <c r="M485">
        <v>629.5</v>
      </c>
      <c r="N485" t="s">
        <v>85</v>
      </c>
      <c r="O485" t="s">
        <v>82</v>
      </c>
      <c r="P485">
        <v>125</v>
      </c>
      <c r="Q485" t="s">
        <v>82</v>
      </c>
      <c r="R485">
        <v>0</v>
      </c>
      <c r="S485">
        <v>0</v>
      </c>
      <c r="T485">
        <v>-40</v>
      </c>
      <c r="U485">
        <v>39</v>
      </c>
      <c r="V485">
        <v>0</v>
      </c>
      <c r="W485">
        <v>29</v>
      </c>
      <c r="X485">
        <v>29</v>
      </c>
      <c r="Y485">
        <v>1</v>
      </c>
      <c r="Z485">
        <v>1</v>
      </c>
      <c r="AA485">
        <v>26</v>
      </c>
      <c r="AB485">
        <v>6</v>
      </c>
      <c r="AC485">
        <v>5</v>
      </c>
      <c r="AD485">
        <v>3.2839999199999999</v>
      </c>
      <c r="AE485">
        <v>1</v>
      </c>
      <c r="AF485">
        <v>1</v>
      </c>
      <c r="AG485">
        <v>3.2809998999999999</v>
      </c>
      <c r="AH485">
        <v>7</v>
      </c>
      <c r="AI485">
        <v>1</v>
      </c>
      <c r="AJ485">
        <v>1</v>
      </c>
      <c r="AK485">
        <v>20</v>
      </c>
      <c r="AL485">
        <v>35</v>
      </c>
      <c r="AM485" t="s">
        <v>43</v>
      </c>
      <c r="AN485" t="str">
        <f>HYPERLINK("https://www.google.com/maps?q=11.05477333,79.06095123","Open Location")</f>
        <v>Open Location</v>
      </c>
    </row>
    <row r="486" spans="1:40" x14ac:dyDescent="0.3">
      <c r="A486" s="1">
        <v>46210.943518518521</v>
      </c>
      <c r="B486" t="s">
        <v>40</v>
      </c>
      <c r="C486" t="s">
        <v>41</v>
      </c>
      <c r="D486" s="1">
        <v>46210.946539351855</v>
      </c>
      <c r="E486" t="s">
        <v>42</v>
      </c>
      <c r="F486" t="s">
        <v>83</v>
      </c>
      <c r="G486">
        <v>0</v>
      </c>
      <c r="H486">
        <v>33206</v>
      </c>
      <c r="I486" t="s">
        <v>43</v>
      </c>
      <c r="J486">
        <v>35</v>
      </c>
      <c r="K486">
        <v>4</v>
      </c>
      <c r="L486">
        <v>98</v>
      </c>
      <c r="M486">
        <v>629.70001220999995</v>
      </c>
      <c r="N486" t="s">
        <v>85</v>
      </c>
      <c r="O486" t="s">
        <v>82</v>
      </c>
      <c r="P486">
        <v>125</v>
      </c>
      <c r="Q486" t="s">
        <v>82</v>
      </c>
      <c r="R486">
        <v>0</v>
      </c>
      <c r="S486">
        <v>0</v>
      </c>
      <c r="T486">
        <v>-40</v>
      </c>
      <c r="U486">
        <v>39</v>
      </c>
      <c r="V486">
        <v>0</v>
      </c>
      <c r="W486" t="s">
        <v>43</v>
      </c>
      <c r="X486" t="s">
        <v>43</v>
      </c>
      <c r="Y486" t="s">
        <v>43</v>
      </c>
      <c r="Z486" t="s">
        <v>43</v>
      </c>
      <c r="AA486" t="s">
        <v>43</v>
      </c>
      <c r="AB486" t="s">
        <v>43</v>
      </c>
      <c r="AC486" t="s">
        <v>43</v>
      </c>
      <c r="AD486" t="s">
        <v>43</v>
      </c>
      <c r="AE486" t="s">
        <v>43</v>
      </c>
      <c r="AF486" t="s">
        <v>43</v>
      </c>
      <c r="AG486" t="s">
        <v>43</v>
      </c>
      <c r="AH486" t="s">
        <v>43</v>
      </c>
      <c r="AI486" t="s">
        <v>43</v>
      </c>
      <c r="AJ486">
        <v>1</v>
      </c>
      <c r="AK486">
        <v>20</v>
      </c>
      <c r="AL486">
        <v>35</v>
      </c>
      <c r="AM486" t="s">
        <v>43</v>
      </c>
      <c r="AN486" t="s">
        <v>43</v>
      </c>
    </row>
    <row r="487" spans="1:40" x14ac:dyDescent="0.3">
      <c r="A487" s="1">
        <v>46210.943402777775</v>
      </c>
      <c r="B487" t="s">
        <v>40</v>
      </c>
      <c r="C487" t="s">
        <v>41</v>
      </c>
      <c r="D487" s="1">
        <v>46210.946215277778</v>
      </c>
      <c r="E487" t="s">
        <v>42</v>
      </c>
      <c r="F487" t="s">
        <v>83</v>
      </c>
      <c r="G487">
        <v>0</v>
      </c>
      <c r="H487">
        <v>33206</v>
      </c>
      <c r="I487" t="s">
        <v>166</v>
      </c>
      <c r="J487">
        <v>35</v>
      </c>
      <c r="K487">
        <v>4</v>
      </c>
      <c r="L487">
        <v>98</v>
      </c>
      <c r="M487">
        <v>629.59997558999999</v>
      </c>
      <c r="N487" t="s">
        <v>85</v>
      </c>
      <c r="O487" t="s">
        <v>82</v>
      </c>
      <c r="P487">
        <v>125</v>
      </c>
      <c r="Q487" t="s">
        <v>82</v>
      </c>
      <c r="R487">
        <v>0</v>
      </c>
      <c r="S487">
        <v>0</v>
      </c>
      <c r="T487">
        <v>-40</v>
      </c>
      <c r="U487">
        <v>39</v>
      </c>
      <c r="V487">
        <v>0</v>
      </c>
      <c r="W487">
        <v>29</v>
      </c>
      <c r="X487">
        <v>29</v>
      </c>
      <c r="Y487">
        <v>1</v>
      </c>
      <c r="Z487">
        <v>1</v>
      </c>
      <c r="AA487">
        <v>26</v>
      </c>
      <c r="AB487">
        <v>7</v>
      </c>
      <c r="AC487">
        <v>5</v>
      </c>
      <c r="AD487">
        <v>3.2839999199999999</v>
      </c>
      <c r="AE487">
        <v>1</v>
      </c>
      <c r="AF487">
        <v>1</v>
      </c>
      <c r="AG487">
        <v>3.2809998999999999</v>
      </c>
      <c r="AH487">
        <v>7</v>
      </c>
      <c r="AI487">
        <v>1</v>
      </c>
      <c r="AJ487">
        <v>1</v>
      </c>
      <c r="AK487">
        <v>20</v>
      </c>
      <c r="AL487">
        <v>35</v>
      </c>
      <c r="AM487" t="s">
        <v>43</v>
      </c>
      <c r="AN487" t="str">
        <f>HYPERLINK("https://www.google.com/maps?q=11.05476856,79.06095123","Open Location")</f>
        <v>Open Location</v>
      </c>
    </row>
    <row r="488" spans="1:40" x14ac:dyDescent="0.3">
      <c r="A488" s="1">
        <v>46210.943287037036</v>
      </c>
      <c r="B488" t="s">
        <v>40</v>
      </c>
      <c r="C488" t="s">
        <v>41</v>
      </c>
      <c r="D488" s="1">
        <v>46210.946180555555</v>
      </c>
      <c r="E488" t="s">
        <v>42</v>
      </c>
      <c r="F488" t="s">
        <v>83</v>
      </c>
      <c r="G488">
        <v>0</v>
      </c>
      <c r="H488">
        <v>33206</v>
      </c>
      <c r="I488" t="s">
        <v>158</v>
      </c>
      <c r="J488">
        <v>35</v>
      </c>
      <c r="K488">
        <v>4</v>
      </c>
      <c r="L488">
        <v>98</v>
      </c>
      <c r="M488">
        <v>629.70001220999995</v>
      </c>
      <c r="N488" t="s">
        <v>85</v>
      </c>
      <c r="O488" t="s">
        <v>82</v>
      </c>
      <c r="P488">
        <v>125</v>
      </c>
      <c r="Q488" t="s">
        <v>82</v>
      </c>
      <c r="R488">
        <v>0</v>
      </c>
      <c r="S488">
        <v>0</v>
      </c>
      <c r="T488">
        <v>-40</v>
      </c>
      <c r="U488">
        <v>39</v>
      </c>
      <c r="V488">
        <v>0</v>
      </c>
      <c r="W488" t="s">
        <v>43</v>
      </c>
      <c r="X488" t="s">
        <v>43</v>
      </c>
      <c r="Y488" t="s">
        <v>43</v>
      </c>
      <c r="Z488" t="s">
        <v>43</v>
      </c>
      <c r="AA488" t="s">
        <v>43</v>
      </c>
      <c r="AB488" t="s">
        <v>43</v>
      </c>
      <c r="AC488" t="s">
        <v>43</v>
      </c>
      <c r="AD488" t="s">
        <v>43</v>
      </c>
      <c r="AE488" t="s">
        <v>43</v>
      </c>
      <c r="AF488" t="s">
        <v>43</v>
      </c>
      <c r="AG488" t="s">
        <v>43</v>
      </c>
      <c r="AH488" t="s">
        <v>43</v>
      </c>
      <c r="AI488" t="s">
        <v>43</v>
      </c>
      <c r="AJ488">
        <v>1</v>
      </c>
      <c r="AK488">
        <v>20</v>
      </c>
      <c r="AL488">
        <v>35</v>
      </c>
      <c r="AM488" t="s">
        <v>43</v>
      </c>
      <c r="AN488" t="str">
        <f>HYPERLINK("https://www.google.com/maps?q=11.05477142,79.06095123","Open Location")</f>
        <v>Open Location</v>
      </c>
    </row>
    <row r="489" spans="1:40" x14ac:dyDescent="0.3">
      <c r="A489" s="1">
        <v>46210.943171296298</v>
      </c>
      <c r="B489" t="s">
        <v>40</v>
      </c>
      <c r="C489" t="s">
        <v>41</v>
      </c>
      <c r="D489" s="1">
        <v>46210.946192129632</v>
      </c>
      <c r="E489" t="s">
        <v>42</v>
      </c>
      <c r="F489" t="s">
        <v>83</v>
      </c>
      <c r="G489">
        <v>0</v>
      </c>
      <c r="H489">
        <v>33206</v>
      </c>
      <c r="I489" t="s">
        <v>166</v>
      </c>
      <c r="J489">
        <v>35</v>
      </c>
      <c r="K489">
        <v>4</v>
      </c>
      <c r="L489">
        <v>98</v>
      </c>
      <c r="M489">
        <v>630.29998779000005</v>
      </c>
      <c r="N489" t="s">
        <v>85</v>
      </c>
      <c r="O489" t="s">
        <v>82</v>
      </c>
      <c r="P489">
        <v>125</v>
      </c>
      <c r="Q489" t="s">
        <v>82</v>
      </c>
      <c r="R489">
        <v>0</v>
      </c>
      <c r="S489">
        <v>0</v>
      </c>
      <c r="T489">
        <v>-40</v>
      </c>
      <c r="U489">
        <v>39</v>
      </c>
      <c r="V489">
        <v>0</v>
      </c>
      <c r="W489">
        <v>29</v>
      </c>
      <c r="X489">
        <v>29</v>
      </c>
      <c r="Y489">
        <v>1</v>
      </c>
      <c r="Z489">
        <v>1</v>
      </c>
      <c r="AA489">
        <v>26</v>
      </c>
      <c r="AB489">
        <v>7</v>
      </c>
      <c r="AC489">
        <v>5</v>
      </c>
      <c r="AD489">
        <v>3.2839999199999999</v>
      </c>
      <c r="AE489">
        <v>1</v>
      </c>
      <c r="AF489">
        <v>1</v>
      </c>
      <c r="AG489">
        <v>3.2809998999999999</v>
      </c>
      <c r="AH489">
        <v>7</v>
      </c>
      <c r="AI489">
        <v>1</v>
      </c>
      <c r="AJ489">
        <v>1</v>
      </c>
      <c r="AK489">
        <v>20</v>
      </c>
      <c r="AL489">
        <v>35</v>
      </c>
      <c r="AM489" t="s">
        <v>43</v>
      </c>
      <c r="AN489" t="str">
        <f>HYPERLINK("https://www.google.com/maps?q=11.05476856,79.06095123","Open Location")</f>
        <v>Open Location</v>
      </c>
    </row>
    <row r="490" spans="1:40" x14ac:dyDescent="0.3">
      <c r="A490" s="1">
        <v>46210.943055555559</v>
      </c>
      <c r="B490" t="s">
        <v>40</v>
      </c>
      <c r="C490" t="s">
        <v>41</v>
      </c>
      <c r="D490" s="1">
        <v>46210.946122685185</v>
      </c>
      <c r="E490" t="s">
        <v>42</v>
      </c>
      <c r="F490" t="s">
        <v>83</v>
      </c>
      <c r="G490">
        <v>0</v>
      </c>
      <c r="H490">
        <v>33206</v>
      </c>
      <c r="I490" t="s">
        <v>43</v>
      </c>
      <c r="J490">
        <v>35</v>
      </c>
      <c r="K490">
        <v>4</v>
      </c>
      <c r="L490">
        <v>98</v>
      </c>
      <c r="M490">
        <v>630.20001220999995</v>
      </c>
      <c r="N490" t="s">
        <v>85</v>
      </c>
      <c r="O490" t="s">
        <v>82</v>
      </c>
      <c r="P490">
        <v>125</v>
      </c>
      <c r="Q490" t="s">
        <v>82</v>
      </c>
      <c r="R490">
        <v>0</v>
      </c>
      <c r="S490">
        <v>0</v>
      </c>
      <c r="T490">
        <v>-40</v>
      </c>
      <c r="U490">
        <v>39</v>
      </c>
      <c r="V490">
        <v>0</v>
      </c>
      <c r="W490">
        <v>29</v>
      </c>
      <c r="X490">
        <v>29</v>
      </c>
      <c r="Y490">
        <v>1</v>
      </c>
      <c r="Z490">
        <v>1</v>
      </c>
      <c r="AA490">
        <v>26</v>
      </c>
      <c r="AB490">
        <v>6</v>
      </c>
      <c r="AC490">
        <v>5</v>
      </c>
      <c r="AD490">
        <v>3.2839999199999999</v>
      </c>
      <c r="AE490">
        <v>1</v>
      </c>
      <c r="AF490">
        <v>1</v>
      </c>
      <c r="AG490">
        <v>3.2809998999999999</v>
      </c>
      <c r="AH490">
        <v>7</v>
      </c>
      <c r="AI490">
        <v>1</v>
      </c>
      <c r="AJ490">
        <v>1</v>
      </c>
      <c r="AK490">
        <v>20</v>
      </c>
      <c r="AL490">
        <v>35</v>
      </c>
      <c r="AM490" t="s">
        <v>43</v>
      </c>
      <c r="AN490" t="s">
        <v>43</v>
      </c>
    </row>
    <row r="491" spans="1:40" x14ac:dyDescent="0.3">
      <c r="A491" s="1">
        <v>46210.942939814813</v>
      </c>
      <c r="B491" t="s">
        <v>40</v>
      </c>
      <c r="C491" t="s">
        <v>41</v>
      </c>
      <c r="D491" s="1">
        <v>46210.945729166669</v>
      </c>
      <c r="E491" t="s">
        <v>42</v>
      </c>
      <c r="F491" t="s">
        <v>83</v>
      </c>
      <c r="G491">
        <v>0</v>
      </c>
      <c r="H491">
        <v>33206</v>
      </c>
      <c r="I491" t="s">
        <v>154</v>
      </c>
      <c r="J491">
        <v>35</v>
      </c>
      <c r="K491">
        <v>4</v>
      </c>
      <c r="L491">
        <v>98</v>
      </c>
      <c r="M491">
        <v>630.09997558999999</v>
      </c>
      <c r="N491" t="s">
        <v>85</v>
      </c>
      <c r="O491" t="s">
        <v>82</v>
      </c>
      <c r="P491">
        <v>125</v>
      </c>
      <c r="Q491" t="s">
        <v>82</v>
      </c>
      <c r="R491">
        <v>0</v>
      </c>
      <c r="S491">
        <v>0</v>
      </c>
      <c r="T491">
        <v>-40</v>
      </c>
      <c r="U491">
        <v>39</v>
      </c>
      <c r="V491">
        <v>0</v>
      </c>
      <c r="W491">
        <v>29</v>
      </c>
      <c r="X491">
        <v>29</v>
      </c>
      <c r="Y491">
        <v>1</v>
      </c>
      <c r="Z491">
        <v>1</v>
      </c>
      <c r="AA491">
        <v>26</v>
      </c>
      <c r="AB491">
        <v>7</v>
      </c>
      <c r="AC491">
        <v>5</v>
      </c>
      <c r="AD491">
        <v>3.2839999199999999</v>
      </c>
      <c r="AE491">
        <v>1</v>
      </c>
      <c r="AF491">
        <v>1</v>
      </c>
      <c r="AG491">
        <v>3.2809998999999999</v>
      </c>
      <c r="AH491">
        <v>7</v>
      </c>
      <c r="AI491">
        <v>1</v>
      </c>
      <c r="AJ491">
        <v>1</v>
      </c>
      <c r="AK491">
        <v>20</v>
      </c>
      <c r="AL491">
        <v>35</v>
      </c>
      <c r="AM491" t="s">
        <v>43</v>
      </c>
      <c r="AN491" t="str">
        <f>HYPERLINK("https://www.google.com/maps?q=11.05476761,79.06095886","Open Location")</f>
        <v>Open Location</v>
      </c>
    </row>
    <row r="492" spans="1:40" x14ac:dyDescent="0.3">
      <c r="A492" s="1">
        <v>46210.942824074074</v>
      </c>
      <c r="B492" t="s">
        <v>40</v>
      </c>
      <c r="C492" t="s">
        <v>41</v>
      </c>
      <c r="D492" s="1">
        <v>46210.945763888885</v>
      </c>
      <c r="E492" t="s">
        <v>42</v>
      </c>
      <c r="F492" t="s">
        <v>83</v>
      </c>
      <c r="G492">
        <v>0</v>
      </c>
      <c r="H492">
        <v>33206</v>
      </c>
      <c r="I492" t="s">
        <v>113</v>
      </c>
      <c r="J492">
        <v>35</v>
      </c>
      <c r="K492">
        <v>4</v>
      </c>
      <c r="L492">
        <v>98</v>
      </c>
      <c r="M492">
        <v>629.70001220999995</v>
      </c>
      <c r="N492" t="s">
        <v>85</v>
      </c>
      <c r="O492" t="s">
        <v>82</v>
      </c>
      <c r="P492">
        <v>125</v>
      </c>
      <c r="Q492" t="s">
        <v>82</v>
      </c>
      <c r="R492">
        <v>0</v>
      </c>
      <c r="S492">
        <v>0</v>
      </c>
      <c r="T492">
        <v>-40</v>
      </c>
      <c r="U492">
        <v>39</v>
      </c>
      <c r="V492">
        <v>0</v>
      </c>
      <c r="W492">
        <v>29</v>
      </c>
      <c r="X492">
        <v>29</v>
      </c>
      <c r="Y492">
        <v>1</v>
      </c>
      <c r="Z492">
        <v>1</v>
      </c>
      <c r="AA492">
        <v>26</v>
      </c>
      <c r="AB492">
        <v>7</v>
      </c>
      <c r="AC492">
        <v>5</v>
      </c>
      <c r="AD492">
        <v>3.2839999199999999</v>
      </c>
      <c r="AE492">
        <v>1</v>
      </c>
      <c r="AF492">
        <v>1</v>
      </c>
      <c r="AG492">
        <v>3.2809998999999999</v>
      </c>
      <c r="AH492">
        <v>7</v>
      </c>
      <c r="AI492">
        <v>1</v>
      </c>
      <c r="AJ492">
        <v>1</v>
      </c>
      <c r="AK492">
        <v>20</v>
      </c>
      <c r="AL492">
        <v>35</v>
      </c>
      <c r="AM492" t="s">
        <v>43</v>
      </c>
      <c r="AN492" t="str">
        <f>HYPERLINK("https://www.google.com/maps?q=11.05476665,79.06095886","Open Location")</f>
        <v>Open Location</v>
      </c>
    </row>
    <row r="493" spans="1:40" x14ac:dyDescent="0.3">
      <c r="A493" s="1">
        <v>46210.942708333336</v>
      </c>
      <c r="B493" t="s">
        <v>40</v>
      </c>
      <c r="C493" t="s">
        <v>41</v>
      </c>
      <c r="D493" s="1">
        <v>46210.945601851854</v>
      </c>
      <c r="E493" t="s">
        <v>42</v>
      </c>
      <c r="F493" t="s">
        <v>83</v>
      </c>
      <c r="G493">
        <v>0</v>
      </c>
      <c r="H493">
        <v>33206</v>
      </c>
      <c r="I493" t="s">
        <v>212</v>
      </c>
      <c r="J493">
        <v>35</v>
      </c>
      <c r="K493">
        <v>4</v>
      </c>
      <c r="L493">
        <v>98</v>
      </c>
      <c r="M493">
        <v>629.90002441000001</v>
      </c>
      <c r="N493" t="s">
        <v>85</v>
      </c>
      <c r="O493" t="s">
        <v>82</v>
      </c>
      <c r="P493">
        <v>125</v>
      </c>
      <c r="Q493" t="s">
        <v>82</v>
      </c>
      <c r="R493">
        <v>0</v>
      </c>
      <c r="S493">
        <v>0</v>
      </c>
      <c r="T493">
        <v>-40</v>
      </c>
      <c r="U493">
        <v>39</v>
      </c>
      <c r="V493">
        <v>0</v>
      </c>
      <c r="W493">
        <v>29</v>
      </c>
      <c r="X493">
        <v>29</v>
      </c>
      <c r="Y493">
        <v>1</v>
      </c>
      <c r="Z493">
        <v>1</v>
      </c>
      <c r="AA493">
        <v>26</v>
      </c>
      <c r="AB493">
        <v>7</v>
      </c>
      <c r="AC493">
        <v>5</v>
      </c>
      <c r="AD493">
        <v>3.2839999199999999</v>
      </c>
      <c r="AE493">
        <v>1</v>
      </c>
      <c r="AF493">
        <v>1</v>
      </c>
      <c r="AG493">
        <v>3.2809998999999999</v>
      </c>
      <c r="AH493">
        <v>7</v>
      </c>
      <c r="AI493">
        <v>1</v>
      </c>
      <c r="AJ493">
        <v>1</v>
      </c>
      <c r="AK493">
        <v>20</v>
      </c>
      <c r="AL493">
        <v>35</v>
      </c>
      <c r="AM493" t="s">
        <v>43</v>
      </c>
      <c r="AN493" t="str">
        <f>HYPERLINK("https://www.google.com/maps?q=11.05476475,79.06095123","Open Location")</f>
        <v>Open Location</v>
      </c>
    </row>
    <row r="494" spans="1:40" x14ac:dyDescent="0.3">
      <c r="A494" s="1">
        <v>46210.94259259259</v>
      </c>
      <c r="B494" t="s">
        <v>40</v>
      </c>
      <c r="C494" t="s">
        <v>41</v>
      </c>
      <c r="D494" s="1">
        <v>46210.945821759262</v>
      </c>
      <c r="E494" t="s">
        <v>42</v>
      </c>
      <c r="F494" t="s">
        <v>83</v>
      </c>
      <c r="G494">
        <v>0</v>
      </c>
      <c r="H494">
        <v>33206</v>
      </c>
      <c r="I494" t="s">
        <v>212</v>
      </c>
      <c r="J494">
        <v>35</v>
      </c>
      <c r="K494">
        <v>4</v>
      </c>
      <c r="L494">
        <v>98</v>
      </c>
      <c r="M494">
        <v>630.20001220999995</v>
      </c>
      <c r="N494" t="s">
        <v>85</v>
      </c>
      <c r="O494" t="s">
        <v>82</v>
      </c>
      <c r="P494">
        <v>125</v>
      </c>
      <c r="Q494" t="s">
        <v>82</v>
      </c>
      <c r="R494">
        <v>0</v>
      </c>
      <c r="S494">
        <v>0</v>
      </c>
      <c r="T494">
        <v>-40</v>
      </c>
      <c r="U494">
        <v>39</v>
      </c>
      <c r="V494">
        <v>0</v>
      </c>
      <c r="W494">
        <v>29</v>
      </c>
      <c r="X494">
        <v>29</v>
      </c>
      <c r="Y494">
        <v>1</v>
      </c>
      <c r="Z494">
        <v>1</v>
      </c>
      <c r="AA494">
        <v>26</v>
      </c>
      <c r="AB494">
        <v>7</v>
      </c>
      <c r="AC494">
        <v>5</v>
      </c>
      <c r="AD494">
        <v>3.2839999199999999</v>
      </c>
      <c r="AE494">
        <v>1</v>
      </c>
      <c r="AF494">
        <v>1</v>
      </c>
      <c r="AG494">
        <v>3.2809998999999999</v>
      </c>
      <c r="AH494">
        <v>7</v>
      </c>
      <c r="AI494">
        <v>1</v>
      </c>
      <c r="AJ494">
        <v>1</v>
      </c>
      <c r="AK494">
        <v>20</v>
      </c>
      <c r="AL494">
        <v>35</v>
      </c>
      <c r="AM494" t="s">
        <v>43</v>
      </c>
      <c r="AN494" t="str">
        <f>HYPERLINK("https://www.google.com/maps?q=11.05476475,79.06095123","Open Location")</f>
        <v>Open Location</v>
      </c>
    </row>
    <row r="495" spans="1:40" x14ac:dyDescent="0.3">
      <c r="A495" s="1">
        <v>46210.942476851851</v>
      </c>
      <c r="B495" t="s">
        <v>40</v>
      </c>
      <c r="C495" t="s">
        <v>41</v>
      </c>
      <c r="D495" s="1">
        <v>46210.945243055554</v>
      </c>
      <c r="E495" t="s">
        <v>42</v>
      </c>
      <c r="F495" t="s">
        <v>83</v>
      </c>
      <c r="G495">
        <v>0</v>
      </c>
      <c r="H495">
        <v>33206</v>
      </c>
      <c r="I495" t="s">
        <v>212</v>
      </c>
      <c r="J495">
        <v>35</v>
      </c>
      <c r="K495">
        <v>4</v>
      </c>
      <c r="L495">
        <v>98</v>
      </c>
      <c r="M495">
        <v>630.09997558999999</v>
      </c>
      <c r="N495" t="s">
        <v>85</v>
      </c>
      <c r="O495" t="s">
        <v>82</v>
      </c>
      <c r="P495">
        <v>125</v>
      </c>
      <c r="Q495" t="s">
        <v>82</v>
      </c>
      <c r="R495">
        <v>0</v>
      </c>
      <c r="S495">
        <v>0</v>
      </c>
      <c r="T495">
        <v>-40</v>
      </c>
      <c r="U495">
        <v>39</v>
      </c>
      <c r="V495">
        <v>0</v>
      </c>
      <c r="W495">
        <v>29</v>
      </c>
      <c r="X495">
        <v>29</v>
      </c>
      <c r="Y495">
        <v>1</v>
      </c>
      <c r="Z495">
        <v>1</v>
      </c>
      <c r="AA495">
        <v>26</v>
      </c>
      <c r="AB495">
        <v>7</v>
      </c>
      <c r="AC495">
        <v>5</v>
      </c>
      <c r="AD495">
        <v>3.2839999199999999</v>
      </c>
      <c r="AE495">
        <v>1</v>
      </c>
      <c r="AF495">
        <v>1</v>
      </c>
      <c r="AG495">
        <v>3.2809998999999999</v>
      </c>
      <c r="AH495">
        <v>7</v>
      </c>
      <c r="AI495">
        <v>1</v>
      </c>
      <c r="AJ495">
        <v>1</v>
      </c>
      <c r="AK495">
        <v>20</v>
      </c>
      <c r="AL495">
        <v>35</v>
      </c>
      <c r="AM495" t="s">
        <v>43</v>
      </c>
      <c r="AN495" t="str">
        <f>HYPERLINK("https://www.google.com/maps?q=11.05476475,79.06095123","Open Location")</f>
        <v>Open Location</v>
      </c>
    </row>
    <row r="496" spans="1:40" x14ac:dyDescent="0.3">
      <c r="A496" s="1">
        <v>46210.942361111112</v>
      </c>
      <c r="B496" t="s">
        <v>40</v>
      </c>
      <c r="C496" t="s">
        <v>41</v>
      </c>
      <c r="D496" s="1">
        <v>46210.945428240739</v>
      </c>
      <c r="E496" t="s">
        <v>42</v>
      </c>
      <c r="F496" t="s">
        <v>83</v>
      </c>
      <c r="G496">
        <v>0</v>
      </c>
      <c r="H496">
        <v>33206</v>
      </c>
      <c r="I496" t="s">
        <v>43</v>
      </c>
      <c r="J496">
        <v>35</v>
      </c>
      <c r="K496">
        <v>4</v>
      </c>
      <c r="L496">
        <v>98</v>
      </c>
      <c r="M496">
        <v>630.20001220999995</v>
      </c>
      <c r="N496" t="s">
        <v>85</v>
      </c>
      <c r="O496" t="s">
        <v>82</v>
      </c>
      <c r="P496">
        <v>125</v>
      </c>
      <c r="Q496" t="s">
        <v>82</v>
      </c>
      <c r="R496">
        <v>0</v>
      </c>
      <c r="S496">
        <v>0</v>
      </c>
      <c r="T496">
        <v>-40</v>
      </c>
      <c r="U496">
        <v>39</v>
      </c>
      <c r="V496">
        <v>0</v>
      </c>
      <c r="W496">
        <v>29</v>
      </c>
      <c r="X496">
        <v>29</v>
      </c>
      <c r="Y496">
        <v>1</v>
      </c>
      <c r="Z496">
        <v>1</v>
      </c>
      <c r="AA496">
        <v>26</v>
      </c>
      <c r="AB496">
        <v>7</v>
      </c>
      <c r="AC496">
        <v>5</v>
      </c>
      <c r="AD496">
        <v>3.2839999199999999</v>
      </c>
      <c r="AE496">
        <v>1</v>
      </c>
      <c r="AF496">
        <v>1</v>
      </c>
      <c r="AG496">
        <v>3.2809998999999999</v>
      </c>
      <c r="AH496">
        <v>7</v>
      </c>
      <c r="AI496">
        <v>1</v>
      </c>
      <c r="AJ496">
        <v>1</v>
      </c>
      <c r="AK496">
        <v>20</v>
      </c>
      <c r="AL496">
        <v>35</v>
      </c>
      <c r="AM496" t="s">
        <v>43</v>
      </c>
      <c r="AN496" t="s">
        <v>43</v>
      </c>
    </row>
    <row r="497" spans="1:40" x14ac:dyDescent="0.3">
      <c r="A497" s="1">
        <v>46210.942245370374</v>
      </c>
      <c r="B497" t="s">
        <v>40</v>
      </c>
      <c r="C497" t="s">
        <v>41</v>
      </c>
      <c r="D497" s="1">
        <v>46210.945127314815</v>
      </c>
      <c r="E497" t="s">
        <v>42</v>
      </c>
      <c r="F497" t="s">
        <v>83</v>
      </c>
      <c r="G497">
        <v>0</v>
      </c>
      <c r="H497">
        <v>33206</v>
      </c>
      <c r="I497" t="s">
        <v>212</v>
      </c>
      <c r="J497">
        <v>35</v>
      </c>
      <c r="K497">
        <v>4</v>
      </c>
      <c r="L497">
        <v>98</v>
      </c>
      <c r="M497">
        <v>630.09997558999999</v>
      </c>
      <c r="N497" t="s">
        <v>85</v>
      </c>
      <c r="O497" t="s">
        <v>82</v>
      </c>
      <c r="P497">
        <v>125</v>
      </c>
      <c r="Q497" t="s">
        <v>82</v>
      </c>
      <c r="R497">
        <v>0</v>
      </c>
      <c r="S497">
        <v>0</v>
      </c>
      <c r="T497">
        <v>-40</v>
      </c>
      <c r="U497">
        <v>39</v>
      </c>
      <c r="V497">
        <v>0</v>
      </c>
      <c r="W497">
        <v>29</v>
      </c>
      <c r="X497">
        <v>29</v>
      </c>
      <c r="Y497">
        <v>1</v>
      </c>
      <c r="Z497">
        <v>1</v>
      </c>
      <c r="AA497">
        <v>26</v>
      </c>
      <c r="AB497">
        <v>7</v>
      </c>
      <c r="AC497">
        <v>5</v>
      </c>
      <c r="AD497">
        <v>3.2839999199999999</v>
      </c>
      <c r="AE497">
        <v>1</v>
      </c>
      <c r="AF497">
        <v>1</v>
      </c>
      <c r="AG497">
        <v>3.2809998999999999</v>
      </c>
      <c r="AH497">
        <v>2</v>
      </c>
      <c r="AI497">
        <v>45</v>
      </c>
      <c r="AJ497">
        <v>1</v>
      </c>
      <c r="AK497">
        <v>20</v>
      </c>
      <c r="AL497">
        <v>35</v>
      </c>
      <c r="AM497" t="s">
        <v>43</v>
      </c>
      <c r="AN497" t="str">
        <f>HYPERLINK("https://www.google.com/maps?q=11.05476475,79.06095123","Open Location")</f>
        <v>Open Location</v>
      </c>
    </row>
    <row r="498" spans="1:40" x14ac:dyDescent="0.3">
      <c r="A498" s="1">
        <v>46210.942129629628</v>
      </c>
      <c r="B498" t="s">
        <v>40</v>
      </c>
      <c r="C498" t="s">
        <v>41</v>
      </c>
      <c r="D498" s="1">
        <v>46210.945127314815</v>
      </c>
      <c r="E498" t="s">
        <v>42</v>
      </c>
      <c r="F498" t="s">
        <v>83</v>
      </c>
      <c r="G498">
        <v>0</v>
      </c>
      <c r="H498">
        <v>33206</v>
      </c>
      <c r="I498" t="s">
        <v>246</v>
      </c>
      <c r="J498">
        <v>35</v>
      </c>
      <c r="K498">
        <v>4</v>
      </c>
      <c r="L498">
        <v>98</v>
      </c>
      <c r="M498">
        <v>629.79998779000005</v>
      </c>
      <c r="N498" t="s">
        <v>85</v>
      </c>
      <c r="O498" t="s">
        <v>82</v>
      </c>
      <c r="P498">
        <v>125</v>
      </c>
      <c r="Q498" t="s">
        <v>82</v>
      </c>
      <c r="R498">
        <v>0</v>
      </c>
      <c r="S498">
        <v>0</v>
      </c>
      <c r="T498">
        <v>-40</v>
      </c>
      <c r="U498">
        <v>39</v>
      </c>
      <c r="V498">
        <v>0</v>
      </c>
      <c r="W498">
        <v>29</v>
      </c>
      <c r="X498">
        <v>29</v>
      </c>
      <c r="Y498">
        <v>1</v>
      </c>
      <c r="Z498">
        <v>1</v>
      </c>
      <c r="AA498">
        <v>26</v>
      </c>
      <c r="AB498">
        <v>6</v>
      </c>
      <c r="AC498">
        <v>5</v>
      </c>
      <c r="AD498">
        <v>3.2839999199999999</v>
      </c>
      <c r="AE498">
        <v>1</v>
      </c>
      <c r="AF498">
        <v>1</v>
      </c>
      <c r="AG498">
        <v>3.2809998999999999</v>
      </c>
      <c r="AH498">
        <v>2</v>
      </c>
      <c r="AI498">
        <v>45</v>
      </c>
      <c r="AJ498">
        <v>1</v>
      </c>
      <c r="AK498">
        <v>20</v>
      </c>
      <c r="AL498">
        <v>35</v>
      </c>
      <c r="AM498" t="s">
        <v>43</v>
      </c>
      <c r="AN498" t="str">
        <f>HYPERLINK("https://www.google.com/maps?q=11.0547657,79.06095123","Open Location")</f>
        <v>Open Location</v>
      </c>
    </row>
    <row r="499" spans="1:40" x14ac:dyDescent="0.3">
      <c r="A499" s="1">
        <v>46210.942013888889</v>
      </c>
      <c r="B499" t="s">
        <v>40</v>
      </c>
      <c r="C499" t="s">
        <v>41</v>
      </c>
      <c r="D499" s="1">
        <v>46210.944837962961</v>
      </c>
      <c r="E499" t="s">
        <v>42</v>
      </c>
      <c r="F499" t="s">
        <v>83</v>
      </c>
      <c r="G499">
        <v>0</v>
      </c>
      <c r="H499">
        <v>33206</v>
      </c>
      <c r="I499" t="s">
        <v>212</v>
      </c>
      <c r="J499">
        <v>35</v>
      </c>
      <c r="K499">
        <v>4</v>
      </c>
      <c r="L499">
        <v>98</v>
      </c>
      <c r="M499">
        <v>629.5</v>
      </c>
      <c r="N499" t="s">
        <v>85</v>
      </c>
      <c r="O499" t="s">
        <v>82</v>
      </c>
      <c r="P499">
        <v>125</v>
      </c>
      <c r="Q499" t="s">
        <v>82</v>
      </c>
      <c r="R499">
        <v>0</v>
      </c>
      <c r="S499">
        <v>0</v>
      </c>
      <c r="T499">
        <v>-40</v>
      </c>
      <c r="U499">
        <v>39</v>
      </c>
      <c r="V499">
        <v>0</v>
      </c>
      <c r="W499">
        <v>30</v>
      </c>
      <c r="X499">
        <v>30</v>
      </c>
      <c r="Y499">
        <v>1</v>
      </c>
      <c r="Z499">
        <v>9</v>
      </c>
      <c r="AA499">
        <v>26</v>
      </c>
      <c r="AB499">
        <v>6</v>
      </c>
      <c r="AC499">
        <v>5</v>
      </c>
      <c r="AD499">
        <v>3.2839999199999999</v>
      </c>
      <c r="AE499">
        <v>1</v>
      </c>
      <c r="AF499">
        <v>1</v>
      </c>
      <c r="AG499">
        <v>3.2809998999999999</v>
      </c>
      <c r="AH499">
        <v>2</v>
      </c>
      <c r="AI499">
        <v>45</v>
      </c>
      <c r="AJ499">
        <v>1</v>
      </c>
      <c r="AK499">
        <v>20</v>
      </c>
      <c r="AL499">
        <v>35</v>
      </c>
      <c r="AM499" t="s">
        <v>43</v>
      </c>
      <c r="AN499" t="str">
        <f>HYPERLINK("https://www.google.com/maps?q=11.05476475,79.06095123","Open Location")</f>
        <v>Open Location</v>
      </c>
    </row>
    <row r="500" spans="1:40" x14ac:dyDescent="0.3">
      <c r="A500" s="1">
        <v>46210.94189814815</v>
      </c>
      <c r="B500" t="s">
        <v>40</v>
      </c>
      <c r="C500" t="s">
        <v>41</v>
      </c>
      <c r="D500" s="1">
        <v>46210.944884259261</v>
      </c>
      <c r="E500" t="s">
        <v>42</v>
      </c>
      <c r="F500" t="s">
        <v>83</v>
      </c>
      <c r="G500">
        <v>0</v>
      </c>
      <c r="H500">
        <v>33206</v>
      </c>
      <c r="I500" t="s">
        <v>212</v>
      </c>
      <c r="J500">
        <v>35</v>
      </c>
      <c r="K500">
        <v>4</v>
      </c>
      <c r="L500">
        <v>98</v>
      </c>
      <c r="M500">
        <v>629.70001220999995</v>
      </c>
      <c r="N500" t="s">
        <v>85</v>
      </c>
      <c r="O500" t="s">
        <v>82</v>
      </c>
      <c r="P500">
        <v>125</v>
      </c>
      <c r="Q500" t="s">
        <v>82</v>
      </c>
      <c r="R500">
        <v>0</v>
      </c>
      <c r="S500">
        <v>0</v>
      </c>
      <c r="T500">
        <v>-40</v>
      </c>
      <c r="U500">
        <v>39</v>
      </c>
      <c r="V500">
        <v>0</v>
      </c>
      <c r="W500">
        <v>30</v>
      </c>
      <c r="X500">
        <v>30</v>
      </c>
      <c r="Y500">
        <v>1</v>
      </c>
      <c r="Z500">
        <v>9</v>
      </c>
      <c r="AA500">
        <v>26</v>
      </c>
      <c r="AB500">
        <v>7</v>
      </c>
      <c r="AC500">
        <v>5</v>
      </c>
      <c r="AD500">
        <v>3.2839999199999999</v>
      </c>
      <c r="AE500">
        <v>1</v>
      </c>
      <c r="AF500">
        <v>1</v>
      </c>
      <c r="AG500">
        <v>3.2809998999999999</v>
      </c>
      <c r="AH500">
        <v>2</v>
      </c>
      <c r="AI500">
        <v>45</v>
      </c>
      <c r="AJ500">
        <v>1</v>
      </c>
      <c r="AK500">
        <v>20</v>
      </c>
      <c r="AL500">
        <v>35</v>
      </c>
      <c r="AM500" t="s">
        <v>43</v>
      </c>
      <c r="AN500" t="str">
        <f>HYPERLINK("https://www.google.com/maps?q=11.05476475,79.06095123","Open Location")</f>
        <v>Open Location</v>
      </c>
    </row>
    <row r="501" spans="1:40" x14ac:dyDescent="0.3">
      <c r="A501" s="1">
        <v>46210.941782407404</v>
      </c>
      <c r="B501" t="s">
        <v>40</v>
      </c>
      <c r="C501" t="s">
        <v>41</v>
      </c>
      <c r="D501" s="1">
        <v>46210.944571759261</v>
      </c>
      <c r="E501" t="s">
        <v>42</v>
      </c>
      <c r="F501" t="s">
        <v>83</v>
      </c>
      <c r="G501">
        <v>0</v>
      </c>
      <c r="H501">
        <v>33206</v>
      </c>
      <c r="I501" t="s">
        <v>43</v>
      </c>
      <c r="J501">
        <v>35</v>
      </c>
      <c r="K501">
        <v>4</v>
      </c>
      <c r="L501">
        <v>98</v>
      </c>
      <c r="M501">
        <v>629.90002441000001</v>
      </c>
      <c r="N501" t="s">
        <v>85</v>
      </c>
      <c r="O501" t="s">
        <v>82</v>
      </c>
      <c r="P501">
        <v>125</v>
      </c>
      <c r="Q501" t="s">
        <v>82</v>
      </c>
      <c r="R501">
        <v>0</v>
      </c>
      <c r="S501">
        <v>0</v>
      </c>
      <c r="T501">
        <v>-40</v>
      </c>
      <c r="U501">
        <v>39</v>
      </c>
      <c r="V501">
        <v>0</v>
      </c>
      <c r="W501">
        <v>30</v>
      </c>
      <c r="X501">
        <v>30</v>
      </c>
      <c r="Y501">
        <v>1</v>
      </c>
      <c r="Z501">
        <v>9</v>
      </c>
      <c r="AA501">
        <v>26</v>
      </c>
      <c r="AB501">
        <v>6</v>
      </c>
      <c r="AC501">
        <v>5</v>
      </c>
      <c r="AD501">
        <v>3.2839999199999999</v>
      </c>
      <c r="AE501">
        <v>1</v>
      </c>
      <c r="AF501">
        <v>3</v>
      </c>
      <c r="AG501">
        <v>3.2809998999999999</v>
      </c>
      <c r="AH501">
        <v>2</v>
      </c>
      <c r="AI501">
        <v>45</v>
      </c>
      <c r="AJ501">
        <v>1</v>
      </c>
      <c r="AK501">
        <v>20</v>
      </c>
      <c r="AL501">
        <v>35</v>
      </c>
      <c r="AM501" t="s">
        <v>43</v>
      </c>
      <c r="AN501" t="s">
        <v>43</v>
      </c>
    </row>
    <row r="502" spans="1:40" x14ac:dyDescent="0.3">
      <c r="A502" s="1">
        <v>46210.941666666666</v>
      </c>
      <c r="B502" t="s">
        <v>40</v>
      </c>
      <c r="C502" t="s">
        <v>41</v>
      </c>
      <c r="D502" s="1">
        <v>46210.944594907407</v>
      </c>
      <c r="E502" t="s">
        <v>42</v>
      </c>
      <c r="F502" t="s">
        <v>83</v>
      </c>
      <c r="G502">
        <v>0</v>
      </c>
      <c r="H502">
        <v>33206</v>
      </c>
      <c r="I502" t="s">
        <v>242</v>
      </c>
      <c r="J502">
        <v>35</v>
      </c>
      <c r="K502">
        <v>4</v>
      </c>
      <c r="L502">
        <v>98</v>
      </c>
      <c r="M502">
        <v>629.59997558999999</v>
      </c>
      <c r="N502" t="s">
        <v>85</v>
      </c>
      <c r="O502" t="s">
        <v>82</v>
      </c>
      <c r="P502">
        <v>125</v>
      </c>
      <c r="Q502" t="s">
        <v>82</v>
      </c>
      <c r="R502">
        <v>0</v>
      </c>
      <c r="S502">
        <v>0</v>
      </c>
      <c r="T502">
        <v>-40</v>
      </c>
      <c r="U502">
        <v>39</v>
      </c>
      <c r="V502">
        <v>0</v>
      </c>
      <c r="W502">
        <v>30</v>
      </c>
      <c r="X502">
        <v>30</v>
      </c>
      <c r="Y502">
        <v>1</v>
      </c>
      <c r="Z502">
        <v>9</v>
      </c>
      <c r="AA502">
        <v>26</v>
      </c>
      <c r="AB502">
        <v>6</v>
      </c>
      <c r="AC502">
        <v>5</v>
      </c>
      <c r="AD502">
        <v>3.2839999199999999</v>
      </c>
      <c r="AE502">
        <v>1</v>
      </c>
      <c r="AF502">
        <v>16</v>
      </c>
      <c r="AG502">
        <v>3.2809998999999999</v>
      </c>
      <c r="AH502">
        <v>2</v>
      </c>
      <c r="AI502">
        <v>6</v>
      </c>
      <c r="AJ502">
        <v>1</v>
      </c>
      <c r="AK502">
        <v>20</v>
      </c>
      <c r="AL502">
        <v>35</v>
      </c>
      <c r="AM502" t="s">
        <v>43</v>
      </c>
      <c r="AN502" t="str">
        <f>HYPERLINK("https://www.google.com/maps?q=11.05476189,79.06095123","Open Location")</f>
        <v>Open Location</v>
      </c>
    </row>
    <row r="503" spans="1:40" x14ac:dyDescent="0.3">
      <c r="A503" s="1">
        <v>46210.941550925927</v>
      </c>
      <c r="B503" t="s">
        <v>40</v>
      </c>
      <c r="C503" t="s">
        <v>41</v>
      </c>
      <c r="D503" s="1">
        <v>46210.944386574076</v>
      </c>
      <c r="E503" t="s">
        <v>42</v>
      </c>
      <c r="F503" t="s">
        <v>83</v>
      </c>
      <c r="G503">
        <v>0</v>
      </c>
      <c r="H503" t="s">
        <v>43</v>
      </c>
      <c r="I503" t="s">
        <v>216</v>
      </c>
      <c r="J503">
        <v>35</v>
      </c>
      <c r="K503">
        <v>4</v>
      </c>
      <c r="L503">
        <v>98</v>
      </c>
      <c r="M503">
        <v>630</v>
      </c>
      <c r="N503" t="s">
        <v>85</v>
      </c>
      <c r="O503" t="s">
        <v>82</v>
      </c>
      <c r="P503">
        <v>125</v>
      </c>
      <c r="Q503" t="s">
        <v>82</v>
      </c>
      <c r="R503">
        <v>0</v>
      </c>
      <c r="S503">
        <v>0</v>
      </c>
      <c r="T503">
        <v>-40</v>
      </c>
      <c r="U503">
        <v>39</v>
      </c>
      <c r="V503">
        <v>0</v>
      </c>
      <c r="W503">
        <v>30</v>
      </c>
      <c r="X503">
        <v>30</v>
      </c>
      <c r="Y503">
        <v>1</v>
      </c>
      <c r="Z503">
        <v>9</v>
      </c>
      <c r="AA503">
        <v>26</v>
      </c>
      <c r="AB503">
        <v>6</v>
      </c>
      <c r="AC503">
        <v>5</v>
      </c>
      <c r="AD503">
        <v>3.2839999199999999</v>
      </c>
      <c r="AE503">
        <v>1</v>
      </c>
      <c r="AF503">
        <v>16</v>
      </c>
      <c r="AG503">
        <v>3.2809998999999999</v>
      </c>
      <c r="AH503">
        <v>2</v>
      </c>
      <c r="AI503">
        <v>6</v>
      </c>
      <c r="AJ503">
        <v>1</v>
      </c>
      <c r="AK503">
        <v>20</v>
      </c>
      <c r="AL503">
        <v>34</v>
      </c>
      <c r="AM503" t="s">
        <v>43</v>
      </c>
      <c r="AN503" t="str">
        <f>HYPERLINK("https://www.google.com/maps?q=11.05476093,79.0609436","Open Location")</f>
        <v>Open Location</v>
      </c>
    </row>
    <row r="504" spans="1:40" x14ac:dyDescent="0.3">
      <c r="A504" s="1">
        <v>46210.941435185188</v>
      </c>
      <c r="B504" t="s">
        <v>40</v>
      </c>
      <c r="C504" t="s">
        <v>41</v>
      </c>
      <c r="D504" s="1">
        <v>46210.944513888891</v>
      </c>
      <c r="E504" t="s">
        <v>42</v>
      </c>
      <c r="F504" t="s">
        <v>83</v>
      </c>
      <c r="G504">
        <v>0</v>
      </c>
      <c r="H504">
        <v>33206</v>
      </c>
      <c r="I504" t="s">
        <v>212</v>
      </c>
      <c r="J504">
        <v>35</v>
      </c>
      <c r="K504">
        <v>4</v>
      </c>
      <c r="L504">
        <v>98</v>
      </c>
      <c r="M504">
        <v>629.90002441000001</v>
      </c>
      <c r="N504" t="s">
        <v>85</v>
      </c>
      <c r="O504" t="s">
        <v>82</v>
      </c>
      <c r="P504">
        <v>125</v>
      </c>
      <c r="Q504" t="s">
        <v>82</v>
      </c>
      <c r="R504">
        <v>0</v>
      </c>
      <c r="S504">
        <v>0</v>
      </c>
      <c r="T504">
        <v>-40</v>
      </c>
      <c r="U504">
        <v>39</v>
      </c>
      <c r="V504">
        <v>0</v>
      </c>
      <c r="W504">
        <v>30</v>
      </c>
      <c r="X504">
        <v>30</v>
      </c>
      <c r="Y504">
        <v>1</v>
      </c>
      <c r="Z504">
        <v>9</v>
      </c>
      <c r="AA504">
        <v>26</v>
      </c>
      <c r="AB504">
        <v>6</v>
      </c>
      <c r="AC504">
        <v>5</v>
      </c>
      <c r="AD504">
        <v>3.2839999199999999</v>
      </c>
      <c r="AE504">
        <v>1</v>
      </c>
      <c r="AF504">
        <v>25</v>
      </c>
      <c r="AG504">
        <v>3.2809998999999999</v>
      </c>
      <c r="AH504">
        <v>2</v>
      </c>
      <c r="AI504">
        <v>6</v>
      </c>
      <c r="AJ504">
        <v>1</v>
      </c>
      <c r="AK504">
        <v>21</v>
      </c>
      <c r="AL504">
        <v>34</v>
      </c>
      <c r="AM504" t="s">
        <v>43</v>
      </c>
      <c r="AN504" t="str">
        <f>HYPERLINK("https://www.google.com/maps?q=11.05476475,79.06095123","Open Location")</f>
        <v>Open Location</v>
      </c>
    </row>
    <row r="505" spans="1:40" x14ac:dyDescent="0.3">
      <c r="A505" s="1">
        <v>46210.941319444442</v>
      </c>
      <c r="B505" t="s">
        <v>40</v>
      </c>
      <c r="C505" t="s">
        <v>41</v>
      </c>
      <c r="D505" s="1">
        <v>46210.944050925929</v>
      </c>
      <c r="E505" t="s">
        <v>42</v>
      </c>
      <c r="F505" t="s">
        <v>83</v>
      </c>
      <c r="G505">
        <v>0</v>
      </c>
      <c r="H505">
        <v>33206</v>
      </c>
      <c r="I505" t="s">
        <v>247</v>
      </c>
      <c r="J505">
        <v>35</v>
      </c>
      <c r="K505">
        <v>4</v>
      </c>
      <c r="L505">
        <v>98</v>
      </c>
      <c r="M505">
        <v>629.70001220999995</v>
      </c>
      <c r="N505" t="s">
        <v>85</v>
      </c>
      <c r="O505" t="s">
        <v>82</v>
      </c>
      <c r="P505">
        <v>125</v>
      </c>
      <c r="Q505" t="s">
        <v>82</v>
      </c>
      <c r="R505">
        <v>0</v>
      </c>
      <c r="S505">
        <v>0</v>
      </c>
      <c r="T505">
        <v>-40</v>
      </c>
      <c r="U505">
        <v>39</v>
      </c>
      <c r="V505">
        <v>0</v>
      </c>
      <c r="W505">
        <v>30</v>
      </c>
      <c r="X505">
        <v>30</v>
      </c>
      <c r="Y505">
        <v>1</v>
      </c>
      <c r="Z505">
        <v>9</v>
      </c>
      <c r="AA505">
        <v>26</v>
      </c>
      <c r="AB505">
        <v>6</v>
      </c>
      <c r="AC505">
        <v>5</v>
      </c>
      <c r="AD505">
        <v>3.28299999</v>
      </c>
      <c r="AE505">
        <v>1</v>
      </c>
      <c r="AF505">
        <v>1</v>
      </c>
      <c r="AG505">
        <v>3.2809998999999999</v>
      </c>
      <c r="AH505">
        <v>2</v>
      </c>
      <c r="AI505">
        <v>6</v>
      </c>
      <c r="AJ505">
        <v>1</v>
      </c>
      <c r="AK505">
        <v>21</v>
      </c>
      <c r="AL505">
        <v>34</v>
      </c>
      <c r="AM505" t="s">
        <v>43</v>
      </c>
      <c r="AN505" t="str">
        <f>HYPERLINK("https://www.google.com/maps?q=11.05476665,79.06095123","Open Location")</f>
        <v>Open Location</v>
      </c>
    </row>
    <row r="506" spans="1:40" x14ac:dyDescent="0.3">
      <c r="A506" s="1">
        <v>46210.941203703704</v>
      </c>
      <c r="B506" t="s">
        <v>40</v>
      </c>
      <c r="C506" t="s">
        <v>41</v>
      </c>
      <c r="D506" s="1">
        <v>46210.944050925929</v>
      </c>
      <c r="E506" t="s">
        <v>42</v>
      </c>
      <c r="F506" t="s">
        <v>83</v>
      </c>
      <c r="G506">
        <v>0</v>
      </c>
      <c r="H506">
        <v>33206</v>
      </c>
      <c r="I506" t="s">
        <v>212</v>
      </c>
      <c r="J506">
        <v>35</v>
      </c>
      <c r="K506">
        <v>7</v>
      </c>
      <c r="L506">
        <v>98</v>
      </c>
      <c r="M506">
        <v>630.09997558999999</v>
      </c>
      <c r="N506" t="s">
        <v>85</v>
      </c>
      <c r="O506" t="s">
        <v>82</v>
      </c>
      <c r="P506">
        <v>125</v>
      </c>
      <c r="Q506" t="s">
        <v>82</v>
      </c>
      <c r="R506">
        <v>0</v>
      </c>
      <c r="S506">
        <v>0</v>
      </c>
      <c r="T506">
        <v>-40</v>
      </c>
      <c r="U506">
        <v>39</v>
      </c>
      <c r="V506">
        <v>0</v>
      </c>
      <c r="W506">
        <v>30</v>
      </c>
      <c r="X506">
        <v>30</v>
      </c>
      <c r="Y506">
        <v>1</v>
      </c>
      <c r="Z506">
        <v>8</v>
      </c>
      <c r="AA506">
        <v>26</v>
      </c>
      <c r="AB506">
        <v>6</v>
      </c>
      <c r="AC506">
        <v>5</v>
      </c>
      <c r="AD506">
        <v>3.28299999</v>
      </c>
      <c r="AE506">
        <v>1</v>
      </c>
      <c r="AF506">
        <v>1</v>
      </c>
      <c r="AG506">
        <v>3.27999997</v>
      </c>
      <c r="AH506">
        <v>7</v>
      </c>
      <c r="AI506">
        <v>1</v>
      </c>
      <c r="AJ506">
        <v>1</v>
      </c>
      <c r="AK506">
        <v>20</v>
      </c>
      <c r="AL506">
        <v>34</v>
      </c>
      <c r="AM506" t="s">
        <v>43</v>
      </c>
      <c r="AN506" t="str">
        <f>HYPERLINK("https://www.google.com/maps?q=11.05476475,79.06095123","Open Location")</f>
        <v>Open Location</v>
      </c>
    </row>
    <row r="507" spans="1:40" x14ac:dyDescent="0.3">
      <c r="A507" s="1">
        <v>46210.941087962965</v>
      </c>
      <c r="B507" t="s">
        <v>40</v>
      </c>
      <c r="C507" t="s">
        <v>41</v>
      </c>
      <c r="D507" s="1">
        <v>46210.944074074076</v>
      </c>
      <c r="E507" t="s">
        <v>42</v>
      </c>
      <c r="F507" t="s">
        <v>83</v>
      </c>
      <c r="G507">
        <v>0</v>
      </c>
      <c r="H507">
        <v>33206</v>
      </c>
      <c r="I507" t="s">
        <v>43</v>
      </c>
      <c r="J507">
        <v>35</v>
      </c>
      <c r="K507">
        <v>11</v>
      </c>
      <c r="L507">
        <v>98</v>
      </c>
      <c r="M507">
        <v>629.70001220999995</v>
      </c>
      <c r="N507" t="s">
        <v>85</v>
      </c>
      <c r="O507" t="s">
        <v>82</v>
      </c>
      <c r="P507">
        <v>125</v>
      </c>
      <c r="Q507" t="s">
        <v>82</v>
      </c>
      <c r="R507">
        <v>0</v>
      </c>
      <c r="S507">
        <v>0</v>
      </c>
      <c r="T507">
        <v>-40</v>
      </c>
      <c r="U507">
        <v>39</v>
      </c>
      <c r="V507">
        <v>0</v>
      </c>
      <c r="W507">
        <v>30</v>
      </c>
      <c r="X507">
        <v>30</v>
      </c>
      <c r="Y507">
        <v>1</v>
      </c>
      <c r="Z507">
        <v>8</v>
      </c>
      <c r="AA507">
        <v>26</v>
      </c>
      <c r="AB507">
        <v>6</v>
      </c>
      <c r="AC507">
        <v>5</v>
      </c>
      <c r="AD507">
        <v>3.2820000600000001</v>
      </c>
      <c r="AE507">
        <v>1</v>
      </c>
      <c r="AF507">
        <v>1</v>
      </c>
      <c r="AG507">
        <v>3.2780001200000002</v>
      </c>
      <c r="AH507">
        <v>6</v>
      </c>
      <c r="AI507">
        <v>17</v>
      </c>
      <c r="AJ507">
        <v>1</v>
      </c>
      <c r="AK507">
        <v>21</v>
      </c>
      <c r="AL507">
        <v>34</v>
      </c>
      <c r="AM507" t="s">
        <v>43</v>
      </c>
      <c r="AN507" t="s">
        <v>43</v>
      </c>
    </row>
    <row r="508" spans="1:40" x14ac:dyDescent="0.3">
      <c r="A508" s="1">
        <v>46210.940972222219</v>
      </c>
      <c r="B508" t="s">
        <v>40</v>
      </c>
      <c r="C508" t="s">
        <v>41</v>
      </c>
      <c r="D508" s="1">
        <v>46210.943854166668</v>
      </c>
      <c r="E508" t="s">
        <v>42</v>
      </c>
      <c r="F508" t="s">
        <v>83</v>
      </c>
      <c r="G508">
        <v>0</v>
      </c>
      <c r="H508">
        <v>33206</v>
      </c>
      <c r="I508" t="s">
        <v>247</v>
      </c>
      <c r="J508">
        <v>35</v>
      </c>
      <c r="K508">
        <v>10</v>
      </c>
      <c r="L508">
        <v>98</v>
      </c>
      <c r="M508">
        <v>629.20001220999995</v>
      </c>
      <c r="N508" t="s">
        <v>85</v>
      </c>
      <c r="O508" t="s">
        <v>82</v>
      </c>
      <c r="P508">
        <v>125</v>
      </c>
      <c r="Q508" t="s">
        <v>82</v>
      </c>
      <c r="R508">
        <v>0</v>
      </c>
      <c r="S508">
        <v>0</v>
      </c>
      <c r="T508">
        <v>-40</v>
      </c>
      <c r="U508">
        <v>39</v>
      </c>
      <c r="V508">
        <v>0</v>
      </c>
      <c r="W508">
        <v>30</v>
      </c>
      <c r="X508">
        <v>30</v>
      </c>
      <c r="Y508">
        <v>1</v>
      </c>
      <c r="Z508">
        <v>8</v>
      </c>
      <c r="AA508">
        <v>26</v>
      </c>
      <c r="AB508">
        <v>6</v>
      </c>
      <c r="AC508">
        <v>5</v>
      </c>
      <c r="AD508">
        <v>3.2820000600000001</v>
      </c>
      <c r="AE508">
        <v>1</v>
      </c>
      <c r="AF508">
        <v>1</v>
      </c>
      <c r="AG508">
        <v>3.2790000400000001</v>
      </c>
      <c r="AH508">
        <v>6</v>
      </c>
      <c r="AI508">
        <v>17</v>
      </c>
      <c r="AJ508">
        <v>1</v>
      </c>
      <c r="AK508">
        <v>21</v>
      </c>
      <c r="AL508">
        <v>34</v>
      </c>
      <c r="AM508" t="s">
        <v>43</v>
      </c>
      <c r="AN508" t="str">
        <f>HYPERLINK("https://www.google.com/maps?q=11.05476665,79.06095123","Open Location")</f>
        <v>Open Location</v>
      </c>
    </row>
    <row r="509" spans="1:40" x14ac:dyDescent="0.3">
      <c r="A509" s="1">
        <v>46210.94085648148</v>
      </c>
      <c r="B509" t="s">
        <v>40</v>
      </c>
      <c r="C509" t="s">
        <v>41</v>
      </c>
      <c r="D509" s="1">
        <v>46210.943842592591</v>
      </c>
      <c r="E509" t="s">
        <v>42</v>
      </c>
      <c r="F509" t="s">
        <v>83</v>
      </c>
      <c r="G509">
        <v>0</v>
      </c>
      <c r="H509">
        <v>33206</v>
      </c>
      <c r="I509" t="s">
        <v>158</v>
      </c>
      <c r="J509">
        <v>35</v>
      </c>
      <c r="K509">
        <v>4</v>
      </c>
      <c r="L509">
        <v>98</v>
      </c>
      <c r="M509">
        <v>630.09997558999999</v>
      </c>
      <c r="N509" t="s">
        <v>85</v>
      </c>
      <c r="O509" t="s">
        <v>82</v>
      </c>
      <c r="P509">
        <v>125</v>
      </c>
      <c r="Q509" t="s">
        <v>82</v>
      </c>
      <c r="R509">
        <v>0</v>
      </c>
      <c r="S509">
        <v>0</v>
      </c>
      <c r="T509">
        <v>-40</v>
      </c>
      <c r="U509">
        <v>39</v>
      </c>
      <c r="V509">
        <v>0</v>
      </c>
      <c r="W509">
        <v>30</v>
      </c>
      <c r="X509">
        <v>30</v>
      </c>
      <c r="Y509">
        <v>1</v>
      </c>
      <c r="Z509">
        <v>8</v>
      </c>
      <c r="AA509">
        <v>26</v>
      </c>
      <c r="AB509">
        <v>6</v>
      </c>
      <c r="AC509">
        <v>5</v>
      </c>
      <c r="AD509">
        <v>3.28299999</v>
      </c>
      <c r="AE509">
        <v>1</v>
      </c>
      <c r="AF509">
        <v>1</v>
      </c>
      <c r="AG509">
        <v>3.27999997</v>
      </c>
      <c r="AH509">
        <v>7</v>
      </c>
      <c r="AI509">
        <v>1</v>
      </c>
      <c r="AJ509">
        <v>1</v>
      </c>
      <c r="AK509">
        <v>21</v>
      </c>
      <c r="AL509">
        <v>34</v>
      </c>
      <c r="AM509" t="s">
        <v>43</v>
      </c>
      <c r="AN509" t="str">
        <f>HYPERLINK("https://www.google.com/maps?q=11.05477142,79.06095123","Open Location")</f>
        <v>Open Location</v>
      </c>
    </row>
    <row r="510" spans="1:40" x14ac:dyDescent="0.3">
      <c r="A510" s="1">
        <v>46210.940740740742</v>
      </c>
      <c r="B510" t="s">
        <v>40</v>
      </c>
      <c r="C510" t="s">
        <v>41</v>
      </c>
      <c r="D510" s="1">
        <v>46210.943715277775</v>
      </c>
      <c r="E510" t="s">
        <v>42</v>
      </c>
      <c r="F510" t="s">
        <v>83</v>
      </c>
      <c r="G510">
        <v>0</v>
      </c>
      <c r="H510">
        <v>33206</v>
      </c>
      <c r="I510" t="s">
        <v>114</v>
      </c>
      <c r="J510">
        <v>35</v>
      </c>
      <c r="K510">
        <v>5</v>
      </c>
      <c r="L510">
        <v>98</v>
      </c>
      <c r="M510">
        <v>630</v>
      </c>
      <c r="N510" t="s">
        <v>85</v>
      </c>
      <c r="O510" t="s">
        <v>82</v>
      </c>
      <c r="P510">
        <v>125</v>
      </c>
      <c r="Q510" t="s">
        <v>82</v>
      </c>
      <c r="R510">
        <v>0</v>
      </c>
      <c r="S510">
        <v>0</v>
      </c>
      <c r="T510">
        <v>-40</v>
      </c>
      <c r="U510">
        <v>38</v>
      </c>
      <c r="V510">
        <v>0</v>
      </c>
      <c r="W510">
        <v>30</v>
      </c>
      <c r="X510">
        <v>30</v>
      </c>
      <c r="Y510">
        <v>1</v>
      </c>
      <c r="Z510">
        <v>8</v>
      </c>
      <c r="AA510">
        <v>26</v>
      </c>
      <c r="AB510">
        <v>6</v>
      </c>
      <c r="AC510">
        <v>5</v>
      </c>
      <c r="AD510">
        <v>3.28299999</v>
      </c>
      <c r="AE510">
        <v>1</v>
      </c>
      <c r="AF510">
        <v>1</v>
      </c>
      <c r="AG510">
        <v>3.27999997</v>
      </c>
      <c r="AH510">
        <v>7</v>
      </c>
      <c r="AI510">
        <v>1</v>
      </c>
      <c r="AJ510">
        <v>1</v>
      </c>
      <c r="AK510">
        <v>20</v>
      </c>
      <c r="AL510">
        <v>34</v>
      </c>
      <c r="AM510" t="s">
        <v>43</v>
      </c>
      <c r="AN510" t="str">
        <f>HYPERLINK("https://www.google.com/maps?q=11.05476475,79.06095886","Open Location")</f>
        <v>Open Location</v>
      </c>
    </row>
    <row r="511" spans="1:40" x14ac:dyDescent="0.3">
      <c r="A511" s="1">
        <v>46210.940625000003</v>
      </c>
      <c r="B511" t="s">
        <v>40</v>
      </c>
      <c r="C511" t="s">
        <v>41</v>
      </c>
      <c r="D511" s="1">
        <v>46210.943344907406</v>
      </c>
      <c r="E511" t="s">
        <v>42</v>
      </c>
      <c r="F511" t="s">
        <v>83</v>
      </c>
      <c r="G511">
        <v>0</v>
      </c>
      <c r="H511">
        <v>33206</v>
      </c>
      <c r="I511" t="s">
        <v>248</v>
      </c>
      <c r="J511">
        <v>35</v>
      </c>
      <c r="K511">
        <v>6</v>
      </c>
      <c r="L511">
        <v>98</v>
      </c>
      <c r="M511">
        <v>630</v>
      </c>
      <c r="N511" t="s">
        <v>85</v>
      </c>
      <c r="O511" t="s">
        <v>82</v>
      </c>
      <c r="P511">
        <v>125</v>
      </c>
      <c r="Q511" t="s">
        <v>82</v>
      </c>
      <c r="R511">
        <v>0</v>
      </c>
      <c r="S511">
        <v>0</v>
      </c>
      <c r="T511">
        <v>-40</v>
      </c>
      <c r="U511">
        <v>38</v>
      </c>
      <c r="V511">
        <v>0</v>
      </c>
      <c r="W511">
        <v>30</v>
      </c>
      <c r="X511">
        <v>30</v>
      </c>
      <c r="Y511">
        <v>1</v>
      </c>
      <c r="Z511">
        <v>8</v>
      </c>
      <c r="AA511">
        <v>26</v>
      </c>
      <c r="AB511">
        <v>6</v>
      </c>
      <c r="AC511">
        <v>5</v>
      </c>
      <c r="AD511">
        <v>3.28299999</v>
      </c>
      <c r="AE511">
        <v>1</v>
      </c>
      <c r="AF511">
        <v>1</v>
      </c>
      <c r="AG511">
        <v>3.27999997</v>
      </c>
      <c r="AH511">
        <v>2</v>
      </c>
      <c r="AI511">
        <v>45</v>
      </c>
      <c r="AJ511">
        <v>1</v>
      </c>
      <c r="AK511">
        <v>21</v>
      </c>
      <c r="AL511">
        <v>34</v>
      </c>
      <c r="AM511" t="s">
        <v>43</v>
      </c>
      <c r="AN511" t="str">
        <f>HYPERLINK("https://www.google.com/maps?q=11.05476379,79.06095886","Open Location")</f>
        <v>Open Location</v>
      </c>
    </row>
    <row r="512" spans="1:40" x14ac:dyDescent="0.3">
      <c r="A512" s="1">
        <v>46210.940509259257</v>
      </c>
      <c r="B512" t="s">
        <v>40</v>
      </c>
      <c r="C512" t="s">
        <v>41</v>
      </c>
      <c r="D512" s="1">
        <v>46210.943333333336</v>
      </c>
      <c r="E512" t="s">
        <v>42</v>
      </c>
      <c r="F512" t="s">
        <v>83</v>
      </c>
      <c r="G512">
        <v>0</v>
      </c>
      <c r="H512" t="s">
        <v>43</v>
      </c>
      <c r="I512" t="s">
        <v>157</v>
      </c>
      <c r="J512">
        <v>35</v>
      </c>
      <c r="K512">
        <v>7</v>
      </c>
      <c r="L512">
        <v>98</v>
      </c>
      <c r="M512">
        <v>629.29998779000005</v>
      </c>
      <c r="N512" t="s">
        <v>85</v>
      </c>
      <c r="O512" t="s">
        <v>82</v>
      </c>
      <c r="P512">
        <v>125</v>
      </c>
      <c r="Q512" t="s">
        <v>43</v>
      </c>
      <c r="R512">
        <v>0</v>
      </c>
      <c r="S512">
        <v>0</v>
      </c>
      <c r="T512">
        <v>-40</v>
      </c>
      <c r="U512">
        <v>38</v>
      </c>
      <c r="V512">
        <v>0</v>
      </c>
      <c r="W512">
        <v>30</v>
      </c>
      <c r="X512">
        <v>30</v>
      </c>
      <c r="Y512">
        <v>1</v>
      </c>
      <c r="Z512">
        <v>8</v>
      </c>
      <c r="AA512">
        <v>26</v>
      </c>
      <c r="AB512">
        <v>6</v>
      </c>
      <c r="AC512">
        <v>5</v>
      </c>
      <c r="AD512" t="s">
        <v>43</v>
      </c>
      <c r="AE512" t="s">
        <v>43</v>
      </c>
      <c r="AF512" t="s">
        <v>43</v>
      </c>
      <c r="AG512" t="s">
        <v>43</v>
      </c>
      <c r="AH512" t="s">
        <v>43</v>
      </c>
      <c r="AI512" t="s">
        <v>43</v>
      </c>
      <c r="AJ512">
        <v>1</v>
      </c>
      <c r="AK512">
        <v>21</v>
      </c>
      <c r="AL512">
        <v>34</v>
      </c>
      <c r="AM512" t="s">
        <v>43</v>
      </c>
      <c r="AN512" t="str">
        <f>HYPERLINK("https://www.google.com/maps?q=11.0547657,79.06095886","Open Location")</f>
        <v>Open Location</v>
      </c>
    </row>
    <row r="513" spans="1:40" x14ac:dyDescent="0.3">
      <c r="A513" s="1">
        <v>46210.940393518518</v>
      </c>
      <c r="B513" t="s">
        <v>40</v>
      </c>
      <c r="C513" t="s">
        <v>41</v>
      </c>
      <c r="D513" s="1">
        <v>46210.943067129629</v>
      </c>
      <c r="E513" t="s">
        <v>42</v>
      </c>
      <c r="F513" t="s">
        <v>83</v>
      </c>
      <c r="G513">
        <v>0</v>
      </c>
      <c r="H513">
        <v>33206</v>
      </c>
      <c r="I513" t="s">
        <v>43</v>
      </c>
      <c r="J513">
        <v>35</v>
      </c>
      <c r="K513">
        <v>7</v>
      </c>
      <c r="L513">
        <v>98</v>
      </c>
      <c r="M513">
        <v>629.5</v>
      </c>
      <c r="N513" t="s">
        <v>85</v>
      </c>
      <c r="O513" t="s">
        <v>82</v>
      </c>
      <c r="P513">
        <v>125</v>
      </c>
      <c r="Q513" t="s">
        <v>82</v>
      </c>
      <c r="R513">
        <v>0</v>
      </c>
      <c r="S513">
        <v>0</v>
      </c>
      <c r="T513">
        <v>-40</v>
      </c>
      <c r="U513">
        <v>38</v>
      </c>
      <c r="V513">
        <v>0</v>
      </c>
      <c r="W513">
        <v>30</v>
      </c>
      <c r="X513">
        <v>30</v>
      </c>
      <c r="Y513">
        <v>1</v>
      </c>
      <c r="Z513">
        <v>8</v>
      </c>
      <c r="AA513">
        <v>26</v>
      </c>
      <c r="AB513">
        <v>6</v>
      </c>
      <c r="AC513">
        <v>5</v>
      </c>
      <c r="AD513">
        <v>3.2820000600000001</v>
      </c>
      <c r="AE513">
        <v>1</v>
      </c>
      <c r="AF513">
        <v>1</v>
      </c>
      <c r="AG513">
        <v>3.2790000400000001</v>
      </c>
      <c r="AH513">
        <v>7</v>
      </c>
      <c r="AI513">
        <v>1</v>
      </c>
      <c r="AJ513">
        <v>1</v>
      </c>
      <c r="AK513">
        <v>21</v>
      </c>
      <c r="AL513">
        <v>34</v>
      </c>
      <c r="AM513" t="s">
        <v>43</v>
      </c>
      <c r="AN513" t="s">
        <v>43</v>
      </c>
    </row>
    <row r="514" spans="1:40" x14ac:dyDescent="0.3">
      <c r="A514" s="1">
        <v>46210.94027777778</v>
      </c>
      <c r="B514" t="s">
        <v>40</v>
      </c>
      <c r="C514" t="s">
        <v>41</v>
      </c>
      <c r="D514" s="1">
        <v>46210.943333333336</v>
      </c>
      <c r="E514" t="s">
        <v>42</v>
      </c>
      <c r="F514" t="s">
        <v>83</v>
      </c>
      <c r="G514">
        <v>0</v>
      </c>
      <c r="H514">
        <v>33206</v>
      </c>
      <c r="I514" t="s">
        <v>154</v>
      </c>
      <c r="J514">
        <v>35</v>
      </c>
      <c r="K514">
        <v>7</v>
      </c>
      <c r="L514">
        <v>98</v>
      </c>
      <c r="M514">
        <v>629.5</v>
      </c>
      <c r="N514" t="s">
        <v>85</v>
      </c>
      <c r="O514" t="s">
        <v>82</v>
      </c>
      <c r="P514">
        <v>125</v>
      </c>
      <c r="Q514" t="s">
        <v>82</v>
      </c>
      <c r="R514">
        <v>0</v>
      </c>
      <c r="S514">
        <v>0</v>
      </c>
      <c r="T514">
        <v>-40</v>
      </c>
      <c r="U514">
        <v>38</v>
      </c>
      <c r="V514">
        <v>0</v>
      </c>
      <c r="W514">
        <v>30</v>
      </c>
      <c r="X514">
        <v>30</v>
      </c>
      <c r="Y514">
        <v>1</v>
      </c>
      <c r="Z514">
        <v>8</v>
      </c>
      <c r="AA514">
        <v>26</v>
      </c>
      <c r="AB514">
        <v>6</v>
      </c>
      <c r="AC514">
        <v>5</v>
      </c>
      <c r="AD514">
        <v>3.2820000600000001</v>
      </c>
      <c r="AE514">
        <v>1</v>
      </c>
      <c r="AF514">
        <v>1</v>
      </c>
      <c r="AG514">
        <v>3.2790000400000001</v>
      </c>
      <c r="AH514">
        <v>7</v>
      </c>
      <c r="AI514">
        <v>1</v>
      </c>
      <c r="AJ514">
        <v>1</v>
      </c>
      <c r="AK514">
        <v>21</v>
      </c>
      <c r="AL514">
        <v>34</v>
      </c>
      <c r="AM514" t="s">
        <v>43</v>
      </c>
      <c r="AN514" t="str">
        <f>HYPERLINK("https://www.google.com/maps?q=11.05476761,79.06095886","Open Location")</f>
        <v>Open Location</v>
      </c>
    </row>
    <row r="515" spans="1:40" x14ac:dyDescent="0.3">
      <c r="A515" s="1">
        <v>46210.940162037034</v>
      </c>
      <c r="B515" t="s">
        <v>40</v>
      </c>
      <c r="C515" t="s">
        <v>41</v>
      </c>
      <c r="D515" s="1">
        <v>46210.943067129629</v>
      </c>
      <c r="E515" t="s">
        <v>42</v>
      </c>
      <c r="F515" t="s">
        <v>83</v>
      </c>
      <c r="G515">
        <v>0</v>
      </c>
      <c r="H515">
        <v>33206</v>
      </c>
      <c r="I515" t="s">
        <v>152</v>
      </c>
      <c r="J515">
        <v>35</v>
      </c>
      <c r="K515">
        <v>7</v>
      </c>
      <c r="L515">
        <v>98</v>
      </c>
      <c r="M515">
        <v>629.90002441000001</v>
      </c>
      <c r="N515" t="s">
        <v>85</v>
      </c>
      <c r="O515" t="s">
        <v>82</v>
      </c>
      <c r="P515">
        <v>125</v>
      </c>
      <c r="Q515" t="s">
        <v>82</v>
      </c>
      <c r="R515">
        <v>0</v>
      </c>
      <c r="S515">
        <v>0</v>
      </c>
      <c r="T515">
        <v>-40</v>
      </c>
      <c r="U515">
        <v>38</v>
      </c>
      <c r="V515">
        <v>0</v>
      </c>
      <c r="W515">
        <v>30</v>
      </c>
      <c r="X515">
        <v>30</v>
      </c>
      <c r="Y515">
        <v>1</v>
      </c>
      <c r="Z515">
        <v>8</v>
      </c>
      <c r="AA515">
        <v>26</v>
      </c>
      <c r="AB515">
        <v>6</v>
      </c>
      <c r="AC515">
        <v>5</v>
      </c>
      <c r="AD515">
        <v>3.2820000600000001</v>
      </c>
      <c r="AE515">
        <v>1</v>
      </c>
      <c r="AF515">
        <v>1</v>
      </c>
      <c r="AG515">
        <v>3.2790000400000001</v>
      </c>
      <c r="AH515">
        <v>7</v>
      </c>
      <c r="AI515">
        <v>1</v>
      </c>
      <c r="AJ515">
        <v>1</v>
      </c>
      <c r="AK515">
        <v>21</v>
      </c>
      <c r="AL515">
        <v>34</v>
      </c>
      <c r="AM515" t="s">
        <v>43</v>
      </c>
      <c r="AN515" t="str">
        <f>HYPERLINK("https://www.google.com/maps?q=11.05476284,79.06095886","Open Location")</f>
        <v>Open Location</v>
      </c>
    </row>
    <row r="516" spans="1:40" x14ac:dyDescent="0.3">
      <c r="A516" s="1">
        <v>46210.940046296295</v>
      </c>
      <c r="B516" t="s">
        <v>40</v>
      </c>
      <c r="C516" t="s">
        <v>41</v>
      </c>
      <c r="D516" s="1">
        <v>46210.943067129629</v>
      </c>
      <c r="E516" t="s">
        <v>42</v>
      </c>
      <c r="F516" t="s">
        <v>83</v>
      </c>
      <c r="G516">
        <v>0</v>
      </c>
      <c r="H516">
        <v>33206</v>
      </c>
      <c r="I516" t="s">
        <v>116</v>
      </c>
      <c r="J516">
        <v>35</v>
      </c>
      <c r="K516">
        <v>12</v>
      </c>
      <c r="L516">
        <v>98</v>
      </c>
      <c r="M516">
        <v>629.59997558999999</v>
      </c>
      <c r="N516" t="s">
        <v>85</v>
      </c>
      <c r="O516" t="s">
        <v>82</v>
      </c>
      <c r="P516">
        <v>125</v>
      </c>
      <c r="Q516" t="s">
        <v>82</v>
      </c>
      <c r="R516">
        <v>0</v>
      </c>
      <c r="S516">
        <v>0</v>
      </c>
      <c r="T516">
        <v>-40</v>
      </c>
      <c r="U516">
        <v>38</v>
      </c>
      <c r="V516">
        <v>0</v>
      </c>
      <c r="W516">
        <v>30</v>
      </c>
      <c r="X516">
        <v>30</v>
      </c>
      <c r="Y516">
        <v>1</v>
      </c>
      <c r="Z516">
        <v>8</v>
      </c>
      <c r="AA516">
        <v>26</v>
      </c>
      <c r="AB516">
        <v>6</v>
      </c>
      <c r="AC516">
        <v>5</v>
      </c>
      <c r="AD516">
        <v>3.2809998999999999</v>
      </c>
      <c r="AE516">
        <v>1</v>
      </c>
      <c r="AF516">
        <v>1</v>
      </c>
      <c r="AG516">
        <v>3.2780001200000002</v>
      </c>
      <c r="AH516">
        <v>7</v>
      </c>
      <c r="AI516">
        <v>1</v>
      </c>
      <c r="AJ516">
        <v>1</v>
      </c>
      <c r="AK516">
        <v>21</v>
      </c>
      <c r="AL516">
        <v>34</v>
      </c>
      <c r="AM516" t="s">
        <v>43</v>
      </c>
      <c r="AN516" t="str">
        <f>HYPERLINK("https://www.google.com/maps?q=11.05475807,79.06095886","Open Location")</f>
        <v>Open Location</v>
      </c>
    </row>
    <row r="517" spans="1:40" x14ac:dyDescent="0.3">
      <c r="A517" s="1">
        <v>46210.939930555556</v>
      </c>
      <c r="B517" t="s">
        <v>40</v>
      </c>
      <c r="C517" t="s">
        <v>41</v>
      </c>
      <c r="D517" s="1">
        <v>46210.942743055559</v>
      </c>
      <c r="E517" t="s">
        <v>42</v>
      </c>
      <c r="F517" t="s">
        <v>83</v>
      </c>
      <c r="G517">
        <v>0</v>
      </c>
      <c r="H517">
        <v>33206</v>
      </c>
      <c r="I517" t="s">
        <v>116</v>
      </c>
      <c r="J517">
        <v>35</v>
      </c>
      <c r="K517">
        <v>14</v>
      </c>
      <c r="L517">
        <v>98</v>
      </c>
      <c r="M517">
        <v>629</v>
      </c>
      <c r="N517" t="s">
        <v>85</v>
      </c>
      <c r="O517" t="s">
        <v>82</v>
      </c>
      <c r="P517">
        <v>125</v>
      </c>
      <c r="Q517" t="s">
        <v>82</v>
      </c>
      <c r="R517">
        <v>0</v>
      </c>
      <c r="S517">
        <v>0</v>
      </c>
      <c r="T517">
        <v>-40</v>
      </c>
      <c r="U517">
        <v>38</v>
      </c>
      <c r="V517">
        <v>0</v>
      </c>
      <c r="W517">
        <v>30</v>
      </c>
      <c r="X517">
        <v>30</v>
      </c>
      <c r="Y517">
        <v>1</v>
      </c>
      <c r="Z517">
        <v>8</v>
      </c>
      <c r="AA517">
        <v>26</v>
      </c>
      <c r="AB517">
        <v>6</v>
      </c>
      <c r="AC517">
        <v>5</v>
      </c>
      <c r="AD517">
        <v>3.27999997</v>
      </c>
      <c r="AE517">
        <v>1</v>
      </c>
      <c r="AF517">
        <v>1</v>
      </c>
      <c r="AG517">
        <v>3.27699995</v>
      </c>
      <c r="AH517">
        <v>7</v>
      </c>
      <c r="AI517">
        <v>1</v>
      </c>
      <c r="AJ517">
        <v>1</v>
      </c>
      <c r="AK517">
        <v>21</v>
      </c>
      <c r="AL517">
        <v>34</v>
      </c>
      <c r="AM517" t="s">
        <v>43</v>
      </c>
      <c r="AN517" t="str">
        <f>HYPERLINK("https://www.google.com/maps?q=11.05475807,79.06095886","Open Location")</f>
        <v>Open Location</v>
      </c>
    </row>
    <row r="518" spans="1:40" x14ac:dyDescent="0.3">
      <c r="A518" s="1">
        <v>46210.939814814818</v>
      </c>
      <c r="B518" t="s">
        <v>40</v>
      </c>
      <c r="C518" t="s">
        <v>41</v>
      </c>
      <c r="D518" s="1">
        <v>46210.942916666667</v>
      </c>
      <c r="E518" t="s">
        <v>42</v>
      </c>
      <c r="F518" t="s">
        <v>83</v>
      </c>
      <c r="G518">
        <v>0</v>
      </c>
      <c r="H518">
        <v>33206</v>
      </c>
      <c r="I518" t="s">
        <v>43</v>
      </c>
      <c r="J518">
        <v>35</v>
      </c>
      <c r="K518">
        <v>14</v>
      </c>
      <c r="L518">
        <v>98</v>
      </c>
      <c r="M518">
        <v>629.59997558999999</v>
      </c>
      <c r="N518" t="s">
        <v>85</v>
      </c>
      <c r="O518" t="s">
        <v>82</v>
      </c>
      <c r="P518">
        <v>125</v>
      </c>
      <c r="Q518" t="s">
        <v>82</v>
      </c>
      <c r="R518">
        <v>0</v>
      </c>
      <c r="S518">
        <v>0</v>
      </c>
      <c r="T518">
        <v>-40</v>
      </c>
      <c r="U518">
        <v>39</v>
      </c>
      <c r="V518">
        <v>0</v>
      </c>
      <c r="W518">
        <v>30</v>
      </c>
      <c r="X518">
        <v>30</v>
      </c>
      <c r="Y518">
        <v>1</v>
      </c>
      <c r="Z518">
        <v>8</v>
      </c>
      <c r="AA518">
        <v>26</v>
      </c>
      <c r="AB518">
        <v>6</v>
      </c>
      <c r="AC518">
        <v>5</v>
      </c>
      <c r="AD518">
        <v>3.2809998999999999</v>
      </c>
      <c r="AE518">
        <v>1</v>
      </c>
      <c r="AF518">
        <v>9</v>
      </c>
      <c r="AG518">
        <v>3.27699995</v>
      </c>
      <c r="AH518">
        <v>7</v>
      </c>
      <c r="AI518">
        <v>1</v>
      </c>
      <c r="AJ518">
        <v>1</v>
      </c>
      <c r="AK518">
        <v>21</v>
      </c>
      <c r="AL518">
        <v>34</v>
      </c>
      <c r="AM518" t="s">
        <v>43</v>
      </c>
      <c r="AN518" t="s">
        <v>43</v>
      </c>
    </row>
    <row r="519" spans="1:40" x14ac:dyDescent="0.3">
      <c r="A519" s="1">
        <v>46210.939699074072</v>
      </c>
      <c r="B519" t="s">
        <v>40</v>
      </c>
      <c r="C519" t="s">
        <v>41</v>
      </c>
      <c r="D519" s="1">
        <v>46210.942916666667</v>
      </c>
      <c r="E519" t="s">
        <v>42</v>
      </c>
      <c r="F519" t="s">
        <v>83</v>
      </c>
      <c r="G519">
        <v>0</v>
      </c>
      <c r="H519">
        <v>33206</v>
      </c>
      <c r="I519" t="s">
        <v>117</v>
      </c>
      <c r="J519">
        <v>35</v>
      </c>
      <c r="K519">
        <v>6</v>
      </c>
      <c r="L519">
        <v>98</v>
      </c>
      <c r="M519">
        <v>629</v>
      </c>
      <c r="N519" t="s">
        <v>85</v>
      </c>
      <c r="O519" t="s">
        <v>82</v>
      </c>
      <c r="P519">
        <v>125</v>
      </c>
      <c r="Q519" t="s">
        <v>82</v>
      </c>
      <c r="R519">
        <v>0</v>
      </c>
      <c r="S519">
        <v>0</v>
      </c>
      <c r="T519">
        <v>-40</v>
      </c>
      <c r="U519">
        <v>39</v>
      </c>
      <c r="V519">
        <v>0</v>
      </c>
      <c r="W519">
        <v>30</v>
      </c>
      <c r="X519">
        <v>30</v>
      </c>
      <c r="Y519">
        <v>1</v>
      </c>
      <c r="Z519">
        <v>8</v>
      </c>
      <c r="AA519">
        <v>26</v>
      </c>
      <c r="AB519">
        <v>6</v>
      </c>
      <c r="AC519">
        <v>5</v>
      </c>
      <c r="AD519">
        <v>3.2809998999999999</v>
      </c>
      <c r="AE519">
        <v>1</v>
      </c>
      <c r="AF519">
        <v>1</v>
      </c>
      <c r="AG519">
        <v>3.2780001200000002</v>
      </c>
      <c r="AH519">
        <v>4</v>
      </c>
      <c r="AI519">
        <v>17</v>
      </c>
      <c r="AJ519">
        <v>1</v>
      </c>
      <c r="AK519">
        <v>21</v>
      </c>
      <c r="AL519">
        <v>33</v>
      </c>
      <c r="AM519" t="s">
        <v>43</v>
      </c>
      <c r="AN519" t="str">
        <f>HYPERLINK("https://www.google.com/maps?q=11.05475616,79.06096649","Open Location")</f>
        <v>Open Location</v>
      </c>
    </row>
    <row r="520" spans="1:40" x14ac:dyDescent="0.3">
      <c r="A520" s="1">
        <v>46210.939583333333</v>
      </c>
      <c r="B520" t="s">
        <v>40</v>
      </c>
      <c r="C520" t="s">
        <v>41</v>
      </c>
      <c r="D520" s="1">
        <v>46210.942685185182</v>
      </c>
      <c r="E520" t="s">
        <v>42</v>
      </c>
      <c r="F520" t="s">
        <v>83</v>
      </c>
      <c r="G520">
        <v>0</v>
      </c>
      <c r="H520">
        <v>33206</v>
      </c>
      <c r="I520" t="s">
        <v>118</v>
      </c>
      <c r="J520">
        <v>35</v>
      </c>
      <c r="K520">
        <v>25</v>
      </c>
      <c r="L520">
        <v>98</v>
      </c>
      <c r="M520">
        <v>628.90002441000001</v>
      </c>
      <c r="N520" t="s">
        <v>85</v>
      </c>
      <c r="O520" t="s">
        <v>249</v>
      </c>
      <c r="P520">
        <v>124</v>
      </c>
      <c r="Q520" t="s">
        <v>249</v>
      </c>
      <c r="R520">
        <v>6</v>
      </c>
      <c r="S520">
        <v>112</v>
      </c>
      <c r="T520">
        <v>-40</v>
      </c>
      <c r="U520">
        <v>41</v>
      </c>
      <c r="V520">
        <v>-540</v>
      </c>
      <c r="W520">
        <v>30</v>
      </c>
      <c r="X520">
        <v>30</v>
      </c>
      <c r="Y520">
        <v>1</v>
      </c>
      <c r="Z520">
        <v>8</v>
      </c>
      <c r="AA520">
        <v>26</v>
      </c>
      <c r="AB520">
        <v>6</v>
      </c>
      <c r="AC520">
        <v>5</v>
      </c>
      <c r="AD520">
        <v>3.2809998999999999</v>
      </c>
      <c r="AE520">
        <v>1</v>
      </c>
      <c r="AF520">
        <v>1</v>
      </c>
      <c r="AG520">
        <v>3.2780001200000002</v>
      </c>
      <c r="AH520">
        <v>7</v>
      </c>
      <c r="AI520">
        <v>1</v>
      </c>
      <c r="AJ520">
        <v>1</v>
      </c>
      <c r="AK520">
        <v>22</v>
      </c>
      <c r="AL520">
        <v>33</v>
      </c>
      <c r="AM520" t="s">
        <v>43</v>
      </c>
      <c r="AN520" t="str">
        <f>HYPERLINK("https://www.google.com/maps?q=11.05475807,79.06096649","Open Location")</f>
        <v>Open Location</v>
      </c>
    </row>
    <row r="521" spans="1:40" x14ac:dyDescent="0.3">
      <c r="A521" s="1">
        <v>46210.939467592594</v>
      </c>
      <c r="B521" t="s">
        <v>40</v>
      </c>
      <c r="C521" t="s">
        <v>41</v>
      </c>
      <c r="D521" s="1">
        <v>46210.942349537036</v>
      </c>
      <c r="E521" t="s">
        <v>42</v>
      </c>
      <c r="F521" t="s">
        <v>83</v>
      </c>
      <c r="G521">
        <v>0</v>
      </c>
      <c r="H521">
        <v>33206</v>
      </c>
      <c r="I521" t="s">
        <v>250</v>
      </c>
      <c r="J521">
        <v>35</v>
      </c>
      <c r="K521">
        <v>26</v>
      </c>
      <c r="L521">
        <v>98</v>
      </c>
      <c r="M521">
        <v>628.5</v>
      </c>
      <c r="N521" t="s">
        <v>85</v>
      </c>
      <c r="O521" t="s">
        <v>249</v>
      </c>
      <c r="P521">
        <v>124</v>
      </c>
      <c r="Q521" t="s">
        <v>249</v>
      </c>
      <c r="R521">
        <v>9</v>
      </c>
      <c r="S521">
        <v>230</v>
      </c>
      <c r="T521">
        <v>-40</v>
      </c>
      <c r="U521">
        <v>40</v>
      </c>
      <c r="V521">
        <v>-280</v>
      </c>
      <c r="W521">
        <v>30</v>
      </c>
      <c r="X521">
        <v>30</v>
      </c>
      <c r="Y521">
        <v>1</v>
      </c>
      <c r="Z521">
        <v>8</v>
      </c>
      <c r="AA521">
        <v>26</v>
      </c>
      <c r="AB521">
        <v>6</v>
      </c>
      <c r="AC521">
        <v>5</v>
      </c>
      <c r="AD521">
        <v>3.2790000400000001</v>
      </c>
      <c r="AE521">
        <v>1</v>
      </c>
      <c r="AF521">
        <v>6</v>
      </c>
      <c r="AG521">
        <v>3.2750001000000002</v>
      </c>
      <c r="AH521">
        <v>4</v>
      </c>
      <c r="AI521">
        <v>24</v>
      </c>
      <c r="AJ521">
        <v>1</v>
      </c>
      <c r="AK521">
        <v>22</v>
      </c>
      <c r="AL521">
        <v>33</v>
      </c>
      <c r="AM521" t="s">
        <v>43</v>
      </c>
      <c r="AN521" t="str">
        <f>HYPERLINK("https://www.google.com/maps?q=11.05473423,79.06095886","Open Location")</f>
        <v>Open Location</v>
      </c>
    </row>
    <row r="522" spans="1:40" x14ac:dyDescent="0.3">
      <c r="A522" s="1">
        <v>46210.939351851855</v>
      </c>
      <c r="B522" t="s">
        <v>40</v>
      </c>
      <c r="C522" t="s">
        <v>41</v>
      </c>
      <c r="D522" s="1">
        <v>46210.94226851852</v>
      </c>
      <c r="E522" t="s">
        <v>42</v>
      </c>
      <c r="F522" t="s">
        <v>83</v>
      </c>
      <c r="G522">
        <v>0</v>
      </c>
      <c r="H522">
        <v>33206</v>
      </c>
      <c r="I522" t="s">
        <v>251</v>
      </c>
      <c r="J522">
        <v>35</v>
      </c>
      <c r="K522">
        <v>17</v>
      </c>
      <c r="L522">
        <v>98</v>
      </c>
      <c r="M522">
        <v>629.5</v>
      </c>
      <c r="N522" t="s">
        <v>85</v>
      </c>
      <c r="O522" t="s">
        <v>249</v>
      </c>
      <c r="P522">
        <v>124</v>
      </c>
      <c r="Q522" t="s">
        <v>249</v>
      </c>
      <c r="R522">
        <v>7</v>
      </c>
      <c r="S522">
        <v>158</v>
      </c>
      <c r="T522">
        <v>-40</v>
      </c>
      <c r="U522">
        <v>41</v>
      </c>
      <c r="V522">
        <v>-380</v>
      </c>
      <c r="W522">
        <v>30</v>
      </c>
      <c r="X522">
        <v>30</v>
      </c>
      <c r="Y522">
        <v>1</v>
      </c>
      <c r="Z522">
        <v>8</v>
      </c>
      <c r="AA522">
        <v>26</v>
      </c>
      <c r="AB522">
        <v>6</v>
      </c>
      <c r="AC522">
        <v>5</v>
      </c>
      <c r="AD522">
        <v>3.2809998999999999</v>
      </c>
      <c r="AE522">
        <v>1</v>
      </c>
      <c r="AF522">
        <v>1</v>
      </c>
      <c r="AG522">
        <v>3.2780001200000002</v>
      </c>
      <c r="AH522">
        <v>7</v>
      </c>
      <c r="AI522">
        <v>1</v>
      </c>
      <c r="AJ522">
        <v>1</v>
      </c>
      <c r="AK522">
        <v>23</v>
      </c>
      <c r="AL522">
        <v>33</v>
      </c>
      <c r="AM522" t="s">
        <v>43</v>
      </c>
      <c r="AN522" t="str">
        <f>HYPERLINK("https://www.google.com/maps?q=11.05472183,79.06095123","Open Location")</f>
        <v>Open Location</v>
      </c>
    </row>
    <row r="523" spans="1:40" x14ac:dyDescent="0.3">
      <c r="A523" s="1">
        <v>46210.939236111109</v>
      </c>
      <c r="B523" t="s">
        <v>40</v>
      </c>
      <c r="C523" t="s">
        <v>41</v>
      </c>
      <c r="D523" s="1">
        <v>46210.942094907405</v>
      </c>
      <c r="E523" t="s">
        <v>42</v>
      </c>
      <c r="F523" t="s">
        <v>83</v>
      </c>
      <c r="G523">
        <v>0</v>
      </c>
      <c r="H523">
        <v>33206</v>
      </c>
      <c r="I523" t="s">
        <v>252</v>
      </c>
      <c r="J523">
        <v>35</v>
      </c>
      <c r="K523">
        <v>15</v>
      </c>
      <c r="L523">
        <v>98</v>
      </c>
      <c r="M523">
        <v>629</v>
      </c>
      <c r="N523" t="s">
        <v>85</v>
      </c>
      <c r="O523" t="s">
        <v>249</v>
      </c>
      <c r="P523">
        <v>124</v>
      </c>
      <c r="Q523" t="s">
        <v>249</v>
      </c>
      <c r="R523">
        <v>2</v>
      </c>
      <c r="S523">
        <v>32</v>
      </c>
      <c r="T523">
        <v>-40</v>
      </c>
      <c r="U523">
        <v>39</v>
      </c>
      <c r="V523">
        <v>-180</v>
      </c>
      <c r="W523">
        <v>30</v>
      </c>
      <c r="X523">
        <v>30</v>
      </c>
      <c r="Y523">
        <v>1</v>
      </c>
      <c r="Z523">
        <v>8</v>
      </c>
      <c r="AA523">
        <v>26</v>
      </c>
      <c r="AB523">
        <v>6</v>
      </c>
      <c r="AC523">
        <v>5</v>
      </c>
      <c r="AD523">
        <v>3.2790000400000001</v>
      </c>
      <c r="AE523">
        <v>1</v>
      </c>
      <c r="AF523">
        <v>1</v>
      </c>
      <c r="AG523">
        <v>3.2750001000000002</v>
      </c>
      <c r="AH523">
        <v>4</v>
      </c>
      <c r="AI523">
        <v>17</v>
      </c>
      <c r="AJ523">
        <v>1</v>
      </c>
      <c r="AK523">
        <v>23</v>
      </c>
      <c r="AL523">
        <v>33</v>
      </c>
      <c r="AM523" t="s">
        <v>43</v>
      </c>
      <c r="AN523" t="str">
        <f>HYPERLINK("https://www.google.com/maps?q=11.05470276,79.06095123","Open Location")</f>
        <v>Open Location</v>
      </c>
    </row>
    <row r="524" spans="1:40" x14ac:dyDescent="0.3">
      <c r="A524" s="1">
        <v>46210.939120370371</v>
      </c>
      <c r="B524" t="s">
        <v>40</v>
      </c>
      <c r="C524" t="s">
        <v>41</v>
      </c>
      <c r="D524" s="1">
        <v>46210.942025462966</v>
      </c>
      <c r="E524" t="s">
        <v>42</v>
      </c>
      <c r="F524" t="s">
        <v>83</v>
      </c>
      <c r="G524">
        <v>0</v>
      </c>
      <c r="H524">
        <v>33206</v>
      </c>
      <c r="I524" t="s">
        <v>43</v>
      </c>
      <c r="J524">
        <v>35</v>
      </c>
      <c r="K524">
        <v>34</v>
      </c>
      <c r="L524">
        <v>98</v>
      </c>
      <c r="M524">
        <v>628.90002441000001</v>
      </c>
      <c r="N524" t="s">
        <v>85</v>
      </c>
      <c r="O524" t="s">
        <v>249</v>
      </c>
      <c r="P524">
        <v>124</v>
      </c>
      <c r="Q524" t="s">
        <v>249</v>
      </c>
      <c r="R524">
        <v>4</v>
      </c>
      <c r="S524">
        <v>354</v>
      </c>
      <c r="T524">
        <v>-40</v>
      </c>
      <c r="U524">
        <v>39</v>
      </c>
      <c r="V524">
        <v>-340</v>
      </c>
      <c r="W524">
        <v>30</v>
      </c>
      <c r="X524">
        <v>30</v>
      </c>
      <c r="Y524">
        <v>1</v>
      </c>
      <c r="Z524">
        <v>8</v>
      </c>
      <c r="AA524">
        <v>26</v>
      </c>
      <c r="AB524">
        <v>6</v>
      </c>
      <c r="AC524">
        <v>5</v>
      </c>
      <c r="AD524">
        <v>3.27999997</v>
      </c>
      <c r="AE524">
        <v>1</v>
      </c>
      <c r="AF524">
        <v>1</v>
      </c>
      <c r="AG524">
        <v>3.2760000200000001</v>
      </c>
      <c r="AH524">
        <v>4</v>
      </c>
      <c r="AI524">
        <v>17</v>
      </c>
      <c r="AJ524">
        <v>1</v>
      </c>
      <c r="AK524">
        <v>23</v>
      </c>
      <c r="AL524">
        <v>33</v>
      </c>
      <c r="AM524" t="s">
        <v>43</v>
      </c>
      <c r="AN524" t="s">
        <v>43</v>
      </c>
    </row>
    <row r="525" spans="1:40" x14ac:dyDescent="0.3">
      <c r="A525" s="1">
        <v>46210.939004629632</v>
      </c>
      <c r="B525" t="s">
        <v>40</v>
      </c>
      <c r="C525" t="s">
        <v>41</v>
      </c>
      <c r="D525" s="1">
        <v>46210.942094907405</v>
      </c>
      <c r="E525" t="s">
        <v>42</v>
      </c>
      <c r="F525" t="s">
        <v>83</v>
      </c>
      <c r="G525">
        <v>2</v>
      </c>
      <c r="H525">
        <v>33206</v>
      </c>
      <c r="I525" t="s">
        <v>253</v>
      </c>
      <c r="J525">
        <v>35</v>
      </c>
      <c r="K525">
        <v>37</v>
      </c>
      <c r="L525">
        <v>98</v>
      </c>
      <c r="M525">
        <v>628.70001220999995</v>
      </c>
      <c r="N525" t="s">
        <v>87</v>
      </c>
      <c r="O525" t="s">
        <v>249</v>
      </c>
      <c r="P525">
        <v>124</v>
      </c>
      <c r="Q525" t="s">
        <v>249</v>
      </c>
      <c r="R525">
        <v>22</v>
      </c>
      <c r="S525">
        <v>428</v>
      </c>
      <c r="T525">
        <v>-40</v>
      </c>
      <c r="U525">
        <v>39</v>
      </c>
      <c r="V525">
        <v>-400</v>
      </c>
      <c r="W525">
        <v>30</v>
      </c>
      <c r="X525">
        <v>30</v>
      </c>
      <c r="Y525">
        <v>1</v>
      </c>
      <c r="Z525">
        <v>8</v>
      </c>
      <c r="AA525">
        <v>26</v>
      </c>
      <c r="AB525">
        <v>6</v>
      </c>
      <c r="AC525">
        <v>5</v>
      </c>
      <c r="AD525">
        <v>3.2809998999999999</v>
      </c>
      <c r="AE525">
        <v>1</v>
      </c>
      <c r="AF525">
        <v>1</v>
      </c>
      <c r="AG525">
        <v>3.27699995</v>
      </c>
      <c r="AH525">
        <v>4</v>
      </c>
      <c r="AI525">
        <v>17</v>
      </c>
      <c r="AJ525">
        <v>1</v>
      </c>
      <c r="AK525">
        <v>23</v>
      </c>
      <c r="AL525">
        <v>33</v>
      </c>
      <c r="AM525" t="s">
        <v>43</v>
      </c>
      <c r="AN525" t="str">
        <f>HYPERLINK("https://www.google.com/maps?q=11.05466938,79.06095886","Open Location")</f>
        <v>Open Location</v>
      </c>
    </row>
    <row r="526" spans="1:40" x14ac:dyDescent="0.3">
      <c r="A526" s="1">
        <v>46210.938888888886</v>
      </c>
      <c r="B526" t="s">
        <v>40</v>
      </c>
      <c r="C526" t="s">
        <v>41</v>
      </c>
      <c r="D526" s="1">
        <v>46210.94153935185</v>
      </c>
      <c r="E526" t="s">
        <v>42</v>
      </c>
      <c r="F526" t="s">
        <v>83</v>
      </c>
      <c r="G526">
        <v>2</v>
      </c>
      <c r="H526">
        <v>33206</v>
      </c>
      <c r="I526" t="s">
        <v>254</v>
      </c>
      <c r="J526">
        <v>35</v>
      </c>
      <c r="K526">
        <v>47</v>
      </c>
      <c r="L526">
        <v>98</v>
      </c>
      <c r="M526">
        <v>627.90002441000001</v>
      </c>
      <c r="N526" t="s">
        <v>87</v>
      </c>
      <c r="O526" t="s">
        <v>249</v>
      </c>
      <c r="P526">
        <v>124</v>
      </c>
      <c r="Q526" t="s">
        <v>249</v>
      </c>
      <c r="R526">
        <v>8</v>
      </c>
      <c r="S526">
        <v>660</v>
      </c>
      <c r="T526">
        <v>-40</v>
      </c>
      <c r="U526">
        <v>39</v>
      </c>
      <c r="V526">
        <v>-440</v>
      </c>
      <c r="W526" t="s">
        <v>43</v>
      </c>
      <c r="X526" t="s">
        <v>43</v>
      </c>
      <c r="Y526" t="s">
        <v>43</v>
      </c>
      <c r="Z526" t="s">
        <v>43</v>
      </c>
      <c r="AA526" t="s">
        <v>43</v>
      </c>
      <c r="AB526" t="s">
        <v>43</v>
      </c>
      <c r="AC526" t="s">
        <v>43</v>
      </c>
      <c r="AD526" t="s">
        <v>43</v>
      </c>
      <c r="AE526" t="s">
        <v>43</v>
      </c>
      <c r="AF526" t="s">
        <v>43</v>
      </c>
      <c r="AG526" t="s">
        <v>43</v>
      </c>
      <c r="AH526" t="s">
        <v>43</v>
      </c>
      <c r="AI526" t="s">
        <v>43</v>
      </c>
      <c r="AJ526">
        <v>1</v>
      </c>
      <c r="AK526">
        <v>23</v>
      </c>
      <c r="AL526">
        <v>33</v>
      </c>
      <c r="AM526" t="s">
        <v>43</v>
      </c>
      <c r="AN526" t="str">
        <f>HYPERLINK("https://www.google.com/maps?q=11.05461407,79.06099701","Open Location")</f>
        <v>Open Location</v>
      </c>
    </row>
    <row r="527" spans="1:40" x14ac:dyDescent="0.3">
      <c r="A527" s="1">
        <v>46210.938773148147</v>
      </c>
      <c r="B527" t="s">
        <v>40</v>
      </c>
      <c r="C527" t="s">
        <v>41</v>
      </c>
      <c r="D527" s="1">
        <v>46210.941631944443</v>
      </c>
      <c r="E527" t="s">
        <v>42</v>
      </c>
      <c r="F527" t="s">
        <v>83</v>
      </c>
      <c r="G527">
        <v>2</v>
      </c>
      <c r="H527">
        <v>33206</v>
      </c>
      <c r="I527" t="s">
        <v>255</v>
      </c>
      <c r="J527">
        <v>35</v>
      </c>
      <c r="K527">
        <v>28</v>
      </c>
      <c r="L527">
        <v>98</v>
      </c>
      <c r="M527">
        <v>629.59997558999999</v>
      </c>
      <c r="N527" t="s">
        <v>87</v>
      </c>
      <c r="O527" t="s">
        <v>249</v>
      </c>
      <c r="P527">
        <v>124</v>
      </c>
      <c r="Q527" t="s">
        <v>249</v>
      </c>
      <c r="R527">
        <v>5</v>
      </c>
      <c r="S527">
        <v>748</v>
      </c>
      <c r="T527">
        <v>-40</v>
      </c>
      <c r="U527">
        <v>38</v>
      </c>
      <c r="V527">
        <v>-125</v>
      </c>
      <c r="W527">
        <v>30</v>
      </c>
      <c r="X527">
        <v>30</v>
      </c>
      <c r="Y527">
        <v>1</v>
      </c>
      <c r="Z527">
        <v>9</v>
      </c>
      <c r="AA527">
        <v>26</v>
      </c>
      <c r="AB527">
        <v>6</v>
      </c>
      <c r="AC527">
        <v>5</v>
      </c>
      <c r="AD527">
        <v>3.28299999</v>
      </c>
      <c r="AE527">
        <v>1</v>
      </c>
      <c r="AF527">
        <v>1</v>
      </c>
      <c r="AG527">
        <v>3.27999997</v>
      </c>
      <c r="AH527">
        <v>7</v>
      </c>
      <c r="AI527">
        <v>1</v>
      </c>
      <c r="AJ527">
        <v>1</v>
      </c>
      <c r="AK527">
        <v>23</v>
      </c>
      <c r="AL527">
        <v>33</v>
      </c>
      <c r="AM527" t="s">
        <v>43</v>
      </c>
      <c r="AN527" t="str">
        <f>HYPERLINK("https://www.google.com/maps?q=11.05457401,79.06097412","Open Location")</f>
        <v>Open Location</v>
      </c>
    </row>
    <row r="528" spans="1:40" x14ac:dyDescent="0.3">
      <c r="A528" s="1">
        <v>46210.938657407409</v>
      </c>
      <c r="B528" t="s">
        <v>40</v>
      </c>
      <c r="C528" t="s">
        <v>41</v>
      </c>
      <c r="D528" s="1">
        <v>46210.941655092596</v>
      </c>
      <c r="E528" t="s">
        <v>42</v>
      </c>
      <c r="F528" t="s">
        <v>83</v>
      </c>
      <c r="G528">
        <v>0</v>
      </c>
      <c r="H528">
        <v>33206</v>
      </c>
      <c r="I528" t="s">
        <v>256</v>
      </c>
      <c r="J528">
        <v>35</v>
      </c>
      <c r="K528">
        <v>4</v>
      </c>
      <c r="L528">
        <v>98</v>
      </c>
      <c r="M528">
        <v>629.5</v>
      </c>
      <c r="N528" t="s">
        <v>85</v>
      </c>
      <c r="O528" t="s">
        <v>86</v>
      </c>
      <c r="P528">
        <v>125</v>
      </c>
      <c r="Q528" t="s">
        <v>249</v>
      </c>
      <c r="R528">
        <v>0</v>
      </c>
      <c r="S528">
        <v>12</v>
      </c>
      <c r="T528">
        <v>-40</v>
      </c>
      <c r="U528">
        <v>38</v>
      </c>
      <c r="V528">
        <v>-30</v>
      </c>
      <c r="W528">
        <v>30</v>
      </c>
      <c r="X528">
        <v>30</v>
      </c>
      <c r="Y528">
        <v>1</v>
      </c>
      <c r="Z528">
        <v>9</v>
      </c>
      <c r="AA528">
        <v>26</v>
      </c>
      <c r="AB528">
        <v>6</v>
      </c>
      <c r="AC528">
        <v>5</v>
      </c>
      <c r="AD528">
        <v>3.2820000600000001</v>
      </c>
      <c r="AE528">
        <v>1</v>
      </c>
      <c r="AF528">
        <v>1</v>
      </c>
      <c r="AG528">
        <v>3.2790000400000001</v>
      </c>
      <c r="AH528">
        <v>7</v>
      </c>
      <c r="AI528">
        <v>1</v>
      </c>
      <c r="AJ528">
        <v>1</v>
      </c>
      <c r="AK528">
        <v>25</v>
      </c>
      <c r="AL528">
        <v>33</v>
      </c>
      <c r="AM528" t="s">
        <v>43</v>
      </c>
      <c r="AN528" t="str">
        <f>HYPERLINK("https://www.google.com/maps?q=11.05457211,79.06097412","Open Location")</f>
        <v>Open Location</v>
      </c>
    </row>
    <row r="529" spans="1:40" x14ac:dyDescent="0.3">
      <c r="A529" s="1">
        <v>46210.93854166667</v>
      </c>
      <c r="B529" t="s">
        <v>40</v>
      </c>
      <c r="C529" t="s">
        <v>41</v>
      </c>
      <c r="D529" s="1">
        <v>46210.941284722219</v>
      </c>
      <c r="E529" t="s">
        <v>42</v>
      </c>
      <c r="F529" t="s">
        <v>83</v>
      </c>
      <c r="G529">
        <v>3</v>
      </c>
      <c r="H529">
        <v>33206</v>
      </c>
      <c r="I529" t="s">
        <v>257</v>
      </c>
      <c r="J529">
        <v>35</v>
      </c>
      <c r="K529">
        <v>40</v>
      </c>
      <c r="L529">
        <v>98</v>
      </c>
      <c r="M529">
        <v>627.79998779000005</v>
      </c>
      <c r="N529" t="s">
        <v>87</v>
      </c>
      <c r="O529" t="s">
        <v>86</v>
      </c>
      <c r="P529">
        <v>127</v>
      </c>
      <c r="Q529">
        <v>2</v>
      </c>
      <c r="R529">
        <v>16</v>
      </c>
      <c r="S529">
        <v>559</v>
      </c>
      <c r="T529">
        <v>-40</v>
      </c>
      <c r="U529">
        <v>39</v>
      </c>
      <c r="V529">
        <v>400</v>
      </c>
      <c r="W529">
        <v>30</v>
      </c>
      <c r="X529">
        <v>30</v>
      </c>
      <c r="Y529">
        <v>1</v>
      </c>
      <c r="Z529">
        <v>9</v>
      </c>
      <c r="AA529">
        <v>26</v>
      </c>
      <c r="AB529">
        <v>6</v>
      </c>
      <c r="AC529">
        <v>5</v>
      </c>
      <c r="AD529">
        <v>3.2790000400000001</v>
      </c>
      <c r="AE529">
        <v>1</v>
      </c>
      <c r="AF529">
        <v>16</v>
      </c>
      <c r="AG529">
        <v>3.2750001000000002</v>
      </c>
      <c r="AH529">
        <v>4</v>
      </c>
      <c r="AI529">
        <v>17</v>
      </c>
      <c r="AJ529">
        <v>1</v>
      </c>
      <c r="AK529">
        <v>22</v>
      </c>
      <c r="AL529">
        <v>33</v>
      </c>
      <c r="AM529" t="s">
        <v>43</v>
      </c>
      <c r="AN529" t="str">
        <f>HYPERLINK("https://www.google.com/maps?q=11.05465794,79.06097412","Open Location")</f>
        <v>Open Location</v>
      </c>
    </row>
    <row r="530" spans="1:40" x14ac:dyDescent="0.3">
      <c r="A530" s="1">
        <v>46210.938425925924</v>
      </c>
      <c r="B530" t="s">
        <v>40</v>
      </c>
      <c r="C530" t="s">
        <v>41</v>
      </c>
      <c r="D530" s="1">
        <v>46210.941307870373</v>
      </c>
      <c r="E530" t="s">
        <v>42</v>
      </c>
      <c r="F530" t="s">
        <v>83</v>
      </c>
      <c r="G530">
        <v>3</v>
      </c>
      <c r="H530">
        <v>33206</v>
      </c>
      <c r="I530" t="s">
        <v>43</v>
      </c>
      <c r="J530">
        <v>35</v>
      </c>
      <c r="K530">
        <v>67</v>
      </c>
      <c r="L530">
        <v>98</v>
      </c>
      <c r="M530">
        <v>627.40002441000001</v>
      </c>
      <c r="N530" t="s">
        <v>87</v>
      </c>
      <c r="O530" t="s">
        <v>86</v>
      </c>
      <c r="P530">
        <v>127</v>
      </c>
      <c r="Q530">
        <v>2</v>
      </c>
      <c r="R530">
        <v>38</v>
      </c>
      <c r="S530">
        <v>719</v>
      </c>
      <c r="T530">
        <v>-40</v>
      </c>
      <c r="U530">
        <v>38</v>
      </c>
      <c r="V530">
        <v>460</v>
      </c>
      <c r="W530">
        <v>30</v>
      </c>
      <c r="X530">
        <v>30</v>
      </c>
      <c r="Y530">
        <v>1</v>
      </c>
      <c r="Z530">
        <v>9</v>
      </c>
      <c r="AA530">
        <v>26</v>
      </c>
      <c r="AB530">
        <v>6</v>
      </c>
      <c r="AC530">
        <v>5</v>
      </c>
      <c r="AD530">
        <v>3.2760000200000001</v>
      </c>
      <c r="AE530">
        <v>1</v>
      </c>
      <c r="AF530">
        <v>1</v>
      </c>
      <c r="AG530">
        <v>3.27099991</v>
      </c>
      <c r="AH530">
        <v>4</v>
      </c>
      <c r="AI530">
        <v>17</v>
      </c>
      <c r="AJ530">
        <v>1</v>
      </c>
      <c r="AK530">
        <v>22</v>
      </c>
      <c r="AL530">
        <v>33</v>
      </c>
      <c r="AM530" t="s">
        <v>43</v>
      </c>
      <c r="AN530" t="s">
        <v>43</v>
      </c>
    </row>
    <row r="531" spans="1:40" x14ac:dyDescent="0.3">
      <c r="A531" s="1">
        <v>46210.938310185185</v>
      </c>
      <c r="B531" t="s">
        <v>40</v>
      </c>
      <c r="C531" t="s">
        <v>41</v>
      </c>
      <c r="D531" s="1">
        <v>46210.941111111111</v>
      </c>
      <c r="E531" t="s">
        <v>42</v>
      </c>
      <c r="F531" t="s">
        <v>83</v>
      </c>
      <c r="G531">
        <v>3</v>
      </c>
      <c r="H531">
        <v>33206</v>
      </c>
      <c r="I531" t="s">
        <v>247</v>
      </c>
      <c r="J531">
        <v>35</v>
      </c>
      <c r="K531">
        <v>33</v>
      </c>
      <c r="L531">
        <v>98</v>
      </c>
      <c r="M531">
        <v>628.59997558999999</v>
      </c>
      <c r="N531" t="s">
        <v>87</v>
      </c>
      <c r="O531" t="s">
        <v>86</v>
      </c>
      <c r="P531">
        <v>127</v>
      </c>
      <c r="Q531">
        <v>2</v>
      </c>
      <c r="R531">
        <v>21</v>
      </c>
      <c r="S531">
        <v>651</v>
      </c>
      <c r="T531">
        <v>-40</v>
      </c>
      <c r="U531">
        <v>39</v>
      </c>
      <c r="V531">
        <v>200</v>
      </c>
      <c r="W531">
        <v>30</v>
      </c>
      <c r="X531">
        <v>30</v>
      </c>
      <c r="Y531">
        <v>1</v>
      </c>
      <c r="Z531">
        <v>9</v>
      </c>
      <c r="AA531">
        <v>26</v>
      </c>
      <c r="AB531">
        <v>6</v>
      </c>
      <c r="AC531">
        <v>5</v>
      </c>
      <c r="AD531">
        <v>3.27699995</v>
      </c>
      <c r="AE531">
        <v>1</v>
      </c>
      <c r="AF531">
        <v>1</v>
      </c>
      <c r="AG531">
        <v>3.2720000699999998</v>
      </c>
      <c r="AH531">
        <v>4</v>
      </c>
      <c r="AI531">
        <v>17</v>
      </c>
      <c r="AJ531">
        <v>1</v>
      </c>
      <c r="AK531">
        <v>18</v>
      </c>
      <c r="AL531">
        <v>33</v>
      </c>
      <c r="AM531" t="s">
        <v>43</v>
      </c>
      <c r="AN531" t="str">
        <f>HYPERLINK("https://www.google.com/maps?q=11.05476665,79.06095123","Open Location")</f>
        <v>Open Location</v>
      </c>
    </row>
    <row r="532" spans="1:40" x14ac:dyDescent="0.3">
      <c r="A532" s="1">
        <v>46210.938194444447</v>
      </c>
      <c r="B532" t="s">
        <v>40</v>
      </c>
      <c r="C532" t="s">
        <v>41</v>
      </c>
      <c r="D532" s="1">
        <v>46210.941157407404</v>
      </c>
      <c r="E532" t="s">
        <v>42</v>
      </c>
      <c r="F532" t="s">
        <v>83</v>
      </c>
      <c r="G532">
        <v>2</v>
      </c>
      <c r="H532">
        <v>33206</v>
      </c>
      <c r="I532" t="s">
        <v>258</v>
      </c>
      <c r="J532">
        <v>35</v>
      </c>
      <c r="K532">
        <v>38</v>
      </c>
      <c r="L532">
        <v>98</v>
      </c>
      <c r="M532">
        <v>629.20001220999995</v>
      </c>
      <c r="N532" t="s">
        <v>87</v>
      </c>
      <c r="O532" t="s">
        <v>86</v>
      </c>
      <c r="P532">
        <v>127</v>
      </c>
      <c r="Q532">
        <v>2</v>
      </c>
      <c r="R532">
        <v>15</v>
      </c>
      <c r="S532">
        <v>626</v>
      </c>
      <c r="T532">
        <v>-40</v>
      </c>
      <c r="U532">
        <v>37</v>
      </c>
      <c r="V532">
        <v>280</v>
      </c>
      <c r="W532" t="s">
        <v>43</v>
      </c>
      <c r="X532" t="s">
        <v>43</v>
      </c>
      <c r="Y532" t="s">
        <v>43</v>
      </c>
      <c r="Z532" t="s">
        <v>43</v>
      </c>
      <c r="AA532" t="s">
        <v>43</v>
      </c>
      <c r="AB532" t="s">
        <v>43</v>
      </c>
      <c r="AC532" t="s">
        <v>43</v>
      </c>
      <c r="AD532" t="s">
        <v>43</v>
      </c>
      <c r="AE532" t="s">
        <v>43</v>
      </c>
      <c r="AF532" t="s">
        <v>43</v>
      </c>
      <c r="AG532" t="s">
        <v>43</v>
      </c>
      <c r="AH532" t="s">
        <v>43</v>
      </c>
      <c r="AI532" t="s">
        <v>43</v>
      </c>
      <c r="AJ532">
        <v>1</v>
      </c>
      <c r="AK532">
        <v>16</v>
      </c>
      <c r="AL532">
        <v>33</v>
      </c>
      <c r="AM532" t="s">
        <v>43</v>
      </c>
      <c r="AN532" t="str">
        <f>HYPERLINK("https://www.google.com/maps?q=11.05476761,79.06084442","Open Location")</f>
        <v>Open Location</v>
      </c>
    </row>
    <row r="533" spans="1:40" x14ac:dyDescent="0.3">
      <c r="A533" s="1">
        <v>46210.938078703701</v>
      </c>
      <c r="B533" t="s">
        <v>40</v>
      </c>
      <c r="C533" t="s">
        <v>41</v>
      </c>
      <c r="D533" s="1">
        <v>46210.940937500003</v>
      </c>
      <c r="E533" t="s">
        <v>42</v>
      </c>
      <c r="F533" t="s">
        <v>83</v>
      </c>
      <c r="G533">
        <v>0</v>
      </c>
      <c r="H533">
        <v>33206</v>
      </c>
      <c r="I533" t="s">
        <v>259</v>
      </c>
      <c r="J533">
        <v>35</v>
      </c>
      <c r="K533">
        <v>1</v>
      </c>
      <c r="L533">
        <v>98</v>
      </c>
      <c r="M533">
        <v>630.70001220999995</v>
      </c>
      <c r="N533" t="s">
        <v>81</v>
      </c>
      <c r="O533" t="s">
        <v>86</v>
      </c>
      <c r="P533">
        <v>125</v>
      </c>
      <c r="Q533">
        <v>2</v>
      </c>
      <c r="R533">
        <v>0</v>
      </c>
      <c r="S533">
        <v>0</v>
      </c>
      <c r="T533">
        <v>-40</v>
      </c>
      <c r="U533">
        <v>35</v>
      </c>
      <c r="V533">
        <v>0</v>
      </c>
      <c r="W533">
        <v>30</v>
      </c>
      <c r="X533">
        <v>30</v>
      </c>
      <c r="Y533">
        <v>1</v>
      </c>
      <c r="Z533">
        <v>9</v>
      </c>
      <c r="AA533">
        <v>26</v>
      </c>
      <c r="AB533">
        <v>6</v>
      </c>
      <c r="AC533">
        <v>5</v>
      </c>
      <c r="AD533">
        <v>3.28800011</v>
      </c>
      <c r="AE533">
        <v>1</v>
      </c>
      <c r="AF533">
        <v>1</v>
      </c>
      <c r="AG533">
        <v>3.2839999199999999</v>
      </c>
      <c r="AH533">
        <v>5</v>
      </c>
      <c r="AI533">
        <v>10</v>
      </c>
      <c r="AJ533">
        <v>1</v>
      </c>
      <c r="AK533">
        <v>16</v>
      </c>
      <c r="AL533">
        <v>33</v>
      </c>
      <c r="AM533" t="s">
        <v>43</v>
      </c>
      <c r="AN533" t="str">
        <f>HYPERLINK("https://www.google.com/maps?q=11.0547657,79.06082916","Open Location")</f>
        <v>Open Location</v>
      </c>
    </row>
    <row r="534" spans="1:40" x14ac:dyDescent="0.3">
      <c r="A534" s="1">
        <v>46210.937962962962</v>
      </c>
      <c r="B534" t="s">
        <v>40</v>
      </c>
      <c r="C534" t="s">
        <v>41</v>
      </c>
      <c r="D534" s="1">
        <v>46210.940949074073</v>
      </c>
      <c r="E534" t="s">
        <v>42</v>
      </c>
      <c r="F534" t="s">
        <v>83</v>
      </c>
      <c r="G534">
        <v>0</v>
      </c>
      <c r="H534">
        <v>33206</v>
      </c>
      <c r="I534" t="s">
        <v>260</v>
      </c>
      <c r="J534">
        <v>35</v>
      </c>
      <c r="K534">
        <v>1</v>
      </c>
      <c r="L534">
        <v>98</v>
      </c>
      <c r="M534">
        <v>630.79998779000005</v>
      </c>
      <c r="N534" t="s">
        <v>81</v>
      </c>
      <c r="O534" t="s">
        <v>86</v>
      </c>
      <c r="P534">
        <v>125</v>
      </c>
      <c r="Q534">
        <v>2</v>
      </c>
      <c r="R534">
        <v>0</v>
      </c>
      <c r="S534">
        <v>0</v>
      </c>
      <c r="T534">
        <v>-40</v>
      </c>
      <c r="U534">
        <v>35</v>
      </c>
      <c r="V534">
        <v>0</v>
      </c>
      <c r="W534">
        <v>30</v>
      </c>
      <c r="X534">
        <v>30</v>
      </c>
      <c r="Y534">
        <v>1</v>
      </c>
      <c r="Z534">
        <v>9</v>
      </c>
      <c r="AA534">
        <v>26</v>
      </c>
      <c r="AB534">
        <v>6</v>
      </c>
      <c r="AC534">
        <v>5</v>
      </c>
      <c r="AD534">
        <v>3.28900003</v>
      </c>
      <c r="AE534">
        <v>1</v>
      </c>
      <c r="AF534">
        <v>1</v>
      </c>
      <c r="AG534">
        <v>3.2869999399999998</v>
      </c>
      <c r="AH534">
        <v>2</v>
      </c>
      <c r="AI534">
        <v>3</v>
      </c>
      <c r="AJ534">
        <v>1</v>
      </c>
      <c r="AK534">
        <v>16</v>
      </c>
      <c r="AL534">
        <v>33</v>
      </c>
      <c r="AM534" t="s">
        <v>43</v>
      </c>
      <c r="AN534" t="str">
        <f>HYPERLINK("https://www.google.com/maps?q=11.05476761,79.06082153","Open Location")</f>
        <v>Open Location</v>
      </c>
    </row>
    <row r="535" spans="1:40" x14ac:dyDescent="0.3">
      <c r="A535" s="1">
        <v>46210.937847222223</v>
      </c>
      <c r="B535" t="s">
        <v>40</v>
      </c>
      <c r="C535" t="s">
        <v>41</v>
      </c>
      <c r="D535" s="1">
        <v>46210.940810185188</v>
      </c>
      <c r="E535" t="s">
        <v>42</v>
      </c>
      <c r="F535" t="s">
        <v>83</v>
      </c>
      <c r="G535">
        <v>0</v>
      </c>
      <c r="H535">
        <v>33206</v>
      </c>
      <c r="I535" t="s">
        <v>43</v>
      </c>
      <c r="J535">
        <v>35</v>
      </c>
      <c r="K535">
        <v>1</v>
      </c>
      <c r="L535">
        <v>98</v>
      </c>
      <c r="M535">
        <v>630.79998779000005</v>
      </c>
      <c r="N535" t="s">
        <v>81</v>
      </c>
      <c r="O535" t="s">
        <v>86</v>
      </c>
      <c r="P535">
        <v>125</v>
      </c>
      <c r="Q535">
        <v>2</v>
      </c>
      <c r="R535">
        <v>0</v>
      </c>
      <c r="S535">
        <v>0</v>
      </c>
      <c r="T535">
        <v>-40</v>
      </c>
      <c r="U535">
        <v>35</v>
      </c>
      <c r="V535">
        <v>0</v>
      </c>
      <c r="W535">
        <v>30</v>
      </c>
      <c r="X535">
        <v>30</v>
      </c>
      <c r="Y535">
        <v>1</v>
      </c>
      <c r="Z535">
        <v>9</v>
      </c>
      <c r="AA535">
        <v>26</v>
      </c>
      <c r="AB535">
        <v>6</v>
      </c>
      <c r="AC535">
        <v>5</v>
      </c>
      <c r="AD535">
        <v>3.28900003</v>
      </c>
      <c r="AE535">
        <v>1</v>
      </c>
      <c r="AF535">
        <v>1</v>
      </c>
      <c r="AG535">
        <v>3.2869999399999998</v>
      </c>
      <c r="AH535">
        <v>1</v>
      </c>
      <c r="AI535">
        <v>4</v>
      </c>
      <c r="AJ535">
        <v>1</v>
      </c>
      <c r="AK535">
        <v>16</v>
      </c>
      <c r="AL535">
        <v>33</v>
      </c>
      <c r="AM535" t="s">
        <v>43</v>
      </c>
      <c r="AN535" t="s">
        <v>43</v>
      </c>
    </row>
    <row r="536" spans="1:40" x14ac:dyDescent="0.3">
      <c r="A536" s="1">
        <v>46210.937731481485</v>
      </c>
      <c r="B536" t="s">
        <v>40</v>
      </c>
      <c r="C536" t="s">
        <v>41</v>
      </c>
      <c r="D536" s="1">
        <v>46210.940810185188</v>
      </c>
      <c r="E536" t="s">
        <v>42</v>
      </c>
      <c r="F536" t="s">
        <v>83</v>
      </c>
      <c r="G536">
        <v>0</v>
      </c>
      <c r="H536" t="s">
        <v>43</v>
      </c>
      <c r="I536" t="s">
        <v>260</v>
      </c>
      <c r="J536">
        <v>35</v>
      </c>
      <c r="K536">
        <v>1</v>
      </c>
      <c r="L536">
        <v>98</v>
      </c>
      <c r="M536">
        <v>630.79998779000005</v>
      </c>
      <c r="N536" t="s">
        <v>81</v>
      </c>
      <c r="O536" t="s">
        <v>86</v>
      </c>
      <c r="P536">
        <v>125</v>
      </c>
      <c r="Q536">
        <v>2</v>
      </c>
      <c r="R536">
        <v>0</v>
      </c>
      <c r="S536">
        <v>0</v>
      </c>
      <c r="T536">
        <v>-40</v>
      </c>
      <c r="U536">
        <v>35</v>
      </c>
      <c r="V536">
        <v>0</v>
      </c>
      <c r="W536">
        <v>30</v>
      </c>
      <c r="X536">
        <v>30</v>
      </c>
      <c r="Y536">
        <v>1</v>
      </c>
      <c r="Z536">
        <v>9</v>
      </c>
      <c r="AA536">
        <v>26</v>
      </c>
      <c r="AB536">
        <v>6</v>
      </c>
      <c r="AC536">
        <v>5</v>
      </c>
      <c r="AD536">
        <v>3.28900003</v>
      </c>
      <c r="AE536">
        <v>1</v>
      </c>
      <c r="AF536">
        <v>1</v>
      </c>
      <c r="AG536">
        <v>3.2869999399999998</v>
      </c>
      <c r="AH536">
        <v>1</v>
      </c>
      <c r="AI536">
        <v>4</v>
      </c>
      <c r="AJ536">
        <v>1</v>
      </c>
      <c r="AK536">
        <v>16</v>
      </c>
      <c r="AL536">
        <v>33</v>
      </c>
      <c r="AM536" t="s">
        <v>43</v>
      </c>
      <c r="AN536" t="str">
        <f>HYPERLINK("https://www.google.com/maps?q=11.05476761,79.06082153","Open Location")</f>
        <v>Open Location</v>
      </c>
    </row>
    <row r="537" spans="1:40" x14ac:dyDescent="0.3">
      <c r="A537" s="1">
        <v>46210.937615740739</v>
      </c>
      <c r="B537" t="s">
        <v>40</v>
      </c>
      <c r="C537" t="s">
        <v>41</v>
      </c>
      <c r="D537" s="1">
        <v>46210.940578703703</v>
      </c>
      <c r="E537" t="s">
        <v>42</v>
      </c>
      <c r="F537" t="s">
        <v>83</v>
      </c>
      <c r="G537">
        <v>0</v>
      </c>
      <c r="H537">
        <v>33206</v>
      </c>
      <c r="I537" t="s">
        <v>261</v>
      </c>
      <c r="J537">
        <v>35</v>
      </c>
      <c r="K537">
        <v>1</v>
      </c>
      <c r="L537">
        <v>98</v>
      </c>
      <c r="M537">
        <v>630.79998779000005</v>
      </c>
      <c r="N537" t="s">
        <v>81</v>
      </c>
      <c r="O537" t="s">
        <v>86</v>
      </c>
      <c r="P537">
        <v>125</v>
      </c>
      <c r="Q537">
        <v>2</v>
      </c>
      <c r="R537">
        <v>0</v>
      </c>
      <c r="S537">
        <v>0</v>
      </c>
      <c r="T537">
        <v>-40</v>
      </c>
      <c r="U537">
        <v>35</v>
      </c>
      <c r="V537">
        <v>0</v>
      </c>
      <c r="W537">
        <v>30</v>
      </c>
      <c r="X537">
        <v>30</v>
      </c>
      <c r="Y537">
        <v>1</v>
      </c>
      <c r="Z537">
        <v>9</v>
      </c>
      <c r="AA537">
        <v>26</v>
      </c>
      <c r="AB537">
        <v>6</v>
      </c>
      <c r="AC537">
        <v>5</v>
      </c>
      <c r="AD537">
        <v>3.28900003</v>
      </c>
      <c r="AE537">
        <v>1</v>
      </c>
      <c r="AF537">
        <v>1</v>
      </c>
      <c r="AG537">
        <v>3.2869999399999998</v>
      </c>
      <c r="AH537">
        <v>2</v>
      </c>
      <c r="AI537">
        <v>3</v>
      </c>
      <c r="AJ537">
        <v>1</v>
      </c>
      <c r="AK537">
        <v>16</v>
      </c>
      <c r="AL537">
        <v>33</v>
      </c>
      <c r="AM537" t="s">
        <v>43</v>
      </c>
      <c r="AN537" t="str">
        <f>HYPERLINK("https://www.google.com/maps?q=11.05477047,79.06082916","Open Location")</f>
        <v>Open Location</v>
      </c>
    </row>
    <row r="538" spans="1:40" x14ac:dyDescent="0.3">
      <c r="A538" s="1">
        <v>46210.9375</v>
      </c>
      <c r="B538" t="s">
        <v>40</v>
      </c>
      <c r="C538" t="s">
        <v>41</v>
      </c>
      <c r="D538" s="1">
        <v>46210.940567129626</v>
      </c>
      <c r="E538" t="s">
        <v>42</v>
      </c>
      <c r="F538" t="s">
        <v>83</v>
      </c>
      <c r="G538">
        <v>0</v>
      </c>
      <c r="H538" t="s">
        <v>43</v>
      </c>
      <c r="I538" t="s">
        <v>262</v>
      </c>
      <c r="J538">
        <v>35</v>
      </c>
      <c r="K538">
        <v>1</v>
      </c>
      <c r="L538">
        <v>98</v>
      </c>
      <c r="M538">
        <v>630.70001220999995</v>
      </c>
      <c r="N538" t="s">
        <v>81</v>
      </c>
      <c r="O538" t="s">
        <v>86</v>
      </c>
      <c r="P538">
        <v>125</v>
      </c>
      <c r="Q538">
        <v>2</v>
      </c>
      <c r="R538">
        <v>0</v>
      </c>
      <c r="S538">
        <v>0</v>
      </c>
      <c r="T538">
        <v>-40</v>
      </c>
      <c r="U538">
        <v>35</v>
      </c>
      <c r="V538">
        <v>0</v>
      </c>
      <c r="W538" t="s">
        <v>43</v>
      </c>
      <c r="X538" t="s">
        <v>43</v>
      </c>
      <c r="Y538" t="s">
        <v>43</v>
      </c>
      <c r="Z538" t="s">
        <v>43</v>
      </c>
      <c r="AA538" t="s">
        <v>43</v>
      </c>
      <c r="AB538" t="s">
        <v>43</v>
      </c>
      <c r="AC538" t="s">
        <v>43</v>
      </c>
      <c r="AD538" t="s">
        <v>43</v>
      </c>
      <c r="AE538" t="s">
        <v>43</v>
      </c>
      <c r="AF538" t="s">
        <v>43</v>
      </c>
      <c r="AG538" t="s">
        <v>43</v>
      </c>
      <c r="AH538" t="s">
        <v>43</v>
      </c>
      <c r="AI538" t="s">
        <v>43</v>
      </c>
      <c r="AJ538">
        <v>1</v>
      </c>
      <c r="AK538">
        <v>16</v>
      </c>
      <c r="AL538">
        <v>32</v>
      </c>
      <c r="AM538" t="s">
        <v>43</v>
      </c>
      <c r="AN538" t="str">
        <f>HYPERLINK("https://www.google.com/maps?q=11.05476856,79.06082153","Open Location")</f>
        <v>Open Location</v>
      </c>
    </row>
    <row r="539" spans="1:40" x14ac:dyDescent="0.3">
      <c r="A539" s="1">
        <v>46210.937384259261</v>
      </c>
      <c r="B539" t="s">
        <v>40</v>
      </c>
      <c r="C539" t="s">
        <v>41</v>
      </c>
      <c r="D539" s="1">
        <v>46210.940057870372</v>
      </c>
      <c r="E539" t="s">
        <v>42</v>
      </c>
      <c r="F539" t="s">
        <v>83</v>
      </c>
      <c r="G539">
        <v>0</v>
      </c>
      <c r="H539">
        <v>33206</v>
      </c>
      <c r="I539" t="s">
        <v>262</v>
      </c>
      <c r="J539">
        <v>35</v>
      </c>
      <c r="K539">
        <v>1</v>
      </c>
      <c r="L539">
        <v>98</v>
      </c>
      <c r="M539">
        <v>630.79998779000005</v>
      </c>
      <c r="N539" t="s">
        <v>81</v>
      </c>
      <c r="O539" t="s">
        <v>86</v>
      </c>
      <c r="P539">
        <v>125</v>
      </c>
      <c r="Q539">
        <v>2</v>
      </c>
      <c r="R539">
        <v>0</v>
      </c>
      <c r="S539">
        <v>0</v>
      </c>
      <c r="T539">
        <v>-40</v>
      </c>
      <c r="U539">
        <v>35</v>
      </c>
      <c r="V539">
        <v>0</v>
      </c>
      <c r="W539">
        <v>30</v>
      </c>
      <c r="X539">
        <v>30</v>
      </c>
      <c r="Y539">
        <v>1</v>
      </c>
      <c r="Z539">
        <v>9</v>
      </c>
      <c r="AA539">
        <v>26</v>
      </c>
      <c r="AB539">
        <v>6</v>
      </c>
      <c r="AC539">
        <v>5</v>
      </c>
      <c r="AD539">
        <v>3.28900003</v>
      </c>
      <c r="AE539">
        <v>1</v>
      </c>
      <c r="AF539">
        <v>1</v>
      </c>
      <c r="AG539">
        <v>3.2869999399999998</v>
      </c>
      <c r="AH539">
        <v>2</v>
      </c>
      <c r="AI539">
        <v>3</v>
      </c>
      <c r="AJ539">
        <v>1</v>
      </c>
      <c r="AK539">
        <v>16</v>
      </c>
      <c r="AL539">
        <v>32</v>
      </c>
      <c r="AM539" t="s">
        <v>43</v>
      </c>
      <c r="AN539" t="str">
        <f>HYPERLINK("https://www.google.com/maps?q=11.05476856,79.06082153","Open Location")</f>
        <v>Open Location</v>
      </c>
    </row>
    <row r="540" spans="1:40" x14ac:dyDescent="0.3">
      <c r="A540" s="1">
        <v>46210.937268518515</v>
      </c>
      <c r="B540" t="s">
        <v>40</v>
      </c>
      <c r="C540" t="s">
        <v>41</v>
      </c>
      <c r="D540" s="1">
        <v>46210.94021990741</v>
      </c>
      <c r="E540" t="s">
        <v>42</v>
      </c>
      <c r="F540" t="s">
        <v>83</v>
      </c>
      <c r="G540">
        <v>0</v>
      </c>
      <c r="H540">
        <v>33206</v>
      </c>
      <c r="I540" t="s">
        <v>263</v>
      </c>
      <c r="J540">
        <v>35</v>
      </c>
      <c r="K540">
        <v>1</v>
      </c>
      <c r="L540">
        <v>98</v>
      </c>
      <c r="M540">
        <v>630.59997558999999</v>
      </c>
      <c r="N540" t="s">
        <v>81</v>
      </c>
      <c r="O540" t="s">
        <v>86</v>
      </c>
      <c r="P540">
        <v>125</v>
      </c>
      <c r="Q540">
        <v>2</v>
      </c>
      <c r="R540">
        <v>0</v>
      </c>
      <c r="S540">
        <v>0</v>
      </c>
      <c r="T540">
        <v>-40</v>
      </c>
      <c r="U540">
        <v>35</v>
      </c>
      <c r="V540">
        <v>0</v>
      </c>
      <c r="W540">
        <v>30</v>
      </c>
      <c r="X540">
        <v>30</v>
      </c>
      <c r="Y540">
        <v>1</v>
      </c>
      <c r="Z540">
        <v>9</v>
      </c>
      <c r="AA540">
        <v>26</v>
      </c>
      <c r="AB540">
        <v>6</v>
      </c>
      <c r="AC540">
        <v>5</v>
      </c>
      <c r="AD540">
        <v>3.28900003</v>
      </c>
      <c r="AE540">
        <v>1</v>
      </c>
      <c r="AF540">
        <v>1</v>
      </c>
      <c r="AG540">
        <v>3.2869999399999998</v>
      </c>
      <c r="AH540">
        <v>2</v>
      </c>
      <c r="AI540">
        <v>3</v>
      </c>
      <c r="AJ540">
        <v>1</v>
      </c>
      <c r="AK540">
        <v>16</v>
      </c>
      <c r="AL540">
        <v>32</v>
      </c>
      <c r="AM540" t="s">
        <v>43</v>
      </c>
      <c r="AN540" t="str">
        <f>HYPERLINK("https://www.google.com/maps?q=11.05476665,79.06082153","Open Location")</f>
        <v>Open Location</v>
      </c>
    </row>
    <row r="541" spans="1:40" x14ac:dyDescent="0.3">
      <c r="A541" s="1">
        <v>46210.937152777777</v>
      </c>
      <c r="B541" t="s">
        <v>40</v>
      </c>
      <c r="C541" t="s">
        <v>41</v>
      </c>
      <c r="D541" s="1">
        <v>46210.939884259256</v>
      </c>
      <c r="E541" t="s">
        <v>42</v>
      </c>
      <c r="F541" t="s">
        <v>83</v>
      </c>
      <c r="G541">
        <v>0</v>
      </c>
      <c r="H541">
        <v>33206</v>
      </c>
      <c r="I541" t="s">
        <v>43</v>
      </c>
      <c r="J541">
        <v>35</v>
      </c>
      <c r="K541">
        <v>1</v>
      </c>
      <c r="L541">
        <v>98</v>
      </c>
      <c r="M541">
        <v>630.79998779000005</v>
      </c>
      <c r="N541" t="s">
        <v>81</v>
      </c>
      <c r="O541" t="s">
        <v>86</v>
      </c>
      <c r="P541">
        <v>125</v>
      </c>
      <c r="Q541">
        <v>2</v>
      </c>
      <c r="R541">
        <v>0</v>
      </c>
      <c r="S541">
        <v>0</v>
      </c>
      <c r="T541">
        <v>-40</v>
      </c>
      <c r="U541">
        <v>35</v>
      </c>
      <c r="V541">
        <v>0</v>
      </c>
      <c r="W541">
        <v>30</v>
      </c>
      <c r="X541">
        <v>30</v>
      </c>
      <c r="Y541">
        <v>1</v>
      </c>
      <c r="Z541">
        <v>9</v>
      </c>
      <c r="AA541">
        <v>26</v>
      </c>
      <c r="AB541">
        <v>6</v>
      </c>
      <c r="AC541">
        <v>5</v>
      </c>
      <c r="AD541">
        <v>3.28900003</v>
      </c>
      <c r="AE541">
        <v>1</v>
      </c>
      <c r="AF541">
        <v>1</v>
      </c>
      <c r="AG541">
        <v>3.2869999399999998</v>
      </c>
      <c r="AH541">
        <v>2</v>
      </c>
      <c r="AI541">
        <v>3</v>
      </c>
      <c r="AJ541">
        <v>1</v>
      </c>
      <c r="AK541">
        <v>16</v>
      </c>
      <c r="AL541">
        <v>32</v>
      </c>
      <c r="AM541" t="s">
        <v>43</v>
      </c>
      <c r="AN541" t="s">
        <v>43</v>
      </c>
    </row>
    <row r="542" spans="1:40" x14ac:dyDescent="0.3">
      <c r="A542" s="1">
        <v>46210.937037037038</v>
      </c>
      <c r="B542" t="s">
        <v>40</v>
      </c>
      <c r="C542" t="s">
        <v>41</v>
      </c>
      <c r="D542" s="1">
        <v>46210.939918981479</v>
      </c>
      <c r="E542" t="s">
        <v>42</v>
      </c>
      <c r="F542" t="s">
        <v>83</v>
      </c>
      <c r="G542">
        <v>0</v>
      </c>
      <c r="H542">
        <v>33206</v>
      </c>
      <c r="I542" t="s">
        <v>264</v>
      </c>
      <c r="J542">
        <v>35</v>
      </c>
      <c r="K542">
        <v>1</v>
      </c>
      <c r="L542">
        <v>98</v>
      </c>
      <c r="M542">
        <v>630.70001220999995</v>
      </c>
      <c r="N542" t="s">
        <v>81</v>
      </c>
      <c r="O542" t="s">
        <v>86</v>
      </c>
      <c r="P542">
        <v>125</v>
      </c>
      <c r="Q542">
        <v>2</v>
      </c>
      <c r="R542">
        <v>0</v>
      </c>
      <c r="S542">
        <v>0</v>
      </c>
      <c r="T542">
        <v>-40</v>
      </c>
      <c r="U542">
        <v>35</v>
      </c>
      <c r="V542">
        <v>0</v>
      </c>
      <c r="W542">
        <v>30</v>
      </c>
      <c r="X542">
        <v>30</v>
      </c>
      <c r="Y542">
        <v>1</v>
      </c>
      <c r="Z542">
        <v>9</v>
      </c>
      <c r="AA542">
        <v>26</v>
      </c>
      <c r="AB542">
        <v>6</v>
      </c>
      <c r="AC542">
        <v>5</v>
      </c>
      <c r="AD542">
        <v>3.28900003</v>
      </c>
      <c r="AE542">
        <v>1</v>
      </c>
      <c r="AF542">
        <v>1</v>
      </c>
      <c r="AG542">
        <v>3.2869999399999998</v>
      </c>
      <c r="AH542">
        <v>2</v>
      </c>
      <c r="AI542">
        <v>3</v>
      </c>
      <c r="AJ542">
        <v>1</v>
      </c>
      <c r="AK542">
        <v>16</v>
      </c>
      <c r="AL542">
        <v>32</v>
      </c>
      <c r="AM542" t="s">
        <v>43</v>
      </c>
      <c r="AN542" t="str">
        <f>HYPERLINK("https://www.google.com/maps?q=11.0547657,79.06082153","Open Location")</f>
        <v>Open Location</v>
      </c>
    </row>
    <row r="543" spans="1:40" x14ac:dyDescent="0.3">
      <c r="A543" s="1">
        <v>46210.936921296299</v>
      </c>
      <c r="B543" t="s">
        <v>40</v>
      </c>
      <c r="C543" t="s">
        <v>41</v>
      </c>
      <c r="D543" s="1">
        <v>46210.93959490741</v>
      </c>
      <c r="E543" t="s">
        <v>42</v>
      </c>
      <c r="F543" t="s">
        <v>83</v>
      </c>
      <c r="G543">
        <v>0</v>
      </c>
      <c r="H543">
        <v>33206</v>
      </c>
      <c r="I543" t="s">
        <v>265</v>
      </c>
      <c r="J543">
        <v>35</v>
      </c>
      <c r="K543">
        <v>1</v>
      </c>
      <c r="L543">
        <v>98</v>
      </c>
      <c r="M543">
        <v>630.59997558999999</v>
      </c>
      <c r="N543" t="s">
        <v>81</v>
      </c>
      <c r="O543" t="s">
        <v>86</v>
      </c>
      <c r="P543">
        <v>125</v>
      </c>
      <c r="Q543">
        <v>2</v>
      </c>
      <c r="R543">
        <v>0</v>
      </c>
      <c r="S543">
        <v>0</v>
      </c>
      <c r="T543">
        <v>-40</v>
      </c>
      <c r="U543">
        <v>35</v>
      </c>
      <c r="V543">
        <v>0</v>
      </c>
      <c r="W543">
        <v>30</v>
      </c>
      <c r="X543">
        <v>30</v>
      </c>
      <c r="Y543">
        <v>1</v>
      </c>
      <c r="Z543">
        <v>9</v>
      </c>
      <c r="AA543">
        <v>26</v>
      </c>
      <c r="AB543">
        <v>6</v>
      </c>
      <c r="AC543">
        <v>5</v>
      </c>
      <c r="AD543">
        <v>3.28900003</v>
      </c>
      <c r="AE543">
        <v>1</v>
      </c>
      <c r="AF543">
        <v>1</v>
      </c>
      <c r="AG543">
        <v>3.2869999399999998</v>
      </c>
      <c r="AH543">
        <v>2</v>
      </c>
      <c r="AI543">
        <v>3</v>
      </c>
      <c r="AJ543">
        <v>1</v>
      </c>
      <c r="AK543">
        <v>16</v>
      </c>
      <c r="AL543">
        <v>32</v>
      </c>
      <c r="AM543" t="s">
        <v>43</v>
      </c>
      <c r="AN543" t="str">
        <f>HYPERLINK("https://www.google.com/maps?q=11.05476665,79.06082916","Open Location")</f>
        <v>Open Location</v>
      </c>
    </row>
    <row r="544" spans="1:40" x14ac:dyDescent="0.3">
      <c r="A544" s="1">
        <v>46210.936805555553</v>
      </c>
      <c r="B544" t="s">
        <v>40</v>
      </c>
      <c r="C544" t="s">
        <v>41</v>
      </c>
      <c r="D544" s="1">
        <v>46210.93953703704</v>
      </c>
      <c r="E544" t="s">
        <v>42</v>
      </c>
      <c r="F544" t="s">
        <v>83</v>
      </c>
      <c r="G544">
        <v>0</v>
      </c>
      <c r="H544">
        <v>33206</v>
      </c>
      <c r="I544" t="s">
        <v>259</v>
      </c>
      <c r="J544">
        <v>35</v>
      </c>
      <c r="K544">
        <v>1</v>
      </c>
      <c r="L544">
        <v>98</v>
      </c>
      <c r="M544">
        <v>630.79998779000005</v>
      </c>
      <c r="N544" t="s">
        <v>81</v>
      </c>
      <c r="O544" t="s">
        <v>86</v>
      </c>
      <c r="P544">
        <v>125</v>
      </c>
      <c r="Q544">
        <v>2</v>
      </c>
      <c r="R544">
        <v>0</v>
      </c>
      <c r="S544">
        <v>0</v>
      </c>
      <c r="T544">
        <v>-40</v>
      </c>
      <c r="U544">
        <v>35</v>
      </c>
      <c r="V544">
        <v>0</v>
      </c>
      <c r="W544" t="s">
        <v>43</v>
      </c>
      <c r="X544" t="s">
        <v>43</v>
      </c>
      <c r="Y544" t="s">
        <v>43</v>
      </c>
      <c r="Z544" t="s">
        <v>43</v>
      </c>
      <c r="AA544" t="s">
        <v>43</v>
      </c>
      <c r="AB544" t="s">
        <v>43</v>
      </c>
      <c r="AC544" t="s">
        <v>43</v>
      </c>
      <c r="AD544" t="s">
        <v>43</v>
      </c>
      <c r="AE544" t="s">
        <v>43</v>
      </c>
      <c r="AF544" t="s">
        <v>43</v>
      </c>
      <c r="AG544" t="s">
        <v>43</v>
      </c>
      <c r="AH544" t="s">
        <v>43</v>
      </c>
      <c r="AI544" t="s">
        <v>43</v>
      </c>
      <c r="AJ544">
        <v>1</v>
      </c>
      <c r="AK544">
        <v>16</v>
      </c>
      <c r="AL544">
        <v>32</v>
      </c>
      <c r="AM544" t="s">
        <v>43</v>
      </c>
      <c r="AN544" t="str">
        <f>HYPERLINK("https://www.google.com/maps?q=11.0547657,79.06082916","Open Location")</f>
        <v>Open Location</v>
      </c>
    </row>
    <row r="545" spans="1:40" x14ac:dyDescent="0.3">
      <c r="A545" s="1">
        <v>46210.936689814815</v>
      </c>
      <c r="B545" t="s">
        <v>40</v>
      </c>
      <c r="C545" t="s">
        <v>41</v>
      </c>
      <c r="D545" s="1">
        <v>46210.93953703704</v>
      </c>
      <c r="E545" t="s">
        <v>42</v>
      </c>
      <c r="F545" t="s">
        <v>83</v>
      </c>
      <c r="G545">
        <v>0</v>
      </c>
      <c r="H545">
        <v>33206</v>
      </c>
      <c r="I545" t="s">
        <v>266</v>
      </c>
      <c r="J545">
        <v>35</v>
      </c>
      <c r="K545">
        <v>1</v>
      </c>
      <c r="L545">
        <v>98</v>
      </c>
      <c r="M545">
        <v>630.79998779000005</v>
      </c>
      <c r="N545" t="s">
        <v>81</v>
      </c>
      <c r="O545" t="s">
        <v>86</v>
      </c>
      <c r="P545">
        <v>125</v>
      </c>
      <c r="Q545">
        <v>2</v>
      </c>
      <c r="R545">
        <v>0</v>
      </c>
      <c r="S545">
        <v>0</v>
      </c>
      <c r="T545">
        <v>-40</v>
      </c>
      <c r="U545">
        <v>35</v>
      </c>
      <c r="V545">
        <v>0</v>
      </c>
      <c r="W545">
        <v>30</v>
      </c>
      <c r="X545">
        <v>30</v>
      </c>
      <c r="Y545">
        <v>1</v>
      </c>
      <c r="Z545">
        <v>9</v>
      </c>
      <c r="AA545">
        <v>26</v>
      </c>
      <c r="AB545">
        <v>6</v>
      </c>
      <c r="AC545">
        <v>5</v>
      </c>
      <c r="AD545">
        <v>3.28900003</v>
      </c>
      <c r="AE545">
        <v>1</v>
      </c>
      <c r="AF545">
        <v>1</v>
      </c>
      <c r="AG545">
        <v>3.2869999399999998</v>
      </c>
      <c r="AH545">
        <v>2</v>
      </c>
      <c r="AI545">
        <v>3</v>
      </c>
      <c r="AJ545">
        <v>1</v>
      </c>
      <c r="AK545">
        <v>16</v>
      </c>
      <c r="AL545">
        <v>32</v>
      </c>
      <c r="AM545" t="s">
        <v>43</v>
      </c>
      <c r="AN545" t="str">
        <f>HYPERLINK("https://www.google.com/maps?q=11.05476379,79.06083679","Open Location")</f>
        <v>Open Location</v>
      </c>
    </row>
    <row r="546" spans="1:40" x14ac:dyDescent="0.3">
      <c r="A546" s="1">
        <v>46210.936574074076</v>
      </c>
      <c r="B546" t="s">
        <v>40</v>
      </c>
      <c r="C546" t="s">
        <v>41</v>
      </c>
      <c r="D546" s="1">
        <v>46210.939386574071</v>
      </c>
      <c r="E546" t="s">
        <v>42</v>
      </c>
      <c r="F546" t="s">
        <v>83</v>
      </c>
      <c r="G546">
        <v>0</v>
      </c>
      <c r="H546">
        <v>33206</v>
      </c>
      <c r="I546" t="s">
        <v>267</v>
      </c>
      <c r="J546">
        <v>35</v>
      </c>
      <c r="K546">
        <v>1</v>
      </c>
      <c r="L546">
        <v>98</v>
      </c>
      <c r="M546">
        <v>630.70001220999995</v>
      </c>
      <c r="N546" t="s">
        <v>81</v>
      </c>
      <c r="O546" t="s">
        <v>86</v>
      </c>
      <c r="P546">
        <v>125</v>
      </c>
      <c r="Q546">
        <v>2</v>
      </c>
      <c r="R546">
        <v>0</v>
      </c>
      <c r="S546">
        <v>0</v>
      </c>
      <c r="T546">
        <v>-40</v>
      </c>
      <c r="U546">
        <v>35</v>
      </c>
      <c r="V546">
        <v>0</v>
      </c>
      <c r="W546" t="s">
        <v>43</v>
      </c>
      <c r="X546" t="s">
        <v>43</v>
      </c>
      <c r="Y546" t="s">
        <v>43</v>
      </c>
      <c r="Z546" t="s">
        <v>43</v>
      </c>
      <c r="AA546" t="s">
        <v>43</v>
      </c>
      <c r="AB546" t="s">
        <v>43</v>
      </c>
      <c r="AC546" t="s">
        <v>43</v>
      </c>
      <c r="AD546" t="s">
        <v>43</v>
      </c>
      <c r="AE546" t="s">
        <v>43</v>
      </c>
      <c r="AF546" t="s">
        <v>43</v>
      </c>
      <c r="AG546" t="s">
        <v>43</v>
      </c>
      <c r="AH546" t="s">
        <v>43</v>
      </c>
      <c r="AI546" t="s">
        <v>43</v>
      </c>
      <c r="AJ546">
        <v>1</v>
      </c>
      <c r="AK546">
        <v>16</v>
      </c>
      <c r="AL546">
        <v>32</v>
      </c>
      <c r="AM546" t="s">
        <v>43</v>
      </c>
      <c r="AN546" t="str">
        <f>HYPERLINK("https://www.google.com/maps?q=11.05476284,79.06083679","Open Location")</f>
        <v>Open Location</v>
      </c>
    </row>
    <row r="547" spans="1:40" x14ac:dyDescent="0.3">
      <c r="A547" s="1">
        <v>46210.93645833333</v>
      </c>
      <c r="B547" t="s">
        <v>40</v>
      </c>
      <c r="C547" t="s">
        <v>41</v>
      </c>
      <c r="D547" s="1">
        <v>46210.939259259256</v>
      </c>
      <c r="E547" t="s">
        <v>42</v>
      </c>
      <c r="F547" t="s">
        <v>83</v>
      </c>
      <c r="G547">
        <v>0</v>
      </c>
      <c r="H547" t="s">
        <v>43</v>
      </c>
      <c r="I547" t="s">
        <v>43</v>
      </c>
      <c r="J547">
        <v>35</v>
      </c>
      <c r="K547">
        <v>1</v>
      </c>
      <c r="L547">
        <v>98</v>
      </c>
      <c r="M547">
        <v>630.59997558999999</v>
      </c>
      <c r="N547" t="s">
        <v>81</v>
      </c>
      <c r="O547" t="s">
        <v>86</v>
      </c>
      <c r="P547">
        <v>125</v>
      </c>
      <c r="Q547">
        <v>2</v>
      </c>
      <c r="R547">
        <v>0</v>
      </c>
      <c r="S547">
        <v>0</v>
      </c>
      <c r="T547">
        <v>-40</v>
      </c>
      <c r="U547">
        <v>35</v>
      </c>
      <c r="V547">
        <v>0</v>
      </c>
      <c r="W547">
        <v>30</v>
      </c>
      <c r="X547">
        <v>30</v>
      </c>
      <c r="Y547">
        <v>1</v>
      </c>
      <c r="Z547">
        <v>9</v>
      </c>
      <c r="AA547">
        <v>26</v>
      </c>
      <c r="AB547">
        <v>6</v>
      </c>
      <c r="AC547">
        <v>5</v>
      </c>
      <c r="AD547">
        <v>3.28900003</v>
      </c>
      <c r="AE547">
        <v>1</v>
      </c>
      <c r="AF547">
        <v>1</v>
      </c>
      <c r="AG547">
        <v>3.2869999399999998</v>
      </c>
      <c r="AH547">
        <v>2</v>
      </c>
      <c r="AI547">
        <v>3</v>
      </c>
      <c r="AJ547">
        <v>1</v>
      </c>
      <c r="AK547">
        <v>17</v>
      </c>
      <c r="AL547">
        <v>32</v>
      </c>
      <c r="AM547" t="s">
        <v>43</v>
      </c>
      <c r="AN547" t="s">
        <v>43</v>
      </c>
    </row>
    <row r="548" spans="1:40" x14ac:dyDescent="0.3">
      <c r="A548" s="1">
        <v>46210.936342592591</v>
      </c>
      <c r="B548" t="s">
        <v>40</v>
      </c>
      <c r="C548" t="s">
        <v>41</v>
      </c>
      <c r="D548" s="1">
        <v>46210.939247685186</v>
      </c>
      <c r="E548" t="s">
        <v>42</v>
      </c>
      <c r="F548" t="s">
        <v>83</v>
      </c>
      <c r="G548">
        <v>0</v>
      </c>
      <c r="H548">
        <v>33206</v>
      </c>
      <c r="I548" t="s">
        <v>267</v>
      </c>
      <c r="J548">
        <v>35</v>
      </c>
      <c r="K548">
        <v>1</v>
      </c>
      <c r="L548">
        <v>98</v>
      </c>
      <c r="M548">
        <v>630.70001220999995</v>
      </c>
      <c r="N548" t="s">
        <v>81</v>
      </c>
      <c r="O548" t="s">
        <v>86</v>
      </c>
      <c r="P548">
        <v>125</v>
      </c>
      <c r="Q548">
        <v>2</v>
      </c>
      <c r="R548">
        <v>0</v>
      </c>
      <c r="S548">
        <v>0</v>
      </c>
      <c r="T548">
        <v>-40</v>
      </c>
      <c r="U548">
        <v>35</v>
      </c>
      <c r="V548">
        <v>0</v>
      </c>
      <c r="W548">
        <v>30</v>
      </c>
      <c r="X548">
        <v>30</v>
      </c>
      <c r="Y548">
        <v>1</v>
      </c>
      <c r="Z548">
        <v>9</v>
      </c>
      <c r="AA548">
        <v>26</v>
      </c>
      <c r="AB548">
        <v>6</v>
      </c>
      <c r="AC548">
        <v>5</v>
      </c>
      <c r="AD548">
        <v>3.28900003</v>
      </c>
      <c r="AE548">
        <v>1</v>
      </c>
      <c r="AF548">
        <v>1</v>
      </c>
      <c r="AG548">
        <v>3.2869999399999998</v>
      </c>
      <c r="AH548">
        <v>2</v>
      </c>
      <c r="AI548">
        <v>3</v>
      </c>
      <c r="AJ548">
        <v>1</v>
      </c>
      <c r="AK548">
        <v>17</v>
      </c>
      <c r="AL548">
        <v>32</v>
      </c>
      <c r="AM548" t="s">
        <v>43</v>
      </c>
      <c r="AN548" t="str">
        <f>HYPERLINK("https://www.google.com/maps?q=11.05476284,79.06083679","Open Location")</f>
        <v>Open Location</v>
      </c>
    </row>
    <row r="549" spans="1:40" x14ac:dyDescent="0.3">
      <c r="A549" s="1">
        <v>46210.936226851853</v>
      </c>
      <c r="B549" t="s">
        <v>40</v>
      </c>
      <c r="C549" t="s">
        <v>41</v>
      </c>
      <c r="D549" s="1">
        <v>46210.93917824074</v>
      </c>
      <c r="E549" t="s">
        <v>42</v>
      </c>
      <c r="F549" t="s">
        <v>83</v>
      </c>
      <c r="G549">
        <v>0</v>
      </c>
      <c r="H549">
        <v>33206</v>
      </c>
      <c r="I549" t="s">
        <v>267</v>
      </c>
      <c r="J549">
        <v>35</v>
      </c>
      <c r="K549">
        <v>1</v>
      </c>
      <c r="L549">
        <v>98</v>
      </c>
      <c r="M549">
        <v>630.70001220999995</v>
      </c>
      <c r="N549" t="s">
        <v>81</v>
      </c>
      <c r="O549" t="s">
        <v>86</v>
      </c>
      <c r="P549">
        <v>125</v>
      </c>
      <c r="Q549">
        <v>2</v>
      </c>
      <c r="R549">
        <v>0</v>
      </c>
      <c r="S549">
        <v>0</v>
      </c>
      <c r="T549">
        <v>-40</v>
      </c>
      <c r="U549">
        <v>35</v>
      </c>
      <c r="V549">
        <v>0</v>
      </c>
      <c r="W549">
        <v>30</v>
      </c>
      <c r="X549">
        <v>30</v>
      </c>
      <c r="Y549">
        <v>1</v>
      </c>
      <c r="Z549">
        <v>9</v>
      </c>
      <c r="AA549">
        <v>26</v>
      </c>
      <c r="AB549">
        <v>6</v>
      </c>
      <c r="AC549">
        <v>5</v>
      </c>
      <c r="AD549">
        <v>3.28900003</v>
      </c>
      <c r="AE549">
        <v>1</v>
      </c>
      <c r="AF549">
        <v>1</v>
      </c>
      <c r="AG549">
        <v>3.2869999399999998</v>
      </c>
      <c r="AH549">
        <v>2</v>
      </c>
      <c r="AI549">
        <v>3</v>
      </c>
      <c r="AJ549">
        <v>1</v>
      </c>
      <c r="AK549">
        <v>17</v>
      </c>
      <c r="AL549">
        <v>32</v>
      </c>
      <c r="AM549" t="s">
        <v>43</v>
      </c>
      <c r="AN549" t="str">
        <f>HYPERLINK("https://www.google.com/maps?q=11.05476284,79.06083679","Open Location")</f>
        <v>Open Location</v>
      </c>
    </row>
    <row r="550" spans="1:40" x14ac:dyDescent="0.3">
      <c r="A550" s="1">
        <v>46210.936111111114</v>
      </c>
      <c r="B550" t="s">
        <v>40</v>
      </c>
      <c r="C550" t="s">
        <v>41</v>
      </c>
      <c r="D550" s="1">
        <v>46210.939120370371</v>
      </c>
      <c r="E550" t="s">
        <v>42</v>
      </c>
      <c r="F550" t="s">
        <v>83</v>
      </c>
      <c r="G550">
        <v>0</v>
      </c>
      <c r="H550">
        <v>33206</v>
      </c>
      <c r="I550" t="s">
        <v>268</v>
      </c>
      <c r="J550">
        <v>35</v>
      </c>
      <c r="K550">
        <v>1</v>
      </c>
      <c r="L550">
        <v>98</v>
      </c>
      <c r="M550">
        <v>630.70001220999995</v>
      </c>
      <c r="N550" t="s">
        <v>81</v>
      </c>
      <c r="O550" t="s">
        <v>86</v>
      </c>
      <c r="P550">
        <v>125</v>
      </c>
      <c r="Q550">
        <v>2</v>
      </c>
      <c r="R550">
        <v>0</v>
      </c>
      <c r="S550">
        <v>0</v>
      </c>
      <c r="T550">
        <v>-40</v>
      </c>
      <c r="U550">
        <v>35</v>
      </c>
      <c r="V550">
        <v>0</v>
      </c>
      <c r="W550" t="s">
        <v>43</v>
      </c>
      <c r="X550" t="s">
        <v>43</v>
      </c>
      <c r="Y550" t="s">
        <v>43</v>
      </c>
      <c r="Z550" t="s">
        <v>43</v>
      </c>
      <c r="AA550" t="s">
        <v>43</v>
      </c>
      <c r="AB550" t="s">
        <v>43</v>
      </c>
      <c r="AC550" t="s">
        <v>43</v>
      </c>
      <c r="AD550" t="s">
        <v>43</v>
      </c>
      <c r="AE550" t="s">
        <v>43</v>
      </c>
      <c r="AF550" t="s">
        <v>43</v>
      </c>
      <c r="AG550" t="s">
        <v>43</v>
      </c>
      <c r="AH550" t="s">
        <v>43</v>
      </c>
      <c r="AI550" t="s">
        <v>43</v>
      </c>
      <c r="AJ550">
        <v>1</v>
      </c>
      <c r="AK550">
        <v>17</v>
      </c>
      <c r="AL550">
        <v>32</v>
      </c>
      <c r="AM550" t="s">
        <v>43</v>
      </c>
      <c r="AN550" t="str">
        <f>HYPERLINK("https://www.google.com/maps?q=11.05476665,79.06083679","Open Location")</f>
        <v>Open Location</v>
      </c>
    </row>
    <row r="551" spans="1:40" x14ac:dyDescent="0.3">
      <c r="A551" s="1">
        <v>46210.935995370368</v>
      </c>
      <c r="B551" t="s">
        <v>40</v>
      </c>
      <c r="C551" t="s">
        <v>41</v>
      </c>
      <c r="D551" s="1">
        <v>46210.939143518517</v>
      </c>
      <c r="E551" t="s">
        <v>42</v>
      </c>
      <c r="F551" t="s">
        <v>83</v>
      </c>
      <c r="G551">
        <v>0</v>
      </c>
      <c r="H551">
        <v>33206</v>
      </c>
      <c r="I551" t="s">
        <v>269</v>
      </c>
      <c r="J551">
        <v>35</v>
      </c>
      <c r="K551">
        <v>2</v>
      </c>
      <c r="L551">
        <v>98</v>
      </c>
      <c r="M551">
        <v>630.79998779000005</v>
      </c>
      <c r="N551" t="s">
        <v>81</v>
      </c>
      <c r="O551" t="s">
        <v>86</v>
      </c>
      <c r="P551">
        <v>125</v>
      </c>
      <c r="Q551">
        <v>2</v>
      </c>
      <c r="R551">
        <v>0</v>
      </c>
      <c r="S551">
        <v>0</v>
      </c>
      <c r="T551">
        <v>-40</v>
      </c>
      <c r="U551">
        <v>35</v>
      </c>
      <c r="V551">
        <v>0</v>
      </c>
      <c r="W551">
        <v>30</v>
      </c>
      <c r="X551">
        <v>30</v>
      </c>
      <c r="Y551">
        <v>1</v>
      </c>
      <c r="Z551">
        <v>9</v>
      </c>
      <c r="AA551">
        <v>26</v>
      </c>
      <c r="AB551">
        <v>6</v>
      </c>
      <c r="AC551">
        <v>5</v>
      </c>
      <c r="AD551">
        <v>3.28900003</v>
      </c>
      <c r="AE551">
        <v>1</v>
      </c>
      <c r="AF551">
        <v>1</v>
      </c>
      <c r="AG551">
        <v>3.2869999399999998</v>
      </c>
      <c r="AH551">
        <v>2</v>
      </c>
      <c r="AI551">
        <v>3</v>
      </c>
      <c r="AJ551">
        <v>1</v>
      </c>
      <c r="AK551">
        <v>17</v>
      </c>
      <c r="AL551">
        <v>32</v>
      </c>
      <c r="AM551" t="s">
        <v>43</v>
      </c>
      <c r="AN551" t="str">
        <f>HYPERLINK("https://www.google.com/maps?q=11.05476475,79.06083679","Open Location")</f>
        <v>Open Location</v>
      </c>
    </row>
    <row r="552" spans="1:40" x14ac:dyDescent="0.3">
      <c r="A552" s="1">
        <v>46210.935879629629</v>
      </c>
      <c r="B552" t="s">
        <v>40</v>
      </c>
      <c r="C552" t="s">
        <v>41</v>
      </c>
      <c r="D552" s="1">
        <v>46210.938807870371</v>
      </c>
      <c r="E552" t="s">
        <v>42</v>
      </c>
      <c r="F552" t="s">
        <v>83</v>
      </c>
      <c r="G552">
        <v>0</v>
      </c>
      <c r="H552" t="s">
        <v>43</v>
      </c>
      <c r="I552" t="s">
        <v>43</v>
      </c>
      <c r="J552">
        <v>35</v>
      </c>
      <c r="K552">
        <v>2</v>
      </c>
      <c r="L552">
        <v>98</v>
      </c>
      <c r="M552">
        <v>630.59997558999999</v>
      </c>
      <c r="N552" t="s">
        <v>81</v>
      </c>
      <c r="O552" t="s">
        <v>86</v>
      </c>
      <c r="P552">
        <v>125</v>
      </c>
      <c r="Q552">
        <v>2</v>
      </c>
      <c r="R552">
        <v>0</v>
      </c>
      <c r="S552">
        <v>0</v>
      </c>
      <c r="T552">
        <v>-40</v>
      </c>
      <c r="U552">
        <v>35</v>
      </c>
      <c r="V552">
        <v>0</v>
      </c>
      <c r="W552" t="s">
        <v>43</v>
      </c>
      <c r="X552" t="s">
        <v>43</v>
      </c>
      <c r="Y552" t="s">
        <v>43</v>
      </c>
      <c r="Z552" t="s">
        <v>43</v>
      </c>
      <c r="AA552" t="s">
        <v>43</v>
      </c>
      <c r="AB552" t="s">
        <v>43</v>
      </c>
      <c r="AC552" t="s">
        <v>43</v>
      </c>
      <c r="AD552" t="s">
        <v>43</v>
      </c>
      <c r="AE552" t="s">
        <v>43</v>
      </c>
      <c r="AF552" t="s">
        <v>43</v>
      </c>
      <c r="AG552" t="s">
        <v>43</v>
      </c>
      <c r="AH552" t="s">
        <v>43</v>
      </c>
      <c r="AI552" t="s">
        <v>43</v>
      </c>
      <c r="AJ552">
        <v>1</v>
      </c>
      <c r="AK552">
        <v>17</v>
      </c>
      <c r="AL552">
        <v>32</v>
      </c>
      <c r="AM552" t="s">
        <v>43</v>
      </c>
      <c r="AN552" t="s">
        <v>43</v>
      </c>
    </row>
    <row r="553" spans="1:40" x14ac:dyDescent="0.3">
      <c r="A553" s="1">
        <v>46210.935763888891</v>
      </c>
      <c r="B553" t="s">
        <v>40</v>
      </c>
      <c r="C553" t="s">
        <v>41</v>
      </c>
      <c r="D553" s="1">
        <v>46210.938587962963</v>
      </c>
      <c r="E553" t="s">
        <v>42</v>
      </c>
      <c r="F553" t="s">
        <v>83</v>
      </c>
      <c r="G553">
        <v>0</v>
      </c>
      <c r="H553">
        <v>33206</v>
      </c>
      <c r="I553" t="s">
        <v>270</v>
      </c>
      <c r="J553">
        <v>35</v>
      </c>
      <c r="K553">
        <v>2</v>
      </c>
      <c r="L553">
        <v>98</v>
      </c>
      <c r="M553">
        <v>630.70001220999995</v>
      </c>
      <c r="N553" t="s">
        <v>81</v>
      </c>
      <c r="O553" t="s">
        <v>86</v>
      </c>
      <c r="P553">
        <v>125</v>
      </c>
      <c r="Q553">
        <v>2</v>
      </c>
      <c r="R553">
        <v>0</v>
      </c>
      <c r="S553">
        <v>0</v>
      </c>
      <c r="T553">
        <v>-40</v>
      </c>
      <c r="U553">
        <v>35</v>
      </c>
      <c r="V553">
        <v>0</v>
      </c>
      <c r="W553">
        <v>30</v>
      </c>
      <c r="X553">
        <v>30</v>
      </c>
      <c r="Y553">
        <v>1</v>
      </c>
      <c r="Z553">
        <v>9</v>
      </c>
      <c r="AA553">
        <v>26</v>
      </c>
      <c r="AB553">
        <v>6</v>
      </c>
      <c r="AC553">
        <v>5</v>
      </c>
      <c r="AD553">
        <v>3.28900003</v>
      </c>
      <c r="AE553">
        <v>1</v>
      </c>
      <c r="AF553">
        <v>1</v>
      </c>
      <c r="AG553">
        <v>3.2869999399999998</v>
      </c>
      <c r="AH553">
        <v>2</v>
      </c>
      <c r="AI553">
        <v>3</v>
      </c>
      <c r="AJ553">
        <v>1</v>
      </c>
      <c r="AK553">
        <v>17</v>
      </c>
      <c r="AL553">
        <v>32</v>
      </c>
      <c r="AM553" t="s">
        <v>43</v>
      </c>
      <c r="AN553" t="str">
        <f>HYPERLINK("https://www.google.com/maps?q=11.0547657,79.06083679","Open Location")</f>
        <v>Open Location</v>
      </c>
    </row>
    <row r="554" spans="1:40" x14ac:dyDescent="0.3">
      <c r="A554" s="1">
        <v>46210.935648148145</v>
      </c>
      <c r="B554" t="s">
        <v>40</v>
      </c>
      <c r="C554" t="s">
        <v>41</v>
      </c>
      <c r="D554" s="1">
        <v>46210.938599537039</v>
      </c>
      <c r="E554" t="s">
        <v>42</v>
      </c>
      <c r="F554" t="s">
        <v>83</v>
      </c>
      <c r="G554">
        <v>0</v>
      </c>
      <c r="H554">
        <v>33206</v>
      </c>
      <c r="I554" t="s">
        <v>271</v>
      </c>
      <c r="J554">
        <v>35</v>
      </c>
      <c r="K554">
        <v>2</v>
      </c>
      <c r="L554">
        <v>98</v>
      </c>
      <c r="M554">
        <v>630.79998779000005</v>
      </c>
      <c r="N554" t="s">
        <v>81</v>
      </c>
      <c r="O554" t="s">
        <v>86</v>
      </c>
      <c r="P554">
        <v>125</v>
      </c>
      <c r="Q554">
        <v>2</v>
      </c>
      <c r="R554">
        <v>0</v>
      </c>
      <c r="S554">
        <v>0</v>
      </c>
      <c r="T554">
        <v>-40</v>
      </c>
      <c r="U554">
        <v>35</v>
      </c>
      <c r="V554">
        <v>0</v>
      </c>
      <c r="W554">
        <v>30</v>
      </c>
      <c r="X554">
        <v>30</v>
      </c>
      <c r="Y554">
        <v>1</v>
      </c>
      <c r="Z554">
        <v>9</v>
      </c>
      <c r="AA554">
        <v>26</v>
      </c>
      <c r="AB554">
        <v>6</v>
      </c>
      <c r="AC554">
        <v>5</v>
      </c>
      <c r="AD554">
        <v>3.28900003</v>
      </c>
      <c r="AE554">
        <v>1</v>
      </c>
      <c r="AF554">
        <v>1</v>
      </c>
      <c r="AG554">
        <v>3.2869999399999998</v>
      </c>
      <c r="AH554">
        <v>2</v>
      </c>
      <c r="AI554">
        <v>3</v>
      </c>
      <c r="AJ554">
        <v>1</v>
      </c>
      <c r="AK554">
        <v>17</v>
      </c>
      <c r="AL554">
        <v>31</v>
      </c>
      <c r="AM554" t="s">
        <v>43</v>
      </c>
      <c r="AN554" t="str">
        <f>HYPERLINK("https://www.google.com/maps?q=11.05476761,79.06083679","Open Location")</f>
        <v>Open Location</v>
      </c>
    </row>
    <row r="555" spans="1:40" x14ac:dyDescent="0.3">
      <c r="A555" s="1">
        <v>46210.935532407406</v>
      </c>
      <c r="B555" t="s">
        <v>40</v>
      </c>
      <c r="C555" t="s">
        <v>41</v>
      </c>
      <c r="D555" s="1">
        <v>46210.938437500001</v>
      </c>
      <c r="E555" t="s">
        <v>42</v>
      </c>
      <c r="F555" t="s">
        <v>83</v>
      </c>
      <c r="G555">
        <v>0</v>
      </c>
      <c r="H555">
        <v>33206</v>
      </c>
      <c r="I555" t="s">
        <v>272</v>
      </c>
      <c r="J555">
        <v>35</v>
      </c>
      <c r="K555">
        <v>2</v>
      </c>
      <c r="L555">
        <v>98</v>
      </c>
      <c r="M555">
        <v>630.79998779000005</v>
      </c>
      <c r="N555" t="s">
        <v>81</v>
      </c>
      <c r="O555" t="s">
        <v>86</v>
      </c>
      <c r="P555">
        <v>125</v>
      </c>
      <c r="Q555">
        <v>2</v>
      </c>
      <c r="R555">
        <v>0</v>
      </c>
      <c r="S555">
        <v>0</v>
      </c>
      <c r="T555">
        <v>-40</v>
      </c>
      <c r="U555">
        <v>35</v>
      </c>
      <c r="V555">
        <v>0</v>
      </c>
      <c r="W555">
        <v>30</v>
      </c>
      <c r="X555">
        <v>30</v>
      </c>
      <c r="Y555">
        <v>1</v>
      </c>
      <c r="Z555">
        <v>9</v>
      </c>
      <c r="AA555">
        <v>26</v>
      </c>
      <c r="AB555">
        <v>6</v>
      </c>
      <c r="AC555">
        <v>5</v>
      </c>
      <c r="AD555">
        <v>3.28900003</v>
      </c>
      <c r="AE555">
        <v>1</v>
      </c>
      <c r="AF555">
        <v>1</v>
      </c>
      <c r="AG555">
        <v>3.2869999399999998</v>
      </c>
      <c r="AH555">
        <v>2</v>
      </c>
      <c r="AI555">
        <v>3</v>
      </c>
      <c r="AJ555">
        <v>1</v>
      </c>
      <c r="AK555">
        <v>17</v>
      </c>
      <c r="AL555">
        <v>31</v>
      </c>
      <c r="AM555" t="s">
        <v>43</v>
      </c>
      <c r="AN555" t="str">
        <f>HYPERLINK("https://www.google.com/maps?q=11.0547657,79.06084442","Open Location")</f>
        <v>Open Location</v>
      </c>
    </row>
    <row r="556" spans="1:40" x14ac:dyDescent="0.3">
      <c r="A556" s="1">
        <v>46210.935416666667</v>
      </c>
      <c r="B556" t="s">
        <v>40</v>
      </c>
      <c r="C556" t="s">
        <v>41</v>
      </c>
      <c r="D556" s="1">
        <v>46210.938425925924</v>
      </c>
      <c r="E556" t="s">
        <v>42</v>
      </c>
      <c r="F556" t="s">
        <v>83</v>
      </c>
      <c r="G556">
        <v>0</v>
      </c>
      <c r="H556">
        <v>33206</v>
      </c>
      <c r="I556" t="s">
        <v>273</v>
      </c>
      <c r="J556">
        <v>35</v>
      </c>
      <c r="K556">
        <v>2</v>
      </c>
      <c r="L556">
        <v>98</v>
      </c>
      <c r="M556">
        <v>630.90002441000001</v>
      </c>
      <c r="N556" t="s">
        <v>81</v>
      </c>
      <c r="O556" t="s">
        <v>86</v>
      </c>
      <c r="P556">
        <v>125</v>
      </c>
      <c r="Q556">
        <v>2</v>
      </c>
      <c r="R556">
        <v>0</v>
      </c>
      <c r="S556">
        <v>0</v>
      </c>
      <c r="T556">
        <v>-40</v>
      </c>
      <c r="U556">
        <v>35</v>
      </c>
      <c r="V556">
        <v>0</v>
      </c>
      <c r="W556" t="s">
        <v>43</v>
      </c>
      <c r="X556" t="s">
        <v>43</v>
      </c>
      <c r="Y556" t="s">
        <v>43</v>
      </c>
      <c r="Z556" t="s">
        <v>43</v>
      </c>
      <c r="AA556" t="s">
        <v>43</v>
      </c>
      <c r="AB556" t="s">
        <v>43</v>
      </c>
      <c r="AC556" t="s">
        <v>43</v>
      </c>
      <c r="AD556" t="s">
        <v>43</v>
      </c>
      <c r="AE556" t="s">
        <v>43</v>
      </c>
      <c r="AF556" t="s">
        <v>43</v>
      </c>
      <c r="AG556" t="s">
        <v>43</v>
      </c>
      <c r="AH556" t="s">
        <v>43</v>
      </c>
      <c r="AI556" t="s">
        <v>43</v>
      </c>
      <c r="AJ556">
        <v>1</v>
      </c>
      <c r="AK556">
        <v>18</v>
      </c>
      <c r="AL556">
        <v>31</v>
      </c>
      <c r="AM556" t="s">
        <v>43</v>
      </c>
      <c r="AN556" t="str">
        <f>HYPERLINK("https://www.google.com/maps?q=11.05476665,79.06085968","Open Location")</f>
        <v>Open Location</v>
      </c>
    </row>
    <row r="557" spans="1:40" x14ac:dyDescent="0.3">
      <c r="A557" s="1">
        <v>46210.935300925928</v>
      </c>
      <c r="B557" t="s">
        <v>40</v>
      </c>
      <c r="C557" t="s">
        <v>41</v>
      </c>
      <c r="D557" s="1">
        <v>46210.938078703701</v>
      </c>
      <c r="E557" t="s">
        <v>42</v>
      </c>
      <c r="F557" t="s">
        <v>83</v>
      </c>
      <c r="G557">
        <v>0</v>
      </c>
      <c r="H557">
        <v>33206</v>
      </c>
      <c r="I557" t="s">
        <v>258</v>
      </c>
      <c r="J557">
        <v>35</v>
      </c>
      <c r="K557">
        <v>2</v>
      </c>
      <c r="L557">
        <v>98</v>
      </c>
      <c r="M557">
        <v>630.70001220999995</v>
      </c>
      <c r="N557" t="s">
        <v>81</v>
      </c>
      <c r="O557" t="s">
        <v>86</v>
      </c>
      <c r="P557">
        <v>125</v>
      </c>
      <c r="Q557">
        <v>2</v>
      </c>
      <c r="R557">
        <v>0</v>
      </c>
      <c r="S557">
        <v>0</v>
      </c>
      <c r="T557">
        <v>-40</v>
      </c>
      <c r="U557">
        <v>35</v>
      </c>
      <c r="V557">
        <v>0</v>
      </c>
      <c r="W557">
        <v>30</v>
      </c>
      <c r="X557">
        <v>30</v>
      </c>
      <c r="Y557">
        <v>1</v>
      </c>
      <c r="Z557">
        <v>9</v>
      </c>
      <c r="AA557">
        <v>26</v>
      </c>
      <c r="AB557">
        <v>6</v>
      </c>
      <c r="AC557">
        <v>5</v>
      </c>
      <c r="AD557">
        <v>3.28900003</v>
      </c>
      <c r="AE557">
        <v>1</v>
      </c>
      <c r="AF557">
        <v>1</v>
      </c>
      <c r="AG557">
        <v>3.2869999399999998</v>
      </c>
      <c r="AH557">
        <v>2</v>
      </c>
      <c r="AI557">
        <v>3</v>
      </c>
      <c r="AJ557">
        <v>1</v>
      </c>
      <c r="AK557">
        <v>18</v>
      </c>
      <c r="AL557">
        <v>31</v>
      </c>
      <c r="AM557" t="s">
        <v>43</v>
      </c>
      <c r="AN557" t="str">
        <f>HYPERLINK("https://www.google.com/maps?q=11.05476761,79.06084442","Open Location")</f>
        <v>Open Location</v>
      </c>
    </row>
    <row r="558" spans="1:40" x14ac:dyDescent="0.3">
      <c r="A558" s="1">
        <v>46210.935185185182</v>
      </c>
      <c r="B558" t="s">
        <v>40</v>
      </c>
      <c r="C558" t="s">
        <v>41</v>
      </c>
      <c r="D558" s="1">
        <v>46210.938078703701</v>
      </c>
      <c r="E558" t="s">
        <v>42</v>
      </c>
      <c r="F558" t="s">
        <v>83</v>
      </c>
      <c r="G558">
        <v>0</v>
      </c>
      <c r="H558">
        <v>33206</v>
      </c>
      <c r="I558" t="s">
        <v>43</v>
      </c>
      <c r="J558">
        <v>35</v>
      </c>
      <c r="K558">
        <v>2</v>
      </c>
      <c r="L558">
        <v>98</v>
      </c>
      <c r="M558">
        <v>630.90002441000001</v>
      </c>
      <c r="N558" t="s">
        <v>81</v>
      </c>
      <c r="O558" t="s">
        <v>86</v>
      </c>
      <c r="P558">
        <v>125</v>
      </c>
      <c r="Q558">
        <v>2</v>
      </c>
      <c r="R558">
        <v>0</v>
      </c>
      <c r="S558">
        <v>0</v>
      </c>
      <c r="T558">
        <v>-40</v>
      </c>
      <c r="U558">
        <v>35</v>
      </c>
      <c r="V558">
        <v>0</v>
      </c>
      <c r="W558" t="s">
        <v>43</v>
      </c>
      <c r="X558" t="s">
        <v>43</v>
      </c>
      <c r="Y558" t="s">
        <v>43</v>
      </c>
      <c r="Z558" t="s">
        <v>43</v>
      </c>
      <c r="AA558" t="s">
        <v>43</v>
      </c>
      <c r="AB558" t="s">
        <v>43</v>
      </c>
      <c r="AC558" t="s">
        <v>43</v>
      </c>
      <c r="AD558" t="s">
        <v>43</v>
      </c>
      <c r="AE558" t="s">
        <v>43</v>
      </c>
      <c r="AF558" t="s">
        <v>43</v>
      </c>
      <c r="AG558" t="s">
        <v>43</v>
      </c>
      <c r="AH558" t="s">
        <v>43</v>
      </c>
      <c r="AI558" t="s">
        <v>43</v>
      </c>
      <c r="AJ558">
        <v>1</v>
      </c>
      <c r="AK558">
        <v>18</v>
      </c>
      <c r="AL558">
        <v>31</v>
      </c>
      <c r="AM558" t="s">
        <v>43</v>
      </c>
      <c r="AN558" t="s">
        <v>43</v>
      </c>
    </row>
    <row r="559" spans="1:40" x14ac:dyDescent="0.3">
      <c r="A559" s="1">
        <v>46210.935069444444</v>
      </c>
      <c r="B559" t="s">
        <v>40</v>
      </c>
      <c r="C559" t="s">
        <v>41</v>
      </c>
      <c r="D559" s="1">
        <v>46210.937777777777</v>
      </c>
      <c r="E559" t="s">
        <v>42</v>
      </c>
      <c r="F559" t="s">
        <v>83</v>
      </c>
      <c r="G559">
        <v>0</v>
      </c>
      <c r="H559">
        <v>33206</v>
      </c>
      <c r="I559" t="s">
        <v>274</v>
      </c>
      <c r="J559">
        <v>35</v>
      </c>
      <c r="K559">
        <v>2</v>
      </c>
      <c r="L559">
        <v>98</v>
      </c>
      <c r="M559">
        <v>630.79998779000005</v>
      </c>
      <c r="N559" t="s">
        <v>81</v>
      </c>
      <c r="O559" t="s">
        <v>86</v>
      </c>
      <c r="P559">
        <v>125</v>
      </c>
      <c r="Q559">
        <v>2</v>
      </c>
      <c r="R559">
        <v>0</v>
      </c>
      <c r="S559">
        <v>0</v>
      </c>
      <c r="T559">
        <v>-40</v>
      </c>
      <c r="U559">
        <v>35</v>
      </c>
      <c r="V559">
        <v>0</v>
      </c>
      <c r="W559">
        <v>30</v>
      </c>
      <c r="X559">
        <v>30</v>
      </c>
      <c r="Y559">
        <v>1</v>
      </c>
      <c r="Z559">
        <v>9</v>
      </c>
      <c r="AA559">
        <v>26</v>
      </c>
      <c r="AB559">
        <v>6</v>
      </c>
      <c r="AC559">
        <v>5</v>
      </c>
      <c r="AD559">
        <v>3.28900003</v>
      </c>
      <c r="AE559">
        <v>1</v>
      </c>
      <c r="AF559">
        <v>1</v>
      </c>
      <c r="AG559">
        <v>3.2869999399999998</v>
      </c>
      <c r="AH559">
        <v>2</v>
      </c>
      <c r="AI559">
        <v>3</v>
      </c>
      <c r="AJ559">
        <v>1</v>
      </c>
      <c r="AK559">
        <v>18</v>
      </c>
      <c r="AL559">
        <v>31</v>
      </c>
      <c r="AM559" t="s">
        <v>43</v>
      </c>
      <c r="AN559" t="str">
        <f>HYPERLINK("https://www.google.com/maps?q=11.05476665,79.06084442","Open Location")</f>
        <v>Open Location</v>
      </c>
    </row>
    <row r="560" spans="1:40" x14ac:dyDescent="0.3">
      <c r="A560" s="1">
        <v>46210.934953703705</v>
      </c>
      <c r="B560" t="s">
        <v>40</v>
      </c>
      <c r="C560" t="s">
        <v>41</v>
      </c>
      <c r="D560" s="1">
        <v>46210.937777777777</v>
      </c>
      <c r="E560" t="s">
        <v>42</v>
      </c>
      <c r="F560" t="s">
        <v>83</v>
      </c>
      <c r="G560">
        <v>0</v>
      </c>
      <c r="H560" t="s">
        <v>43</v>
      </c>
      <c r="I560" t="s">
        <v>274</v>
      </c>
      <c r="J560">
        <v>35</v>
      </c>
      <c r="K560">
        <v>2</v>
      </c>
      <c r="L560">
        <v>98</v>
      </c>
      <c r="M560">
        <v>630.79998779000005</v>
      </c>
      <c r="N560" t="s">
        <v>81</v>
      </c>
      <c r="O560" t="s">
        <v>86</v>
      </c>
      <c r="P560">
        <v>125</v>
      </c>
      <c r="Q560">
        <v>2</v>
      </c>
      <c r="R560">
        <v>0</v>
      </c>
      <c r="S560">
        <v>0</v>
      </c>
      <c r="T560">
        <v>-40</v>
      </c>
      <c r="U560">
        <v>35</v>
      </c>
      <c r="V560">
        <v>0</v>
      </c>
      <c r="W560">
        <v>30</v>
      </c>
      <c r="X560">
        <v>30</v>
      </c>
      <c r="Y560">
        <v>1</v>
      </c>
      <c r="Z560">
        <v>9</v>
      </c>
      <c r="AA560">
        <v>26</v>
      </c>
      <c r="AB560">
        <v>6</v>
      </c>
      <c r="AC560">
        <v>5</v>
      </c>
      <c r="AD560" t="s">
        <v>43</v>
      </c>
      <c r="AE560" t="s">
        <v>43</v>
      </c>
      <c r="AF560" t="s">
        <v>43</v>
      </c>
      <c r="AG560" t="s">
        <v>43</v>
      </c>
      <c r="AH560" t="s">
        <v>43</v>
      </c>
      <c r="AI560" t="s">
        <v>43</v>
      </c>
      <c r="AJ560">
        <v>1</v>
      </c>
      <c r="AK560">
        <v>19</v>
      </c>
      <c r="AL560">
        <v>31</v>
      </c>
      <c r="AM560" t="s">
        <v>43</v>
      </c>
      <c r="AN560" t="str">
        <f>HYPERLINK("https://www.google.com/maps?q=11.05476665,79.06084442","Open Location")</f>
        <v>Open Location</v>
      </c>
    </row>
    <row r="561" spans="1:40" x14ac:dyDescent="0.3">
      <c r="A561" s="1">
        <v>46210.934837962966</v>
      </c>
      <c r="B561" t="s">
        <v>40</v>
      </c>
      <c r="C561" t="s">
        <v>41</v>
      </c>
      <c r="D561" s="1">
        <v>46210.937685185185</v>
      </c>
      <c r="E561" t="s">
        <v>42</v>
      </c>
      <c r="F561" t="s">
        <v>83</v>
      </c>
      <c r="G561">
        <v>0</v>
      </c>
      <c r="H561">
        <v>33206</v>
      </c>
      <c r="I561" t="s">
        <v>274</v>
      </c>
      <c r="J561">
        <v>35</v>
      </c>
      <c r="K561">
        <v>2</v>
      </c>
      <c r="L561">
        <v>98</v>
      </c>
      <c r="M561">
        <v>630.70001220999995</v>
      </c>
      <c r="N561" t="s">
        <v>81</v>
      </c>
      <c r="O561" t="s">
        <v>86</v>
      </c>
      <c r="P561">
        <v>125</v>
      </c>
      <c r="Q561">
        <v>2</v>
      </c>
      <c r="R561">
        <v>0</v>
      </c>
      <c r="S561">
        <v>0</v>
      </c>
      <c r="T561">
        <v>-40</v>
      </c>
      <c r="U561">
        <v>35</v>
      </c>
      <c r="V561">
        <v>0</v>
      </c>
      <c r="W561">
        <v>30</v>
      </c>
      <c r="X561">
        <v>30</v>
      </c>
      <c r="Y561">
        <v>1</v>
      </c>
      <c r="Z561">
        <v>9</v>
      </c>
      <c r="AA561">
        <v>26</v>
      </c>
      <c r="AB561">
        <v>6</v>
      </c>
      <c r="AC561">
        <v>5</v>
      </c>
      <c r="AD561">
        <v>3.28900003</v>
      </c>
      <c r="AE561">
        <v>1</v>
      </c>
      <c r="AF561">
        <v>1</v>
      </c>
      <c r="AG561">
        <v>3.2869999399999998</v>
      </c>
      <c r="AH561">
        <v>2</v>
      </c>
      <c r="AI561">
        <v>3</v>
      </c>
      <c r="AJ561">
        <v>1</v>
      </c>
      <c r="AK561">
        <v>19</v>
      </c>
      <c r="AL561">
        <v>31</v>
      </c>
      <c r="AM561" t="s">
        <v>43</v>
      </c>
      <c r="AN561" t="str">
        <f>HYPERLINK("https://www.google.com/maps?q=11.05476665,79.06084442","Open Location")</f>
        <v>Open Location</v>
      </c>
    </row>
    <row r="562" spans="1:40" x14ac:dyDescent="0.3">
      <c r="A562" s="1">
        <v>46210.93472222222</v>
      </c>
      <c r="B562" t="s">
        <v>40</v>
      </c>
      <c r="C562" t="s">
        <v>41</v>
      </c>
      <c r="D562" s="1">
        <v>46210.937488425923</v>
      </c>
      <c r="E562" t="s">
        <v>42</v>
      </c>
      <c r="F562" t="s">
        <v>83</v>
      </c>
      <c r="G562">
        <v>0</v>
      </c>
      <c r="H562" t="s">
        <v>43</v>
      </c>
      <c r="I562" t="s">
        <v>275</v>
      </c>
      <c r="J562">
        <v>35</v>
      </c>
      <c r="K562">
        <v>2</v>
      </c>
      <c r="L562">
        <v>98</v>
      </c>
      <c r="M562">
        <v>630.79998779000005</v>
      </c>
      <c r="N562" t="s">
        <v>81</v>
      </c>
      <c r="O562" t="s">
        <v>86</v>
      </c>
      <c r="P562">
        <v>125</v>
      </c>
      <c r="Q562">
        <v>2</v>
      </c>
      <c r="R562">
        <v>0</v>
      </c>
      <c r="S562">
        <v>0</v>
      </c>
      <c r="T562">
        <v>-40</v>
      </c>
      <c r="U562">
        <v>35</v>
      </c>
      <c r="V562">
        <v>0</v>
      </c>
      <c r="W562" t="s">
        <v>43</v>
      </c>
      <c r="X562" t="s">
        <v>43</v>
      </c>
      <c r="Y562" t="s">
        <v>43</v>
      </c>
      <c r="Z562" t="s">
        <v>43</v>
      </c>
      <c r="AA562" t="s">
        <v>43</v>
      </c>
      <c r="AB562" t="s">
        <v>43</v>
      </c>
      <c r="AC562" t="s">
        <v>43</v>
      </c>
      <c r="AD562" t="s">
        <v>43</v>
      </c>
      <c r="AE562" t="s">
        <v>43</v>
      </c>
      <c r="AF562" t="s">
        <v>43</v>
      </c>
      <c r="AG562" t="s">
        <v>43</v>
      </c>
      <c r="AH562" t="s">
        <v>43</v>
      </c>
      <c r="AI562" t="s">
        <v>43</v>
      </c>
      <c r="AJ562">
        <v>1</v>
      </c>
      <c r="AK562">
        <v>19</v>
      </c>
      <c r="AL562">
        <v>31</v>
      </c>
      <c r="AM562" t="s">
        <v>43</v>
      </c>
      <c r="AN562" t="str">
        <f>HYPERLINK("https://www.google.com/maps?q=11.05476284,79.06084442","Open Location")</f>
        <v>Open Location</v>
      </c>
    </row>
    <row r="563" spans="1:40" x14ac:dyDescent="0.3">
      <c r="A563" s="1">
        <v>46210.934606481482</v>
      </c>
      <c r="B563" t="s">
        <v>40</v>
      </c>
      <c r="C563" t="s">
        <v>41</v>
      </c>
      <c r="D563" s="1">
        <v>46210.9375</v>
      </c>
      <c r="E563" t="s">
        <v>42</v>
      </c>
      <c r="F563" t="s">
        <v>83</v>
      </c>
      <c r="G563">
        <v>0</v>
      </c>
      <c r="H563">
        <v>33206</v>
      </c>
      <c r="I563" t="s">
        <v>275</v>
      </c>
      <c r="J563">
        <v>35</v>
      </c>
      <c r="K563">
        <v>2</v>
      </c>
      <c r="L563">
        <v>98</v>
      </c>
      <c r="M563">
        <v>630.59997558999999</v>
      </c>
      <c r="N563" t="s">
        <v>81</v>
      </c>
      <c r="O563" t="s">
        <v>86</v>
      </c>
      <c r="P563">
        <v>125</v>
      </c>
      <c r="Q563">
        <v>2</v>
      </c>
      <c r="R563">
        <v>0</v>
      </c>
      <c r="S563">
        <v>0</v>
      </c>
      <c r="T563">
        <v>-40</v>
      </c>
      <c r="U563">
        <v>35</v>
      </c>
      <c r="V563">
        <v>0</v>
      </c>
      <c r="W563">
        <v>30</v>
      </c>
      <c r="X563">
        <v>30</v>
      </c>
      <c r="Y563">
        <v>1</v>
      </c>
      <c r="Z563">
        <v>9</v>
      </c>
      <c r="AA563">
        <v>26</v>
      </c>
      <c r="AB563">
        <v>6</v>
      </c>
      <c r="AC563">
        <v>5</v>
      </c>
      <c r="AD563">
        <v>3.28900003</v>
      </c>
      <c r="AE563">
        <v>1</v>
      </c>
      <c r="AF563">
        <v>1</v>
      </c>
      <c r="AG563">
        <v>3.2869999399999998</v>
      </c>
      <c r="AH563">
        <v>2</v>
      </c>
      <c r="AI563">
        <v>3</v>
      </c>
      <c r="AJ563">
        <v>1</v>
      </c>
      <c r="AK563">
        <v>20</v>
      </c>
      <c r="AL563">
        <v>31</v>
      </c>
      <c r="AM563" t="s">
        <v>43</v>
      </c>
      <c r="AN563" t="str">
        <f>HYPERLINK("https://www.google.com/maps?q=11.05476284,79.06084442","Open Location")</f>
        <v>Open Location</v>
      </c>
    </row>
    <row r="564" spans="1:40" x14ac:dyDescent="0.3">
      <c r="A564" s="1">
        <v>46210.934490740743</v>
      </c>
      <c r="B564" t="s">
        <v>40</v>
      </c>
      <c r="C564" t="s">
        <v>41</v>
      </c>
      <c r="D564" s="1">
        <v>46210.937407407408</v>
      </c>
      <c r="E564" t="s">
        <v>42</v>
      </c>
      <c r="F564" t="s">
        <v>83</v>
      </c>
      <c r="G564">
        <v>0</v>
      </c>
      <c r="H564" t="s">
        <v>43</v>
      </c>
      <c r="I564" t="s">
        <v>43</v>
      </c>
      <c r="J564">
        <v>35</v>
      </c>
      <c r="K564">
        <v>2</v>
      </c>
      <c r="L564">
        <v>98</v>
      </c>
      <c r="M564">
        <v>630.70001220999995</v>
      </c>
      <c r="N564" t="s">
        <v>81</v>
      </c>
      <c r="O564" t="s">
        <v>86</v>
      </c>
      <c r="P564">
        <v>125</v>
      </c>
      <c r="Q564">
        <v>2</v>
      </c>
      <c r="R564">
        <v>0</v>
      </c>
      <c r="S564">
        <v>0</v>
      </c>
      <c r="T564">
        <v>-40</v>
      </c>
      <c r="U564">
        <v>35</v>
      </c>
      <c r="V564">
        <v>0</v>
      </c>
      <c r="W564" t="s">
        <v>43</v>
      </c>
      <c r="X564" t="s">
        <v>43</v>
      </c>
      <c r="Y564" t="s">
        <v>43</v>
      </c>
      <c r="Z564" t="s">
        <v>43</v>
      </c>
      <c r="AA564" t="s">
        <v>43</v>
      </c>
      <c r="AB564" t="s">
        <v>43</v>
      </c>
      <c r="AC564" t="s">
        <v>43</v>
      </c>
      <c r="AD564" t="s">
        <v>43</v>
      </c>
      <c r="AE564" t="s">
        <v>43</v>
      </c>
      <c r="AF564" t="s">
        <v>43</v>
      </c>
      <c r="AG564" t="s">
        <v>43</v>
      </c>
      <c r="AH564" t="s">
        <v>43</v>
      </c>
      <c r="AI564" t="s">
        <v>43</v>
      </c>
      <c r="AJ564">
        <v>1</v>
      </c>
      <c r="AK564">
        <v>20</v>
      </c>
      <c r="AL564">
        <v>31</v>
      </c>
      <c r="AM564" t="s">
        <v>43</v>
      </c>
      <c r="AN564" t="s">
        <v>43</v>
      </c>
    </row>
    <row r="565" spans="1:40" x14ac:dyDescent="0.3">
      <c r="A565" s="1">
        <v>46210.934374999997</v>
      </c>
      <c r="B565" t="s">
        <v>40</v>
      </c>
      <c r="C565" t="s">
        <v>41</v>
      </c>
      <c r="D565" s="1">
        <v>46210.937037037038</v>
      </c>
      <c r="E565" t="s">
        <v>42</v>
      </c>
      <c r="F565" t="s">
        <v>83</v>
      </c>
      <c r="G565">
        <v>0</v>
      </c>
      <c r="H565">
        <v>33206</v>
      </c>
      <c r="I565" t="s">
        <v>276</v>
      </c>
      <c r="J565">
        <v>35</v>
      </c>
      <c r="K565">
        <v>2</v>
      </c>
      <c r="L565">
        <v>98</v>
      </c>
      <c r="M565">
        <v>630.70001220999995</v>
      </c>
      <c r="N565" t="s">
        <v>81</v>
      </c>
      <c r="O565" t="s">
        <v>86</v>
      </c>
      <c r="P565">
        <v>125</v>
      </c>
      <c r="Q565">
        <v>2</v>
      </c>
      <c r="R565">
        <v>0</v>
      </c>
      <c r="S565">
        <v>0</v>
      </c>
      <c r="T565">
        <v>-40</v>
      </c>
      <c r="U565">
        <v>35</v>
      </c>
      <c r="V565">
        <v>0</v>
      </c>
      <c r="W565">
        <v>30</v>
      </c>
      <c r="X565">
        <v>30</v>
      </c>
      <c r="Y565">
        <v>1</v>
      </c>
      <c r="Z565">
        <v>9</v>
      </c>
      <c r="AA565">
        <v>26</v>
      </c>
      <c r="AB565">
        <v>6</v>
      </c>
      <c r="AC565">
        <v>5</v>
      </c>
      <c r="AD565">
        <v>3.28900003</v>
      </c>
      <c r="AE565">
        <v>1</v>
      </c>
      <c r="AF565">
        <v>1</v>
      </c>
      <c r="AG565">
        <v>3.2869999399999998</v>
      </c>
      <c r="AH565">
        <v>1</v>
      </c>
      <c r="AI565">
        <v>4</v>
      </c>
      <c r="AJ565">
        <v>1</v>
      </c>
      <c r="AK565">
        <v>21</v>
      </c>
      <c r="AL565">
        <v>31</v>
      </c>
      <c r="AM565" t="s">
        <v>43</v>
      </c>
      <c r="AN565" t="str">
        <f>HYPERLINK("https://www.google.com/maps?q=11.05476189,79.06085968","Open Location")</f>
        <v>Open Location</v>
      </c>
    </row>
    <row r="566" spans="1:40" x14ac:dyDescent="0.3">
      <c r="A566" s="1">
        <v>46210.934259259258</v>
      </c>
      <c r="B566" t="s">
        <v>40</v>
      </c>
      <c r="C566" t="s">
        <v>41</v>
      </c>
      <c r="D566" s="1">
        <v>46210.937314814815</v>
      </c>
      <c r="E566" t="s">
        <v>42</v>
      </c>
      <c r="F566" t="s">
        <v>83</v>
      </c>
      <c r="G566">
        <v>0</v>
      </c>
      <c r="H566">
        <v>33206</v>
      </c>
      <c r="I566" t="s">
        <v>277</v>
      </c>
      <c r="J566">
        <v>35</v>
      </c>
      <c r="K566">
        <v>2</v>
      </c>
      <c r="L566">
        <v>98</v>
      </c>
      <c r="M566">
        <v>630.59997558999999</v>
      </c>
      <c r="N566" t="s">
        <v>81</v>
      </c>
      <c r="O566" t="s">
        <v>86</v>
      </c>
      <c r="P566">
        <v>125</v>
      </c>
      <c r="Q566">
        <v>2</v>
      </c>
      <c r="R566">
        <v>0</v>
      </c>
      <c r="S566">
        <v>0</v>
      </c>
      <c r="T566">
        <v>-40</v>
      </c>
      <c r="U566">
        <v>35</v>
      </c>
      <c r="V566">
        <v>0</v>
      </c>
      <c r="W566">
        <v>30</v>
      </c>
      <c r="X566">
        <v>30</v>
      </c>
      <c r="Y566">
        <v>1</v>
      </c>
      <c r="Z566">
        <v>9</v>
      </c>
      <c r="AA566">
        <v>26</v>
      </c>
      <c r="AB566">
        <v>6</v>
      </c>
      <c r="AC566">
        <v>5</v>
      </c>
      <c r="AD566">
        <v>3.28900003</v>
      </c>
      <c r="AE566">
        <v>1</v>
      </c>
      <c r="AF566">
        <v>16</v>
      </c>
      <c r="AG566">
        <v>3.28600001</v>
      </c>
      <c r="AH566">
        <v>2</v>
      </c>
      <c r="AI566">
        <v>45</v>
      </c>
      <c r="AJ566">
        <v>1</v>
      </c>
      <c r="AK566">
        <v>22</v>
      </c>
      <c r="AL566">
        <v>31</v>
      </c>
      <c r="AM566" t="s">
        <v>43</v>
      </c>
      <c r="AN566" t="str">
        <f>HYPERLINK("https://www.google.com/maps?q=11.05476475,79.06086731","Open Location")</f>
        <v>Open Location</v>
      </c>
    </row>
    <row r="567" spans="1:40" x14ac:dyDescent="0.3">
      <c r="A567" s="1">
        <v>46210.93414351852</v>
      </c>
      <c r="B567" t="s">
        <v>40</v>
      </c>
      <c r="C567" t="s">
        <v>41</v>
      </c>
      <c r="D567" s="1">
        <v>46210.937025462961</v>
      </c>
      <c r="E567" t="s">
        <v>42</v>
      </c>
      <c r="F567" t="s">
        <v>83</v>
      </c>
      <c r="G567">
        <v>0</v>
      </c>
      <c r="H567">
        <v>33206</v>
      </c>
      <c r="I567" t="s">
        <v>43</v>
      </c>
      <c r="J567">
        <v>35</v>
      </c>
      <c r="K567">
        <v>10</v>
      </c>
      <c r="L567">
        <v>98</v>
      </c>
      <c r="M567">
        <v>630.09997558999999</v>
      </c>
      <c r="N567" t="s">
        <v>81</v>
      </c>
      <c r="O567" t="s">
        <v>86</v>
      </c>
      <c r="P567">
        <v>125</v>
      </c>
      <c r="Q567">
        <v>2</v>
      </c>
      <c r="R567">
        <v>0</v>
      </c>
      <c r="S567">
        <v>0</v>
      </c>
      <c r="T567">
        <v>-40</v>
      </c>
      <c r="U567">
        <v>35</v>
      </c>
      <c r="V567">
        <v>0</v>
      </c>
      <c r="W567">
        <v>30</v>
      </c>
      <c r="X567">
        <v>30</v>
      </c>
      <c r="Y567">
        <v>1</v>
      </c>
      <c r="Z567">
        <v>9</v>
      </c>
      <c r="AA567">
        <v>26</v>
      </c>
      <c r="AB567">
        <v>6</v>
      </c>
      <c r="AC567">
        <v>5</v>
      </c>
      <c r="AD567">
        <v>3.28800011</v>
      </c>
      <c r="AE567">
        <v>1</v>
      </c>
      <c r="AF567">
        <v>1</v>
      </c>
      <c r="AG567">
        <v>3.2839999199999999</v>
      </c>
      <c r="AH567">
        <v>5</v>
      </c>
      <c r="AI567">
        <v>10</v>
      </c>
      <c r="AJ567">
        <v>1</v>
      </c>
      <c r="AK567">
        <v>23</v>
      </c>
      <c r="AL567">
        <v>31</v>
      </c>
      <c r="AM567" t="s">
        <v>43</v>
      </c>
      <c r="AN567" t="s">
        <v>43</v>
      </c>
    </row>
    <row r="568" spans="1:40" x14ac:dyDescent="0.3">
      <c r="A568" s="1">
        <v>46210.934027777781</v>
      </c>
      <c r="B568" t="s">
        <v>40</v>
      </c>
      <c r="C568" t="s">
        <v>41</v>
      </c>
      <c r="D568" s="1">
        <v>46210.936608796299</v>
      </c>
      <c r="E568" t="s">
        <v>42</v>
      </c>
      <c r="F568" t="s">
        <v>83</v>
      </c>
      <c r="G568">
        <v>0</v>
      </c>
      <c r="H568">
        <v>33206</v>
      </c>
      <c r="I568" t="s">
        <v>278</v>
      </c>
      <c r="J568">
        <v>35</v>
      </c>
      <c r="K568">
        <v>10</v>
      </c>
      <c r="L568">
        <v>98</v>
      </c>
      <c r="M568">
        <v>630.40002441000001</v>
      </c>
      <c r="N568" t="s">
        <v>81</v>
      </c>
      <c r="O568" t="s">
        <v>86</v>
      </c>
      <c r="P568">
        <v>125</v>
      </c>
      <c r="Q568">
        <v>2</v>
      </c>
      <c r="R568">
        <v>0</v>
      </c>
      <c r="S568">
        <v>0</v>
      </c>
      <c r="T568">
        <v>-40</v>
      </c>
      <c r="U568">
        <v>35</v>
      </c>
      <c r="V568">
        <v>0</v>
      </c>
      <c r="W568" t="s">
        <v>43</v>
      </c>
      <c r="X568" t="s">
        <v>43</v>
      </c>
      <c r="Y568" t="s">
        <v>43</v>
      </c>
      <c r="Z568" t="s">
        <v>43</v>
      </c>
      <c r="AA568" t="s">
        <v>43</v>
      </c>
      <c r="AB568" t="s">
        <v>43</v>
      </c>
      <c r="AC568" t="s">
        <v>43</v>
      </c>
      <c r="AD568" t="s">
        <v>43</v>
      </c>
      <c r="AE568" t="s">
        <v>43</v>
      </c>
      <c r="AF568" t="s">
        <v>43</v>
      </c>
      <c r="AG568" t="s">
        <v>43</v>
      </c>
      <c r="AH568" t="s">
        <v>43</v>
      </c>
      <c r="AI568" t="s">
        <v>43</v>
      </c>
      <c r="AJ568">
        <v>1</v>
      </c>
      <c r="AK568">
        <v>25</v>
      </c>
      <c r="AL568">
        <v>31</v>
      </c>
      <c r="AM568" t="s">
        <v>43</v>
      </c>
      <c r="AN568" t="str">
        <f>HYPERLINK("https://www.google.com/maps?q=11.05476189,79.06086731","Open Location")</f>
        <v>Open Location</v>
      </c>
    </row>
    <row r="569" spans="1:40" x14ac:dyDescent="0.3">
      <c r="A569" s="1">
        <v>46210.933912037035</v>
      </c>
      <c r="B569" t="s">
        <v>40</v>
      </c>
      <c r="C569" t="s">
        <v>41</v>
      </c>
      <c r="D569" s="1">
        <v>46210.936631944445</v>
      </c>
      <c r="E569" t="s">
        <v>42</v>
      </c>
      <c r="F569" t="s">
        <v>83</v>
      </c>
      <c r="G569">
        <v>0</v>
      </c>
      <c r="H569">
        <v>33206</v>
      </c>
      <c r="I569" t="s">
        <v>43</v>
      </c>
      <c r="J569">
        <v>35</v>
      </c>
      <c r="K569">
        <v>10</v>
      </c>
      <c r="L569">
        <v>98</v>
      </c>
      <c r="M569">
        <v>630.40002441000001</v>
      </c>
      <c r="N569" t="s">
        <v>81</v>
      </c>
      <c r="O569" t="s">
        <v>86</v>
      </c>
      <c r="P569">
        <v>125</v>
      </c>
      <c r="Q569">
        <v>2</v>
      </c>
      <c r="R569">
        <v>0</v>
      </c>
      <c r="S569">
        <v>0</v>
      </c>
      <c r="T569">
        <v>-40</v>
      </c>
      <c r="U569">
        <v>35</v>
      </c>
      <c r="V569">
        <v>0</v>
      </c>
      <c r="W569">
        <v>30</v>
      </c>
      <c r="X569">
        <v>30</v>
      </c>
      <c r="Y569">
        <v>1</v>
      </c>
      <c r="Z569">
        <v>9</v>
      </c>
      <c r="AA569">
        <v>26</v>
      </c>
      <c r="AB569">
        <v>6</v>
      </c>
      <c r="AC569">
        <v>5</v>
      </c>
      <c r="AD569">
        <v>3.28800011</v>
      </c>
      <c r="AE569">
        <v>1</v>
      </c>
      <c r="AF569">
        <v>16</v>
      </c>
      <c r="AG569">
        <v>3.2839999199999999</v>
      </c>
      <c r="AH569">
        <v>2</v>
      </c>
      <c r="AI569">
        <v>38</v>
      </c>
      <c r="AJ569">
        <v>1</v>
      </c>
      <c r="AK569">
        <v>29</v>
      </c>
      <c r="AL569">
        <v>31</v>
      </c>
      <c r="AM569" t="s">
        <v>43</v>
      </c>
      <c r="AN569" t="s">
        <v>43</v>
      </c>
    </row>
    <row r="570" spans="1:40" x14ac:dyDescent="0.3">
      <c r="A570" s="1">
        <v>46210.933796296296</v>
      </c>
      <c r="B570" t="s">
        <v>40</v>
      </c>
      <c r="C570" t="s">
        <v>41</v>
      </c>
      <c r="D570" s="1">
        <v>46210.936655092592</v>
      </c>
      <c r="E570" t="s">
        <v>42</v>
      </c>
      <c r="F570" t="s">
        <v>83</v>
      </c>
      <c r="G570">
        <v>0</v>
      </c>
      <c r="H570" t="s">
        <v>43</v>
      </c>
      <c r="I570" t="s">
        <v>43</v>
      </c>
      <c r="J570">
        <v>35</v>
      </c>
      <c r="K570">
        <v>10</v>
      </c>
      <c r="L570">
        <v>98</v>
      </c>
      <c r="M570">
        <v>630.79998779000005</v>
      </c>
      <c r="N570" t="s">
        <v>81</v>
      </c>
      <c r="O570" t="s">
        <v>86</v>
      </c>
      <c r="P570">
        <v>125</v>
      </c>
      <c r="Q570">
        <v>2</v>
      </c>
      <c r="R570">
        <v>0</v>
      </c>
      <c r="S570">
        <v>0</v>
      </c>
      <c r="T570">
        <v>-40</v>
      </c>
      <c r="U570">
        <v>35</v>
      </c>
      <c r="V570">
        <v>0</v>
      </c>
      <c r="W570" t="s">
        <v>43</v>
      </c>
      <c r="X570" t="s">
        <v>43</v>
      </c>
      <c r="Y570" t="s">
        <v>43</v>
      </c>
      <c r="Z570" t="s">
        <v>43</v>
      </c>
      <c r="AA570" t="s">
        <v>43</v>
      </c>
      <c r="AB570" t="s">
        <v>43</v>
      </c>
      <c r="AC570" t="s">
        <v>43</v>
      </c>
      <c r="AD570" t="s">
        <v>43</v>
      </c>
      <c r="AE570" t="s">
        <v>43</v>
      </c>
      <c r="AF570" t="s">
        <v>43</v>
      </c>
      <c r="AG570" t="s">
        <v>43</v>
      </c>
      <c r="AH570" t="s">
        <v>43</v>
      </c>
      <c r="AI570" t="s">
        <v>43</v>
      </c>
      <c r="AJ570">
        <v>2</v>
      </c>
      <c r="AK570">
        <v>37</v>
      </c>
      <c r="AL570">
        <v>31</v>
      </c>
      <c r="AM570" t="s">
        <v>43</v>
      </c>
      <c r="AN570" t="s">
        <v>43</v>
      </c>
    </row>
    <row r="571" spans="1:40" x14ac:dyDescent="0.3">
      <c r="A571" s="1">
        <v>46210.933680555558</v>
      </c>
      <c r="B571" t="s">
        <v>40</v>
      </c>
      <c r="C571" t="s">
        <v>41</v>
      </c>
      <c r="D571" s="1">
        <v>46210.93644675926</v>
      </c>
      <c r="E571" t="s">
        <v>42</v>
      </c>
      <c r="F571" t="s">
        <v>83</v>
      </c>
      <c r="G571">
        <v>0</v>
      </c>
      <c r="H571">
        <v>33206</v>
      </c>
      <c r="I571" t="s">
        <v>279</v>
      </c>
      <c r="J571">
        <v>35</v>
      </c>
      <c r="K571">
        <v>10</v>
      </c>
      <c r="L571">
        <v>98</v>
      </c>
      <c r="M571">
        <v>630.70001220999995</v>
      </c>
      <c r="N571" t="s">
        <v>81</v>
      </c>
      <c r="O571" t="s">
        <v>86</v>
      </c>
      <c r="P571">
        <v>125</v>
      </c>
      <c r="Q571">
        <v>2</v>
      </c>
      <c r="R571">
        <v>0</v>
      </c>
      <c r="S571">
        <v>0</v>
      </c>
      <c r="T571">
        <v>-40</v>
      </c>
      <c r="U571">
        <v>35</v>
      </c>
      <c r="V571">
        <v>0</v>
      </c>
      <c r="W571">
        <v>30</v>
      </c>
      <c r="X571">
        <v>30</v>
      </c>
      <c r="Y571">
        <v>1</v>
      </c>
      <c r="Z571">
        <v>9</v>
      </c>
      <c r="AA571">
        <v>26</v>
      </c>
      <c r="AB571">
        <v>6</v>
      </c>
      <c r="AC571">
        <v>5</v>
      </c>
      <c r="AD571">
        <v>3.2899999599999998</v>
      </c>
      <c r="AE571">
        <v>1</v>
      </c>
      <c r="AF571">
        <v>1</v>
      </c>
      <c r="AG571">
        <v>3.28800011</v>
      </c>
      <c r="AH571">
        <v>1</v>
      </c>
      <c r="AI571">
        <v>4</v>
      </c>
      <c r="AJ571">
        <v>2</v>
      </c>
      <c r="AK571">
        <v>48</v>
      </c>
      <c r="AL571">
        <v>31</v>
      </c>
      <c r="AM571" t="s">
        <v>43</v>
      </c>
      <c r="AN571" t="str">
        <f>HYPERLINK("https://www.google.com/maps?q=11.05475807,79.06086731","Open Location")</f>
        <v>Open Location</v>
      </c>
    </row>
    <row r="572" spans="1:40" x14ac:dyDescent="0.3">
      <c r="A572" s="1">
        <v>46210.933564814812</v>
      </c>
      <c r="B572" t="s">
        <v>40</v>
      </c>
      <c r="C572" t="s">
        <v>41</v>
      </c>
      <c r="D572" s="1">
        <v>46210.93644675926</v>
      </c>
      <c r="E572" t="s">
        <v>42</v>
      </c>
      <c r="F572" t="s">
        <v>83</v>
      </c>
      <c r="G572">
        <v>0</v>
      </c>
      <c r="H572">
        <v>33206</v>
      </c>
      <c r="I572" t="s">
        <v>280</v>
      </c>
      <c r="J572">
        <v>0</v>
      </c>
      <c r="K572">
        <v>-3200</v>
      </c>
      <c r="L572">
        <v>0</v>
      </c>
      <c r="M572">
        <v>0</v>
      </c>
      <c r="N572" t="s">
        <v>81</v>
      </c>
      <c r="O572" t="s">
        <v>86</v>
      </c>
      <c r="P572">
        <v>125</v>
      </c>
      <c r="Q572" t="s">
        <v>43</v>
      </c>
      <c r="R572">
        <v>0</v>
      </c>
      <c r="S572">
        <v>0</v>
      </c>
      <c r="T572">
        <v>-40</v>
      </c>
      <c r="U572">
        <v>35</v>
      </c>
      <c r="V572">
        <v>0</v>
      </c>
      <c r="W572">
        <v>29</v>
      </c>
      <c r="X572">
        <v>29</v>
      </c>
      <c r="Y572">
        <v>1</v>
      </c>
      <c r="Z572">
        <v>1</v>
      </c>
      <c r="AA572">
        <v>26</v>
      </c>
      <c r="AB572">
        <v>6</v>
      </c>
      <c r="AC572">
        <v>5</v>
      </c>
      <c r="AD572" t="s">
        <v>43</v>
      </c>
      <c r="AE572" t="s">
        <v>43</v>
      </c>
      <c r="AF572" t="s">
        <v>43</v>
      </c>
      <c r="AG572" t="s">
        <v>43</v>
      </c>
      <c r="AH572" t="s">
        <v>43</v>
      </c>
      <c r="AI572" t="s">
        <v>43</v>
      </c>
      <c r="AJ572">
        <v>0</v>
      </c>
      <c r="AK572">
        <v>0</v>
      </c>
      <c r="AL572">
        <v>31</v>
      </c>
      <c r="AM572" t="s">
        <v>43</v>
      </c>
      <c r="AN572" t="str">
        <f>HYPERLINK("https://www.google.com/maps?q=11.05475712,79.06086731","Open Location")</f>
        <v>Open Location</v>
      </c>
    </row>
    <row r="573" spans="1:40" x14ac:dyDescent="0.3">
      <c r="A573" s="1">
        <v>46210.933449074073</v>
      </c>
      <c r="B573" t="s">
        <v>40</v>
      </c>
      <c r="C573" t="s">
        <v>41</v>
      </c>
      <c r="D573" s="1">
        <v>46210.93644675926</v>
      </c>
      <c r="E573" t="s">
        <v>42</v>
      </c>
      <c r="F573" t="s">
        <v>43</v>
      </c>
      <c r="G573" t="s">
        <v>43</v>
      </c>
      <c r="H573" t="s">
        <v>43</v>
      </c>
      <c r="I573" t="s">
        <v>281</v>
      </c>
      <c r="J573" t="s">
        <v>43</v>
      </c>
      <c r="K573" t="s">
        <v>43</v>
      </c>
      <c r="L573" t="s">
        <v>43</v>
      </c>
      <c r="M573" t="s">
        <v>43</v>
      </c>
      <c r="N573" t="s">
        <v>45</v>
      </c>
      <c r="O573" t="s">
        <v>43</v>
      </c>
      <c r="P573" t="s">
        <v>43</v>
      </c>
      <c r="Q573" t="s">
        <v>43</v>
      </c>
      <c r="R573" t="s">
        <v>43</v>
      </c>
      <c r="S573" t="s">
        <v>43</v>
      </c>
      <c r="T573" t="s">
        <v>43</v>
      </c>
      <c r="U573" t="s">
        <v>43</v>
      </c>
      <c r="V573" t="s">
        <v>43</v>
      </c>
      <c r="W573" t="s">
        <v>43</v>
      </c>
      <c r="X573" t="s">
        <v>43</v>
      </c>
      <c r="Y573" t="s">
        <v>43</v>
      </c>
      <c r="Z573" t="s">
        <v>43</v>
      </c>
      <c r="AA573" t="s">
        <v>43</v>
      </c>
      <c r="AB573" t="s">
        <v>43</v>
      </c>
      <c r="AC573" t="s">
        <v>43</v>
      </c>
      <c r="AD573" t="s">
        <v>43</v>
      </c>
      <c r="AE573" t="s">
        <v>43</v>
      </c>
      <c r="AF573" t="s">
        <v>43</v>
      </c>
      <c r="AG573" t="s">
        <v>43</v>
      </c>
      <c r="AH573" t="s">
        <v>43</v>
      </c>
      <c r="AI573" t="s">
        <v>43</v>
      </c>
      <c r="AJ573" t="s">
        <v>43</v>
      </c>
      <c r="AK573" t="s">
        <v>43</v>
      </c>
      <c r="AL573" t="s">
        <v>43</v>
      </c>
      <c r="AM573" t="s">
        <v>43</v>
      </c>
      <c r="AN573" t="str">
        <f>HYPERLINK("https://www.google.com/maps?q=11.05475616,79.06087494","Open Location")</f>
        <v>Open Location</v>
      </c>
    </row>
    <row r="574" spans="1:40" x14ac:dyDescent="0.3">
      <c r="A574" s="1">
        <v>46210.933333333334</v>
      </c>
      <c r="B574" t="s">
        <v>40</v>
      </c>
      <c r="C574" t="s">
        <v>41</v>
      </c>
      <c r="D574" s="1">
        <v>46210.936666666668</v>
      </c>
      <c r="E574" t="s">
        <v>42</v>
      </c>
      <c r="F574" t="s">
        <v>43</v>
      </c>
      <c r="G574" t="s">
        <v>43</v>
      </c>
      <c r="H574" t="s">
        <v>43</v>
      </c>
      <c r="I574" t="s">
        <v>281</v>
      </c>
      <c r="J574" t="s">
        <v>43</v>
      </c>
      <c r="K574" t="s">
        <v>43</v>
      </c>
      <c r="L574" t="s">
        <v>43</v>
      </c>
      <c r="M574" t="s">
        <v>43</v>
      </c>
      <c r="N574" t="s">
        <v>45</v>
      </c>
      <c r="O574" t="s">
        <v>43</v>
      </c>
      <c r="P574" t="s">
        <v>43</v>
      </c>
      <c r="Q574" t="s">
        <v>43</v>
      </c>
      <c r="R574" t="s">
        <v>43</v>
      </c>
      <c r="S574" t="s">
        <v>43</v>
      </c>
      <c r="T574" t="s">
        <v>43</v>
      </c>
      <c r="U574" t="s">
        <v>43</v>
      </c>
      <c r="V574" t="s">
        <v>43</v>
      </c>
      <c r="W574" t="s">
        <v>43</v>
      </c>
      <c r="X574" t="s">
        <v>43</v>
      </c>
      <c r="Y574" t="s">
        <v>43</v>
      </c>
      <c r="Z574" t="s">
        <v>43</v>
      </c>
      <c r="AA574" t="s">
        <v>43</v>
      </c>
      <c r="AB574" t="s">
        <v>43</v>
      </c>
      <c r="AC574" t="s">
        <v>43</v>
      </c>
      <c r="AD574" t="s">
        <v>43</v>
      </c>
      <c r="AE574" t="s">
        <v>43</v>
      </c>
      <c r="AF574" t="s">
        <v>43</v>
      </c>
      <c r="AG574" t="s">
        <v>43</v>
      </c>
      <c r="AH574" t="s">
        <v>43</v>
      </c>
      <c r="AI574" t="s">
        <v>43</v>
      </c>
      <c r="AJ574" t="s">
        <v>43</v>
      </c>
      <c r="AK574" t="s">
        <v>43</v>
      </c>
      <c r="AL574" t="s">
        <v>43</v>
      </c>
      <c r="AM574" t="s">
        <v>43</v>
      </c>
      <c r="AN574" t="str">
        <f>HYPERLINK("https://www.google.com/maps?q=11.05475616,79.06087494","Open Location")</f>
        <v>Open Location</v>
      </c>
    </row>
    <row r="575" spans="1:40" x14ac:dyDescent="0.3">
      <c r="A575" s="1">
        <v>46210.933217592596</v>
      </c>
      <c r="B575" t="s">
        <v>40</v>
      </c>
      <c r="C575" t="s">
        <v>41</v>
      </c>
      <c r="D575" s="1">
        <v>46210.936261574076</v>
      </c>
      <c r="E575" t="s">
        <v>42</v>
      </c>
      <c r="F575" t="s">
        <v>43</v>
      </c>
      <c r="G575" t="s">
        <v>43</v>
      </c>
      <c r="H575" t="s">
        <v>43</v>
      </c>
      <c r="I575" t="s">
        <v>43</v>
      </c>
      <c r="J575" t="s">
        <v>43</v>
      </c>
      <c r="K575" t="s">
        <v>43</v>
      </c>
      <c r="L575" t="s">
        <v>43</v>
      </c>
      <c r="M575" t="s">
        <v>43</v>
      </c>
      <c r="N575" t="s">
        <v>45</v>
      </c>
      <c r="O575" t="s">
        <v>43</v>
      </c>
      <c r="P575" t="s">
        <v>43</v>
      </c>
      <c r="Q575" t="s">
        <v>43</v>
      </c>
      <c r="R575" t="s">
        <v>43</v>
      </c>
      <c r="S575" t="s">
        <v>43</v>
      </c>
      <c r="T575" t="s">
        <v>43</v>
      </c>
      <c r="U575" t="s">
        <v>43</v>
      </c>
      <c r="V575" t="s">
        <v>43</v>
      </c>
      <c r="W575" t="s">
        <v>43</v>
      </c>
      <c r="X575" t="s">
        <v>43</v>
      </c>
      <c r="Y575" t="s">
        <v>43</v>
      </c>
      <c r="Z575" t="s">
        <v>43</v>
      </c>
      <c r="AA575" t="s">
        <v>43</v>
      </c>
      <c r="AB575" t="s">
        <v>43</v>
      </c>
      <c r="AC575" t="s">
        <v>43</v>
      </c>
      <c r="AD575" t="s">
        <v>43</v>
      </c>
      <c r="AE575" t="s">
        <v>43</v>
      </c>
      <c r="AF575" t="s">
        <v>43</v>
      </c>
      <c r="AG575" t="s">
        <v>43</v>
      </c>
      <c r="AH575" t="s">
        <v>43</v>
      </c>
      <c r="AI575" t="s">
        <v>43</v>
      </c>
      <c r="AJ575" t="s">
        <v>43</v>
      </c>
      <c r="AK575" t="s">
        <v>43</v>
      </c>
      <c r="AL575" t="s">
        <v>43</v>
      </c>
      <c r="AM575" t="s">
        <v>43</v>
      </c>
      <c r="AN575" t="s">
        <v>43</v>
      </c>
    </row>
    <row r="576" spans="1:40" x14ac:dyDescent="0.3">
      <c r="A576" s="1">
        <v>46210.93310185185</v>
      </c>
      <c r="B576" t="s">
        <v>40</v>
      </c>
      <c r="C576" t="s">
        <v>41</v>
      </c>
      <c r="D576" s="1">
        <v>46210.936226851853</v>
      </c>
      <c r="E576" t="s">
        <v>42</v>
      </c>
      <c r="F576" t="s">
        <v>43</v>
      </c>
      <c r="G576" t="s">
        <v>43</v>
      </c>
      <c r="H576" t="s">
        <v>43</v>
      </c>
      <c r="I576" t="s">
        <v>282</v>
      </c>
      <c r="J576" t="s">
        <v>43</v>
      </c>
      <c r="K576" t="s">
        <v>43</v>
      </c>
      <c r="L576" t="s">
        <v>43</v>
      </c>
      <c r="M576" t="s">
        <v>43</v>
      </c>
      <c r="N576" t="s">
        <v>45</v>
      </c>
      <c r="O576" t="s">
        <v>43</v>
      </c>
      <c r="P576" t="s">
        <v>43</v>
      </c>
      <c r="Q576" t="s">
        <v>43</v>
      </c>
      <c r="R576" t="s">
        <v>43</v>
      </c>
      <c r="S576" t="s">
        <v>43</v>
      </c>
      <c r="T576" t="s">
        <v>43</v>
      </c>
      <c r="U576" t="s">
        <v>43</v>
      </c>
      <c r="V576" t="s">
        <v>43</v>
      </c>
      <c r="W576" t="s">
        <v>43</v>
      </c>
      <c r="X576" t="s">
        <v>43</v>
      </c>
      <c r="Y576" t="s">
        <v>43</v>
      </c>
      <c r="Z576" t="s">
        <v>43</v>
      </c>
      <c r="AA576" t="s">
        <v>43</v>
      </c>
      <c r="AB576" t="s">
        <v>43</v>
      </c>
      <c r="AC576" t="s">
        <v>43</v>
      </c>
      <c r="AD576" t="s">
        <v>43</v>
      </c>
      <c r="AE576" t="s">
        <v>43</v>
      </c>
      <c r="AF576" t="s">
        <v>43</v>
      </c>
      <c r="AG576" t="s">
        <v>43</v>
      </c>
      <c r="AH576" t="s">
        <v>43</v>
      </c>
      <c r="AI576" t="s">
        <v>43</v>
      </c>
      <c r="AJ576" t="s">
        <v>43</v>
      </c>
      <c r="AK576" t="s">
        <v>43</v>
      </c>
      <c r="AL576" t="s">
        <v>43</v>
      </c>
      <c r="AM576" t="s">
        <v>43</v>
      </c>
      <c r="AN576" t="str">
        <f>HYPERLINK("https://www.google.com/maps?q=11.05475521,79.06086731","Open Location")</f>
        <v>Open Location</v>
      </c>
    </row>
    <row r="577" spans="1:40" x14ac:dyDescent="0.3">
      <c r="A577" s="1">
        <v>46210.932986111111</v>
      </c>
      <c r="B577" t="s">
        <v>40</v>
      </c>
      <c r="C577" t="s">
        <v>41</v>
      </c>
      <c r="D577" s="1">
        <v>46210.935810185183</v>
      </c>
      <c r="E577" t="s">
        <v>42</v>
      </c>
      <c r="F577" t="s">
        <v>43</v>
      </c>
      <c r="G577" t="s">
        <v>43</v>
      </c>
      <c r="H577" t="s">
        <v>43</v>
      </c>
      <c r="I577" t="s">
        <v>283</v>
      </c>
      <c r="J577" t="s">
        <v>43</v>
      </c>
      <c r="K577" t="s">
        <v>43</v>
      </c>
      <c r="L577" t="s">
        <v>43</v>
      </c>
      <c r="M577" t="s">
        <v>43</v>
      </c>
      <c r="N577" t="s">
        <v>45</v>
      </c>
      <c r="O577" t="s">
        <v>43</v>
      </c>
      <c r="P577" t="s">
        <v>43</v>
      </c>
      <c r="Q577" t="s">
        <v>43</v>
      </c>
      <c r="R577" t="s">
        <v>43</v>
      </c>
      <c r="S577" t="s">
        <v>43</v>
      </c>
      <c r="T577" t="s">
        <v>43</v>
      </c>
      <c r="U577" t="s">
        <v>43</v>
      </c>
      <c r="V577" t="s">
        <v>43</v>
      </c>
      <c r="W577" t="s">
        <v>43</v>
      </c>
      <c r="X577" t="s">
        <v>43</v>
      </c>
      <c r="Y577" t="s">
        <v>43</v>
      </c>
      <c r="Z577" t="s">
        <v>43</v>
      </c>
      <c r="AA577" t="s">
        <v>43</v>
      </c>
      <c r="AB577" t="s">
        <v>43</v>
      </c>
      <c r="AC577" t="s">
        <v>43</v>
      </c>
      <c r="AD577" t="s">
        <v>43</v>
      </c>
      <c r="AE577" t="s">
        <v>43</v>
      </c>
      <c r="AF577" t="s">
        <v>43</v>
      </c>
      <c r="AG577" t="s">
        <v>43</v>
      </c>
      <c r="AH577" t="s">
        <v>43</v>
      </c>
      <c r="AI577" t="s">
        <v>43</v>
      </c>
      <c r="AJ577" t="s">
        <v>43</v>
      </c>
      <c r="AK577" t="s">
        <v>43</v>
      </c>
      <c r="AL577" t="s">
        <v>43</v>
      </c>
      <c r="AM577" t="s">
        <v>43</v>
      </c>
      <c r="AN577" t="str">
        <f>HYPERLINK("https://www.google.com/maps?q=11.05475903,79.06086731","Open Location")</f>
        <v>Open Location</v>
      </c>
    </row>
    <row r="578" spans="1:40" x14ac:dyDescent="0.3">
      <c r="A578" s="1">
        <v>46210.932870370372</v>
      </c>
      <c r="B578" t="s">
        <v>40</v>
      </c>
      <c r="C578" t="s">
        <v>41</v>
      </c>
      <c r="D578" s="1">
        <v>46210.93577546296</v>
      </c>
      <c r="E578" t="s">
        <v>42</v>
      </c>
      <c r="F578" t="s">
        <v>43</v>
      </c>
      <c r="G578" t="s">
        <v>43</v>
      </c>
      <c r="H578" t="s">
        <v>43</v>
      </c>
      <c r="I578" t="s">
        <v>284</v>
      </c>
      <c r="J578" t="s">
        <v>43</v>
      </c>
      <c r="K578" t="s">
        <v>43</v>
      </c>
      <c r="L578" t="s">
        <v>43</v>
      </c>
      <c r="M578" t="s">
        <v>43</v>
      </c>
      <c r="N578" t="s">
        <v>45</v>
      </c>
      <c r="O578" t="s">
        <v>43</v>
      </c>
      <c r="P578" t="s">
        <v>43</v>
      </c>
      <c r="Q578" t="s">
        <v>43</v>
      </c>
      <c r="R578" t="s">
        <v>43</v>
      </c>
      <c r="S578" t="s">
        <v>43</v>
      </c>
      <c r="T578" t="s">
        <v>43</v>
      </c>
      <c r="U578" t="s">
        <v>43</v>
      </c>
      <c r="V578" t="s">
        <v>43</v>
      </c>
      <c r="W578" t="s">
        <v>43</v>
      </c>
      <c r="X578" t="s">
        <v>43</v>
      </c>
      <c r="Y578" t="s">
        <v>43</v>
      </c>
      <c r="Z578" t="s">
        <v>43</v>
      </c>
      <c r="AA578" t="s">
        <v>43</v>
      </c>
      <c r="AB578" t="s">
        <v>43</v>
      </c>
      <c r="AC578" t="s">
        <v>43</v>
      </c>
      <c r="AD578" t="s">
        <v>43</v>
      </c>
      <c r="AE578" t="s">
        <v>43</v>
      </c>
      <c r="AF578" t="s">
        <v>43</v>
      </c>
      <c r="AG578" t="s">
        <v>43</v>
      </c>
      <c r="AH578" t="s">
        <v>43</v>
      </c>
      <c r="AI578" t="s">
        <v>43</v>
      </c>
      <c r="AJ578" t="s">
        <v>43</v>
      </c>
      <c r="AK578" t="s">
        <v>43</v>
      </c>
      <c r="AL578" t="s">
        <v>43</v>
      </c>
      <c r="AM578" t="s">
        <v>43</v>
      </c>
      <c r="AN578" t="str">
        <f>HYPERLINK("https://www.google.com/maps?q=11.05476284,79.06087494","Open Location")</f>
        <v>Open Location</v>
      </c>
    </row>
    <row r="579" spans="1:40" x14ac:dyDescent="0.3">
      <c r="A579" s="1">
        <v>46210.932754629626</v>
      </c>
      <c r="B579" t="s">
        <v>40</v>
      </c>
      <c r="C579" t="s">
        <v>41</v>
      </c>
      <c r="D579" s="1">
        <v>46210.935752314814</v>
      </c>
      <c r="E579" t="s">
        <v>42</v>
      </c>
      <c r="F579" t="s">
        <v>43</v>
      </c>
      <c r="G579" t="s">
        <v>43</v>
      </c>
      <c r="H579" t="s">
        <v>43</v>
      </c>
      <c r="I579" t="s">
        <v>285</v>
      </c>
      <c r="J579" t="s">
        <v>43</v>
      </c>
      <c r="K579" t="s">
        <v>43</v>
      </c>
      <c r="L579" t="s">
        <v>43</v>
      </c>
      <c r="M579" t="s">
        <v>43</v>
      </c>
      <c r="N579" t="s">
        <v>45</v>
      </c>
      <c r="O579" t="s">
        <v>43</v>
      </c>
      <c r="P579" t="s">
        <v>43</v>
      </c>
      <c r="Q579" t="s">
        <v>43</v>
      </c>
      <c r="R579" t="s">
        <v>43</v>
      </c>
      <c r="S579" t="s">
        <v>43</v>
      </c>
      <c r="T579" t="s">
        <v>43</v>
      </c>
      <c r="U579" t="s">
        <v>43</v>
      </c>
      <c r="V579" t="s">
        <v>43</v>
      </c>
      <c r="W579" t="s">
        <v>43</v>
      </c>
      <c r="X579" t="s">
        <v>43</v>
      </c>
      <c r="Y579" t="s">
        <v>43</v>
      </c>
      <c r="Z579" t="s">
        <v>43</v>
      </c>
      <c r="AA579" t="s">
        <v>43</v>
      </c>
      <c r="AB579" t="s">
        <v>43</v>
      </c>
      <c r="AC579" t="s">
        <v>43</v>
      </c>
      <c r="AD579" t="s">
        <v>43</v>
      </c>
      <c r="AE579" t="s">
        <v>43</v>
      </c>
      <c r="AF579" t="s">
        <v>43</v>
      </c>
      <c r="AG579" t="s">
        <v>43</v>
      </c>
      <c r="AH579" t="s">
        <v>43</v>
      </c>
      <c r="AI579" t="s">
        <v>43</v>
      </c>
      <c r="AJ579" t="s">
        <v>43</v>
      </c>
      <c r="AK579" t="s">
        <v>43</v>
      </c>
      <c r="AL579" t="s">
        <v>43</v>
      </c>
      <c r="AM579" t="s">
        <v>43</v>
      </c>
      <c r="AN579" t="str">
        <f>HYPERLINK("https://www.google.com/maps?q=11.05476379,79.06086731","Open Location")</f>
        <v>Open Location</v>
      </c>
    </row>
    <row r="580" spans="1:40" x14ac:dyDescent="0.3">
      <c r="A580" s="1">
        <v>46210.932638888888</v>
      </c>
      <c r="B580" t="s">
        <v>40</v>
      </c>
      <c r="C580" t="s">
        <v>41</v>
      </c>
      <c r="D580" s="1">
        <v>46210.935752314814</v>
      </c>
      <c r="E580" t="s">
        <v>42</v>
      </c>
      <c r="F580" t="s">
        <v>43</v>
      </c>
      <c r="G580" t="s">
        <v>43</v>
      </c>
      <c r="H580" t="s">
        <v>43</v>
      </c>
      <c r="I580" t="s">
        <v>285</v>
      </c>
      <c r="J580" t="s">
        <v>43</v>
      </c>
      <c r="K580" t="s">
        <v>43</v>
      </c>
      <c r="L580" t="s">
        <v>43</v>
      </c>
      <c r="M580" t="s">
        <v>43</v>
      </c>
      <c r="N580" t="s">
        <v>45</v>
      </c>
      <c r="O580" t="s">
        <v>43</v>
      </c>
      <c r="P580" t="s">
        <v>43</v>
      </c>
      <c r="Q580" t="s">
        <v>43</v>
      </c>
      <c r="R580" t="s">
        <v>43</v>
      </c>
      <c r="S580" t="s">
        <v>43</v>
      </c>
      <c r="T580" t="s">
        <v>43</v>
      </c>
      <c r="U580" t="s">
        <v>43</v>
      </c>
      <c r="V580" t="s">
        <v>43</v>
      </c>
      <c r="W580" t="s">
        <v>43</v>
      </c>
      <c r="X580" t="s">
        <v>43</v>
      </c>
      <c r="Y580" t="s">
        <v>43</v>
      </c>
      <c r="Z580" t="s">
        <v>43</v>
      </c>
      <c r="AA580" t="s">
        <v>43</v>
      </c>
      <c r="AB580" t="s">
        <v>43</v>
      </c>
      <c r="AC580" t="s">
        <v>43</v>
      </c>
      <c r="AD580" t="s">
        <v>43</v>
      </c>
      <c r="AE580" t="s">
        <v>43</v>
      </c>
      <c r="AF580" t="s">
        <v>43</v>
      </c>
      <c r="AG580" t="s">
        <v>43</v>
      </c>
      <c r="AH580" t="s">
        <v>43</v>
      </c>
      <c r="AI580" t="s">
        <v>43</v>
      </c>
      <c r="AJ580" t="s">
        <v>43</v>
      </c>
      <c r="AK580" t="s">
        <v>43</v>
      </c>
      <c r="AL580" t="s">
        <v>43</v>
      </c>
      <c r="AM580" t="s">
        <v>43</v>
      </c>
      <c r="AN580" t="str">
        <f>HYPERLINK("https://www.google.com/maps?q=11.05476379,79.06086731","Open Location")</f>
        <v>Open Location</v>
      </c>
    </row>
    <row r="581" spans="1:40" x14ac:dyDescent="0.3">
      <c r="A581" s="1">
        <v>46210.932523148149</v>
      </c>
      <c r="B581" t="s">
        <v>40</v>
      </c>
      <c r="C581" t="s">
        <v>41</v>
      </c>
      <c r="D581" s="1">
        <v>46210.935358796298</v>
      </c>
      <c r="E581" t="s">
        <v>42</v>
      </c>
      <c r="F581" t="s">
        <v>43</v>
      </c>
      <c r="G581" t="s">
        <v>43</v>
      </c>
      <c r="H581" t="s">
        <v>43</v>
      </c>
      <c r="I581" t="s">
        <v>43</v>
      </c>
      <c r="J581" t="s">
        <v>43</v>
      </c>
      <c r="K581" t="s">
        <v>43</v>
      </c>
      <c r="L581" t="s">
        <v>43</v>
      </c>
      <c r="M581" t="s">
        <v>43</v>
      </c>
      <c r="N581" t="s">
        <v>45</v>
      </c>
      <c r="O581" t="s">
        <v>43</v>
      </c>
      <c r="P581" t="s">
        <v>43</v>
      </c>
      <c r="Q581" t="s">
        <v>43</v>
      </c>
      <c r="R581" t="s">
        <v>43</v>
      </c>
      <c r="S581" t="s">
        <v>43</v>
      </c>
      <c r="T581" t="s">
        <v>43</v>
      </c>
      <c r="U581" t="s">
        <v>43</v>
      </c>
      <c r="V581" t="s">
        <v>43</v>
      </c>
      <c r="W581" t="s">
        <v>43</v>
      </c>
      <c r="X581" t="s">
        <v>43</v>
      </c>
      <c r="Y581" t="s">
        <v>43</v>
      </c>
      <c r="Z581" t="s">
        <v>43</v>
      </c>
      <c r="AA581" t="s">
        <v>43</v>
      </c>
      <c r="AB581" t="s">
        <v>43</v>
      </c>
      <c r="AC581" t="s">
        <v>43</v>
      </c>
      <c r="AD581" t="s">
        <v>43</v>
      </c>
      <c r="AE581" t="s">
        <v>43</v>
      </c>
      <c r="AF581" t="s">
        <v>43</v>
      </c>
      <c r="AG581" t="s">
        <v>43</v>
      </c>
      <c r="AH581" t="s">
        <v>43</v>
      </c>
      <c r="AI581" t="s">
        <v>43</v>
      </c>
      <c r="AJ581" t="s">
        <v>43</v>
      </c>
      <c r="AK581" t="s">
        <v>43</v>
      </c>
      <c r="AL581" t="s">
        <v>43</v>
      </c>
      <c r="AM581" t="s">
        <v>43</v>
      </c>
      <c r="AN581" t="s">
        <v>43</v>
      </c>
    </row>
    <row r="582" spans="1:40" x14ac:dyDescent="0.3">
      <c r="A582" s="1">
        <v>46210.93240740741</v>
      </c>
      <c r="B582" t="s">
        <v>40</v>
      </c>
      <c r="C582" t="s">
        <v>41</v>
      </c>
      <c r="D582" s="1">
        <v>46210.935428240744</v>
      </c>
      <c r="E582" t="s">
        <v>42</v>
      </c>
      <c r="F582" t="s">
        <v>43</v>
      </c>
      <c r="G582" t="s">
        <v>43</v>
      </c>
      <c r="H582" t="s">
        <v>43</v>
      </c>
      <c r="I582" t="s">
        <v>286</v>
      </c>
      <c r="J582" t="s">
        <v>43</v>
      </c>
      <c r="K582" t="s">
        <v>43</v>
      </c>
      <c r="L582" t="s">
        <v>43</v>
      </c>
      <c r="M582" t="s">
        <v>43</v>
      </c>
      <c r="N582" t="s">
        <v>45</v>
      </c>
      <c r="O582" t="s">
        <v>43</v>
      </c>
      <c r="P582" t="s">
        <v>43</v>
      </c>
      <c r="Q582" t="s">
        <v>43</v>
      </c>
      <c r="R582" t="s">
        <v>43</v>
      </c>
      <c r="S582" t="s">
        <v>43</v>
      </c>
      <c r="T582" t="s">
        <v>43</v>
      </c>
      <c r="U582" t="s">
        <v>43</v>
      </c>
      <c r="V582" t="s">
        <v>43</v>
      </c>
      <c r="W582" t="s">
        <v>43</v>
      </c>
      <c r="X582" t="s">
        <v>43</v>
      </c>
      <c r="Y582" t="s">
        <v>43</v>
      </c>
      <c r="Z582" t="s">
        <v>43</v>
      </c>
      <c r="AA582" t="s">
        <v>43</v>
      </c>
      <c r="AB582" t="s">
        <v>43</v>
      </c>
      <c r="AC582" t="s">
        <v>43</v>
      </c>
      <c r="AD582" t="s">
        <v>43</v>
      </c>
      <c r="AE582" t="s">
        <v>43</v>
      </c>
      <c r="AF582" t="s">
        <v>43</v>
      </c>
      <c r="AG582" t="s">
        <v>43</v>
      </c>
      <c r="AH582" t="s">
        <v>43</v>
      </c>
      <c r="AI582" t="s">
        <v>43</v>
      </c>
      <c r="AJ582" t="s">
        <v>43</v>
      </c>
      <c r="AK582" t="s">
        <v>43</v>
      </c>
      <c r="AL582" t="s">
        <v>43</v>
      </c>
      <c r="AM582" t="s">
        <v>43</v>
      </c>
      <c r="AN582" t="str">
        <f>HYPERLINK("https://www.google.com/maps?q=11.05476665,79.06086731","Open Location")</f>
        <v>Open Location</v>
      </c>
    </row>
    <row r="583" spans="1:40" x14ac:dyDescent="0.3">
      <c r="A583" s="1">
        <v>46210.932291666664</v>
      </c>
      <c r="B583" t="s">
        <v>40</v>
      </c>
      <c r="C583" t="s">
        <v>41</v>
      </c>
      <c r="D583" s="1">
        <v>46210.935208333336</v>
      </c>
      <c r="E583" t="s">
        <v>42</v>
      </c>
      <c r="F583" t="s">
        <v>43</v>
      </c>
      <c r="G583" t="s">
        <v>43</v>
      </c>
      <c r="H583" t="s">
        <v>43</v>
      </c>
      <c r="I583" t="s">
        <v>287</v>
      </c>
      <c r="J583" t="s">
        <v>43</v>
      </c>
      <c r="K583" t="s">
        <v>43</v>
      </c>
      <c r="L583" t="s">
        <v>43</v>
      </c>
      <c r="M583" t="s">
        <v>43</v>
      </c>
      <c r="N583" t="s">
        <v>45</v>
      </c>
      <c r="O583" t="s">
        <v>43</v>
      </c>
      <c r="P583" t="s">
        <v>43</v>
      </c>
      <c r="Q583" t="s">
        <v>43</v>
      </c>
      <c r="R583" t="s">
        <v>43</v>
      </c>
      <c r="S583" t="s">
        <v>43</v>
      </c>
      <c r="T583" t="s">
        <v>43</v>
      </c>
      <c r="U583" t="s">
        <v>43</v>
      </c>
      <c r="V583" t="s">
        <v>43</v>
      </c>
      <c r="W583" t="s">
        <v>43</v>
      </c>
      <c r="X583" t="s">
        <v>43</v>
      </c>
      <c r="Y583" t="s">
        <v>43</v>
      </c>
      <c r="Z583" t="s">
        <v>43</v>
      </c>
      <c r="AA583" t="s">
        <v>43</v>
      </c>
      <c r="AB583" t="s">
        <v>43</v>
      </c>
      <c r="AC583" t="s">
        <v>43</v>
      </c>
      <c r="AD583" t="s">
        <v>43</v>
      </c>
      <c r="AE583" t="s">
        <v>43</v>
      </c>
      <c r="AF583" t="s">
        <v>43</v>
      </c>
      <c r="AG583" t="s">
        <v>43</v>
      </c>
      <c r="AH583" t="s">
        <v>43</v>
      </c>
      <c r="AI583" t="s">
        <v>43</v>
      </c>
      <c r="AJ583" t="s">
        <v>43</v>
      </c>
      <c r="AK583" t="s">
        <v>43</v>
      </c>
      <c r="AL583" t="s">
        <v>43</v>
      </c>
      <c r="AM583" t="s">
        <v>43</v>
      </c>
      <c r="AN583" t="str">
        <f>HYPERLINK("https://www.google.com/maps?q=11.05476856,79.06085968","Open Location")</f>
        <v>Open Location</v>
      </c>
    </row>
    <row r="584" spans="1:40" x14ac:dyDescent="0.3">
      <c r="A584" s="1">
        <v>46210.932175925926</v>
      </c>
      <c r="B584" t="s">
        <v>40</v>
      </c>
      <c r="C584" t="s">
        <v>41</v>
      </c>
      <c r="D584" s="1">
        <v>46210.935057870367</v>
      </c>
      <c r="E584" t="s">
        <v>42</v>
      </c>
      <c r="F584" t="s">
        <v>43</v>
      </c>
      <c r="G584" t="s">
        <v>43</v>
      </c>
      <c r="H584" t="s">
        <v>43</v>
      </c>
      <c r="I584" t="s">
        <v>288</v>
      </c>
      <c r="J584" t="s">
        <v>43</v>
      </c>
      <c r="K584" t="s">
        <v>43</v>
      </c>
      <c r="L584" t="s">
        <v>43</v>
      </c>
      <c r="M584" t="s">
        <v>43</v>
      </c>
      <c r="N584" t="s">
        <v>45</v>
      </c>
      <c r="O584" t="s">
        <v>43</v>
      </c>
      <c r="P584" t="s">
        <v>43</v>
      </c>
      <c r="Q584" t="s">
        <v>43</v>
      </c>
      <c r="R584" t="s">
        <v>43</v>
      </c>
      <c r="S584" t="s">
        <v>43</v>
      </c>
      <c r="T584" t="s">
        <v>43</v>
      </c>
      <c r="U584" t="s">
        <v>43</v>
      </c>
      <c r="V584" t="s">
        <v>43</v>
      </c>
      <c r="W584" t="s">
        <v>43</v>
      </c>
      <c r="X584" t="s">
        <v>43</v>
      </c>
      <c r="Y584" t="s">
        <v>43</v>
      </c>
      <c r="Z584" t="s">
        <v>43</v>
      </c>
      <c r="AA584" t="s">
        <v>43</v>
      </c>
      <c r="AB584" t="s">
        <v>43</v>
      </c>
      <c r="AC584" t="s">
        <v>43</v>
      </c>
      <c r="AD584" t="s">
        <v>43</v>
      </c>
      <c r="AE584" t="s">
        <v>43</v>
      </c>
      <c r="AF584" t="s">
        <v>43</v>
      </c>
      <c r="AG584" t="s">
        <v>43</v>
      </c>
      <c r="AH584" t="s">
        <v>43</v>
      </c>
      <c r="AI584" t="s">
        <v>43</v>
      </c>
      <c r="AJ584" t="s">
        <v>43</v>
      </c>
      <c r="AK584" t="s">
        <v>43</v>
      </c>
      <c r="AL584" t="s">
        <v>43</v>
      </c>
      <c r="AM584" t="s">
        <v>43</v>
      </c>
      <c r="AN584" t="str">
        <f>HYPERLINK("https://www.google.com/maps?q=11.0547657,79.06085968","Open Location")</f>
        <v>Open Location</v>
      </c>
    </row>
    <row r="585" spans="1:40" x14ac:dyDescent="0.3">
      <c r="A585" s="1">
        <v>46210.932060185187</v>
      </c>
      <c r="B585" t="s">
        <v>40</v>
      </c>
      <c r="C585" t="s">
        <v>41</v>
      </c>
      <c r="D585" s="1">
        <v>46210.935057870367</v>
      </c>
      <c r="E585" t="s">
        <v>42</v>
      </c>
      <c r="F585" t="s">
        <v>43</v>
      </c>
      <c r="G585" t="s">
        <v>43</v>
      </c>
      <c r="H585" t="s">
        <v>43</v>
      </c>
      <c r="I585" t="s">
        <v>274</v>
      </c>
      <c r="J585" t="s">
        <v>43</v>
      </c>
      <c r="K585" t="s">
        <v>43</v>
      </c>
      <c r="L585" t="s">
        <v>43</v>
      </c>
      <c r="M585" t="s">
        <v>43</v>
      </c>
      <c r="N585" t="s">
        <v>45</v>
      </c>
      <c r="O585" t="s">
        <v>43</v>
      </c>
      <c r="P585" t="s">
        <v>43</v>
      </c>
      <c r="Q585" t="s">
        <v>43</v>
      </c>
      <c r="R585" t="s">
        <v>43</v>
      </c>
      <c r="S585" t="s">
        <v>43</v>
      </c>
      <c r="T585" t="s">
        <v>43</v>
      </c>
      <c r="U585" t="s">
        <v>43</v>
      </c>
      <c r="V585" t="s">
        <v>43</v>
      </c>
      <c r="W585" t="s">
        <v>43</v>
      </c>
      <c r="X585" t="s">
        <v>43</v>
      </c>
      <c r="Y585" t="s">
        <v>43</v>
      </c>
      <c r="Z585" t="s">
        <v>43</v>
      </c>
      <c r="AA585" t="s">
        <v>43</v>
      </c>
      <c r="AB585" t="s">
        <v>43</v>
      </c>
      <c r="AC585" t="s">
        <v>43</v>
      </c>
      <c r="AD585" t="s">
        <v>43</v>
      </c>
      <c r="AE585" t="s">
        <v>43</v>
      </c>
      <c r="AF585" t="s">
        <v>43</v>
      </c>
      <c r="AG585" t="s">
        <v>43</v>
      </c>
      <c r="AH585" t="s">
        <v>43</v>
      </c>
      <c r="AI585" t="s">
        <v>43</v>
      </c>
      <c r="AJ585" t="s">
        <v>43</v>
      </c>
      <c r="AK585" t="s">
        <v>43</v>
      </c>
      <c r="AL585" t="s">
        <v>43</v>
      </c>
      <c r="AM585" t="s">
        <v>43</v>
      </c>
      <c r="AN585" t="str">
        <f>HYPERLINK("https://www.google.com/maps?q=11.05476665,79.06084442","Open Location")</f>
        <v>Open Location</v>
      </c>
    </row>
    <row r="586" spans="1:40" x14ac:dyDescent="0.3">
      <c r="A586" s="1">
        <v>46210.931944444441</v>
      </c>
      <c r="B586" t="s">
        <v>40</v>
      </c>
      <c r="C586" t="s">
        <v>41</v>
      </c>
      <c r="D586" s="1">
        <v>46210.934861111113</v>
      </c>
      <c r="E586" t="s">
        <v>42</v>
      </c>
      <c r="F586" t="s">
        <v>43</v>
      </c>
      <c r="G586" t="s">
        <v>43</v>
      </c>
      <c r="H586" t="s">
        <v>43</v>
      </c>
      <c r="I586" t="s">
        <v>43</v>
      </c>
      <c r="J586" t="s">
        <v>43</v>
      </c>
      <c r="K586" t="s">
        <v>43</v>
      </c>
      <c r="L586" t="s">
        <v>43</v>
      </c>
      <c r="M586" t="s">
        <v>43</v>
      </c>
      <c r="N586" t="s">
        <v>45</v>
      </c>
      <c r="O586" t="s">
        <v>43</v>
      </c>
      <c r="P586" t="s">
        <v>43</v>
      </c>
      <c r="Q586" t="s">
        <v>43</v>
      </c>
      <c r="R586" t="s">
        <v>43</v>
      </c>
      <c r="S586" t="s">
        <v>43</v>
      </c>
      <c r="T586" t="s">
        <v>43</v>
      </c>
      <c r="U586" t="s">
        <v>43</v>
      </c>
      <c r="V586" t="s">
        <v>43</v>
      </c>
      <c r="W586" t="s">
        <v>43</v>
      </c>
      <c r="X586" t="s">
        <v>43</v>
      </c>
      <c r="Y586" t="s">
        <v>43</v>
      </c>
      <c r="Z586" t="s">
        <v>43</v>
      </c>
      <c r="AA586" t="s">
        <v>43</v>
      </c>
      <c r="AB586" t="s">
        <v>43</v>
      </c>
      <c r="AC586" t="s">
        <v>43</v>
      </c>
      <c r="AD586" t="s">
        <v>43</v>
      </c>
      <c r="AE586" t="s">
        <v>43</v>
      </c>
      <c r="AF586" t="s">
        <v>43</v>
      </c>
      <c r="AG586" t="s">
        <v>43</v>
      </c>
      <c r="AH586" t="s">
        <v>43</v>
      </c>
      <c r="AI586" t="s">
        <v>43</v>
      </c>
      <c r="AJ586" t="s">
        <v>43</v>
      </c>
      <c r="AK586" t="s">
        <v>43</v>
      </c>
      <c r="AL586" t="s">
        <v>43</v>
      </c>
      <c r="AM586" t="s">
        <v>43</v>
      </c>
      <c r="AN586" t="s">
        <v>43</v>
      </c>
    </row>
    <row r="587" spans="1:40" x14ac:dyDescent="0.3">
      <c r="A587" s="1">
        <v>46210.931828703702</v>
      </c>
      <c r="B587" t="s">
        <v>40</v>
      </c>
      <c r="C587" t="s">
        <v>41</v>
      </c>
      <c r="D587" s="1">
        <v>46210.934814814813</v>
      </c>
      <c r="E587" t="s">
        <v>42</v>
      </c>
      <c r="F587" t="s">
        <v>43</v>
      </c>
      <c r="G587" t="s">
        <v>43</v>
      </c>
      <c r="H587" t="s">
        <v>43</v>
      </c>
      <c r="I587" t="s">
        <v>289</v>
      </c>
      <c r="J587" t="s">
        <v>43</v>
      </c>
      <c r="K587" t="s">
        <v>43</v>
      </c>
      <c r="L587" t="s">
        <v>43</v>
      </c>
      <c r="M587" t="s">
        <v>43</v>
      </c>
      <c r="N587" t="s">
        <v>45</v>
      </c>
      <c r="O587" t="s">
        <v>43</v>
      </c>
      <c r="P587" t="s">
        <v>43</v>
      </c>
      <c r="Q587" t="s">
        <v>43</v>
      </c>
      <c r="R587" t="s">
        <v>43</v>
      </c>
      <c r="S587" t="s">
        <v>43</v>
      </c>
      <c r="T587" t="s">
        <v>43</v>
      </c>
      <c r="U587" t="s">
        <v>43</v>
      </c>
      <c r="V587" t="s">
        <v>43</v>
      </c>
      <c r="W587" t="s">
        <v>43</v>
      </c>
      <c r="X587" t="s">
        <v>43</v>
      </c>
      <c r="Y587" t="s">
        <v>43</v>
      </c>
      <c r="Z587" t="s">
        <v>43</v>
      </c>
      <c r="AA587" t="s">
        <v>43</v>
      </c>
      <c r="AB587" t="s">
        <v>43</v>
      </c>
      <c r="AC587" t="s">
        <v>43</v>
      </c>
      <c r="AD587" t="s">
        <v>43</v>
      </c>
      <c r="AE587" t="s">
        <v>43</v>
      </c>
      <c r="AF587" t="s">
        <v>43</v>
      </c>
      <c r="AG587" t="s">
        <v>43</v>
      </c>
      <c r="AH587" t="s">
        <v>43</v>
      </c>
      <c r="AI587" t="s">
        <v>43</v>
      </c>
      <c r="AJ587" t="s">
        <v>43</v>
      </c>
      <c r="AK587" t="s">
        <v>43</v>
      </c>
      <c r="AL587" t="s">
        <v>43</v>
      </c>
      <c r="AM587" t="s">
        <v>43</v>
      </c>
      <c r="AN587" t="str">
        <f>HYPERLINK("https://www.google.com/maps?q=11.05477047,79.06084442","Open Location")</f>
        <v>Open Location</v>
      </c>
    </row>
    <row r="588" spans="1:40" x14ac:dyDescent="0.3">
      <c r="A588" s="1">
        <v>46210.931712962964</v>
      </c>
      <c r="B588" t="s">
        <v>40</v>
      </c>
      <c r="C588" t="s">
        <v>41</v>
      </c>
      <c r="D588" s="1">
        <v>46210.934652777774</v>
      </c>
      <c r="E588" t="s">
        <v>42</v>
      </c>
      <c r="F588" t="s">
        <v>43</v>
      </c>
      <c r="G588" t="s">
        <v>43</v>
      </c>
      <c r="H588" t="s">
        <v>43</v>
      </c>
      <c r="I588" t="s">
        <v>290</v>
      </c>
      <c r="J588" t="s">
        <v>43</v>
      </c>
      <c r="K588" t="s">
        <v>43</v>
      </c>
      <c r="L588" t="s">
        <v>43</v>
      </c>
      <c r="M588" t="s">
        <v>43</v>
      </c>
      <c r="N588" t="s">
        <v>45</v>
      </c>
      <c r="O588" t="s">
        <v>43</v>
      </c>
      <c r="P588" t="s">
        <v>43</v>
      </c>
      <c r="Q588" t="s">
        <v>43</v>
      </c>
      <c r="R588" t="s">
        <v>43</v>
      </c>
      <c r="S588" t="s">
        <v>43</v>
      </c>
      <c r="T588" t="s">
        <v>43</v>
      </c>
      <c r="U588" t="s">
        <v>43</v>
      </c>
      <c r="V588" t="s">
        <v>43</v>
      </c>
      <c r="W588" t="s">
        <v>43</v>
      </c>
      <c r="X588" t="s">
        <v>43</v>
      </c>
      <c r="Y588" t="s">
        <v>43</v>
      </c>
      <c r="Z588" t="s">
        <v>43</v>
      </c>
      <c r="AA588" t="s">
        <v>43</v>
      </c>
      <c r="AB588" t="s">
        <v>43</v>
      </c>
      <c r="AC588" t="s">
        <v>43</v>
      </c>
      <c r="AD588" t="s">
        <v>43</v>
      </c>
      <c r="AE588" t="s">
        <v>43</v>
      </c>
      <c r="AF588" t="s">
        <v>43</v>
      </c>
      <c r="AG588" t="s">
        <v>43</v>
      </c>
      <c r="AH588" t="s">
        <v>43</v>
      </c>
      <c r="AI588" t="s">
        <v>43</v>
      </c>
      <c r="AJ588" t="s">
        <v>43</v>
      </c>
      <c r="AK588" t="s">
        <v>43</v>
      </c>
      <c r="AL588" t="s">
        <v>43</v>
      </c>
      <c r="AM588" t="s">
        <v>43</v>
      </c>
      <c r="AN588" t="str">
        <f>HYPERLINK("https://www.google.com/maps?q=11.05477333,79.06084442","Open Location")</f>
        <v>Open Location</v>
      </c>
    </row>
    <row r="589" spans="1:40" x14ac:dyDescent="0.3">
      <c r="A589" s="1">
        <v>46210.931597222225</v>
      </c>
      <c r="B589" t="s">
        <v>40</v>
      </c>
      <c r="C589" t="s">
        <v>41</v>
      </c>
      <c r="D589" s="1">
        <v>46210.934340277781</v>
      </c>
      <c r="E589" t="s">
        <v>42</v>
      </c>
      <c r="F589" t="s">
        <v>43</v>
      </c>
      <c r="G589" t="s">
        <v>43</v>
      </c>
      <c r="H589" t="s">
        <v>43</v>
      </c>
      <c r="I589" t="s">
        <v>291</v>
      </c>
      <c r="J589" t="s">
        <v>43</v>
      </c>
      <c r="K589" t="s">
        <v>43</v>
      </c>
      <c r="L589" t="s">
        <v>43</v>
      </c>
      <c r="M589" t="s">
        <v>43</v>
      </c>
      <c r="N589" t="s">
        <v>45</v>
      </c>
      <c r="O589" t="s">
        <v>43</v>
      </c>
      <c r="P589" t="s">
        <v>43</v>
      </c>
      <c r="Q589" t="s">
        <v>43</v>
      </c>
      <c r="R589" t="s">
        <v>43</v>
      </c>
      <c r="S589" t="s">
        <v>43</v>
      </c>
      <c r="T589" t="s">
        <v>43</v>
      </c>
      <c r="U589" t="s">
        <v>43</v>
      </c>
      <c r="V589" t="s">
        <v>43</v>
      </c>
      <c r="W589" t="s">
        <v>43</v>
      </c>
      <c r="X589" t="s">
        <v>43</v>
      </c>
      <c r="Y589" t="s">
        <v>43</v>
      </c>
      <c r="Z589" t="s">
        <v>43</v>
      </c>
      <c r="AA589" t="s">
        <v>43</v>
      </c>
      <c r="AB589" t="s">
        <v>43</v>
      </c>
      <c r="AC589" t="s">
        <v>43</v>
      </c>
      <c r="AD589" t="s">
        <v>43</v>
      </c>
      <c r="AE589" t="s">
        <v>43</v>
      </c>
      <c r="AF589" t="s">
        <v>43</v>
      </c>
      <c r="AG589" t="s">
        <v>43</v>
      </c>
      <c r="AH589" t="s">
        <v>43</v>
      </c>
      <c r="AI589" t="s">
        <v>43</v>
      </c>
      <c r="AJ589" t="s">
        <v>43</v>
      </c>
      <c r="AK589" t="s">
        <v>43</v>
      </c>
      <c r="AL589" t="s">
        <v>43</v>
      </c>
      <c r="AM589" t="s">
        <v>43</v>
      </c>
      <c r="AN589" t="str">
        <f>HYPERLINK("https://www.google.com/maps?q=11.05477619,79.06085968","Open Location")</f>
        <v>Open Location</v>
      </c>
    </row>
    <row r="590" spans="1:40" x14ac:dyDescent="0.3">
      <c r="A590" s="1">
        <v>46210.931481481479</v>
      </c>
      <c r="B590" t="s">
        <v>40</v>
      </c>
      <c r="C590" t="s">
        <v>41</v>
      </c>
      <c r="D590" s="1">
        <v>46210.934490740743</v>
      </c>
      <c r="E590" t="s">
        <v>42</v>
      </c>
      <c r="F590" t="s">
        <v>43</v>
      </c>
      <c r="G590" t="s">
        <v>43</v>
      </c>
      <c r="H590" t="s">
        <v>43</v>
      </c>
      <c r="I590" t="s">
        <v>292</v>
      </c>
      <c r="J590" t="s">
        <v>43</v>
      </c>
      <c r="K590" t="s">
        <v>43</v>
      </c>
      <c r="L590" t="s">
        <v>43</v>
      </c>
      <c r="M590" t="s">
        <v>43</v>
      </c>
      <c r="N590" t="s">
        <v>45</v>
      </c>
      <c r="O590" t="s">
        <v>43</v>
      </c>
      <c r="P590" t="s">
        <v>43</v>
      </c>
      <c r="Q590" t="s">
        <v>43</v>
      </c>
      <c r="R590" t="s">
        <v>43</v>
      </c>
      <c r="S590" t="s">
        <v>43</v>
      </c>
      <c r="T590" t="s">
        <v>43</v>
      </c>
      <c r="U590" t="s">
        <v>43</v>
      </c>
      <c r="V590" t="s">
        <v>43</v>
      </c>
      <c r="W590" t="s">
        <v>43</v>
      </c>
      <c r="X590" t="s">
        <v>43</v>
      </c>
      <c r="Y590" t="s">
        <v>43</v>
      </c>
      <c r="Z590" t="s">
        <v>43</v>
      </c>
      <c r="AA590" t="s">
        <v>43</v>
      </c>
      <c r="AB590" t="s">
        <v>43</v>
      </c>
      <c r="AC590" t="s">
        <v>43</v>
      </c>
      <c r="AD590" t="s">
        <v>43</v>
      </c>
      <c r="AE590" t="s">
        <v>43</v>
      </c>
      <c r="AF590" t="s">
        <v>43</v>
      </c>
      <c r="AG590" t="s">
        <v>43</v>
      </c>
      <c r="AH590" t="s">
        <v>43</v>
      </c>
      <c r="AI590" t="s">
        <v>43</v>
      </c>
      <c r="AJ590" t="s">
        <v>43</v>
      </c>
      <c r="AK590" t="s">
        <v>43</v>
      </c>
      <c r="AL590" t="s">
        <v>43</v>
      </c>
      <c r="AM590" t="s">
        <v>43</v>
      </c>
      <c r="AN590" t="str">
        <f>HYPERLINK("https://www.google.com/maps?q=11.05478096,79.06085968","Open Location")</f>
        <v>Open Location</v>
      </c>
    </row>
    <row r="591" spans="1:40" x14ac:dyDescent="0.3">
      <c r="A591" s="1">
        <v>46210.93136574074</v>
      </c>
      <c r="B591" t="s">
        <v>40</v>
      </c>
      <c r="C591" t="s">
        <v>41</v>
      </c>
      <c r="D591" s="1">
        <v>46210.934490740743</v>
      </c>
      <c r="E591" t="s">
        <v>42</v>
      </c>
      <c r="F591" t="s">
        <v>43</v>
      </c>
      <c r="G591" t="s">
        <v>43</v>
      </c>
      <c r="H591" t="s">
        <v>43</v>
      </c>
      <c r="I591" t="s">
        <v>293</v>
      </c>
      <c r="J591" t="s">
        <v>43</v>
      </c>
      <c r="K591" t="s">
        <v>43</v>
      </c>
      <c r="L591" t="s">
        <v>43</v>
      </c>
      <c r="M591" t="s">
        <v>43</v>
      </c>
      <c r="N591" t="s">
        <v>45</v>
      </c>
      <c r="O591" t="s">
        <v>43</v>
      </c>
      <c r="P591" t="s">
        <v>43</v>
      </c>
      <c r="Q591" t="s">
        <v>43</v>
      </c>
      <c r="R591" t="s">
        <v>43</v>
      </c>
      <c r="S591" t="s">
        <v>43</v>
      </c>
      <c r="T591" t="s">
        <v>43</v>
      </c>
      <c r="U591" t="s">
        <v>43</v>
      </c>
      <c r="V591" t="s">
        <v>43</v>
      </c>
      <c r="W591" t="s">
        <v>43</v>
      </c>
      <c r="X591" t="s">
        <v>43</v>
      </c>
      <c r="Y591" t="s">
        <v>43</v>
      </c>
      <c r="Z591" t="s">
        <v>43</v>
      </c>
      <c r="AA591" t="s">
        <v>43</v>
      </c>
      <c r="AB591" t="s">
        <v>43</v>
      </c>
      <c r="AC591" t="s">
        <v>43</v>
      </c>
      <c r="AD591" t="s">
        <v>43</v>
      </c>
      <c r="AE591" t="s">
        <v>43</v>
      </c>
      <c r="AF591" t="s">
        <v>43</v>
      </c>
      <c r="AG591" t="s">
        <v>43</v>
      </c>
      <c r="AH591" t="s">
        <v>43</v>
      </c>
      <c r="AI591" t="s">
        <v>43</v>
      </c>
      <c r="AJ591" t="s">
        <v>43</v>
      </c>
      <c r="AK591" t="s">
        <v>43</v>
      </c>
      <c r="AL591" t="s">
        <v>43</v>
      </c>
      <c r="AM591" t="s">
        <v>43</v>
      </c>
      <c r="AN591" t="str">
        <f>HYPERLINK("https://www.google.com/maps?q=11.05478191,79.06085968","Open Location")</f>
        <v>Open Location</v>
      </c>
    </row>
    <row r="592" spans="1:40" x14ac:dyDescent="0.3">
      <c r="A592" s="1">
        <v>46210.931250000001</v>
      </c>
      <c r="B592" t="s">
        <v>40</v>
      </c>
      <c r="C592" t="s">
        <v>41</v>
      </c>
      <c r="D592" s="1">
        <v>46210.934155092589</v>
      </c>
      <c r="E592" t="s">
        <v>42</v>
      </c>
      <c r="F592" t="s">
        <v>43</v>
      </c>
      <c r="G592" t="s">
        <v>43</v>
      </c>
      <c r="H592" t="s">
        <v>43</v>
      </c>
      <c r="I592" t="s">
        <v>43</v>
      </c>
      <c r="J592" t="s">
        <v>43</v>
      </c>
      <c r="K592" t="s">
        <v>43</v>
      </c>
      <c r="L592" t="s">
        <v>43</v>
      </c>
      <c r="M592" t="s">
        <v>43</v>
      </c>
      <c r="N592" t="s">
        <v>45</v>
      </c>
      <c r="O592" t="s">
        <v>43</v>
      </c>
      <c r="P592" t="s">
        <v>43</v>
      </c>
      <c r="Q592" t="s">
        <v>43</v>
      </c>
      <c r="R592" t="s">
        <v>43</v>
      </c>
      <c r="S592" t="s">
        <v>43</v>
      </c>
      <c r="T592" t="s">
        <v>43</v>
      </c>
      <c r="U592" t="s">
        <v>43</v>
      </c>
      <c r="V592" t="s">
        <v>43</v>
      </c>
      <c r="W592" t="s">
        <v>43</v>
      </c>
      <c r="X592" t="s">
        <v>43</v>
      </c>
      <c r="Y592" t="s">
        <v>43</v>
      </c>
      <c r="Z592" t="s">
        <v>43</v>
      </c>
      <c r="AA592" t="s">
        <v>43</v>
      </c>
      <c r="AB592" t="s">
        <v>43</v>
      </c>
      <c r="AC592" t="s">
        <v>43</v>
      </c>
      <c r="AD592" t="s">
        <v>43</v>
      </c>
      <c r="AE592" t="s">
        <v>43</v>
      </c>
      <c r="AF592" t="s">
        <v>43</v>
      </c>
      <c r="AG592" t="s">
        <v>43</v>
      </c>
      <c r="AH592" t="s">
        <v>43</v>
      </c>
      <c r="AI592" t="s">
        <v>43</v>
      </c>
      <c r="AJ592" t="s">
        <v>43</v>
      </c>
      <c r="AK592" t="s">
        <v>43</v>
      </c>
      <c r="AL592" t="s">
        <v>43</v>
      </c>
      <c r="AM592" t="s">
        <v>43</v>
      </c>
      <c r="AN592" t="s">
        <v>43</v>
      </c>
    </row>
    <row r="593" spans="1:40" x14ac:dyDescent="0.3">
      <c r="A593" s="1">
        <v>46210.931134259263</v>
      </c>
      <c r="B593" t="s">
        <v>40</v>
      </c>
      <c r="C593" t="s">
        <v>41</v>
      </c>
      <c r="D593" s="1">
        <v>46210.933900462966</v>
      </c>
      <c r="E593" t="s">
        <v>42</v>
      </c>
      <c r="F593" t="s">
        <v>43</v>
      </c>
      <c r="G593" t="s">
        <v>43</v>
      </c>
      <c r="H593" t="s">
        <v>43</v>
      </c>
      <c r="I593" t="s">
        <v>294</v>
      </c>
      <c r="J593" t="s">
        <v>43</v>
      </c>
      <c r="K593" t="s">
        <v>43</v>
      </c>
      <c r="L593" t="s">
        <v>43</v>
      </c>
      <c r="M593" t="s">
        <v>43</v>
      </c>
      <c r="N593" t="s">
        <v>45</v>
      </c>
      <c r="O593" t="s">
        <v>43</v>
      </c>
      <c r="P593" t="s">
        <v>43</v>
      </c>
      <c r="Q593" t="s">
        <v>43</v>
      </c>
      <c r="R593" t="s">
        <v>43</v>
      </c>
      <c r="S593" t="s">
        <v>43</v>
      </c>
      <c r="T593" t="s">
        <v>43</v>
      </c>
      <c r="U593" t="s">
        <v>43</v>
      </c>
      <c r="V593" t="s">
        <v>43</v>
      </c>
      <c r="W593" t="s">
        <v>43</v>
      </c>
      <c r="X593" t="s">
        <v>43</v>
      </c>
      <c r="Y593" t="s">
        <v>43</v>
      </c>
      <c r="Z593" t="s">
        <v>43</v>
      </c>
      <c r="AA593" t="s">
        <v>43</v>
      </c>
      <c r="AB593" t="s">
        <v>43</v>
      </c>
      <c r="AC593" t="s">
        <v>43</v>
      </c>
      <c r="AD593" t="s">
        <v>43</v>
      </c>
      <c r="AE593" t="s">
        <v>43</v>
      </c>
      <c r="AF593" t="s">
        <v>43</v>
      </c>
      <c r="AG593" t="s">
        <v>43</v>
      </c>
      <c r="AH593" t="s">
        <v>43</v>
      </c>
      <c r="AI593" t="s">
        <v>43</v>
      </c>
      <c r="AJ593" t="s">
        <v>43</v>
      </c>
      <c r="AK593" t="s">
        <v>43</v>
      </c>
      <c r="AL593" t="s">
        <v>43</v>
      </c>
      <c r="AM593" t="s">
        <v>43</v>
      </c>
      <c r="AN593" t="str">
        <f>HYPERLINK("https://www.google.com/maps?q=11.05478382,79.06085968","Open Location")</f>
        <v>Open Location</v>
      </c>
    </row>
    <row r="594" spans="1:40" x14ac:dyDescent="0.3">
      <c r="A594" s="1">
        <v>46210.931018518517</v>
      </c>
      <c r="B594" t="s">
        <v>40</v>
      </c>
      <c r="C594" t="s">
        <v>41</v>
      </c>
      <c r="D594" s="1">
        <v>46210.933900462966</v>
      </c>
      <c r="E594" t="s">
        <v>42</v>
      </c>
      <c r="F594" t="s">
        <v>43</v>
      </c>
      <c r="G594" t="s">
        <v>43</v>
      </c>
      <c r="H594" t="s">
        <v>43</v>
      </c>
      <c r="I594" t="s">
        <v>295</v>
      </c>
      <c r="J594" t="s">
        <v>43</v>
      </c>
      <c r="K594" t="s">
        <v>43</v>
      </c>
      <c r="L594" t="s">
        <v>43</v>
      </c>
      <c r="M594" t="s">
        <v>43</v>
      </c>
      <c r="N594" t="s">
        <v>45</v>
      </c>
      <c r="O594" t="s">
        <v>43</v>
      </c>
      <c r="P594" t="s">
        <v>43</v>
      </c>
      <c r="Q594" t="s">
        <v>43</v>
      </c>
      <c r="R594" t="s">
        <v>43</v>
      </c>
      <c r="S594" t="s">
        <v>43</v>
      </c>
      <c r="T594" t="s">
        <v>43</v>
      </c>
      <c r="U594" t="s">
        <v>43</v>
      </c>
      <c r="V594" t="s">
        <v>43</v>
      </c>
      <c r="W594" t="s">
        <v>43</v>
      </c>
      <c r="X594" t="s">
        <v>43</v>
      </c>
      <c r="Y594" t="s">
        <v>43</v>
      </c>
      <c r="Z594" t="s">
        <v>43</v>
      </c>
      <c r="AA594" t="s">
        <v>43</v>
      </c>
      <c r="AB594" t="s">
        <v>43</v>
      </c>
      <c r="AC594" t="s">
        <v>43</v>
      </c>
      <c r="AD594" t="s">
        <v>43</v>
      </c>
      <c r="AE594" t="s">
        <v>43</v>
      </c>
      <c r="AF594" t="s">
        <v>43</v>
      </c>
      <c r="AG594" t="s">
        <v>43</v>
      </c>
      <c r="AH594" t="s">
        <v>43</v>
      </c>
      <c r="AI594" t="s">
        <v>43</v>
      </c>
      <c r="AJ594" t="s">
        <v>43</v>
      </c>
      <c r="AK594" t="s">
        <v>43</v>
      </c>
      <c r="AL594" t="s">
        <v>43</v>
      </c>
      <c r="AM594" t="s">
        <v>43</v>
      </c>
      <c r="AN594" t="str">
        <f>HYPERLINK("https://www.google.com/maps?q=11.05478573,79.06086731","Open Location")</f>
        <v>Open Location</v>
      </c>
    </row>
    <row r="595" spans="1:40" x14ac:dyDescent="0.3">
      <c r="A595" s="1">
        <v>46210.930902777778</v>
      </c>
      <c r="B595" t="s">
        <v>40</v>
      </c>
      <c r="C595" t="s">
        <v>41</v>
      </c>
      <c r="D595" s="1">
        <v>46210.933923611112</v>
      </c>
      <c r="E595" t="s">
        <v>42</v>
      </c>
      <c r="F595" t="s">
        <v>43</v>
      </c>
      <c r="G595" t="s">
        <v>43</v>
      </c>
      <c r="H595" t="s">
        <v>43</v>
      </c>
      <c r="I595" t="s">
        <v>296</v>
      </c>
      <c r="J595" t="s">
        <v>43</v>
      </c>
      <c r="K595" t="s">
        <v>43</v>
      </c>
      <c r="L595" t="s">
        <v>43</v>
      </c>
      <c r="M595" t="s">
        <v>43</v>
      </c>
      <c r="N595" t="s">
        <v>45</v>
      </c>
      <c r="O595" t="s">
        <v>43</v>
      </c>
      <c r="P595" t="s">
        <v>43</v>
      </c>
      <c r="Q595" t="s">
        <v>43</v>
      </c>
      <c r="R595" t="s">
        <v>43</v>
      </c>
      <c r="S595" t="s">
        <v>43</v>
      </c>
      <c r="T595" t="s">
        <v>43</v>
      </c>
      <c r="U595" t="s">
        <v>43</v>
      </c>
      <c r="V595" t="s">
        <v>43</v>
      </c>
      <c r="W595" t="s">
        <v>43</v>
      </c>
      <c r="X595" t="s">
        <v>43</v>
      </c>
      <c r="Y595" t="s">
        <v>43</v>
      </c>
      <c r="Z595" t="s">
        <v>43</v>
      </c>
      <c r="AA595" t="s">
        <v>43</v>
      </c>
      <c r="AB595" t="s">
        <v>43</v>
      </c>
      <c r="AC595" t="s">
        <v>43</v>
      </c>
      <c r="AD595" t="s">
        <v>43</v>
      </c>
      <c r="AE595" t="s">
        <v>43</v>
      </c>
      <c r="AF595" t="s">
        <v>43</v>
      </c>
      <c r="AG595" t="s">
        <v>43</v>
      </c>
      <c r="AH595" t="s">
        <v>43</v>
      </c>
      <c r="AI595" t="s">
        <v>43</v>
      </c>
      <c r="AJ595" t="s">
        <v>43</v>
      </c>
      <c r="AK595" t="s">
        <v>43</v>
      </c>
      <c r="AL595" t="s">
        <v>43</v>
      </c>
      <c r="AM595" t="s">
        <v>43</v>
      </c>
      <c r="AN595" t="str">
        <f>HYPERLINK("https://www.google.com/maps?q=11.05478668,79.06086731","Open Location")</f>
        <v>Open Location</v>
      </c>
    </row>
    <row r="596" spans="1:40" x14ac:dyDescent="0.3">
      <c r="A596" s="1">
        <v>46210.930787037039</v>
      </c>
      <c r="B596" t="s">
        <v>40</v>
      </c>
      <c r="C596" t="s">
        <v>41</v>
      </c>
      <c r="D596" s="1">
        <v>46210.933923611112</v>
      </c>
      <c r="E596" t="s">
        <v>42</v>
      </c>
      <c r="F596" t="s">
        <v>43</v>
      </c>
      <c r="G596" t="s">
        <v>43</v>
      </c>
      <c r="H596" t="s">
        <v>43</v>
      </c>
      <c r="I596" t="s">
        <v>295</v>
      </c>
      <c r="J596" t="s">
        <v>43</v>
      </c>
      <c r="K596" t="s">
        <v>43</v>
      </c>
      <c r="L596" t="s">
        <v>43</v>
      </c>
      <c r="M596" t="s">
        <v>43</v>
      </c>
      <c r="N596" t="s">
        <v>45</v>
      </c>
      <c r="O596" t="s">
        <v>43</v>
      </c>
      <c r="P596" t="s">
        <v>43</v>
      </c>
      <c r="Q596" t="s">
        <v>43</v>
      </c>
      <c r="R596" t="s">
        <v>43</v>
      </c>
      <c r="S596" t="s">
        <v>43</v>
      </c>
      <c r="T596" t="s">
        <v>43</v>
      </c>
      <c r="U596" t="s">
        <v>43</v>
      </c>
      <c r="V596" t="s">
        <v>43</v>
      </c>
      <c r="W596" t="s">
        <v>43</v>
      </c>
      <c r="X596" t="s">
        <v>43</v>
      </c>
      <c r="Y596" t="s">
        <v>43</v>
      </c>
      <c r="Z596" t="s">
        <v>43</v>
      </c>
      <c r="AA596" t="s">
        <v>43</v>
      </c>
      <c r="AB596" t="s">
        <v>43</v>
      </c>
      <c r="AC596" t="s">
        <v>43</v>
      </c>
      <c r="AD596" t="s">
        <v>43</v>
      </c>
      <c r="AE596" t="s">
        <v>43</v>
      </c>
      <c r="AF596" t="s">
        <v>43</v>
      </c>
      <c r="AG596" t="s">
        <v>43</v>
      </c>
      <c r="AH596" t="s">
        <v>43</v>
      </c>
      <c r="AI596" t="s">
        <v>43</v>
      </c>
      <c r="AJ596" t="s">
        <v>43</v>
      </c>
      <c r="AK596" t="s">
        <v>43</v>
      </c>
      <c r="AL596" t="s">
        <v>43</v>
      </c>
      <c r="AM596" t="s">
        <v>43</v>
      </c>
      <c r="AN596" t="str">
        <f>HYPERLINK("https://www.google.com/maps?q=11.05478573,79.06086731","Open Location")</f>
        <v>Open Location</v>
      </c>
    </row>
    <row r="597" spans="1:40" x14ac:dyDescent="0.3">
      <c r="A597" s="1">
        <v>46210.930671296293</v>
      </c>
      <c r="B597" t="s">
        <v>40</v>
      </c>
      <c r="C597" t="s">
        <v>41</v>
      </c>
      <c r="D597" s="1">
        <v>46210.933541666665</v>
      </c>
      <c r="E597" t="s">
        <v>42</v>
      </c>
      <c r="F597" t="s">
        <v>43</v>
      </c>
      <c r="G597" t="s">
        <v>43</v>
      </c>
      <c r="H597" t="s">
        <v>43</v>
      </c>
      <c r="I597" t="s">
        <v>297</v>
      </c>
      <c r="J597" t="s">
        <v>43</v>
      </c>
      <c r="K597" t="s">
        <v>43</v>
      </c>
      <c r="L597" t="s">
        <v>43</v>
      </c>
      <c r="M597" t="s">
        <v>43</v>
      </c>
      <c r="N597" t="s">
        <v>45</v>
      </c>
      <c r="O597" t="s">
        <v>43</v>
      </c>
      <c r="P597" t="s">
        <v>43</v>
      </c>
      <c r="Q597" t="s">
        <v>43</v>
      </c>
      <c r="R597" t="s">
        <v>43</v>
      </c>
      <c r="S597" t="s">
        <v>43</v>
      </c>
      <c r="T597" t="s">
        <v>43</v>
      </c>
      <c r="U597" t="s">
        <v>43</v>
      </c>
      <c r="V597" t="s">
        <v>43</v>
      </c>
      <c r="W597" t="s">
        <v>43</v>
      </c>
      <c r="X597" t="s">
        <v>43</v>
      </c>
      <c r="Y597" t="s">
        <v>43</v>
      </c>
      <c r="Z597" t="s">
        <v>43</v>
      </c>
      <c r="AA597" t="s">
        <v>43</v>
      </c>
      <c r="AB597" t="s">
        <v>43</v>
      </c>
      <c r="AC597" t="s">
        <v>43</v>
      </c>
      <c r="AD597" t="s">
        <v>43</v>
      </c>
      <c r="AE597" t="s">
        <v>43</v>
      </c>
      <c r="AF597" t="s">
        <v>43</v>
      </c>
      <c r="AG597" t="s">
        <v>43</v>
      </c>
      <c r="AH597" t="s">
        <v>43</v>
      </c>
      <c r="AI597" t="s">
        <v>43</v>
      </c>
      <c r="AJ597" t="s">
        <v>43</v>
      </c>
      <c r="AK597" t="s">
        <v>43</v>
      </c>
      <c r="AL597" t="s">
        <v>43</v>
      </c>
      <c r="AM597" t="s">
        <v>43</v>
      </c>
      <c r="AN597" t="str">
        <f>HYPERLINK("https://www.google.com/maps?q=11.05478477,79.06085968","Open Location")</f>
        <v>Open Location</v>
      </c>
    </row>
    <row r="598" spans="1:40" x14ac:dyDescent="0.3">
      <c r="A598" s="1">
        <v>46210.930555555555</v>
      </c>
      <c r="B598" t="s">
        <v>40</v>
      </c>
      <c r="C598" t="s">
        <v>41</v>
      </c>
      <c r="D598" s="1">
        <v>46210.933541666665</v>
      </c>
      <c r="E598" t="s">
        <v>42</v>
      </c>
      <c r="F598" t="s">
        <v>43</v>
      </c>
      <c r="G598" t="s">
        <v>43</v>
      </c>
      <c r="H598" t="s">
        <v>43</v>
      </c>
      <c r="I598" t="s">
        <v>43</v>
      </c>
      <c r="J598" t="s">
        <v>43</v>
      </c>
      <c r="K598" t="s">
        <v>43</v>
      </c>
      <c r="L598" t="s">
        <v>43</v>
      </c>
      <c r="M598" t="s">
        <v>43</v>
      </c>
      <c r="N598" t="s">
        <v>45</v>
      </c>
      <c r="O598" t="s">
        <v>43</v>
      </c>
      <c r="P598" t="s">
        <v>43</v>
      </c>
      <c r="Q598" t="s">
        <v>43</v>
      </c>
      <c r="R598" t="s">
        <v>43</v>
      </c>
      <c r="S598" t="s">
        <v>43</v>
      </c>
      <c r="T598" t="s">
        <v>43</v>
      </c>
      <c r="U598" t="s">
        <v>43</v>
      </c>
      <c r="V598" t="s">
        <v>43</v>
      </c>
      <c r="W598" t="s">
        <v>43</v>
      </c>
      <c r="X598" t="s">
        <v>43</v>
      </c>
      <c r="Y598" t="s">
        <v>43</v>
      </c>
      <c r="Z598" t="s">
        <v>43</v>
      </c>
      <c r="AA598" t="s">
        <v>43</v>
      </c>
      <c r="AB598" t="s">
        <v>43</v>
      </c>
      <c r="AC598" t="s">
        <v>43</v>
      </c>
      <c r="AD598" t="s">
        <v>43</v>
      </c>
      <c r="AE598" t="s">
        <v>43</v>
      </c>
      <c r="AF598" t="s">
        <v>43</v>
      </c>
      <c r="AG598" t="s">
        <v>43</v>
      </c>
      <c r="AH598" t="s">
        <v>43</v>
      </c>
      <c r="AI598" t="s">
        <v>43</v>
      </c>
      <c r="AJ598" t="s">
        <v>43</v>
      </c>
      <c r="AK598" t="s">
        <v>43</v>
      </c>
      <c r="AL598" t="s">
        <v>43</v>
      </c>
      <c r="AM598" t="s">
        <v>43</v>
      </c>
      <c r="AN598" t="s">
        <v>43</v>
      </c>
    </row>
    <row r="599" spans="1:40" x14ac:dyDescent="0.3">
      <c r="A599" s="1">
        <v>46210.930439814816</v>
      </c>
      <c r="B599" t="s">
        <v>40</v>
      </c>
      <c r="C599" t="s">
        <v>41</v>
      </c>
      <c r="D599" s="1">
        <v>46210.933321759258</v>
      </c>
      <c r="E599" t="s">
        <v>42</v>
      </c>
      <c r="F599" t="s">
        <v>43</v>
      </c>
      <c r="G599" t="s">
        <v>43</v>
      </c>
      <c r="H599" t="s">
        <v>43</v>
      </c>
      <c r="I599" t="s">
        <v>297</v>
      </c>
      <c r="J599" t="s">
        <v>43</v>
      </c>
      <c r="K599" t="s">
        <v>43</v>
      </c>
      <c r="L599" t="s">
        <v>43</v>
      </c>
      <c r="M599" t="s">
        <v>43</v>
      </c>
      <c r="N599" t="s">
        <v>45</v>
      </c>
      <c r="O599" t="s">
        <v>43</v>
      </c>
      <c r="P599" t="s">
        <v>43</v>
      </c>
      <c r="Q599" t="s">
        <v>43</v>
      </c>
      <c r="R599" t="s">
        <v>43</v>
      </c>
      <c r="S599" t="s">
        <v>43</v>
      </c>
      <c r="T599" t="s">
        <v>43</v>
      </c>
      <c r="U599" t="s">
        <v>43</v>
      </c>
      <c r="V599" t="s">
        <v>43</v>
      </c>
      <c r="W599" t="s">
        <v>43</v>
      </c>
      <c r="X599" t="s">
        <v>43</v>
      </c>
      <c r="Y599" t="s">
        <v>43</v>
      </c>
      <c r="Z599" t="s">
        <v>43</v>
      </c>
      <c r="AA599" t="s">
        <v>43</v>
      </c>
      <c r="AB599" t="s">
        <v>43</v>
      </c>
      <c r="AC599" t="s">
        <v>43</v>
      </c>
      <c r="AD599" t="s">
        <v>43</v>
      </c>
      <c r="AE599" t="s">
        <v>43</v>
      </c>
      <c r="AF599" t="s">
        <v>43</v>
      </c>
      <c r="AG599" t="s">
        <v>43</v>
      </c>
      <c r="AH599" t="s">
        <v>43</v>
      </c>
      <c r="AI599" t="s">
        <v>43</v>
      </c>
      <c r="AJ599" t="s">
        <v>43</v>
      </c>
      <c r="AK599" t="s">
        <v>43</v>
      </c>
      <c r="AL599" t="s">
        <v>43</v>
      </c>
      <c r="AM599" t="s">
        <v>43</v>
      </c>
      <c r="AN599" t="str">
        <f>HYPERLINK("https://www.google.com/maps?q=11.05478477,79.06085968","Open Location")</f>
        <v>Open Location</v>
      </c>
    </row>
    <row r="600" spans="1:40" x14ac:dyDescent="0.3">
      <c r="A600" s="1">
        <v>46210.930324074077</v>
      </c>
      <c r="B600" t="s">
        <v>40</v>
      </c>
      <c r="C600" t="s">
        <v>41</v>
      </c>
      <c r="D600" s="1">
        <v>46210.933553240742</v>
      </c>
      <c r="E600" t="s">
        <v>42</v>
      </c>
      <c r="F600" t="s">
        <v>43</v>
      </c>
      <c r="G600" t="s">
        <v>43</v>
      </c>
      <c r="H600" t="s">
        <v>43</v>
      </c>
      <c r="I600" t="s">
        <v>293</v>
      </c>
      <c r="J600" t="s">
        <v>43</v>
      </c>
      <c r="K600" t="s">
        <v>43</v>
      </c>
      <c r="L600" t="s">
        <v>43</v>
      </c>
      <c r="M600" t="s">
        <v>43</v>
      </c>
      <c r="N600" t="s">
        <v>45</v>
      </c>
      <c r="O600" t="s">
        <v>43</v>
      </c>
      <c r="P600" t="s">
        <v>43</v>
      </c>
      <c r="Q600" t="s">
        <v>43</v>
      </c>
      <c r="R600" t="s">
        <v>43</v>
      </c>
      <c r="S600" t="s">
        <v>43</v>
      </c>
      <c r="T600" t="s">
        <v>43</v>
      </c>
      <c r="U600" t="s">
        <v>43</v>
      </c>
      <c r="V600" t="s">
        <v>43</v>
      </c>
      <c r="W600" t="s">
        <v>43</v>
      </c>
      <c r="X600" t="s">
        <v>43</v>
      </c>
      <c r="Y600" t="s">
        <v>43</v>
      </c>
      <c r="Z600" t="s">
        <v>43</v>
      </c>
      <c r="AA600" t="s">
        <v>43</v>
      </c>
      <c r="AB600" t="s">
        <v>43</v>
      </c>
      <c r="AC600" t="s">
        <v>43</v>
      </c>
      <c r="AD600" t="s">
        <v>43</v>
      </c>
      <c r="AE600" t="s">
        <v>43</v>
      </c>
      <c r="AF600" t="s">
        <v>43</v>
      </c>
      <c r="AG600" t="s">
        <v>43</v>
      </c>
      <c r="AH600" t="s">
        <v>43</v>
      </c>
      <c r="AI600" t="s">
        <v>43</v>
      </c>
      <c r="AJ600" t="s">
        <v>43</v>
      </c>
      <c r="AK600" t="s">
        <v>43</v>
      </c>
      <c r="AL600" t="s">
        <v>43</v>
      </c>
      <c r="AM600" t="s">
        <v>43</v>
      </c>
      <c r="AN600" t="str">
        <f>HYPERLINK("https://www.google.com/maps?q=11.05478191,79.06085968","Open Location")</f>
        <v>Open Location</v>
      </c>
    </row>
    <row r="601" spans="1:40" x14ac:dyDescent="0.3">
      <c r="A601" s="1">
        <v>46210.930208333331</v>
      </c>
      <c r="B601" t="s">
        <v>40</v>
      </c>
      <c r="C601" t="s">
        <v>41</v>
      </c>
      <c r="D601" s="1">
        <v>46210.933310185188</v>
      </c>
      <c r="E601" t="s">
        <v>42</v>
      </c>
      <c r="F601" t="s">
        <v>43</v>
      </c>
      <c r="G601" t="s">
        <v>43</v>
      </c>
      <c r="H601" t="s">
        <v>43</v>
      </c>
      <c r="I601" t="s">
        <v>297</v>
      </c>
      <c r="J601" t="s">
        <v>43</v>
      </c>
      <c r="K601" t="s">
        <v>43</v>
      </c>
      <c r="L601" t="s">
        <v>43</v>
      </c>
      <c r="M601" t="s">
        <v>43</v>
      </c>
      <c r="N601" t="s">
        <v>45</v>
      </c>
      <c r="O601" t="s">
        <v>43</v>
      </c>
      <c r="P601" t="s">
        <v>43</v>
      </c>
      <c r="Q601" t="s">
        <v>43</v>
      </c>
      <c r="R601" t="s">
        <v>43</v>
      </c>
      <c r="S601" t="s">
        <v>43</v>
      </c>
      <c r="T601" t="s">
        <v>43</v>
      </c>
      <c r="U601" t="s">
        <v>43</v>
      </c>
      <c r="V601" t="s">
        <v>43</v>
      </c>
      <c r="W601" t="s">
        <v>43</v>
      </c>
      <c r="X601" t="s">
        <v>43</v>
      </c>
      <c r="Y601" t="s">
        <v>43</v>
      </c>
      <c r="Z601" t="s">
        <v>43</v>
      </c>
      <c r="AA601" t="s">
        <v>43</v>
      </c>
      <c r="AB601" t="s">
        <v>43</v>
      </c>
      <c r="AC601" t="s">
        <v>43</v>
      </c>
      <c r="AD601" t="s">
        <v>43</v>
      </c>
      <c r="AE601" t="s">
        <v>43</v>
      </c>
      <c r="AF601" t="s">
        <v>43</v>
      </c>
      <c r="AG601" t="s">
        <v>43</v>
      </c>
      <c r="AH601" t="s">
        <v>43</v>
      </c>
      <c r="AI601" t="s">
        <v>43</v>
      </c>
      <c r="AJ601" t="s">
        <v>43</v>
      </c>
      <c r="AK601" t="s">
        <v>43</v>
      </c>
      <c r="AL601" t="s">
        <v>43</v>
      </c>
      <c r="AM601" t="s">
        <v>43</v>
      </c>
      <c r="AN601" t="str">
        <f>HYPERLINK("https://www.google.com/maps?q=11.05478477,79.06085968","Open Location")</f>
        <v>Open Location</v>
      </c>
    </row>
    <row r="602" spans="1:40" x14ac:dyDescent="0.3">
      <c r="A602" s="1">
        <v>46210.930092592593</v>
      </c>
      <c r="B602" t="s">
        <v>40</v>
      </c>
      <c r="C602" t="s">
        <v>41</v>
      </c>
      <c r="D602" s="1">
        <v>46210.933078703703</v>
      </c>
      <c r="E602" t="s">
        <v>42</v>
      </c>
      <c r="F602" t="s">
        <v>43</v>
      </c>
      <c r="G602" t="s">
        <v>43</v>
      </c>
      <c r="H602" t="s">
        <v>43</v>
      </c>
      <c r="I602" t="s">
        <v>298</v>
      </c>
      <c r="J602" t="s">
        <v>43</v>
      </c>
      <c r="K602" t="s">
        <v>43</v>
      </c>
      <c r="L602" t="s">
        <v>43</v>
      </c>
      <c r="M602" t="s">
        <v>43</v>
      </c>
      <c r="N602" t="s">
        <v>45</v>
      </c>
      <c r="O602" t="s">
        <v>43</v>
      </c>
      <c r="P602" t="s">
        <v>43</v>
      </c>
      <c r="Q602" t="s">
        <v>43</v>
      </c>
      <c r="R602" t="s">
        <v>43</v>
      </c>
      <c r="S602" t="s">
        <v>43</v>
      </c>
      <c r="T602" t="s">
        <v>43</v>
      </c>
      <c r="U602" t="s">
        <v>43</v>
      </c>
      <c r="V602" t="s">
        <v>43</v>
      </c>
      <c r="W602" t="s">
        <v>43</v>
      </c>
      <c r="X602" t="s">
        <v>43</v>
      </c>
      <c r="Y602" t="s">
        <v>43</v>
      </c>
      <c r="Z602" t="s">
        <v>43</v>
      </c>
      <c r="AA602" t="s">
        <v>43</v>
      </c>
      <c r="AB602" t="s">
        <v>43</v>
      </c>
      <c r="AC602" t="s">
        <v>43</v>
      </c>
      <c r="AD602" t="s">
        <v>43</v>
      </c>
      <c r="AE602" t="s">
        <v>43</v>
      </c>
      <c r="AF602" t="s">
        <v>43</v>
      </c>
      <c r="AG602" t="s">
        <v>43</v>
      </c>
      <c r="AH602" t="s">
        <v>43</v>
      </c>
      <c r="AI602" t="s">
        <v>43</v>
      </c>
      <c r="AJ602" t="s">
        <v>43</v>
      </c>
      <c r="AK602" t="s">
        <v>43</v>
      </c>
      <c r="AL602" t="s">
        <v>43</v>
      </c>
      <c r="AM602" t="s">
        <v>43</v>
      </c>
      <c r="AN602" t="str">
        <f>HYPERLINK("https://www.google.com/maps?q=11.05478668,79.06085968","Open Location")</f>
        <v>Open Location</v>
      </c>
    </row>
    <row r="603" spans="1:40" x14ac:dyDescent="0.3">
      <c r="A603" s="1">
        <v>46210.929976851854</v>
      </c>
      <c r="B603" t="s">
        <v>40</v>
      </c>
      <c r="C603" t="s">
        <v>41</v>
      </c>
      <c r="D603" s="1">
        <v>46210.932800925926</v>
      </c>
      <c r="E603" t="s">
        <v>42</v>
      </c>
      <c r="F603" t="s">
        <v>43</v>
      </c>
      <c r="G603" t="s">
        <v>43</v>
      </c>
      <c r="H603" t="s">
        <v>43</v>
      </c>
      <c r="I603" t="s">
        <v>43</v>
      </c>
      <c r="J603" t="s">
        <v>43</v>
      </c>
      <c r="K603" t="s">
        <v>43</v>
      </c>
      <c r="L603" t="s">
        <v>43</v>
      </c>
      <c r="M603" t="s">
        <v>43</v>
      </c>
      <c r="N603" t="s">
        <v>45</v>
      </c>
      <c r="O603" t="s">
        <v>43</v>
      </c>
      <c r="P603" t="s">
        <v>43</v>
      </c>
      <c r="Q603" t="s">
        <v>43</v>
      </c>
      <c r="R603" t="s">
        <v>43</v>
      </c>
      <c r="S603" t="s">
        <v>43</v>
      </c>
      <c r="T603" t="s">
        <v>43</v>
      </c>
      <c r="U603" t="s">
        <v>43</v>
      </c>
      <c r="V603" t="s">
        <v>43</v>
      </c>
      <c r="W603" t="s">
        <v>43</v>
      </c>
      <c r="X603" t="s">
        <v>43</v>
      </c>
      <c r="Y603" t="s">
        <v>43</v>
      </c>
      <c r="Z603" t="s">
        <v>43</v>
      </c>
      <c r="AA603" t="s">
        <v>43</v>
      </c>
      <c r="AB603" t="s">
        <v>43</v>
      </c>
      <c r="AC603" t="s">
        <v>43</v>
      </c>
      <c r="AD603" t="s">
        <v>43</v>
      </c>
      <c r="AE603" t="s">
        <v>43</v>
      </c>
      <c r="AF603" t="s">
        <v>43</v>
      </c>
      <c r="AG603" t="s">
        <v>43</v>
      </c>
      <c r="AH603" t="s">
        <v>43</v>
      </c>
      <c r="AI603" t="s">
        <v>43</v>
      </c>
      <c r="AJ603" t="s">
        <v>43</v>
      </c>
      <c r="AK603" t="s">
        <v>43</v>
      </c>
      <c r="AL603" t="s">
        <v>43</v>
      </c>
      <c r="AM603" t="s">
        <v>43</v>
      </c>
      <c r="AN603" t="s">
        <v>43</v>
      </c>
    </row>
    <row r="604" spans="1:40" x14ac:dyDescent="0.3">
      <c r="A604" s="1">
        <v>46210.929861111108</v>
      </c>
      <c r="B604" t="s">
        <v>40</v>
      </c>
      <c r="C604" t="s">
        <v>41</v>
      </c>
      <c r="D604" s="1">
        <v>46210.932696759257</v>
      </c>
      <c r="E604" t="s">
        <v>42</v>
      </c>
      <c r="F604" t="s">
        <v>43</v>
      </c>
      <c r="G604" t="s">
        <v>43</v>
      </c>
      <c r="H604" t="s">
        <v>43</v>
      </c>
      <c r="I604" t="s">
        <v>298</v>
      </c>
      <c r="J604" t="s">
        <v>43</v>
      </c>
      <c r="K604" t="s">
        <v>43</v>
      </c>
      <c r="L604" t="s">
        <v>43</v>
      </c>
      <c r="M604" t="s">
        <v>43</v>
      </c>
      <c r="N604" t="s">
        <v>45</v>
      </c>
      <c r="O604" t="s">
        <v>43</v>
      </c>
      <c r="P604" t="s">
        <v>43</v>
      </c>
      <c r="Q604" t="s">
        <v>43</v>
      </c>
      <c r="R604" t="s">
        <v>43</v>
      </c>
      <c r="S604" t="s">
        <v>43</v>
      </c>
      <c r="T604" t="s">
        <v>43</v>
      </c>
      <c r="U604" t="s">
        <v>43</v>
      </c>
      <c r="V604" t="s">
        <v>43</v>
      </c>
      <c r="W604" t="s">
        <v>43</v>
      </c>
      <c r="X604" t="s">
        <v>43</v>
      </c>
      <c r="Y604" t="s">
        <v>43</v>
      </c>
      <c r="Z604" t="s">
        <v>43</v>
      </c>
      <c r="AA604" t="s">
        <v>43</v>
      </c>
      <c r="AB604" t="s">
        <v>43</v>
      </c>
      <c r="AC604" t="s">
        <v>43</v>
      </c>
      <c r="AD604" t="s">
        <v>43</v>
      </c>
      <c r="AE604" t="s">
        <v>43</v>
      </c>
      <c r="AF604" t="s">
        <v>43</v>
      </c>
      <c r="AG604" t="s">
        <v>43</v>
      </c>
      <c r="AH604" t="s">
        <v>43</v>
      </c>
      <c r="AI604" t="s">
        <v>43</v>
      </c>
      <c r="AJ604" t="s">
        <v>43</v>
      </c>
      <c r="AK604" t="s">
        <v>43</v>
      </c>
      <c r="AL604" t="s">
        <v>43</v>
      </c>
      <c r="AM604" t="s">
        <v>43</v>
      </c>
      <c r="AN604" t="str">
        <f>HYPERLINK("https://www.google.com/maps?q=11.05478668,79.06085968","Open Location")</f>
        <v>Open Location</v>
      </c>
    </row>
    <row r="605" spans="1:40" x14ac:dyDescent="0.3">
      <c r="A605" s="1">
        <v>46210.929745370369</v>
      </c>
      <c r="B605" t="s">
        <v>40</v>
      </c>
      <c r="C605" t="s">
        <v>41</v>
      </c>
      <c r="D605" s="1">
        <v>46210.932708333334</v>
      </c>
      <c r="E605" t="s">
        <v>42</v>
      </c>
      <c r="F605" t="s">
        <v>43</v>
      </c>
      <c r="G605" t="s">
        <v>43</v>
      </c>
      <c r="H605" t="s">
        <v>43</v>
      </c>
      <c r="I605" t="s">
        <v>299</v>
      </c>
      <c r="J605" t="s">
        <v>43</v>
      </c>
      <c r="K605" t="s">
        <v>43</v>
      </c>
      <c r="L605" t="s">
        <v>43</v>
      </c>
      <c r="M605" t="s">
        <v>43</v>
      </c>
      <c r="N605" t="s">
        <v>45</v>
      </c>
      <c r="O605" t="s">
        <v>43</v>
      </c>
      <c r="P605" t="s">
        <v>43</v>
      </c>
      <c r="Q605" t="s">
        <v>43</v>
      </c>
      <c r="R605" t="s">
        <v>43</v>
      </c>
      <c r="S605" t="s">
        <v>43</v>
      </c>
      <c r="T605" t="s">
        <v>43</v>
      </c>
      <c r="U605" t="s">
        <v>43</v>
      </c>
      <c r="V605" t="s">
        <v>43</v>
      </c>
      <c r="W605" t="s">
        <v>43</v>
      </c>
      <c r="X605" t="s">
        <v>43</v>
      </c>
      <c r="Y605" t="s">
        <v>43</v>
      </c>
      <c r="Z605" t="s">
        <v>43</v>
      </c>
      <c r="AA605" t="s">
        <v>43</v>
      </c>
      <c r="AB605" t="s">
        <v>43</v>
      </c>
      <c r="AC605" t="s">
        <v>43</v>
      </c>
      <c r="AD605" t="s">
        <v>43</v>
      </c>
      <c r="AE605" t="s">
        <v>43</v>
      </c>
      <c r="AF605" t="s">
        <v>43</v>
      </c>
      <c r="AG605" t="s">
        <v>43</v>
      </c>
      <c r="AH605" t="s">
        <v>43</v>
      </c>
      <c r="AI605" t="s">
        <v>43</v>
      </c>
      <c r="AJ605" t="s">
        <v>43</v>
      </c>
      <c r="AK605" t="s">
        <v>43</v>
      </c>
      <c r="AL605" t="s">
        <v>43</v>
      </c>
      <c r="AM605" t="s">
        <v>43</v>
      </c>
      <c r="AN605" t="str">
        <f>HYPERLINK("https://www.google.com/maps?q=11.05478764,79.06086731","Open Location")</f>
        <v>Open Location</v>
      </c>
    </row>
    <row r="606" spans="1:40" x14ac:dyDescent="0.3">
      <c r="A606" s="1">
        <v>46210.929629629631</v>
      </c>
      <c r="B606" t="s">
        <v>40</v>
      </c>
      <c r="C606" t="s">
        <v>41</v>
      </c>
      <c r="D606" s="1">
        <v>46210.932905092595</v>
      </c>
      <c r="E606" t="s">
        <v>42</v>
      </c>
      <c r="F606" t="s">
        <v>43</v>
      </c>
      <c r="G606" t="s">
        <v>43</v>
      </c>
      <c r="H606" t="s">
        <v>43</v>
      </c>
      <c r="I606" t="s">
        <v>300</v>
      </c>
      <c r="J606" t="s">
        <v>43</v>
      </c>
      <c r="K606" t="s">
        <v>43</v>
      </c>
      <c r="L606" t="s">
        <v>43</v>
      </c>
      <c r="M606" t="s">
        <v>43</v>
      </c>
      <c r="N606" t="s">
        <v>45</v>
      </c>
      <c r="O606" t="s">
        <v>43</v>
      </c>
      <c r="P606" t="s">
        <v>43</v>
      </c>
      <c r="Q606" t="s">
        <v>43</v>
      </c>
      <c r="R606" t="s">
        <v>43</v>
      </c>
      <c r="S606" t="s">
        <v>43</v>
      </c>
      <c r="T606" t="s">
        <v>43</v>
      </c>
      <c r="U606" t="s">
        <v>43</v>
      </c>
      <c r="V606" t="s">
        <v>43</v>
      </c>
      <c r="W606" t="s">
        <v>43</v>
      </c>
      <c r="X606" t="s">
        <v>43</v>
      </c>
      <c r="Y606" t="s">
        <v>43</v>
      </c>
      <c r="Z606" t="s">
        <v>43</v>
      </c>
      <c r="AA606" t="s">
        <v>43</v>
      </c>
      <c r="AB606" t="s">
        <v>43</v>
      </c>
      <c r="AC606" t="s">
        <v>43</v>
      </c>
      <c r="AD606" t="s">
        <v>43</v>
      </c>
      <c r="AE606" t="s">
        <v>43</v>
      </c>
      <c r="AF606" t="s">
        <v>43</v>
      </c>
      <c r="AG606" t="s">
        <v>43</v>
      </c>
      <c r="AH606" t="s">
        <v>43</v>
      </c>
      <c r="AI606" t="s">
        <v>43</v>
      </c>
      <c r="AJ606" t="s">
        <v>43</v>
      </c>
      <c r="AK606" t="s">
        <v>43</v>
      </c>
      <c r="AL606" t="s">
        <v>43</v>
      </c>
      <c r="AM606" t="s">
        <v>43</v>
      </c>
      <c r="AN606" t="str">
        <f>HYPERLINK("https://www.google.com/maps?q=11.05478859,79.06086731","Open Location")</f>
        <v>Open Location</v>
      </c>
    </row>
    <row r="607" spans="1:40" x14ac:dyDescent="0.3">
      <c r="A607" s="1">
        <v>46210.929513888892</v>
      </c>
      <c r="B607" t="s">
        <v>40</v>
      </c>
      <c r="C607" t="s">
        <v>41</v>
      </c>
      <c r="D607" s="1">
        <v>46210.932291666664</v>
      </c>
      <c r="E607" t="s">
        <v>42</v>
      </c>
      <c r="F607" t="s">
        <v>43</v>
      </c>
      <c r="G607" t="s">
        <v>43</v>
      </c>
      <c r="H607" t="s">
        <v>43</v>
      </c>
      <c r="I607" t="s">
        <v>301</v>
      </c>
      <c r="J607" t="s">
        <v>43</v>
      </c>
      <c r="K607" t="s">
        <v>43</v>
      </c>
      <c r="L607" t="s">
        <v>43</v>
      </c>
      <c r="M607" t="s">
        <v>43</v>
      </c>
      <c r="N607" t="s">
        <v>45</v>
      </c>
      <c r="O607" t="s">
        <v>43</v>
      </c>
      <c r="P607" t="s">
        <v>43</v>
      </c>
      <c r="Q607" t="s">
        <v>43</v>
      </c>
      <c r="R607" t="s">
        <v>43</v>
      </c>
      <c r="S607" t="s">
        <v>43</v>
      </c>
      <c r="T607" t="s">
        <v>43</v>
      </c>
      <c r="U607" t="s">
        <v>43</v>
      </c>
      <c r="V607" t="s">
        <v>43</v>
      </c>
      <c r="W607" t="s">
        <v>43</v>
      </c>
      <c r="X607" t="s">
        <v>43</v>
      </c>
      <c r="Y607" t="s">
        <v>43</v>
      </c>
      <c r="Z607" t="s">
        <v>43</v>
      </c>
      <c r="AA607" t="s">
        <v>43</v>
      </c>
      <c r="AB607" t="s">
        <v>43</v>
      </c>
      <c r="AC607" t="s">
        <v>43</v>
      </c>
      <c r="AD607" t="s">
        <v>43</v>
      </c>
      <c r="AE607" t="s">
        <v>43</v>
      </c>
      <c r="AF607" t="s">
        <v>43</v>
      </c>
      <c r="AG607" t="s">
        <v>43</v>
      </c>
      <c r="AH607" t="s">
        <v>43</v>
      </c>
      <c r="AI607" t="s">
        <v>43</v>
      </c>
      <c r="AJ607" t="s">
        <v>43</v>
      </c>
      <c r="AK607" t="s">
        <v>43</v>
      </c>
      <c r="AL607" t="s">
        <v>43</v>
      </c>
      <c r="AM607" t="s">
        <v>43</v>
      </c>
      <c r="AN607" t="str">
        <f>HYPERLINK("https://www.google.com/maps?q=11.0547924,79.06085968","Open Location")</f>
        <v>Open Location</v>
      </c>
    </row>
    <row r="608" spans="1:40" x14ac:dyDescent="0.3">
      <c r="A608" s="1">
        <v>46210.929398148146</v>
      </c>
      <c r="B608" t="s">
        <v>40</v>
      </c>
      <c r="C608" t="s">
        <v>41</v>
      </c>
      <c r="D608" s="1">
        <v>46210.932581018518</v>
      </c>
      <c r="E608" t="s">
        <v>42</v>
      </c>
      <c r="F608" t="s">
        <v>43</v>
      </c>
      <c r="G608" t="s">
        <v>43</v>
      </c>
      <c r="H608" t="s">
        <v>43</v>
      </c>
      <c r="I608" t="s">
        <v>302</v>
      </c>
      <c r="J608" t="s">
        <v>43</v>
      </c>
      <c r="K608" t="s">
        <v>43</v>
      </c>
      <c r="L608" t="s">
        <v>43</v>
      </c>
      <c r="M608" t="s">
        <v>43</v>
      </c>
      <c r="N608" t="s">
        <v>45</v>
      </c>
      <c r="O608" t="s">
        <v>43</v>
      </c>
      <c r="P608" t="s">
        <v>43</v>
      </c>
      <c r="Q608" t="s">
        <v>43</v>
      </c>
      <c r="R608" t="s">
        <v>43</v>
      </c>
      <c r="S608" t="s">
        <v>43</v>
      </c>
      <c r="T608" t="s">
        <v>43</v>
      </c>
      <c r="U608" t="s">
        <v>43</v>
      </c>
      <c r="V608" t="s">
        <v>43</v>
      </c>
      <c r="W608" t="s">
        <v>43</v>
      </c>
      <c r="X608" t="s">
        <v>43</v>
      </c>
      <c r="Y608" t="s">
        <v>43</v>
      </c>
      <c r="Z608" t="s">
        <v>43</v>
      </c>
      <c r="AA608" t="s">
        <v>43</v>
      </c>
      <c r="AB608" t="s">
        <v>43</v>
      </c>
      <c r="AC608" t="s">
        <v>43</v>
      </c>
      <c r="AD608" t="s">
        <v>43</v>
      </c>
      <c r="AE608" t="s">
        <v>43</v>
      </c>
      <c r="AF608" t="s">
        <v>43</v>
      </c>
      <c r="AG608" t="s">
        <v>43</v>
      </c>
      <c r="AH608" t="s">
        <v>43</v>
      </c>
      <c r="AI608" t="s">
        <v>43</v>
      </c>
      <c r="AJ608" t="s">
        <v>43</v>
      </c>
      <c r="AK608" t="s">
        <v>43</v>
      </c>
      <c r="AL608" t="s">
        <v>43</v>
      </c>
      <c r="AM608" t="s">
        <v>43</v>
      </c>
      <c r="AN608" t="str">
        <f>HYPERLINK("https://www.google.com/maps?q=11.05479527,79.06085968","Open Location")</f>
        <v>Open Location</v>
      </c>
    </row>
    <row r="609" spans="1:40" x14ac:dyDescent="0.3">
      <c r="A609" s="1">
        <v>46210.929282407407</v>
      </c>
      <c r="B609" t="s">
        <v>40</v>
      </c>
      <c r="C609" t="s">
        <v>41</v>
      </c>
      <c r="D609" s="1">
        <v>46210.932268518518</v>
      </c>
      <c r="E609" t="s">
        <v>42</v>
      </c>
      <c r="F609" t="s">
        <v>43</v>
      </c>
      <c r="G609" t="s">
        <v>43</v>
      </c>
      <c r="H609" t="s">
        <v>43</v>
      </c>
      <c r="I609" t="s">
        <v>43</v>
      </c>
      <c r="J609" t="s">
        <v>43</v>
      </c>
      <c r="K609" t="s">
        <v>43</v>
      </c>
      <c r="L609" t="s">
        <v>43</v>
      </c>
      <c r="M609" t="s">
        <v>43</v>
      </c>
      <c r="N609" t="s">
        <v>45</v>
      </c>
      <c r="O609" t="s">
        <v>43</v>
      </c>
      <c r="P609" t="s">
        <v>43</v>
      </c>
      <c r="Q609" t="s">
        <v>43</v>
      </c>
      <c r="R609" t="s">
        <v>43</v>
      </c>
      <c r="S609" t="s">
        <v>43</v>
      </c>
      <c r="T609" t="s">
        <v>43</v>
      </c>
      <c r="U609" t="s">
        <v>43</v>
      </c>
      <c r="V609" t="s">
        <v>43</v>
      </c>
      <c r="W609" t="s">
        <v>43</v>
      </c>
      <c r="X609" t="s">
        <v>43</v>
      </c>
      <c r="Y609" t="s">
        <v>43</v>
      </c>
      <c r="Z609" t="s">
        <v>43</v>
      </c>
      <c r="AA609" t="s">
        <v>43</v>
      </c>
      <c r="AB609" t="s">
        <v>43</v>
      </c>
      <c r="AC609" t="s">
        <v>43</v>
      </c>
      <c r="AD609" t="s">
        <v>43</v>
      </c>
      <c r="AE609" t="s">
        <v>43</v>
      </c>
      <c r="AF609" t="s">
        <v>43</v>
      </c>
      <c r="AG609" t="s">
        <v>43</v>
      </c>
      <c r="AH609" t="s">
        <v>43</v>
      </c>
      <c r="AI609" t="s">
        <v>43</v>
      </c>
      <c r="AJ609" t="s">
        <v>43</v>
      </c>
      <c r="AK609" t="s">
        <v>43</v>
      </c>
      <c r="AL609" t="s">
        <v>43</v>
      </c>
      <c r="AM609" t="s">
        <v>43</v>
      </c>
      <c r="AN609" t="s">
        <v>43</v>
      </c>
    </row>
    <row r="610" spans="1:40" x14ac:dyDescent="0.3">
      <c r="A610" s="1">
        <v>46210.929166666669</v>
      </c>
      <c r="B610" t="s">
        <v>40</v>
      </c>
      <c r="C610" t="s">
        <v>41</v>
      </c>
      <c r="D610" s="1">
        <v>46210.932291666664</v>
      </c>
      <c r="E610" t="s">
        <v>42</v>
      </c>
      <c r="F610" t="s">
        <v>43</v>
      </c>
      <c r="G610" t="s">
        <v>43</v>
      </c>
      <c r="H610" t="s">
        <v>43</v>
      </c>
      <c r="I610" t="s">
        <v>303</v>
      </c>
      <c r="J610" t="s">
        <v>43</v>
      </c>
      <c r="K610" t="s">
        <v>43</v>
      </c>
      <c r="L610" t="s">
        <v>43</v>
      </c>
      <c r="M610" t="s">
        <v>43</v>
      </c>
      <c r="N610" t="s">
        <v>45</v>
      </c>
      <c r="O610" t="s">
        <v>43</v>
      </c>
      <c r="P610" t="s">
        <v>43</v>
      </c>
      <c r="Q610" t="s">
        <v>43</v>
      </c>
      <c r="R610" t="s">
        <v>43</v>
      </c>
      <c r="S610" t="s">
        <v>43</v>
      </c>
      <c r="T610" t="s">
        <v>43</v>
      </c>
      <c r="U610" t="s">
        <v>43</v>
      </c>
      <c r="V610" t="s">
        <v>43</v>
      </c>
      <c r="W610" t="s">
        <v>43</v>
      </c>
      <c r="X610" t="s">
        <v>43</v>
      </c>
      <c r="Y610" t="s">
        <v>43</v>
      </c>
      <c r="Z610" t="s">
        <v>43</v>
      </c>
      <c r="AA610" t="s">
        <v>43</v>
      </c>
      <c r="AB610" t="s">
        <v>43</v>
      </c>
      <c r="AC610" t="s">
        <v>43</v>
      </c>
      <c r="AD610" t="s">
        <v>43</v>
      </c>
      <c r="AE610" t="s">
        <v>43</v>
      </c>
      <c r="AF610" t="s">
        <v>43</v>
      </c>
      <c r="AG610" t="s">
        <v>43</v>
      </c>
      <c r="AH610" t="s">
        <v>43</v>
      </c>
      <c r="AI610" t="s">
        <v>43</v>
      </c>
      <c r="AJ610" t="s">
        <v>43</v>
      </c>
      <c r="AK610" t="s">
        <v>43</v>
      </c>
      <c r="AL610" t="s">
        <v>43</v>
      </c>
      <c r="AM610" t="s">
        <v>43</v>
      </c>
      <c r="AN610" t="str">
        <f>HYPERLINK("https://www.google.com/maps?q=11.05479527,79.06084442","Open Location")</f>
        <v>Open Location</v>
      </c>
    </row>
    <row r="611" spans="1:40" x14ac:dyDescent="0.3">
      <c r="A611" s="1">
        <v>46210.929050925923</v>
      </c>
      <c r="B611" t="s">
        <v>40</v>
      </c>
      <c r="C611" t="s">
        <v>41</v>
      </c>
      <c r="D611" s="1">
        <v>46210.932118055556</v>
      </c>
      <c r="E611" t="s">
        <v>42</v>
      </c>
      <c r="F611" t="s">
        <v>43</v>
      </c>
      <c r="G611" t="s">
        <v>43</v>
      </c>
      <c r="H611" t="s">
        <v>43</v>
      </c>
      <c r="I611" t="s">
        <v>304</v>
      </c>
      <c r="J611" t="s">
        <v>43</v>
      </c>
      <c r="K611" t="s">
        <v>43</v>
      </c>
      <c r="L611" t="s">
        <v>43</v>
      </c>
      <c r="M611" t="s">
        <v>43</v>
      </c>
      <c r="N611" t="s">
        <v>45</v>
      </c>
      <c r="O611" t="s">
        <v>43</v>
      </c>
      <c r="P611" t="s">
        <v>43</v>
      </c>
      <c r="Q611" t="s">
        <v>43</v>
      </c>
      <c r="R611" t="s">
        <v>43</v>
      </c>
      <c r="S611" t="s">
        <v>43</v>
      </c>
      <c r="T611" t="s">
        <v>43</v>
      </c>
      <c r="U611" t="s">
        <v>43</v>
      </c>
      <c r="V611" t="s">
        <v>43</v>
      </c>
      <c r="W611" t="s">
        <v>43</v>
      </c>
      <c r="X611" t="s">
        <v>43</v>
      </c>
      <c r="Y611" t="s">
        <v>43</v>
      </c>
      <c r="Z611" t="s">
        <v>43</v>
      </c>
      <c r="AA611" t="s">
        <v>43</v>
      </c>
      <c r="AB611" t="s">
        <v>43</v>
      </c>
      <c r="AC611" t="s">
        <v>43</v>
      </c>
      <c r="AD611" t="s">
        <v>43</v>
      </c>
      <c r="AE611" t="s">
        <v>43</v>
      </c>
      <c r="AF611" t="s">
        <v>43</v>
      </c>
      <c r="AG611" t="s">
        <v>43</v>
      </c>
      <c r="AH611" t="s">
        <v>43</v>
      </c>
      <c r="AI611" t="s">
        <v>43</v>
      </c>
      <c r="AJ611" t="s">
        <v>43</v>
      </c>
      <c r="AK611" t="s">
        <v>43</v>
      </c>
      <c r="AL611" t="s">
        <v>43</v>
      </c>
      <c r="AM611" t="s">
        <v>43</v>
      </c>
      <c r="AN611" t="str">
        <f>HYPERLINK("https://www.google.com/maps?q=11.05479431,79.06085968","Open Location")</f>
        <v>Open Location</v>
      </c>
    </row>
    <row r="612" spans="1:40" x14ac:dyDescent="0.3">
      <c r="A612" s="1">
        <v>46210.928935185184</v>
      </c>
      <c r="B612" t="s">
        <v>40</v>
      </c>
      <c r="C612" t="s">
        <v>41</v>
      </c>
      <c r="D612" s="1">
        <v>46210.931979166664</v>
      </c>
      <c r="E612" t="s">
        <v>42</v>
      </c>
      <c r="F612" t="s">
        <v>43</v>
      </c>
      <c r="G612" t="s">
        <v>43</v>
      </c>
      <c r="H612" t="s">
        <v>43</v>
      </c>
      <c r="I612" t="s">
        <v>305</v>
      </c>
      <c r="J612" t="s">
        <v>43</v>
      </c>
      <c r="K612" t="s">
        <v>43</v>
      </c>
      <c r="L612" t="s">
        <v>43</v>
      </c>
      <c r="M612" t="s">
        <v>43</v>
      </c>
      <c r="N612" t="s">
        <v>45</v>
      </c>
      <c r="O612" t="s">
        <v>43</v>
      </c>
      <c r="P612" t="s">
        <v>43</v>
      </c>
      <c r="Q612" t="s">
        <v>43</v>
      </c>
      <c r="R612" t="s">
        <v>43</v>
      </c>
      <c r="S612" t="s">
        <v>43</v>
      </c>
      <c r="T612" t="s">
        <v>43</v>
      </c>
      <c r="U612" t="s">
        <v>43</v>
      </c>
      <c r="V612" t="s">
        <v>43</v>
      </c>
      <c r="W612" t="s">
        <v>43</v>
      </c>
      <c r="X612" t="s">
        <v>43</v>
      </c>
      <c r="Y612" t="s">
        <v>43</v>
      </c>
      <c r="Z612" t="s">
        <v>43</v>
      </c>
      <c r="AA612" t="s">
        <v>43</v>
      </c>
      <c r="AB612" t="s">
        <v>43</v>
      </c>
      <c r="AC612" t="s">
        <v>43</v>
      </c>
      <c r="AD612" t="s">
        <v>43</v>
      </c>
      <c r="AE612" t="s">
        <v>43</v>
      </c>
      <c r="AF612" t="s">
        <v>43</v>
      </c>
      <c r="AG612" t="s">
        <v>43</v>
      </c>
      <c r="AH612" t="s">
        <v>43</v>
      </c>
      <c r="AI612" t="s">
        <v>43</v>
      </c>
      <c r="AJ612" t="s">
        <v>43</v>
      </c>
      <c r="AK612" t="s">
        <v>43</v>
      </c>
      <c r="AL612" t="s">
        <v>43</v>
      </c>
      <c r="AM612" t="s">
        <v>43</v>
      </c>
      <c r="AN612" t="str">
        <f>HYPERLINK("https://www.google.com/maps?q=11.05479336,79.06085968","Open Location")</f>
        <v>Open Location</v>
      </c>
    </row>
    <row r="613" spans="1:40" x14ac:dyDescent="0.3">
      <c r="A613" s="1">
        <v>46210.928819444445</v>
      </c>
      <c r="B613" t="s">
        <v>40</v>
      </c>
      <c r="C613" t="s">
        <v>41</v>
      </c>
      <c r="D613" s="1">
        <v>46210.931585648148</v>
      </c>
      <c r="E613" t="s">
        <v>42</v>
      </c>
      <c r="F613" t="s">
        <v>43</v>
      </c>
      <c r="G613" t="s">
        <v>43</v>
      </c>
      <c r="H613" t="s">
        <v>43</v>
      </c>
      <c r="I613" t="s">
        <v>304</v>
      </c>
      <c r="J613" t="s">
        <v>43</v>
      </c>
      <c r="K613" t="s">
        <v>43</v>
      </c>
      <c r="L613" t="s">
        <v>43</v>
      </c>
      <c r="M613" t="s">
        <v>43</v>
      </c>
      <c r="N613" t="s">
        <v>45</v>
      </c>
      <c r="O613" t="s">
        <v>43</v>
      </c>
      <c r="P613" t="s">
        <v>43</v>
      </c>
      <c r="Q613" t="s">
        <v>43</v>
      </c>
      <c r="R613" t="s">
        <v>43</v>
      </c>
      <c r="S613" t="s">
        <v>43</v>
      </c>
      <c r="T613" t="s">
        <v>43</v>
      </c>
      <c r="U613" t="s">
        <v>43</v>
      </c>
      <c r="V613" t="s">
        <v>43</v>
      </c>
      <c r="W613" t="s">
        <v>43</v>
      </c>
      <c r="X613" t="s">
        <v>43</v>
      </c>
      <c r="Y613" t="s">
        <v>43</v>
      </c>
      <c r="Z613" t="s">
        <v>43</v>
      </c>
      <c r="AA613" t="s">
        <v>43</v>
      </c>
      <c r="AB613" t="s">
        <v>43</v>
      </c>
      <c r="AC613" t="s">
        <v>43</v>
      </c>
      <c r="AD613" t="s">
        <v>43</v>
      </c>
      <c r="AE613" t="s">
        <v>43</v>
      </c>
      <c r="AF613" t="s">
        <v>43</v>
      </c>
      <c r="AG613" t="s">
        <v>43</v>
      </c>
      <c r="AH613" t="s">
        <v>43</v>
      </c>
      <c r="AI613" t="s">
        <v>43</v>
      </c>
      <c r="AJ613" t="s">
        <v>43</v>
      </c>
      <c r="AK613" t="s">
        <v>43</v>
      </c>
      <c r="AL613" t="s">
        <v>43</v>
      </c>
      <c r="AM613" t="s">
        <v>43</v>
      </c>
      <c r="AN613" t="str">
        <f>HYPERLINK("https://www.google.com/maps?q=11.05479431,79.06085968","Open Location")</f>
        <v>Open Location</v>
      </c>
    </row>
    <row r="614" spans="1:40" x14ac:dyDescent="0.3">
      <c r="A614" s="1">
        <v>46210.928703703707</v>
      </c>
      <c r="B614" t="s">
        <v>40</v>
      </c>
      <c r="C614" t="s">
        <v>41</v>
      </c>
      <c r="D614" s="1">
        <v>46210.931689814817</v>
      </c>
      <c r="E614" t="s">
        <v>42</v>
      </c>
      <c r="F614" t="s">
        <v>43</v>
      </c>
      <c r="G614" t="s">
        <v>43</v>
      </c>
      <c r="H614" t="s">
        <v>43</v>
      </c>
      <c r="I614" t="s">
        <v>302</v>
      </c>
      <c r="J614" t="s">
        <v>43</v>
      </c>
      <c r="K614" t="s">
        <v>43</v>
      </c>
      <c r="L614" t="s">
        <v>43</v>
      </c>
      <c r="M614" t="s">
        <v>43</v>
      </c>
      <c r="N614" t="s">
        <v>45</v>
      </c>
      <c r="O614" t="s">
        <v>43</v>
      </c>
      <c r="P614" t="s">
        <v>43</v>
      </c>
      <c r="Q614" t="s">
        <v>43</v>
      </c>
      <c r="R614" t="s">
        <v>43</v>
      </c>
      <c r="S614" t="s">
        <v>43</v>
      </c>
      <c r="T614" t="s">
        <v>43</v>
      </c>
      <c r="U614" t="s">
        <v>43</v>
      </c>
      <c r="V614" t="s">
        <v>43</v>
      </c>
      <c r="W614" t="s">
        <v>43</v>
      </c>
      <c r="X614" t="s">
        <v>43</v>
      </c>
      <c r="Y614" t="s">
        <v>43</v>
      </c>
      <c r="Z614" t="s">
        <v>43</v>
      </c>
      <c r="AA614" t="s">
        <v>43</v>
      </c>
      <c r="AB614" t="s">
        <v>43</v>
      </c>
      <c r="AC614" t="s">
        <v>43</v>
      </c>
      <c r="AD614" t="s">
        <v>43</v>
      </c>
      <c r="AE614" t="s">
        <v>43</v>
      </c>
      <c r="AF614" t="s">
        <v>43</v>
      </c>
      <c r="AG614" t="s">
        <v>43</v>
      </c>
      <c r="AH614" t="s">
        <v>43</v>
      </c>
      <c r="AI614" t="s">
        <v>43</v>
      </c>
      <c r="AJ614" t="s">
        <v>43</v>
      </c>
      <c r="AK614" t="s">
        <v>43</v>
      </c>
      <c r="AL614" t="s">
        <v>43</v>
      </c>
      <c r="AM614" t="s">
        <v>43</v>
      </c>
      <c r="AN614" t="str">
        <f>HYPERLINK("https://www.google.com/maps?q=11.05479527,79.06085968","Open Location")</f>
        <v>Open Location</v>
      </c>
    </row>
    <row r="615" spans="1:40" x14ac:dyDescent="0.3">
      <c r="A615" s="1">
        <v>46210.928587962961</v>
      </c>
      <c r="B615" t="s">
        <v>40</v>
      </c>
      <c r="C615" t="s">
        <v>41</v>
      </c>
      <c r="D615" s="1">
        <v>46210.931689814817</v>
      </c>
      <c r="E615" t="s">
        <v>42</v>
      </c>
      <c r="F615" t="s">
        <v>43</v>
      </c>
      <c r="G615" t="s">
        <v>43</v>
      </c>
      <c r="H615" t="s">
        <v>43</v>
      </c>
      <c r="I615" t="s">
        <v>43</v>
      </c>
      <c r="J615" t="s">
        <v>43</v>
      </c>
      <c r="K615" t="s">
        <v>43</v>
      </c>
      <c r="L615" t="s">
        <v>43</v>
      </c>
      <c r="M615" t="s">
        <v>43</v>
      </c>
      <c r="N615" t="s">
        <v>45</v>
      </c>
      <c r="O615" t="s">
        <v>43</v>
      </c>
      <c r="P615" t="s">
        <v>43</v>
      </c>
      <c r="Q615" t="s">
        <v>43</v>
      </c>
      <c r="R615" t="s">
        <v>43</v>
      </c>
      <c r="S615" t="s">
        <v>43</v>
      </c>
      <c r="T615" t="s">
        <v>43</v>
      </c>
      <c r="U615" t="s">
        <v>43</v>
      </c>
      <c r="V615" t="s">
        <v>43</v>
      </c>
      <c r="W615" t="s">
        <v>43</v>
      </c>
      <c r="X615" t="s">
        <v>43</v>
      </c>
      <c r="Y615" t="s">
        <v>43</v>
      </c>
      <c r="Z615" t="s">
        <v>43</v>
      </c>
      <c r="AA615" t="s">
        <v>43</v>
      </c>
      <c r="AB615" t="s">
        <v>43</v>
      </c>
      <c r="AC615" t="s">
        <v>43</v>
      </c>
      <c r="AD615" t="s">
        <v>43</v>
      </c>
      <c r="AE615" t="s">
        <v>43</v>
      </c>
      <c r="AF615" t="s">
        <v>43</v>
      </c>
      <c r="AG615" t="s">
        <v>43</v>
      </c>
      <c r="AH615" t="s">
        <v>43</v>
      </c>
      <c r="AI615" t="s">
        <v>43</v>
      </c>
      <c r="AJ615" t="s">
        <v>43</v>
      </c>
      <c r="AK615" t="s">
        <v>43</v>
      </c>
      <c r="AL615" t="s">
        <v>43</v>
      </c>
      <c r="AM615" t="s">
        <v>43</v>
      </c>
      <c r="AN615" t="s">
        <v>43</v>
      </c>
    </row>
    <row r="616" spans="1:40" x14ac:dyDescent="0.3">
      <c r="A616" s="1">
        <v>46210.928472222222</v>
      </c>
      <c r="B616" t="s">
        <v>40</v>
      </c>
      <c r="C616" t="s">
        <v>41</v>
      </c>
      <c r="D616" s="1">
        <v>46210.931562500002</v>
      </c>
      <c r="E616" t="s">
        <v>42</v>
      </c>
      <c r="F616" t="s">
        <v>43</v>
      </c>
      <c r="G616" t="s">
        <v>43</v>
      </c>
      <c r="H616" t="s">
        <v>43</v>
      </c>
      <c r="I616" t="s">
        <v>304</v>
      </c>
      <c r="J616" t="s">
        <v>43</v>
      </c>
      <c r="K616" t="s">
        <v>43</v>
      </c>
      <c r="L616" t="s">
        <v>43</v>
      </c>
      <c r="M616" t="s">
        <v>43</v>
      </c>
      <c r="N616" t="s">
        <v>45</v>
      </c>
      <c r="O616" t="s">
        <v>43</v>
      </c>
      <c r="P616" t="s">
        <v>43</v>
      </c>
      <c r="Q616" t="s">
        <v>43</v>
      </c>
      <c r="R616" t="s">
        <v>43</v>
      </c>
      <c r="S616" t="s">
        <v>43</v>
      </c>
      <c r="T616" t="s">
        <v>43</v>
      </c>
      <c r="U616" t="s">
        <v>43</v>
      </c>
      <c r="V616" t="s">
        <v>43</v>
      </c>
      <c r="W616" t="s">
        <v>43</v>
      </c>
      <c r="X616" t="s">
        <v>43</v>
      </c>
      <c r="Y616" t="s">
        <v>43</v>
      </c>
      <c r="Z616" t="s">
        <v>43</v>
      </c>
      <c r="AA616" t="s">
        <v>43</v>
      </c>
      <c r="AB616" t="s">
        <v>43</v>
      </c>
      <c r="AC616" t="s">
        <v>43</v>
      </c>
      <c r="AD616" t="s">
        <v>43</v>
      </c>
      <c r="AE616" t="s">
        <v>43</v>
      </c>
      <c r="AF616" t="s">
        <v>43</v>
      </c>
      <c r="AG616" t="s">
        <v>43</v>
      </c>
      <c r="AH616" t="s">
        <v>43</v>
      </c>
      <c r="AI616" t="s">
        <v>43</v>
      </c>
      <c r="AJ616" t="s">
        <v>43</v>
      </c>
      <c r="AK616" t="s">
        <v>43</v>
      </c>
      <c r="AL616" t="s">
        <v>43</v>
      </c>
      <c r="AM616" t="s">
        <v>43</v>
      </c>
      <c r="AN616" t="str">
        <f>HYPERLINK("https://www.google.com/maps?q=11.05479431,79.06085968","Open Location")</f>
        <v>Open Location</v>
      </c>
    </row>
    <row r="617" spans="1:40" x14ac:dyDescent="0.3">
      <c r="A617" s="1">
        <v>46210.928356481483</v>
      </c>
      <c r="B617" t="s">
        <v>40</v>
      </c>
      <c r="C617" t="s">
        <v>41</v>
      </c>
      <c r="D617" s="1">
        <v>46210.931296296294</v>
      </c>
      <c r="E617" t="s">
        <v>42</v>
      </c>
      <c r="F617" t="s">
        <v>43</v>
      </c>
      <c r="G617" t="s">
        <v>43</v>
      </c>
      <c r="H617" t="s">
        <v>43</v>
      </c>
      <c r="I617" t="s">
        <v>306</v>
      </c>
      <c r="J617" t="s">
        <v>43</v>
      </c>
      <c r="K617" t="s">
        <v>43</v>
      </c>
      <c r="L617" t="s">
        <v>43</v>
      </c>
      <c r="M617" t="s">
        <v>43</v>
      </c>
      <c r="N617" t="s">
        <v>45</v>
      </c>
      <c r="O617" t="s">
        <v>43</v>
      </c>
      <c r="P617" t="s">
        <v>43</v>
      </c>
      <c r="Q617" t="s">
        <v>43</v>
      </c>
      <c r="R617" t="s">
        <v>43</v>
      </c>
      <c r="S617" t="s">
        <v>43</v>
      </c>
      <c r="T617" t="s">
        <v>43</v>
      </c>
      <c r="U617" t="s">
        <v>43</v>
      </c>
      <c r="V617" t="s">
        <v>43</v>
      </c>
      <c r="W617" t="s">
        <v>43</v>
      </c>
      <c r="X617" t="s">
        <v>43</v>
      </c>
      <c r="Y617" t="s">
        <v>43</v>
      </c>
      <c r="Z617" t="s">
        <v>43</v>
      </c>
      <c r="AA617" t="s">
        <v>43</v>
      </c>
      <c r="AB617" t="s">
        <v>43</v>
      </c>
      <c r="AC617" t="s">
        <v>43</v>
      </c>
      <c r="AD617" t="s">
        <v>43</v>
      </c>
      <c r="AE617" t="s">
        <v>43</v>
      </c>
      <c r="AF617" t="s">
        <v>43</v>
      </c>
      <c r="AG617" t="s">
        <v>43</v>
      </c>
      <c r="AH617" t="s">
        <v>43</v>
      </c>
      <c r="AI617" t="s">
        <v>43</v>
      </c>
      <c r="AJ617" t="s">
        <v>43</v>
      </c>
      <c r="AK617" t="s">
        <v>43</v>
      </c>
      <c r="AL617" t="s">
        <v>43</v>
      </c>
      <c r="AM617" t="s">
        <v>43</v>
      </c>
      <c r="AN617" t="str">
        <f>HYPERLINK("https://www.google.com/maps?q=11.05478668,79.06084442","Open Location")</f>
        <v>Open Location</v>
      </c>
    </row>
    <row r="618" spans="1:40" x14ac:dyDescent="0.3">
      <c r="A618" s="1">
        <v>46210.928240740737</v>
      </c>
      <c r="B618" t="s">
        <v>40</v>
      </c>
      <c r="C618" t="s">
        <v>41</v>
      </c>
      <c r="D618" s="1">
        <v>46210.931331018517</v>
      </c>
      <c r="E618" t="s">
        <v>42</v>
      </c>
      <c r="F618" t="s">
        <v>43</v>
      </c>
      <c r="G618" t="s">
        <v>43</v>
      </c>
      <c r="H618" t="s">
        <v>43</v>
      </c>
      <c r="I618" t="s">
        <v>307</v>
      </c>
      <c r="J618" t="s">
        <v>43</v>
      </c>
      <c r="K618" t="s">
        <v>43</v>
      </c>
      <c r="L618" t="s">
        <v>43</v>
      </c>
      <c r="M618" t="s">
        <v>43</v>
      </c>
      <c r="N618" t="s">
        <v>45</v>
      </c>
      <c r="O618" t="s">
        <v>43</v>
      </c>
      <c r="P618" t="s">
        <v>43</v>
      </c>
      <c r="Q618" t="s">
        <v>43</v>
      </c>
      <c r="R618" t="s">
        <v>43</v>
      </c>
      <c r="S618" t="s">
        <v>43</v>
      </c>
      <c r="T618" t="s">
        <v>43</v>
      </c>
      <c r="U618" t="s">
        <v>43</v>
      </c>
      <c r="V618" t="s">
        <v>43</v>
      </c>
      <c r="W618" t="s">
        <v>43</v>
      </c>
      <c r="X618" t="s">
        <v>43</v>
      </c>
      <c r="Y618" t="s">
        <v>43</v>
      </c>
      <c r="Z618" t="s">
        <v>43</v>
      </c>
      <c r="AA618" t="s">
        <v>43</v>
      </c>
      <c r="AB618" t="s">
        <v>43</v>
      </c>
      <c r="AC618" t="s">
        <v>43</v>
      </c>
      <c r="AD618" t="s">
        <v>43</v>
      </c>
      <c r="AE618" t="s">
        <v>43</v>
      </c>
      <c r="AF618" t="s">
        <v>43</v>
      </c>
      <c r="AG618" t="s">
        <v>43</v>
      </c>
      <c r="AH618" t="s">
        <v>43</v>
      </c>
      <c r="AI618" t="s">
        <v>43</v>
      </c>
      <c r="AJ618" t="s">
        <v>43</v>
      </c>
      <c r="AK618" t="s">
        <v>43</v>
      </c>
      <c r="AL618" t="s">
        <v>43</v>
      </c>
      <c r="AM618" t="s">
        <v>43</v>
      </c>
      <c r="AN618" t="str">
        <f>HYPERLINK("https://www.google.com/maps?q=11.05478287,79.06084442","Open Location")</f>
        <v>Open Location</v>
      </c>
    </row>
    <row r="619" spans="1:40" x14ac:dyDescent="0.3">
      <c r="A619" s="1">
        <v>46210.928124999999</v>
      </c>
      <c r="B619" t="s">
        <v>40</v>
      </c>
      <c r="C619" t="s">
        <v>41</v>
      </c>
      <c r="D619" s="1">
        <v>46210.931192129632</v>
      </c>
      <c r="E619" t="s">
        <v>42</v>
      </c>
      <c r="F619" t="s">
        <v>43</v>
      </c>
      <c r="G619" t="s">
        <v>43</v>
      </c>
      <c r="H619" t="s">
        <v>43</v>
      </c>
      <c r="I619" t="s">
        <v>308</v>
      </c>
      <c r="J619" t="s">
        <v>43</v>
      </c>
      <c r="K619" t="s">
        <v>43</v>
      </c>
      <c r="L619" t="s">
        <v>43</v>
      </c>
      <c r="M619" t="s">
        <v>43</v>
      </c>
      <c r="N619" t="s">
        <v>45</v>
      </c>
      <c r="O619" t="s">
        <v>43</v>
      </c>
      <c r="P619" t="s">
        <v>43</v>
      </c>
      <c r="Q619" t="s">
        <v>43</v>
      </c>
      <c r="R619" t="s">
        <v>43</v>
      </c>
      <c r="S619" t="s">
        <v>43</v>
      </c>
      <c r="T619" t="s">
        <v>43</v>
      </c>
      <c r="U619" t="s">
        <v>43</v>
      </c>
      <c r="V619" t="s">
        <v>43</v>
      </c>
      <c r="W619" t="s">
        <v>43</v>
      </c>
      <c r="X619" t="s">
        <v>43</v>
      </c>
      <c r="Y619" t="s">
        <v>43</v>
      </c>
      <c r="Z619" t="s">
        <v>43</v>
      </c>
      <c r="AA619" t="s">
        <v>43</v>
      </c>
      <c r="AB619" t="s">
        <v>43</v>
      </c>
      <c r="AC619" t="s">
        <v>43</v>
      </c>
      <c r="AD619" t="s">
        <v>43</v>
      </c>
      <c r="AE619" t="s">
        <v>43</v>
      </c>
      <c r="AF619" t="s">
        <v>43</v>
      </c>
      <c r="AG619" t="s">
        <v>43</v>
      </c>
      <c r="AH619" t="s">
        <v>43</v>
      </c>
      <c r="AI619" t="s">
        <v>43</v>
      </c>
      <c r="AJ619" t="s">
        <v>43</v>
      </c>
      <c r="AK619" t="s">
        <v>43</v>
      </c>
      <c r="AL619" t="s">
        <v>43</v>
      </c>
      <c r="AM619" t="s">
        <v>43</v>
      </c>
      <c r="AN619" t="str">
        <f>HYPERLINK("https://www.google.com/maps?q=11.05478287,79.06083679","Open Location")</f>
        <v>Open Location</v>
      </c>
    </row>
    <row r="620" spans="1:40" x14ac:dyDescent="0.3">
      <c r="A620" s="1">
        <v>46210.92800925926</v>
      </c>
      <c r="B620" t="s">
        <v>40</v>
      </c>
      <c r="C620" t="s">
        <v>41</v>
      </c>
      <c r="D620" s="1">
        <v>46210.930949074071</v>
      </c>
      <c r="E620" t="s">
        <v>42</v>
      </c>
      <c r="F620" t="s">
        <v>43</v>
      </c>
      <c r="G620" t="s">
        <v>43</v>
      </c>
      <c r="H620" t="s">
        <v>43</v>
      </c>
      <c r="I620" t="s">
        <v>43</v>
      </c>
      <c r="J620" t="s">
        <v>43</v>
      </c>
      <c r="K620" t="s">
        <v>43</v>
      </c>
      <c r="L620" t="s">
        <v>43</v>
      </c>
      <c r="M620" t="s">
        <v>43</v>
      </c>
      <c r="N620" t="s">
        <v>45</v>
      </c>
      <c r="O620" t="s">
        <v>43</v>
      </c>
      <c r="P620" t="s">
        <v>43</v>
      </c>
      <c r="Q620" t="s">
        <v>43</v>
      </c>
      <c r="R620" t="s">
        <v>43</v>
      </c>
      <c r="S620" t="s">
        <v>43</v>
      </c>
      <c r="T620" t="s">
        <v>43</v>
      </c>
      <c r="U620" t="s">
        <v>43</v>
      </c>
      <c r="V620" t="s">
        <v>43</v>
      </c>
      <c r="W620" t="s">
        <v>43</v>
      </c>
      <c r="X620" t="s">
        <v>43</v>
      </c>
      <c r="Y620" t="s">
        <v>43</v>
      </c>
      <c r="Z620" t="s">
        <v>43</v>
      </c>
      <c r="AA620" t="s">
        <v>43</v>
      </c>
      <c r="AB620" t="s">
        <v>43</v>
      </c>
      <c r="AC620" t="s">
        <v>43</v>
      </c>
      <c r="AD620" t="s">
        <v>43</v>
      </c>
      <c r="AE620" t="s">
        <v>43</v>
      </c>
      <c r="AF620" t="s">
        <v>43</v>
      </c>
      <c r="AG620" t="s">
        <v>43</v>
      </c>
      <c r="AH620" t="s">
        <v>43</v>
      </c>
      <c r="AI620" t="s">
        <v>43</v>
      </c>
      <c r="AJ620" t="s">
        <v>43</v>
      </c>
      <c r="AK620" t="s">
        <v>43</v>
      </c>
      <c r="AL620" t="s">
        <v>43</v>
      </c>
      <c r="AM620" t="s">
        <v>43</v>
      </c>
      <c r="AN620" t="s">
        <v>43</v>
      </c>
    </row>
    <row r="621" spans="1:40" x14ac:dyDescent="0.3">
      <c r="A621" s="1">
        <v>46210.927893518521</v>
      </c>
      <c r="B621" t="s">
        <v>40</v>
      </c>
      <c r="C621" t="s">
        <v>41</v>
      </c>
      <c r="D621" s="1">
        <v>46210.930833333332</v>
      </c>
      <c r="E621" t="s">
        <v>42</v>
      </c>
      <c r="F621" t="s">
        <v>43</v>
      </c>
      <c r="G621" t="s">
        <v>43</v>
      </c>
      <c r="H621" t="s">
        <v>43</v>
      </c>
      <c r="I621" t="s">
        <v>308</v>
      </c>
      <c r="J621" t="s">
        <v>43</v>
      </c>
      <c r="K621" t="s">
        <v>43</v>
      </c>
      <c r="L621" t="s">
        <v>43</v>
      </c>
      <c r="M621" t="s">
        <v>43</v>
      </c>
      <c r="N621" t="s">
        <v>45</v>
      </c>
      <c r="O621" t="s">
        <v>43</v>
      </c>
      <c r="P621" t="s">
        <v>43</v>
      </c>
      <c r="Q621" t="s">
        <v>43</v>
      </c>
      <c r="R621" t="s">
        <v>43</v>
      </c>
      <c r="S621" t="s">
        <v>43</v>
      </c>
      <c r="T621" t="s">
        <v>43</v>
      </c>
      <c r="U621" t="s">
        <v>43</v>
      </c>
      <c r="V621" t="s">
        <v>43</v>
      </c>
      <c r="W621" t="s">
        <v>43</v>
      </c>
      <c r="X621" t="s">
        <v>43</v>
      </c>
      <c r="Y621" t="s">
        <v>43</v>
      </c>
      <c r="Z621" t="s">
        <v>43</v>
      </c>
      <c r="AA621" t="s">
        <v>43</v>
      </c>
      <c r="AB621" t="s">
        <v>43</v>
      </c>
      <c r="AC621" t="s">
        <v>43</v>
      </c>
      <c r="AD621" t="s">
        <v>43</v>
      </c>
      <c r="AE621" t="s">
        <v>43</v>
      </c>
      <c r="AF621" t="s">
        <v>43</v>
      </c>
      <c r="AG621" t="s">
        <v>43</v>
      </c>
      <c r="AH621" t="s">
        <v>43</v>
      </c>
      <c r="AI621" t="s">
        <v>43</v>
      </c>
      <c r="AJ621" t="s">
        <v>43</v>
      </c>
      <c r="AK621" t="s">
        <v>43</v>
      </c>
      <c r="AL621" t="s">
        <v>43</v>
      </c>
      <c r="AM621" t="s">
        <v>43</v>
      </c>
      <c r="AN621" t="str">
        <f>HYPERLINK("https://www.google.com/maps?q=11.05478287,79.06083679","Open Location")</f>
        <v>Open Location</v>
      </c>
    </row>
    <row r="622" spans="1:40" x14ac:dyDescent="0.3">
      <c r="A622" s="1">
        <v>46210.927777777775</v>
      </c>
      <c r="B622" t="s">
        <v>40</v>
      </c>
      <c r="C622" t="s">
        <v>41</v>
      </c>
      <c r="D622" s="1">
        <v>46210.930949074071</v>
      </c>
      <c r="E622" t="s">
        <v>42</v>
      </c>
      <c r="F622" t="s">
        <v>43</v>
      </c>
      <c r="G622" t="s">
        <v>43</v>
      </c>
      <c r="H622" t="s">
        <v>43</v>
      </c>
      <c r="I622" t="s">
        <v>43</v>
      </c>
      <c r="J622" t="s">
        <v>43</v>
      </c>
      <c r="K622" t="s">
        <v>43</v>
      </c>
      <c r="L622" t="s">
        <v>43</v>
      </c>
      <c r="M622" t="s">
        <v>43</v>
      </c>
      <c r="N622" t="s">
        <v>45</v>
      </c>
      <c r="O622" t="s">
        <v>43</v>
      </c>
      <c r="P622" t="s">
        <v>43</v>
      </c>
      <c r="Q622" t="s">
        <v>43</v>
      </c>
      <c r="R622" t="s">
        <v>43</v>
      </c>
      <c r="S622" t="s">
        <v>43</v>
      </c>
      <c r="T622" t="s">
        <v>43</v>
      </c>
      <c r="U622" t="s">
        <v>43</v>
      </c>
      <c r="V622" t="s">
        <v>43</v>
      </c>
      <c r="W622" t="s">
        <v>43</v>
      </c>
      <c r="X622" t="s">
        <v>43</v>
      </c>
      <c r="Y622" t="s">
        <v>43</v>
      </c>
      <c r="Z622" t="s">
        <v>43</v>
      </c>
      <c r="AA622" t="s">
        <v>43</v>
      </c>
      <c r="AB622" t="s">
        <v>43</v>
      </c>
      <c r="AC622" t="s">
        <v>43</v>
      </c>
      <c r="AD622" t="s">
        <v>43</v>
      </c>
      <c r="AE622" t="s">
        <v>43</v>
      </c>
      <c r="AF622" t="s">
        <v>43</v>
      </c>
      <c r="AG622" t="s">
        <v>43</v>
      </c>
      <c r="AH622" t="s">
        <v>43</v>
      </c>
      <c r="AI622" t="s">
        <v>43</v>
      </c>
      <c r="AJ622" t="s">
        <v>43</v>
      </c>
      <c r="AK622" t="s">
        <v>43</v>
      </c>
      <c r="AL622" t="s">
        <v>43</v>
      </c>
      <c r="AM622" t="s">
        <v>43</v>
      </c>
      <c r="AN622" t="s">
        <v>43</v>
      </c>
    </row>
    <row r="623" spans="1:40" x14ac:dyDescent="0.3">
      <c r="A623" s="1">
        <v>46210.927662037036</v>
      </c>
      <c r="B623" t="s">
        <v>40</v>
      </c>
      <c r="C623" t="s">
        <v>41</v>
      </c>
      <c r="D623" s="1">
        <v>46210.930706018517</v>
      </c>
      <c r="E623" t="s">
        <v>42</v>
      </c>
      <c r="F623" t="s">
        <v>43</v>
      </c>
      <c r="G623" t="s">
        <v>43</v>
      </c>
      <c r="H623" t="s">
        <v>43</v>
      </c>
      <c r="I623" t="s">
        <v>309</v>
      </c>
      <c r="J623" t="s">
        <v>43</v>
      </c>
      <c r="K623" t="s">
        <v>43</v>
      </c>
      <c r="L623" t="s">
        <v>43</v>
      </c>
      <c r="M623" t="s">
        <v>43</v>
      </c>
      <c r="N623" t="s">
        <v>45</v>
      </c>
      <c r="O623" t="s">
        <v>43</v>
      </c>
      <c r="P623" t="s">
        <v>43</v>
      </c>
      <c r="Q623" t="s">
        <v>43</v>
      </c>
      <c r="R623" t="s">
        <v>43</v>
      </c>
      <c r="S623" t="s">
        <v>43</v>
      </c>
      <c r="T623" t="s">
        <v>43</v>
      </c>
      <c r="U623" t="s">
        <v>43</v>
      </c>
      <c r="V623" t="s">
        <v>43</v>
      </c>
      <c r="W623" t="s">
        <v>43</v>
      </c>
      <c r="X623" t="s">
        <v>43</v>
      </c>
      <c r="Y623" t="s">
        <v>43</v>
      </c>
      <c r="Z623" t="s">
        <v>43</v>
      </c>
      <c r="AA623" t="s">
        <v>43</v>
      </c>
      <c r="AB623" t="s">
        <v>43</v>
      </c>
      <c r="AC623" t="s">
        <v>43</v>
      </c>
      <c r="AD623" t="s">
        <v>43</v>
      </c>
      <c r="AE623" t="s">
        <v>43</v>
      </c>
      <c r="AF623" t="s">
        <v>43</v>
      </c>
      <c r="AG623" t="s">
        <v>43</v>
      </c>
      <c r="AH623" t="s">
        <v>43</v>
      </c>
      <c r="AI623" t="s">
        <v>43</v>
      </c>
      <c r="AJ623" t="s">
        <v>43</v>
      </c>
      <c r="AK623" t="s">
        <v>43</v>
      </c>
      <c r="AL623" t="s">
        <v>43</v>
      </c>
      <c r="AM623" t="s">
        <v>43</v>
      </c>
      <c r="AN623" t="str">
        <f>HYPERLINK("https://www.google.com/maps?q=11.05478096,79.06083679","Open Location")</f>
        <v>Open Location</v>
      </c>
    </row>
    <row r="624" spans="1:40" x14ac:dyDescent="0.3">
      <c r="A624" s="1">
        <v>46210.927546296298</v>
      </c>
      <c r="B624" t="s">
        <v>40</v>
      </c>
      <c r="C624" t="s">
        <v>41</v>
      </c>
      <c r="D624" s="1">
        <v>46210.930555555555</v>
      </c>
      <c r="E624" t="s">
        <v>42</v>
      </c>
      <c r="F624" t="s">
        <v>43</v>
      </c>
      <c r="G624" t="s">
        <v>43</v>
      </c>
      <c r="H624" t="s">
        <v>43</v>
      </c>
      <c r="I624" t="s">
        <v>43</v>
      </c>
      <c r="J624" t="s">
        <v>43</v>
      </c>
      <c r="K624" t="s">
        <v>43</v>
      </c>
      <c r="L624" t="s">
        <v>43</v>
      </c>
      <c r="M624" t="s">
        <v>43</v>
      </c>
      <c r="N624" t="s">
        <v>45</v>
      </c>
      <c r="O624" t="s">
        <v>43</v>
      </c>
      <c r="P624" t="s">
        <v>43</v>
      </c>
      <c r="Q624" t="s">
        <v>43</v>
      </c>
      <c r="R624" t="s">
        <v>43</v>
      </c>
      <c r="S624" t="s">
        <v>43</v>
      </c>
      <c r="T624" t="s">
        <v>43</v>
      </c>
      <c r="U624" t="s">
        <v>43</v>
      </c>
      <c r="V624" t="s">
        <v>43</v>
      </c>
      <c r="W624" t="s">
        <v>43</v>
      </c>
      <c r="X624" t="s">
        <v>43</v>
      </c>
      <c r="Y624" t="s">
        <v>43</v>
      </c>
      <c r="Z624" t="s">
        <v>43</v>
      </c>
      <c r="AA624" t="s">
        <v>43</v>
      </c>
      <c r="AB624" t="s">
        <v>43</v>
      </c>
      <c r="AC624" t="s">
        <v>43</v>
      </c>
      <c r="AD624" t="s">
        <v>43</v>
      </c>
      <c r="AE624" t="s">
        <v>43</v>
      </c>
      <c r="AF624" t="s">
        <v>43</v>
      </c>
      <c r="AG624" t="s">
        <v>43</v>
      </c>
      <c r="AH624" t="s">
        <v>43</v>
      </c>
      <c r="AI624" t="s">
        <v>43</v>
      </c>
      <c r="AJ624" t="s">
        <v>43</v>
      </c>
      <c r="AK624" t="s">
        <v>43</v>
      </c>
      <c r="AL624" t="s">
        <v>43</v>
      </c>
      <c r="AM624" t="s">
        <v>43</v>
      </c>
      <c r="AN624" t="s">
        <v>43</v>
      </c>
    </row>
    <row r="625" spans="1:40" x14ac:dyDescent="0.3">
      <c r="A625" s="1">
        <v>46210.927430555559</v>
      </c>
      <c r="B625" t="s">
        <v>40</v>
      </c>
      <c r="C625" t="s">
        <v>41</v>
      </c>
      <c r="D625" s="1">
        <v>46210.930405092593</v>
      </c>
      <c r="E625" t="s">
        <v>42</v>
      </c>
      <c r="F625" t="s">
        <v>43</v>
      </c>
      <c r="G625" t="s">
        <v>43</v>
      </c>
      <c r="H625" t="s">
        <v>43</v>
      </c>
      <c r="I625" t="s">
        <v>310</v>
      </c>
      <c r="J625" t="s">
        <v>43</v>
      </c>
      <c r="K625" t="s">
        <v>43</v>
      </c>
      <c r="L625" t="s">
        <v>43</v>
      </c>
      <c r="M625" t="s">
        <v>43</v>
      </c>
      <c r="N625" t="s">
        <v>45</v>
      </c>
      <c r="O625" t="s">
        <v>43</v>
      </c>
      <c r="P625" t="s">
        <v>43</v>
      </c>
      <c r="Q625" t="s">
        <v>43</v>
      </c>
      <c r="R625" t="s">
        <v>43</v>
      </c>
      <c r="S625" t="s">
        <v>43</v>
      </c>
      <c r="T625" t="s">
        <v>43</v>
      </c>
      <c r="U625" t="s">
        <v>43</v>
      </c>
      <c r="V625" t="s">
        <v>43</v>
      </c>
      <c r="W625" t="s">
        <v>43</v>
      </c>
      <c r="X625" t="s">
        <v>43</v>
      </c>
      <c r="Y625" t="s">
        <v>43</v>
      </c>
      <c r="Z625" t="s">
        <v>43</v>
      </c>
      <c r="AA625" t="s">
        <v>43</v>
      </c>
      <c r="AB625" t="s">
        <v>43</v>
      </c>
      <c r="AC625" t="s">
        <v>43</v>
      </c>
      <c r="AD625" t="s">
        <v>43</v>
      </c>
      <c r="AE625" t="s">
        <v>43</v>
      </c>
      <c r="AF625" t="s">
        <v>43</v>
      </c>
      <c r="AG625" t="s">
        <v>43</v>
      </c>
      <c r="AH625" t="s">
        <v>43</v>
      </c>
      <c r="AI625" t="s">
        <v>43</v>
      </c>
      <c r="AJ625" t="s">
        <v>43</v>
      </c>
      <c r="AK625" t="s">
        <v>43</v>
      </c>
      <c r="AL625" t="s">
        <v>43</v>
      </c>
      <c r="AM625" t="s">
        <v>43</v>
      </c>
      <c r="AN625" t="str">
        <f>HYPERLINK("https://www.google.com/maps?q=11.05477715,79.06083679","Open Location")</f>
        <v>Open Location</v>
      </c>
    </row>
    <row r="626" spans="1:40" x14ac:dyDescent="0.3">
      <c r="A626" s="1">
        <v>46210.927314814813</v>
      </c>
      <c r="B626" t="s">
        <v>40</v>
      </c>
      <c r="C626" t="s">
        <v>41</v>
      </c>
      <c r="D626" s="1">
        <v>46210.930405092593</v>
      </c>
      <c r="E626" t="s">
        <v>42</v>
      </c>
      <c r="F626" t="s">
        <v>43</v>
      </c>
      <c r="G626" t="s">
        <v>43</v>
      </c>
      <c r="H626" t="s">
        <v>43</v>
      </c>
      <c r="I626" t="s">
        <v>310</v>
      </c>
      <c r="J626" t="s">
        <v>43</v>
      </c>
      <c r="K626" t="s">
        <v>43</v>
      </c>
      <c r="L626" t="s">
        <v>43</v>
      </c>
      <c r="M626" t="s">
        <v>43</v>
      </c>
      <c r="N626" t="s">
        <v>45</v>
      </c>
      <c r="O626" t="s">
        <v>43</v>
      </c>
      <c r="P626" t="s">
        <v>43</v>
      </c>
      <c r="Q626" t="s">
        <v>43</v>
      </c>
      <c r="R626" t="s">
        <v>43</v>
      </c>
      <c r="S626" t="s">
        <v>43</v>
      </c>
      <c r="T626" t="s">
        <v>43</v>
      </c>
      <c r="U626" t="s">
        <v>43</v>
      </c>
      <c r="V626" t="s">
        <v>43</v>
      </c>
      <c r="W626" t="s">
        <v>43</v>
      </c>
      <c r="X626" t="s">
        <v>43</v>
      </c>
      <c r="Y626" t="s">
        <v>43</v>
      </c>
      <c r="Z626" t="s">
        <v>43</v>
      </c>
      <c r="AA626" t="s">
        <v>43</v>
      </c>
      <c r="AB626" t="s">
        <v>43</v>
      </c>
      <c r="AC626" t="s">
        <v>43</v>
      </c>
      <c r="AD626" t="s">
        <v>43</v>
      </c>
      <c r="AE626" t="s">
        <v>43</v>
      </c>
      <c r="AF626" t="s">
        <v>43</v>
      </c>
      <c r="AG626" t="s">
        <v>43</v>
      </c>
      <c r="AH626" t="s">
        <v>43</v>
      </c>
      <c r="AI626" t="s">
        <v>43</v>
      </c>
      <c r="AJ626" t="s">
        <v>43</v>
      </c>
      <c r="AK626" t="s">
        <v>43</v>
      </c>
      <c r="AL626" t="s">
        <v>43</v>
      </c>
      <c r="AM626" t="s">
        <v>43</v>
      </c>
      <c r="AN626" t="str">
        <f>HYPERLINK("https://www.google.com/maps?q=11.05477715,79.06083679","Open Location")</f>
        <v>Open Location</v>
      </c>
    </row>
    <row r="627" spans="1:40" x14ac:dyDescent="0.3">
      <c r="A627" s="1">
        <v>46210.927199074074</v>
      </c>
      <c r="B627" t="s">
        <v>40</v>
      </c>
      <c r="C627" t="s">
        <v>41</v>
      </c>
      <c r="D627" s="1">
        <v>46210.930092592593</v>
      </c>
      <c r="E627" t="s">
        <v>42</v>
      </c>
      <c r="F627" t="s">
        <v>43</v>
      </c>
      <c r="G627" t="s">
        <v>43</v>
      </c>
      <c r="H627" t="s">
        <v>43</v>
      </c>
      <c r="I627" t="s">
        <v>311</v>
      </c>
      <c r="J627" t="s">
        <v>43</v>
      </c>
      <c r="K627" t="s">
        <v>43</v>
      </c>
      <c r="L627" t="s">
        <v>43</v>
      </c>
      <c r="M627" t="s">
        <v>43</v>
      </c>
      <c r="N627" t="s">
        <v>45</v>
      </c>
      <c r="O627" t="s">
        <v>43</v>
      </c>
      <c r="P627" t="s">
        <v>43</v>
      </c>
      <c r="Q627" t="s">
        <v>43</v>
      </c>
      <c r="R627" t="s">
        <v>43</v>
      </c>
      <c r="S627" t="s">
        <v>43</v>
      </c>
      <c r="T627" t="s">
        <v>43</v>
      </c>
      <c r="U627" t="s">
        <v>43</v>
      </c>
      <c r="V627" t="s">
        <v>43</v>
      </c>
      <c r="W627" t="s">
        <v>43</v>
      </c>
      <c r="X627" t="s">
        <v>43</v>
      </c>
      <c r="Y627" t="s">
        <v>43</v>
      </c>
      <c r="Z627" t="s">
        <v>43</v>
      </c>
      <c r="AA627" t="s">
        <v>43</v>
      </c>
      <c r="AB627" t="s">
        <v>43</v>
      </c>
      <c r="AC627" t="s">
        <v>43</v>
      </c>
      <c r="AD627" t="s">
        <v>43</v>
      </c>
      <c r="AE627" t="s">
        <v>43</v>
      </c>
      <c r="AF627" t="s">
        <v>43</v>
      </c>
      <c r="AG627" t="s">
        <v>43</v>
      </c>
      <c r="AH627" t="s">
        <v>43</v>
      </c>
      <c r="AI627" t="s">
        <v>43</v>
      </c>
      <c r="AJ627" t="s">
        <v>43</v>
      </c>
      <c r="AK627" t="s">
        <v>43</v>
      </c>
      <c r="AL627" t="s">
        <v>43</v>
      </c>
      <c r="AM627" t="s">
        <v>43</v>
      </c>
      <c r="AN627" t="str">
        <f>HYPERLINK("https://www.google.com/maps?q=11.05477905,79.06083679","Open Location")</f>
        <v>Open Location</v>
      </c>
    </row>
    <row r="628" spans="1:40" x14ac:dyDescent="0.3">
      <c r="A628" s="1">
        <v>46210.927083333336</v>
      </c>
      <c r="B628" t="s">
        <v>40</v>
      </c>
      <c r="C628" t="s">
        <v>41</v>
      </c>
      <c r="D628" s="1">
        <v>46210.930023148147</v>
      </c>
      <c r="E628" t="s">
        <v>42</v>
      </c>
      <c r="F628" t="s">
        <v>43</v>
      </c>
      <c r="G628" t="s">
        <v>43</v>
      </c>
      <c r="H628" t="s">
        <v>43</v>
      </c>
      <c r="I628" t="s">
        <v>311</v>
      </c>
      <c r="J628" t="s">
        <v>43</v>
      </c>
      <c r="K628" t="s">
        <v>43</v>
      </c>
      <c r="L628" t="s">
        <v>43</v>
      </c>
      <c r="M628" t="s">
        <v>43</v>
      </c>
      <c r="N628" t="s">
        <v>45</v>
      </c>
      <c r="O628" t="s">
        <v>43</v>
      </c>
      <c r="P628" t="s">
        <v>43</v>
      </c>
      <c r="Q628" t="s">
        <v>43</v>
      </c>
      <c r="R628" t="s">
        <v>43</v>
      </c>
      <c r="S628" t="s">
        <v>43</v>
      </c>
      <c r="T628" t="s">
        <v>43</v>
      </c>
      <c r="U628" t="s">
        <v>43</v>
      </c>
      <c r="V628" t="s">
        <v>43</v>
      </c>
      <c r="W628" t="s">
        <v>43</v>
      </c>
      <c r="X628" t="s">
        <v>43</v>
      </c>
      <c r="Y628" t="s">
        <v>43</v>
      </c>
      <c r="Z628" t="s">
        <v>43</v>
      </c>
      <c r="AA628" t="s">
        <v>43</v>
      </c>
      <c r="AB628" t="s">
        <v>43</v>
      </c>
      <c r="AC628" t="s">
        <v>43</v>
      </c>
      <c r="AD628" t="s">
        <v>43</v>
      </c>
      <c r="AE628" t="s">
        <v>43</v>
      </c>
      <c r="AF628" t="s">
        <v>43</v>
      </c>
      <c r="AG628" t="s">
        <v>43</v>
      </c>
      <c r="AH628" t="s">
        <v>43</v>
      </c>
      <c r="AI628" t="s">
        <v>43</v>
      </c>
      <c r="AJ628" t="s">
        <v>43</v>
      </c>
      <c r="AK628" t="s">
        <v>43</v>
      </c>
      <c r="AL628" t="s">
        <v>43</v>
      </c>
      <c r="AM628" t="s">
        <v>43</v>
      </c>
      <c r="AN628" t="str">
        <f>HYPERLINK("https://www.google.com/maps?q=11.05477905,79.06083679","Open Location")</f>
        <v>Open Location</v>
      </c>
    </row>
    <row r="629" spans="1:40" x14ac:dyDescent="0.3">
      <c r="A629" s="1">
        <v>46210.92696759259</v>
      </c>
      <c r="B629" t="s">
        <v>40</v>
      </c>
      <c r="C629" t="s">
        <v>41</v>
      </c>
      <c r="D629" s="1">
        <v>46210.93</v>
      </c>
      <c r="E629" t="s">
        <v>42</v>
      </c>
      <c r="F629" t="s">
        <v>43</v>
      </c>
      <c r="G629" t="s">
        <v>43</v>
      </c>
      <c r="H629" t="s">
        <v>43</v>
      </c>
      <c r="I629" t="s">
        <v>43</v>
      </c>
      <c r="J629" t="s">
        <v>43</v>
      </c>
      <c r="K629" t="s">
        <v>43</v>
      </c>
      <c r="L629" t="s">
        <v>43</v>
      </c>
      <c r="M629" t="s">
        <v>43</v>
      </c>
      <c r="N629" t="s">
        <v>45</v>
      </c>
      <c r="O629" t="s">
        <v>43</v>
      </c>
      <c r="P629" t="s">
        <v>43</v>
      </c>
      <c r="Q629" t="s">
        <v>43</v>
      </c>
      <c r="R629" t="s">
        <v>43</v>
      </c>
      <c r="S629" t="s">
        <v>43</v>
      </c>
      <c r="T629" t="s">
        <v>43</v>
      </c>
      <c r="U629" t="s">
        <v>43</v>
      </c>
      <c r="V629" t="s">
        <v>43</v>
      </c>
      <c r="W629" t="s">
        <v>43</v>
      </c>
      <c r="X629" t="s">
        <v>43</v>
      </c>
      <c r="Y629" t="s">
        <v>43</v>
      </c>
      <c r="Z629" t="s">
        <v>43</v>
      </c>
      <c r="AA629" t="s">
        <v>43</v>
      </c>
      <c r="AB629" t="s">
        <v>43</v>
      </c>
      <c r="AC629" t="s">
        <v>43</v>
      </c>
      <c r="AD629" t="s">
        <v>43</v>
      </c>
      <c r="AE629" t="s">
        <v>43</v>
      </c>
      <c r="AF629" t="s">
        <v>43</v>
      </c>
      <c r="AG629" t="s">
        <v>43</v>
      </c>
      <c r="AH629" t="s">
        <v>43</v>
      </c>
      <c r="AI629" t="s">
        <v>43</v>
      </c>
      <c r="AJ629" t="s">
        <v>43</v>
      </c>
      <c r="AK629" t="s">
        <v>43</v>
      </c>
      <c r="AL629" t="s">
        <v>43</v>
      </c>
      <c r="AM629" t="s">
        <v>43</v>
      </c>
      <c r="AN629" t="s">
        <v>43</v>
      </c>
    </row>
    <row r="630" spans="1:40" x14ac:dyDescent="0.3">
      <c r="A630" s="1">
        <v>46210.926851851851</v>
      </c>
      <c r="B630" t="s">
        <v>40</v>
      </c>
      <c r="C630" t="s">
        <v>41</v>
      </c>
      <c r="D630" s="1">
        <v>46210.929837962962</v>
      </c>
      <c r="E630" t="s">
        <v>42</v>
      </c>
      <c r="F630" t="s">
        <v>43</v>
      </c>
      <c r="G630" t="s">
        <v>43</v>
      </c>
      <c r="H630" t="s">
        <v>43</v>
      </c>
      <c r="I630" t="s">
        <v>312</v>
      </c>
      <c r="J630" t="s">
        <v>43</v>
      </c>
      <c r="K630" t="s">
        <v>43</v>
      </c>
      <c r="L630" t="s">
        <v>43</v>
      </c>
      <c r="M630" t="s">
        <v>43</v>
      </c>
      <c r="N630" t="s">
        <v>45</v>
      </c>
      <c r="O630" t="s">
        <v>43</v>
      </c>
      <c r="P630" t="s">
        <v>43</v>
      </c>
      <c r="Q630" t="s">
        <v>43</v>
      </c>
      <c r="R630" t="s">
        <v>43</v>
      </c>
      <c r="S630" t="s">
        <v>43</v>
      </c>
      <c r="T630" t="s">
        <v>43</v>
      </c>
      <c r="U630" t="s">
        <v>43</v>
      </c>
      <c r="V630" t="s">
        <v>43</v>
      </c>
      <c r="W630" t="s">
        <v>43</v>
      </c>
      <c r="X630" t="s">
        <v>43</v>
      </c>
      <c r="Y630" t="s">
        <v>43</v>
      </c>
      <c r="Z630" t="s">
        <v>43</v>
      </c>
      <c r="AA630" t="s">
        <v>43</v>
      </c>
      <c r="AB630" t="s">
        <v>43</v>
      </c>
      <c r="AC630" t="s">
        <v>43</v>
      </c>
      <c r="AD630" t="s">
        <v>43</v>
      </c>
      <c r="AE630" t="s">
        <v>43</v>
      </c>
      <c r="AF630" t="s">
        <v>43</v>
      </c>
      <c r="AG630" t="s">
        <v>43</v>
      </c>
      <c r="AH630" t="s">
        <v>43</v>
      </c>
      <c r="AI630" t="s">
        <v>43</v>
      </c>
      <c r="AJ630" t="s">
        <v>43</v>
      </c>
      <c r="AK630" t="s">
        <v>43</v>
      </c>
      <c r="AL630" t="s">
        <v>43</v>
      </c>
      <c r="AM630" t="s">
        <v>43</v>
      </c>
      <c r="AN630" t="str">
        <f>HYPERLINK("https://www.google.com/maps?q=11.05477524,79.06083679","Open Location")</f>
        <v>Open Location</v>
      </c>
    </row>
    <row r="631" spans="1:40" x14ac:dyDescent="0.3">
      <c r="A631" s="1">
        <v>46210.926736111112</v>
      </c>
      <c r="B631" t="s">
        <v>40</v>
      </c>
      <c r="C631" t="s">
        <v>41</v>
      </c>
      <c r="D631" s="1">
        <v>46210.929409722223</v>
      </c>
      <c r="E631" t="s">
        <v>42</v>
      </c>
      <c r="F631" t="s">
        <v>43</v>
      </c>
      <c r="G631" t="s">
        <v>43</v>
      </c>
      <c r="H631" t="s">
        <v>43</v>
      </c>
      <c r="I631" t="s">
        <v>313</v>
      </c>
      <c r="J631" t="s">
        <v>43</v>
      </c>
      <c r="K631" t="s">
        <v>43</v>
      </c>
      <c r="L631" t="s">
        <v>43</v>
      </c>
      <c r="M631" t="s">
        <v>43</v>
      </c>
      <c r="N631" t="s">
        <v>45</v>
      </c>
      <c r="O631" t="s">
        <v>43</v>
      </c>
      <c r="P631" t="s">
        <v>43</v>
      </c>
      <c r="Q631" t="s">
        <v>43</v>
      </c>
      <c r="R631" t="s">
        <v>43</v>
      </c>
      <c r="S631" t="s">
        <v>43</v>
      </c>
      <c r="T631" t="s">
        <v>43</v>
      </c>
      <c r="U631" t="s">
        <v>43</v>
      </c>
      <c r="V631" t="s">
        <v>43</v>
      </c>
      <c r="W631" t="s">
        <v>43</v>
      </c>
      <c r="X631" t="s">
        <v>43</v>
      </c>
      <c r="Y631" t="s">
        <v>43</v>
      </c>
      <c r="Z631" t="s">
        <v>43</v>
      </c>
      <c r="AA631" t="s">
        <v>43</v>
      </c>
      <c r="AB631" t="s">
        <v>43</v>
      </c>
      <c r="AC631" t="s">
        <v>43</v>
      </c>
      <c r="AD631" t="s">
        <v>43</v>
      </c>
      <c r="AE631" t="s">
        <v>43</v>
      </c>
      <c r="AF631" t="s">
        <v>43</v>
      </c>
      <c r="AG631" t="s">
        <v>43</v>
      </c>
      <c r="AH631" t="s">
        <v>43</v>
      </c>
      <c r="AI631" t="s">
        <v>43</v>
      </c>
      <c r="AJ631" t="s">
        <v>43</v>
      </c>
      <c r="AK631" t="s">
        <v>43</v>
      </c>
      <c r="AL631" t="s">
        <v>43</v>
      </c>
      <c r="AM631" t="s">
        <v>43</v>
      </c>
      <c r="AN631" t="str">
        <f>HYPERLINK("https://www.google.com/maps?q=11.05477619,79.06083679","Open Location")</f>
        <v>Open Location</v>
      </c>
    </row>
    <row r="632" spans="1:40" x14ac:dyDescent="0.3">
      <c r="A632" s="1">
        <v>46210.926620370374</v>
      </c>
      <c r="B632" t="s">
        <v>40</v>
      </c>
      <c r="C632" t="s">
        <v>41</v>
      </c>
      <c r="D632" s="1">
        <v>46210.9296875</v>
      </c>
      <c r="E632" t="s">
        <v>42</v>
      </c>
      <c r="F632" t="s">
        <v>43</v>
      </c>
      <c r="G632" t="s">
        <v>43</v>
      </c>
      <c r="H632" t="s">
        <v>43</v>
      </c>
      <c r="I632" t="s">
        <v>314</v>
      </c>
      <c r="J632" t="s">
        <v>43</v>
      </c>
      <c r="K632" t="s">
        <v>43</v>
      </c>
      <c r="L632" t="s">
        <v>43</v>
      </c>
      <c r="M632" t="s">
        <v>43</v>
      </c>
      <c r="N632" t="s">
        <v>45</v>
      </c>
      <c r="O632" t="s">
        <v>43</v>
      </c>
      <c r="P632" t="s">
        <v>43</v>
      </c>
      <c r="Q632" t="s">
        <v>43</v>
      </c>
      <c r="R632" t="s">
        <v>43</v>
      </c>
      <c r="S632" t="s">
        <v>43</v>
      </c>
      <c r="T632" t="s">
        <v>43</v>
      </c>
      <c r="U632" t="s">
        <v>43</v>
      </c>
      <c r="V632" t="s">
        <v>43</v>
      </c>
      <c r="W632" t="s">
        <v>43</v>
      </c>
      <c r="X632" t="s">
        <v>43</v>
      </c>
      <c r="Y632" t="s">
        <v>43</v>
      </c>
      <c r="Z632" t="s">
        <v>43</v>
      </c>
      <c r="AA632" t="s">
        <v>43</v>
      </c>
      <c r="AB632" t="s">
        <v>43</v>
      </c>
      <c r="AC632" t="s">
        <v>43</v>
      </c>
      <c r="AD632" t="s">
        <v>43</v>
      </c>
      <c r="AE632" t="s">
        <v>43</v>
      </c>
      <c r="AF632" t="s">
        <v>43</v>
      </c>
      <c r="AG632" t="s">
        <v>43</v>
      </c>
      <c r="AH632" t="s">
        <v>43</v>
      </c>
      <c r="AI632" t="s">
        <v>43</v>
      </c>
      <c r="AJ632" t="s">
        <v>43</v>
      </c>
      <c r="AK632" t="s">
        <v>43</v>
      </c>
      <c r="AL632" t="s">
        <v>43</v>
      </c>
      <c r="AM632" t="s">
        <v>43</v>
      </c>
      <c r="AN632" t="str">
        <f>HYPERLINK("https://www.google.com/maps?q=11.0547781,79.06083679","Open Location")</f>
        <v>Open Location</v>
      </c>
    </row>
    <row r="633" spans="1:40" x14ac:dyDescent="0.3">
      <c r="A633" s="1">
        <v>46210.926504629628</v>
      </c>
      <c r="B633" t="s">
        <v>40</v>
      </c>
      <c r="C633" t="s">
        <v>41</v>
      </c>
      <c r="D633" s="1">
        <v>46210.929490740738</v>
      </c>
      <c r="E633" t="s">
        <v>42</v>
      </c>
      <c r="F633" t="s">
        <v>43</v>
      </c>
      <c r="G633" t="s">
        <v>43</v>
      </c>
      <c r="H633" t="s">
        <v>43</v>
      </c>
      <c r="I633" t="s">
        <v>315</v>
      </c>
      <c r="J633" t="s">
        <v>43</v>
      </c>
      <c r="K633" t="s">
        <v>43</v>
      </c>
      <c r="L633" t="s">
        <v>43</v>
      </c>
      <c r="M633" t="s">
        <v>43</v>
      </c>
      <c r="N633" t="s">
        <v>45</v>
      </c>
      <c r="O633" t="s">
        <v>43</v>
      </c>
      <c r="P633" t="s">
        <v>43</v>
      </c>
      <c r="Q633" t="s">
        <v>43</v>
      </c>
      <c r="R633" t="s">
        <v>43</v>
      </c>
      <c r="S633" t="s">
        <v>43</v>
      </c>
      <c r="T633" t="s">
        <v>43</v>
      </c>
      <c r="U633" t="s">
        <v>43</v>
      </c>
      <c r="V633" t="s">
        <v>43</v>
      </c>
      <c r="W633" t="s">
        <v>43</v>
      </c>
      <c r="X633" t="s">
        <v>43</v>
      </c>
      <c r="Y633" t="s">
        <v>43</v>
      </c>
      <c r="Z633" t="s">
        <v>43</v>
      </c>
      <c r="AA633" t="s">
        <v>43</v>
      </c>
      <c r="AB633" t="s">
        <v>43</v>
      </c>
      <c r="AC633" t="s">
        <v>43</v>
      </c>
      <c r="AD633" t="s">
        <v>43</v>
      </c>
      <c r="AE633" t="s">
        <v>43</v>
      </c>
      <c r="AF633" t="s">
        <v>43</v>
      </c>
      <c r="AG633" t="s">
        <v>43</v>
      </c>
      <c r="AH633" t="s">
        <v>43</v>
      </c>
      <c r="AI633" t="s">
        <v>43</v>
      </c>
      <c r="AJ633" t="s">
        <v>43</v>
      </c>
      <c r="AK633" t="s">
        <v>43</v>
      </c>
      <c r="AL633" t="s">
        <v>43</v>
      </c>
      <c r="AM633" t="s">
        <v>43</v>
      </c>
      <c r="AN633" t="str">
        <f>HYPERLINK("https://www.google.com/maps?q=11.05477715,79.06082916","Open Location")</f>
        <v>Open Location</v>
      </c>
    </row>
    <row r="634" spans="1:40" x14ac:dyDescent="0.3">
      <c r="A634" s="1">
        <v>46210.926388888889</v>
      </c>
      <c r="B634" t="s">
        <v>40</v>
      </c>
      <c r="C634" t="s">
        <v>41</v>
      </c>
      <c r="D634" s="1">
        <v>46210.929409722223</v>
      </c>
      <c r="E634" t="s">
        <v>42</v>
      </c>
      <c r="F634" t="s">
        <v>43</v>
      </c>
      <c r="G634" t="s">
        <v>43</v>
      </c>
      <c r="H634" t="s">
        <v>43</v>
      </c>
      <c r="I634" t="s">
        <v>316</v>
      </c>
      <c r="J634" t="s">
        <v>43</v>
      </c>
      <c r="K634" t="s">
        <v>43</v>
      </c>
      <c r="L634" t="s">
        <v>43</v>
      </c>
      <c r="M634" t="s">
        <v>43</v>
      </c>
      <c r="N634" t="s">
        <v>45</v>
      </c>
      <c r="O634" t="s">
        <v>43</v>
      </c>
      <c r="P634" t="s">
        <v>43</v>
      </c>
      <c r="Q634" t="s">
        <v>43</v>
      </c>
      <c r="R634" t="s">
        <v>43</v>
      </c>
      <c r="S634" t="s">
        <v>43</v>
      </c>
      <c r="T634" t="s">
        <v>43</v>
      </c>
      <c r="U634" t="s">
        <v>43</v>
      </c>
      <c r="V634" t="s">
        <v>43</v>
      </c>
      <c r="W634" t="s">
        <v>43</v>
      </c>
      <c r="X634" t="s">
        <v>43</v>
      </c>
      <c r="Y634" t="s">
        <v>43</v>
      </c>
      <c r="Z634" t="s">
        <v>43</v>
      </c>
      <c r="AA634" t="s">
        <v>43</v>
      </c>
      <c r="AB634" t="s">
        <v>43</v>
      </c>
      <c r="AC634" t="s">
        <v>43</v>
      </c>
      <c r="AD634" t="s">
        <v>43</v>
      </c>
      <c r="AE634" t="s">
        <v>43</v>
      </c>
      <c r="AF634" t="s">
        <v>43</v>
      </c>
      <c r="AG634" t="s">
        <v>43</v>
      </c>
      <c r="AH634" t="s">
        <v>43</v>
      </c>
      <c r="AI634" t="s">
        <v>43</v>
      </c>
      <c r="AJ634" t="s">
        <v>43</v>
      </c>
      <c r="AK634" t="s">
        <v>43</v>
      </c>
      <c r="AL634" t="s">
        <v>43</v>
      </c>
      <c r="AM634" t="s">
        <v>43</v>
      </c>
      <c r="AN634" t="str">
        <f>HYPERLINK("https://www.google.com/maps?q=11.0547781,79.06082916","Open Location")</f>
        <v>Open Location</v>
      </c>
    </row>
    <row r="635" spans="1:40" x14ac:dyDescent="0.3">
      <c r="A635" s="1">
        <v>46210.92627314815</v>
      </c>
      <c r="B635" t="s">
        <v>40</v>
      </c>
      <c r="C635" t="s">
        <v>41</v>
      </c>
      <c r="D635" s="1">
        <v>46210.929293981484</v>
      </c>
      <c r="E635" t="s">
        <v>42</v>
      </c>
      <c r="F635" t="s">
        <v>43</v>
      </c>
      <c r="G635" t="s">
        <v>43</v>
      </c>
      <c r="H635" t="s">
        <v>43</v>
      </c>
      <c r="I635" t="s">
        <v>43</v>
      </c>
      <c r="J635" t="s">
        <v>43</v>
      </c>
      <c r="K635" t="s">
        <v>43</v>
      </c>
      <c r="L635" t="s">
        <v>43</v>
      </c>
      <c r="M635" t="s">
        <v>43</v>
      </c>
      <c r="N635" t="s">
        <v>45</v>
      </c>
      <c r="O635" t="s">
        <v>43</v>
      </c>
      <c r="P635" t="s">
        <v>43</v>
      </c>
      <c r="Q635" t="s">
        <v>43</v>
      </c>
      <c r="R635" t="s">
        <v>43</v>
      </c>
      <c r="S635" t="s">
        <v>43</v>
      </c>
      <c r="T635" t="s">
        <v>43</v>
      </c>
      <c r="U635" t="s">
        <v>43</v>
      </c>
      <c r="V635" t="s">
        <v>43</v>
      </c>
      <c r="W635" t="s">
        <v>43</v>
      </c>
      <c r="X635" t="s">
        <v>43</v>
      </c>
      <c r="Y635" t="s">
        <v>43</v>
      </c>
      <c r="Z635" t="s">
        <v>43</v>
      </c>
      <c r="AA635" t="s">
        <v>43</v>
      </c>
      <c r="AB635" t="s">
        <v>43</v>
      </c>
      <c r="AC635" t="s">
        <v>43</v>
      </c>
      <c r="AD635" t="s">
        <v>43</v>
      </c>
      <c r="AE635" t="s">
        <v>43</v>
      </c>
      <c r="AF635" t="s">
        <v>43</v>
      </c>
      <c r="AG635" t="s">
        <v>43</v>
      </c>
      <c r="AH635" t="s">
        <v>43</v>
      </c>
      <c r="AI635" t="s">
        <v>43</v>
      </c>
      <c r="AJ635" t="s">
        <v>43</v>
      </c>
      <c r="AK635" t="s">
        <v>43</v>
      </c>
      <c r="AL635" t="s">
        <v>43</v>
      </c>
      <c r="AM635" t="s">
        <v>43</v>
      </c>
      <c r="AN635" t="s">
        <v>43</v>
      </c>
    </row>
    <row r="636" spans="1:40" x14ac:dyDescent="0.3">
      <c r="A636" s="1">
        <v>46210.926157407404</v>
      </c>
      <c r="B636" t="s">
        <v>40</v>
      </c>
      <c r="C636" t="s">
        <v>41</v>
      </c>
      <c r="D636" s="1">
        <v>46210.929131944446</v>
      </c>
      <c r="E636" t="s">
        <v>42</v>
      </c>
      <c r="F636" t="s">
        <v>43</v>
      </c>
      <c r="G636" t="s">
        <v>43</v>
      </c>
      <c r="H636" t="s">
        <v>43</v>
      </c>
      <c r="I636" t="s">
        <v>317</v>
      </c>
      <c r="J636" t="s">
        <v>43</v>
      </c>
      <c r="K636" t="s">
        <v>43</v>
      </c>
      <c r="L636" t="s">
        <v>43</v>
      </c>
      <c r="M636" t="s">
        <v>43</v>
      </c>
      <c r="N636" t="s">
        <v>45</v>
      </c>
      <c r="O636" t="s">
        <v>43</v>
      </c>
      <c r="P636" t="s">
        <v>43</v>
      </c>
      <c r="Q636" t="s">
        <v>43</v>
      </c>
      <c r="R636" t="s">
        <v>43</v>
      </c>
      <c r="S636" t="s">
        <v>43</v>
      </c>
      <c r="T636" t="s">
        <v>43</v>
      </c>
      <c r="U636" t="s">
        <v>43</v>
      </c>
      <c r="V636" t="s">
        <v>43</v>
      </c>
      <c r="W636" t="s">
        <v>43</v>
      </c>
      <c r="X636" t="s">
        <v>43</v>
      </c>
      <c r="Y636" t="s">
        <v>43</v>
      </c>
      <c r="Z636" t="s">
        <v>43</v>
      </c>
      <c r="AA636" t="s">
        <v>43</v>
      </c>
      <c r="AB636" t="s">
        <v>43</v>
      </c>
      <c r="AC636" t="s">
        <v>43</v>
      </c>
      <c r="AD636" t="s">
        <v>43</v>
      </c>
      <c r="AE636" t="s">
        <v>43</v>
      </c>
      <c r="AF636" t="s">
        <v>43</v>
      </c>
      <c r="AG636" t="s">
        <v>43</v>
      </c>
      <c r="AH636" t="s">
        <v>43</v>
      </c>
      <c r="AI636" t="s">
        <v>43</v>
      </c>
      <c r="AJ636" t="s">
        <v>43</v>
      </c>
      <c r="AK636" t="s">
        <v>43</v>
      </c>
      <c r="AL636" t="s">
        <v>43</v>
      </c>
      <c r="AM636" t="s">
        <v>43</v>
      </c>
      <c r="AN636" t="str">
        <f>HYPERLINK("https://www.google.com/maps?q=11.05477428,79.06082153","Open Location")</f>
        <v>Open Location</v>
      </c>
    </row>
    <row r="637" spans="1:40" x14ac:dyDescent="0.3">
      <c r="A637" s="1">
        <v>46210.926041666666</v>
      </c>
      <c r="B637" t="s">
        <v>40</v>
      </c>
      <c r="C637" t="s">
        <v>41</v>
      </c>
      <c r="D637" s="1">
        <v>46210.928912037038</v>
      </c>
      <c r="E637" t="s">
        <v>42</v>
      </c>
      <c r="F637" t="s">
        <v>43</v>
      </c>
      <c r="G637" t="s">
        <v>43</v>
      </c>
      <c r="H637" t="s">
        <v>43</v>
      </c>
      <c r="I637" t="s">
        <v>317</v>
      </c>
      <c r="J637" t="s">
        <v>43</v>
      </c>
      <c r="K637" t="s">
        <v>43</v>
      </c>
      <c r="L637" t="s">
        <v>43</v>
      </c>
      <c r="M637" t="s">
        <v>43</v>
      </c>
      <c r="N637" t="s">
        <v>45</v>
      </c>
      <c r="O637" t="s">
        <v>43</v>
      </c>
      <c r="P637" t="s">
        <v>43</v>
      </c>
      <c r="Q637" t="s">
        <v>43</v>
      </c>
      <c r="R637" t="s">
        <v>43</v>
      </c>
      <c r="S637" t="s">
        <v>43</v>
      </c>
      <c r="T637" t="s">
        <v>43</v>
      </c>
      <c r="U637" t="s">
        <v>43</v>
      </c>
      <c r="V637" t="s">
        <v>43</v>
      </c>
      <c r="W637" t="s">
        <v>43</v>
      </c>
      <c r="X637" t="s">
        <v>43</v>
      </c>
      <c r="Y637" t="s">
        <v>43</v>
      </c>
      <c r="Z637" t="s">
        <v>43</v>
      </c>
      <c r="AA637" t="s">
        <v>43</v>
      </c>
      <c r="AB637" t="s">
        <v>43</v>
      </c>
      <c r="AC637" t="s">
        <v>43</v>
      </c>
      <c r="AD637" t="s">
        <v>43</v>
      </c>
      <c r="AE637" t="s">
        <v>43</v>
      </c>
      <c r="AF637" t="s">
        <v>43</v>
      </c>
      <c r="AG637" t="s">
        <v>43</v>
      </c>
      <c r="AH637" t="s">
        <v>43</v>
      </c>
      <c r="AI637" t="s">
        <v>43</v>
      </c>
      <c r="AJ637" t="s">
        <v>43</v>
      </c>
      <c r="AK637" t="s">
        <v>43</v>
      </c>
      <c r="AL637" t="s">
        <v>43</v>
      </c>
      <c r="AM637" t="s">
        <v>43</v>
      </c>
      <c r="AN637" t="str">
        <f>HYPERLINK("https://www.google.com/maps?q=11.05477428,79.06082153","Open Location")</f>
        <v>Open Location</v>
      </c>
    </row>
    <row r="638" spans="1:40" x14ac:dyDescent="0.3">
      <c r="A638" s="1">
        <v>46210.925925925927</v>
      </c>
      <c r="B638" t="s">
        <v>40</v>
      </c>
      <c r="C638" t="s">
        <v>41</v>
      </c>
      <c r="D638" s="1">
        <v>46210.928854166668</v>
      </c>
      <c r="E638" t="s">
        <v>42</v>
      </c>
      <c r="F638" t="s">
        <v>43</v>
      </c>
      <c r="G638" t="s">
        <v>43</v>
      </c>
      <c r="H638" t="s">
        <v>43</v>
      </c>
      <c r="I638" t="s">
        <v>318</v>
      </c>
      <c r="J638" t="s">
        <v>43</v>
      </c>
      <c r="K638" t="s">
        <v>43</v>
      </c>
      <c r="L638" t="s">
        <v>43</v>
      </c>
      <c r="M638" t="s">
        <v>43</v>
      </c>
      <c r="N638" t="s">
        <v>45</v>
      </c>
      <c r="O638" t="s">
        <v>43</v>
      </c>
      <c r="P638" t="s">
        <v>43</v>
      </c>
      <c r="Q638" t="s">
        <v>43</v>
      </c>
      <c r="R638" t="s">
        <v>43</v>
      </c>
      <c r="S638" t="s">
        <v>43</v>
      </c>
      <c r="T638" t="s">
        <v>43</v>
      </c>
      <c r="U638" t="s">
        <v>43</v>
      </c>
      <c r="V638" t="s">
        <v>43</v>
      </c>
      <c r="W638" t="s">
        <v>43</v>
      </c>
      <c r="X638" t="s">
        <v>43</v>
      </c>
      <c r="Y638" t="s">
        <v>43</v>
      </c>
      <c r="Z638" t="s">
        <v>43</v>
      </c>
      <c r="AA638" t="s">
        <v>43</v>
      </c>
      <c r="AB638" t="s">
        <v>43</v>
      </c>
      <c r="AC638" t="s">
        <v>43</v>
      </c>
      <c r="AD638" t="s">
        <v>43</v>
      </c>
      <c r="AE638" t="s">
        <v>43</v>
      </c>
      <c r="AF638" t="s">
        <v>43</v>
      </c>
      <c r="AG638" t="s">
        <v>43</v>
      </c>
      <c r="AH638" t="s">
        <v>43</v>
      </c>
      <c r="AI638" t="s">
        <v>43</v>
      </c>
      <c r="AJ638" t="s">
        <v>43</v>
      </c>
      <c r="AK638" t="s">
        <v>43</v>
      </c>
      <c r="AL638" t="s">
        <v>43</v>
      </c>
      <c r="AM638" t="s">
        <v>43</v>
      </c>
      <c r="AN638" t="str">
        <f>HYPERLINK("https://www.google.com/maps?q=11.05477238,79.06082153","Open Location")</f>
        <v>Open Location</v>
      </c>
    </row>
    <row r="639" spans="1:40" x14ac:dyDescent="0.3">
      <c r="A639" s="1">
        <v>46210.925810185188</v>
      </c>
      <c r="B639" t="s">
        <v>40</v>
      </c>
      <c r="C639" t="s">
        <v>41</v>
      </c>
      <c r="D639" s="1">
        <v>46210.928726851853</v>
      </c>
      <c r="E639" t="s">
        <v>42</v>
      </c>
      <c r="F639" t="s">
        <v>43</v>
      </c>
      <c r="G639" t="s">
        <v>43</v>
      </c>
      <c r="H639" t="s">
        <v>43</v>
      </c>
      <c r="I639" t="s">
        <v>319</v>
      </c>
      <c r="J639" t="s">
        <v>43</v>
      </c>
      <c r="K639" t="s">
        <v>43</v>
      </c>
      <c r="L639" t="s">
        <v>43</v>
      </c>
      <c r="M639" t="s">
        <v>43</v>
      </c>
      <c r="N639" t="s">
        <v>45</v>
      </c>
      <c r="O639" t="s">
        <v>43</v>
      </c>
      <c r="P639" t="s">
        <v>43</v>
      </c>
      <c r="Q639" t="s">
        <v>43</v>
      </c>
      <c r="R639" t="s">
        <v>43</v>
      </c>
      <c r="S639" t="s">
        <v>43</v>
      </c>
      <c r="T639" t="s">
        <v>43</v>
      </c>
      <c r="U639" t="s">
        <v>43</v>
      </c>
      <c r="V639" t="s">
        <v>43</v>
      </c>
      <c r="W639" t="s">
        <v>43</v>
      </c>
      <c r="X639" t="s">
        <v>43</v>
      </c>
      <c r="Y639" t="s">
        <v>43</v>
      </c>
      <c r="Z639" t="s">
        <v>43</v>
      </c>
      <c r="AA639" t="s">
        <v>43</v>
      </c>
      <c r="AB639" t="s">
        <v>43</v>
      </c>
      <c r="AC639" t="s">
        <v>43</v>
      </c>
      <c r="AD639" t="s">
        <v>43</v>
      </c>
      <c r="AE639" t="s">
        <v>43</v>
      </c>
      <c r="AF639" t="s">
        <v>43</v>
      </c>
      <c r="AG639" t="s">
        <v>43</v>
      </c>
      <c r="AH639" t="s">
        <v>43</v>
      </c>
      <c r="AI639" t="s">
        <v>43</v>
      </c>
      <c r="AJ639" t="s">
        <v>43</v>
      </c>
      <c r="AK639" t="s">
        <v>43</v>
      </c>
      <c r="AL639" t="s">
        <v>43</v>
      </c>
      <c r="AM639" t="s">
        <v>43</v>
      </c>
      <c r="AN639" t="str">
        <f>HYPERLINK("https://www.google.com/maps?q=11.05477047,79.06082153","Open Location")</f>
        <v>Open Location</v>
      </c>
    </row>
    <row r="640" spans="1:40" x14ac:dyDescent="0.3">
      <c r="A640" s="1">
        <v>46210.925694444442</v>
      </c>
      <c r="B640" t="s">
        <v>40</v>
      </c>
      <c r="C640" t="s">
        <v>41</v>
      </c>
      <c r="D640" s="1">
        <v>46210.928773148145</v>
      </c>
      <c r="E640" t="s">
        <v>42</v>
      </c>
      <c r="F640" t="s">
        <v>43</v>
      </c>
      <c r="G640" t="s">
        <v>43</v>
      </c>
      <c r="H640" t="s">
        <v>43</v>
      </c>
      <c r="I640" t="s">
        <v>43</v>
      </c>
      <c r="J640" t="s">
        <v>43</v>
      </c>
      <c r="K640" t="s">
        <v>43</v>
      </c>
      <c r="L640" t="s">
        <v>43</v>
      </c>
      <c r="M640" t="s">
        <v>43</v>
      </c>
      <c r="N640" t="s">
        <v>45</v>
      </c>
      <c r="O640" t="s">
        <v>43</v>
      </c>
      <c r="P640" t="s">
        <v>43</v>
      </c>
      <c r="Q640" t="s">
        <v>43</v>
      </c>
      <c r="R640" t="s">
        <v>43</v>
      </c>
      <c r="S640" t="s">
        <v>43</v>
      </c>
      <c r="T640" t="s">
        <v>43</v>
      </c>
      <c r="U640" t="s">
        <v>43</v>
      </c>
      <c r="V640" t="s">
        <v>43</v>
      </c>
      <c r="W640" t="s">
        <v>43</v>
      </c>
      <c r="X640" t="s">
        <v>43</v>
      </c>
      <c r="Y640" t="s">
        <v>43</v>
      </c>
      <c r="Z640" t="s">
        <v>43</v>
      </c>
      <c r="AA640" t="s">
        <v>43</v>
      </c>
      <c r="AB640" t="s">
        <v>43</v>
      </c>
      <c r="AC640" t="s">
        <v>43</v>
      </c>
      <c r="AD640" t="s">
        <v>43</v>
      </c>
      <c r="AE640" t="s">
        <v>43</v>
      </c>
      <c r="AF640" t="s">
        <v>43</v>
      </c>
      <c r="AG640" t="s">
        <v>43</v>
      </c>
      <c r="AH640" t="s">
        <v>43</v>
      </c>
      <c r="AI640" t="s">
        <v>43</v>
      </c>
      <c r="AJ640" t="s">
        <v>43</v>
      </c>
      <c r="AK640" t="s">
        <v>43</v>
      </c>
      <c r="AL640" t="s">
        <v>43</v>
      </c>
      <c r="AM640" t="s">
        <v>43</v>
      </c>
      <c r="AN640" t="s">
        <v>43</v>
      </c>
    </row>
    <row r="641" spans="1:40" x14ac:dyDescent="0.3">
      <c r="A641" s="1">
        <v>46210.925578703704</v>
      </c>
      <c r="B641" t="s">
        <v>40</v>
      </c>
      <c r="C641" t="s">
        <v>41</v>
      </c>
      <c r="D641" s="1">
        <v>46210.928472222222</v>
      </c>
      <c r="E641" t="s">
        <v>42</v>
      </c>
      <c r="F641" t="s">
        <v>43</v>
      </c>
      <c r="G641" t="s">
        <v>43</v>
      </c>
      <c r="H641" t="s">
        <v>43</v>
      </c>
      <c r="I641" t="s">
        <v>320</v>
      </c>
      <c r="J641" t="s">
        <v>43</v>
      </c>
      <c r="K641" t="s">
        <v>43</v>
      </c>
      <c r="L641" t="s">
        <v>43</v>
      </c>
      <c r="M641" t="s">
        <v>43</v>
      </c>
      <c r="N641" t="s">
        <v>45</v>
      </c>
      <c r="O641" t="s">
        <v>43</v>
      </c>
      <c r="P641" t="s">
        <v>43</v>
      </c>
      <c r="Q641" t="s">
        <v>43</v>
      </c>
      <c r="R641" t="s">
        <v>43</v>
      </c>
      <c r="S641" t="s">
        <v>43</v>
      </c>
      <c r="T641" t="s">
        <v>43</v>
      </c>
      <c r="U641" t="s">
        <v>43</v>
      </c>
      <c r="V641" t="s">
        <v>43</v>
      </c>
      <c r="W641" t="s">
        <v>43</v>
      </c>
      <c r="X641" t="s">
        <v>43</v>
      </c>
      <c r="Y641" t="s">
        <v>43</v>
      </c>
      <c r="Z641" t="s">
        <v>43</v>
      </c>
      <c r="AA641" t="s">
        <v>43</v>
      </c>
      <c r="AB641" t="s">
        <v>43</v>
      </c>
      <c r="AC641" t="s">
        <v>43</v>
      </c>
      <c r="AD641" t="s">
        <v>43</v>
      </c>
      <c r="AE641" t="s">
        <v>43</v>
      </c>
      <c r="AF641" t="s">
        <v>43</v>
      </c>
      <c r="AG641" t="s">
        <v>43</v>
      </c>
      <c r="AH641" t="s">
        <v>43</v>
      </c>
      <c r="AI641" t="s">
        <v>43</v>
      </c>
      <c r="AJ641" t="s">
        <v>43</v>
      </c>
      <c r="AK641" t="s">
        <v>43</v>
      </c>
      <c r="AL641" t="s">
        <v>43</v>
      </c>
      <c r="AM641" t="s">
        <v>43</v>
      </c>
      <c r="AN641" t="str">
        <f>HYPERLINK("https://www.google.com/maps?q=11.05477333,79.06082916","Open Location")</f>
        <v>Open Location</v>
      </c>
    </row>
    <row r="642" spans="1:40" x14ac:dyDescent="0.3">
      <c r="A642" s="1">
        <v>46210.925462962965</v>
      </c>
      <c r="B642" t="s">
        <v>40</v>
      </c>
      <c r="C642" t="s">
        <v>41</v>
      </c>
      <c r="D642" s="1">
        <v>46210.928414351853</v>
      </c>
      <c r="E642" t="s">
        <v>42</v>
      </c>
      <c r="F642" t="s">
        <v>43</v>
      </c>
      <c r="G642" t="s">
        <v>43</v>
      </c>
      <c r="H642" t="s">
        <v>43</v>
      </c>
      <c r="I642" t="s">
        <v>310</v>
      </c>
      <c r="J642" t="s">
        <v>43</v>
      </c>
      <c r="K642" t="s">
        <v>43</v>
      </c>
      <c r="L642" t="s">
        <v>43</v>
      </c>
      <c r="M642" t="s">
        <v>43</v>
      </c>
      <c r="N642" t="s">
        <v>45</v>
      </c>
      <c r="O642" t="s">
        <v>43</v>
      </c>
      <c r="P642" t="s">
        <v>43</v>
      </c>
      <c r="Q642" t="s">
        <v>43</v>
      </c>
      <c r="R642" t="s">
        <v>43</v>
      </c>
      <c r="S642" t="s">
        <v>43</v>
      </c>
      <c r="T642" t="s">
        <v>43</v>
      </c>
      <c r="U642" t="s">
        <v>43</v>
      </c>
      <c r="V642" t="s">
        <v>43</v>
      </c>
      <c r="W642" t="s">
        <v>43</v>
      </c>
      <c r="X642" t="s">
        <v>43</v>
      </c>
      <c r="Y642" t="s">
        <v>43</v>
      </c>
      <c r="Z642" t="s">
        <v>43</v>
      </c>
      <c r="AA642" t="s">
        <v>43</v>
      </c>
      <c r="AB642" t="s">
        <v>43</v>
      </c>
      <c r="AC642" t="s">
        <v>43</v>
      </c>
      <c r="AD642" t="s">
        <v>43</v>
      </c>
      <c r="AE642" t="s">
        <v>43</v>
      </c>
      <c r="AF642" t="s">
        <v>43</v>
      </c>
      <c r="AG642" t="s">
        <v>43</v>
      </c>
      <c r="AH642" t="s">
        <v>43</v>
      </c>
      <c r="AI642" t="s">
        <v>43</v>
      </c>
      <c r="AJ642" t="s">
        <v>43</v>
      </c>
      <c r="AK642" t="s">
        <v>43</v>
      </c>
      <c r="AL642" t="s">
        <v>43</v>
      </c>
      <c r="AM642" t="s">
        <v>43</v>
      </c>
      <c r="AN642" t="str">
        <f>HYPERLINK("https://www.google.com/maps?q=11.05477715,79.06083679","Open Location")</f>
        <v>Open Location</v>
      </c>
    </row>
    <row r="643" spans="1:40" x14ac:dyDescent="0.3">
      <c r="A643" s="1">
        <v>46210.925347222219</v>
      </c>
      <c r="B643" t="s">
        <v>40</v>
      </c>
      <c r="C643" t="s">
        <v>41</v>
      </c>
      <c r="D643" s="1">
        <v>46210.928090277775</v>
      </c>
      <c r="E643" t="s">
        <v>42</v>
      </c>
      <c r="F643" t="s">
        <v>43</v>
      </c>
      <c r="G643" t="s">
        <v>43</v>
      </c>
      <c r="H643" t="s">
        <v>43</v>
      </c>
      <c r="I643" t="s">
        <v>321</v>
      </c>
      <c r="J643" t="s">
        <v>43</v>
      </c>
      <c r="K643" t="s">
        <v>43</v>
      </c>
      <c r="L643" t="s">
        <v>43</v>
      </c>
      <c r="M643" t="s">
        <v>43</v>
      </c>
      <c r="N643" t="s">
        <v>45</v>
      </c>
      <c r="O643" t="s">
        <v>43</v>
      </c>
      <c r="P643" t="s">
        <v>43</v>
      </c>
      <c r="Q643" t="s">
        <v>43</v>
      </c>
      <c r="R643" t="s">
        <v>43</v>
      </c>
      <c r="S643" t="s">
        <v>43</v>
      </c>
      <c r="T643" t="s">
        <v>43</v>
      </c>
      <c r="U643" t="s">
        <v>43</v>
      </c>
      <c r="V643" t="s">
        <v>43</v>
      </c>
      <c r="W643" t="s">
        <v>43</v>
      </c>
      <c r="X643" t="s">
        <v>43</v>
      </c>
      <c r="Y643" t="s">
        <v>43</v>
      </c>
      <c r="Z643" t="s">
        <v>43</v>
      </c>
      <c r="AA643" t="s">
        <v>43</v>
      </c>
      <c r="AB643" t="s">
        <v>43</v>
      </c>
      <c r="AC643" t="s">
        <v>43</v>
      </c>
      <c r="AD643" t="s">
        <v>43</v>
      </c>
      <c r="AE643" t="s">
        <v>43</v>
      </c>
      <c r="AF643" t="s">
        <v>43</v>
      </c>
      <c r="AG643" t="s">
        <v>43</v>
      </c>
      <c r="AH643" t="s">
        <v>43</v>
      </c>
      <c r="AI643" t="s">
        <v>43</v>
      </c>
      <c r="AJ643" t="s">
        <v>43</v>
      </c>
      <c r="AK643" t="s">
        <v>43</v>
      </c>
      <c r="AL643" t="s">
        <v>43</v>
      </c>
      <c r="AM643" t="s">
        <v>43</v>
      </c>
      <c r="AN643" t="str">
        <f>HYPERLINK("https://www.google.com/maps?q=11.05477715,79.06084442","Open Location")</f>
        <v>Open Location</v>
      </c>
    </row>
    <row r="644" spans="1:40" x14ac:dyDescent="0.3">
      <c r="A644" s="1">
        <v>46210.92523148148</v>
      </c>
      <c r="B644" t="s">
        <v>40</v>
      </c>
      <c r="C644" t="s">
        <v>41</v>
      </c>
      <c r="D644" s="1">
        <v>46210.928194444445</v>
      </c>
      <c r="E644" t="s">
        <v>42</v>
      </c>
      <c r="F644" t="s">
        <v>43</v>
      </c>
      <c r="G644" t="s">
        <v>43</v>
      </c>
      <c r="H644" t="s">
        <v>43</v>
      </c>
      <c r="I644" t="s">
        <v>322</v>
      </c>
      <c r="J644" t="s">
        <v>43</v>
      </c>
      <c r="K644" t="s">
        <v>43</v>
      </c>
      <c r="L644" t="s">
        <v>43</v>
      </c>
      <c r="M644" t="s">
        <v>43</v>
      </c>
      <c r="N644" t="s">
        <v>45</v>
      </c>
      <c r="O644" t="s">
        <v>43</v>
      </c>
      <c r="P644" t="s">
        <v>43</v>
      </c>
      <c r="Q644" t="s">
        <v>43</v>
      </c>
      <c r="R644" t="s">
        <v>43</v>
      </c>
      <c r="S644" t="s">
        <v>43</v>
      </c>
      <c r="T644" t="s">
        <v>43</v>
      </c>
      <c r="U644" t="s">
        <v>43</v>
      </c>
      <c r="V644" t="s">
        <v>43</v>
      </c>
      <c r="W644" t="s">
        <v>43</v>
      </c>
      <c r="X644" t="s">
        <v>43</v>
      </c>
      <c r="Y644" t="s">
        <v>43</v>
      </c>
      <c r="Z644" t="s">
        <v>43</v>
      </c>
      <c r="AA644" t="s">
        <v>43</v>
      </c>
      <c r="AB644" t="s">
        <v>43</v>
      </c>
      <c r="AC644" t="s">
        <v>43</v>
      </c>
      <c r="AD644" t="s">
        <v>43</v>
      </c>
      <c r="AE644" t="s">
        <v>43</v>
      </c>
      <c r="AF644" t="s">
        <v>43</v>
      </c>
      <c r="AG644" t="s">
        <v>43</v>
      </c>
      <c r="AH644" t="s">
        <v>43</v>
      </c>
      <c r="AI644" t="s">
        <v>43</v>
      </c>
      <c r="AJ644" t="s">
        <v>43</v>
      </c>
      <c r="AK644" t="s">
        <v>43</v>
      </c>
      <c r="AL644" t="s">
        <v>43</v>
      </c>
      <c r="AM644" t="s">
        <v>43</v>
      </c>
      <c r="AN644" t="str">
        <f>HYPERLINK("https://www.google.com/maps?q=11.05477905,79.06084442","Open Location")</f>
        <v>Open Location</v>
      </c>
    </row>
    <row r="645" spans="1:40" x14ac:dyDescent="0.3">
      <c r="A645" s="1">
        <v>46210.925115740742</v>
      </c>
      <c r="B645" t="s">
        <v>40</v>
      </c>
      <c r="C645" t="s">
        <v>41</v>
      </c>
      <c r="D645" s="1">
        <v>46210.927847222221</v>
      </c>
      <c r="E645" t="s">
        <v>42</v>
      </c>
      <c r="F645" t="s">
        <v>43</v>
      </c>
      <c r="G645" t="s">
        <v>43</v>
      </c>
      <c r="H645" t="s">
        <v>43</v>
      </c>
      <c r="I645" t="s">
        <v>323</v>
      </c>
      <c r="J645" t="s">
        <v>43</v>
      </c>
      <c r="K645" t="s">
        <v>43</v>
      </c>
      <c r="L645" t="s">
        <v>43</v>
      </c>
      <c r="M645" t="s">
        <v>43</v>
      </c>
      <c r="N645" t="s">
        <v>45</v>
      </c>
      <c r="O645" t="s">
        <v>43</v>
      </c>
      <c r="P645" t="s">
        <v>43</v>
      </c>
      <c r="Q645" t="s">
        <v>43</v>
      </c>
      <c r="R645" t="s">
        <v>43</v>
      </c>
      <c r="S645" t="s">
        <v>43</v>
      </c>
      <c r="T645" t="s">
        <v>43</v>
      </c>
      <c r="U645" t="s">
        <v>43</v>
      </c>
      <c r="V645" t="s">
        <v>43</v>
      </c>
      <c r="W645" t="s">
        <v>43</v>
      </c>
      <c r="X645" t="s">
        <v>43</v>
      </c>
      <c r="Y645" t="s">
        <v>43</v>
      </c>
      <c r="Z645" t="s">
        <v>43</v>
      </c>
      <c r="AA645" t="s">
        <v>43</v>
      </c>
      <c r="AB645" t="s">
        <v>43</v>
      </c>
      <c r="AC645" t="s">
        <v>43</v>
      </c>
      <c r="AD645" t="s">
        <v>43</v>
      </c>
      <c r="AE645" t="s">
        <v>43</v>
      </c>
      <c r="AF645" t="s">
        <v>43</v>
      </c>
      <c r="AG645" t="s">
        <v>43</v>
      </c>
      <c r="AH645" t="s">
        <v>43</v>
      </c>
      <c r="AI645" t="s">
        <v>43</v>
      </c>
      <c r="AJ645" t="s">
        <v>43</v>
      </c>
      <c r="AK645" t="s">
        <v>43</v>
      </c>
      <c r="AL645" t="s">
        <v>43</v>
      </c>
      <c r="AM645" t="s">
        <v>43</v>
      </c>
      <c r="AN645" t="str">
        <f>HYPERLINK("https://www.google.com/maps?q=11.05477524,79.06084442","Open Location")</f>
        <v>Open Location</v>
      </c>
    </row>
    <row r="646" spans="1:40" x14ac:dyDescent="0.3">
      <c r="A646" s="1">
        <v>46210.925000000003</v>
      </c>
      <c r="B646" t="s">
        <v>40</v>
      </c>
      <c r="C646" t="s">
        <v>41</v>
      </c>
      <c r="D646" s="1">
        <v>46210.927939814814</v>
      </c>
      <c r="E646" t="s">
        <v>42</v>
      </c>
      <c r="F646" t="s">
        <v>43</v>
      </c>
      <c r="G646" t="s">
        <v>43</v>
      </c>
      <c r="H646" t="s">
        <v>43</v>
      </c>
      <c r="I646" t="s">
        <v>43</v>
      </c>
      <c r="J646" t="s">
        <v>43</v>
      </c>
      <c r="K646" t="s">
        <v>43</v>
      </c>
      <c r="L646" t="s">
        <v>43</v>
      </c>
      <c r="M646" t="s">
        <v>43</v>
      </c>
      <c r="N646" t="s">
        <v>45</v>
      </c>
      <c r="O646" t="s">
        <v>43</v>
      </c>
      <c r="P646" t="s">
        <v>43</v>
      </c>
      <c r="Q646" t="s">
        <v>43</v>
      </c>
      <c r="R646" t="s">
        <v>43</v>
      </c>
      <c r="S646" t="s">
        <v>43</v>
      </c>
      <c r="T646" t="s">
        <v>43</v>
      </c>
      <c r="U646" t="s">
        <v>43</v>
      </c>
      <c r="V646" t="s">
        <v>43</v>
      </c>
      <c r="W646" t="s">
        <v>43</v>
      </c>
      <c r="X646" t="s">
        <v>43</v>
      </c>
      <c r="Y646" t="s">
        <v>43</v>
      </c>
      <c r="Z646" t="s">
        <v>43</v>
      </c>
      <c r="AA646" t="s">
        <v>43</v>
      </c>
      <c r="AB646" t="s">
        <v>43</v>
      </c>
      <c r="AC646" t="s">
        <v>43</v>
      </c>
      <c r="AD646" t="s">
        <v>43</v>
      </c>
      <c r="AE646" t="s">
        <v>43</v>
      </c>
      <c r="AF646" t="s">
        <v>43</v>
      </c>
      <c r="AG646" t="s">
        <v>43</v>
      </c>
      <c r="AH646" t="s">
        <v>43</v>
      </c>
      <c r="AI646" t="s">
        <v>43</v>
      </c>
      <c r="AJ646" t="s">
        <v>43</v>
      </c>
      <c r="AK646" t="s">
        <v>43</v>
      </c>
      <c r="AL646" t="s">
        <v>43</v>
      </c>
      <c r="AM646" t="s">
        <v>43</v>
      </c>
      <c r="AN646" t="s">
        <v>43</v>
      </c>
    </row>
    <row r="647" spans="1:40" x14ac:dyDescent="0.3">
      <c r="A647" s="1">
        <v>46210.924884259257</v>
      </c>
      <c r="B647" t="s">
        <v>40</v>
      </c>
      <c r="C647" t="s">
        <v>41</v>
      </c>
      <c r="D647" s="1">
        <v>46210.927673611113</v>
      </c>
      <c r="E647" t="s">
        <v>42</v>
      </c>
      <c r="F647" t="s">
        <v>43</v>
      </c>
      <c r="G647" t="s">
        <v>43</v>
      </c>
      <c r="H647" t="s">
        <v>43</v>
      </c>
      <c r="I647" t="s">
        <v>312</v>
      </c>
      <c r="J647" t="s">
        <v>43</v>
      </c>
      <c r="K647" t="s">
        <v>43</v>
      </c>
      <c r="L647" t="s">
        <v>43</v>
      </c>
      <c r="M647" t="s">
        <v>43</v>
      </c>
      <c r="N647" t="s">
        <v>45</v>
      </c>
      <c r="O647" t="s">
        <v>43</v>
      </c>
      <c r="P647" t="s">
        <v>43</v>
      </c>
      <c r="Q647" t="s">
        <v>43</v>
      </c>
      <c r="R647" t="s">
        <v>43</v>
      </c>
      <c r="S647" t="s">
        <v>43</v>
      </c>
      <c r="T647" t="s">
        <v>43</v>
      </c>
      <c r="U647" t="s">
        <v>43</v>
      </c>
      <c r="V647" t="s">
        <v>43</v>
      </c>
      <c r="W647" t="s">
        <v>43</v>
      </c>
      <c r="X647" t="s">
        <v>43</v>
      </c>
      <c r="Y647" t="s">
        <v>43</v>
      </c>
      <c r="Z647" t="s">
        <v>43</v>
      </c>
      <c r="AA647" t="s">
        <v>43</v>
      </c>
      <c r="AB647" t="s">
        <v>43</v>
      </c>
      <c r="AC647" t="s">
        <v>43</v>
      </c>
      <c r="AD647" t="s">
        <v>43</v>
      </c>
      <c r="AE647" t="s">
        <v>43</v>
      </c>
      <c r="AF647" t="s">
        <v>43</v>
      </c>
      <c r="AG647" t="s">
        <v>43</v>
      </c>
      <c r="AH647" t="s">
        <v>43</v>
      </c>
      <c r="AI647" t="s">
        <v>43</v>
      </c>
      <c r="AJ647" t="s">
        <v>43</v>
      </c>
      <c r="AK647" t="s">
        <v>43</v>
      </c>
      <c r="AL647" t="s">
        <v>43</v>
      </c>
      <c r="AM647" t="s">
        <v>43</v>
      </c>
      <c r="AN647" t="str">
        <f>HYPERLINK("https://www.google.com/maps?q=11.05477524,79.06083679","Open Location")</f>
        <v>Open Location</v>
      </c>
    </row>
    <row r="648" spans="1:40" x14ac:dyDescent="0.3">
      <c r="A648" s="1">
        <v>46210.924768518518</v>
      </c>
      <c r="B648" t="s">
        <v>40</v>
      </c>
      <c r="C648" t="s">
        <v>41</v>
      </c>
      <c r="D648" s="1">
        <v>46210.928055555552</v>
      </c>
      <c r="E648" t="s">
        <v>42</v>
      </c>
      <c r="F648" t="s">
        <v>43</v>
      </c>
      <c r="G648" t="s">
        <v>43</v>
      </c>
      <c r="H648" t="s">
        <v>43</v>
      </c>
      <c r="I648" t="s">
        <v>324</v>
      </c>
      <c r="J648" t="s">
        <v>43</v>
      </c>
      <c r="K648" t="s">
        <v>43</v>
      </c>
      <c r="L648" t="s">
        <v>43</v>
      </c>
      <c r="M648" t="s">
        <v>43</v>
      </c>
      <c r="N648" t="s">
        <v>45</v>
      </c>
      <c r="O648" t="s">
        <v>43</v>
      </c>
      <c r="P648" t="s">
        <v>43</v>
      </c>
      <c r="Q648" t="s">
        <v>43</v>
      </c>
      <c r="R648" t="s">
        <v>43</v>
      </c>
      <c r="S648" t="s">
        <v>43</v>
      </c>
      <c r="T648" t="s">
        <v>43</v>
      </c>
      <c r="U648" t="s">
        <v>43</v>
      </c>
      <c r="V648" t="s">
        <v>43</v>
      </c>
      <c r="W648" t="s">
        <v>43</v>
      </c>
      <c r="X648" t="s">
        <v>43</v>
      </c>
      <c r="Y648" t="s">
        <v>43</v>
      </c>
      <c r="Z648" t="s">
        <v>43</v>
      </c>
      <c r="AA648" t="s">
        <v>43</v>
      </c>
      <c r="AB648" t="s">
        <v>43</v>
      </c>
      <c r="AC648" t="s">
        <v>43</v>
      </c>
      <c r="AD648" t="s">
        <v>43</v>
      </c>
      <c r="AE648" t="s">
        <v>43</v>
      </c>
      <c r="AF648" t="s">
        <v>43</v>
      </c>
      <c r="AG648" t="s">
        <v>43</v>
      </c>
      <c r="AH648" t="s">
        <v>43</v>
      </c>
      <c r="AI648" t="s">
        <v>43</v>
      </c>
      <c r="AJ648" t="s">
        <v>43</v>
      </c>
      <c r="AK648" t="s">
        <v>43</v>
      </c>
      <c r="AL648" t="s">
        <v>43</v>
      </c>
      <c r="AM648" t="s">
        <v>43</v>
      </c>
      <c r="AN648" t="str">
        <f>HYPERLINK("https://www.google.com/maps?q=11.05477428,79.06082916","Open Location")</f>
        <v>Open Location</v>
      </c>
    </row>
    <row r="649" spans="1:40" x14ac:dyDescent="0.3">
      <c r="A649" s="1">
        <v>46210.92465277778</v>
      </c>
      <c r="B649" t="s">
        <v>40</v>
      </c>
      <c r="C649" t="s">
        <v>41</v>
      </c>
      <c r="D649" s="1">
        <v>46210.927349537036</v>
      </c>
      <c r="E649" t="s">
        <v>42</v>
      </c>
      <c r="F649" t="s">
        <v>43</v>
      </c>
      <c r="G649" t="s">
        <v>43</v>
      </c>
      <c r="H649" t="s">
        <v>43</v>
      </c>
      <c r="I649" t="s">
        <v>325</v>
      </c>
      <c r="J649" t="s">
        <v>43</v>
      </c>
      <c r="K649" t="s">
        <v>43</v>
      </c>
      <c r="L649" t="s">
        <v>43</v>
      </c>
      <c r="M649" t="s">
        <v>43</v>
      </c>
      <c r="N649" t="s">
        <v>45</v>
      </c>
      <c r="O649" t="s">
        <v>43</v>
      </c>
      <c r="P649" t="s">
        <v>43</v>
      </c>
      <c r="Q649" t="s">
        <v>43</v>
      </c>
      <c r="R649" t="s">
        <v>43</v>
      </c>
      <c r="S649" t="s">
        <v>43</v>
      </c>
      <c r="T649" t="s">
        <v>43</v>
      </c>
      <c r="U649" t="s">
        <v>43</v>
      </c>
      <c r="V649" t="s">
        <v>43</v>
      </c>
      <c r="W649" t="s">
        <v>43</v>
      </c>
      <c r="X649" t="s">
        <v>43</v>
      </c>
      <c r="Y649" t="s">
        <v>43</v>
      </c>
      <c r="Z649" t="s">
        <v>43</v>
      </c>
      <c r="AA649" t="s">
        <v>43</v>
      </c>
      <c r="AB649" t="s">
        <v>43</v>
      </c>
      <c r="AC649" t="s">
        <v>43</v>
      </c>
      <c r="AD649" t="s">
        <v>43</v>
      </c>
      <c r="AE649" t="s">
        <v>43</v>
      </c>
      <c r="AF649" t="s">
        <v>43</v>
      </c>
      <c r="AG649" t="s">
        <v>43</v>
      </c>
      <c r="AH649" t="s">
        <v>43</v>
      </c>
      <c r="AI649" t="s">
        <v>43</v>
      </c>
      <c r="AJ649" t="s">
        <v>43</v>
      </c>
      <c r="AK649" t="s">
        <v>43</v>
      </c>
      <c r="AL649" t="s">
        <v>43</v>
      </c>
      <c r="AM649" t="s">
        <v>43</v>
      </c>
      <c r="AN649" t="str">
        <f>HYPERLINK("https://www.google.com/maps?q=11.05477428,79.06083679","Open Location")</f>
        <v>Open Location</v>
      </c>
    </row>
    <row r="650" spans="1:40" x14ac:dyDescent="0.3">
      <c r="A650" s="1">
        <v>46210.924537037034</v>
      </c>
      <c r="B650" t="s">
        <v>40</v>
      </c>
      <c r="C650" t="s">
        <v>41</v>
      </c>
      <c r="D650" s="1">
        <v>46210.927349537036</v>
      </c>
      <c r="E650" t="s">
        <v>42</v>
      </c>
      <c r="F650" t="s">
        <v>43</v>
      </c>
      <c r="G650" t="s">
        <v>43</v>
      </c>
      <c r="H650" t="s">
        <v>43</v>
      </c>
      <c r="I650" t="s">
        <v>324</v>
      </c>
      <c r="J650" t="s">
        <v>43</v>
      </c>
      <c r="K650" t="s">
        <v>43</v>
      </c>
      <c r="L650" t="s">
        <v>43</v>
      </c>
      <c r="M650" t="s">
        <v>43</v>
      </c>
      <c r="N650" t="s">
        <v>45</v>
      </c>
      <c r="O650" t="s">
        <v>43</v>
      </c>
      <c r="P650" t="s">
        <v>43</v>
      </c>
      <c r="Q650" t="s">
        <v>43</v>
      </c>
      <c r="R650" t="s">
        <v>43</v>
      </c>
      <c r="S650" t="s">
        <v>43</v>
      </c>
      <c r="T650" t="s">
        <v>43</v>
      </c>
      <c r="U650" t="s">
        <v>43</v>
      </c>
      <c r="V650" t="s">
        <v>43</v>
      </c>
      <c r="W650" t="s">
        <v>43</v>
      </c>
      <c r="X650" t="s">
        <v>43</v>
      </c>
      <c r="Y650" t="s">
        <v>43</v>
      </c>
      <c r="Z650" t="s">
        <v>43</v>
      </c>
      <c r="AA650" t="s">
        <v>43</v>
      </c>
      <c r="AB650" t="s">
        <v>43</v>
      </c>
      <c r="AC650" t="s">
        <v>43</v>
      </c>
      <c r="AD650" t="s">
        <v>43</v>
      </c>
      <c r="AE650" t="s">
        <v>43</v>
      </c>
      <c r="AF650" t="s">
        <v>43</v>
      </c>
      <c r="AG650" t="s">
        <v>43</v>
      </c>
      <c r="AH650" t="s">
        <v>43</v>
      </c>
      <c r="AI650" t="s">
        <v>43</v>
      </c>
      <c r="AJ650" t="s">
        <v>43</v>
      </c>
      <c r="AK650" t="s">
        <v>43</v>
      </c>
      <c r="AL650" t="s">
        <v>43</v>
      </c>
      <c r="AM650" t="s">
        <v>43</v>
      </c>
      <c r="AN650" t="str">
        <f>HYPERLINK("https://www.google.com/maps?q=11.05477428,79.06082916","Open Location")</f>
        <v>Open Location</v>
      </c>
    </row>
    <row r="651" spans="1:40" x14ac:dyDescent="0.3">
      <c r="A651" s="1">
        <v>46210.924421296295</v>
      </c>
      <c r="B651" t="s">
        <v>40</v>
      </c>
      <c r="C651" t="s">
        <v>41</v>
      </c>
      <c r="D651" s="1">
        <v>46210.927337962959</v>
      </c>
      <c r="E651" t="s">
        <v>42</v>
      </c>
      <c r="F651" t="s">
        <v>43</v>
      </c>
      <c r="G651" t="s">
        <v>43</v>
      </c>
      <c r="H651" t="s">
        <v>43</v>
      </c>
      <c r="I651" t="s">
        <v>325</v>
      </c>
      <c r="J651" t="s">
        <v>43</v>
      </c>
      <c r="K651" t="s">
        <v>43</v>
      </c>
      <c r="L651" t="s">
        <v>43</v>
      </c>
      <c r="M651" t="s">
        <v>43</v>
      </c>
      <c r="N651" t="s">
        <v>45</v>
      </c>
      <c r="O651" t="s">
        <v>43</v>
      </c>
      <c r="P651" t="s">
        <v>43</v>
      </c>
      <c r="Q651" t="s">
        <v>43</v>
      </c>
      <c r="R651" t="s">
        <v>43</v>
      </c>
      <c r="S651" t="s">
        <v>43</v>
      </c>
      <c r="T651" t="s">
        <v>43</v>
      </c>
      <c r="U651" t="s">
        <v>43</v>
      </c>
      <c r="V651" t="s">
        <v>43</v>
      </c>
      <c r="W651" t="s">
        <v>43</v>
      </c>
      <c r="X651" t="s">
        <v>43</v>
      </c>
      <c r="Y651" t="s">
        <v>43</v>
      </c>
      <c r="Z651" t="s">
        <v>43</v>
      </c>
      <c r="AA651" t="s">
        <v>43</v>
      </c>
      <c r="AB651" t="s">
        <v>43</v>
      </c>
      <c r="AC651" t="s">
        <v>43</v>
      </c>
      <c r="AD651" t="s">
        <v>43</v>
      </c>
      <c r="AE651" t="s">
        <v>43</v>
      </c>
      <c r="AF651" t="s">
        <v>43</v>
      </c>
      <c r="AG651" t="s">
        <v>43</v>
      </c>
      <c r="AH651" t="s">
        <v>43</v>
      </c>
      <c r="AI651" t="s">
        <v>43</v>
      </c>
      <c r="AJ651" t="s">
        <v>43</v>
      </c>
      <c r="AK651" t="s">
        <v>43</v>
      </c>
      <c r="AL651" t="s">
        <v>43</v>
      </c>
      <c r="AM651" t="s">
        <v>43</v>
      </c>
      <c r="AN651" t="str">
        <f>HYPERLINK("https://www.google.com/maps?q=11.05477428,79.06083679","Open Location")</f>
        <v>Open Location</v>
      </c>
    </row>
    <row r="652" spans="1:40" x14ac:dyDescent="0.3">
      <c r="A652" s="1">
        <v>46210.924305555556</v>
      </c>
      <c r="B652" t="s">
        <v>40</v>
      </c>
      <c r="C652" t="s">
        <v>41</v>
      </c>
      <c r="D652" s="1">
        <v>46210.927118055559</v>
      </c>
      <c r="E652" t="s">
        <v>42</v>
      </c>
      <c r="F652" t="s">
        <v>43</v>
      </c>
      <c r="G652" t="s">
        <v>43</v>
      </c>
      <c r="H652" t="s">
        <v>43</v>
      </c>
      <c r="I652" t="s">
        <v>43</v>
      </c>
      <c r="J652" t="s">
        <v>43</v>
      </c>
      <c r="K652" t="s">
        <v>43</v>
      </c>
      <c r="L652" t="s">
        <v>43</v>
      </c>
      <c r="M652" t="s">
        <v>43</v>
      </c>
      <c r="N652" t="s">
        <v>45</v>
      </c>
      <c r="O652" t="s">
        <v>43</v>
      </c>
      <c r="P652" t="s">
        <v>43</v>
      </c>
      <c r="Q652" t="s">
        <v>43</v>
      </c>
      <c r="R652" t="s">
        <v>43</v>
      </c>
      <c r="S652" t="s">
        <v>43</v>
      </c>
      <c r="T652" t="s">
        <v>43</v>
      </c>
      <c r="U652" t="s">
        <v>43</v>
      </c>
      <c r="V652" t="s">
        <v>43</v>
      </c>
      <c r="W652" t="s">
        <v>43</v>
      </c>
      <c r="X652" t="s">
        <v>43</v>
      </c>
      <c r="Y652" t="s">
        <v>43</v>
      </c>
      <c r="Z652" t="s">
        <v>43</v>
      </c>
      <c r="AA652" t="s">
        <v>43</v>
      </c>
      <c r="AB652" t="s">
        <v>43</v>
      </c>
      <c r="AC652" t="s">
        <v>43</v>
      </c>
      <c r="AD652" t="s">
        <v>43</v>
      </c>
      <c r="AE652" t="s">
        <v>43</v>
      </c>
      <c r="AF652" t="s">
        <v>43</v>
      </c>
      <c r="AG652" t="s">
        <v>43</v>
      </c>
      <c r="AH652" t="s">
        <v>43</v>
      </c>
      <c r="AI652" t="s">
        <v>43</v>
      </c>
      <c r="AJ652" t="s">
        <v>43</v>
      </c>
      <c r="AK652" t="s">
        <v>43</v>
      </c>
      <c r="AL652" t="s">
        <v>43</v>
      </c>
      <c r="AM652" t="s">
        <v>43</v>
      </c>
      <c r="AN652" t="s">
        <v>43</v>
      </c>
    </row>
    <row r="653" spans="1:40" x14ac:dyDescent="0.3">
      <c r="A653" s="1">
        <v>46210.924189814818</v>
      </c>
      <c r="B653" t="s">
        <v>40</v>
      </c>
      <c r="C653" t="s">
        <v>41</v>
      </c>
      <c r="D653" s="1">
        <v>46210.926898148151</v>
      </c>
      <c r="E653" t="s">
        <v>42</v>
      </c>
      <c r="F653" t="s">
        <v>43</v>
      </c>
      <c r="G653" t="s">
        <v>43</v>
      </c>
      <c r="H653" t="s">
        <v>43</v>
      </c>
      <c r="I653" t="s">
        <v>326</v>
      </c>
      <c r="J653" t="s">
        <v>43</v>
      </c>
      <c r="K653" t="s">
        <v>43</v>
      </c>
      <c r="L653" t="s">
        <v>43</v>
      </c>
      <c r="M653" t="s">
        <v>43</v>
      </c>
      <c r="N653" t="s">
        <v>45</v>
      </c>
      <c r="O653" t="s">
        <v>43</v>
      </c>
      <c r="P653" t="s">
        <v>43</v>
      </c>
      <c r="Q653" t="s">
        <v>43</v>
      </c>
      <c r="R653" t="s">
        <v>43</v>
      </c>
      <c r="S653" t="s">
        <v>43</v>
      </c>
      <c r="T653" t="s">
        <v>43</v>
      </c>
      <c r="U653" t="s">
        <v>43</v>
      </c>
      <c r="V653" t="s">
        <v>43</v>
      </c>
      <c r="W653" t="s">
        <v>43</v>
      </c>
      <c r="X653" t="s">
        <v>43</v>
      </c>
      <c r="Y653" t="s">
        <v>43</v>
      </c>
      <c r="Z653" t="s">
        <v>43</v>
      </c>
      <c r="AA653" t="s">
        <v>43</v>
      </c>
      <c r="AB653" t="s">
        <v>43</v>
      </c>
      <c r="AC653" t="s">
        <v>43</v>
      </c>
      <c r="AD653" t="s">
        <v>43</v>
      </c>
      <c r="AE653" t="s">
        <v>43</v>
      </c>
      <c r="AF653" t="s">
        <v>43</v>
      </c>
      <c r="AG653" t="s">
        <v>43</v>
      </c>
      <c r="AH653" t="s">
        <v>43</v>
      </c>
      <c r="AI653" t="s">
        <v>43</v>
      </c>
      <c r="AJ653" t="s">
        <v>43</v>
      </c>
      <c r="AK653" t="s">
        <v>43</v>
      </c>
      <c r="AL653" t="s">
        <v>43</v>
      </c>
      <c r="AM653" t="s">
        <v>43</v>
      </c>
      <c r="AN653" t="str">
        <f>HYPERLINK("https://www.google.com/maps?q=11.05477238,79.06083679","Open Location")</f>
        <v>Open Location</v>
      </c>
    </row>
    <row r="654" spans="1:40" x14ac:dyDescent="0.3">
      <c r="A654" s="1">
        <v>46210.924074074072</v>
      </c>
      <c r="B654" t="s">
        <v>40</v>
      </c>
      <c r="C654" t="s">
        <v>41</v>
      </c>
      <c r="D654" s="1">
        <v>46210.927118055559</v>
      </c>
      <c r="E654" t="s">
        <v>42</v>
      </c>
      <c r="F654" t="s">
        <v>43</v>
      </c>
      <c r="G654" t="s">
        <v>43</v>
      </c>
      <c r="H654" t="s">
        <v>43</v>
      </c>
      <c r="I654" t="s">
        <v>327</v>
      </c>
      <c r="J654" t="s">
        <v>43</v>
      </c>
      <c r="K654" t="s">
        <v>43</v>
      </c>
      <c r="L654" t="s">
        <v>43</v>
      </c>
      <c r="M654" t="s">
        <v>43</v>
      </c>
      <c r="N654" t="s">
        <v>45</v>
      </c>
      <c r="O654" t="s">
        <v>43</v>
      </c>
      <c r="P654" t="s">
        <v>43</v>
      </c>
      <c r="Q654" t="s">
        <v>43</v>
      </c>
      <c r="R654" t="s">
        <v>43</v>
      </c>
      <c r="S654" t="s">
        <v>43</v>
      </c>
      <c r="T654" t="s">
        <v>43</v>
      </c>
      <c r="U654" t="s">
        <v>43</v>
      </c>
      <c r="V654" t="s">
        <v>43</v>
      </c>
      <c r="W654" t="s">
        <v>43</v>
      </c>
      <c r="X654" t="s">
        <v>43</v>
      </c>
      <c r="Y654" t="s">
        <v>43</v>
      </c>
      <c r="Z654" t="s">
        <v>43</v>
      </c>
      <c r="AA654" t="s">
        <v>43</v>
      </c>
      <c r="AB654" t="s">
        <v>43</v>
      </c>
      <c r="AC654" t="s">
        <v>43</v>
      </c>
      <c r="AD654" t="s">
        <v>43</v>
      </c>
      <c r="AE654" t="s">
        <v>43</v>
      </c>
      <c r="AF654" t="s">
        <v>43</v>
      </c>
      <c r="AG654" t="s">
        <v>43</v>
      </c>
      <c r="AH654" t="s">
        <v>43</v>
      </c>
      <c r="AI654" t="s">
        <v>43</v>
      </c>
      <c r="AJ654" t="s">
        <v>43</v>
      </c>
      <c r="AK654" t="s">
        <v>43</v>
      </c>
      <c r="AL654" t="s">
        <v>43</v>
      </c>
      <c r="AM654" t="s">
        <v>43</v>
      </c>
      <c r="AN654" t="str">
        <f>HYPERLINK("https://www.google.com/maps?q=11.05477142,79.06084442","Open Location")</f>
        <v>Open Location</v>
      </c>
    </row>
    <row r="655" spans="1:40" x14ac:dyDescent="0.3">
      <c r="A655" s="1">
        <v>46210.923958333333</v>
      </c>
      <c r="B655" t="s">
        <v>40</v>
      </c>
      <c r="C655" t="s">
        <v>41</v>
      </c>
      <c r="D655" s="1">
        <v>46210.926655092589</v>
      </c>
      <c r="E655" t="s">
        <v>42</v>
      </c>
      <c r="F655" t="s">
        <v>43</v>
      </c>
      <c r="G655" t="s">
        <v>43</v>
      </c>
      <c r="H655" t="s">
        <v>43</v>
      </c>
      <c r="I655" t="s">
        <v>328</v>
      </c>
      <c r="J655" t="s">
        <v>43</v>
      </c>
      <c r="K655" t="s">
        <v>43</v>
      </c>
      <c r="L655" t="s">
        <v>43</v>
      </c>
      <c r="M655" t="s">
        <v>43</v>
      </c>
      <c r="N655" t="s">
        <v>45</v>
      </c>
      <c r="O655" t="s">
        <v>43</v>
      </c>
      <c r="P655" t="s">
        <v>43</v>
      </c>
      <c r="Q655" t="s">
        <v>43</v>
      </c>
      <c r="R655" t="s">
        <v>43</v>
      </c>
      <c r="S655" t="s">
        <v>43</v>
      </c>
      <c r="T655" t="s">
        <v>43</v>
      </c>
      <c r="U655" t="s">
        <v>43</v>
      </c>
      <c r="V655" t="s">
        <v>43</v>
      </c>
      <c r="W655" t="s">
        <v>43</v>
      </c>
      <c r="X655" t="s">
        <v>43</v>
      </c>
      <c r="Y655" t="s">
        <v>43</v>
      </c>
      <c r="Z655" t="s">
        <v>43</v>
      </c>
      <c r="AA655" t="s">
        <v>43</v>
      </c>
      <c r="AB655" t="s">
        <v>43</v>
      </c>
      <c r="AC655" t="s">
        <v>43</v>
      </c>
      <c r="AD655" t="s">
        <v>43</v>
      </c>
      <c r="AE655" t="s">
        <v>43</v>
      </c>
      <c r="AF655" t="s">
        <v>43</v>
      </c>
      <c r="AG655" t="s">
        <v>43</v>
      </c>
      <c r="AH655" t="s">
        <v>43</v>
      </c>
      <c r="AI655" t="s">
        <v>43</v>
      </c>
      <c r="AJ655" t="s">
        <v>43</v>
      </c>
      <c r="AK655" t="s">
        <v>43</v>
      </c>
      <c r="AL655" t="s">
        <v>43</v>
      </c>
      <c r="AM655" t="s">
        <v>43</v>
      </c>
      <c r="AN655" t="str">
        <f>HYPERLINK("https://www.google.com/maps?q=11.05477238,79.06084442","Open Location")</f>
        <v>Open Location</v>
      </c>
    </row>
    <row r="656" spans="1:40" x14ac:dyDescent="0.3">
      <c r="A656" s="1">
        <v>46210.923842592594</v>
      </c>
      <c r="B656" t="s">
        <v>40</v>
      </c>
      <c r="C656" t="s">
        <v>41</v>
      </c>
      <c r="D656" s="1">
        <v>46210.926828703705</v>
      </c>
      <c r="E656" t="s">
        <v>42</v>
      </c>
      <c r="F656" t="s">
        <v>43</v>
      </c>
      <c r="G656" t="s">
        <v>43</v>
      </c>
      <c r="H656" t="s">
        <v>43</v>
      </c>
      <c r="I656" t="s">
        <v>290</v>
      </c>
      <c r="J656" t="s">
        <v>43</v>
      </c>
      <c r="K656" t="s">
        <v>43</v>
      </c>
      <c r="L656" t="s">
        <v>43</v>
      </c>
      <c r="M656" t="s">
        <v>43</v>
      </c>
      <c r="N656" t="s">
        <v>45</v>
      </c>
      <c r="O656" t="s">
        <v>43</v>
      </c>
      <c r="P656" t="s">
        <v>43</v>
      </c>
      <c r="Q656" t="s">
        <v>43</v>
      </c>
      <c r="R656" t="s">
        <v>43</v>
      </c>
      <c r="S656" t="s">
        <v>43</v>
      </c>
      <c r="T656" t="s">
        <v>43</v>
      </c>
      <c r="U656" t="s">
        <v>43</v>
      </c>
      <c r="V656" t="s">
        <v>43</v>
      </c>
      <c r="W656" t="s">
        <v>43</v>
      </c>
      <c r="X656" t="s">
        <v>43</v>
      </c>
      <c r="Y656" t="s">
        <v>43</v>
      </c>
      <c r="Z656" t="s">
        <v>43</v>
      </c>
      <c r="AA656" t="s">
        <v>43</v>
      </c>
      <c r="AB656" t="s">
        <v>43</v>
      </c>
      <c r="AC656" t="s">
        <v>43</v>
      </c>
      <c r="AD656" t="s">
        <v>43</v>
      </c>
      <c r="AE656" t="s">
        <v>43</v>
      </c>
      <c r="AF656" t="s">
        <v>43</v>
      </c>
      <c r="AG656" t="s">
        <v>43</v>
      </c>
      <c r="AH656" t="s">
        <v>43</v>
      </c>
      <c r="AI656" t="s">
        <v>43</v>
      </c>
      <c r="AJ656" t="s">
        <v>43</v>
      </c>
      <c r="AK656" t="s">
        <v>43</v>
      </c>
      <c r="AL656" t="s">
        <v>43</v>
      </c>
      <c r="AM656" t="s">
        <v>43</v>
      </c>
      <c r="AN656" t="str">
        <f>HYPERLINK("https://www.google.com/maps?q=11.05477333,79.06084442","Open Location")</f>
        <v>Open Location</v>
      </c>
    </row>
    <row r="657" spans="1:40" x14ac:dyDescent="0.3">
      <c r="A657" s="1">
        <v>46210.923726851855</v>
      </c>
      <c r="B657" t="s">
        <v>40</v>
      </c>
      <c r="C657" t="s">
        <v>41</v>
      </c>
      <c r="D657" s="1">
        <v>46210.926412037035</v>
      </c>
      <c r="E657" t="s">
        <v>42</v>
      </c>
      <c r="F657" t="s">
        <v>43</v>
      </c>
      <c r="G657" t="s">
        <v>43</v>
      </c>
      <c r="H657" t="s">
        <v>43</v>
      </c>
      <c r="I657" t="s">
        <v>43</v>
      </c>
      <c r="J657" t="s">
        <v>43</v>
      </c>
      <c r="K657" t="s">
        <v>43</v>
      </c>
      <c r="L657" t="s">
        <v>43</v>
      </c>
      <c r="M657" t="s">
        <v>43</v>
      </c>
      <c r="N657" t="s">
        <v>45</v>
      </c>
      <c r="O657" t="s">
        <v>43</v>
      </c>
      <c r="P657" t="s">
        <v>43</v>
      </c>
      <c r="Q657" t="s">
        <v>43</v>
      </c>
      <c r="R657" t="s">
        <v>43</v>
      </c>
      <c r="S657" t="s">
        <v>43</v>
      </c>
      <c r="T657" t="s">
        <v>43</v>
      </c>
      <c r="U657" t="s">
        <v>43</v>
      </c>
      <c r="V657" t="s">
        <v>43</v>
      </c>
      <c r="W657" t="s">
        <v>43</v>
      </c>
      <c r="X657" t="s">
        <v>43</v>
      </c>
      <c r="Y657" t="s">
        <v>43</v>
      </c>
      <c r="Z657" t="s">
        <v>43</v>
      </c>
      <c r="AA657" t="s">
        <v>43</v>
      </c>
      <c r="AB657" t="s">
        <v>43</v>
      </c>
      <c r="AC657" t="s">
        <v>43</v>
      </c>
      <c r="AD657" t="s">
        <v>43</v>
      </c>
      <c r="AE657" t="s">
        <v>43</v>
      </c>
      <c r="AF657" t="s">
        <v>43</v>
      </c>
      <c r="AG657" t="s">
        <v>43</v>
      </c>
      <c r="AH657" t="s">
        <v>43</v>
      </c>
      <c r="AI657" t="s">
        <v>43</v>
      </c>
      <c r="AJ657" t="s">
        <v>43</v>
      </c>
      <c r="AK657" t="s">
        <v>43</v>
      </c>
      <c r="AL657" t="s">
        <v>43</v>
      </c>
      <c r="AM657" t="s">
        <v>43</v>
      </c>
      <c r="AN657" t="s">
        <v>43</v>
      </c>
    </row>
    <row r="658" spans="1:40" x14ac:dyDescent="0.3">
      <c r="A658" s="1">
        <v>46210.923611111109</v>
      </c>
      <c r="B658" t="s">
        <v>40</v>
      </c>
      <c r="C658" t="s">
        <v>41</v>
      </c>
      <c r="D658" s="1">
        <v>46210.926851851851</v>
      </c>
      <c r="E658" t="s">
        <v>42</v>
      </c>
      <c r="F658" t="s">
        <v>43</v>
      </c>
      <c r="G658" t="s">
        <v>43</v>
      </c>
      <c r="H658" t="s">
        <v>43</v>
      </c>
      <c r="I658" t="s">
        <v>329</v>
      </c>
      <c r="J658" t="s">
        <v>43</v>
      </c>
      <c r="K658" t="s">
        <v>43</v>
      </c>
      <c r="L658" t="s">
        <v>43</v>
      </c>
      <c r="M658" t="s">
        <v>43</v>
      </c>
      <c r="N658" t="s">
        <v>45</v>
      </c>
      <c r="O658" t="s">
        <v>43</v>
      </c>
      <c r="P658" t="s">
        <v>43</v>
      </c>
      <c r="Q658" t="s">
        <v>43</v>
      </c>
      <c r="R658" t="s">
        <v>43</v>
      </c>
      <c r="S658" t="s">
        <v>43</v>
      </c>
      <c r="T658" t="s">
        <v>43</v>
      </c>
      <c r="U658" t="s">
        <v>43</v>
      </c>
      <c r="V658" t="s">
        <v>43</v>
      </c>
      <c r="W658" t="s">
        <v>43</v>
      </c>
      <c r="X658" t="s">
        <v>43</v>
      </c>
      <c r="Y658" t="s">
        <v>43</v>
      </c>
      <c r="Z658" t="s">
        <v>43</v>
      </c>
      <c r="AA658" t="s">
        <v>43</v>
      </c>
      <c r="AB658" t="s">
        <v>43</v>
      </c>
      <c r="AC658" t="s">
        <v>43</v>
      </c>
      <c r="AD658" t="s">
        <v>43</v>
      </c>
      <c r="AE658" t="s">
        <v>43</v>
      </c>
      <c r="AF658" t="s">
        <v>43</v>
      </c>
      <c r="AG658" t="s">
        <v>43</v>
      </c>
      <c r="AH658" t="s">
        <v>43</v>
      </c>
      <c r="AI658" t="s">
        <v>43</v>
      </c>
      <c r="AJ658" t="s">
        <v>43</v>
      </c>
      <c r="AK658" t="s">
        <v>43</v>
      </c>
      <c r="AL658" t="s">
        <v>43</v>
      </c>
      <c r="AM658" t="s">
        <v>43</v>
      </c>
      <c r="AN658" t="str">
        <f>HYPERLINK("https://www.google.com/maps?q=11.05477142,79.06083679","Open Location")</f>
        <v>Open Location</v>
      </c>
    </row>
    <row r="659" spans="1:40" x14ac:dyDescent="0.3">
      <c r="A659" s="1">
        <v>46210.923495370371</v>
      </c>
      <c r="B659" t="s">
        <v>40</v>
      </c>
      <c r="C659" t="s">
        <v>41</v>
      </c>
      <c r="D659" s="1">
        <v>46210.926458333335</v>
      </c>
      <c r="E659" t="s">
        <v>42</v>
      </c>
      <c r="F659" t="s">
        <v>43</v>
      </c>
      <c r="G659" t="s">
        <v>43</v>
      </c>
      <c r="H659" t="s">
        <v>43</v>
      </c>
      <c r="I659" t="s">
        <v>330</v>
      </c>
      <c r="J659" t="s">
        <v>43</v>
      </c>
      <c r="K659" t="s">
        <v>43</v>
      </c>
      <c r="L659" t="s">
        <v>43</v>
      </c>
      <c r="M659" t="s">
        <v>43</v>
      </c>
      <c r="N659" t="s">
        <v>45</v>
      </c>
      <c r="O659" t="s">
        <v>43</v>
      </c>
      <c r="P659" t="s">
        <v>43</v>
      </c>
      <c r="Q659" t="s">
        <v>43</v>
      </c>
      <c r="R659" t="s">
        <v>43</v>
      </c>
      <c r="S659" t="s">
        <v>43</v>
      </c>
      <c r="T659" t="s">
        <v>43</v>
      </c>
      <c r="U659" t="s">
        <v>43</v>
      </c>
      <c r="V659" t="s">
        <v>43</v>
      </c>
      <c r="W659" t="s">
        <v>43</v>
      </c>
      <c r="X659" t="s">
        <v>43</v>
      </c>
      <c r="Y659" t="s">
        <v>43</v>
      </c>
      <c r="Z659" t="s">
        <v>43</v>
      </c>
      <c r="AA659" t="s">
        <v>43</v>
      </c>
      <c r="AB659" t="s">
        <v>43</v>
      </c>
      <c r="AC659" t="s">
        <v>43</v>
      </c>
      <c r="AD659" t="s">
        <v>43</v>
      </c>
      <c r="AE659" t="s">
        <v>43</v>
      </c>
      <c r="AF659" t="s">
        <v>43</v>
      </c>
      <c r="AG659" t="s">
        <v>43</v>
      </c>
      <c r="AH659" t="s">
        <v>43</v>
      </c>
      <c r="AI659" t="s">
        <v>43</v>
      </c>
      <c r="AJ659" t="s">
        <v>43</v>
      </c>
      <c r="AK659" t="s">
        <v>43</v>
      </c>
      <c r="AL659" t="s">
        <v>43</v>
      </c>
      <c r="AM659" t="s">
        <v>43</v>
      </c>
      <c r="AN659" t="str">
        <f>HYPERLINK("https://www.google.com/maps?q=11.05477333,79.06083679","Open Location")</f>
        <v>Open Location</v>
      </c>
    </row>
    <row r="660" spans="1:40" x14ac:dyDescent="0.3">
      <c r="A660" s="1">
        <v>46210.923379629632</v>
      </c>
      <c r="B660" t="s">
        <v>40</v>
      </c>
      <c r="C660" t="s">
        <v>41</v>
      </c>
      <c r="D660" s="1">
        <v>46210.926423611112</v>
      </c>
      <c r="E660" t="s">
        <v>42</v>
      </c>
      <c r="F660" t="s">
        <v>43</v>
      </c>
      <c r="G660" t="s">
        <v>43</v>
      </c>
      <c r="H660" t="s">
        <v>43</v>
      </c>
      <c r="I660" t="s">
        <v>290</v>
      </c>
      <c r="J660" t="s">
        <v>43</v>
      </c>
      <c r="K660" t="s">
        <v>43</v>
      </c>
      <c r="L660" t="s">
        <v>43</v>
      </c>
      <c r="M660" t="s">
        <v>43</v>
      </c>
      <c r="N660" t="s">
        <v>45</v>
      </c>
      <c r="O660" t="s">
        <v>43</v>
      </c>
      <c r="P660" t="s">
        <v>43</v>
      </c>
      <c r="Q660" t="s">
        <v>43</v>
      </c>
      <c r="R660" t="s">
        <v>43</v>
      </c>
      <c r="S660" t="s">
        <v>43</v>
      </c>
      <c r="T660" t="s">
        <v>43</v>
      </c>
      <c r="U660" t="s">
        <v>43</v>
      </c>
      <c r="V660" t="s">
        <v>43</v>
      </c>
      <c r="W660" t="s">
        <v>43</v>
      </c>
      <c r="X660" t="s">
        <v>43</v>
      </c>
      <c r="Y660" t="s">
        <v>43</v>
      </c>
      <c r="Z660" t="s">
        <v>43</v>
      </c>
      <c r="AA660" t="s">
        <v>43</v>
      </c>
      <c r="AB660" t="s">
        <v>43</v>
      </c>
      <c r="AC660" t="s">
        <v>43</v>
      </c>
      <c r="AD660" t="s">
        <v>43</v>
      </c>
      <c r="AE660" t="s">
        <v>43</v>
      </c>
      <c r="AF660" t="s">
        <v>43</v>
      </c>
      <c r="AG660" t="s">
        <v>43</v>
      </c>
      <c r="AH660" t="s">
        <v>43</v>
      </c>
      <c r="AI660" t="s">
        <v>43</v>
      </c>
      <c r="AJ660" t="s">
        <v>43</v>
      </c>
      <c r="AK660" t="s">
        <v>43</v>
      </c>
      <c r="AL660" t="s">
        <v>43</v>
      </c>
      <c r="AM660" t="s">
        <v>43</v>
      </c>
      <c r="AN660" t="str">
        <f>HYPERLINK("https://www.google.com/maps?q=11.05477333,79.06084442","Open Location")</f>
        <v>Open Location</v>
      </c>
    </row>
    <row r="661" spans="1:40" x14ac:dyDescent="0.3">
      <c r="A661" s="1">
        <v>46210.923263888886</v>
      </c>
      <c r="B661" t="s">
        <v>40</v>
      </c>
      <c r="C661" t="s">
        <v>41</v>
      </c>
      <c r="D661" s="1">
        <v>46210.926087962966</v>
      </c>
      <c r="E661" t="s">
        <v>42</v>
      </c>
      <c r="F661" t="s">
        <v>43</v>
      </c>
      <c r="G661" t="s">
        <v>43</v>
      </c>
      <c r="H661" t="s">
        <v>43</v>
      </c>
      <c r="I661" t="s">
        <v>323</v>
      </c>
      <c r="J661" t="s">
        <v>43</v>
      </c>
      <c r="K661" t="s">
        <v>43</v>
      </c>
      <c r="L661" t="s">
        <v>43</v>
      </c>
      <c r="M661" t="s">
        <v>43</v>
      </c>
      <c r="N661" t="s">
        <v>45</v>
      </c>
      <c r="O661" t="s">
        <v>43</v>
      </c>
      <c r="P661" t="s">
        <v>43</v>
      </c>
      <c r="Q661" t="s">
        <v>43</v>
      </c>
      <c r="R661" t="s">
        <v>43</v>
      </c>
      <c r="S661" t="s">
        <v>43</v>
      </c>
      <c r="T661" t="s">
        <v>43</v>
      </c>
      <c r="U661" t="s">
        <v>43</v>
      </c>
      <c r="V661" t="s">
        <v>43</v>
      </c>
      <c r="W661" t="s">
        <v>43</v>
      </c>
      <c r="X661" t="s">
        <v>43</v>
      </c>
      <c r="Y661" t="s">
        <v>43</v>
      </c>
      <c r="Z661" t="s">
        <v>43</v>
      </c>
      <c r="AA661" t="s">
        <v>43</v>
      </c>
      <c r="AB661" t="s">
        <v>43</v>
      </c>
      <c r="AC661" t="s">
        <v>43</v>
      </c>
      <c r="AD661" t="s">
        <v>43</v>
      </c>
      <c r="AE661" t="s">
        <v>43</v>
      </c>
      <c r="AF661" t="s">
        <v>43</v>
      </c>
      <c r="AG661" t="s">
        <v>43</v>
      </c>
      <c r="AH661" t="s">
        <v>43</v>
      </c>
      <c r="AI661" t="s">
        <v>43</v>
      </c>
      <c r="AJ661" t="s">
        <v>43</v>
      </c>
      <c r="AK661" t="s">
        <v>43</v>
      </c>
      <c r="AL661" t="s">
        <v>43</v>
      </c>
      <c r="AM661" t="s">
        <v>43</v>
      </c>
      <c r="AN661" t="str">
        <f>HYPERLINK("https://www.google.com/maps?q=11.05477524,79.06084442","Open Location")</f>
        <v>Open Location</v>
      </c>
    </row>
    <row r="662" spans="1:40" x14ac:dyDescent="0.3">
      <c r="A662" s="1">
        <v>46210.923148148147</v>
      </c>
      <c r="B662" t="s">
        <v>40</v>
      </c>
      <c r="C662" t="s">
        <v>41</v>
      </c>
      <c r="D662" s="1">
        <v>46210.926053240742</v>
      </c>
      <c r="E662" t="s">
        <v>42</v>
      </c>
      <c r="F662" t="s">
        <v>43</v>
      </c>
      <c r="G662" t="s">
        <v>43</v>
      </c>
      <c r="H662" t="s">
        <v>43</v>
      </c>
      <c r="I662" t="s">
        <v>312</v>
      </c>
      <c r="J662" t="s">
        <v>43</v>
      </c>
      <c r="K662" t="s">
        <v>43</v>
      </c>
      <c r="L662" t="s">
        <v>43</v>
      </c>
      <c r="M662" t="s">
        <v>43</v>
      </c>
      <c r="N662" t="s">
        <v>45</v>
      </c>
      <c r="O662" t="s">
        <v>43</v>
      </c>
      <c r="P662" t="s">
        <v>43</v>
      </c>
      <c r="Q662" t="s">
        <v>43</v>
      </c>
      <c r="R662" t="s">
        <v>43</v>
      </c>
      <c r="S662" t="s">
        <v>43</v>
      </c>
      <c r="T662" t="s">
        <v>43</v>
      </c>
      <c r="U662" t="s">
        <v>43</v>
      </c>
      <c r="V662" t="s">
        <v>43</v>
      </c>
      <c r="W662" t="s">
        <v>43</v>
      </c>
      <c r="X662" t="s">
        <v>43</v>
      </c>
      <c r="Y662" t="s">
        <v>43</v>
      </c>
      <c r="Z662" t="s">
        <v>43</v>
      </c>
      <c r="AA662" t="s">
        <v>43</v>
      </c>
      <c r="AB662" t="s">
        <v>43</v>
      </c>
      <c r="AC662" t="s">
        <v>43</v>
      </c>
      <c r="AD662" t="s">
        <v>43</v>
      </c>
      <c r="AE662" t="s">
        <v>43</v>
      </c>
      <c r="AF662" t="s">
        <v>43</v>
      </c>
      <c r="AG662" t="s">
        <v>43</v>
      </c>
      <c r="AH662" t="s">
        <v>43</v>
      </c>
      <c r="AI662" t="s">
        <v>43</v>
      </c>
      <c r="AJ662" t="s">
        <v>43</v>
      </c>
      <c r="AK662" t="s">
        <v>43</v>
      </c>
      <c r="AL662" t="s">
        <v>43</v>
      </c>
      <c r="AM662" t="s">
        <v>43</v>
      </c>
      <c r="AN662" t="str">
        <f>HYPERLINK("https://www.google.com/maps?q=11.05477524,79.06083679","Open Location")</f>
        <v>Open Location</v>
      </c>
    </row>
    <row r="663" spans="1:40" x14ac:dyDescent="0.3">
      <c r="A663" s="1">
        <v>46210.923032407409</v>
      </c>
      <c r="B663" t="s">
        <v>40</v>
      </c>
      <c r="C663" t="s">
        <v>41</v>
      </c>
      <c r="D663" s="1">
        <v>46210.92596064815</v>
      </c>
      <c r="E663" t="s">
        <v>42</v>
      </c>
      <c r="F663" t="s">
        <v>43</v>
      </c>
      <c r="G663" t="s">
        <v>43</v>
      </c>
      <c r="H663" t="s">
        <v>43</v>
      </c>
      <c r="I663" t="s">
        <v>43</v>
      </c>
      <c r="J663" t="s">
        <v>43</v>
      </c>
      <c r="K663" t="s">
        <v>43</v>
      </c>
      <c r="L663" t="s">
        <v>43</v>
      </c>
      <c r="M663" t="s">
        <v>43</v>
      </c>
      <c r="N663" t="s">
        <v>45</v>
      </c>
      <c r="O663" t="s">
        <v>43</v>
      </c>
      <c r="P663" t="s">
        <v>43</v>
      </c>
      <c r="Q663" t="s">
        <v>43</v>
      </c>
      <c r="R663" t="s">
        <v>43</v>
      </c>
      <c r="S663" t="s">
        <v>43</v>
      </c>
      <c r="T663" t="s">
        <v>43</v>
      </c>
      <c r="U663" t="s">
        <v>43</v>
      </c>
      <c r="V663" t="s">
        <v>43</v>
      </c>
      <c r="W663" t="s">
        <v>43</v>
      </c>
      <c r="X663" t="s">
        <v>43</v>
      </c>
      <c r="Y663" t="s">
        <v>43</v>
      </c>
      <c r="Z663" t="s">
        <v>43</v>
      </c>
      <c r="AA663" t="s">
        <v>43</v>
      </c>
      <c r="AB663" t="s">
        <v>43</v>
      </c>
      <c r="AC663" t="s">
        <v>43</v>
      </c>
      <c r="AD663" t="s">
        <v>43</v>
      </c>
      <c r="AE663" t="s">
        <v>43</v>
      </c>
      <c r="AF663" t="s">
        <v>43</v>
      </c>
      <c r="AG663" t="s">
        <v>43</v>
      </c>
      <c r="AH663" t="s">
        <v>43</v>
      </c>
      <c r="AI663" t="s">
        <v>43</v>
      </c>
      <c r="AJ663" t="s">
        <v>43</v>
      </c>
      <c r="AK663" t="s">
        <v>43</v>
      </c>
      <c r="AL663" t="s">
        <v>43</v>
      </c>
      <c r="AM663" t="s">
        <v>43</v>
      </c>
      <c r="AN663" t="s">
        <v>43</v>
      </c>
    </row>
    <row r="664" spans="1:40" x14ac:dyDescent="0.3">
      <c r="A664" s="1">
        <v>46210.92291666667</v>
      </c>
      <c r="B664" t="s">
        <v>40</v>
      </c>
      <c r="C664" t="s">
        <v>41</v>
      </c>
      <c r="D664" s="1">
        <v>46210.925844907404</v>
      </c>
      <c r="E664" t="s">
        <v>42</v>
      </c>
      <c r="F664" t="s">
        <v>43</v>
      </c>
      <c r="G664" t="s">
        <v>43</v>
      </c>
      <c r="H664" t="s">
        <v>43</v>
      </c>
      <c r="I664" t="s">
        <v>323</v>
      </c>
      <c r="J664" t="s">
        <v>43</v>
      </c>
      <c r="K664" t="s">
        <v>43</v>
      </c>
      <c r="L664" t="s">
        <v>43</v>
      </c>
      <c r="M664" t="s">
        <v>43</v>
      </c>
      <c r="N664" t="s">
        <v>45</v>
      </c>
      <c r="O664" t="s">
        <v>43</v>
      </c>
      <c r="P664" t="s">
        <v>43</v>
      </c>
      <c r="Q664" t="s">
        <v>43</v>
      </c>
      <c r="R664" t="s">
        <v>43</v>
      </c>
      <c r="S664" t="s">
        <v>43</v>
      </c>
      <c r="T664" t="s">
        <v>43</v>
      </c>
      <c r="U664" t="s">
        <v>43</v>
      </c>
      <c r="V664" t="s">
        <v>43</v>
      </c>
      <c r="W664" t="s">
        <v>43</v>
      </c>
      <c r="X664" t="s">
        <v>43</v>
      </c>
      <c r="Y664" t="s">
        <v>43</v>
      </c>
      <c r="Z664" t="s">
        <v>43</v>
      </c>
      <c r="AA664" t="s">
        <v>43</v>
      </c>
      <c r="AB664" t="s">
        <v>43</v>
      </c>
      <c r="AC664" t="s">
        <v>43</v>
      </c>
      <c r="AD664" t="s">
        <v>43</v>
      </c>
      <c r="AE664" t="s">
        <v>43</v>
      </c>
      <c r="AF664" t="s">
        <v>43</v>
      </c>
      <c r="AG664" t="s">
        <v>43</v>
      </c>
      <c r="AH664" t="s">
        <v>43</v>
      </c>
      <c r="AI664" t="s">
        <v>43</v>
      </c>
      <c r="AJ664" t="s">
        <v>43</v>
      </c>
      <c r="AK664" t="s">
        <v>43</v>
      </c>
      <c r="AL664" t="s">
        <v>43</v>
      </c>
      <c r="AM664" t="s">
        <v>43</v>
      </c>
      <c r="AN664" t="str">
        <f>HYPERLINK("https://www.google.com/maps?q=11.05477524,79.06084442","Open Location")</f>
        <v>Open Location</v>
      </c>
    </row>
    <row r="665" spans="1:40" x14ac:dyDescent="0.3">
      <c r="A665" s="1">
        <v>46210.922800925924</v>
      </c>
      <c r="B665" t="s">
        <v>40</v>
      </c>
      <c r="C665" t="s">
        <v>41</v>
      </c>
      <c r="D665" s="1">
        <v>46210.925717592596</v>
      </c>
      <c r="E665" t="s">
        <v>42</v>
      </c>
      <c r="F665" t="s">
        <v>43</v>
      </c>
      <c r="G665" t="s">
        <v>43</v>
      </c>
      <c r="H665" t="s">
        <v>43</v>
      </c>
      <c r="I665" t="s">
        <v>321</v>
      </c>
      <c r="J665" t="s">
        <v>43</v>
      </c>
      <c r="K665" t="s">
        <v>43</v>
      </c>
      <c r="L665" t="s">
        <v>43</v>
      </c>
      <c r="M665" t="s">
        <v>43</v>
      </c>
      <c r="N665" t="s">
        <v>45</v>
      </c>
      <c r="O665" t="s">
        <v>43</v>
      </c>
      <c r="P665" t="s">
        <v>43</v>
      </c>
      <c r="Q665" t="s">
        <v>43</v>
      </c>
      <c r="R665" t="s">
        <v>43</v>
      </c>
      <c r="S665" t="s">
        <v>43</v>
      </c>
      <c r="T665" t="s">
        <v>43</v>
      </c>
      <c r="U665" t="s">
        <v>43</v>
      </c>
      <c r="V665" t="s">
        <v>43</v>
      </c>
      <c r="W665" t="s">
        <v>43</v>
      </c>
      <c r="X665" t="s">
        <v>43</v>
      </c>
      <c r="Y665" t="s">
        <v>43</v>
      </c>
      <c r="Z665" t="s">
        <v>43</v>
      </c>
      <c r="AA665" t="s">
        <v>43</v>
      </c>
      <c r="AB665" t="s">
        <v>43</v>
      </c>
      <c r="AC665" t="s">
        <v>43</v>
      </c>
      <c r="AD665" t="s">
        <v>43</v>
      </c>
      <c r="AE665" t="s">
        <v>43</v>
      </c>
      <c r="AF665" t="s">
        <v>43</v>
      </c>
      <c r="AG665" t="s">
        <v>43</v>
      </c>
      <c r="AH665" t="s">
        <v>43</v>
      </c>
      <c r="AI665" t="s">
        <v>43</v>
      </c>
      <c r="AJ665" t="s">
        <v>43</v>
      </c>
      <c r="AK665" t="s">
        <v>43</v>
      </c>
      <c r="AL665" t="s">
        <v>43</v>
      </c>
      <c r="AM665" t="s">
        <v>43</v>
      </c>
      <c r="AN665" t="str">
        <f>HYPERLINK("https://www.google.com/maps?q=11.05477715,79.06084442","Open Location")</f>
        <v>Open Location</v>
      </c>
    </row>
    <row r="666" spans="1:40" x14ac:dyDescent="0.3">
      <c r="A666" s="1">
        <v>46210.922685185185</v>
      </c>
      <c r="B666" t="s">
        <v>40</v>
      </c>
      <c r="C666" t="s">
        <v>41</v>
      </c>
      <c r="D666" s="1">
        <v>46210.925613425927</v>
      </c>
      <c r="E666" t="s">
        <v>42</v>
      </c>
      <c r="F666" t="s">
        <v>43</v>
      </c>
      <c r="G666" t="s">
        <v>43</v>
      </c>
      <c r="H666" t="s">
        <v>43</v>
      </c>
      <c r="I666" t="s">
        <v>322</v>
      </c>
      <c r="J666" t="s">
        <v>43</v>
      </c>
      <c r="K666" t="s">
        <v>43</v>
      </c>
      <c r="L666" t="s">
        <v>43</v>
      </c>
      <c r="M666" t="s">
        <v>43</v>
      </c>
      <c r="N666" t="s">
        <v>45</v>
      </c>
      <c r="O666" t="s">
        <v>43</v>
      </c>
      <c r="P666" t="s">
        <v>43</v>
      </c>
      <c r="Q666" t="s">
        <v>43</v>
      </c>
      <c r="R666" t="s">
        <v>43</v>
      </c>
      <c r="S666" t="s">
        <v>43</v>
      </c>
      <c r="T666" t="s">
        <v>43</v>
      </c>
      <c r="U666" t="s">
        <v>43</v>
      </c>
      <c r="V666" t="s">
        <v>43</v>
      </c>
      <c r="W666" t="s">
        <v>43</v>
      </c>
      <c r="X666" t="s">
        <v>43</v>
      </c>
      <c r="Y666" t="s">
        <v>43</v>
      </c>
      <c r="Z666" t="s">
        <v>43</v>
      </c>
      <c r="AA666" t="s">
        <v>43</v>
      </c>
      <c r="AB666" t="s">
        <v>43</v>
      </c>
      <c r="AC666" t="s">
        <v>43</v>
      </c>
      <c r="AD666" t="s">
        <v>43</v>
      </c>
      <c r="AE666" t="s">
        <v>43</v>
      </c>
      <c r="AF666" t="s">
        <v>43</v>
      </c>
      <c r="AG666" t="s">
        <v>43</v>
      </c>
      <c r="AH666" t="s">
        <v>43</v>
      </c>
      <c r="AI666" t="s">
        <v>43</v>
      </c>
      <c r="AJ666" t="s">
        <v>43</v>
      </c>
      <c r="AK666" t="s">
        <v>43</v>
      </c>
      <c r="AL666" t="s">
        <v>43</v>
      </c>
      <c r="AM666" t="s">
        <v>43</v>
      </c>
      <c r="AN666" t="str">
        <f>HYPERLINK("https://www.google.com/maps?q=11.05477905,79.06084442","Open Location")</f>
        <v>Open Location</v>
      </c>
    </row>
    <row r="667" spans="1:40" x14ac:dyDescent="0.3">
      <c r="A667" s="1">
        <v>46210.922569444447</v>
      </c>
      <c r="B667" t="s">
        <v>40</v>
      </c>
      <c r="C667" t="s">
        <v>41</v>
      </c>
      <c r="D667" s="1">
        <v>46210.925428240742</v>
      </c>
      <c r="E667" t="s">
        <v>42</v>
      </c>
      <c r="F667" t="s">
        <v>43</v>
      </c>
      <c r="G667" t="s">
        <v>43</v>
      </c>
      <c r="H667" t="s">
        <v>43</v>
      </c>
      <c r="I667" t="s">
        <v>331</v>
      </c>
      <c r="J667" t="s">
        <v>43</v>
      </c>
      <c r="K667" t="s">
        <v>43</v>
      </c>
      <c r="L667" t="s">
        <v>43</v>
      </c>
      <c r="M667" t="s">
        <v>43</v>
      </c>
      <c r="N667" t="s">
        <v>45</v>
      </c>
      <c r="O667" t="s">
        <v>43</v>
      </c>
      <c r="P667" t="s">
        <v>43</v>
      </c>
      <c r="Q667" t="s">
        <v>43</v>
      </c>
      <c r="R667" t="s">
        <v>43</v>
      </c>
      <c r="S667" t="s">
        <v>43</v>
      </c>
      <c r="T667" t="s">
        <v>43</v>
      </c>
      <c r="U667" t="s">
        <v>43</v>
      </c>
      <c r="V667" t="s">
        <v>43</v>
      </c>
      <c r="W667" t="s">
        <v>43</v>
      </c>
      <c r="X667" t="s">
        <v>43</v>
      </c>
      <c r="Y667" t="s">
        <v>43</v>
      </c>
      <c r="Z667" t="s">
        <v>43</v>
      </c>
      <c r="AA667" t="s">
        <v>43</v>
      </c>
      <c r="AB667" t="s">
        <v>43</v>
      </c>
      <c r="AC667" t="s">
        <v>43</v>
      </c>
      <c r="AD667" t="s">
        <v>43</v>
      </c>
      <c r="AE667" t="s">
        <v>43</v>
      </c>
      <c r="AF667" t="s">
        <v>43</v>
      </c>
      <c r="AG667" t="s">
        <v>43</v>
      </c>
      <c r="AH667" t="s">
        <v>43</v>
      </c>
      <c r="AI667" t="s">
        <v>43</v>
      </c>
      <c r="AJ667" t="s">
        <v>43</v>
      </c>
      <c r="AK667" t="s">
        <v>43</v>
      </c>
      <c r="AL667" t="s">
        <v>43</v>
      </c>
      <c r="AM667" t="s">
        <v>43</v>
      </c>
      <c r="AN667" t="str">
        <f>HYPERLINK("https://www.google.com/maps?q=11.0547781,79.06084442","Open Location")</f>
        <v>Open Location</v>
      </c>
    </row>
    <row r="668" spans="1:40" x14ac:dyDescent="0.3">
      <c r="A668" s="1">
        <v>46210.922453703701</v>
      </c>
      <c r="B668" t="s">
        <v>40</v>
      </c>
      <c r="C668" t="s">
        <v>41</v>
      </c>
      <c r="D668" s="1">
        <v>46210.925358796296</v>
      </c>
      <c r="E668" t="s">
        <v>42</v>
      </c>
      <c r="F668" t="s">
        <v>43</v>
      </c>
      <c r="G668" t="s">
        <v>43</v>
      </c>
      <c r="H668" t="s">
        <v>43</v>
      </c>
      <c r="I668" t="s">
        <v>310</v>
      </c>
      <c r="J668" t="s">
        <v>43</v>
      </c>
      <c r="K668" t="s">
        <v>43</v>
      </c>
      <c r="L668" t="s">
        <v>43</v>
      </c>
      <c r="M668" t="s">
        <v>43</v>
      </c>
      <c r="N668" t="s">
        <v>45</v>
      </c>
      <c r="O668" t="s">
        <v>43</v>
      </c>
      <c r="P668" t="s">
        <v>43</v>
      </c>
      <c r="Q668" t="s">
        <v>43</v>
      </c>
      <c r="R668" t="s">
        <v>43</v>
      </c>
      <c r="S668" t="s">
        <v>43</v>
      </c>
      <c r="T668" t="s">
        <v>43</v>
      </c>
      <c r="U668" t="s">
        <v>43</v>
      </c>
      <c r="V668" t="s">
        <v>43</v>
      </c>
      <c r="W668" t="s">
        <v>43</v>
      </c>
      <c r="X668" t="s">
        <v>43</v>
      </c>
      <c r="Y668" t="s">
        <v>43</v>
      </c>
      <c r="Z668" t="s">
        <v>43</v>
      </c>
      <c r="AA668" t="s">
        <v>43</v>
      </c>
      <c r="AB668" t="s">
        <v>43</v>
      </c>
      <c r="AC668" t="s">
        <v>43</v>
      </c>
      <c r="AD668" t="s">
        <v>43</v>
      </c>
      <c r="AE668" t="s">
        <v>43</v>
      </c>
      <c r="AF668" t="s">
        <v>43</v>
      </c>
      <c r="AG668" t="s">
        <v>43</v>
      </c>
      <c r="AH668" t="s">
        <v>43</v>
      </c>
      <c r="AI668" t="s">
        <v>43</v>
      </c>
      <c r="AJ668" t="s">
        <v>43</v>
      </c>
      <c r="AK668" t="s">
        <v>43</v>
      </c>
      <c r="AL668" t="s">
        <v>43</v>
      </c>
      <c r="AM668" t="s">
        <v>43</v>
      </c>
      <c r="AN668" t="str">
        <f>HYPERLINK("https://www.google.com/maps?q=11.05477715,79.06083679","Open Location")</f>
        <v>Open Location</v>
      </c>
    </row>
    <row r="669" spans="1:40" x14ac:dyDescent="0.3">
      <c r="A669" s="1">
        <v>46210.922337962962</v>
      </c>
      <c r="B669" t="s">
        <v>40</v>
      </c>
      <c r="C669" t="s">
        <v>41</v>
      </c>
      <c r="D669" s="1">
        <v>46210.925115740742</v>
      </c>
      <c r="E669" t="s">
        <v>42</v>
      </c>
      <c r="F669" t="s">
        <v>43</v>
      </c>
      <c r="G669" t="s">
        <v>43</v>
      </c>
      <c r="H669" t="s">
        <v>43</v>
      </c>
      <c r="I669" t="s">
        <v>43</v>
      </c>
      <c r="J669" t="s">
        <v>43</v>
      </c>
      <c r="K669" t="s">
        <v>43</v>
      </c>
      <c r="L669" t="s">
        <v>43</v>
      </c>
      <c r="M669" t="s">
        <v>43</v>
      </c>
      <c r="N669" t="s">
        <v>45</v>
      </c>
      <c r="O669" t="s">
        <v>43</v>
      </c>
      <c r="P669" t="s">
        <v>43</v>
      </c>
      <c r="Q669" t="s">
        <v>43</v>
      </c>
      <c r="R669" t="s">
        <v>43</v>
      </c>
      <c r="S669" t="s">
        <v>43</v>
      </c>
      <c r="T669" t="s">
        <v>43</v>
      </c>
      <c r="U669" t="s">
        <v>43</v>
      </c>
      <c r="V669" t="s">
        <v>43</v>
      </c>
      <c r="W669" t="s">
        <v>43</v>
      </c>
      <c r="X669" t="s">
        <v>43</v>
      </c>
      <c r="Y669" t="s">
        <v>43</v>
      </c>
      <c r="Z669" t="s">
        <v>43</v>
      </c>
      <c r="AA669" t="s">
        <v>43</v>
      </c>
      <c r="AB669" t="s">
        <v>43</v>
      </c>
      <c r="AC669" t="s">
        <v>43</v>
      </c>
      <c r="AD669" t="s">
        <v>43</v>
      </c>
      <c r="AE669" t="s">
        <v>43</v>
      </c>
      <c r="AF669" t="s">
        <v>43</v>
      </c>
      <c r="AG669" t="s">
        <v>43</v>
      </c>
      <c r="AH669" t="s">
        <v>43</v>
      </c>
      <c r="AI669" t="s">
        <v>43</v>
      </c>
      <c r="AJ669" t="s">
        <v>43</v>
      </c>
      <c r="AK669" t="s">
        <v>43</v>
      </c>
      <c r="AL669" t="s">
        <v>43</v>
      </c>
      <c r="AM669" t="s">
        <v>43</v>
      </c>
      <c r="AN669" t="s">
        <v>43</v>
      </c>
    </row>
    <row r="670" spans="1:40" x14ac:dyDescent="0.3">
      <c r="A670" s="1">
        <v>46210.922222222223</v>
      </c>
      <c r="B670" t="s">
        <v>40</v>
      </c>
      <c r="C670" t="s">
        <v>41</v>
      </c>
      <c r="D670" s="1">
        <v>46210.925300925926</v>
      </c>
      <c r="E670" t="s">
        <v>42</v>
      </c>
      <c r="F670" t="s">
        <v>43</v>
      </c>
      <c r="G670" t="s">
        <v>43</v>
      </c>
      <c r="H670" t="s">
        <v>43</v>
      </c>
      <c r="I670" t="s">
        <v>325</v>
      </c>
      <c r="J670" t="s">
        <v>43</v>
      </c>
      <c r="K670" t="s">
        <v>43</v>
      </c>
      <c r="L670" t="s">
        <v>43</v>
      </c>
      <c r="M670" t="s">
        <v>43</v>
      </c>
      <c r="N670" t="s">
        <v>45</v>
      </c>
      <c r="O670" t="s">
        <v>43</v>
      </c>
      <c r="P670" t="s">
        <v>43</v>
      </c>
      <c r="Q670" t="s">
        <v>43</v>
      </c>
      <c r="R670" t="s">
        <v>43</v>
      </c>
      <c r="S670" t="s">
        <v>43</v>
      </c>
      <c r="T670" t="s">
        <v>43</v>
      </c>
      <c r="U670" t="s">
        <v>43</v>
      </c>
      <c r="V670" t="s">
        <v>43</v>
      </c>
      <c r="W670" t="s">
        <v>43</v>
      </c>
      <c r="X670" t="s">
        <v>43</v>
      </c>
      <c r="Y670" t="s">
        <v>43</v>
      </c>
      <c r="Z670" t="s">
        <v>43</v>
      </c>
      <c r="AA670" t="s">
        <v>43</v>
      </c>
      <c r="AB670" t="s">
        <v>43</v>
      </c>
      <c r="AC670" t="s">
        <v>43</v>
      </c>
      <c r="AD670" t="s">
        <v>43</v>
      </c>
      <c r="AE670" t="s">
        <v>43</v>
      </c>
      <c r="AF670" t="s">
        <v>43</v>
      </c>
      <c r="AG670" t="s">
        <v>43</v>
      </c>
      <c r="AH670" t="s">
        <v>43</v>
      </c>
      <c r="AI670" t="s">
        <v>43</v>
      </c>
      <c r="AJ670" t="s">
        <v>43</v>
      </c>
      <c r="AK670" t="s">
        <v>43</v>
      </c>
      <c r="AL670" t="s">
        <v>43</v>
      </c>
      <c r="AM670" t="s">
        <v>43</v>
      </c>
      <c r="AN670" t="str">
        <f>HYPERLINK("https://www.google.com/maps?q=11.05477428,79.06083679","Open Location")</f>
        <v>Open Location</v>
      </c>
    </row>
    <row r="671" spans="1:40" x14ac:dyDescent="0.3">
      <c r="A671" s="1">
        <v>46210.922106481485</v>
      </c>
      <c r="B671" t="s">
        <v>40</v>
      </c>
      <c r="C671" t="s">
        <v>41</v>
      </c>
      <c r="D671" s="1">
        <v>46210.924895833334</v>
      </c>
      <c r="E671" t="s">
        <v>42</v>
      </c>
      <c r="F671" t="s">
        <v>43</v>
      </c>
      <c r="G671" t="s">
        <v>43</v>
      </c>
      <c r="H671" t="s">
        <v>43</v>
      </c>
      <c r="I671" t="s">
        <v>325</v>
      </c>
      <c r="J671" t="s">
        <v>43</v>
      </c>
      <c r="K671" t="s">
        <v>43</v>
      </c>
      <c r="L671" t="s">
        <v>43</v>
      </c>
      <c r="M671" t="s">
        <v>43</v>
      </c>
      <c r="N671" t="s">
        <v>45</v>
      </c>
      <c r="O671" t="s">
        <v>43</v>
      </c>
      <c r="P671" t="s">
        <v>43</v>
      </c>
      <c r="Q671" t="s">
        <v>43</v>
      </c>
      <c r="R671" t="s">
        <v>43</v>
      </c>
      <c r="S671" t="s">
        <v>43</v>
      </c>
      <c r="T671" t="s">
        <v>43</v>
      </c>
      <c r="U671" t="s">
        <v>43</v>
      </c>
      <c r="V671" t="s">
        <v>43</v>
      </c>
      <c r="W671" t="s">
        <v>43</v>
      </c>
      <c r="X671" t="s">
        <v>43</v>
      </c>
      <c r="Y671" t="s">
        <v>43</v>
      </c>
      <c r="Z671" t="s">
        <v>43</v>
      </c>
      <c r="AA671" t="s">
        <v>43</v>
      </c>
      <c r="AB671" t="s">
        <v>43</v>
      </c>
      <c r="AC671" t="s">
        <v>43</v>
      </c>
      <c r="AD671" t="s">
        <v>43</v>
      </c>
      <c r="AE671" t="s">
        <v>43</v>
      </c>
      <c r="AF671" t="s">
        <v>43</v>
      </c>
      <c r="AG671" t="s">
        <v>43</v>
      </c>
      <c r="AH671" t="s">
        <v>43</v>
      </c>
      <c r="AI671" t="s">
        <v>43</v>
      </c>
      <c r="AJ671" t="s">
        <v>43</v>
      </c>
      <c r="AK671" t="s">
        <v>43</v>
      </c>
      <c r="AL671" t="s">
        <v>43</v>
      </c>
      <c r="AM671" t="s">
        <v>43</v>
      </c>
      <c r="AN671" t="str">
        <f>HYPERLINK("https://www.google.com/maps?q=11.05477428,79.06083679","Open Location")</f>
        <v>Open Location</v>
      </c>
    </row>
    <row r="672" spans="1:40" x14ac:dyDescent="0.3">
      <c r="A672" s="1">
        <v>46210.921990740739</v>
      </c>
      <c r="B672" t="s">
        <v>40</v>
      </c>
      <c r="C672" t="s">
        <v>41</v>
      </c>
      <c r="D672" s="1">
        <v>46210.924895833334</v>
      </c>
      <c r="E672" t="s">
        <v>42</v>
      </c>
      <c r="F672" t="s">
        <v>43</v>
      </c>
      <c r="G672" t="s">
        <v>43</v>
      </c>
      <c r="H672" t="s">
        <v>43</v>
      </c>
      <c r="I672" t="s">
        <v>323</v>
      </c>
      <c r="J672" t="s">
        <v>43</v>
      </c>
      <c r="K672" t="s">
        <v>43</v>
      </c>
      <c r="L672" t="s">
        <v>43</v>
      </c>
      <c r="M672" t="s">
        <v>43</v>
      </c>
      <c r="N672" t="s">
        <v>45</v>
      </c>
      <c r="O672" t="s">
        <v>43</v>
      </c>
      <c r="P672" t="s">
        <v>43</v>
      </c>
      <c r="Q672" t="s">
        <v>43</v>
      </c>
      <c r="R672" t="s">
        <v>43</v>
      </c>
      <c r="S672" t="s">
        <v>43</v>
      </c>
      <c r="T672" t="s">
        <v>43</v>
      </c>
      <c r="U672" t="s">
        <v>43</v>
      </c>
      <c r="V672" t="s">
        <v>43</v>
      </c>
      <c r="W672" t="s">
        <v>43</v>
      </c>
      <c r="X672" t="s">
        <v>43</v>
      </c>
      <c r="Y672" t="s">
        <v>43</v>
      </c>
      <c r="Z672" t="s">
        <v>43</v>
      </c>
      <c r="AA672" t="s">
        <v>43</v>
      </c>
      <c r="AB672" t="s">
        <v>43</v>
      </c>
      <c r="AC672" t="s">
        <v>43</v>
      </c>
      <c r="AD672" t="s">
        <v>43</v>
      </c>
      <c r="AE672" t="s">
        <v>43</v>
      </c>
      <c r="AF672" t="s">
        <v>43</v>
      </c>
      <c r="AG672" t="s">
        <v>43</v>
      </c>
      <c r="AH672" t="s">
        <v>43</v>
      </c>
      <c r="AI672" t="s">
        <v>43</v>
      </c>
      <c r="AJ672" t="s">
        <v>43</v>
      </c>
      <c r="AK672" t="s">
        <v>43</v>
      </c>
      <c r="AL672" t="s">
        <v>43</v>
      </c>
      <c r="AM672" t="s">
        <v>43</v>
      </c>
      <c r="AN672" t="str">
        <f>HYPERLINK("https://www.google.com/maps?q=11.05477524,79.06084442","Open Location")</f>
        <v>Open Location</v>
      </c>
    </row>
    <row r="673" spans="1:40" x14ac:dyDescent="0.3">
      <c r="A673" s="1">
        <v>46210.921875</v>
      </c>
      <c r="B673" t="s">
        <v>40</v>
      </c>
      <c r="C673" t="s">
        <v>41</v>
      </c>
      <c r="D673" s="1">
        <v>46210.924560185187</v>
      </c>
      <c r="E673" t="s">
        <v>42</v>
      </c>
      <c r="F673" t="s">
        <v>43</v>
      </c>
      <c r="G673" t="s">
        <v>43</v>
      </c>
      <c r="H673" t="s">
        <v>43</v>
      </c>
      <c r="I673" t="s">
        <v>321</v>
      </c>
      <c r="J673" t="s">
        <v>43</v>
      </c>
      <c r="K673" t="s">
        <v>43</v>
      </c>
      <c r="L673" t="s">
        <v>43</v>
      </c>
      <c r="M673" t="s">
        <v>43</v>
      </c>
      <c r="N673" t="s">
        <v>45</v>
      </c>
      <c r="O673" t="s">
        <v>43</v>
      </c>
      <c r="P673" t="s">
        <v>43</v>
      </c>
      <c r="Q673" t="s">
        <v>43</v>
      </c>
      <c r="R673" t="s">
        <v>43</v>
      </c>
      <c r="S673" t="s">
        <v>43</v>
      </c>
      <c r="T673" t="s">
        <v>43</v>
      </c>
      <c r="U673" t="s">
        <v>43</v>
      </c>
      <c r="V673" t="s">
        <v>43</v>
      </c>
      <c r="W673" t="s">
        <v>43</v>
      </c>
      <c r="X673" t="s">
        <v>43</v>
      </c>
      <c r="Y673" t="s">
        <v>43</v>
      </c>
      <c r="Z673" t="s">
        <v>43</v>
      </c>
      <c r="AA673" t="s">
        <v>43</v>
      </c>
      <c r="AB673" t="s">
        <v>43</v>
      </c>
      <c r="AC673" t="s">
        <v>43</v>
      </c>
      <c r="AD673" t="s">
        <v>43</v>
      </c>
      <c r="AE673" t="s">
        <v>43</v>
      </c>
      <c r="AF673" t="s">
        <v>43</v>
      </c>
      <c r="AG673" t="s">
        <v>43</v>
      </c>
      <c r="AH673" t="s">
        <v>43</v>
      </c>
      <c r="AI673" t="s">
        <v>43</v>
      </c>
      <c r="AJ673" t="s">
        <v>43</v>
      </c>
      <c r="AK673" t="s">
        <v>43</v>
      </c>
      <c r="AL673" t="s">
        <v>43</v>
      </c>
      <c r="AM673" t="s">
        <v>43</v>
      </c>
      <c r="AN673" t="str">
        <f>HYPERLINK("https://www.google.com/maps?q=11.05477715,79.06084442","Open Location")</f>
        <v>Open Location</v>
      </c>
    </row>
    <row r="674" spans="1:40" x14ac:dyDescent="0.3">
      <c r="A674" s="1">
        <v>46210.921759259261</v>
      </c>
      <c r="B674" t="s">
        <v>40</v>
      </c>
      <c r="C674" t="s">
        <v>41</v>
      </c>
      <c r="D674" s="1">
        <v>46210.924560185187</v>
      </c>
      <c r="E674" t="s">
        <v>42</v>
      </c>
      <c r="F674" t="s">
        <v>43</v>
      </c>
      <c r="G674" t="s">
        <v>43</v>
      </c>
      <c r="H674" t="s">
        <v>43</v>
      </c>
      <c r="I674" t="s">
        <v>43</v>
      </c>
      <c r="J674" t="s">
        <v>43</v>
      </c>
      <c r="K674" t="s">
        <v>43</v>
      </c>
      <c r="L674" t="s">
        <v>43</v>
      </c>
      <c r="M674" t="s">
        <v>43</v>
      </c>
      <c r="N674" t="s">
        <v>45</v>
      </c>
      <c r="O674" t="s">
        <v>43</v>
      </c>
      <c r="P674" t="s">
        <v>43</v>
      </c>
      <c r="Q674" t="s">
        <v>43</v>
      </c>
      <c r="R674" t="s">
        <v>43</v>
      </c>
      <c r="S674" t="s">
        <v>43</v>
      </c>
      <c r="T674" t="s">
        <v>43</v>
      </c>
      <c r="U674" t="s">
        <v>43</v>
      </c>
      <c r="V674" t="s">
        <v>43</v>
      </c>
      <c r="W674" t="s">
        <v>43</v>
      </c>
      <c r="X674" t="s">
        <v>43</v>
      </c>
      <c r="Y674" t="s">
        <v>43</v>
      </c>
      <c r="Z674" t="s">
        <v>43</v>
      </c>
      <c r="AA674" t="s">
        <v>43</v>
      </c>
      <c r="AB674" t="s">
        <v>43</v>
      </c>
      <c r="AC674" t="s">
        <v>43</v>
      </c>
      <c r="AD674" t="s">
        <v>43</v>
      </c>
      <c r="AE674" t="s">
        <v>43</v>
      </c>
      <c r="AF674" t="s">
        <v>43</v>
      </c>
      <c r="AG674" t="s">
        <v>43</v>
      </c>
      <c r="AH674" t="s">
        <v>43</v>
      </c>
      <c r="AI674" t="s">
        <v>43</v>
      </c>
      <c r="AJ674" t="s">
        <v>43</v>
      </c>
      <c r="AK674" t="s">
        <v>43</v>
      </c>
      <c r="AL674" t="s">
        <v>43</v>
      </c>
      <c r="AM674" t="s">
        <v>43</v>
      </c>
      <c r="AN674" t="s">
        <v>43</v>
      </c>
    </row>
    <row r="675" spans="1:40" x14ac:dyDescent="0.3">
      <c r="A675" s="1">
        <v>46210.921643518515</v>
      </c>
      <c r="B675" t="s">
        <v>40</v>
      </c>
      <c r="C675" t="s">
        <v>41</v>
      </c>
      <c r="D675" s="1">
        <v>46210.924432870372</v>
      </c>
      <c r="E675" t="s">
        <v>42</v>
      </c>
      <c r="F675" t="s">
        <v>43</v>
      </c>
      <c r="G675" t="s">
        <v>43</v>
      </c>
      <c r="H675" t="s">
        <v>43</v>
      </c>
      <c r="I675" t="s">
        <v>332</v>
      </c>
      <c r="J675" t="s">
        <v>43</v>
      </c>
      <c r="K675" t="s">
        <v>43</v>
      </c>
      <c r="L675" t="s">
        <v>43</v>
      </c>
      <c r="M675" t="s">
        <v>43</v>
      </c>
      <c r="N675" t="s">
        <v>45</v>
      </c>
      <c r="O675" t="s">
        <v>43</v>
      </c>
      <c r="P675" t="s">
        <v>43</v>
      </c>
      <c r="Q675" t="s">
        <v>43</v>
      </c>
      <c r="R675" t="s">
        <v>43</v>
      </c>
      <c r="S675" t="s">
        <v>43</v>
      </c>
      <c r="T675" t="s">
        <v>43</v>
      </c>
      <c r="U675" t="s">
        <v>43</v>
      </c>
      <c r="V675" t="s">
        <v>43</v>
      </c>
      <c r="W675" t="s">
        <v>43</v>
      </c>
      <c r="X675" t="s">
        <v>43</v>
      </c>
      <c r="Y675" t="s">
        <v>43</v>
      </c>
      <c r="Z675" t="s">
        <v>43</v>
      </c>
      <c r="AA675" t="s">
        <v>43</v>
      </c>
      <c r="AB675" t="s">
        <v>43</v>
      </c>
      <c r="AC675" t="s">
        <v>43</v>
      </c>
      <c r="AD675" t="s">
        <v>43</v>
      </c>
      <c r="AE675" t="s">
        <v>43</v>
      </c>
      <c r="AF675" t="s">
        <v>43</v>
      </c>
      <c r="AG675" t="s">
        <v>43</v>
      </c>
      <c r="AH675" t="s">
        <v>43</v>
      </c>
      <c r="AI675" t="s">
        <v>43</v>
      </c>
      <c r="AJ675" t="s">
        <v>43</v>
      </c>
      <c r="AK675" t="s">
        <v>43</v>
      </c>
      <c r="AL675" t="s">
        <v>43</v>
      </c>
      <c r="AM675" t="s">
        <v>43</v>
      </c>
      <c r="AN675" t="str">
        <f>HYPERLINK("https://www.google.com/maps?q=11.05478096,79.06084442","Open Location")</f>
        <v>Open Location</v>
      </c>
    </row>
    <row r="676" spans="1:40" x14ac:dyDescent="0.3">
      <c r="A676" s="1">
        <v>46210.921527777777</v>
      </c>
      <c r="B676" t="s">
        <v>40</v>
      </c>
      <c r="C676" t="s">
        <v>41</v>
      </c>
      <c r="D676" s="1">
        <v>46210.92454861111</v>
      </c>
      <c r="E676" t="s">
        <v>42</v>
      </c>
      <c r="F676" t="s">
        <v>43</v>
      </c>
      <c r="G676" t="s">
        <v>43</v>
      </c>
      <c r="H676" t="s">
        <v>43</v>
      </c>
      <c r="I676" t="s">
        <v>297</v>
      </c>
      <c r="J676" t="s">
        <v>43</v>
      </c>
      <c r="K676" t="s">
        <v>43</v>
      </c>
      <c r="L676" t="s">
        <v>43</v>
      </c>
      <c r="M676" t="s">
        <v>43</v>
      </c>
      <c r="N676" t="s">
        <v>45</v>
      </c>
      <c r="O676" t="s">
        <v>43</v>
      </c>
      <c r="P676" t="s">
        <v>43</v>
      </c>
      <c r="Q676" t="s">
        <v>43</v>
      </c>
      <c r="R676" t="s">
        <v>43</v>
      </c>
      <c r="S676" t="s">
        <v>43</v>
      </c>
      <c r="T676" t="s">
        <v>43</v>
      </c>
      <c r="U676" t="s">
        <v>43</v>
      </c>
      <c r="V676" t="s">
        <v>43</v>
      </c>
      <c r="W676" t="s">
        <v>43</v>
      </c>
      <c r="X676" t="s">
        <v>43</v>
      </c>
      <c r="Y676" t="s">
        <v>43</v>
      </c>
      <c r="Z676" t="s">
        <v>43</v>
      </c>
      <c r="AA676" t="s">
        <v>43</v>
      </c>
      <c r="AB676" t="s">
        <v>43</v>
      </c>
      <c r="AC676" t="s">
        <v>43</v>
      </c>
      <c r="AD676" t="s">
        <v>43</v>
      </c>
      <c r="AE676" t="s">
        <v>43</v>
      </c>
      <c r="AF676" t="s">
        <v>43</v>
      </c>
      <c r="AG676" t="s">
        <v>43</v>
      </c>
      <c r="AH676" t="s">
        <v>43</v>
      </c>
      <c r="AI676" t="s">
        <v>43</v>
      </c>
      <c r="AJ676" t="s">
        <v>43</v>
      </c>
      <c r="AK676" t="s">
        <v>43</v>
      </c>
      <c r="AL676" t="s">
        <v>43</v>
      </c>
      <c r="AM676" t="s">
        <v>43</v>
      </c>
      <c r="AN676" t="str">
        <f>HYPERLINK("https://www.google.com/maps?q=11.05478477,79.06085968","Open Location")</f>
        <v>Open Location</v>
      </c>
    </row>
    <row r="677" spans="1:40" x14ac:dyDescent="0.3">
      <c r="A677" s="1">
        <v>46210.921412037038</v>
      </c>
      <c r="B677" t="s">
        <v>40</v>
      </c>
      <c r="C677" t="s">
        <v>41</v>
      </c>
      <c r="D677" s="1">
        <v>46210.924363425926</v>
      </c>
      <c r="E677" t="s">
        <v>42</v>
      </c>
      <c r="F677" t="s">
        <v>43</v>
      </c>
      <c r="G677" t="s">
        <v>43</v>
      </c>
      <c r="H677" t="s">
        <v>43</v>
      </c>
      <c r="I677" t="s">
        <v>306</v>
      </c>
      <c r="J677" t="s">
        <v>43</v>
      </c>
      <c r="K677" t="s">
        <v>43</v>
      </c>
      <c r="L677" t="s">
        <v>43</v>
      </c>
      <c r="M677" t="s">
        <v>43</v>
      </c>
      <c r="N677" t="s">
        <v>45</v>
      </c>
      <c r="O677" t="s">
        <v>43</v>
      </c>
      <c r="P677" t="s">
        <v>43</v>
      </c>
      <c r="Q677" t="s">
        <v>43</v>
      </c>
      <c r="R677" t="s">
        <v>43</v>
      </c>
      <c r="S677" t="s">
        <v>43</v>
      </c>
      <c r="T677" t="s">
        <v>43</v>
      </c>
      <c r="U677" t="s">
        <v>43</v>
      </c>
      <c r="V677" t="s">
        <v>43</v>
      </c>
      <c r="W677" t="s">
        <v>43</v>
      </c>
      <c r="X677" t="s">
        <v>43</v>
      </c>
      <c r="Y677" t="s">
        <v>43</v>
      </c>
      <c r="Z677" t="s">
        <v>43</v>
      </c>
      <c r="AA677" t="s">
        <v>43</v>
      </c>
      <c r="AB677" t="s">
        <v>43</v>
      </c>
      <c r="AC677" t="s">
        <v>43</v>
      </c>
      <c r="AD677" t="s">
        <v>43</v>
      </c>
      <c r="AE677" t="s">
        <v>43</v>
      </c>
      <c r="AF677" t="s">
        <v>43</v>
      </c>
      <c r="AG677" t="s">
        <v>43</v>
      </c>
      <c r="AH677" t="s">
        <v>43</v>
      </c>
      <c r="AI677" t="s">
        <v>43</v>
      </c>
      <c r="AJ677" t="s">
        <v>43</v>
      </c>
      <c r="AK677" t="s">
        <v>43</v>
      </c>
      <c r="AL677" t="s">
        <v>43</v>
      </c>
      <c r="AM677" t="s">
        <v>43</v>
      </c>
      <c r="AN677" t="str">
        <f>HYPERLINK("https://www.google.com/maps?q=11.05478668,79.06084442","Open Location")</f>
        <v>Open Location</v>
      </c>
    </row>
    <row r="678" spans="1:40" x14ac:dyDescent="0.3">
      <c r="A678" s="1">
        <v>46210.921296296299</v>
      </c>
      <c r="B678" t="s">
        <v>40</v>
      </c>
      <c r="C678" t="s">
        <v>41</v>
      </c>
      <c r="D678" s="1">
        <v>46210.924432870372</v>
      </c>
      <c r="E678" t="s">
        <v>42</v>
      </c>
      <c r="F678" t="s">
        <v>43</v>
      </c>
      <c r="G678" t="s">
        <v>43</v>
      </c>
      <c r="H678" t="s">
        <v>43</v>
      </c>
      <c r="I678" t="s">
        <v>298</v>
      </c>
      <c r="J678" t="s">
        <v>43</v>
      </c>
      <c r="K678" t="s">
        <v>43</v>
      </c>
      <c r="L678" t="s">
        <v>43</v>
      </c>
      <c r="M678" t="s">
        <v>43</v>
      </c>
      <c r="N678" t="s">
        <v>45</v>
      </c>
      <c r="O678" t="s">
        <v>43</v>
      </c>
      <c r="P678" t="s">
        <v>43</v>
      </c>
      <c r="Q678" t="s">
        <v>43</v>
      </c>
      <c r="R678" t="s">
        <v>43</v>
      </c>
      <c r="S678" t="s">
        <v>43</v>
      </c>
      <c r="T678" t="s">
        <v>43</v>
      </c>
      <c r="U678" t="s">
        <v>43</v>
      </c>
      <c r="V678" t="s">
        <v>43</v>
      </c>
      <c r="W678" t="s">
        <v>43</v>
      </c>
      <c r="X678" t="s">
        <v>43</v>
      </c>
      <c r="Y678" t="s">
        <v>43</v>
      </c>
      <c r="Z678" t="s">
        <v>43</v>
      </c>
      <c r="AA678" t="s">
        <v>43</v>
      </c>
      <c r="AB678" t="s">
        <v>43</v>
      </c>
      <c r="AC678" t="s">
        <v>43</v>
      </c>
      <c r="AD678" t="s">
        <v>43</v>
      </c>
      <c r="AE678" t="s">
        <v>43</v>
      </c>
      <c r="AF678" t="s">
        <v>43</v>
      </c>
      <c r="AG678" t="s">
        <v>43</v>
      </c>
      <c r="AH678" t="s">
        <v>43</v>
      </c>
      <c r="AI678" t="s">
        <v>43</v>
      </c>
      <c r="AJ678" t="s">
        <v>43</v>
      </c>
      <c r="AK678" t="s">
        <v>43</v>
      </c>
      <c r="AL678" t="s">
        <v>43</v>
      </c>
      <c r="AM678" t="s">
        <v>43</v>
      </c>
      <c r="AN678" t="str">
        <f>HYPERLINK("https://www.google.com/maps?q=11.05478668,79.06085968","Open Location")</f>
        <v>Open Location</v>
      </c>
    </row>
    <row r="679" spans="1:40" x14ac:dyDescent="0.3">
      <c r="A679" s="1">
        <v>46210.921180555553</v>
      </c>
      <c r="B679" t="s">
        <v>40</v>
      </c>
      <c r="C679" t="s">
        <v>41</v>
      </c>
      <c r="D679" s="1">
        <v>46210.924178240741</v>
      </c>
      <c r="E679" t="s">
        <v>42</v>
      </c>
      <c r="F679" t="s">
        <v>43</v>
      </c>
      <c r="G679" t="s">
        <v>43</v>
      </c>
      <c r="H679" t="s">
        <v>43</v>
      </c>
      <c r="I679" t="s">
        <v>333</v>
      </c>
      <c r="J679" t="s">
        <v>43</v>
      </c>
      <c r="K679" t="s">
        <v>43</v>
      </c>
      <c r="L679" t="s">
        <v>43</v>
      </c>
      <c r="M679" t="s">
        <v>43</v>
      </c>
      <c r="N679" t="s">
        <v>45</v>
      </c>
      <c r="O679" t="s">
        <v>43</v>
      </c>
      <c r="P679" t="s">
        <v>43</v>
      </c>
      <c r="Q679" t="s">
        <v>43</v>
      </c>
      <c r="R679" t="s">
        <v>43</v>
      </c>
      <c r="S679" t="s">
        <v>43</v>
      </c>
      <c r="T679" t="s">
        <v>43</v>
      </c>
      <c r="U679" t="s">
        <v>43</v>
      </c>
      <c r="V679" t="s">
        <v>43</v>
      </c>
      <c r="W679" t="s">
        <v>43</v>
      </c>
      <c r="X679" t="s">
        <v>43</v>
      </c>
      <c r="Y679" t="s">
        <v>43</v>
      </c>
      <c r="Z679" t="s">
        <v>43</v>
      </c>
      <c r="AA679" t="s">
        <v>43</v>
      </c>
      <c r="AB679" t="s">
        <v>43</v>
      </c>
      <c r="AC679" t="s">
        <v>43</v>
      </c>
      <c r="AD679" t="s">
        <v>43</v>
      </c>
      <c r="AE679" t="s">
        <v>43</v>
      </c>
      <c r="AF679" t="s">
        <v>43</v>
      </c>
      <c r="AG679" t="s">
        <v>43</v>
      </c>
      <c r="AH679" t="s">
        <v>43</v>
      </c>
      <c r="AI679" t="s">
        <v>43</v>
      </c>
      <c r="AJ679" t="s">
        <v>43</v>
      </c>
      <c r="AK679" t="s">
        <v>43</v>
      </c>
      <c r="AL679" t="s">
        <v>43</v>
      </c>
      <c r="AM679" t="s">
        <v>43</v>
      </c>
      <c r="AN679" t="str">
        <f>HYPERLINK("https://www.google.com/maps?q=11.05478382,79.06084442","Open Location")</f>
        <v>Open Location</v>
      </c>
    </row>
    <row r="680" spans="1:40" x14ac:dyDescent="0.3">
      <c r="A680" s="1">
        <v>46210.921064814815</v>
      </c>
      <c r="B680" t="s">
        <v>40</v>
      </c>
      <c r="C680" t="s">
        <v>41</v>
      </c>
      <c r="D680" s="1">
        <v>46210.923981481479</v>
      </c>
      <c r="E680" t="s">
        <v>42</v>
      </c>
      <c r="F680" t="s">
        <v>43</v>
      </c>
      <c r="G680" t="s">
        <v>43</v>
      </c>
      <c r="H680" t="s">
        <v>43</v>
      </c>
      <c r="I680" t="s">
        <v>43</v>
      </c>
      <c r="J680" t="s">
        <v>43</v>
      </c>
      <c r="K680" t="s">
        <v>43</v>
      </c>
      <c r="L680" t="s">
        <v>43</v>
      </c>
      <c r="M680" t="s">
        <v>43</v>
      </c>
      <c r="N680" t="s">
        <v>45</v>
      </c>
      <c r="O680" t="s">
        <v>43</v>
      </c>
      <c r="P680" t="s">
        <v>43</v>
      </c>
      <c r="Q680" t="s">
        <v>43</v>
      </c>
      <c r="R680" t="s">
        <v>43</v>
      </c>
      <c r="S680" t="s">
        <v>43</v>
      </c>
      <c r="T680" t="s">
        <v>43</v>
      </c>
      <c r="U680" t="s">
        <v>43</v>
      </c>
      <c r="V680" t="s">
        <v>43</v>
      </c>
      <c r="W680" t="s">
        <v>43</v>
      </c>
      <c r="X680" t="s">
        <v>43</v>
      </c>
      <c r="Y680" t="s">
        <v>43</v>
      </c>
      <c r="Z680" t="s">
        <v>43</v>
      </c>
      <c r="AA680" t="s">
        <v>43</v>
      </c>
      <c r="AB680" t="s">
        <v>43</v>
      </c>
      <c r="AC680" t="s">
        <v>43</v>
      </c>
      <c r="AD680" t="s">
        <v>43</v>
      </c>
      <c r="AE680" t="s">
        <v>43</v>
      </c>
      <c r="AF680" t="s">
        <v>43</v>
      </c>
      <c r="AG680" t="s">
        <v>43</v>
      </c>
      <c r="AH680" t="s">
        <v>43</v>
      </c>
      <c r="AI680" t="s">
        <v>43</v>
      </c>
      <c r="AJ680" t="s">
        <v>43</v>
      </c>
      <c r="AK680" t="s">
        <v>43</v>
      </c>
      <c r="AL680" t="s">
        <v>43</v>
      </c>
      <c r="AM680" t="s">
        <v>43</v>
      </c>
      <c r="AN680" t="s">
        <v>43</v>
      </c>
    </row>
    <row r="681" spans="1:40" x14ac:dyDescent="0.3">
      <c r="A681" s="1">
        <v>46210.920949074076</v>
      </c>
      <c r="B681" t="s">
        <v>40</v>
      </c>
      <c r="C681" t="s">
        <v>41</v>
      </c>
      <c r="D681" s="1">
        <v>46210.923819444448</v>
      </c>
      <c r="E681" t="s">
        <v>42</v>
      </c>
      <c r="F681" t="s">
        <v>43</v>
      </c>
      <c r="G681" t="s">
        <v>43</v>
      </c>
      <c r="H681" t="s">
        <v>43</v>
      </c>
      <c r="I681" t="s">
        <v>333</v>
      </c>
      <c r="J681" t="s">
        <v>43</v>
      </c>
      <c r="K681" t="s">
        <v>43</v>
      </c>
      <c r="L681" t="s">
        <v>43</v>
      </c>
      <c r="M681" t="s">
        <v>43</v>
      </c>
      <c r="N681" t="s">
        <v>45</v>
      </c>
      <c r="O681" t="s">
        <v>43</v>
      </c>
      <c r="P681" t="s">
        <v>43</v>
      </c>
      <c r="Q681" t="s">
        <v>43</v>
      </c>
      <c r="R681" t="s">
        <v>43</v>
      </c>
      <c r="S681" t="s">
        <v>43</v>
      </c>
      <c r="T681" t="s">
        <v>43</v>
      </c>
      <c r="U681" t="s">
        <v>43</v>
      </c>
      <c r="V681" t="s">
        <v>43</v>
      </c>
      <c r="W681" t="s">
        <v>43</v>
      </c>
      <c r="X681" t="s">
        <v>43</v>
      </c>
      <c r="Y681" t="s">
        <v>43</v>
      </c>
      <c r="Z681" t="s">
        <v>43</v>
      </c>
      <c r="AA681" t="s">
        <v>43</v>
      </c>
      <c r="AB681" t="s">
        <v>43</v>
      </c>
      <c r="AC681" t="s">
        <v>43</v>
      </c>
      <c r="AD681" t="s">
        <v>43</v>
      </c>
      <c r="AE681" t="s">
        <v>43</v>
      </c>
      <c r="AF681" t="s">
        <v>43</v>
      </c>
      <c r="AG681" t="s">
        <v>43</v>
      </c>
      <c r="AH681" t="s">
        <v>43</v>
      </c>
      <c r="AI681" t="s">
        <v>43</v>
      </c>
      <c r="AJ681" t="s">
        <v>43</v>
      </c>
      <c r="AK681" t="s">
        <v>43</v>
      </c>
      <c r="AL681" t="s">
        <v>43</v>
      </c>
      <c r="AM681" t="s">
        <v>43</v>
      </c>
      <c r="AN681" t="str">
        <f>HYPERLINK("https://www.google.com/maps?q=11.05478382,79.06084442","Open Location")</f>
        <v>Open Location</v>
      </c>
    </row>
    <row r="682" spans="1:40" x14ac:dyDescent="0.3">
      <c r="A682" s="1">
        <v>46210.92083333333</v>
      </c>
      <c r="B682" t="s">
        <v>40</v>
      </c>
      <c r="C682" t="s">
        <v>41</v>
      </c>
      <c r="D682" s="1">
        <v>46210.923831018517</v>
      </c>
      <c r="E682" t="s">
        <v>42</v>
      </c>
      <c r="F682" t="s">
        <v>43</v>
      </c>
      <c r="G682" t="s">
        <v>43</v>
      </c>
      <c r="H682" t="s">
        <v>43</v>
      </c>
      <c r="I682" t="s">
        <v>322</v>
      </c>
      <c r="J682" t="s">
        <v>43</v>
      </c>
      <c r="K682" t="s">
        <v>43</v>
      </c>
      <c r="L682" t="s">
        <v>43</v>
      </c>
      <c r="M682" t="s">
        <v>43</v>
      </c>
      <c r="N682" t="s">
        <v>45</v>
      </c>
      <c r="O682" t="s">
        <v>43</v>
      </c>
      <c r="P682" t="s">
        <v>43</v>
      </c>
      <c r="Q682" t="s">
        <v>43</v>
      </c>
      <c r="R682" t="s">
        <v>43</v>
      </c>
      <c r="S682" t="s">
        <v>43</v>
      </c>
      <c r="T682" t="s">
        <v>43</v>
      </c>
      <c r="U682" t="s">
        <v>43</v>
      </c>
      <c r="V682" t="s">
        <v>43</v>
      </c>
      <c r="W682" t="s">
        <v>43</v>
      </c>
      <c r="X682" t="s">
        <v>43</v>
      </c>
      <c r="Y682" t="s">
        <v>43</v>
      </c>
      <c r="Z682" t="s">
        <v>43</v>
      </c>
      <c r="AA682" t="s">
        <v>43</v>
      </c>
      <c r="AB682" t="s">
        <v>43</v>
      </c>
      <c r="AC682" t="s">
        <v>43</v>
      </c>
      <c r="AD682" t="s">
        <v>43</v>
      </c>
      <c r="AE682" t="s">
        <v>43</v>
      </c>
      <c r="AF682" t="s">
        <v>43</v>
      </c>
      <c r="AG682" t="s">
        <v>43</v>
      </c>
      <c r="AH682" t="s">
        <v>43</v>
      </c>
      <c r="AI682" t="s">
        <v>43</v>
      </c>
      <c r="AJ682" t="s">
        <v>43</v>
      </c>
      <c r="AK682" t="s">
        <v>43</v>
      </c>
      <c r="AL682" t="s">
        <v>43</v>
      </c>
      <c r="AM682" t="s">
        <v>43</v>
      </c>
      <c r="AN682" t="str">
        <f>HYPERLINK("https://www.google.com/maps?q=11.05477905,79.06084442","Open Location")</f>
        <v>Open Location</v>
      </c>
    </row>
    <row r="683" spans="1:40" x14ac:dyDescent="0.3">
      <c r="A683" s="1">
        <v>46210.920717592591</v>
      </c>
      <c r="B683" t="s">
        <v>40</v>
      </c>
      <c r="C683" t="s">
        <v>41</v>
      </c>
      <c r="D683" s="1">
        <v>46210.923483796294</v>
      </c>
      <c r="E683" t="s">
        <v>42</v>
      </c>
      <c r="F683" t="s">
        <v>43</v>
      </c>
      <c r="G683" t="s">
        <v>43</v>
      </c>
      <c r="H683" t="s">
        <v>43</v>
      </c>
      <c r="I683" t="s">
        <v>331</v>
      </c>
      <c r="J683" t="s">
        <v>43</v>
      </c>
      <c r="K683" t="s">
        <v>43</v>
      </c>
      <c r="L683" t="s">
        <v>43</v>
      </c>
      <c r="M683" t="s">
        <v>43</v>
      </c>
      <c r="N683" t="s">
        <v>45</v>
      </c>
      <c r="O683" t="s">
        <v>43</v>
      </c>
      <c r="P683" t="s">
        <v>43</v>
      </c>
      <c r="Q683" t="s">
        <v>43</v>
      </c>
      <c r="R683" t="s">
        <v>43</v>
      </c>
      <c r="S683" t="s">
        <v>43</v>
      </c>
      <c r="T683" t="s">
        <v>43</v>
      </c>
      <c r="U683" t="s">
        <v>43</v>
      </c>
      <c r="V683" t="s">
        <v>43</v>
      </c>
      <c r="W683" t="s">
        <v>43</v>
      </c>
      <c r="X683" t="s">
        <v>43</v>
      </c>
      <c r="Y683" t="s">
        <v>43</v>
      </c>
      <c r="Z683" t="s">
        <v>43</v>
      </c>
      <c r="AA683" t="s">
        <v>43</v>
      </c>
      <c r="AB683" t="s">
        <v>43</v>
      </c>
      <c r="AC683" t="s">
        <v>43</v>
      </c>
      <c r="AD683" t="s">
        <v>43</v>
      </c>
      <c r="AE683" t="s">
        <v>43</v>
      </c>
      <c r="AF683" t="s">
        <v>43</v>
      </c>
      <c r="AG683" t="s">
        <v>43</v>
      </c>
      <c r="AH683" t="s">
        <v>43</v>
      </c>
      <c r="AI683" t="s">
        <v>43</v>
      </c>
      <c r="AJ683" t="s">
        <v>43</v>
      </c>
      <c r="AK683" t="s">
        <v>43</v>
      </c>
      <c r="AL683" t="s">
        <v>43</v>
      </c>
      <c r="AM683" t="s">
        <v>43</v>
      </c>
      <c r="AN683" t="str">
        <f>HYPERLINK("https://www.google.com/maps?q=11.0547781,79.06084442","Open Location")</f>
        <v>Open Location</v>
      </c>
    </row>
    <row r="684" spans="1:40" x14ac:dyDescent="0.3">
      <c r="A684" s="1">
        <v>46210.920601851853</v>
      </c>
      <c r="B684" t="s">
        <v>40</v>
      </c>
      <c r="C684" t="s">
        <v>41</v>
      </c>
      <c r="D684" s="1">
        <v>46210.923483796294</v>
      </c>
      <c r="E684" t="s">
        <v>42</v>
      </c>
      <c r="F684" t="s">
        <v>43</v>
      </c>
      <c r="G684" t="s">
        <v>43</v>
      </c>
      <c r="H684" t="s">
        <v>43</v>
      </c>
      <c r="I684" t="s">
        <v>334</v>
      </c>
      <c r="J684" t="s">
        <v>43</v>
      </c>
      <c r="K684" t="s">
        <v>43</v>
      </c>
      <c r="L684" t="s">
        <v>43</v>
      </c>
      <c r="M684" t="s">
        <v>43</v>
      </c>
      <c r="N684" t="s">
        <v>45</v>
      </c>
      <c r="O684" t="s">
        <v>43</v>
      </c>
      <c r="P684" t="s">
        <v>43</v>
      </c>
      <c r="Q684" t="s">
        <v>43</v>
      </c>
      <c r="R684" t="s">
        <v>43</v>
      </c>
      <c r="S684" t="s">
        <v>43</v>
      </c>
      <c r="T684" t="s">
        <v>43</v>
      </c>
      <c r="U684" t="s">
        <v>43</v>
      </c>
      <c r="V684" t="s">
        <v>43</v>
      </c>
      <c r="W684" t="s">
        <v>43</v>
      </c>
      <c r="X684" t="s">
        <v>43</v>
      </c>
      <c r="Y684" t="s">
        <v>43</v>
      </c>
      <c r="Z684" t="s">
        <v>43</v>
      </c>
      <c r="AA684" t="s">
        <v>43</v>
      </c>
      <c r="AB684" t="s">
        <v>43</v>
      </c>
      <c r="AC684" t="s">
        <v>43</v>
      </c>
      <c r="AD684" t="s">
        <v>43</v>
      </c>
      <c r="AE684" t="s">
        <v>43</v>
      </c>
      <c r="AF684" t="s">
        <v>43</v>
      </c>
      <c r="AG684" t="s">
        <v>43</v>
      </c>
      <c r="AH684" t="s">
        <v>43</v>
      </c>
      <c r="AI684" t="s">
        <v>43</v>
      </c>
      <c r="AJ684" t="s">
        <v>43</v>
      </c>
      <c r="AK684" t="s">
        <v>43</v>
      </c>
      <c r="AL684" t="s">
        <v>43</v>
      </c>
      <c r="AM684" t="s">
        <v>43</v>
      </c>
      <c r="AN684" t="str">
        <f>HYPERLINK("https://www.google.com/maps?q=11.05477905,79.06085968","Open Location")</f>
        <v>Open Location</v>
      </c>
    </row>
    <row r="685" spans="1:40" x14ac:dyDescent="0.3">
      <c r="A685" s="1">
        <v>46210.920486111114</v>
      </c>
      <c r="B685" t="s">
        <v>40</v>
      </c>
      <c r="C685" t="s">
        <v>41</v>
      </c>
      <c r="D685" s="1">
        <v>46210.923402777778</v>
      </c>
      <c r="E685" t="s">
        <v>42</v>
      </c>
      <c r="F685" t="s">
        <v>43</v>
      </c>
      <c r="G685" t="s">
        <v>43</v>
      </c>
      <c r="H685" t="s">
        <v>43</v>
      </c>
      <c r="I685" t="s">
        <v>335</v>
      </c>
      <c r="J685" t="s">
        <v>43</v>
      </c>
      <c r="K685" t="s">
        <v>43</v>
      </c>
      <c r="L685" t="s">
        <v>43</v>
      </c>
      <c r="M685" t="s">
        <v>43</v>
      </c>
      <c r="N685" t="s">
        <v>45</v>
      </c>
      <c r="O685" t="s">
        <v>43</v>
      </c>
      <c r="P685" t="s">
        <v>43</v>
      </c>
      <c r="Q685" t="s">
        <v>43</v>
      </c>
      <c r="R685" t="s">
        <v>43</v>
      </c>
      <c r="S685" t="s">
        <v>43</v>
      </c>
      <c r="T685" t="s">
        <v>43</v>
      </c>
      <c r="U685" t="s">
        <v>43</v>
      </c>
      <c r="V685" t="s">
        <v>43</v>
      </c>
      <c r="W685" t="s">
        <v>43</v>
      </c>
      <c r="X685" t="s">
        <v>43</v>
      </c>
      <c r="Y685" t="s">
        <v>43</v>
      </c>
      <c r="Z685" t="s">
        <v>43</v>
      </c>
      <c r="AA685" t="s">
        <v>43</v>
      </c>
      <c r="AB685" t="s">
        <v>43</v>
      </c>
      <c r="AC685" t="s">
        <v>43</v>
      </c>
      <c r="AD685" t="s">
        <v>43</v>
      </c>
      <c r="AE685" t="s">
        <v>43</v>
      </c>
      <c r="AF685" t="s">
        <v>43</v>
      </c>
      <c r="AG685" t="s">
        <v>43</v>
      </c>
      <c r="AH685" t="s">
        <v>43</v>
      </c>
      <c r="AI685" t="s">
        <v>43</v>
      </c>
      <c r="AJ685" t="s">
        <v>43</v>
      </c>
      <c r="AK685" t="s">
        <v>43</v>
      </c>
      <c r="AL685" t="s">
        <v>43</v>
      </c>
      <c r="AM685" t="s">
        <v>43</v>
      </c>
      <c r="AN685" t="str">
        <f>HYPERLINK("https://www.google.com/maps?q=11.05478001,79.06084442","Open Location")</f>
        <v>Open Location</v>
      </c>
    </row>
    <row r="686" spans="1:40" x14ac:dyDescent="0.3">
      <c r="A686" s="1">
        <v>46210.920370370368</v>
      </c>
      <c r="B686" t="s">
        <v>40</v>
      </c>
      <c r="C686" t="s">
        <v>41</v>
      </c>
      <c r="D686" s="1">
        <v>46210.923321759263</v>
      </c>
      <c r="E686" t="s">
        <v>42</v>
      </c>
      <c r="F686" t="s">
        <v>43</v>
      </c>
      <c r="G686" t="s">
        <v>43</v>
      </c>
      <c r="H686" t="s">
        <v>43</v>
      </c>
      <c r="I686" t="s">
        <v>43</v>
      </c>
      <c r="J686" t="s">
        <v>43</v>
      </c>
      <c r="K686" t="s">
        <v>43</v>
      </c>
      <c r="L686" t="s">
        <v>43</v>
      </c>
      <c r="M686" t="s">
        <v>43</v>
      </c>
      <c r="N686" t="s">
        <v>45</v>
      </c>
      <c r="O686" t="s">
        <v>43</v>
      </c>
      <c r="P686" t="s">
        <v>43</v>
      </c>
      <c r="Q686" t="s">
        <v>43</v>
      </c>
      <c r="R686" t="s">
        <v>43</v>
      </c>
      <c r="S686" t="s">
        <v>43</v>
      </c>
      <c r="T686" t="s">
        <v>43</v>
      </c>
      <c r="U686" t="s">
        <v>43</v>
      </c>
      <c r="V686" t="s">
        <v>43</v>
      </c>
      <c r="W686" t="s">
        <v>43</v>
      </c>
      <c r="X686" t="s">
        <v>43</v>
      </c>
      <c r="Y686" t="s">
        <v>43</v>
      </c>
      <c r="Z686" t="s">
        <v>43</v>
      </c>
      <c r="AA686" t="s">
        <v>43</v>
      </c>
      <c r="AB686" t="s">
        <v>43</v>
      </c>
      <c r="AC686" t="s">
        <v>43</v>
      </c>
      <c r="AD686" t="s">
        <v>43</v>
      </c>
      <c r="AE686" t="s">
        <v>43</v>
      </c>
      <c r="AF686" t="s">
        <v>43</v>
      </c>
      <c r="AG686" t="s">
        <v>43</v>
      </c>
      <c r="AH686" t="s">
        <v>43</v>
      </c>
      <c r="AI686" t="s">
        <v>43</v>
      </c>
      <c r="AJ686" t="s">
        <v>43</v>
      </c>
      <c r="AK686" t="s">
        <v>43</v>
      </c>
      <c r="AL686" t="s">
        <v>43</v>
      </c>
      <c r="AM686" t="s">
        <v>43</v>
      </c>
      <c r="AN686" t="s">
        <v>43</v>
      </c>
    </row>
    <row r="687" spans="1:40" x14ac:dyDescent="0.3">
      <c r="A687" s="1">
        <v>46210.920254629629</v>
      </c>
      <c r="B687" t="s">
        <v>40</v>
      </c>
      <c r="C687" t="s">
        <v>41</v>
      </c>
      <c r="D687" s="1">
        <v>46210.922905092593</v>
      </c>
      <c r="E687" t="s">
        <v>42</v>
      </c>
      <c r="F687" t="s">
        <v>43</v>
      </c>
      <c r="G687" t="s">
        <v>43</v>
      </c>
      <c r="H687" t="s">
        <v>43</v>
      </c>
      <c r="I687" t="s">
        <v>332</v>
      </c>
      <c r="J687" t="s">
        <v>43</v>
      </c>
      <c r="K687" t="s">
        <v>43</v>
      </c>
      <c r="L687" t="s">
        <v>43</v>
      </c>
      <c r="M687" t="s">
        <v>43</v>
      </c>
      <c r="N687" t="s">
        <v>45</v>
      </c>
      <c r="O687" t="s">
        <v>43</v>
      </c>
      <c r="P687" t="s">
        <v>43</v>
      </c>
      <c r="Q687" t="s">
        <v>43</v>
      </c>
      <c r="R687" t="s">
        <v>43</v>
      </c>
      <c r="S687" t="s">
        <v>43</v>
      </c>
      <c r="T687" t="s">
        <v>43</v>
      </c>
      <c r="U687" t="s">
        <v>43</v>
      </c>
      <c r="V687" t="s">
        <v>43</v>
      </c>
      <c r="W687" t="s">
        <v>43</v>
      </c>
      <c r="X687" t="s">
        <v>43</v>
      </c>
      <c r="Y687" t="s">
        <v>43</v>
      </c>
      <c r="Z687" t="s">
        <v>43</v>
      </c>
      <c r="AA687" t="s">
        <v>43</v>
      </c>
      <c r="AB687" t="s">
        <v>43</v>
      </c>
      <c r="AC687" t="s">
        <v>43</v>
      </c>
      <c r="AD687" t="s">
        <v>43</v>
      </c>
      <c r="AE687" t="s">
        <v>43</v>
      </c>
      <c r="AF687" t="s">
        <v>43</v>
      </c>
      <c r="AG687" t="s">
        <v>43</v>
      </c>
      <c r="AH687" t="s">
        <v>43</v>
      </c>
      <c r="AI687" t="s">
        <v>43</v>
      </c>
      <c r="AJ687" t="s">
        <v>43</v>
      </c>
      <c r="AK687" t="s">
        <v>43</v>
      </c>
      <c r="AL687" t="s">
        <v>43</v>
      </c>
      <c r="AM687" t="s">
        <v>43</v>
      </c>
      <c r="AN687" t="str">
        <f>HYPERLINK("https://www.google.com/maps?q=11.05478096,79.06084442","Open Location")</f>
        <v>Open Location</v>
      </c>
    </row>
    <row r="688" spans="1:40" x14ac:dyDescent="0.3">
      <c r="A688" s="1">
        <v>46210.920138888891</v>
      </c>
      <c r="B688" t="s">
        <v>40</v>
      </c>
      <c r="C688" t="s">
        <v>41</v>
      </c>
      <c r="D688" s="1">
        <v>46210.922986111109</v>
      </c>
      <c r="E688" t="s">
        <v>42</v>
      </c>
      <c r="F688" t="s">
        <v>43</v>
      </c>
      <c r="G688" t="s">
        <v>43</v>
      </c>
      <c r="H688" t="s">
        <v>43</v>
      </c>
      <c r="I688" t="s">
        <v>321</v>
      </c>
      <c r="J688" t="s">
        <v>43</v>
      </c>
      <c r="K688" t="s">
        <v>43</v>
      </c>
      <c r="L688" t="s">
        <v>43</v>
      </c>
      <c r="M688" t="s">
        <v>43</v>
      </c>
      <c r="N688" t="s">
        <v>45</v>
      </c>
      <c r="O688" t="s">
        <v>43</v>
      </c>
      <c r="P688" t="s">
        <v>43</v>
      </c>
      <c r="Q688" t="s">
        <v>43</v>
      </c>
      <c r="R688" t="s">
        <v>43</v>
      </c>
      <c r="S688" t="s">
        <v>43</v>
      </c>
      <c r="T688" t="s">
        <v>43</v>
      </c>
      <c r="U688" t="s">
        <v>43</v>
      </c>
      <c r="V688" t="s">
        <v>43</v>
      </c>
      <c r="W688" t="s">
        <v>43</v>
      </c>
      <c r="X688" t="s">
        <v>43</v>
      </c>
      <c r="Y688" t="s">
        <v>43</v>
      </c>
      <c r="Z688" t="s">
        <v>43</v>
      </c>
      <c r="AA688" t="s">
        <v>43</v>
      </c>
      <c r="AB688" t="s">
        <v>43</v>
      </c>
      <c r="AC688" t="s">
        <v>43</v>
      </c>
      <c r="AD688" t="s">
        <v>43</v>
      </c>
      <c r="AE688" t="s">
        <v>43</v>
      </c>
      <c r="AF688" t="s">
        <v>43</v>
      </c>
      <c r="AG688" t="s">
        <v>43</v>
      </c>
      <c r="AH688" t="s">
        <v>43</v>
      </c>
      <c r="AI688" t="s">
        <v>43</v>
      </c>
      <c r="AJ688" t="s">
        <v>43</v>
      </c>
      <c r="AK688" t="s">
        <v>43</v>
      </c>
      <c r="AL688" t="s">
        <v>43</v>
      </c>
      <c r="AM688" t="s">
        <v>43</v>
      </c>
      <c r="AN688" t="str">
        <f>HYPERLINK("https://www.google.com/maps?q=11.05477715,79.06084442","Open Location")</f>
        <v>Open Location</v>
      </c>
    </row>
    <row r="689" spans="1:40" x14ac:dyDescent="0.3">
      <c r="A689" s="1">
        <v>46210.920023148145</v>
      </c>
      <c r="B689" t="s">
        <v>40</v>
      </c>
      <c r="C689" t="s">
        <v>41</v>
      </c>
      <c r="D689" s="1">
        <v>46210.922962962963</v>
      </c>
      <c r="E689" t="s">
        <v>42</v>
      </c>
      <c r="F689" t="s">
        <v>43</v>
      </c>
      <c r="G689" t="s">
        <v>43</v>
      </c>
      <c r="H689" t="s">
        <v>43</v>
      </c>
      <c r="I689" t="s">
        <v>336</v>
      </c>
      <c r="J689" t="s">
        <v>43</v>
      </c>
      <c r="K689" t="s">
        <v>43</v>
      </c>
      <c r="L689" t="s">
        <v>43</v>
      </c>
      <c r="M689" t="s">
        <v>43</v>
      </c>
      <c r="N689" t="s">
        <v>45</v>
      </c>
      <c r="O689" t="s">
        <v>43</v>
      </c>
      <c r="P689" t="s">
        <v>43</v>
      </c>
      <c r="Q689" t="s">
        <v>43</v>
      </c>
      <c r="R689" t="s">
        <v>43</v>
      </c>
      <c r="S689" t="s">
        <v>43</v>
      </c>
      <c r="T689" t="s">
        <v>43</v>
      </c>
      <c r="U689" t="s">
        <v>43</v>
      </c>
      <c r="V689" t="s">
        <v>43</v>
      </c>
      <c r="W689" t="s">
        <v>43</v>
      </c>
      <c r="X689" t="s">
        <v>43</v>
      </c>
      <c r="Y689" t="s">
        <v>43</v>
      </c>
      <c r="Z689" t="s">
        <v>43</v>
      </c>
      <c r="AA689" t="s">
        <v>43</v>
      </c>
      <c r="AB689" t="s">
        <v>43</v>
      </c>
      <c r="AC689" t="s">
        <v>43</v>
      </c>
      <c r="AD689" t="s">
        <v>43</v>
      </c>
      <c r="AE689" t="s">
        <v>43</v>
      </c>
      <c r="AF689" t="s">
        <v>43</v>
      </c>
      <c r="AG689" t="s">
        <v>43</v>
      </c>
      <c r="AH689" t="s">
        <v>43</v>
      </c>
      <c r="AI689" t="s">
        <v>43</v>
      </c>
      <c r="AJ689" t="s">
        <v>43</v>
      </c>
      <c r="AK689" t="s">
        <v>43</v>
      </c>
      <c r="AL689" t="s">
        <v>43</v>
      </c>
      <c r="AM689" t="s">
        <v>43</v>
      </c>
      <c r="AN689" t="str">
        <f>HYPERLINK("https://www.google.com/maps?q=11.05477333,79.06085968","Open Location")</f>
        <v>Open Location</v>
      </c>
    </row>
    <row r="690" spans="1:40" x14ac:dyDescent="0.3">
      <c r="A690" s="1">
        <v>46210.919907407406</v>
      </c>
      <c r="B690" t="s">
        <v>40</v>
      </c>
      <c r="C690" t="s">
        <v>41</v>
      </c>
      <c r="D690" s="1">
        <v>46210.922766203701</v>
      </c>
      <c r="E690" t="s">
        <v>42</v>
      </c>
      <c r="F690" t="s">
        <v>43</v>
      </c>
      <c r="G690" t="s">
        <v>43</v>
      </c>
      <c r="H690" t="s">
        <v>43</v>
      </c>
      <c r="I690" t="s">
        <v>336</v>
      </c>
      <c r="J690" t="s">
        <v>43</v>
      </c>
      <c r="K690" t="s">
        <v>43</v>
      </c>
      <c r="L690" t="s">
        <v>43</v>
      </c>
      <c r="M690" t="s">
        <v>43</v>
      </c>
      <c r="N690" t="s">
        <v>45</v>
      </c>
      <c r="O690" t="s">
        <v>43</v>
      </c>
      <c r="P690" t="s">
        <v>43</v>
      </c>
      <c r="Q690" t="s">
        <v>43</v>
      </c>
      <c r="R690" t="s">
        <v>43</v>
      </c>
      <c r="S690" t="s">
        <v>43</v>
      </c>
      <c r="T690" t="s">
        <v>43</v>
      </c>
      <c r="U690" t="s">
        <v>43</v>
      </c>
      <c r="V690" t="s">
        <v>43</v>
      </c>
      <c r="W690" t="s">
        <v>43</v>
      </c>
      <c r="X690" t="s">
        <v>43</v>
      </c>
      <c r="Y690" t="s">
        <v>43</v>
      </c>
      <c r="Z690" t="s">
        <v>43</v>
      </c>
      <c r="AA690" t="s">
        <v>43</v>
      </c>
      <c r="AB690" t="s">
        <v>43</v>
      </c>
      <c r="AC690" t="s">
        <v>43</v>
      </c>
      <c r="AD690" t="s">
        <v>43</v>
      </c>
      <c r="AE690" t="s">
        <v>43</v>
      </c>
      <c r="AF690" t="s">
        <v>43</v>
      </c>
      <c r="AG690" t="s">
        <v>43</v>
      </c>
      <c r="AH690" t="s">
        <v>43</v>
      </c>
      <c r="AI690" t="s">
        <v>43</v>
      </c>
      <c r="AJ690" t="s">
        <v>43</v>
      </c>
      <c r="AK690" t="s">
        <v>43</v>
      </c>
      <c r="AL690" t="s">
        <v>43</v>
      </c>
      <c r="AM690" t="s">
        <v>43</v>
      </c>
      <c r="AN690" t="str">
        <f>HYPERLINK("https://www.google.com/maps?q=11.05477333,79.06085968","Open Location")</f>
        <v>Open Location</v>
      </c>
    </row>
    <row r="691" spans="1:40" x14ac:dyDescent="0.3">
      <c r="A691" s="1">
        <v>46210.919791666667</v>
      </c>
      <c r="B691" t="s">
        <v>40</v>
      </c>
      <c r="C691" t="s">
        <v>41</v>
      </c>
      <c r="D691" s="1">
        <v>46210.922743055555</v>
      </c>
      <c r="E691" t="s">
        <v>42</v>
      </c>
      <c r="F691" t="s">
        <v>43</v>
      </c>
      <c r="G691" t="s">
        <v>43</v>
      </c>
      <c r="H691" t="s">
        <v>43</v>
      </c>
      <c r="I691" t="s">
        <v>43</v>
      </c>
      <c r="J691" t="s">
        <v>43</v>
      </c>
      <c r="K691" t="s">
        <v>43</v>
      </c>
      <c r="L691" t="s">
        <v>43</v>
      </c>
      <c r="M691" t="s">
        <v>43</v>
      </c>
      <c r="N691" t="s">
        <v>45</v>
      </c>
      <c r="O691" t="s">
        <v>43</v>
      </c>
      <c r="P691" t="s">
        <v>43</v>
      </c>
      <c r="Q691" t="s">
        <v>43</v>
      </c>
      <c r="R691" t="s">
        <v>43</v>
      </c>
      <c r="S691" t="s">
        <v>43</v>
      </c>
      <c r="T691" t="s">
        <v>43</v>
      </c>
      <c r="U691" t="s">
        <v>43</v>
      </c>
      <c r="V691" t="s">
        <v>43</v>
      </c>
      <c r="W691" t="s">
        <v>43</v>
      </c>
      <c r="X691" t="s">
        <v>43</v>
      </c>
      <c r="Y691" t="s">
        <v>43</v>
      </c>
      <c r="Z691" t="s">
        <v>43</v>
      </c>
      <c r="AA691" t="s">
        <v>43</v>
      </c>
      <c r="AB691" t="s">
        <v>43</v>
      </c>
      <c r="AC691" t="s">
        <v>43</v>
      </c>
      <c r="AD691" t="s">
        <v>43</v>
      </c>
      <c r="AE691" t="s">
        <v>43</v>
      </c>
      <c r="AF691" t="s">
        <v>43</v>
      </c>
      <c r="AG691" t="s">
        <v>43</v>
      </c>
      <c r="AH691" t="s">
        <v>43</v>
      </c>
      <c r="AI691" t="s">
        <v>43</v>
      </c>
      <c r="AJ691" t="s">
        <v>43</v>
      </c>
      <c r="AK691" t="s">
        <v>43</v>
      </c>
      <c r="AL691" t="s">
        <v>43</v>
      </c>
      <c r="AM691" t="s">
        <v>43</v>
      </c>
      <c r="AN691" t="s">
        <v>43</v>
      </c>
    </row>
    <row r="692" spans="1:40" x14ac:dyDescent="0.3">
      <c r="A692" s="1">
        <v>46210.919675925928</v>
      </c>
      <c r="B692" t="s">
        <v>40</v>
      </c>
      <c r="C692" t="s">
        <v>41</v>
      </c>
      <c r="D692" s="1">
        <v>46210.922743055555</v>
      </c>
      <c r="E692" t="s">
        <v>42</v>
      </c>
      <c r="F692" t="s">
        <v>43</v>
      </c>
      <c r="G692" t="s">
        <v>43</v>
      </c>
      <c r="H692" t="s">
        <v>43</v>
      </c>
      <c r="I692" t="s">
        <v>337</v>
      </c>
      <c r="J692" t="s">
        <v>43</v>
      </c>
      <c r="K692" t="s">
        <v>43</v>
      </c>
      <c r="L692" t="s">
        <v>43</v>
      </c>
      <c r="M692" t="s">
        <v>43</v>
      </c>
      <c r="N692" t="s">
        <v>45</v>
      </c>
      <c r="O692" t="s">
        <v>43</v>
      </c>
      <c r="P692" t="s">
        <v>43</v>
      </c>
      <c r="Q692" t="s">
        <v>43</v>
      </c>
      <c r="R692" t="s">
        <v>43</v>
      </c>
      <c r="S692" t="s">
        <v>43</v>
      </c>
      <c r="T692" t="s">
        <v>43</v>
      </c>
      <c r="U692" t="s">
        <v>43</v>
      </c>
      <c r="V692" t="s">
        <v>43</v>
      </c>
      <c r="W692" t="s">
        <v>43</v>
      </c>
      <c r="X692" t="s">
        <v>43</v>
      </c>
      <c r="Y692" t="s">
        <v>43</v>
      </c>
      <c r="Z692" t="s">
        <v>43</v>
      </c>
      <c r="AA692" t="s">
        <v>43</v>
      </c>
      <c r="AB692" t="s">
        <v>43</v>
      </c>
      <c r="AC692" t="s">
        <v>43</v>
      </c>
      <c r="AD692" t="s">
        <v>43</v>
      </c>
      <c r="AE692" t="s">
        <v>43</v>
      </c>
      <c r="AF692" t="s">
        <v>43</v>
      </c>
      <c r="AG692" t="s">
        <v>43</v>
      </c>
      <c r="AH692" t="s">
        <v>43</v>
      </c>
      <c r="AI692" t="s">
        <v>43</v>
      </c>
      <c r="AJ692" t="s">
        <v>43</v>
      </c>
      <c r="AK692" t="s">
        <v>43</v>
      </c>
      <c r="AL692" t="s">
        <v>43</v>
      </c>
      <c r="AM692" t="s">
        <v>43</v>
      </c>
      <c r="AN692" t="str">
        <f>HYPERLINK("https://www.google.com/maps?q=11.05477047,79.06086731","Open Location")</f>
        <v>Open Location</v>
      </c>
    </row>
    <row r="693" spans="1:40" x14ac:dyDescent="0.3">
      <c r="A693" s="1">
        <v>46210.919560185182</v>
      </c>
      <c r="B693" t="s">
        <v>40</v>
      </c>
      <c r="C693" t="s">
        <v>41</v>
      </c>
      <c r="D693" s="1">
        <v>46210.922592592593</v>
      </c>
      <c r="E693" t="s">
        <v>42</v>
      </c>
      <c r="F693" t="s">
        <v>43</v>
      </c>
      <c r="G693" t="s">
        <v>43</v>
      </c>
      <c r="H693" t="s">
        <v>43</v>
      </c>
      <c r="I693" t="s">
        <v>286</v>
      </c>
      <c r="J693" t="s">
        <v>43</v>
      </c>
      <c r="K693" t="s">
        <v>43</v>
      </c>
      <c r="L693" t="s">
        <v>43</v>
      </c>
      <c r="M693" t="s">
        <v>43</v>
      </c>
      <c r="N693" t="s">
        <v>45</v>
      </c>
      <c r="O693" t="s">
        <v>43</v>
      </c>
      <c r="P693" t="s">
        <v>43</v>
      </c>
      <c r="Q693" t="s">
        <v>43</v>
      </c>
      <c r="R693" t="s">
        <v>43</v>
      </c>
      <c r="S693" t="s">
        <v>43</v>
      </c>
      <c r="T693" t="s">
        <v>43</v>
      </c>
      <c r="U693" t="s">
        <v>43</v>
      </c>
      <c r="V693" t="s">
        <v>43</v>
      </c>
      <c r="W693" t="s">
        <v>43</v>
      </c>
      <c r="X693" t="s">
        <v>43</v>
      </c>
      <c r="Y693" t="s">
        <v>43</v>
      </c>
      <c r="Z693" t="s">
        <v>43</v>
      </c>
      <c r="AA693" t="s">
        <v>43</v>
      </c>
      <c r="AB693" t="s">
        <v>43</v>
      </c>
      <c r="AC693" t="s">
        <v>43</v>
      </c>
      <c r="AD693" t="s">
        <v>43</v>
      </c>
      <c r="AE693" t="s">
        <v>43</v>
      </c>
      <c r="AF693" t="s">
        <v>43</v>
      </c>
      <c r="AG693" t="s">
        <v>43</v>
      </c>
      <c r="AH693" t="s">
        <v>43</v>
      </c>
      <c r="AI693" t="s">
        <v>43</v>
      </c>
      <c r="AJ693" t="s">
        <v>43</v>
      </c>
      <c r="AK693" t="s">
        <v>43</v>
      </c>
      <c r="AL693" t="s">
        <v>43</v>
      </c>
      <c r="AM693" t="s">
        <v>43</v>
      </c>
      <c r="AN693" t="str">
        <f>HYPERLINK("https://www.google.com/maps?q=11.05476665,79.06086731","Open Location")</f>
        <v>Open Location</v>
      </c>
    </row>
    <row r="694" spans="1:40" x14ac:dyDescent="0.3">
      <c r="A694" s="1">
        <v>46210.919444444444</v>
      </c>
      <c r="B694" t="s">
        <v>40</v>
      </c>
      <c r="C694" t="s">
        <v>41</v>
      </c>
      <c r="D694" s="1">
        <v>46210.922407407408</v>
      </c>
      <c r="E694" t="s">
        <v>42</v>
      </c>
      <c r="F694" t="s">
        <v>43</v>
      </c>
      <c r="G694" t="s">
        <v>43</v>
      </c>
      <c r="H694" t="s">
        <v>43</v>
      </c>
      <c r="I694" t="s">
        <v>286</v>
      </c>
      <c r="J694" t="s">
        <v>43</v>
      </c>
      <c r="K694" t="s">
        <v>43</v>
      </c>
      <c r="L694" t="s">
        <v>43</v>
      </c>
      <c r="M694" t="s">
        <v>43</v>
      </c>
      <c r="N694" t="s">
        <v>45</v>
      </c>
      <c r="O694" t="s">
        <v>43</v>
      </c>
      <c r="P694" t="s">
        <v>43</v>
      </c>
      <c r="Q694" t="s">
        <v>43</v>
      </c>
      <c r="R694" t="s">
        <v>43</v>
      </c>
      <c r="S694" t="s">
        <v>43</v>
      </c>
      <c r="T694" t="s">
        <v>43</v>
      </c>
      <c r="U694" t="s">
        <v>43</v>
      </c>
      <c r="V694" t="s">
        <v>43</v>
      </c>
      <c r="W694" t="s">
        <v>43</v>
      </c>
      <c r="X694" t="s">
        <v>43</v>
      </c>
      <c r="Y694" t="s">
        <v>43</v>
      </c>
      <c r="Z694" t="s">
        <v>43</v>
      </c>
      <c r="AA694" t="s">
        <v>43</v>
      </c>
      <c r="AB694" t="s">
        <v>43</v>
      </c>
      <c r="AC694" t="s">
        <v>43</v>
      </c>
      <c r="AD694" t="s">
        <v>43</v>
      </c>
      <c r="AE694" t="s">
        <v>43</v>
      </c>
      <c r="AF694" t="s">
        <v>43</v>
      </c>
      <c r="AG694" t="s">
        <v>43</v>
      </c>
      <c r="AH694" t="s">
        <v>43</v>
      </c>
      <c r="AI694" t="s">
        <v>43</v>
      </c>
      <c r="AJ694" t="s">
        <v>43</v>
      </c>
      <c r="AK694" t="s">
        <v>43</v>
      </c>
      <c r="AL694" t="s">
        <v>43</v>
      </c>
      <c r="AM694" t="s">
        <v>43</v>
      </c>
      <c r="AN694" t="str">
        <f>HYPERLINK("https://www.google.com/maps?q=11.05476665,79.06086731","Open Location")</f>
        <v>Open Location</v>
      </c>
    </row>
    <row r="695" spans="1:40" x14ac:dyDescent="0.3">
      <c r="A695" s="1">
        <v>46210.919328703705</v>
      </c>
      <c r="B695" t="s">
        <v>40</v>
      </c>
      <c r="C695" t="s">
        <v>41</v>
      </c>
      <c r="D695" s="1">
        <v>46210.922175925924</v>
      </c>
      <c r="E695" t="s">
        <v>42</v>
      </c>
      <c r="F695" t="s">
        <v>43</v>
      </c>
      <c r="G695" t="s">
        <v>43</v>
      </c>
      <c r="H695" t="s">
        <v>43</v>
      </c>
      <c r="I695" t="s">
        <v>275</v>
      </c>
      <c r="J695" t="s">
        <v>43</v>
      </c>
      <c r="K695" t="s">
        <v>43</v>
      </c>
      <c r="L695" t="s">
        <v>43</v>
      </c>
      <c r="M695" t="s">
        <v>43</v>
      </c>
      <c r="N695" t="s">
        <v>45</v>
      </c>
      <c r="O695" t="s">
        <v>43</v>
      </c>
      <c r="P695" t="s">
        <v>43</v>
      </c>
      <c r="Q695" t="s">
        <v>43</v>
      </c>
      <c r="R695" t="s">
        <v>43</v>
      </c>
      <c r="S695" t="s">
        <v>43</v>
      </c>
      <c r="T695" t="s">
        <v>43</v>
      </c>
      <c r="U695" t="s">
        <v>43</v>
      </c>
      <c r="V695" t="s">
        <v>43</v>
      </c>
      <c r="W695" t="s">
        <v>43</v>
      </c>
      <c r="X695" t="s">
        <v>43</v>
      </c>
      <c r="Y695" t="s">
        <v>43</v>
      </c>
      <c r="Z695" t="s">
        <v>43</v>
      </c>
      <c r="AA695" t="s">
        <v>43</v>
      </c>
      <c r="AB695" t="s">
        <v>43</v>
      </c>
      <c r="AC695" t="s">
        <v>43</v>
      </c>
      <c r="AD695" t="s">
        <v>43</v>
      </c>
      <c r="AE695" t="s">
        <v>43</v>
      </c>
      <c r="AF695" t="s">
        <v>43</v>
      </c>
      <c r="AG695" t="s">
        <v>43</v>
      </c>
      <c r="AH695" t="s">
        <v>43</v>
      </c>
      <c r="AI695" t="s">
        <v>43</v>
      </c>
      <c r="AJ695" t="s">
        <v>43</v>
      </c>
      <c r="AK695" t="s">
        <v>43</v>
      </c>
      <c r="AL695" t="s">
        <v>43</v>
      </c>
      <c r="AM695" t="s">
        <v>43</v>
      </c>
      <c r="AN695" t="str">
        <f>HYPERLINK("https://www.google.com/maps?q=11.05476284,79.06084442","Open Location")</f>
        <v>Open Location</v>
      </c>
    </row>
    <row r="696" spans="1:40" x14ac:dyDescent="0.3">
      <c r="A696" s="1">
        <v>46210.919212962966</v>
      </c>
      <c r="B696" t="s">
        <v>40</v>
      </c>
      <c r="C696" t="s">
        <v>41</v>
      </c>
      <c r="D696" s="1">
        <v>46210.922361111108</v>
      </c>
      <c r="E696" t="s">
        <v>42</v>
      </c>
      <c r="F696" t="s">
        <v>43</v>
      </c>
      <c r="G696" t="s">
        <v>43</v>
      </c>
      <c r="H696" t="s">
        <v>43</v>
      </c>
      <c r="I696" t="s">
        <v>338</v>
      </c>
      <c r="J696" t="s">
        <v>43</v>
      </c>
      <c r="K696" t="s">
        <v>43</v>
      </c>
      <c r="L696" t="s">
        <v>43</v>
      </c>
      <c r="M696" t="s">
        <v>43</v>
      </c>
      <c r="N696" t="s">
        <v>45</v>
      </c>
      <c r="O696" t="s">
        <v>43</v>
      </c>
      <c r="P696" t="s">
        <v>43</v>
      </c>
      <c r="Q696" t="s">
        <v>43</v>
      </c>
      <c r="R696" t="s">
        <v>43</v>
      </c>
      <c r="S696" t="s">
        <v>43</v>
      </c>
      <c r="T696" t="s">
        <v>43</v>
      </c>
      <c r="U696" t="s">
        <v>43</v>
      </c>
      <c r="V696" t="s">
        <v>43</v>
      </c>
      <c r="W696" t="s">
        <v>43</v>
      </c>
      <c r="X696" t="s">
        <v>43</v>
      </c>
      <c r="Y696" t="s">
        <v>43</v>
      </c>
      <c r="Z696" t="s">
        <v>43</v>
      </c>
      <c r="AA696" t="s">
        <v>43</v>
      </c>
      <c r="AB696" t="s">
        <v>43</v>
      </c>
      <c r="AC696" t="s">
        <v>43</v>
      </c>
      <c r="AD696" t="s">
        <v>43</v>
      </c>
      <c r="AE696" t="s">
        <v>43</v>
      </c>
      <c r="AF696" t="s">
        <v>43</v>
      </c>
      <c r="AG696" t="s">
        <v>43</v>
      </c>
      <c r="AH696" t="s">
        <v>43</v>
      </c>
      <c r="AI696" t="s">
        <v>43</v>
      </c>
      <c r="AJ696" t="s">
        <v>43</v>
      </c>
      <c r="AK696" t="s">
        <v>43</v>
      </c>
      <c r="AL696" t="s">
        <v>43</v>
      </c>
      <c r="AM696" t="s">
        <v>43</v>
      </c>
      <c r="AN696" t="str">
        <f>HYPERLINK("https://www.google.com/maps?q=11.05476093,79.06084442","Open Location")</f>
        <v>Open Location</v>
      </c>
    </row>
    <row r="697" spans="1:40" x14ac:dyDescent="0.3">
      <c r="A697" s="1">
        <v>46210.91909722222</v>
      </c>
      <c r="B697" t="s">
        <v>40</v>
      </c>
      <c r="C697" t="s">
        <v>41</v>
      </c>
      <c r="D697" s="1">
        <v>46210.922048611108</v>
      </c>
      <c r="E697" t="s">
        <v>42</v>
      </c>
      <c r="F697" t="s">
        <v>43</v>
      </c>
      <c r="G697" t="s">
        <v>43</v>
      </c>
      <c r="H697" t="s">
        <v>43</v>
      </c>
      <c r="I697" t="s">
        <v>43</v>
      </c>
      <c r="J697" t="s">
        <v>43</v>
      </c>
      <c r="K697" t="s">
        <v>43</v>
      </c>
      <c r="L697" t="s">
        <v>43</v>
      </c>
      <c r="M697" t="s">
        <v>43</v>
      </c>
      <c r="N697" t="s">
        <v>45</v>
      </c>
      <c r="O697" t="s">
        <v>43</v>
      </c>
      <c r="P697" t="s">
        <v>43</v>
      </c>
      <c r="Q697" t="s">
        <v>43</v>
      </c>
      <c r="R697" t="s">
        <v>43</v>
      </c>
      <c r="S697" t="s">
        <v>43</v>
      </c>
      <c r="T697" t="s">
        <v>43</v>
      </c>
      <c r="U697" t="s">
        <v>43</v>
      </c>
      <c r="V697" t="s">
        <v>43</v>
      </c>
      <c r="W697" t="s">
        <v>43</v>
      </c>
      <c r="X697" t="s">
        <v>43</v>
      </c>
      <c r="Y697" t="s">
        <v>43</v>
      </c>
      <c r="Z697" t="s">
        <v>43</v>
      </c>
      <c r="AA697" t="s">
        <v>43</v>
      </c>
      <c r="AB697" t="s">
        <v>43</v>
      </c>
      <c r="AC697" t="s">
        <v>43</v>
      </c>
      <c r="AD697" t="s">
        <v>43</v>
      </c>
      <c r="AE697" t="s">
        <v>43</v>
      </c>
      <c r="AF697" t="s">
        <v>43</v>
      </c>
      <c r="AG697" t="s">
        <v>43</v>
      </c>
      <c r="AH697" t="s">
        <v>43</v>
      </c>
      <c r="AI697" t="s">
        <v>43</v>
      </c>
      <c r="AJ697" t="s">
        <v>43</v>
      </c>
      <c r="AK697" t="s">
        <v>43</v>
      </c>
      <c r="AL697" t="s">
        <v>43</v>
      </c>
      <c r="AM697" t="s">
        <v>43</v>
      </c>
      <c r="AN697" t="s">
        <v>43</v>
      </c>
    </row>
    <row r="698" spans="1:40" x14ac:dyDescent="0.3">
      <c r="A698" s="1">
        <v>46210.918981481482</v>
      </c>
      <c r="B698" t="s">
        <v>40</v>
      </c>
      <c r="C698" t="s">
        <v>41</v>
      </c>
      <c r="D698" s="1">
        <v>46210.922060185185</v>
      </c>
      <c r="E698" t="s">
        <v>42</v>
      </c>
      <c r="F698" t="s">
        <v>43</v>
      </c>
      <c r="G698" t="s">
        <v>43</v>
      </c>
      <c r="H698" t="s">
        <v>43</v>
      </c>
      <c r="I698" t="s">
        <v>339</v>
      </c>
      <c r="J698" t="s">
        <v>43</v>
      </c>
      <c r="K698" t="s">
        <v>43</v>
      </c>
      <c r="L698" t="s">
        <v>43</v>
      </c>
      <c r="M698" t="s">
        <v>43</v>
      </c>
      <c r="N698" t="s">
        <v>45</v>
      </c>
      <c r="O698" t="s">
        <v>43</v>
      </c>
      <c r="P698" t="s">
        <v>43</v>
      </c>
      <c r="Q698" t="s">
        <v>43</v>
      </c>
      <c r="R698" t="s">
        <v>43</v>
      </c>
      <c r="S698" t="s">
        <v>43</v>
      </c>
      <c r="T698" t="s">
        <v>43</v>
      </c>
      <c r="U698" t="s">
        <v>43</v>
      </c>
      <c r="V698" t="s">
        <v>43</v>
      </c>
      <c r="W698" t="s">
        <v>43</v>
      </c>
      <c r="X698" t="s">
        <v>43</v>
      </c>
      <c r="Y698" t="s">
        <v>43</v>
      </c>
      <c r="Z698" t="s">
        <v>43</v>
      </c>
      <c r="AA698" t="s">
        <v>43</v>
      </c>
      <c r="AB698" t="s">
        <v>43</v>
      </c>
      <c r="AC698" t="s">
        <v>43</v>
      </c>
      <c r="AD698" t="s">
        <v>43</v>
      </c>
      <c r="AE698" t="s">
        <v>43</v>
      </c>
      <c r="AF698" t="s">
        <v>43</v>
      </c>
      <c r="AG698" t="s">
        <v>43</v>
      </c>
      <c r="AH698" t="s">
        <v>43</v>
      </c>
      <c r="AI698" t="s">
        <v>43</v>
      </c>
      <c r="AJ698" t="s">
        <v>43</v>
      </c>
      <c r="AK698" t="s">
        <v>43</v>
      </c>
      <c r="AL698" t="s">
        <v>43</v>
      </c>
      <c r="AM698" t="s">
        <v>43</v>
      </c>
      <c r="AN698" t="str">
        <f>HYPERLINK("https://www.google.com/maps?q=11.05476189,79.06083679","Open Location")</f>
        <v>Open Location</v>
      </c>
    </row>
    <row r="699" spans="1:40" x14ac:dyDescent="0.3">
      <c r="A699" s="1">
        <v>46210.918865740743</v>
      </c>
      <c r="B699" t="s">
        <v>40</v>
      </c>
      <c r="C699" t="s">
        <v>41</v>
      </c>
      <c r="D699" s="1">
        <v>46210.921678240738</v>
      </c>
      <c r="E699" t="s">
        <v>42</v>
      </c>
      <c r="F699" t="s">
        <v>43</v>
      </c>
      <c r="G699" t="s">
        <v>43</v>
      </c>
      <c r="H699" t="s">
        <v>43</v>
      </c>
      <c r="I699" t="s">
        <v>339</v>
      </c>
      <c r="J699" t="s">
        <v>43</v>
      </c>
      <c r="K699" t="s">
        <v>43</v>
      </c>
      <c r="L699" t="s">
        <v>43</v>
      </c>
      <c r="M699" t="s">
        <v>43</v>
      </c>
      <c r="N699" t="s">
        <v>45</v>
      </c>
      <c r="O699" t="s">
        <v>43</v>
      </c>
      <c r="P699" t="s">
        <v>43</v>
      </c>
      <c r="Q699" t="s">
        <v>43</v>
      </c>
      <c r="R699" t="s">
        <v>43</v>
      </c>
      <c r="S699" t="s">
        <v>43</v>
      </c>
      <c r="T699" t="s">
        <v>43</v>
      </c>
      <c r="U699" t="s">
        <v>43</v>
      </c>
      <c r="V699" t="s">
        <v>43</v>
      </c>
      <c r="W699" t="s">
        <v>43</v>
      </c>
      <c r="X699" t="s">
        <v>43</v>
      </c>
      <c r="Y699" t="s">
        <v>43</v>
      </c>
      <c r="Z699" t="s">
        <v>43</v>
      </c>
      <c r="AA699" t="s">
        <v>43</v>
      </c>
      <c r="AB699" t="s">
        <v>43</v>
      </c>
      <c r="AC699" t="s">
        <v>43</v>
      </c>
      <c r="AD699" t="s">
        <v>43</v>
      </c>
      <c r="AE699" t="s">
        <v>43</v>
      </c>
      <c r="AF699" t="s">
        <v>43</v>
      </c>
      <c r="AG699" t="s">
        <v>43</v>
      </c>
      <c r="AH699" t="s">
        <v>43</v>
      </c>
      <c r="AI699" t="s">
        <v>43</v>
      </c>
      <c r="AJ699" t="s">
        <v>43</v>
      </c>
      <c r="AK699" t="s">
        <v>43</v>
      </c>
      <c r="AL699" t="s">
        <v>43</v>
      </c>
      <c r="AM699" t="s">
        <v>43</v>
      </c>
      <c r="AN699" t="str">
        <f>HYPERLINK("https://www.google.com/maps?q=11.05476189,79.06083679","Open Location")</f>
        <v>Open Location</v>
      </c>
    </row>
    <row r="700" spans="1:40" x14ac:dyDescent="0.3">
      <c r="A700" s="1">
        <v>46210.918749999997</v>
      </c>
      <c r="B700" t="s">
        <v>40</v>
      </c>
      <c r="C700" t="s">
        <v>41</v>
      </c>
      <c r="D700" s="1">
        <v>46210.921793981484</v>
      </c>
      <c r="E700" t="s">
        <v>42</v>
      </c>
      <c r="F700" t="s">
        <v>43</v>
      </c>
      <c r="G700" t="s">
        <v>43</v>
      </c>
      <c r="H700" t="s">
        <v>43</v>
      </c>
      <c r="I700" t="s">
        <v>340</v>
      </c>
      <c r="J700" t="s">
        <v>43</v>
      </c>
      <c r="K700" t="s">
        <v>43</v>
      </c>
      <c r="L700" t="s">
        <v>43</v>
      </c>
      <c r="M700" t="s">
        <v>43</v>
      </c>
      <c r="N700" t="s">
        <v>45</v>
      </c>
      <c r="O700" t="s">
        <v>43</v>
      </c>
      <c r="P700" t="s">
        <v>43</v>
      </c>
      <c r="Q700" t="s">
        <v>43</v>
      </c>
      <c r="R700" t="s">
        <v>43</v>
      </c>
      <c r="S700" t="s">
        <v>43</v>
      </c>
      <c r="T700" t="s">
        <v>43</v>
      </c>
      <c r="U700" t="s">
        <v>43</v>
      </c>
      <c r="V700" t="s">
        <v>43</v>
      </c>
      <c r="W700" t="s">
        <v>43</v>
      </c>
      <c r="X700" t="s">
        <v>43</v>
      </c>
      <c r="Y700" t="s">
        <v>43</v>
      </c>
      <c r="Z700" t="s">
        <v>43</v>
      </c>
      <c r="AA700" t="s">
        <v>43</v>
      </c>
      <c r="AB700" t="s">
        <v>43</v>
      </c>
      <c r="AC700" t="s">
        <v>43</v>
      </c>
      <c r="AD700" t="s">
        <v>43</v>
      </c>
      <c r="AE700" t="s">
        <v>43</v>
      </c>
      <c r="AF700" t="s">
        <v>43</v>
      </c>
      <c r="AG700" t="s">
        <v>43</v>
      </c>
      <c r="AH700" t="s">
        <v>43</v>
      </c>
      <c r="AI700" t="s">
        <v>43</v>
      </c>
      <c r="AJ700" t="s">
        <v>43</v>
      </c>
      <c r="AK700" t="s">
        <v>43</v>
      </c>
      <c r="AL700" t="s">
        <v>43</v>
      </c>
      <c r="AM700" t="s">
        <v>43</v>
      </c>
      <c r="AN700" t="str">
        <f>HYPERLINK("https://www.google.com/maps?q=11.05476189,79.06084442","Open Location")</f>
        <v>Open Location</v>
      </c>
    </row>
    <row r="701" spans="1:40" x14ac:dyDescent="0.3">
      <c r="A701" s="1">
        <v>46210.918634259258</v>
      </c>
      <c r="B701" t="s">
        <v>40</v>
      </c>
      <c r="C701" t="s">
        <v>41</v>
      </c>
      <c r="D701" s="1">
        <v>46210.921516203707</v>
      </c>
      <c r="E701" t="s">
        <v>42</v>
      </c>
      <c r="F701" t="s">
        <v>43</v>
      </c>
      <c r="G701" t="s">
        <v>43</v>
      </c>
      <c r="H701" t="s">
        <v>43</v>
      </c>
      <c r="I701" t="s">
        <v>338</v>
      </c>
      <c r="J701" t="s">
        <v>43</v>
      </c>
      <c r="K701" t="s">
        <v>43</v>
      </c>
      <c r="L701" t="s">
        <v>43</v>
      </c>
      <c r="M701" t="s">
        <v>43</v>
      </c>
      <c r="N701" t="s">
        <v>45</v>
      </c>
      <c r="O701" t="s">
        <v>43</v>
      </c>
      <c r="P701" t="s">
        <v>43</v>
      </c>
      <c r="Q701" t="s">
        <v>43</v>
      </c>
      <c r="R701" t="s">
        <v>43</v>
      </c>
      <c r="S701" t="s">
        <v>43</v>
      </c>
      <c r="T701" t="s">
        <v>43</v>
      </c>
      <c r="U701" t="s">
        <v>43</v>
      </c>
      <c r="V701" t="s">
        <v>43</v>
      </c>
      <c r="W701" t="s">
        <v>43</v>
      </c>
      <c r="X701" t="s">
        <v>43</v>
      </c>
      <c r="Y701" t="s">
        <v>43</v>
      </c>
      <c r="Z701" t="s">
        <v>43</v>
      </c>
      <c r="AA701" t="s">
        <v>43</v>
      </c>
      <c r="AB701" t="s">
        <v>43</v>
      </c>
      <c r="AC701" t="s">
        <v>43</v>
      </c>
      <c r="AD701" t="s">
        <v>43</v>
      </c>
      <c r="AE701" t="s">
        <v>43</v>
      </c>
      <c r="AF701" t="s">
        <v>43</v>
      </c>
      <c r="AG701" t="s">
        <v>43</v>
      </c>
      <c r="AH701" t="s">
        <v>43</v>
      </c>
      <c r="AI701" t="s">
        <v>43</v>
      </c>
      <c r="AJ701" t="s">
        <v>43</v>
      </c>
      <c r="AK701" t="s">
        <v>43</v>
      </c>
      <c r="AL701" t="s">
        <v>43</v>
      </c>
      <c r="AM701" t="s">
        <v>43</v>
      </c>
      <c r="AN701" t="str">
        <f>HYPERLINK("https://www.google.com/maps?q=11.05476093,79.06084442","Open Location")</f>
        <v>Open Location</v>
      </c>
    </row>
    <row r="702" spans="1:40" x14ac:dyDescent="0.3">
      <c r="A702" s="1">
        <v>46210.91851851852</v>
      </c>
      <c r="B702" t="s">
        <v>40</v>
      </c>
      <c r="C702" t="s">
        <v>41</v>
      </c>
      <c r="D702" s="1">
        <v>46210.921446759261</v>
      </c>
      <c r="E702" t="s">
        <v>42</v>
      </c>
      <c r="F702" t="s">
        <v>43</v>
      </c>
      <c r="G702" t="s">
        <v>43</v>
      </c>
      <c r="H702" t="s">
        <v>43</v>
      </c>
      <c r="I702" t="s">
        <v>275</v>
      </c>
      <c r="J702" t="s">
        <v>43</v>
      </c>
      <c r="K702" t="s">
        <v>43</v>
      </c>
      <c r="L702" t="s">
        <v>43</v>
      </c>
      <c r="M702" t="s">
        <v>43</v>
      </c>
      <c r="N702" t="s">
        <v>45</v>
      </c>
      <c r="O702" t="s">
        <v>43</v>
      </c>
      <c r="P702" t="s">
        <v>43</v>
      </c>
      <c r="Q702" t="s">
        <v>43</v>
      </c>
      <c r="R702" t="s">
        <v>43</v>
      </c>
      <c r="S702" t="s">
        <v>43</v>
      </c>
      <c r="T702" t="s">
        <v>43</v>
      </c>
      <c r="U702" t="s">
        <v>43</v>
      </c>
      <c r="V702" t="s">
        <v>43</v>
      </c>
      <c r="W702" t="s">
        <v>43</v>
      </c>
      <c r="X702" t="s">
        <v>43</v>
      </c>
      <c r="Y702" t="s">
        <v>43</v>
      </c>
      <c r="Z702" t="s">
        <v>43</v>
      </c>
      <c r="AA702" t="s">
        <v>43</v>
      </c>
      <c r="AB702" t="s">
        <v>43</v>
      </c>
      <c r="AC702" t="s">
        <v>43</v>
      </c>
      <c r="AD702" t="s">
        <v>43</v>
      </c>
      <c r="AE702" t="s">
        <v>43</v>
      </c>
      <c r="AF702" t="s">
        <v>43</v>
      </c>
      <c r="AG702" t="s">
        <v>43</v>
      </c>
      <c r="AH702" t="s">
        <v>43</v>
      </c>
      <c r="AI702" t="s">
        <v>43</v>
      </c>
      <c r="AJ702" t="s">
        <v>43</v>
      </c>
      <c r="AK702" t="s">
        <v>43</v>
      </c>
      <c r="AL702" t="s">
        <v>43</v>
      </c>
      <c r="AM702" t="s">
        <v>43</v>
      </c>
      <c r="AN702" t="str">
        <f>HYPERLINK("https://www.google.com/maps?q=11.05476284,79.06084442","Open Location")</f>
        <v>Open Location</v>
      </c>
    </row>
    <row r="703" spans="1:40" x14ac:dyDescent="0.3">
      <c r="A703" s="1">
        <v>46210.918402777781</v>
      </c>
      <c r="B703" t="s">
        <v>40</v>
      </c>
      <c r="C703" t="s">
        <v>41</v>
      </c>
      <c r="D703" s="1">
        <v>46210.921076388891</v>
      </c>
      <c r="E703" t="s">
        <v>42</v>
      </c>
      <c r="F703" t="s">
        <v>43</v>
      </c>
      <c r="G703" t="s">
        <v>43</v>
      </c>
      <c r="H703" t="s">
        <v>43</v>
      </c>
      <c r="I703" t="s">
        <v>43</v>
      </c>
      <c r="J703" t="s">
        <v>43</v>
      </c>
      <c r="K703" t="s">
        <v>43</v>
      </c>
      <c r="L703" t="s">
        <v>43</v>
      </c>
      <c r="M703" t="s">
        <v>43</v>
      </c>
      <c r="N703" t="s">
        <v>45</v>
      </c>
      <c r="O703" t="s">
        <v>43</v>
      </c>
      <c r="P703" t="s">
        <v>43</v>
      </c>
      <c r="Q703" t="s">
        <v>43</v>
      </c>
      <c r="R703" t="s">
        <v>43</v>
      </c>
      <c r="S703" t="s">
        <v>43</v>
      </c>
      <c r="T703" t="s">
        <v>43</v>
      </c>
      <c r="U703" t="s">
        <v>43</v>
      </c>
      <c r="V703" t="s">
        <v>43</v>
      </c>
      <c r="W703" t="s">
        <v>43</v>
      </c>
      <c r="X703" t="s">
        <v>43</v>
      </c>
      <c r="Y703" t="s">
        <v>43</v>
      </c>
      <c r="Z703" t="s">
        <v>43</v>
      </c>
      <c r="AA703" t="s">
        <v>43</v>
      </c>
      <c r="AB703" t="s">
        <v>43</v>
      </c>
      <c r="AC703" t="s">
        <v>43</v>
      </c>
      <c r="AD703" t="s">
        <v>43</v>
      </c>
      <c r="AE703" t="s">
        <v>43</v>
      </c>
      <c r="AF703" t="s">
        <v>43</v>
      </c>
      <c r="AG703" t="s">
        <v>43</v>
      </c>
      <c r="AH703" t="s">
        <v>43</v>
      </c>
      <c r="AI703" t="s">
        <v>43</v>
      </c>
      <c r="AJ703" t="s">
        <v>43</v>
      </c>
      <c r="AK703" t="s">
        <v>43</v>
      </c>
      <c r="AL703" t="s">
        <v>43</v>
      </c>
      <c r="AM703" t="s">
        <v>43</v>
      </c>
      <c r="AN703" t="s">
        <v>43</v>
      </c>
    </row>
    <row r="704" spans="1:40" x14ac:dyDescent="0.3">
      <c r="A704" s="1">
        <v>46210.918287037035</v>
      </c>
      <c r="B704" t="s">
        <v>40</v>
      </c>
      <c r="C704" t="s">
        <v>41</v>
      </c>
      <c r="D704" s="1">
        <v>46210.921319444446</v>
      </c>
      <c r="E704" t="s">
        <v>42</v>
      </c>
      <c r="F704" t="s">
        <v>43</v>
      </c>
      <c r="G704" t="s">
        <v>43</v>
      </c>
      <c r="H704" t="s">
        <v>43</v>
      </c>
      <c r="I704" t="s">
        <v>341</v>
      </c>
      <c r="J704" t="s">
        <v>43</v>
      </c>
      <c r="K704" t="s">
        <v>43</v>
      </c>
      <c r="L704" t="s">
        <v>43</v>
      </c>
      <c r="M704" t="s">
        <v>43</v>
      </c>
      <c r="N704" t="s">
        <v>45</v>
      </c>
      <c r="O704" t="s">
        <v>43</v>
      </c>
      <c r="P704" t="s">
        <v>43</v>
      </c>
      <c r="Q704" t="s">
        <v>43</v>
      </c>
      <c r="R704" t="s">
        <v>43</v>
      </c>
      <c r="S704" t="s">
        <v>43</v>
      </c>
      <c r="T704" t="s">
        <v>43</v>
      </c>
      <c r="U704" t="s">
        <v>43</v>
      </c>
      <c r="V704" t="s">
        <v>43</v>
      </c>
      <c r="W704" t="s">
        <v>43</v>
      </c>
      <c r="X704" t="s">
        <v>43</v>
      </c>
      <c r="Y704" t="s">
        <v>43</v>
      </c>
      <c r="Z704" t="s">
        <v>43</v>
      </c>
      <c r="AA704" t="s">
        <v>43</v>
      </c>
      <c r="AB704" t="s">
        <v>43</v>
      </c>
      <c r="AC704" t="s">
        <v>43</v>
      </c>
      <c r="AD704" t="s">
        <v>43</v>
      </c>
      <c r="AE704" t="s">
        <v>43</v>
      </c>
      <c r="AF704" t="s">
        <v>43</v>
      </c>
      <c r="AG704" t="s">
        <v>43</v>
      </c>
      <c r="AH704" t="s">
        <v>43</v>
      </c>
      <c r="AI704" t="s">
        <v>43</v>
      </c>
      <c r="AJ704" t="s">
        <v>43</v>
      </c>
      <c r="AK704" t="s">
        <v>43</v>
      </c>
      <c r="AL704" t="s">
        <v>43</v>
      </c>
      <c r="AM704" t="s">
        <v>43</v>
      </c>
      <c r="AN704" t="str">
        <f>HYPERLINK("https://www.google.com/maps?q=11.05476475,79.06085968","Open Location")</f>
        <v>Open Location</v>
      </c>
    </row>
    <row r="705" spans="1:40" x14ac:dyDescent="0.3">
      <c r="A705" s="1">
        <v>46210.918171296296</v>
      </c>
      <c r="B705" t="s">
        <v>40</v>
      </c>
      <c r="C705" t="s">
        <v>41</v>
      </c>
      <c r="D705" s="1">
        <v>46210.921076388891</v>
      </c>
      <c r="E705" t="s">
        <v>42</v>
      </c>
      <c r="F705" t="s">
        <v>43</v>
      </c>
      <c r="G705" t="s">
        <v>43</v>
      </c>
      <c r="H705" t="s">
        <v>43</v>
      </c>
      <c r="I705" t="s">
        <v>288</v>
      </c>
      <c r="J705" t="s">
        <v>43</v>
      </c>
      <c r="K705" t="s">
        <v>43</v>
      </c>
      <c r="L705" t="s">
        <v>43</v>
      </c>
      <c r="M705" t="s">
        <v>43</v>
      </c>
      <c r="N705" t="s">
        <v>45</v>
      </c>
      <c r="O705" t="s">
        <v>43</v>
      </c>
      <c r="P705" t="s">
        <v>43</v>
      </c>
      <c r="Q705" t="s">
        <v>43</v>
      </c>
      <c r="R705" t="s">
        <v>43</v>
      </c>
      <c r="S705" t="s">
        <v>43</v>
      </c>
      <c r="T705" t="s">
        <v>43</v>
      </c>
      <c r="U705" t="s">
        <v>43</v>
      </c>
      <c r="V705" t="s">
        <v>43</v>
      </c>
      <c r="W705" t="s">
        <v>43</v>
      </c>
      <c r="X705" t="s">
        <v>43</v>
      </c>
      <c r="Y705" t="s">
        <v>43</v>
      </c>
      <c r="Z705" t="s">
        <v>43</v>
      </c>
      <c r="AA705" t="s">
        <v>43</v>
      </c>
      <c r="AB705" t="s">
        <v>43</v>
      </c>
      <c r="AC705" t="s">
        <v>43</v>
      </c>
      <c r="AD705" t="s">
        <v>43</v>
      </c>
      <c r="AE705" t="s">
        <v>43</v>
      </c>
      <c r="AF705" t="s">
        <v>43</v>
      </c>
      <c r="AG705" t="s">
        <v>43</v>
      </c>
      <c r="AH705" t="s">
        <v>43</v>
      </c>
      <c r="AI705" t="s">
        <v>43</v>
      </c>
      <c r="AJ705" t="s">
        <v>43</v>
      </c>
      <c r="AK705" t="s">
        <v>43</v>
      </c>
      <c r="AL705" t="s">
        <v>43</v>
      </c>
      <c r="AM705" t="s">
        <v>43</v>
      </c>
      <c r="AN705" t="str">
        <f>HYPERLINK("https://www.google.com/maps?q=11.0547657,79.06085968","Open Location")</f>
        <v>Open Location</v>
      </c>
    </row>
    <row r="706" spans="1:40" x14ac:dyDescent="0.3">
      <c r="A706" s="1">
        <v>46210.918055555558</v>
      </c>
      <c r="B706" t="s">
        <v>40</v>
      </c>
      <c r="C706" t="s">
        <v>41</v>
      </c>
      <c r="D706" s="1">
        <v>46210.920949074076</v>
      </c>
      <c r="E706" t="s">
        <v>42</v>
      </c>
      <c r="F706" t="s">
        <v>43</v>
      </c>
      <c r="G706" t="s">
        <v>43</v>
      </c>
      <c r="H706" t="s">
        <v>43</v>
      </c>
      <c r="I706" t="s">
        <v>342</v>
      </c>
      <c r="J706" t="s">
        <v>43</v>
      </c>
      <c r="K706" t="s">
        <v>43</v>
      </c>
      <c r="L706" t="s">
        <v>43</v>
      </c>
      <c r="M706" t="s">
        <v>43</v>
      </c>
      <c r="N706" t="s">
        <v>45</v>
      </c>
      <c r="O706" t="s">
        <v>43</v>
      </c>
      <c r="P706" t="s">
        <v>43</v>
      </c>
      <c r="Q706" t="s">
        <v>43</v>
      </c>
      <c r="R706" t="s">
        <v>43</v>
      </c>
      <c r="S706" t="s">
        <v>43</v>
      </c>
      <c r="T706" t="s">
        <v>43</v>
      </c>
      <c r="U706" t="s">
        <v>43</v>
      </c>
      <c r="V706" t="s">
        <v>43</v>
      </c>
      <c r="W706" t="s">
        <v>43</v>
      </c>
      <c r="X706" t="s">
        <v>43</v>
      </c>
      <c r="Y706" t="s">
        <v>43</v>
      </c>
      <c r="Z706" t="s">
        <v>43</v>
      </c>
      <c r="AA706" t="s">
        <v>43</v>
      </c>
      <c r="AB706" t="s">
        <v>43</v>
      </c>
      <c r="AC706" t="s">
        <v>43</v>
      </c>
      <c r="AD706" t="s">
        <v>43</v>
      </c>
      <c r="AE706" t="s">
        <v>43</v>
      </c>
      <c r="AF706" t="s">
        <v>43</v>
      </c>
      <c r="AG706" t="s">
        <v>43</v>
      </c>
      <c r="AH706" t="s">
        <v>43</v>
      </c>
      <c r="AI706" t="s">
        <v>43</v>
      </c>
      <c r="AJ706" t="s">
        <v>43</v>
      </c>
      <c r="AK706" t="s">
        <v>43</v>
      </c>
      <c r="AL706" t="s">
        <v>43</v>
      </c>
      <c r="AM706" t="s">
        <v>43</v>
      </c>
      <c r="AN706" t="str">
        <f>HYPERLINK("https://www.google.com/maps?q=11.05476761,79.06085968","Open Location")</f>
        <v>Open Location</v>
      </c>
    </row>
    <row r="707" spans="1:40" x14ac:dyDescent="0.3">
      <c r="A707" s="1">
        <v>46210.917939814812</v>
      </c>
      <c r="B707" t="s">
        <v>40</v>
      </c>
      <c r="C707" t="s">
        <v>41</v>
      </c>
      <c r="D707" s="1">
        <v>46210.921087962961</v>
      </c>
      <c r="E707" t="s">
        <v>42</v>
      </c>
      <c r="F707" t="s">
        <v>43</v>
      </c>
      <c r="G707" t="s">
        <v>43</v>
      </c>
      <c r="H707" t="s">
        <v>43</v>
      </c>
      <c r="I707" t="s">
        <v>273</v>
      </c>
      <c r="J707" t="s">
        <v>43</v>
      </c>
      <c r="K707" t="s">
        <v>43</v>
      </c>
      <c r="L707" t="s">
        <v>43</v>
      </c>
      <c r="M707" t="s">
        <v>43</v>
      </c>
      <c r="N707" t="s">
        <v>45</v>
      </c>
      <c r="O707" t="s">
        <v>43</v>
      </c>
      <c r="P707" t="s">
        <v>43</v>
      </c>
      <c r="Q707" t="s">
        <v>43</v>
      </c>
      <c r="R707" t="s">
        <v>43</v>
      </c>
      <c r="S707" t="s">
        <v>43</v>
      </c>
      <c r="T707" t="s">
        <v>43</v>
      </c>
      <c r="U707" t="s">
        <v>43</v>
      </c>
      <c r="V707" t="s">
        <v>43</v>
      </c>
      <c r="W707" t="s">
        <v>43</v>
      </c>
      <c r="X707" t="s">
        <v>43</v>
      </c>
      <c r="Y707" t="s">
        <v>43</v>
      </c>
      <c r="Z707" t="s">
        <v>43</v>
      </c>
      <c r="AA707" t="s">
        <v>43</v>
      </c>
      <c r="AB707" t="s">
        <v>43</v>
      </c>
      <c r="AC707" t="s">
        <v>43</v>
      </c>
      <c r="AD707" t="s">
        <v>43</v>
      </c>
      <c r="AE707" t="s">
        <v>43</v>
      </c>
      <c r="AF707" t="s">
        <v>43</v>
      </c>
      <c r="AG707" t="s">
        <v>43</v>
      </c>
      <c r="AH707" t="s">
        <v>43</v>
      </c>
      <c r="AI707" t="s">
        <v>43</v>
      </c>
      <c r="AJ707" t="s">
        <v>43</v>
      </c>
      <c r="AK707" t="s">
        <v>43</v>
      </c>
      <c r="AL707" t="s">
        <v>43</v>
      </c>
      <c r="AM707" t="s">
        <v>43</v>
      </c>
      <c r="AN707" t="str">
        <f>HYPERLINK("https://www.google.com/maps?q=11.05476665,79.06085968","Open Location")</f>
        <v>Open Location</v>
      </c>
    </row>
    <row r="708" spans="1:40" x14ac:dyDescent="0.3">
      <c r="A708" s="1">
        <v>46210.917824074073</v>
      </c>
      <c r="B708" t="s">
        <v>40</v>
      </c>
      <c r="C708" t="s">
        <v>41</v>
      </c>
      <c r="D708" s="1">
        <v>46210.920763888891</v>
      </c>
      <c r="E708" t="s">
        <v>42</v>
      </c>
      <c r="F708" t="s">
        <v>43</v>
      </c>
      <c r="G708" t="s">
        <v>43</v>
      </c>
      <c r="H708" t="s">
        <v>43</v>
      </c>
      <c r="I708" t="s">
        <v>43</v>
      </c>
      <c r="J708" t="s">
        <v>43</v>
      </c>
      <c r="K708" t="s">
        <v>43</v>
      </c>
      <c r="L708" t="s">
        <v>43</v>
      </c>
      <c r="M708" t="s">
        <v>43</v>
      </c>
      <c r="N708" t="s">
        <v>45</v>
      </c>
      <c r="O708" t="s">
        <v>43</v>
      </c>
      <c r="P708" t="s">
        <v>43</v>
      </c>
      <c r="Q708" t="s">
        <v>43</v>
      </c>
      <c r="R708" t="s">
        <v>43</v>
      </c>
      <c r="S708" t="s">
        <v>43</v>
      </c>
      <c r="T708" t="s">
        <v>43</v>
      </c>
      <c r="U708" t="s">
        <v>43</v>
      </c>
      <c r="V708" t="s">
        <v>43</v>
      </c>
      <c r="W708" t="s">
        <v>43</v>
      </c>
      <c r="X708" t="s">
        <v>43</v>
      </c>
      <c r="Y708" t="s">
        <v>43</v>
      </c>
      <c r="Z708" t="s">
        <v>43</v>
      </c>
      <c r="AA708" t="s">
        <v>43</v>
      </c>
      <c r="AB708" t="s">
        <v>43</v>
      </c>
      <c r="AC708" t="s">
        <v>43</v>
      </c>
      <c r="AD708" t="s">
        <v>43</v>
      </c>
      <c r="AE708" t="s">
        <v>43</v>
      </c>
      <c r="AF708" t="s">
        <v>43</v>
      </c>
      <c r="AG708" t="s">
        <v>43</v>
      </c>
      <c r="AH708" t="s">
        <v>43</v>
      </c>
      <c r="AI708" t="s">
        <v>43</v>
      </c>
      <c r="AJ708" t="s">
        <v>43</v>
      </c>
      <c r="AK708" t="s">
        <v>43</v>
      </c>
      <c r="AL708" t="s">
        <v>43</v>
      </c>
      <c r="AM708" t="s">
        <v>43</v>
      </c>
      <c r="AN708" t="s">
        <v>43</v>
      </c>
    </row>
    <row r="709" spans="1:40" x14ac:dyDescent="0.3">
      <c r="A709" s="1">
        <v>46210.917708333334</v>
      </c>
      <c r="B709" t="s">
        <v>40</v>
      </c>
      <c r="C709" t="s">
        <v>41</v>
      </c>
      <c r="D709" s="1">
        <v>46210.920590277776</v>
      </c>
      <c r="E709" t="s">
        <v>42</v>
      </c>
      <c r="F709" t="s">
        <v>43</v>
      </c>
      <c r="G709" t="s">
        <v>43</v>
      </c>
      <c r="H709" t="s">
        <v>43</v>
      </c>
      <c r="I709" t="s">
        <v>343</v>
      </c>
      <c r="J709" t="s">
        <v>43</v>
      </c>
      <c r="K709" t="s">
        <v>43</v>
      </c>
      <c r="L709" t="s">
        <v>43</v>
      </c>
      <c r="M709" t="s">
        <v>43</v>
      </c>
      <c r="N709" t="s">
        <v>45</v>
      </c>
      <c r="O709" t="s">
        <v>43</v>
      </c>
      <c r="P709" t="s">
        <v>43</v>
      </c>
      <c r="Q709" t="s">
        <v>43</v>
      </c>
      <c r="R709" t="s">
        <v>43</v>
      </c>
      <c r="S709" t="s">
        <v>43</v>
      </c>
      <c r="T709" t="s">
        <v>43</v>
      </c>
      <c r="U709" t="s">
        <v>43</v>
      </c>
      <c r="V709" t="s">
        <v>43</v>
      </c>
      <c r="W709" t="s">
        <v>43</v>
      </c>
      <c r="X709" t="s">
        <v>43</v>
      </c>
      <c r="Y709" t="s">
        <v>43</v>
      </c>
      <c r="Z709" t="s">
        <v>43</v>
      </c>
      <c r="AA709" t="s">
        <v>43</v>
      </c>
      <c r="AB709" t="s">
        <v>43</v>
      </c>
      <c r="AC709" t="s">
        <v>43</v>
      </c>
      <c r="AD709" t="s">
        <v>43</v>
      </c>
      <c r="AE709" t="s">
        <v>43</v>
      </c>
      <c r="AF709" t="s">
        <v>43</v>
      </c>
      <c r="AG709" t="s">
        <v>43</v>
      </c>
      <c r="AH709" t="s">
        <v>43</v>
      </c>
      <c r="AI709" t="s">
        <v>43</v>
      </c>
      <c r="AJ709" t="s">
        <v>43</v>
      </c>
      <c r="AK709" t="s">
        <v>43</v>
      </c>
      <c r="AL709" t="s">
        <v>43</v>
      </c>
      <c r="AM709" t="s">
        <v>43</v>
      </c>
      <c r="AN709" t="str">
        <f>HYPERLINK("https://www.google.com/maps?q=11.05477047,79.06085968","Open Location")</f>
        <v>Open Location</v>
      </c>
    </row>
    <row r="710" spans="1:40" x14ac:dyDescent="0.3">
      <c r="A710" s="1">
        <v>46210.917592592596</v>
      </c>
      <c r="B710" t="s">
        <v>40</v>
      </c>
      <c r="C710" t="s">
        <v>41</v>
      </c>
      <c r="D710" s="1">
        <v>46210.920717592591</v>
      </c>
      <c r="E710" t="s">
        <v>42</v>
      </c>
      <c r="F710" t="s">
        <v>43</v>
      </c>
      <c r="G710" t="s">
        <v>43</v>
      </c>
      <c r="H710" t="s">
        <v>43</v>
      </c>
      <c r="I710" t="s">
        <v>272</v>
      </c>
      <c r="J710" t="s">
        <v>43</v>
      </c>
      <c r="K710" t="s">
        <v>43</v>
      </c>
      <c r="L710" t="s">
        <v>43</v>
      </c>
      <c r="M710" t="s">
        <v>43</v>
      </c>
      <c r="N710" t="s">
        <v>45</v>
      </c>
      <c r="O710" t="s">
        <v>43</v>
      </c>
      <c r="P710" t="s">
        <v>43</v>
      </c>
      <c r="Q710" t="s">
        <v>43</v>
      </c>
      <c r="R710" t="s">
        <v>43</v>
      </c>
      <c r="S710" t="s">
        <v>43</v>
      </c>
      <c r="T710" t="s">
        <v>43</v>
      </c>
      <c r="U710" t="s">
        <v>43</v>
      </c>
      <c r="V710" t="s">
        <v>43</v>
      </c>
      <c r="W710" t="s">
        <v>43</v>
      </c>
      <c r="X710" t="s">
        <v>43</v>
      </c>
      <c r="Y710" t="s">
        <v>43</v>
      </c>
      <c r="Z710" t="s">
        <v>43</v>
      </c>
      <c r="AA710" t="s">
        <v>43</v>
      </c>
      <c r="AB710" t="s">
        <v>43</v>
      </c>
      <c r="AC710" t="s">
        <v>43</v>
      </c>
      <c r="AD710" t="s">
        <v>43</v>
      </c>
      <c r="AE710" t="s">
        <v>43</v>
      </c>
      <c r="AF710" t="s">
        <v>43</v>
      </c>
      <c r="AG710" t="s">
        <v>43</v>
      </c>
      <c r="AH710" t="s">
        <v>43</v>
      </c>
      <c r="AI710" t="s">
        <v>43</v>
      </c>
      <c r="AJ710" t="s">
        <v>43</v>
      </c>
      <c r="AK710" t="s">
        <v>43</v>
      </c>
      <c r="AL710" t="s">
        <v>43</v>
      </c>
      <c r="AM710" t="s">
        <v>43</v>
      </c>
      <c r="AN710" t="str">
        <f>HYPERLINK("https://www.google.com/maps?q=11.0547657,79.06084442","Open Location")</f>
        <v>Open Location</v>
      </c>
    </row>
    <row r="711" spans="1:40" x14ac:dyDescent="0.3">
      <c r="A711" s="1">
        <v>46210.91747685185</v>
      </c>
      <c r="B711" t="s">
        <v>40</v>
      </c>
      <c r="C711" t="s">
        <v>41</v>
      </c>
      <c r="D711" s="1">
        <v>46210.920590277776</v>
      </c>
      <c r="E711" t="s">
        <v>42</v>
      </c>
      <c r="F711" t="s">
        <v>43</v>
      </c>
      <c r="G711" t="s">
        <v>43</v>
      </c>
      <c r="H711" t="s">
        <v>43</v>
      </c>
      <c r="I711" t="s">
        <v>344</v>
      </c>
      <c r="J711" t="s">
        <v>43</v>
      </c>
      <c r="K711" t="s">
        <v>43</v>
      </c>
      <c r="L711" t="s">
        <v>43</v>
      </c>
      <c r="M711" t="s">
        <v>43</v>
      </c>
      <c r="N711" t="s">
        <v>45</v>
      </c>
      <c r="O711" t="s">
        <v>43</v>
      </c>
      <c r="P711" t="s">
        <v>43</v>
      </c>
      <c r="Q711" t="s">
        <v>43</v>
      </c>
      <c r="R711" t="s">
        <v>43</v>
      </c>
      <c r="S711" t="s">
        <v>43</v>
      </c>
      <c r="T711" t="s">
        <v>43</v>
      </c>
      <c r="U711" t="s">
        <v>43</v>
      </c>
      <c r="V711" t="s">
        <v>43</v>
      </c>
      <c r="W711" t="s">
        <v>43</v>
      </c>
      <c r="X711" t="s">
        <v>43</v>
      </c>
      <c r="Y711" t="s">
        <v>43</v>
      </c>
      <c r="Z711" t="s">
        <v>43</v>
      </c>
      <c r="AA711" t="s">
        <v>43</v>
      </c>
      <c r="AB711" t="s">
        <v>43</v>
      </c>
      <c r="AC711" t="s">
        <v>43</v>
      </c>
      <c r="AD711" t="s">
        <v>43</v>
      </c>
      <c r="AE711" t="s">
        <v>43</v>
      </c>
      <c r="AF711" t="s">
        <v>43</v>
      </c>
      <c r="AG711" t="s">
        <v>43</v>
      </c>
      <c r="AH711" t="s">
        <v>43</v>
      </c>
      <c r="AI711" t="s">
        <v>43</v>
      </c>
      <c r="AJ711" t="s">
        <v>43</v>
      </c>
      <c r="AK711" t="s">
        <v>43</v>
      </c>
      <c r="AL711" t="s">
        <v>43</v>
      </c>
      <c r="AM711" t="s">
        <v>43</v>
      </c>
      <c r="AN711" t="str">
        <f>HYPERLINK("https://www.google.com/maps?q=11.05476856,79.06084442","Open Location")</f>
        <v>Open Location</v>
      </c>
    </row>
    <row r="712" spans="1:40" x14ac:dyDescent="0.3">
      <c r="A712" s="1">
        <v>46210.917361111111</v>
      </c>
      <c r="B712" t="s">
        <v>40</v>
      </c>
      <c r="C712" t="s">
        <v>41</v>
      </c>
      <c r="D712" s="1">
        <v>46210.920740740738</v>
      </c>
      <c r="E712" t="s">
        <v>42</v>
      </c>
      <c r="F712" t="s">
        <v>43</v>
      </c>
      <c r="G712" t="s">
        <v>43</v>
      </c>
      <c r="H712" t="s">
        <v>43</v>
      </c>
      <c r="I712" t="s">
        <v>289</v>
      </c>
      <c r="J712" t="s">
        <v>43</v>
      </c>
      <c r="K712" t="s">
        <v>43</v>
      </c>
      <c r="L712" t="s">
        <v>43</v>
      </c>
      <c r="M712" t="s">
        <v>43</v>
      </c>
      <c r="N712" t="s">
        <v>45</v>
      </c>
      <c r="O712" t="s">
        <v>43</v>
      </c>
      <c r="P712" t="s">
        <v>43</v>
      </c>
      <c r="Q712" t="s">
        <v>43</v>
      </c>
      <c r="R712" t="s">
        <v>43</v>
      </c>
      <c r="S712" t="s">
        <v>43</v>
      </c>
      <c r="T712" t="s">
        <v>43</v>
      </c>
      <c r="U712" t="s">
        <v>43</v>
      </c>
      <c r="V712" t="s">
        <v>43</v>
      </c>
      <c r="W712" t="s">
        <v>43</v>
      </c>
      <c r="X712" t="s">
        <v>43</v>
      </c>
      <c r="Y712" t="s">
        <v>43</v>
      </c>
      <c r="Z712" t="s">
        <v>43</v>
      </c>
      <c r="AA712" t="s">
        <v>43</v>
      </c>
      <c r="AB712" t="s">
        <v>43</v>
      </c>
      <c r="AC712" t="s">
        <v>43</v>
      </c>
      <c r="AD712" t="s">
        <v>43</v>
      </c>
      <c r="AE712" t="s">
        <v>43</v>
      </c>
      <c r="AF712" t="s">
        <v>43</v>
      </c>
      <c r="AG712" t="s">
        <v>43</v>
      </c>
      <c r="AH712" t="s">
        <v>43</v>
      </c>
      <c r="AI712" t="s">
        <v>43</v>
      </c>
      <c r="AJ712" t="s">
        <v>43</v>
      </c>
      <c r="AK712" t="s">
        <v>43</v>
      </c>
      <c r="AL712" t="s">
        <v>43</v>
      </c>
      <c r="AM712" t="s">
        <v>43</v>
      </c>
      <c r="AN712" t="str">
        <f>HYPERLINK("https://www.google.com/maps?q=11.05477047,79.06084442","Open Location")</f>
        <v>Open Location</v>
      </c>
    </row>
    <row r="713" spans="1:40" x14ac:dyDescent="0.3">
      <c r="A713" s="1">
        <v>46210.917245370372</v>
      </c>
      <c r="B713" t="s">
        <v>40</v>
      </c>
      <c r="C713" t="s">
        <v>41</v>
      </c>
      <c r="D713" s="1">
        <v>46210.920208333337</v>
      </c>
      <c r="E713" t="s">
        <v>42</v>
      </c>
      <c r="F713" t="s">
        <v>43</v>
      </c>
      <c r="G713" t="s">
        <v>43</v>
      </c>
      <c r="H713" t="s">
        <v>43</v>
      </c>
      <c r="I713" t="s">
        <v>344</v>
      </c>
      <c r="J713" t="s">
        <v>43</v>
      </c>
      <c r="K713" t="s">
        <v>43</v>
      </c>
      <c r="L713" t="s">
        <v>43</v>
      </c>
      <c r="M713" t="s">
        <v>43</v>
      </c>
      <c r="N713" t="s">
        <v>45</v>
      </c>
      <c r="O713" t="s">
        <v>43</v>
      </c>
      <c r="P713" t="s">
        <v>43</v>
      </c>
      <c r="Q713" t="s">
        <v>43</v>
      </c>
      <c r="R713" t="s">
        <v>43</v>
      </c>
      <c r="S713" t="s">
        <v>43</v>
      </c>
      <c r="T713" t="s">
        <v>43</v>
      </c>
      <c r="U713" t="s">
        <v>43</v>
      </c>
      <c r="V713" t="s">
        <v>43</v>
      </c>
      <c r="W713" t="s">
        <v>43</v>
      </c>
      <c r="X713" t="s">
        <v>43</v>
      </c>
      <c r="Y713" t="s">
        <v>43</v>
      </c>
      <c r="Z713" t="s">
        <v>43</v>
      </c>
      <c r="AA713" t="s">
        <v>43</v>
      </c>
      <c r="AB713" t="s">
        <v>43</v>
      </c>
      <c r="AC713" t="s">
        <v>43</v>
      </c>
      <c r="AD713" t="s">
        <v>43</v>
      </c>
      <c r="AE713" t="s">
        <v>43</v>
      </c>
      <c r="AF713" t="s">
        <v>43</v>
      </c>
      <c r="AG713" t="s">
        <v>43</v>
      </c>
      <c r="AH713" t="s">
        <v>43</v>
      </c>
      <c r="AI713" t="s">
        <v>43</v>
      </c>
      <c r="AJ713" t="s">
        <v>43</v>
      </c>
      <c r="AK713" t="s">
        <v>43</v>
      </c>
      <c r="AL713" t="s">
        <v>43</v>
      </c>
      <c r="AM713" t="s">
        <v>43</v>
      </c>
      <c r="AN713" t="str">
        <f>HYPERLINK("https://www.google.com/maps?q=11.05476856,79.06084442","Open Location")</f>
        <v>Open Location</v>
      </c>
    </row>
    <row r="714" spans="1:40" x14ac:dyDescent="0.3">
      <c r="A714" s="1">
        <v>46210.917129629626</v>
      </c>
      <c r="B714" t="s">
        <v>40</v>
      </c>
      <c r="C714" t="s">
        <v>41</v>
      </c>
      <c r="D714" s="1">
        <v>46210.920208333337</v>
      </c>
      <c r="E714" t="s">
        <v>42</v>
      </c>
      <c r="F714" t="s">
        <v>43</v>
      </c>
      <c r="G714" t="s">
        <v>43</v>
      </c>
      <c r="H714" t="s">
        <v>43</v>
      </c>
      <c r="I714" t="s">
        <v>43</v>
      </c>
      <c r="J714" t="s">
        <v>43</v>
      </c>
      <c r="K714" t="s">
        <v>43</v>
      </c>
      <c r="L714" t="s">
        <v>43</v>
      </c>
      <c r="M714" t="s">
        <v>43</v>
      </c>
      <c r="N714" t="s">
        <v>45</v>
      </c>
      <c r="O714" t="s">
        <v>43</v>
      </c>
      <c r="P714" t="s">
        <v>43</v>
      </c>
      <c r="Q714" t="s">
        <v>43</v>
      </c>
      <c r="R714" t="s">
        <v>43</v>
      </c>
      <c r="S714" t="s">
        <v>43</v>
      </c>
      <c r="T714" t="s">
        <v>43</v>
      </c>
      <c r="U714" t="s">
        <v>43</v>
      </c>
      <c r="V714" t="s">
        <v>43</v>
      </c>
      <c r="W714" t="s">
        <v>43</v>
      </c>
      <c r="X714" t="s">
        <v>43</v>
      </c>
      <c r="Y714" t="s">
        <v>43</v>
      </c>
      <c r="Z714" t="s">
        <v>43</v>
      </c>
      <c r="AA714" t="s">
        <v>43</v>
      </c>
      <c r="AB714" t="s">
        <v>43</v>
      </c>
      <c r="AC714" t="s">
        <v>43</v>
      </c>
      <c r="AD714" t="s">
        <v>43</v>
      </c>
      <c r="AE714" t="s">
        <v>43</v>
      </c>
      <c r="AF714" t="s">
        <v>43</v>
      </c>
      <c r="AG714" t="s">
        <v>43</v>
      </c>
      <c r="AH714" t="s">
        <v>43</v>
      </c>
      <c r="AI714" t="s">
        <v>43</v>
      </c>
      <c r="AJ714" t="s">
        <v>43</v>
      </c>
      <c r="AK714" t="s">
        <v>43</v>
      </c>
      <c r="AL714" t="s">
        <v>43</v>
      </c>
      <c r="AM714" t="s">
        <v>43</v>
      </c>
      <c r="AN714" t="s">
        <v>43</v>
      </c>
    </row>
    <row r="715" spans="1:40" x14ac:dyDescent="0.3">
      <c r="A715" s="1">
        <v>46210.917013888888</v>
      </c>
      <c r="B715" t="s">
        <v>40</v>
      </c>
      <c r="C715" t="s">
        <v>41</v>
      </c>
      <c r="D715" s="1">
        <v>46210.91988425926</v>
      </c>
      <c r="E715" t="s">
        <v>42</v>
      </c>
      <c r="F715" t="s">
        <v>43</v>
      </c>
      <c r="G715" t="s">
        <v>43</v>
      </c>
      <c r="H715" t="s">
        <v>43</v>
      </c>
      <c r="I715" t="s">
        <v>289</v>
      </c>
      <c r="J715" t="s">
        <v>43</v>
      </c>
      <c r="K715" t="s">
        <v>43</v>
      </c>
      <c r="L715" t="s">
        <v>43</v>
      </c>
      <c r="M715" t="s">
        <v>43</v>
      </c>
      <c r="N715" t="s">
        <v>45</v>
      </c>
      <c r="O715" t="s">
        <v>43</v>
      </c>
      <c r="P715" t="s">
        <v>43</v>
      </c>
      <c r="Q715" t="s">
        <v>43</v>
      </c>
      <c r="R715" t="s">
        <v>43</v>
      </c>
      <c r="S715" t="s">
        <v>43</v>
      </c>
      <c r="T715" t="s">
        <v>43</v>
      </c>
      <c r="U715" t="s">
        <v>43</v>
      </c>
      <c r="V715" t="s">
        <v>43</v>
      </c>
      <c r="W715" t="s">
        <v>43</v>
      </c>
      <c r="X715" t="s">
        <v>43</v>
      </c>
      <c r="Y715" t="s">
        <v>43</v>
      </c>
      <c r="Z715" t="s">
        <v>43</v>
      </c>
      <c r="AA715" t="s">
        <v>43</v>
      </c>
      <c r="AB715" t="s">
        <v>43</v>
      </c>
      <c r="AC715" t="s">
        <v>43</v>
      </c>
      <c r="AD715" t="s">
        <v>43</v>
      </c>
      <c r="AE715" t="s">
        <v>43</v>
      </c>
      <c r="AF715" t="s">
        <v>43</v>
      </c>
      <c r="AG715" t="s">
        <v>43</v>
      </c>
      <c r="AH715" t="s">
        <v>43</v>
      </c>
      <c r="AI715" t="s">
        <v>43</v>
      </c>
      <c r="AJ715" t="s">
        <v>43</v>
      </c>
      <c r="AK715" t="s">
        <v>43</v>
      </c>
      <c r="AL715" t="s">
        <v>43</v>
      </c>
      <c r="AM715" t="s">
        <v>43</v>
      </c>
      <c r="AN715" t="str">
        <f>HYPERLINK("https://www.google.com/maps?q=11.05477047,79.06084442","Open Location")</f>
        <v>Open Location</v>
      </c>
    </row>
    <row r="716" spans="1:40" x14ac:dyDescent="0.3">
      <c r="A716" s="1">
        <v>46210.916898148149</v>
      </c>
      <c r="B716" t="s">
        <v>40</v>
      </c>
      <c r="C716" t="s">
        <v>41</v>
      </c>
      <c r="D716" s="1">
        <v>46210.91988425926</v>
      </c>
      <c r="E716" t="s">
        <v>42</v>
      </c>
      <c r="F716" t="s">
        <v>43</v>
      </c>
      <c r="G716" t="s">
        <v>43</v>
      </c>
      <c r="H716" t="s">
        <v>43</v>
      </c>
      <c r="I716" t="s">
        <v>330</v>
      </c>
      <c r="J716" t="s">
        <v>43</v>
      </c>
      <c r="K716" t="s">
        <v>43</v>
      </c>
      <c r="L716" t="s">
        <v>43</v>
      </c>
      <c r="M716" t="s">
        <v>43</v>
      </c>
      <c r="N716" t="s">
        <v>45</v>
      </c>
      <c r="O716" t="s">
        <v>43</v>
      </c>
      <c r="P716" t="s">
        <v>43</v>
      </c>
      <c r="Q716" t="s">
        <v>43</v>
      </c>
      <c r="R716" t="s">
        <v>43</v>
      </c>
      <c r="S716" t="s">
        <v>43</v>
      </c>
      <c r="T716" t="s">
        <v>43</v>
      </c>
      <c r="U716" t="s">
        <v>43</v>
      </c>
      <c r="V716" t="s">
        <v>43</v>
      </c>
      <c r="W716" t="s">
        <v>43</v>
      </c>
      <c r="X716" t="s">
        <v>43</v>
      </c>
      <c r="Y716" t="s">
        <v>43</v>
      </c>
      <c r="Z716" t="s">
        <v>43</v>
      </c>
      <c r="AA716" t="s">
        <v>43</v>
      </c>
      <c r="AB716" t="s">
        <v>43</v>
      </c>
      <c r="AC716" t="s">
        <v>43</v>
      </c>
      <c r="AD716" t="s">
        <v>43</v>
      </c>
      <c r="AE716" t="s">
        <v>43</v>
      </c>
      <c r="AF716" t="s">
        <v>43</v>
      </c>
      <c r="AG716" t="s">
        <v>43</v>
      </c>
      <c r="AH716" t="s">
        <v>43</v>
      </c>
      <c r="AI716" t="s">
        <v>43</v>
      </c>
      <c r="AJ716" t="s">
        <v>43</v>
      </c>
      <c r="AK716" t="s">
        <v>43</v>
      </c>
      <c r="AL716" t="s">
        <v>43</v>
      </c>
      <c r="AM716" t="s">
        <v>43</v>
      </c>
      <c r="AN716" t="str">
        <f>HYPERLINK("https://www.google.com/maps?q=11.05477333,79.06083679","Open Location")</f>
        <v>Open Location</v>
      </c>
    </row>
    <row r="717" spans="1:40" x14ac:dyDescent="0.3">
      <c r="A717" s="1">
        <v>46210.91678240741</v>
      </c>
      <c r="B717" t="s">
        <v>40</v>
      </c>
      <c r="C717" t="s">
        <v>41</v>
      </c>
      <c r="D717" s="1">
        <v>46210.919664351852</v>
      </c>
      <c r="E717" t="s">
        <v>42</v>
      </c>
      <c r="F717" t="s">
        <v>43</v>
      </c>
      <c r="G717" t="s">
        <v>43</v>
      </c>
      <c r="H717" t="s">
        <v>43</v>
      </c>
      <c r="I717" t="s">
        <v>323</v>
      </c>
      <c r="J717" t="s">
        <v>43</v>
      </c>
      <c r="K717" t="s">
        <v>43</v>
      </c>
      <c r="L717" t="s">
        <v>43</v>
      </c>
      <c r="M717" t="s">
        <v>43</v>
      </c>
      <c r="N717" t="s">
        <v>45</v>
      </c>
      <c r="O717" t="s">
        <v>43</v>
      </c>
      <c r="P717" t="s">
        <v>43</v>
      </c>
      <c r="Q717" t="s">
        <v>43</v>
      </c>
      <c r="R717" t="s">
        <v>43</v>
      </c>
      <c r="S717" t="s">
        <v>43</v>
      </c>
      <c r="T717" t="s">
        <v>43</v>
      </c>
      <c r="U717" t="s">
        <v>43</v>
      </c>
      <c r="V717" t="s">
        <v>43</v>
      </c>
      <c r="W717" t="s">
        <v>43</v>
      </c>
      <c r="X717" t="s">
        <v>43</v>
      </c>
      <c r="Y717" t="s">
        <v>43</v>
      </c>
      <c r="Z717" t="s">
        <v>43</v>
      </c>
      <c r="AA717" t="s">
        <v>43</v>
      </c>
      <c r="AB717" t="s">
        <v>43</v>
      </c>
      <c r="AC717" t="s">
        <v>43</v>
      </c>
      <c r="AD717" t="s">
        <v>43</v>
      </c>
      <c r="AE717" t="s">
        <v>43</v>
      </c>
      <c r="AF717" t="s">
        <v>43</v>
      </c>
      <c r="AG717" t="s">
        <v>43</v>
      </c>
      <c r="AH717" t="s">
        <v>43</v>
      </c>
      <c r="AI717" t="s">
        <v>43</v>
      </c>
      <c r="AJ717" t="s">
        <v>43</v>
      </c>
      <c r="AK717" t="s">
        <v>43</v>
      </c>
      <c r="AL717" t="s">
        <v>43</v>
      </c>
      <c r="AM717" t="s">
        <v>43</v>
      </c>
      <c r="AN717" t="str">
        <f>HYPERLINK("https://www.google.com/maps?q=11.05477524,79.06084442","Open Location")</f>
        <v>Open Location</v>
      </c>
    </row>
    <row r="718" spans="1:40" x14ac:dyDescent="0.3">
      <c r="A718" s="1">
        <v>46210.916666666664</v>
      </c>
      <c r="B718" t="s">
        <v>40</v>
      </c>
      <c r="C718" t="s">
        <v>41</v>
      </c>
      <c r="D718" s="1">
        <v>46210.91988425926</v>
      </c>
      <c r="E718" t="s">
        <v>42</v>
      </c>
      <c r="F718" t="s">
        <v>43</v>
      </c>
      <c r="G718" t="s">
        <v>43</v>
      </c>
      <c r="H718" t="s">
        <v>43</v>
      </c>
      <c r="I718" t="s">
        <v>321</v>
      </c>
      <c r="J718" t="s">
        <v>43</v>
      </c>
      <c r="K718" t="s">
        <v>43</v>
      </c>
      <c r="L718" t="s">
        <v>43</v>
      </c>
      <c r="M718" t="s">
        <v>43</v>
      </c>
      <c r="N718" t="s">
        <v>45</v>
      </c>
      <c r="O718" t="s">
        <v>43</v>
      </c>
      <c r="P718" t="s">
        <v>43</v>
      </c>
      <c r="Q718" t="s">
        <v>43</v>
      </c>
      <c r="R718" t="s">
        <v>43</v>
      </c>
      <c r="S718" t="s">
        <v>43</v>
      </c>
      <c r="T718" t="s">
        <v>43</v>
      </c>
      <c r="U718" t="s">
        <v>43</v>
      </c>
      <c r="V718" t="s">
        <v>43</v>
      </c>
      <c r="W718" t="s">
        <v>43</v>
      </c>
      <c r="X718" t="s">
        <v>43</v>
      </c>
      <c r="Y718" t="s">
        <v>43</v>
      </c>
      <c r="Z718" t="s">
        <v>43</v>
      </c>
      <c r="AA718" t="s">
        <v>43</v>
      </c>
      <c r="AB718" t="s">
        <v>43</v>
      </c>
      <c r="AC718" t="s">
        <v>43</v>
      </c>
      <c r="AD718" t="s">
        <v>43</v>
      </c>
      <c r="AE718" t="s">
        <v>43</v>
      </c>
      <c r="AF718" t="s">
        <v>43</v>
      </c>
      <c r="AG718" t="s">
        <v>43</v>
      </c>
      <c r="AH718" t="s">
        <v>43</v>
      </c>
      <c r="AI718" t="s">
        <v>43</v>
      </c>
      <c r="AJ718" t="s">
        <v>43</v>
      </c>
      <c r="AK718" t="s">
        <v>43</v>
      </c>
      <c r="AL718" t="s">
        <v>43</v>
      </c>
      <c r="AM718" t="s">
        <v>43</v>
      </c>
      <c r="AN718" t="str">
        <f>HYPERLINK("https://www.google.com/maps?q=11.05477715,79.06084442","Open Location")</f>
        <v>Open Location</v>
      </c>
    </row>
    <row r="719" spans="1:40" x14ac:dyDescent="0.3">
      <c r="A719" s="1">
        <v>46210.916550925926</v>
      </c>
      <c r="B719" t="s">
        <v>40</v>
      </c>
      <c r="C719" t="s">
        <v>41</v>
      </c>
      <c r="D719" s="1">
        <v>46210.91951388889</v>
      </c>
      <c r="E719" t="s">
        <v>42</v>
      </c>
      <c r="F719" t="s">
        <v>43</v>
      </c>
      <c r="G719" t="s">
        <v>43</v>
      </c>
      <c r="H719" t="s">
        <v>43</v>
      </c>
      <c r="I719" t="s">
        <v>314</v>
      </c>
      <c r="J719" t="s">
        <v>43</v>
      </c>
      <c r="K719" t="s">
        <v>43</v>
      </c>
      <c r="L719" t="s">
        <v>43</v>
      </c>
      <c r="M719" t="s">
        <v>43</v>
      </c>
      <c r="N719" t="s">
        <v>45</v>
      </c>
      <c r="O719" t="s">
        <v>43</v>
      </c>
      <c r="P719" t="s">
        <v>43</v>
      </c>
      <c r="Q719" t="s">
        <v>43</v>
      </c>
      <c r="R719" t="s">
        <v>43</v>
      </c>
      <c r="S719" t="s">
        <v>43</v>
      </c>
      <c r="T719" t="s">
        <v>43</v>
      </c>
      <c r="U719" t="s">
        <v>43</v>
      </c>
      <c r="V719" t="s">
        <v>43</v>
      </c>
      <c r="W719" t="s">
        <v>43</v>
      </c>
      <c r="X719" t="s">
        <v>43</v>
      </c>
      <c r="Y719" t="s">
        <v>43</v>
      </c>
      <c r="Z719" t="s">
        <v>43</v>
      </c>
      <c r="AA719" t="s">
        <v>43</v>
      </c>
      <c r="AB719" t="s">
        <v>43</v>
      </c>
      <c r="AC719" t="s">
        <v>43</v>
      </c>
      <c r="AD719" t="s">
        <v>43</v>
      </c>
      <c r="AE719" t="s">
        <v>43</v>
      </c>
      <c r="AF719" t="s">
        <v>43</v>
      </c>
      <c r="AG719" t="s">
        <v>43</v>
      </c>
      <c r="AH719" t="s">
        <v>43</v>
      </c>
      <c r="AI719" t="s">
        <v>43</v>
      </c>
      <c r="AJ719" t="s">
        <v>43</v>
      </c>
      <c r="AK719" t="s">
        <v>43</v>
      </c>
      <c r="AL719" t="s">
        <v>43</v>
      </c>
      <c r="AM719" t="s">
        <v>43</v>
      </c>
      <c r="AN719" t="str">
        <f>HYPERLINK("https://www.google.com/maps?q=11.0547781,79.06083679","Open Location")</f>
        <v>Open Location</v>
      </c>
    </row>
    <row r="720" spans="1:40" x14ac:dyDescent="0.3">
      <c r="A720" s="1">
        <v>46210.916435185187</v>
      </c>
      <c r="B720" t="s">
        <v>40</v>
      </c>
      <c r="C720" t="s">
        <v>41</v>
      </c>
      <c r="D720" s="1">
        <v>46210.919548611113</v>
      </c>
      <c r="E720" t="s">
        <v>42</v>
      </c>
      <c r="F720" t="s">
        <v>43</v>
      </c>
      <c r="G720" t="s">
        <v>43</v>
      </c>
      <c r="H720" t="s">
        <v>43</v>
      </c>
      <c r="I720" t="s">
        <v>43</v>
      </c>
      <c r="J720" t="s">
        <v>43</v>
      </c>
      <c r="K720" t="s">
        <v>43</v>
      </c>
      <c r="L720" t="s">
        <v>43</v>
      </c>
      <c r="M720" t="s">
        <v>43</v>
      </c>
      <c r="N720" t="s">
        <v>45</v>
      </c>
      <c r="O720" t="s">
        <v>43</v>
      </c>
      <c r="P720" t="s">
        <v>43</v>
      </c>
      <c r="Q720" t="s">
        <v>43</v>
      </c>
      <c r="R720" t="s">
        <v>43</v>
      </c>
      <c r="S720" t="s">
        <v>43</v>
      </c>
      <c r="T720" t="s">
        <v>43</v>
      </c>
      <c r="U720" t="s">
        <v>43</v>
      </c>
      <c r="V720" t="s">
        <v>43</v>
      </c>
      <c r="W720" t="s">
        <v>43</v>
      </c>
      <c r="X720" t="s">
        <v>43</v>
      </c>
      <c r="Y720" t="s">
        <v>43</v>
      </c>
      <c r="Z720" t="s">
        <v>43</v>
      </c>
      <c r="AA720" t="s">
        <v>43</v>
      </c>
      <c r="AB720" t="s">
        <v>43</v>
      </c>
      <c r="AC720" t="s">
        <v>43</v>
      </c>
      <c r="AD720" t="s">
        <v>43</v>
      </c>
      <c r="AE720" t="s">
        <v>43</v>
      </c>
      <c r="AF720" t="s">
        <v>43</v>
      </c>
      <c r="AG720" t="s">
        <v>43</v>
      </c>
      <c r="AH720" t="s">
        <v>43</v>
      </c>
      <c r="AI720" t="s">
        <v>43</v>
      </c>
      <c r="AJ720" t="s">
        <v>43</v>
      </c>
      <c r="AK720" t="s">
        <v>43</v>
      </c>
      <c r="AL720" t="s">
        <v>43</v>
      </c>
      <c r="AM720" t="s">
        <v>43</v>
      </c>
      <c r="AN720" t="s">
        <v>43</v>
      </c>
    </row>
    <row r="721" spans="1:40" x14ac:dyDescent="0.3">
      <c r="A721" s="1">
        <v>46210.916319444441</v>
      </c>
      <c r="B721" t="s">
        <v>40</v>
      </c>
      <c r="C721" t="s">
        <v>41</v>
      </c>
      <c r="D721" s="1">
        <v>46210.919166666667</v>
      </c>
      <c r="E721" t="s">
        <v>42</v>
      </c>
      <c r="F721" t="s">
        <v>43</v>
      </c>
      <c r="G721" t="s">
        <v>43</v>
      </c>
      <c r="H721" t="s">
        <v>43</v>
      </c>
      <c r="I721" t="s">
        <v>345</v>
      </c>
      <c r="J721" t="s">
        <v>43</v>
      </c>
      <c r="K721" t="s">
        <v>43</v>
      </c>
      <c r="L721" t="s">
        <v>43</v>
      </c>
      <c r="M721" t="s">
        <v>43</v>
      </c>
      <c r="N721" t="s">
        <v>45</v>
      </c>
      <c r="O721" t="s">
        <v>43</v>
      </c>
      <c r="P721" t="s">
        <v>43</v>
      </c>
      <c r="Q721" t="s">
        <v>43</v>
      </c>
      <c r="R721" t="s">
        <v>43</v>
      </c>
      <c r="S721" t="s">
        <v>43</v>
      </c>
      <c r="T721" t="s">
        <v>43</v>
      </c>
      <c r="U721" t="s">
        <v>43</v>
      </c>
      <c r="V721" t="s">
        <v>43</v>
      </c>
      <c r="W721" t="s">
        <v>43</v>
      </c>
      <c r="X721" t="s">
        <v>43</v>
      </c>
      <c r="Y721" t="s">
        <v>43</v>
      </c>
      <c r="Z721" t="s">
        <v>43</v>
      </c>
      <c r="AA721" t="s">
        <v>43</v>
      </c>
      <c r="AB721" t="s">
        <v>43</v>
      </c>
      <c r="AC721" t="s">
        <v>43</v>
      </c>
      <c r="AD721" t="s">
        <v>43</v>
      </c>
      <c r="AE721" t="s">
        <v>43</v>
      </c>
      <c r="AF721" t="s">
        <v>43</v>
      </c>
      <c r="AG721" t="s">
        <v>43</v>
      </c>
      <c r="AH721" t="s">
        <v>43</v>
      </c>
      <c r="AI721" t="s">
        <v>43</v>
      </c>
      <c r="AJ721" t="s">
        <v>43</v>
      </c>
      <c r="AK721" t="s">
        <v>43</v>
      </c>
      <c r="AL721" t="s">
        <v>43</v>
      </c>
      <c r="AM721" t="s">
        <v>43</v>
      </c>
      <c r="AN721" t="str">
        <f>HYPERLINK("https://www.google.com/maps?q=11.05478001,79.06083679","Open Location")</f>
        <v>Open Location</v>
      </c>
    </row>
    <row r="722" spans="1:40" x14ac:dyDescent="0.3">
      <c r="A722" s="1">
        <v>46210.916203703702</v>
      </c>
      <c r="B722" t="s">
        <v>40</v>
      </c>
      <c r="C722" t="s">
        <v>41</v>
      </c>
      <c r="D722" s="1">
        <v>46210.919293981482</v>
      </c>
      <c r="E722" t="s">
        <v>42</v>
      </c>
      <c r="F722" t="s">
        <v>43</v>
      </c>
      <c r="G722" t="s">
        <v>43</v>
      </c>
      <c r="H722" t="s">
        <v>43</v>
      </c>
      <c r="I722" t="s">
        <v>345</v>
      </c>
      <c r="J722" t="s">
        <v>43</v>
      </c>
      <c r="K722" t="s">
        <v>43</v>
      </c>
      <c r="L722" t="s">
        <v>43</v>
      </c>
      <c r="M722" t="s">
        <v>43</v>
      </c>
      <c r="N722" t="s">
        <v>45</v>
      </c>
      <c r="O722" t="s">
        <v>43</v>
      </c>
      <c r="P722" t="s">
        <v>43</v>
      </c>
      <c r="Q722" t="s">
        <v>43</v>
      </c>
      <c r="R722" t="s">
        <v>43</v>
      </c>
      <c r="S722" t="s">
        <v>43</v>
      </c>
      <c r="T722" t="s">
        <v>43</v>
      </c>
      <c r="U722" t="s">
        <v>43</v>
      </c>
      <c r="V722" t="s">
        <v>43</v>
      </c>
      <c r="W722" t="s">
        <v>43</v>
      </c>
      <c r="X722" t="s">
        <v>43</v>
      </c>
      <c r="Y722" t="s">
        <v>43</v>
      </c>
      <c r="Z722" t="s">
        <v>43</v>
      </c>
      <c r="AA722" t="s">
        <v>43</v>
      </c>
      <c r="AB722" t="s">
        <v>43</v>
      </c>
      <c r="AC722" t="s">
        <v>43</v>
      </c>
      <c r="AD722" t="s">
        <v>43</v>
      </c>
      <c r="AE722" t="s">
        <v>43</v>
      </c>
      <c r="AF722" t="s">
        <v>43</v>
      </c>
      <c r="AG722" t="s">
        <v>43</v>
      </c>
      <c r="AH722" t="s">
        <v>43</v>
      </c>
      <c r="AI722" t="s">
        <v>43</v>
      </c>
      <c r="AJ722" t="s">
        <v>43</v>
      </c>
      <c r="AK722" t="s">
        <v>43</v>
      </c>
      <c r="AL722" t="s">
        <v>43</v>
      </c>
      <c r="AM722" t="s">
        <v>43</v>
      </c>
      <c r="AN722" t="str">
        <f>HYPERLINK("https://www.google.com/maps?q=11.05478001,79.06083679","Open Location")</f>
        <v>Open Location</v>
      </c>
    </row>
    <row r="723" spans="1:40" x14ac:dyDescent="0.3">
      <c r="A723" s="1">
        <v>46210.916087962964</v>
      </c>
      <c r="B723" t="s">
        <v>40</v>
      </c>
      <c r="C723" t="s">
        <v>41</v>
      </c>
      <c r="D723" s="1">
        <v>46210.919166666667</v>
      </c>
      <c r="E723" t="s">
        <v>42</v>
      </c>
      <c r="F723" t="s">
        <v>43</v>
      </c>
      <c r="G723" t="s">
        <v>43</v>
      </c>
      <c r="H723" t="s">
        <v>43</v>
      </c>
      <c r="I723" t="s">
        <v>346</v>
      </c>
      <c r="J723" t="s">
        <v>43</v>
      </c>
      <c r="K723" t="s">
        <v>43</v>
      </c>
      <c r="L723" t="s">
        <v>43</v>
      </c>
      <c r="M723" t="s">
        <v>43</v>
      </c>
      <c r="N723" t="s">
        <v>45</v>
      </c>
      <c r="O723" t="s">
        <v>43</v>
      </c>
      <c r="P723" t="s">
        <v>43</v>
      </c>
      <c r="Q723" t="s">
        <v>43</v>
      </c>
      <c r="R723" t="s">
        <v>43</v>
      </c>
      <c r="S723" t="s">
        <v>43</v>
      </c>
      <c r="T723" t="s">
        <v>43</v>
      </c>
      <c r="U723" t="s">
        <v>43</v>
      </c>
      <c r="V723" t="s">
        <v>43</v>
      </c>
      <c r="W723" t="s">
        <v>43</v>
      </c>
      <c r="X723" t="s">
        <v>43</v>
      </c>
      <c r="Y723" t="s">
        <v>43</v>
      </c>
      <c r="Z723" t="s">
        <v>43</v>
      </c>
      <c r="AA723" t="s">
        <v>43</v>
      </c>
      <c r="AB723" t="s">
        <v>43</v>
      </c>
      <c r="AC723" t="s">
        <v>43</v>
      </c>
      <c r="AD723" t="s">
        <v>43</v>
      </c>
      <c r="AE723" t="s">
        <v>43</v>
      </c>
      <c r="AF723" t="s">
        <v>43</v>
      </c>
      <c r="AG723" t="s">
        <v>43</v>
      </c>
      <c r="AH723" t="s">
        <v>43</v>
      </c>
      <c r="AI723" t="s">
        <v>43</v>
      </c>
      <c r="AJ723" t="s">
        <v>43</v>
      </c>
      <c r="AK723" t="s">
        <v>43</v>
      </c>
      <c r="AL723" t="s">
        <v>43</v>
      </c>
      <c r="AM723" t="s">
        <v>43</v>
      </c>
      <c r="AN723" t="str">
        <f>HYPERLINK("https://www.google.com/maps?q=11.05478191,79.06083679","Open Location")</f>
        <v>Open Location</v>
      </c>
    </row>
    <row r="724" spans="1:40" x14ac:dyDescent="0.3">
      <c r="A724" s="1">
        <v>46210.915972222225</v>
      </c>
      <c r="B724" t="s">
        <v>40</v>
      </c>
      <c r="C724" t="s">
        <v>41</v>
      </c>
      <c r="D724" s="1">
        <v>46210.919050925928</v>
      </c>
      <c r="E724" t="s">
        <v>42</v>
      </c>
      <c r="F724" t="s">
        <v>43</v>
      </c>
      <c r="G724" t="s">
        <v>43</v>
      </c>
      <c r="H724" t="s">
        <v>43</v>
      </c>
      <c r="I724" t="s">
        <v>347</v>
      </c>
      <c r="J724" t="s">
        <v>43</v>
      </c>
      <c r="K724" t="s">
        <v>43</v>
      </c>
      <c r="L724" t="s">
        <v>43</v>
      </c>
      <c r="M724" t="s">
        <v>43</v>
      </c>
      <c r="N724" t="s">
        <v>45</v>
      </c>
      <c r="O724" t="s">
        <v>43</v>
      </c>
      <c r="P724" t="s">
        <v>43</v>
      </c>
      <c r="Q724" t="s">
        <v>43</v>
      </c>
      <c r="R724" t="s">
        <v>43</v>
      </c>
      <c r="S724" t="s">
        <v>43</v>
      </c>
      <c r="T724" t="s">
        <v>43</v>
      </c>
      <c r="U724" t="s">
        <v>43</v>
      </c>
      <c r="V724" t="s">
        <v>43</v>
      </c>
      <c r="W724" t="s">
        <v>43</v>
      </c>
      <c r="X724" t="s">
        <v>43</v>
      </c>
      <c r="Y724" t="s">
        <v>43</v>
      </c>
      <c r="Z724" t="s">
        <v>43</v>
      </c>
      <c r="AA724" t="s">
        <v>43</v>
      </c>
      <c r="AB724" t="s">
        <v>43</v>
      </c>
      <c r="AC724" t="s">
        <v>43</v>
      </c>
      <c r="AD724" t="s">
        <v>43</v>
      </c>
      <c r="AE724" t="s">
        <v>43</v>
      </c>
      <c r="AF724" t="s">
        <v>43</v>
      </c>
      <c r="AG724" t="s">
        <v>43</v>
      </c>
      <c r="AH724" t="s">
        <v>43</v>
      </c>
      <c r="AI724" t="s">
        <v>43</v>
      </c>
      <c r="AJ724" t="s">
        <v>43</v>
      </c>
      <c r="AK724" t="s">
        <v>43</v>
      </c>
      <c r="AL724" t="s">
        <v>43</v>
      </c>
      <c r="AM724" t="s">
        <v>43</v>
      </c>
      <c r="AN724" t="str">
        <f>HYPERLINK("https://www.google.com/maps?q=11.05478382,79.06083679","Open Location")</f>
        <v>Open Location</v>
      </c>
    </row>
    <row r="725" spans="1:40" x14ac:dyDescent="0.3">
      <c r="A725" s="1">
        <v>46210.915856481479</v>
      </c>
      <c r="B725" t="s">
        <v>40</v>
      </c>
      <c r="C725" t="s">
        <v>41</v>
      </c>
      <c r="D725" s="1">
        <v>46210.918587962966</v>
      </c>
      <c r="E725" t="s">
        <v>42</v>
      </c>
      <c r="F725" t="s">
        <v>43</v>
      </c>
      <c r="G725" t="s">
        <v>43</v>
      </c>
      <c r="H725" t="s">
        <v>43</v>
      </c>
      <c r="I725" t="s">
        <v>43</v>
      </c>
      <c r="J725" t="s">
        <v>43</v>
      </c>
      <c r="K725" t="s">
        <v>43</v>
      </c>
      <c r="L725" t="s">
        <v>43</v>
      </c>
      <c r="M725" t="s">
        <v>43</v>
      </c>
      <c r="N725" t="s">
        <v>45</v>
      </c>
      <c r="O725" t="s">
        <v>43</v>
      </c>
      <c r="P725" t="s">
        <v>43</v>
      </c>
      <c r="Q725" t="s">
        <v>43</v>
      </c>
      <c r="R725" t="s">
        <v>43</v>
      </c>
      <c r="S725" t="s">
        <v>43</v>
      </c>
      <c r="T725" t="s">
        <v>43</v>
      </c>
      <c r="U725" t="s">
        <v>43</v>
      </c>
      <c r="V725" t="s">
        <v>43</v>
      </c>
      <c r="W725" t="s">
        <v>43</v>
      </c>
      <c r="X725" t="s">
        <v>43</v>
      </c>
      <c r="Y725" t="s">
        <v>43</v>
      </c>
      <c r="Z725" t="s">
        <v>43</v>
      </c>
      <c r="AA725" t="s">
        <v>43</v>
      </c>
      <c r="AB725" t="s">
        <v>43</v>
      </c>
      <c r="AC725" t="s">
        <v>43</v>
      </c>
      <c r="AD725" t="s">
        <v>43</v>
      </c>
      <c r="AE725" t="s">
        <v>43</v>
      </c>
      <c r="AF725" t="s">
        <v>43</v>
      </c>
      <c r="AG725" t="s">
        <v>43</v>
      </c>
      <c r="AH725" t="s">
        <v>43</v>
      </c>
      <c r="AI725" t="s">
        <v>43</v>
      </c>
      <c r="AJ725" t="s">
        <v>43</v>
      </c>
      <c r="AK725" t="s">
        <v>43</v>
      </c>
      <c r="AL725" t="s">
        <v>43</v>
      </c>
      <c r="AM725" t="s">
        <v>43</v>
      </c>
      <c r="AN725" t="s">
        <v>43</v>
      </c>
    </row>
    <row r="726" spans="1:40" x14ac:dyDescent="0.3">
      <c r="A726" s="1">
        <v>46210.91574074074</v>
      </c>
      <c r="B726" t="s">
        <v>40</v>
      </c>
      <c r="C726" t="s">
        <v>41</v>
      </c>
      <c r="D726" s="1">
        <v>46210.918634259258</v>
      </c>
      <c r="E726" t="s">
        <v>42</v>
      </c>
      <c r="F726" t="s">
        <v>43</v>
      </c>
      <c r="G726" t="s">
        <v>43</v>
      </c>
      <c r="H726" t="s">
        <v>43</v>
      </c>
      <c r="I726" t="s">
        <v>307</v>
      </c>
      <c r="J726" t="s">
        <v>43</v>
      </c>
      <c r="K726" t="s">
        <v>43</v>
      </c>
      <c r="L726" t="s">
        <v>43</v>
      </c>
      <c r="M726" t="s">
        <v>43</v>
      </c>
      <c r="N726" t="s">
        <v>45</v>
      </c>
      <c r="O726" t="s">
        <v>43</v>
      </c>
      <c r="P726" t="s">
        <v>43</v>
      </c>
      <c r="Q726" t="s">
        <v>43</v>
      </c>
      <c r="R726" t="s">
        <v>43</v>
      </c>
      <c r="S726" t="s">
        <v>43</v>
      </c>
      <c r="T726" t="s">
        <v>43</v>
      </c>
      <c r="U726" t="s">
        <v>43</v>
      </c>
      <c r="V726" t="s">
        <v>43</v>
      </c>
      <c r="W726" t="s">
        <v>43</v>
      </c>
      <c r="X726" t="s">
        <v>43</v>
      </c>
      <c r="Y726" t="s">
        <v>43</v>
      </c>
      <c r="Z726" t="s">
        <v>43</v>
      </c>
      <c r="AA726" t="s">
        <v>43</v>
      </c>
      <c r="AB726" t="s">
        <v>43</v>
      </c>
      <c r="AC726" t="s">
        <v>43</v>
      </c>
      <c r="AD726" t="s">
        <v>43</v>
      </c>
      <c r="AE726" t="s">
        <v>43</v>
      </c>
      <c r="AF726" t="s">
        <v>43</v>
      </c>
      <c r="AG726" t="s">
        <v>43</v>
      </c>
      <c r="AH726" t="s">
        <v>43</v>
      </c>
      <c r="AI726" t="s">
        <v>43</v>
      </c>
      <c r="AJ726" t="s">
        <v>43</v>
      </c>
      <c r="AK726" t="s">
        <v>43</v>
      </c>
      <c r="AL726" t="s">
        <v>43</v>
      </c>
      <c r="AM726" t="s">
        <v>43</v>
      </c>
      <c r="AN726" t="str">
        <f>HYPERLINK("https://www.google.com/maps?q=11.05478287,79.06084442","Open Location")</f>
        <v>Open Location</v>
      </c>
    </row>
    <row r="727" spans="1:40" x14ac:dyDescent="0.3">
      <c r="A727" s="1">
        <v>46210.915625000001</v>
      </c>
      <c r="B727" t="s">
        <v>40</v>
      </c>
      <c r="C727" t="s">
        <v>41</v>
      </c>
      <c r="D727" s="1">
        <v>46210.918576388889</v>
      </c>
      <c r="E727" t="s">
        <v>42</v>
      </c>
      <c r="F727" t="s">
        <v>43</v>
      </c>
      <c r="G727" t="s">
        <v>43</v>
      </c>
      <c r="H727" t="s">
        <v>43</v>
      </c>
      <c r="I727" t="s">
        <v>335</v>
      </c>
      <c r="J727" t="s">
        <v>43</v>
      </c>
      <c r="K727" t="s">
        <v>43</v>
      </c>
      <c r="L727" t="s">
        <v>43</v>
      </c>
      <c r="M727" t="s">
        <v>43</v>
      </c>
      <c r="N727" t="s">
        <v>45</v>
      </c>
      <c r="O727" t="s">
        <v>43</v>
      </c>
      <c r="P727" t="s">
        <v>43</v>
      </c>
      <c r="Q727" t="s">
        <v>43</v>
      </c>
      <c r="R727" t="s">
        <v>43</v>
      </c>
      <c r="S727" t="s">
        <v>43</v>
      </c>
      <c r="T727" t="s">
        <v>43</v>
      </c>
      <c r="U727" t="s">
        <v>43</v>
      </c>
      <c r="V727" t="s">
        <v>43</v>
      </c>
      <c r="W727" t="s">
        <v>43</v>
      </c>
      <c r="X727" t="s">
        <v>43</v>
      </c>
      <c r="Y727" t="s">
        <v>43</v>
      </c>
      <c r="Z727" t="s">
        <v>43</v>
      </c>
      <c r="AA727" t="s">
        <v>43</v>
      </c>
      <c r="AB727" t="s">
        <v>43</v>
      </c>
      <c r="AC727" t="s">
        <v>43</v>
      </c>
      <c r="AD727" t="s">
        <v>43</v>
      </c>
      <c r="AE727" t="s">
        <v>43</v>
      </c>
      <c r="AF727" t="s">
        <v>43</v>
      </c>
      <c r="AG727" t="s">
        <v>43</v>
      </c>
      <c r="AH727" t="s">
        <v>43</v>
      </c>
      <c r="AI727" t="s">
        <v>43</v>
      </c>
      <c r="AJ727" t="s">
        <v>43</v>
      </c>
      <c r="AK727" t="s">
        <v>43</v>
      </c>
      <c r="AL727" t="s">
        <v>43</v>
      </c>
      <c r="AM727" t="s">
        <v>43</v>
      </c>
      <c r="AN727" t="str">
        <f>HYPERLINK("https://www.google.com/maps?q=11.05478001,79.06084442","Open Location")</f>
        <v>Open Location</v>
      </c>
    </row>
    <row r="728" spans="1:40" x14ac:dyDescent="0.3">
      <c r="A728" s="1">
        <v>46210.915509259263</v>
      </c>
      <c r="B728" t="s">
        <v>40</v>
      </c>
      <c r="C728" t="s">
        <v>41</v>
      </c>
      <c r="D728" s="1">
        <v>46210.918761574074</v>
      </c>
      <c r="E728" t="s">
        <v>42</v>
      </c>
      <c r="F728" t="s">
        <v>43</v>
      </c>
      <c r="G728" t="s">
        <v>43</v>
      </c>
      <c r="H728" t="s">
        <v>43</v>
      </c>
      <c r="I728" t="s">
        <v>348</v>
      </c>
      <c r="J728" t="s">
        <v>43</v>
      </c>
      <c r="K728" t="s">
        <v>43</v>
      </c>
      <c r="L728" t="s">
        <v>43</v>
      </c>
      <c r="M728" t="s">
        <v>43</v>
      </c>
      <c r="N728" t="s">
        <v>45</v>
      </c>
      <c r="O728" t="s">
        <v>43</v>
      </c>
      <c r="P728" t="s">
        <v>43</v>
      </c>
      <c r="Q728" t="s">
        <v>43</v>
      </c>
      <c r="R728" t="s">
        <v>43</v>
      </c>
      <c r="S728" t="s">
        <v>43</v>
      </c>
      <c r="T728" t="s">
        <v>43</v>
      </c>
      <c r="U728" t="s">
        <v>43</v>
      </c>
      <c r="V728" t="s">
        <v>43</v>
      </c>
      <c r="W728" t="s">
        <v>43</v>
      </c>
      <c r="X728" t="s">
        <v>43</v>
      </c>
      <c r="Y728" t="s">
        <v>43</v>
      </c>
      <c r="Z728" t="s">
        <v>43</v>
      </c>
      <c r="AA728" t="s">
        <v>43</v>
      </c>
      <c r="AB728" t="s">
        <v>43</v>
      </c>
      <c r="AC728" t="s">
        <v>43</v>
      </c>
      <c r="AD728" t="s">
        <v>43</v>
      </c>
      <c r="AE728" t="s">
        <v>43</v>
      </c>
      <c r="AF728" t="s">
        <v>43</v>
      </c>
      <c r="AG728" t="s">
        <v>43</v>
      </c>
      <c r="AH728" t="s">
        <v>43</v>
      </c>
      <c r="AI728" t="s">
        <v>43</v>
      </c>
      <c r="AJ728" t="s">
        <v>43</v>
      </c>
      <c r="AK728" t="s">
        <v>43</v>
      </c>
      <c r="AL728" t="s">
        <v>43</v>
      </c>
      <c r="AM728" t="s">
        <v>43</v>
      </c>
      <c r="AN728" t="str">
        <f>HYPERLINK("https://www.google.com/maps?q=11.05478573,79.06085968","Open Location")</f>
        <v>Open Location</v>
      </c>
    </row>
    <row r="729" spans="1:40" x14ac:dyDescent="0.3">
      <c r="A729" s="1">
        <v>46210.915393518517</v>
      </c>
      <c r="B729" t="s">
        <v>40</v>
      </c>
      <c r="C729" t="s">
        <v>41</v>
      </c>
      <c r="D729" s="1">
        <v>46210.918310185189</v>
      </c>
      <c r="E729" t="s">
        <v>42</v>
      </c>
      <c r="F729" t="s">
        <v>43</v>
      </c>
      <c r="G729" t="s">
        <v>43</v>
      </c>
      <c r="H729" t="s">
        <v>43</v>
      </c>
      <c r="I729" t="s">
        <v>349</v>
      </c>
      <c r="J729" t="s">
        <v>43</v>
      </c>
      <c r="K729" t="s">
        <v>43</v>
      </c>
      <c r="L729" t="s">
        <v>43</v>
      </c>
      <c r="M729" t="s">
        <v>43</v>
      </c>
      <c r="N729" t="s">
        <v>45</v>
      </c>
      <c r="O729" t="s">
        <v>43</v>
      </c>
      <c r="P729" t="s">
        <v>43</v>
      </c>
      <c r="Q729" t="s">
        <v>43</v>
      </c>
      <c r="R729" t="s">
        <v>43</v>
      </c>
      <c r="S729" t="s">
        <v>43</v>
      </c>
      <c r="T729" t="s">
        <v>43</v>
      </c>
      <c r="U729" t="s">
        <v>43</v>
      </c>
      <c r="V729" t="s">
        <v>43</v>
      </c>
      <c r="W729" t="s">
        <v>43</v>
      </c>
      <c r="X729" t="s">
        <v>43</v>
      </c>
      <c r="Y729" t="s">
        <v>43</v>
      </c>
      <c r="Z729" t="s">
        <v>43</v>
      </c>
      <c r="AA729" t="s">
        <v>43</v>
      </c>
      <c r="AB729" t="s">
        <v>43</v>
      </c>
      <c r="AC729" t="s">
        <v>43</v>
      </c>
      <c r="AD729" t="s">
        <v>43</v>
      </c>
      <c r="AE729" t="s">
        <v>43</v>
      </c>
      <c r="AF729" t="s">
        <v>43</v>
      </c>
      <c r="AG729" t="s">
        <v>43</v>
      </c>
      <c r="AH729" t="s">
        <v>43</v>
      </c>
      <c r="AI729" t="s">
        <v>43</v>
      </c>
      <c r="AJ729" t="s">
        <v>43</v>
      </c>
      <c r="AK729" t="s">
        <v>43</v>
      </c>
      <c r="AL729" t="s">
        <v>43</v>
      </c>
      <c r="AM729" t="s">
        <v>43</v>
      </c>
      <c r="AN729" t="str">
        <f>HYPERLINK("https://www.google.com/maps?q=11.05478954,79.06086731","Open Location")</f>
        <v>Open Location</v>
      </c>
    </row>
    <row r="730" spans="1:40" x14ac:dyDescent="0.3">
      <c r="A730" s="1">
        <v>46210.915277777778</v>
      </c>
      <c r="B730" t="s">
        <v>40</v>
      </c>
      <c r="C730" t="s">
        <v>41</v>
      </c>
      <c r="D730" s="1">
        <v>46210.918287037035</v>
      </c>
      <c r="E730" t="s">
        <v>42</v>
      </c>
      <c r="F730" t="s">
        <v>43</v>
      </c>
      <c r="G730" t="s">
        <v>43</v>
      </c>
      <c r="H730" t="s">
        <v>43</v>
      </c>
      <c r="I730" t="s">
        <v>300</v>
      </c>
      <c r="J730" t="s">
        <v>43</v>
      </c>
      <c r="K730" t="s">
        <v>43</v>
      </c>
      <c r="L730" t="s">
        <v>43</v>
      </c>
      <c r="M730" t="s">
        <v>43</v>
      </c>
      <c r="N730" t="s">
        <v>45</v>
      </c>
      <c r="O730" t="s">
        <v>43</v>
      </c>
      <c r="P730" t="s">
        <v>43</v>
      </c>
      <c r="Q730" t="s">
        <v>43</v>
      </c>
      <c r="R730" t="s">
        <v>43</v>
      </c>
      <c r="S730" t="s">
        <v>43</v>
      </c>
      <c r="T730" t="s">
        <v>43</v>
      </c>
      <c r="U730" t="s">
        <v>43</v>
      </c>
      <c r="V730" t="s">
        <v>43</v>
      </c>
      <c r="W730" t="s">
        <v>43</v>
      </c>
      <c r="X730" t="s">
        <v>43</v>
      </c>
      <c r="Y730" t="s">
        <v>43</v>
      </c>
      <c r="Z730" t="s">
        <v>43</v>
      </c>
      <c r="AA730" t="s">
        <v>43</v>
      </c>
      <c r="AB730" t="s">
        <v>43</v>
      </c>
      <c r="AC730" t="s">
        <v>43</v>
      </c>
      <c r="AD730" t="s">
        <v>43</v>
      </c>
      <c r="AE730" t="s">
        <v>43</v>
      </c>
      <c r="AF730" t="s">
        <v>43</v>
      </c>
      <c r="AG730" t="s">
        <v>43</v>
      </c>
      <c r="AH730" t="s">
        <v>43</v>
      </c>
      <c r="AI730" t="s">
        <v>43</v>
      </c>
      <c r="AJ730" t="s">
        <v>43</v>
      </c>
      <c r="AK730" t="s">
        <v>43</v>
      </c>
      <c r="AL730" t="s">
        <v>43</v>
      </c>
      <c r="AM730" t="s">
        <v>43</v>
      </c>
      <c r="AN730" t="str">
        <f>HYPERLINK("https://www.google.com/maps?q=11.05478859,79.06086731","Open Location")</f>
        <v>Open Location</v>
      </c>
    </row>
    <row r="731" spans="1:40" x14ac:dyDescent="0.3">
      <c r="A731" s="1">
        <v>46210.915162037039</v>
      </c>
      <c r="B731" t="s">
        <v>40</v>
      </c>
      <c r="C731" t="s">
        <v>41</v>
      </c>
      <c r="D731" s="1">
        <v>46210.917881944442</v>
      </c>
      <c r="E731" t="s">
        <v>42</v>
      </c>
      <c r="F731" t="s">
        <v>43</v>
      </c>
      <c r="G731" t="s">
        <v>43</v>
      </c>
      <c r="H731" t="s">
        <v>43</v>
      </c>
      <c r="I731" t="s">
        <v>43</v>
      </c>
      <c r="J731" t="s">
        <v>43</v>
      </c>
      <c r="K731" t="s">
        <v>43</v>
      </c>
      <c r="L731" t="s">
        <v>43</v>
      </c>
      <c r="M731" t="s">
        <v>43</v>
      </c>
      <c r="N731" t="s">
        <v>45</v>
      </c>
      <c r="O731" t="s">
        <v>43</v>
      </c>
      <c r="P731" t="s">
        <v>43</v>
      </c>
      <c r="Q731" t="s">
        <v>43</v>
      </c>
      <c r="R731" t="s">
        <v>43</v>
      </c>
      <c r="S731" t="s">
        <v>43</v>
      </c>
      <c r="T731" t="s">
        <v>43</v>
      </c>
      <c r="U731" t="s">
        <v>43</v>
      </c>
      <c r="V731" t="s">
        <v>43</v>
      </c>
      <c r="W731" t="s">
        <v>43</v>
      </c>
      <c r="X731" t="s">
        <v>43</v>
      </c>
      <c r="Y731" t="s">
        <v>43</v>
      </c>
      <c r="Z731" t="s">
        <v>43</v>
      </c>
      <c r="AA731" t="s">
        <v>43</v>
      </c>
      <c r="AB731" t="s">
        <v>43</v>
      </c>
      <c r="AC731" t="s">
        <v>43</v>
      </c>
      <c r="AD731" t="s">
        <v>43</v>
      </c>
      <c r="AE731" t="s">
        <v>43</v>
      </c>
      <c r="AF731" t="s">
        <v>43</v>
      </c>
      <c r="AG731" t="s">
        <v>43</v>
      </c>
      <c r="AH731" t="s">
        <v>43</v>
      </c>
      <c r="AI731" t="s">
        <v>43</v>
      </c>
      <c r="AJ731" t="s">
        <v>43</v>
      </c>
      <c r="AK731" t="s">
        <v>43</v>
      </c>
      <c r="AL731" t="s">
        <v>43</v>
      </c>
      <c r="AM731" t="s">
        <v>43</v>
      </c>
      <c r="AN731" t="s">
        <v>43</v>
      </c>
    </row>
    <row r="732" spans="1:40" x14ac:dyDescent="0.3">
      <c r="A732" s="1">
        <v>46210.915046296293</v>
      </c>
      <c r="B732" t="s">
        <v>40</v>
      </c>
      <c r="C732" t="s">
        <v>41</v>
      </c>
      <c r="D732" s="1">
        <v>46210.917881944442</v>
      </c>
      <c r="E732" t="s">
        <v>42</v>
      </c>
      <c r="F732" t="s">
        <v>43</v>
      </c>
      <c r="G732" t="s">
        <v>43</v>
      </c>
      <c r="H732" t="s">
        <v>43</v>
      </c>
      <c r="I732" t="s">
        <v>350</v>
      </c>
      <c r="J732" t="s">
        <v>43</v>
      </c>
      <c r="K732" t="s">
        <v>43</v>
      </c>
      <c r="L732" t="s">
        <v>43</v>
      </c>
      <c r="M732" t="s">
        <v>43</v>
      </c>
      <c r="N732" t="s">
        <v>45</v>
      </c>
      <c r="O732" t="s">
        <v>43</v>
      </c>
      <c r="P732" t="s">
        <v>43</v>
      </c>
      <c r="Q732" t="s">
        <v>43</v>
      </c>
      <c r="R732" t="s">
        <v>43</v>
      </c>
      <c r="S732" t="s">
        <v>43</v>
      </c>
      <c r="T732" t="s">
        <v>43</v>
      </c>
      <c r="U732" t="s">
        <v>43</v>
      </c>
      <c r="V732" t="s">
        <v>43</v>
      </c>
      <c r="W732" t="s">
        <v>43</v>
      </c>
      <c r="X732" t="s">
        <v>43</v>
      </c>
      <c r="Y732" t="s">
        <v>43</v>
      </c>
      <c r="Z732" t="s">
        <v>43</v>
      </c>
      <c r="AA732" t="s">
        <v>43</v>
      </c>
      <c r="AB732" t="s">
        <v>43</v>
      </c>
      <c r="AC732" t="s">
        <v>43</v>
      </c>
      <c r="AD732" t="s">
        <v>43</v>
      </c>
      <c r="AE732" t="s">
        <v>43</v>
      </c>
      <c r="AF732" t="s">
        <v>43</v>
      </c>
      <c r="AG732" t="s">
        <v>43</v>
      </c>
      <c r="AH732" t="s">
        <v>43</v>
      </c>
      <c r="AI732" t="s">
        <v>43</v>
      </c>
      <c r="AJ732" t="s">
        <v>43</v>
      </c>
      <c r="AK732" t="s">
        <v>43</v>
      </c>
      <c r="AL732" t="s">
        <v>43</v>
      </c>
      <c r="AM732" t="s">
        <v>43</v>
      </c>
      <c r="AN732" t="str">
        <f>HYPERLINK("https://www.google.com/maps?q=11.0547924,79.06086731","Open Location")</f>
        <v>Open Location</v>
      </c>
    </row>
    <row r="733" spans="1:40" x14ac:dyDescent="0.3">
      <c r="A733" s="1">
        <v>46210.914930555555</v>
      </c>
      <c r="B733" t="s">
        <v>40</v>
      </c>
      <c r="C733" t="s">
        <v>41</v>
      </c>
      <c r="D733" s="1">
        <v>46210.917766203704</v>
      </c>
      <c r="E733" t="s">
        <v>42</v>
      </c>
      <c r="F733" t="s">
        <v>43</v>
      </c>
      <c r="G733" t="s">
        <v>43</v>
      </c>
      <c r="H733" t="s">
        <v>43</v>
      </c>
      <c r="I733" t="s">
        <v>351</v>
      </c>
      <c r="J733" t="s">
        <v>43</v>
      </c>
      <c r="K733" t="s">
        <v>43</v>
      </c>
      <c r="L733" t="s">
        <v>43</v>
      </c>
      <c r="M733" t="s">
        <v>43</v>
      </c>
      <c r="N733" t="s">
        <v>45</v>
      </c>
      <c r="O733" t="s">
        <v>43</v>
      </c>
      <c r="P733" t="s">
        <v>43</v>
      </c>
      <c r="Q733" t="s">
        <v>43</v>
      </c>
      <c r="R733" t="s">
        <v>43</v>
      </c>
      <c r="S733" t="s">
        <v>43</v>
      </c>
      <c r="T733" t="s">
        <v>43</v>
      </c>
      <c r="U733" t="s">
        <v>43</v>
      </c>
      <c r="V733" t="s">
        <v>43</v>
      </c>
      <c r="W733" t="s">
        <v>43</v>
      </c>
      <c r="X733" t="s">
        <v>43</v>
      </c>
      <c r="Y733" t="s">
        <v>43</v>
      </c>
      <c r="Z733" t="s">
        <v>43</v>
      </c>
      <c r="AA733" t="s">
        <v>43</v>
      </c>
      <c r="AB733" t="s">
        <v>43</v>
      </c>
      <c r="AC733" t="s">
        <v>43</v>
      </c>
      <c r="AD733" t="s">
        <v>43</v>
      </c>
      <c r="AE733" t="s">
        <v>43</v>
      </c>
      <c r="AF733" t="s">
        <v>43</v>
      </c>
      <c r="AG733" t="s">
        <v>43</v>
      </c>
      <c r="AH733" t="s">
        <v>43</v>
      </c>
      <c r="AI733" t="s">
        <v>43</v>
      </c>
      <c r="AJ733" t="s">
        <v>43</v>
      </c>
      <c r="AK733" t="s">
        <v>43</v>
      </c>
      <c r="AL733" t="s">
        <v>43</v>
      </c>
      <c r="AM733" t="s">
        <v>43</v>
      </c>
      <c r="AN733" t="str">
        <f>HYPERLINK("https://www.google.com/maps?q=11.05479717,79.06087494","Open Location")</f>
        <v>Open Location</v>
      </c>
    </row>
    <row r="734" spans="1:40" x14ac:dyDescent="0.3">
      <c r="A734" s="1">
        <v>46210.914814814816</v>
      </c>
      <c r="B734" t="s">
        <v>40</v>
      </c>
      <c r="C734" t="s">
        <v>41</v>
      </c>
      <c r="D734" s="1">
        <v>46210.917638888888</v>
      </c>
      <c r="E734" t="s">
        <v>42</v>
      </c>
      <c r="F734" t="s">
        <v>43</v>
      </c>
      <c r="G734" t="s">
        <v>43</v>
      </c>
      <c r="H734" t="s">
        <v>43</v>
      </c>
      <c r="I734" t="s">
        <v>352</v>
      </c>
      <c r="J734" t="s">
        <v>43</v>
      </c>
      <c r="K734" t="s">
        <v>43</v>
      </c>
      <c r="L734" t="s">
        <v>43</v>
      </c>
      <c r="M734" t="s">
        <v>43</v>
      </c>
      <c r="N734" t="s">
        <v>45</v>
      </c>
      <c r="O734" t="s">
        <v>43</v>
      </c>
      <c r="P734" t="s">
        <v>43</v>
      </c>
      <c r="Q734" t="s">
        <v>43</v>
      </c>
      <c r="R734" t="s">
        <v>43</v>
      </c>
      <c r="S734" t="s">
        <v>43</v>
      </c>
      <c r="T734" t="s">
        <v>43</v>
      </c>
      <c r="U734" t="s">
        <v>43</v>
      </c>
      <c r="V734" t="s">
        <v>43</v>
      </c>
      <c r="W734" t="s">
        <v>43</v>
      </c>
      <c r="X734" t="s">
        <v>43</v>
      </c>
      <c r="Y734" t="s">
        <v>43</v>
      </c>
      <c r="Z734" t="s">
        <v>43</v>
      </c>
      <c r="AA734" t="s">
        <v>43</v>
      </c>
      <c r="AB734" t="s">
        <v>43</v>
      </c>
      <c r="AC734" t="s">
        <v>43</v>
      </c>
      <c r="AD734" t="s">
        <v>43</v>
      </c>
      <c r="AE734" t="s">
        <v>43</v>
      </c>
      <c r="AF734" t="s">
        <v>43</v>
      </c>
      <c r="AG734" t="s">
        <v>43</v>
      </c>
      <c r="AH734" t="s">
        <v>43</v>
      </c>
      <c r="AI734" t="s">
        <v>43</v>
      </c>
      <c r="AJ734" t="s">
        <v>43</v>
      </c>
      <c r="AK734" t="s">
        <v>43</v>
      </c>
      <c r="AL734" t="s">
        <v>43</v>
      </c>
      <c r="AM734" t="s">
        <v>43</v>
      </c>
      <c r="AN734" t="str">
        <f>HYPERLINK("https://www.google.com/maps?q=11.05480003,79.06087494","Open Location")</f>
        <v>Open Location</v>
      </c>
    </row>
    <row r="735" spans="1:40" x14ac:dyDescent="0.3">
      <c r="A735" s="1">
        <v>46210.914699074077</v>
      </c>
      <c r="B735" t="s">
        <v>40</v>
      </c>
      <c r="C735" t="s">
        <v>41</v>
      </c>
      <c r="D735" s="1">
        <v>46210.917349537034</v>
      </c>
      <c r="E735" t="s">
        <v>42</v>
      </c>
      <c r="F735" t="s">
        <v>43</v>
      </c>
      <c r="G735" t="s">
        <v>43</v>
      </c>
      <c r="H735" t="s">
        <v>43</v>
      </c>
      <c r="I735" t="s">
        <v>353</v>
      </c>
      <c r="J735" t="s">
        <v>43</v>
      </c>
      <c r="K735" t="s">
        <v>43</v>
      </c>
      <c r="L735" t="s">
        <v>43</v>
      </c>
      <c r="M735" t="s">
        <v>43</v>
      </c>
      <c r="N735" t="s">
        <v>45</v>
      </c>
      <c r="O735" t="s">
        <v>43</v>
      </c>
      <c r="P735" t="s">
        <v>43</v>
      </c>
      <c r="Q735" t="s">
        <v>43</v>
      </c>
      <c r="R735" t="s">
        <v>43</v>
      </c>
      <c r="S735" t="s">
        <v>43</v>
      </c>
      <c r="T735" t="s">
        <v>43</v>
      </c>
      <c r="U735" t="s">
        <v>43</v>
      </c>
      <c r="V735" t="s">
        <v>43</v>
      </c>
      <c r="W735" t="s">
        <v>43</v>
      </c>
      <c r="X735" t="s">
        <v>43</v>
      </c>
      <c r="Y735" t="s">
        <v>43</v>
      </c>
      <c r="Z735" t="s">
        <v>43</v>
      </c>
      <c r="AA735" t="s">
        <v>43</v>
      </c>
      <c r="AB735" t="s">
        <v>43</v>
      </c>
      <c r="AC735" t="s">
        <v>43</v>
      </c>
      <c r="AD735" t="s">
        <v>43</v>
      </c>
      <c r="AE735" t="s">
        <v>43</v>
      </c>
      <c r="AF735" t="s">
        <v>43</v>
      </c>
      <c r="AG735" t="s">
        <v>43</v>
      </c>
      <c r="AH735" t="s">
        <v>43</v>
      </c>
      <c r="AI735" t="s">
        <v>43</v>
      </c>
      <c r="AJ735" t="s">
        <v>43</v>
      </c>
      <c r="AK735" t="s">
        <v>43</v>
      </c>
      <c r="AL735" t="s">
        <v>43</v>
      </c>
      <c r="AM735" t="s">
        <v>43</v>
      </c>
      <c r="AN735" t="str">
        <f>HYPERLINK("https://www.google.com/maps?q=11.05480099,79.06087494","Open Location")</f>
        <v>Open Location</v>
      </c>
    </row>
    <row r="736" spans="1:40" x14ac:dyDescent="0.3">
      <c r="A736" s="1">
        <v>46210.914583333331</v>
      </c>
      <c r="B736" t="s">
        <v>40</v>
      </c>
      <c r="C736" t="s">
        <v>41</v>
      </c>
      <c r="D736" s="1">
        <v>46210.91741898148</v>
      </c>
      <c r="E736" t="s">
        <v>42</v>
      </c>
      <c r="F736" t="s">
        <v>43</v>
      </c>
      <c r="G736" t="s">
        <v>43</v>
      </c>
      <c r="H736" t="s">
        <v>43</v>
      </c>
      <c r="I736" t="s">
        <v>354</v>
      </c>
      <c r="J736" t="s">
        <v>43</v>
      </c>
      <c r="K736" t="s">
        <v>43</v>
      </c>
      <c r="L736" t="s">
        <v>43</v>
      </c>
      <c r="M736" t="s">
        <v>43</v>
      </c>
      <c r="N736" t="s">
        <v>45</v>
      </c>
      <c r="O736" t="s">
        <v>43</v>
      </c>
      <c r="P736" t="s">
        <v>43</v>
      </c>
      <c r="Q736" t="s">
        <v>43</v>
      </c>
      <c r="R736" t="s">
        <v>43</v>
      </c>
      <c r="S736" t="s">
        <v>43</v>
      </c>
      <c r="T736" t="s">
        <v>43</v>
      </c>
      <c r="U736" t="s">
        <v>43</v>
      </c>
      <c r="V736" t="s">
        <v>43</v>
      </c>
      <c r="W736" t="s">
        <v>43</v>
      </c>
      <c r="X736" t="s">
        <v>43</v>
      </c>
      <c r="Y736" t="s">
        <v>43</v>
      </c>
      <c r="Z736" t="s">
        <v>43</v>
      </c>
      <c r="AA736" t="s">
        <v>43</v>
      </c>
      <c r="AB736" t="s">
        <v>43</v>
      </c>
      <c r="AC736" t="s">
        <v>43</v>
      </c>
      <c r="AD736" t="s">
        <v>43</v>
      </c>
      <c r="AE736" t="s">
        <v>43</v>
      </c>
      <c r="AF736" t="s">
        <v>43</v>
      </c>
      <c r="AG736" t="s">
        <v>43</v>
      </c>
      <c r="AH736" t="s">
        <v>43</v>
      </c>
      <c r="AI736" t="s">
        <v>43</v>
      </c>
      <c r="AJ736" t="s">
        <v>43</v>
      </c>
      <c r="AK736" t="s">
        <v>43</v>
      </c>
      <c r="AL736" t="s">
        <v>43</v>
      </c>
      <c r="AM736" t="s">
        <v>43</v>
      </c>
      <c r="AN736" t="str">
        <f>HYPERLINK("https://www.google.com/maps?q=11.05479622,79.06086731","Open Location")</f>
        <v>Open Location</v>
      </c>
    </row>
    <row r="737" spans="1:40" x14ac:dyDescent="0.3">
      <c r="A737" s="1">
        <v>46210.914467592593</v>
      </c>
      <c r="B737" t="s">
        <v>40</v>
      </c>
      <c r="C737" t="s">
        <v>41</v>
      </c>
      <c r="D737" s="1">
        <v>46210.917395833334</v>
      </c>
      <c r="E737" t="s">
        <v>42</v>
      </c>
      <c r="F737" t="s">
        <v>43</v>
      </c>
      <c r="G737" t="s">
        <v>43</v>
      </c>
      <c r="H737" t="s">
        <v>43</v>
      </c>
      <c r="I737" t="s">
        <v>43</v>
      </c>
      <c r="J737" t="s">
        <v>43</v>
      </c>
      <c r="K737" t="s">
        <v>43</v>
      </c>
      <c r="L737" t="s">
        <v>43</v>
      </c>
      <c r="M737" t="s">
        <v>43</v>
      </c>
      <c r="N737" t="s">
        <v>45</v>
      </c>
      <c r="O737" t="s">
        <v>43</v>
      </c>
      <c r="P737" t="s">
        <v>43</v>
      </c>
      <c r="Q737" t="s">
        <v>43</v>
      </c>
      <c r="R737" t="s">
        <v>43</v>
      </c>
      <c r="S737" t="s">
        <v>43</v>
      </c>
      <c r="T737" t="s">
        <v>43</v>
      </c>
      <c r="U737" t="s">
        <v>43</v>
      </c>
      <c r="V737" t="s">
        <v>43</v>
      </c>
      <c r="W737" t="s">
        <v>43</v>
      </c>
      <c r="X737" t="s">
        <v>43</v>
      </c>
      <c r="Y737" t="s">
        <v>43</v>
      </c>
      <c r="Z737" t="s">
        <v>43</v>
      </c>
      <c r="AA737" t="s">
        <v>43</v>
      </c>
      <c r="AB737" t="s">
        <v>43</v>
      </c>
      <c r="AC737" t="s">
        <v>43</v>
      </c>
      <c r="AD737" t="s">
        <v>43</v>
      </c>
      <c r="AE737" t="s">
        <v>43</v>
      </c>
      <c r="AF737" t="s">
        <v>43</v>
      </c>
      <c r="AG737" t="s">
        <v>43</v>
      </c>
      <c r="AH737" t="s">
        <v>43</v>
      </c>
      <c r="AI737" t="s">
        <v>43</v>
      </c>
      <c r="AJ737" t="s">
        <v>43</v>
      </c>
      <c r="AK737" t="s">
        <v>43</v>
      </c>
      <c r="AL737" t="s">
        <v>43</v>
      </c>
      <c r="AM737" t="s">
        <v>43</v>
      </c>
      <c r="AN737" t="s">
        <v>43</v>
      </c>
    </row>
    <row r="738" spans="1:40" x14ac:dyDescent="0.3">
      <c r="A738" s="1">
        <v>46210.914351851854</v>
      </c>
      <c r="B738" t="s">
        <v>40</v>
      </c>
      <c r="C738" t="s">
        <v>41</v>
      </c>
      <c r="D738" s="1">
        <v>46210.917349537034</v>
      </c>
      <c r="E738" t="s">
        <v>42</v>
      </c>
      <c r="F738" t="s">
        <v>43</v>
      </c>
      <c r="G738" t="s">
        <v>43</v>
      </c>
      <c r="H738" t="s">
        <v>43</v>
      </c>
      <c r="I738" t="s">
        <v>350</v>
      </c>
      <c r="J738" t="s">
        <v>43</v>
      </c>
      <c r="K738" t="s">
        <v>43</v>
      </c>
      <c r="L738" t="s">
        <v>43</v>
      </c>
      <c r="M738" t="s">
        <v>43</v>
      </c>
      <c r="N738" t="s">
        <v>45</v>
      </c>
      <c r="O738" t="s">
        <v>43</v>
      </c>
      <c r="P738" t="s">
        <v>43</v>
      </c>
      <c r="Q738" t="s">
        <v>43</v>
      </c>
      <c r="R738" t="s">
        <v>43</v>
      </c>
      <c r="S738" t="s">
        <v>43</v>
      </c>
      <c r="T738" t="s">
        <v>43</v>
      </c>
      <c r="U738" t="s">
        <v>43</v>
      </c>
      <c r="V738" t="s">
        <v>43</v>
      </c>
      <c r="W738" t="s">
        <v>43</v>
      </c>
      <c r="X738" t="s">
        <v>43</v>
      </c>
      <c r="Y738" t="s">
        <v>43</v>
      </c>
      <c r="Z738" t="s">
        <v>43</v>
      </c>
      <c r="AA738" t="s">
        <v>43</v>
      </c>
      <c r="AB738" t="s">
        <v>43</v>
      </c>
      <c r="AC738" t="s">
        <v>43</v>
      </c>
      <c r="AD738" t="s">
        <v>43</v>
      </c>
      <c r="AE738" t="s">
        <v>43</v>
      </c>
      <c r="AF738" t="s">
        <v>43</v>
      </c>
      <c r="AG738" t="s">
        <v>43</v>
      </c>
      <c r="AH738" t="s">
        <v>43</v>
      </c>
      <c r="AI738" t="s">
        <v>43</v>
      </c>
      <c r="AJ738" t="s">
        <v>43</v>
      </c>
      <c r="AK738" t="s">
        <v>43</v>
      </c>
      <c r="AL738" t="s">
        <v>43</v>
      </c>
      <c r="AM738" t="s">
        <v>43</v>
      </c>
      <c r="AN738" t="str">
        <f>HYPERLINK("https://www.google.com/maps?q=11.0547924,79.06086731","Open Location")</f>
        <v>Open Location</v>
      </c>
    </row>
    <row r="739" spans="1:40" x14ac:dyDescent="0.3">
      <c r="A739" s="1">
        <v>46210.914236111108</v>
      </c>
      <c r="B739" t="s">
        <v>40</v>
      </c>
      <c r="C739" t="s">
        <v>41</v>
      </c>
      <c r="D739" s="1">
        <v>46210.917268518519</v>
      </c>
      <c r="E739" t="s">
        <v>42</v>
      </c>
      <c r="F739" t="s">
        <v>43</v>
      </c>
      <c r="G739" t="s">
        <v>43</v>
      </c>
      <c r="H739" t="s">
        <v>43</v>
      </c>
      <c r="I739" t="s">
        <v>301</v>
      </c>
      <c r="J739" t="s">
        <v>43</v>
      </c>
      <c r="K739" t="s">
        <v>43</v>
      </c>
      <c r="L739" t="s">
        <v>43</v>
      </c>
      <c r="M739" t="s">
        <v>43</v>
      </c>
      <c r="N739" t="s">
        <v>45</v>
      </c>
      <c r="O739" t="s">
        <v>43</v>
      </c>
      <c r="P739" t="s">
        <v>43</v>
      </c>
      <c r="Q739" t="s">
        <v>43</v>
      </c>
      <c r="R739" t="s">
        <v>43</v>
      </c>
      <c r="S739" t="s">
        <v>43</v>
      </c>
      <c r="T739" t="s">
        <v>43</v>
      </c>
      <c r="U739" t="s">
        <v>43</v>
      </c>
      <c r="V739" t="s">
        <v>43</v>
      </c>
      <c r="W739" t="s">
        <v>43</v>
      </c>
      <c r="X739" t="s">
        <v>43</v>
      </c>
      <c r="Y739" t="s">
        <v>43</v>
      </c>
      <c r="Z739" t="s">
        <v>43</v>
      </c>
      <c r="AA739" t="s">
        <v>43</v>
      </c>
      <c r="AB739" t="s">
        <v>43</v>
      </c>
      <c r="AC739" t="s">
        <v>43</v>
      </c>
      <c r="AD739" t="s">
        <v>43</v>
      </c>
      <c r="AE739" t="s">
        <v>43</v>
      </c>
      <c r="AF739" t="s">
        <v>43</v>
      </c>
      <c r="AG739" t="s">
        <v>43</v>
      </c>
      <c r="AH739" t="s">
        <v>43</v>
      </c>
      <c r="AI739" t="s">
        <v>43</v>
      </c>
      <c r="AJ739" t="s">
        <v>43</v>
      </c>
      <c r="AK739" t="s">
        <v>43</v>
      </c>
      <c r="AL739" t="s">
        <v>43</v>
      </c>
      <c r="AM739" t="s">
        <v>43</v>
      </c>
      <c r="AN739" t="str">
        <f>HYPERLINK("https://www.google.com/maps?q=11.0547924,79.06085968","Open Location")</f>
        <v>Open Location</v>
      </c>
    </row>
    <row r="740" spans="1:40" x14ac:dyDescent="0.3">
      <c r="A740" s="1">
        <v>46210.914120370369</v>
      </c>
      <c r="B740" t="s">
        <v>40</v>
      </c>
      <c r="C740" t="s">
        <v>41</v>
      </c>
      <c r="D740" s="1">
        <v>46210.917268518519</v>
      </c>
      <c r="E740" t="s">
        <v>42</v>
      </c>
      <c r="F740" t="s">
        <v>43</v>
      </c>
      <c r="G740" t="s">
        <v>43</v>
      </c>
      <c r="H740" t="s">
        <v>43</v>
      </c>
      <c r="I740" t="s">
        <v>355</v>
      </c>
      <c r="J740" t="s">
        <v>43</v>
      </c>
      <c r="K740" t="s">
        <v>43</v>
      </c>
      <c r="L740" t="s">
        <v>43</v>
      </c>
      <c r="M740" t="s">
        <v>43</v>
      </c>
      <c r="N740" t="s">
        <v>45</v>
      </c>
      <c r="O740" t="s">
        <v>43</v>
      </c>
      <c r="P740" t="s">
        <v>43</v>
      </c>
      <c r="Q740" t="s">
        <v>43</v>
      </c>
      <c r="R740" t="s">
        <v>43</v>
      </c>
      <c r="S740" t="s">
        <v>43</v>
      </c>
      <c r="T740" t="s">
        <v>43</v>
      </c>
      <c r="U740" t="s">
        <v>43</v>
      </c>
      <c r="V740" t="s">
        <v>43</v>
      </c>
      <c r="W740" t="s">
        <v>43</v>
      </c>
      <c r="X740" t="s">
        <v>43</v>
      </c>
      <c r="Y740" t="s">
        <v>43</v>
      </c>
      <c r="Z740" t="s">
        <v>43</v>
      </c>
      <c r="AA740" t="s">
        <v>43</v>
      </c>
      <c r="AB740" t="s">
        <v>43</v>
      </c>
      <c r="AC740" t="s">
        <v>43</v>
      </c>
      <c r="AD740" t="s">
        <v>43</v>
      </c>
      <c r="AE740" t="s">
        <v>43</v>
      </c>
      <c r="AF740" t="s">
        <v>43</v>
      </c>
      <c r="AG740" t="s">
        <v>43</v>
      </c>
      <c r="AH740" t="s">
        <v>43</v>
      </c>
      <c r="AI740" t="s">
        <v>43</v>
      </c>
      <c r="AJ740" t="s">
        <v>43</v>
      </c>
      <c r="AK740" t="s">
        <v>43</v>
      </c>
      <c r="AL740" t="s">
        <v>43</v>
      </c>
      <c r="AM740" t="s">
        <v>43</v>
      </c>
      <c r="AN740" t="str">
        <f>HYPERLINK("https://www.google.com/maps?q=11.05478954,79.06085968","Open Location")</f>
        <v>Open Location</v>
      </c>
    </row>
    <row r="741" spans="1:40" x14ac:dyDescent="0.3">
      <c r="A741" s="1">
        <v>46210.914004629631</v>
      </c>
      <c r="B741" t="s">
        <v>40</v>
      </c>
      <c r="C741" t="s">
        <v>41</v>
      </c>
      <c r="D741" s="1">
        <v>46210.916909722226</v>
      </c>
      <c r="E741" t="s">
        <v>42</v>
      </c>
      <c r="F741" t="s">
        <v>43</v>
      </c>
      <c r="G741" t="s">
        <v>43</v>
      </c>
      <c r="H741" t="s">
        <v>43</v>
      </c>
      <c r="I741" t="s">
        <v>349</v>
      </c>
      <c r="J741" t="s">
        <v>43</v>
      </c>
      <c r="K741" t="s">
        <v>43</v>
      </c>
      <c r="L741" t="s">
        <v>43</v>
      </c>
      <c r="M741" t="s">
        <v>43</v>
      </c>
      <c r="N741" t="s">
        <v>45</v>
      </c>
      <c r="O741" t="s">
        <v>43</v>
      </c>
      <c r="P741" t="s">
        <v>43</v>
      </c>
      <c r="Q741" t="s">
        <v>43</v>
      </c>
      <c r="R741" t="s">
        <v>43</v>
      </c>
      <c r="S741" t="s">
        <v>43</v>
      </c>
      <c r="T741" t="s">
        <v>43</v>
      </c>
      <c r="U741" t="s">
        <v>43</v>
      </c>
      <c r="V741" t="s">
        <v>43</v>
      </c>
      <c r="W741" t="s">
        <v>43</v>
      </c>
      <c r="X741" t="s">
        <v>43</v>
      </c>
      <c r="Y741" t="s">
        <v>43</v>
      </c>
      <c r="Z741" t="s">
        <v>43</v>
      </c>
      <c r="AA741" t="s">
        <v>43</v>
      </c>
      <c r="AB741" t="s">
        <v>43</v>
      </c>
      <c r="AC741" t="s">
        <v>43</v>
      </c>
      <c r="AD741" t="s">
        <v>43</v>
      </c>
      <c r="AE741" t="s">
        <v>43</v>
      </c>
      <c r="AF741" t="s">
        <v>43</v>
      </c>
      <c r="AG741" t="s">
        <v>43</v>
      </c>
      <c r="AH741" t="s">
        <v>43</v>
      </c>
      <c r="AI741" t="s">
        <v>43</v>
      </c>
      <c r="AJ741" t="s">
        <v>43</v>
      </c>
      <c r="AK741" t="s">
        <v>43</v>
      </c>
      <c r="AL741" t="s">
        <v>43</v>
      </c>
      <c r="AM741" t="s">
        <v>43</v>
      </c>
      <c r="AN741" t="str">
        <f>HYPERLINK("https://www.google.com/maps?q=11.05478954,79.06086731","Open Location")</f>
        <v>Open Location</v>
      </c>
    </row>
    <row r="742" spans="1:40" x14ac:dyDescent="0.3">
      <c r="A742" s="1">
        <v>46210.913888888892</v>
      </c>
      <c r="B742" t="s">
        <v>40</v>
      </c>
      <c r="C742" t="s">
        <v>41</v>
      </c>
      <c r="D742" s="1">
        <v>46210.916898148149</v>
      </c>
      <c r="E742" t="s">
        <v>42</v>
      </c>
      <c r="F742" t="s">
        <v>43</v>
      </c>
      <c r="G742" t="s">
        <v>43</v>
      </c>
      <c r="H742" t="s">
        <v>43</v>
      </c>
      <c r="I742" t="s">
        <v>43</v>
      </c>
      <c r="J742" t="s">
        <v>43</v>
      </c>
      <c r="K742" t="s">
        <v>43</v>
      </c>
      <c r="L742" t="s">
        <v>43</v>
      </c>
      <c r="M742" t="s">
        <v>43</v>
      </c>
      <c r="N742" t="s">
        <v>45</v>
      </c>
      <c r="O742" t="s">
        <v>43</v>
      </c>
      <c r="P742" t="s">
        <v>43</v>
      </c>
      <c r="Q742" t="s">
        <v>43</v>
      </c>
      <c r="R742" t="s">
        <v>43</v>
      </c>
      <c r="S742" t="s">
        <v>43</v>
      </c>
      <c r="T742" t="s">
        <v>43</v>
      </c>
      <c r="U742" t="s">
        <v>43</v>
      </c>
      <c r="V742" t="s">
        <v>43</v>
      </c>
      <c r="W742" t="s">
        <v>43</v>
      </c>
      <c r="X742" t="s">
        <v>43</v>
      </c>
      <c r="Y742" t="s">
        <v>43</v>
      </c>
      <c r="Z742" t="s">
        <v>43</v>
      </c>
      <c r="AA742" t="s">
        <v>43</v>
      </c>
      <c r="AB742" t="s">
        <v>43</v>
      </c>
      <c r="AC742" t="s">
        <v>43</v>
      </c>
      <c r="AD742" t="s">
        <v>43</v>
      </c>
      <c r="AE742" t="s">
        <v>43</v>
      </c>
      <c r="AF742" t="s">
        <v>43</v>
      </c>
      <c r="AG742" t="s">
        <v>43</v>
      </c>
      <c r="AH742" t="s">
        <v>43</v>
      </c>
      <c r="AI742" t="s">
        <v>43</v>
      </c>
      <c r="AJ742" t="s">
        <v>43</v>
      </c>
      <c r="AK742" t="s">
        <v>43</v>
      </c>
      <c r="AL742" t="s">
        <v>43</v>
      </c>
      <c r="AM742" t="s">
        <v>43</v>
      </c>
      <c r="AN742" t="s">
        <v>43</v>
      </c>
    </row>
    <row r="743" spans="1:40" x14ac:dyDescent="0.3">
      <c r="A743" s="1">
        <v>46210.913773148146</v>
      </c>
      <c r="B743" t="s">
        <v>40</v>
      </c>
      <c r="C743" t="s">
        <v>41</v>
      </c>
      <c r="D743" s="1">
        <v>46210.916539351849</v>
      </c>
      <c r="E743" t="s">
        <v>42</v>
      </c>
      <c r="F743" t="s">
        <v>43</v>
      </c>
      <c r="G743" t="s">
        <v>43</v>
      </c>
      <c r="H743" t="s">
        <v>43</v>
      </c>
      <c r="I743" t="s">
        <v>349</v>
      </c>
      <c r="J743" t="s">
        <v>43</v>
      </c>
      <c r="K743" t="s">
        <v>43</v>
      </c>
      <c r="L743" t="s">
        <v>43</v>
      </c>
      <c r="M743" t="s">
        <v>43</v>
      </c>
      <c r="N743" t="s">
        <v>45</v>
      </c>
      <c r="O743" t="s">
        <v>43</v>
      </c>
      <c r="P743" t="s">
        <v>43</v>
      </c>
      <c r="Q743" t="s">
        <v>43</v>
      </c>
      <c r="R743" t="s">
        <v>43</v>
      </c>
      <c r="S743" t="s">
        <v>43</v>
      </c>
      <c r="T743" t="s">
        <v>43</v>
      </c>
      <c r="U743" t="s">
        <v>43</v>
      </c>
      <c r="V743" t="s">
        <v>43</v>
      </c>
      <c r="W743" t="s">
        <v>43</v>
      </c>
      <c r="X743" t="s">
        <v>43</v>
      </c>
      <c r="Y743" t="s">
        <v>43</v>
      </c>
      <c r="Z743" t="s">
        <v>43</v>
      </c>
      <c r="AA743" t="s">
        <v>43</v>
      </c>
      <c r="AB743" t="s">
        <v>43</v>
      </c>
      <c r="AC743" t="s">
        <v>43</v>
      </c>
      <c r="AD743" t="s">
        <v>43</v>
      </c>
      <c r="AE743" t="s">
        <v>43</v>
      </c>
      <c r="AF743" t="s">
        <v>43</v>
      </c>
      <c r="AG743" t="s">
        <v>43</v>
      </c>
      <c r="AH743" t="s">
        <v>43</v>
      </c>
      <c r="AI743" t="s">
        <v>43</v>
      </c>
      <c r="AJ743" t="s">
        <v>43</v>
      </c>
      <c r="AK743" t="s">
        <v>43</v>
      </c>
      <c r="AL743" t="s">
        <v>43</v>
      </c>
      <c r="AM743" t="s">
        <v>43</v>
      </c>
      <c r="AN743" t="str">
        <f>HYPERLINK("https://www.google.com/maps?q=11.05478954,79.06086731","Open Location")</f>
        <v>Open Location</v>
      </c>
    </row>
    <row r="744" spans="1:40" x14ac:dyDescent="0.3">
      <c r="A744" s="1">
        <v>46210.913657407407</v>
      </c>
      <c r="B744" t="s">
        <v>40</v>
      </c>
      <c r="C744" t="s">
        <v>41</v>
      </c>
      <c r="D744" s="1">
        <v>46210.916539351849</v>
      </c>
      <c r="E744" t="s">
        <v>42</v>
      </c>
      <c r="F744" t="s">
        <v>43</v>
      </c>
      <c r="G744" t="s">
        <v>43</v>
      </c>
      <c r="H744" t="s">
        <v>43</v>
      </c>
      <c r="I744" t="s">
        <v>300</v>
      </c>
      <c r="J744" t="s">
        <v>43</v>
      </c>
      <c r="K744" t="s">
        <v>43</v>
      </c>
      <c r="L744" t="s">
        <v>43</v>
      </c>
      <c r="M744" t="s">
        <v>43</v>
      </c>
      <c r="N744" t="s">
        <v>45</v>
      </c>
      <c r="O744" t="s">
        <v>43</v>
      </c>
      <c r="P744" t="s">
        <v>43</v>
      </c>
      <c r="Q744" t="s">
        <v>43</v>
      </c>
      <c r="R744" t="s">
        <v>43</v>
      </c>
      <c r="S744" t="s">
        <v>43</v>
      </c>
      <c r="T744" t="s">
        <v>43</v>
      </c>
      <c r="U744" t="s">
        <v>43</v>
      </c>
      <c r="V744" t="s">
        <v>43</v>
      </c>
      <c r="W744" t="s">
        <v>43</v>
      </c>
      <c r="X744" t="s">
        <v>43</v>
      </c>
      <c r="Y744" t="s">
        <v>43</v>
      </c>
      <c r="Z744" t="s">
        <v>43</v>
      </c>
      <c r="AA744" t="s">
        <v>43</v>
      </c>
      <c r="AB744" t="s">
        <v>43</v>
      </c>
      <c r="AC744" t="s">
        <v>43</v>
      </c>
      <c r="AD744" t="s">
        <v>43</v>
      </c>
      <c r="AE744" t="s">
        <v>43</v>
      </c>
      <c r="AF744" t="s">
        <v>43</v>
      </c>
      <c r="AG744" t="s">
        <v>43</v>
      </c>
      <c r="AH744" t="s">
        <v>43</v>
      </c>
      <c r="AI744" t="s">
        <v>43</v>
      </c>
      <c r="AJ744" t="s">
        <v>43</v>
      </c>
      <c r="AK744" t="s">
        <v>43</v>
      </c>
      <c r="AL744" t="s">
        <v>43</v>
      </c>
      <c r="AM744" t="s">
        <v>43</v>
      </c>
      <c r="AN744" t="str">
        <f>HYPERLINK("https://www.google.com/maps?q=11.05478859,79.06086731","Open Location")</f>
        <v>Open Location</v>
      </c>
    </row>
    <row r="745" spans="1:40" x14ac:dyDescent="0.3">
      <c r="A745" s="1">
        <v>46210.913541666669</v>
      </c>
      <c r="B745" t="s">
        <v>40</v>
      </c>
      <c r="C745" t="s">
        <v>41</v>
      </c>
      <c r="D745" s="1">
        <v>46210.916273148148</v>
      </c>
      <c r="E745" t="s">
        <v>42</v>
      </c>
      <c r="F745" t="s">
        <v>43</v>
      </c>
      <c r="G745" t="s">
        <v>43</v>
      </c>
      <c r="H745" t="s">
        <v>43</v>
      </c>
      <c r="I745" t="s">
        <v>356</v>
      </c>
      <c r="J745" t="s">
        <v>43</v>
      </c>
      <c r="K745" t="s">
        <v>43</v>
      </c>
      <c r="L745" t="s">
        <v>43</v>
      </c>
      <c r="M745" t="s">
        <v>43</v>
      </c>
      <c r="N745" t="s">
        <v>45</v>
      </c>
      <c r="O745" t="s">
        <v>43</v>
      </c>
      <c r="P745" t="s">
        <v>43</v>
      </c>
      <c r="Q745" t="s">
        <v>43</v>
      </c>
      <c r="R745" t="s">
        <v>43</v>
      </c>
      <c r="S745" t="s">
        <v>43</v>
      </c>
      <c r="T745" t="s">
        <v>43</v>
      </c>
      <c r="U745" t="s">
        <v>43</v>
      </c>
      <c r="V745" t="s">
        <v>43</v>
      </c>
      <c r="W745" t="s">
        <v>43</v>
      </c>
      <c r="X745" t="s">
        <v>43</v>
      </c>
      <c r="Y745" t="s">
        <v>43</v>
      </c>
      <c r="Z745" t="s">
        <v>43</v>
      </c>
      <c r="AA745" t="s">
        <v>43</v>
      </c>
      <c r="AB745" t="s">
        <v>43</v>
      </c>
      <c r="AC745" t="s">
        <v>43</v>
      </c>
      <c r="AD745" t="s">
        <v>43</v>
      </c>
      <c r="AE745" t="s">
        <v>43</v>
      </c>
      <c r="AF745" t="s">
        <v>43</v>
      </c>
      <c r="AG745" t="s">
        <v>43</v>
      </c>
      <c r="AH745" t="s">
        <v>43</v>
      </c>
      <c r="AI745" t="s">
        <v>43</v>
      </c>
      <c r="AJ745" t="s">
        <v>43</v>
      </c>
      <c r="AK745" t="s">
        <v>43</v>
      </c>
      <c r="AL745" t="s">
        <v>43</v>
      </c>
      <c r="AM745" t="s">
        <v>43</v>
      </c>
      <c r="AN745" t="str">
        <f>HYPERLINK("https://www.google.com/maps?q=11.05478859,79.06085968","Open Location")</f>
        <v>Open Location</v>
      </c>
    </row>
    <row r="746" spans="1:40" x14ac:dyDescent="0.3">
      <c r="A746" s="1">
        <v>46210.913425925923</v>
      </c>
      <c r="B746" t="s">
        <v>40</v>
      </c>
      <c r="C746" t="s">
        <v>41</v>
      </c>
      <c r="D746" s="1">
        <v>46210.916643518518</v>
      </c>
      <c r="E746" t="s">
        <v>42</v>
      </c>
      <c r="F746" t="s">
        <v>43</v>
      </c>
      <c r="G746" t="s">
        <v>43</v>
      </c>
      <c r="H746" t="s">
        <v>43</v>
      </c>
      <c r="I746" t="s">
        <v>356</v>
      </c>
      <c r="J746" t="s">
        <v>43</v>
      </c>
      <c r="K746" t="s">
        <v>43</v>
      </c>
      <c r="L746" t="s">
        <v>43</v>
      </c>
      <c r="M746" t="s">
        <v>43</v>
      </c>
      <c r="N746" t="s">
        <v>45</v>
      </c>
      <c r="O746" t="s">
        <v>43</v>
      </c>
      <c r="P746" t="s">
        <v>43</v>
      </c>
      <c r="Q746" t="s">
        <v>43</v>
      </c>
      <c r="R746" t="s">
        <v>43</v>
      </c>
      <c r="S746" t="s">
        <v>43</v>
      </c>
      <c r="T746" t="s">
        <v>43</v>
      </c>
      <c r="U746" t="s">
        <v>43</v>
      </c>
      <c r="V746" t="s">
        <v>43</v>
      </c>
      <c r="W746" t="s">
        <v>43</v>
      </c>
      <c r="X746" t="s">
        <v>43</v>
      </c>
      <c r="Y746" t="s">
        <v>43</v>
      </c>
      <c r="Z746" t="s">
        <v>43</v>
      </c>
      <c r="AA746" t="s">
        <v>43</v>
      </c>
      <c r="AB746" t="s">
        <v>43</v>
      </c>
      <c r="AC746" t="s">
        <v>43</v>
      </c>
      <c r="AD746" t="s">
        <v>43</v>
      </c>
      <c r="AE746" t="s">
        <v>43</v>
      </c>
      <c r="AF746" t="s">
        <v>43</v>
      </c>
      <c r="AG746" t="s">
        <v>43</v>
      </c>
      <c r="AH746" t="s">
        <v>43</v>
      </c>
      <c r="AI746" t="s">
        <v>43</v>
      </c>
      <c r="AJ746" t="s">
        <v>43</v>
      </c>
      <c r="AK746" t="s">
        <v>43</v>
      </c>
      <c r="AL746" t="s">
        <v>43</v>
      </c>
      <c r="AM746" t="s">
        <v>43</v>
      </c>
      <c r="AN746" t="str">
        <f>HYPERLINK("https://www.google.com/maps?q=11.05478859,79.06085968","Open Location")</f>
        <v>Open Location</v>
      </c>
    </row>
    <row r="747" spans="1:40" x14ac:dyDescent="0.3">
      <c r="A747" s="1">
        <v>46210.913310185184</v>
      </c>
      <c r="B747" t="s">
        <v>40</v>
      </c>
      <c r="C747" t="s">
        <v>41</v>
      </c>
      <c r="D747" s="1">
        <v>46210.916250000002</v>
      </c>
      <c r="E747" t="s">
        <v>42</v>
      </c>
      <c r="F747" t="s">
        <v>43</v>
      </c>
      <c r="G747" t="s">
        <v>43</v>
      </c>
      <c r="H747" t="s">
        <v>43</v>
      </c>
      <c r="I747" t="s">
        <v>357</v>
      </c>
      <c r="J747" t="s">
        <v>43</v>
      </c>
      <c r="K747" t="s">
        <v>43</v>
      </c>
      <c r="L747" t="s">
        <v>43</v>
      </c>
      <c r="M747" t="s">
        <v>43</v>
      </c>
      <c r="N747" t="s">
        <v>45</v>
      </c>
      <c r="O747" t="s">
        <v>43</v>
      </c>
      <c r="P747" t="s">
        <v>43</v>
      </c>
      <c r="Q747" t="s">
        <v>43</v>
      </c>
      <c r="R747" t="s">
        <v>43</v>
      </c>
      <c r="S747" t="s">
        <v>43</v>
      </c>
      <c r="T747" t="s">
        <v>43</v>
      </c>
      <c r="U747" t="s">
        <v>43</v>
      </c>
      <c r="V747" t="s">
        <v>43</v>
      </c>
      <c r="W747" t="s">
        <v>43</v>
      </c>
      <c r="X747" t="s">
        <v>43</v>
      </c>
      <c r="Y747" t="s">
        <v>43</v>
      </c>
      <c r="Z747" t="s">
        <v>43</v>
      </c>
      <c r="AA747" t="s">
        <v>43</v>
      </c>
      <c r="AB747" t="s">
        <v>43</v>
      </c>
      <c r="AC747" t="s">
        <v>43</v>
      </c>
      <c r="AD747" t="s">
        <v>43</v>
      </c>
      <c r="AE747" t="s">
        <v>43</v>
      </c>
      <c r="AF747" t="s">
        <v>43</v>
      </c>
      <c r="AG747" t="s">
        <v>43</v>
      </c>
      <c r="AH747" t="s">
        <v>43</v>
      </c>
      <c r="AI747" t="s">
        <v>43</v>
      </c>
      <c r="AJ747" t="s">
        <v>43</v>
      </c>
      <c r="AK747" t="s">
        <v>43</v>
      </c>
      <c r="AL747" t="s">
        <v>43</v>
      </c>
      <c r="AM747" t="s">
        <v>43</v>
      </c>
      <c r="AN747" t="str">
        <f>HYPERLINK("https://www.google.com/maps?q=11.05478859,79.06084442","Open Location")</f>
        <v>Open Location</v>
      </c>
    </row>
    <row r="748" spans="1:40" x14ac:dyDescent="0.3">
      <c r="A748" s="1">
        <v>46210.913194444445</v>
      </c>
      <c r="B748" t="s">
        <v>40</v>
      </c>
      <c r="C748" t="s">
        <v>41</v>
      </c>
      <c r="D748" s="1">
        <v>46210.916076388887</v>
      </c>
      <c r="E748" t="s">
        <v>42</v>
      </c>
      <c r="F748" t="s">
        <v>43</v>
      </c>
      <c r="G748" t="s">
        <v>43</v>
      </c>
      <c r="H748" t="s">
        <v>43</v>
      </c>
      <c r="I748" t="s">
        <v>43</v>
      </c>
      <c r="J748" t="s">
        <v>43</v>
      </c>
      <c r="K748" t="s">
        <v>43</v>
      </c>
      <c r="L748" t="s">
        <v>43</v>
      </c>
      <c r="M748" t="s">
        <v>43</v>
      </c>
      <c r="N748" t="s">
        <v>45</v>
      </c>
      <c r="O748" t="s">
        <v>43</v>
      </c>
      <c r="P748" t="s">
        <v>43</v>
      </c>
      <c r="Q748" t="s">
        <v>43</v>
      </c>
      <c r="R748" t="s">
        <v>43</v>
      </c>
      <c r="S748" t="s">
        <v>43</v>
      </c>
      <c r="T748" t="s">
        <v>43</v>
      </c>
      <c r="U748" t="s">
        <v>43</v>
      </c>
      <c r="V748" t="s">
        <v>43</v>
      </c>
      <c r="W748" t="s">
        <v>43</v>
      </c>
      <c r="X748" t="s">
        <v>43</v>
      </c>
      <c r="Y748" t="s">
        <v>43</v>
      </c>
      <c r="Z748" t="s">
        <v>43</v>
      </c>
      <c r="AA748" t="s">
        <v>43</v>
      </c>
      <c r="AB748" t="s">
        <v>43</v>
      </c>
      <c r="AC748" t="s">
        <v>43</v>
      </c>
      <c r="AD748" t="s">
        <v>43</v>
      </c>
      <c r="AE748" t="s">
        <v>43</v>
      </c>
      <c r="AF748" t="s">
        <v>43</v>
      </c>
      <c r="AG748" t="s">
        <v>43</v>
      </c>
      <c r="AH748" t="s">
        <v>43</v>
      </c>
      <c r="AI748" t="s">
        <v>43</v>
      </c>
      <c r="AJ748" t="s">
        <v>43</v>
      </c>
      <c r="AK748" t="s">
        <v>43</v>
      </c>
      <c r="AL748" t="s">
        <v>43</v>
      </c>
      <c r="AM748" t="s">
        <v>43</v>
      </c>
      <c r="AN748" t="s">
        <v>43</v>
      </c>
    </row>
    <row r="749" spans="1:40" x14ac:dyDescent="0.3">
      <c r="A749" s="1">
        <v>46210.913078703707</v>
      </c>
      <c r="B749" t="s">
        <v>40</v>
      </c>
      <c r="C749" t="s">
        <v>41</v>
      </c>
      <c r="D749" s="1">
        <v>46210.916145833333</v>
      </c>
      <c r="E749" t="s">
        <v>42</v>
      </c>
      <c r="F749" t="s">
        <v>43</v>
      </c>
      <c r="G749" t="s">
        <v>43</v>
      </c>
      <c r="H749" t="s">
        <v>43</v>
      </c>
      <c r="I749" t="s">
        <v>358</v>
      </c>
      <c r="J749" t="s">
        <v>43</v>
      </c>
      <c r="K749" t="s">
        <v>43</v>
      </c>
      <c r="L749" t="s">
        <v>43</v>
      </c>
      <c r="M749" t="s">
        <v>43</v>
      </c>
      <c r="N749" t="s">
        <v>45</v>
      </c>
      <c r="O749" t="s">
        <v>43</v>
      </c>
      <c r="P749" t="s">
        <v>43</v>
      </c>
      <c r="Q749" t="s">
        <v>43</v>
      </c>
      <c r="R749" t="s">
        <v>43</v>
      </c>
      <c r="S749" t="s">
        <v>43</v>
      </c>
      <c r="T749" t="s">
        <v>43</v>
      </c>
      <c r="U749" t="s">
        <v>43</v>
      </c>
      <c r="V749" t="s">
        <v>43</v>
      </c>
      <c r="W749" t="s">
        <v>43</v>
      </c>
      <c r="X749" t="s">
        <v>43</v>
      </c>
      <c r="Y749" t="s">
        <v>43</v>
      </c>
      <c r="Z749" t="s">
        <v>43</v>
      </c>
      <c r="AA749" t="s">
        <v>43</v>
      </c>
      <c r="AB749" t="s">
        <v>43</v>
      </c>
      <c r="AC749" t="s">
        <v>43</v>
      </c>
      <c r="AD749" t="s">
        <v>43</v>
      </c>
      <c r="AE749" t="s">
        <v>43</v>
      </c>
      <c r="AF749" t="s">
        <v>43</v>
      </c>
      <c r="AG749" t="s">
        <v>43</v>
      </c>
      <c r="AH749" t="s">
        <v>43</v>
      </c>
      <c r="AI749" t="s">
        <v>43</v>
      </c>
      <c r="AJ749" t="s">
        <v>43</v>
      </c>
      <c r="AK749" t="s">
        <v>43</v>
      </c>
      <c r="AL749" t="s">
        <v>43</v>
      </c>
      <c r="AM749" t="s">
        <v>43</v>
      </c>
      <c r="AN749" t="str">
        <f>HYPERLINK("https://www.google.com/maps?q=11.05478477,79.06084442","Open Location")</f>
        <v>Open Location</v>
      </c>
    </row>
    <row r="750" spans="1:40" x14ac:dyDescent="0.3">
      <c r="A750" s="1">
        <v>46210.912962962961</v>
      </c>
      <c r="B750" t="s">
        <v>40</v>
      </c>
      <c r="C750" t="s">
        <v>41</v>
      </c>
      <c r="D750" s="1">
        <v>46210.916064814817</v>
      </c>
      <c r="E750" t="s">
        <v>42</v>
      </c>
      <c r="F750" t="s">
        <v>43</v>
      </c>
      <c r="G750" t="s">
        <v>43</v>
      </c>
      <c r="H750" t="s">
        <v>43</v>
      </c>
      <c r="I750" t="s">
        <v>359</v>
      </c>
      <c r="J750" t="s">
        <v>43</v>
      </c>
      <c r="K750" t="s">
        <v>43</v>
      </c>
      <c r="L750" t="s">
        <v>43</v>
      </c>
      <c r="M750" t="s">
        <v>43</v>
      </c>
      <c r="N750" t="s">
        <v>45</v>
      </c>
      <c r="O750" t="s">
        <v>43</v>
      </c>
      <c r="P750" t="s">
        <v>43</v>
      </c>
      <c r="Q750" t="s">
        <v>43</v>
      </c>
      <c r="R750" t="s">
        <v>43</v>
      </c>
      <c r="S750" t="s">
        <v>43</v>
      </c>
      <c r="T750" t="s">
        <v>43</v>
      </c>
      <c r="U750" t="s">
        <v>43</v>
      </c>
      <c r="V750" t="s">
        <v>43</v>
      </c>
      <c r="W750" t="s">
        <v>43</v>
      </c>
      <c r="X750" t="s">
        <v>43</v>
      </c>
      <c r="Y750" t="s">
        <v>43</v>
      </c>
      <c r="Z750" t="s">
        <v>43</v>
      </c>
      <c r="AA750" t="s">
        <v>43</v>
      </c>
      <c r="AB750" t="s">
        <v>43</v>
      </c>
      <c r="AC750" t="s">
        <v>43</v>
      </c>
      <c r="AD750" t="s">
        <v>43</v>
      </c>
      <c r="AE750" t="s">
        <v>43</v>
      </c>
      <c r="AF750" t="s">
        <v>43</v>
      </c>
      <c r="AG750" t="s">
        <v>43</v>
      </c>
      <c r="AH750" t="s">
        <v>43</v>
      </c>
      <c r="AI750" t="s">
        <v>43</v>
      </c>
      <c r="AJ750" t="s">
        <v>43</v>
      </c>
      <c r="AK750" t="s">
        <v>43</v>
      </c>
      <c r="AL750" t="s">
        <v>43</v>
      </c>
      <c r="AM750" t="s">
        <v>43</v>
      </c>
      <c r="AN750" t="str">
        <f>HYPERLINK("https://www.google.com/maps?q=11.05478764,79.06085968","Open Location")</f>
        <v>Open Location</v>
      </c>
    </row>
    <row r="751" spans="1:40" x14ac:dyDescent="0.3">
      <c r="A751" s="1">
        <v>46210.912847222222</v>
      </c>
      <c r="B751" t="s">
        <v>40</v>
      </c>
      <c r="C751" t="s">
        <v>41</v>
      </c>
      <c r="D751" s="1">
        <v>46210.915810185186</v>
      </c>
      <c r="E751" t="s">
        <v>42</v>
      </c>
      <c r="F751" t="s">
        <v>43</v>
      </c>
      <c r="G751" t="s">
        <v>43</v>
      </c>
      <c r="H751" t="s">
        <v>43</v>
      </c>
      <c r="I751" t="s">
        <v>360</v>
      </c>
      <c r="J751" t="s">
        <v>43</v>
      </c>
      <c r="K751" t="s">
        <v>43</v>
      </c>
      <c r="L751" t="s">
        <v>43</v>
      </c>
      <c r="M751" t="s">
        <v>43</v>
      </c>
      <c r="N751" t="s">
        <v>45</v>
      </c>
      <c r="O751" t="s">
        <v>43</v>
      </c>
      <c r="P751" t="s">
        <v>43</v>
      </c>
      <c r="Q751" t="s">
        <v>43</v>
      </c>
      <c r="R751" t="s">
        <v>43</v>
      </c>
      <c r="S751" t="s">
        <v>43</v>
      </c>
      <c r="T751" t="s">
        <v>43</v>
      </c>
      <c r="U751" t="s">
        <v>43</v>
      </c>
      <c r="V751" t="s">
        <v>43</v>
      </c>
      <c r="W751" t="s">
        <v>43</v>
      </c>
      <c r="X751" t="s">
        <v>43</v>
      </c>
      <c r="Y751" t="s">
        <v>43</v>
      </c>
      <c r="Z751" t="s">
        <v>43</v>
      </c>
      <c r="AA751" t="s">
        <v>43</v>
      </c>
      <c r="AB751" t="s">
        <v>43</v>
      </c>
      <c r="AC751" t="s">
        <v>43</v>
      </c>
      <c r="AD751" t="s">
        <v>43</v>
      </c>
      <c r="AE751" t="s">
        <v>43</v>
      </c>
      <c r="AF751" t="s">
        <v>43</v>
      </c>
      <c r="AG751" t="s">
        <v>43</v>
      </c>
      <c r="AH751" t="s">
        <v>43</v>
      </c>
      <c r="AI751" t="s">
        <v>43</v>
      </c>
      <c r="AJ751" t="s">
        <v>43</v>
      </c>
      <c r="AK751" t="s">
        <v>43</v>
      </c>
      <c r="AL751" t="s">
        <v>43</v>
      </c>
      <c r="AM751" t="s">
        <v>43</v>
      </c>
      <c r="AN751" t="str">
        <f>HYPERLINK("https://www.google.com/maps?q=11.05478573,79.06084442","Open Location")</f>
        <v>Open Location</v>
      </c>
    </row>
    <row r="752" spans="1:40" x14ac:dyDescent="0.3">
      <c r="A752" s="1">
        <v>46210.912731481483</v>
      </c>
      <c r="B752" t="s">
        <v>40</v>
      </c>
      <c r="C752" t="s">
        <v>41</v>
      </c>
      <c r="D752" s="1">
        <v>46210.915682870371</v>
      </c>
      <c r="E752" t="s">
        <v>42</v>
      </c>
      <c r="F752" t="s">
        <v>43</v>
      </c>
      <c r="G752" t="s">
        <v>43</v>
      </c>
      <c r="H752" t="s">
        <v>43</v>
      </c>
      <c r="I752" t="s">
        <v>360</v>
      </c>
      <c r="J752" t="s">
        <v>43</v>
      </c>
      <c r="K752" t="s">
        <v>43</v>
      </c>
      <c r="L752" t="s">
        <v>43</v>
      </c>
      <c r="M752" t="s">
        <v>43</v>
      </c>
      <c r="N752" t="s">
        <v>45</v>
      </c>
      <c r="O752" t="s">
        <v>43</v>
      </c>
      <c r="P752" t="s">
        <v>43</v>
      </c>
      <c r="Q752" t="s">
        <v>43</v>
      </c>
      <c r="R752" t="s">
        <v>43</v>
      </c>
      <c r="S752" t="s">
        <v>43</v>
      </c>
      <c r="T752" t="s">
        <v>43</v>
      </c>
      <c r="U752" t="s">
        <v>43</v>
      </c>
      <c r="V752" t="s">
        <v>43</v>
      </c>
      <c r="W752" t="s">
        <v>43</v>
      </c>
      <c r="X752" t="s">
        <v>43</v>
      </c>
      <c r="Y752" t="s">
        <v>43</v>
      </c>
      <c r="Z752" t="s">
        <v>43</v>
      </c>
      <c r="AA752" t="s">
        <v>43</v>
      </c>
      <c r="AB752" t="s">
        <v>43</v>
      </c>
      <c r="AC752" t="s">
        <v>43</v>
      </c>
      <c r="AD752" t="s">
        <v>43</v>
      </c>
      <c r="AE752" t="s">
        <v>43</v>
      </c>
      <c r="AF752" t="s">
        <v>43</v>
      </c>
      <c r="AG752" t="s">
        <v>43</v>
      </c>
      <c r="AH752" t="s">
        <v>43</v>
      </c>
      <c r="AI752" t="s">
        <v>43</v>
      </c>
      <c r="AJ752" t="s">
        <v>43</v>
      </c>
      <c r="AK752" t="s">
        <v>43</v>
      </c>
      <c r="AL752" t="s">
        <v>43</v>
      </c>
      <c r="AM752" t="s">
        <v>43</v>
      </c>
      <c r="AN752" t="str">
        <f>HYPERLINK("https://www.google.com/maps?q=11.05478573,79.06084442","Open Location")</f>
        <v>Open Location</v>
      </c>
    </row>
    <row r="753" spans="1:40" x14ac:dyDescent="0.3">
      <c r="A753" s="1">
        <v>46210.912615740737</v>
      </c>
      <c r="B753" t="s">
        <v>40</v>
      </c>
      <c r="C753" t="s">
        <v>41</v>
      </c>
      <c r="D753" s="1">
        <v>46210.915671296294</v>
      </c>
      <c r="E753" t="s">
        <v>42</v>
      </c>
      <c r="F753" t="s">
        <v>43</v>
      </c>
      <c r="G753" t="s">
        <v>43</v>
      </c>
      <c r="H753" t="s">
        <v>43</v>
      </c>
      <c r="I753" t="s">
        <v>357</v>
      </c>
      <c r="J753" t="s">
        <v>43</v>
      </c>
      <c r="K753" t="s">
        <v>43</v>
      </c>
      <c r="L753" t="s">
        <v>43</v>
      </c>
      <c r="M753" t="s">
        <v>43</v>
      </c>
      <c r="N753" t="s">
        <v>45</v>
      </c>
      <c r="O753" t="s">
        <v>43</v>
      </c>
      <c r="P753" t="s">
        <v>43</v>
      </c>
      <c r="Q753" t="s">
        <v>43</v>
      </c>
      <c r="R753" t="s">
        <v>43</v>
      </c>
      <c r="S753" t="s">
        <v>43</v>
      </c>
      <c r="T753" t="s">
        <v>43</v>
      </c>
      <c r="U753" t="s">
        <v>43</v>
      </c>
      <c r="V753" t="s">
        <v>43</v>
      </c>
      <c r="W753" t="s">
        <v>43</v>
      </c>
      <c r="X753" t="s">
        <v>43</v>
      </c>
      <c r="Y753" t="s">
        <v>43</v>
      </c>
      <c r="Z753" t="s">
        <v>43</v>
      </c>
      <c r="AA753" t="s">
        <v>43</v>
      </c>
      <c r="AB753" t="s">
        <v>43</v>
      </c>
      <c r="AC753" t="s">
        <v>43</v>
      </c>
      <c r="AD753" t="s">
        <v>43</v>
      </c>
      <c r="AE753" t="s">
        <v>43</v>
      </c>
      <c r="AF753" t="s">
        <v>43</v>
      </c>
      <c r="AG753" t="s">
        <v>43</v>
      </c>
      <c r="AH753" t="s">
        <v>43</v>
      </c>
      <c r="AI753" t="s">
        <v>43</v>
      </c>
      <c r="AJ753" t="s">
        <v>43</v>
      </c>
      <c r="AK753" t="s">
        <v>43</v>
      </c>
      <c r="AL753" t="s">
        <v>43</v>
      </c>
      <c r="AM753" t="s">
        <v>43</v>
      </c>
      <c r="AN753" t="str">
        <f>HYPERLINK("https://www.google.com/maps?q=11.05478859,79.06084442","Open Location")</f>
        <v>Open Location</v>
      </c>
    </row>
    <row r="754" spans="1:40" x14ac:dyDescent="0.3">
      <c r="A754" s="1">
        <v>46210.912499999999</v>
      </c>
      <c r="B754" t="s">
        <v>40</v>
      </c>
      <c r="C754" t="s">
        <v>41</v>
      </c>
      <c r="D754" s="1">
        <v>46210.915706018517</v>
      </c>
      <c r="E754" t="s">
        <v>42</v>
      </c>
      <c r="F754" t="s">
        <v>43</v>
      </c>
      <c r="G754" t="s">
        <v>43</v>
      </c>
      <c r="H754" t="s">
        <v>43</v>
      </c>
      <c r="I754" t="s">
        <v>43</v>
      </c>
      <c r="J754" t="s">
        <v>43</v>
      </c>
      <c r="K754" t="s">
        <v>43</v>
      </c>
      <c r="L754" t="s">
        <v>43</v>
      </c>
      <c r="M754" t="s">
        <v>43</v>
      </c>
      <c r="N754" t="s">
        <v>45</v>
      </c>
      <c r="O754" t="s">
        <v>43</v>
      </c>
      <c r="P754" t="s">
        <v>43</v>
      </c>
      <c r="Q754" t="s">
        <v>43</v>
      </c>
      <c r="R754" t="s">
        <v>43</v>
      </c>
      <c r="S754" t="s">
        <v>43</v>
      </c>
      <c r="T754" t="s">
        <v>43</v>
      </c>
      <c r="U754" t="s">
        <v>43</v>
      </c>
      <c r="V754" t="s">
        <v>43</v>
      </c>
      <c r="W754" t="s">
        <v>43</v>
      </c>
      <c r="X754" t="s">
        <v>43</v>
      </c>
      <c r="Y754" t="s">
        <v>43</v>
      </c>
      <c r="Z754" t="s">
        <v>43</v>
      </c>
      <c r="AA754" t="s">
        <v>43</v>
      </c>
      <c r="AB754" t="s">
        <v>43</v>
      </c>
      <c r="AC754" t="s">
        <v>43</v>
      </c>
      <c r="AD754" t="s">
        <v>43</v>
      </c>
      <c r="AE754" t="s">
        <v>43</v>
      </c>
      <c r="AF754" t="s">
        <v>43</v>
      </c>
      <c r="AG754" t="s">
        <v>43</v>
      </c>
      <c r="AH754" t="s">
        <v>43</v>
      </c>
      <c r="AI754" t="s">
        <v>43</v>
      </c>
      <c r="AJ754" t="s">
        <v>43</v>
      </c>
      <c r="AK754" t="s">
        <v>43</v>
      </c>
      <c r="AL754" t="s">
        <v>43</v>
      </c>
      <c r="AM754" t="s">
        <v>43</v>
      </c>
      <c r="AN754" t="s">
        <v>43</v>
      </c>
    </row>
    <row r="755" spans="1:40" x14ac:dyDescent="0.3">
      <c r="A755" s="1">
        <v>46210.91238425926</v>
      </c>
      <c r="B755" t="s">
        <v>40</v>
      </c>
      <c r="C755" t="s">
        <v>41</v>
      </c>
      <c r="D755" s="1">
        <v>46210.915312500001</v>
      </c>
      <c r="E755" t="s">
        <v>42</v>
      </c>
      <c r="F755" t="s">
        <v>43</v>
      </c>
      <c r="G755" t="s">
        <v>43</v>
      </c>
      <c r="H755" t="s">
        <v>43</v>
      </c>
      <c r="I755" t="s">
        <v>357</v>
      </c>
      <c r="J755" t="s">
        <v>43</v>
      </c>
      <c r="K755" t="s">
        <v>43</v>
      </c>
      <c r="L755" t="s">
        <v>43</v>
      </c>
      <c r="M755" t="s">
        <v>43</v>
      </c>
      <c r="N755" t="s">
        <v>45</v>
      </c>
      <c r="O755" t="s">
        <v>43</v>
      </c>
      <c r="P755" t="s">
        <v>43</v>
      </c>
      <c r="Q755" t="s">
        <v>43</v>
      </c>
      <c r="R755" t="s">
        <v>43</v>
      </c>
      <c r="S755" t="s">
        <v>43</v>
      </c>
      <c r="T755" t="s">
        <v>43</v>
      </c>
      <c r="U755" t="s">
        <v>43</v>
      </c>
      <c r="V755" t="s">
        <v>43</v>
      </c>
      <c r="W755" t="s">
        <v>43</v>
      </c>
      <c r="X755" t="s">
        <v>43</v>
      </c>
      <c r="Y755" t="s">
        <v>43</v>
      </c>
      <c r="Z755" t="s">
        <v>43</v>
      </c>
      <c r="AA755" t="s">
        <v>43</v>
      </c>
      <c r="AB755" t="s">
        <v>43</v>
      </c>
      <c r="AC755" t="s">
        <v>43</v>
      </c>
      <c r="AD755" t="s">
        <v>43</v>
      </c>
      <c r="AE755" t="s">
        <v>43</v>
      </c>
      <c r="AF755" t="s">
        <v>43</v>
      </c>
      <c r="AG755" t="s">
        <v>43</v>
      </c>
      <c r="AH755" t="s">
        <v>43</v>
      </c>
      <c r="AI755" t="s">
        <v>43</v>
      </c>
      <c r="AJ755" t="s">
        <v>43</v>
      </c>
      <c r="AK755" t="s">
        <v>43</v>
      </c>
      <c r="AL755" t="s">
        <v>43</v>
      </c>
      <c r="AM755" t="s">
        <v>43</v>
      </c>
      <c r="AN755" t="str">
        <f>HYPERLINK("https://www.google.com/maps?q=11.05478859,79.06084442","Open Location")</f>
        <v>Open Location</v>
      </c>
    </row>
    <row r="756" spans="1:40" x14ac:dyDescent="0.3">
      <c r="A756" s="1">
        <v>46210.912268518521</v>
      </c>
      <c r="B756" t="s">
        <v>40</v>
      </c>
      <c r="C756" t="s">
        <v>41</v>
      </c>
      <c r="D756" s="1">
        <v>46210.915300925924</v>
      </c>
      <c r="E756" t="s">
        <v>42</v>
      </c>
      <c r="F756" t="s">
        <v>43</v>
      </c>
      <c r="G756" t="s">
        <v>43</v>
      </c>
      <c r="H756" t="s">
        <v>43</v>
      </c>
      <c r="I756" t="s">
        <v>360</v>
      </c>
      <c r="J756" t="s">
        <v>43</v>
      </c>
      <c r="K756" t="s">
        <v>43</v>
      </c>
      <c r="L756" t="s">
        <v>43</v>
      </c>
      <c r="M756" t="s">
        <v>43</v>
      </c>
      <c r="N756" t="s">
        <v>45</v>
      </c>
      <c r="O756" t="s">
        <v>43</v>
      </c>
      <c r="P756" t="s">
        <v>43</v>
      </c>
      <c r="Q756" t="s">
        <v>43</v>
      </c>
      <c r="R756" t="s">
        <v>43</v>
      </c>
      <c r="S756" t="s">
        <v>43</v>
      </c>
      <c r="T756" t="s">
        <v>43</v>
      </c>
      <c r="U756" t="s">
        <v>43</v>
      </c>
      <c r="V756" t="s">
        <v>43</v>
      </c>
      <c r="W756" t="s">
        <v>43</v>
      </c>
      <c r="X756" t="s">
        <v>43</v>
      </c>
      <c r="Y756" t="s">
        <v>43</v>
      </c>
      <c r="Z756" t="s">
        <v>43</v>
      </c>
      <c r="AA756" t="s">
        <v>43</v>
      </c>
      <c r="AB756" t="s">
        <v>43</v>
      </c>
      <c r="AC756" t="s">
        <v>43</v>
      </c>
      <c r="AD756" t="s">
        <v>43</v>
      </c>
      <c r="AE756" t="s">
        <v>43</v>
      </c>
      <c r="AF756" t="s">
        <v>43</v>
      </c>
      <c r="AG756" t="s">
        <v>43</v>
      </c>
      <c r="AH756" t="s">
        <v>43</v>
      </c>
      <c r="AI756" t="s">
        <v>43</v>
      </c>
      <c r="AJ756" t="s">
        <v>43</v>
      </c>
      <c r="AK756" t="s">
        <v>43</v>
      </c>
      <c r="AL756" t="s">
        <v>43</v>
      </c>
      <c r="AM756" t="s">
        <v>43</v>
      </c>
      <c r="AN756" t="str">
        <f>HYPERLINK("https://www.google.com/maps?q=11.05478573,79.06084442","Open Location")</f>
        <v>Open Location</v>
      </c>
    </row>
    <row r="757" spans="1:40" x14ac:dyDescent="0.3">
      <c r="A757" s="1">
        <v>46210.912152777775</v>
      </c>
      <c r="B757" t="s">
        <v>40</v>
      </c>
      <c r="C757" t="s">
        <v>41</v>
      </c>
      <c r="D757" s="1">
        <v>46210.915046296293</v>
      </c>
      <c r="E757" t="s">
        <v>42</v>
      </c>
      <c r="F757" t="s">
        <v>43</v>
      </c>
      <c r="G757" t="s">
        <v>43</v>
      </c>
      <c r="H757" t="s">
        <v>43</v>
      </c>
      <c r="I757" t="s">
        <v>361</v>
      </c>
      <c r="J757" t="s">
        <v>43</v>
      </c>
      <c r="K757" t="s">
        <v>43</v>
      </c>
      <c r="L757" t="s">
        <v>43</v>
      </c>
      <c r="M757" t="s">
        <v>43</v>
      </c>
      <c r="N757" t="s">
        <v>45</v>
      </c>
      <c r="O757" t="s">
        <v>43</v>
      </c>
      <c r="P757" t="s">
        <v>43</v>
      </c>
      <c r="Q757" t="s">
        <v>43</v>
      </c>
      <c r="R757" t="s">
        <v>43</v>
      </c>
      <c r="S757" t="s">
        <v>43</v>
      </c>
      <c r="T757" t="s">
        <v>43</v>
      </c>
      <c r="U757" t="s">
        <v>43</v>
      </c>
      <c r="V757" t="s">
        <v>43</v>
      </c>
      <c r="W757" t="s">
        <v>43</v>
      </c>
      <c r="X757" t="s">
        <v>43</v>
      </c>
      <c r="Y757" t="s">
        <v>43</v>
      </c>
      <c r="Z757" t="s">
        <v>43</v>
      </c>
      <c r="AA757" t="s">
        <v>43</v>
      </c>
      <c r="AB757" t="s">
        <v>43</v>
      </c>
      <c r="AC757" t="s">
        <v>43</v>
      </c>
      <c r="AD757" t="s">
        <v>43</v>
      </c>
      <c r="AE757" t="s">
        <v>43</v>
      </c>
      <c r="AF757" t="s">
        <v>43</v>
      </c>
      <c r="AG757" t="s">
        <v>43</v>
      </c>
      <c r="AH757" t="s">
        <v>43</v>
      </c>
      <c r="AI757" t="s">
        <v>43</v>
      </c>
      <c r="AJ757" t="s">
        <v>43</v>
      </c>
      <c r="AK757" t="s">
        <v>43</v>
      </c>
      <c r="AL757" t="s">
        <v>43</v>
      </c>
      <c r="AM757" t="s">
        <v>43</v>
      </c>
      <c r="AN757" t="str">
        <f>HYPERLINK("https://www.google.com/maps?q=11.05478191,79.06084442","Open Location")</f>
        <v>Open Location</v>
      </c>
    </row>
    <row r="758" spans="1:40" x14ac:dyDescent="0.3">
      <c r="A758" s="1">
        <v>46210.912037037036</v>
      </c>
      <c r="B758" t="s">
        <v>40</v>
      </c>
      <c r="C758" t="s">
        <v>41</v>
      </c>
      <c r="D758" s="1">
        <v>46210.914953703701</v>
      </c>
      <c r="E758" t="s">
        <v>42</v>
      </c>
      <c r="F758" t="s">
        <v>43</v>
      </c>
      <c r="G758" t="s">
        <v>43</v>
      </c>
      <c r="H758" t="s">
        <v>43</v>
      </c>
      <c r="I758" t="s">
        <v>362</v>
      </c>
      <c r="J758" t="s">
        <v>43</v>
      </c>
      <c r="K758" t="s">
        <v>43</v>
      </c>
      <c r="L758" t="s">
        <v>43</v>
      </c>
      <c r="M758" t="s">
        <v>43</v>
      </c>
      <c r="N758" t="s">
        <v>45</v>
      </c>
      <c r="O758" t="s">
        <v>43</v>
      </c>
      <c r="P758" t="s">
        <v>43</v>
      </c>
      <c r="Q758" t="s">
        <v>43</v>
      </c>
      <c r="R758" t="s">
        <v>43</v>
      </c>
      <c r="S758" t="s">
        <v>43</v>
      </c>
      <c r="T758" t="s">
        <v>43</v>
      </c>
      <c r="U758" t="s">
        <v>43</v>
      </c>
      <c r="V758" t="s">
        <v>43</v>
      </c>
      <c r="W758" t="s">
        <v>43</v>
      </c>
      <c r="X758" t="s">
        <v>43</v>
      </c>
      <c r="Y758" t="s">
        <v>43</v>
      </c>
      <c r="Z758" t="s">
        <v>43</v>
      </c>
      <c r="AA758" t="s">
        <v>43</v>
      </c>
      <c r="AB758" t="s">
        <v>43</v>
      </c>
      <c r="AC758" t="s">
        <v>43</v>
      </c>
      <c r="AD758" t="s">
        <v>43</v>
      </c>
      <c r="AE758" t="s">
        <v>43</v>
      </c>
      <c r="AF758" t="s">
        <v>43</v>
      </c>
      <c r="AG758" t="s">
        <v>43</v>
      </c>
      <c r="AH758" t="s">
        <v>43</v>
      </c>
      <c r="AI758" t="s">
        <v>43</v>
      </c>
      <c r="AJ758" t="s">
        <v>43</v>
      </c>
      <c r="AK758" t="s">
        <v>43</v>
      </c>
      <c r="AL758" t="s">
        <v>43</v>
      </c>
      <c r="AM758" t="s">
        <v>43</v>
      </c>
      <c r="AN758" t="str">
        <f>HYPERLINK("https://www.google.com/maps?q=11.05478668,79.06083679","Open Location")</f>
        <v>Open Location</v>
      </c>
    </row>
    <row r="759" spans="1:40" x14ac:dyDescent="0.3">
      <c r="A759" s="1">
        <v>46210.911921296298</v>
      </c>
      <c r="B759" t="s">
        <v>40</v>
      </c>
      <c r="C759" t="s">
        <v>41</v>
      </c>
      <c r="D759" s="1">
        <v>46210.914768518516</v>
      </c>
      <c r="E759" t="s">
        <v>42</v>
      </c>
      <c r="F759" t="s">
        <v>43</v>
      </c>
      <c r="G759" t="s">
        <v>43</v>
      </c>
      <c r="H759" t="s">
        <v>43</v>
      </c>
      <c r="I759" t="s">
        <v>43</v>
      </c>
      <c r="J759" t="s">
        <v>43</v>
      </c>
      <c r="K759" t="s">
        <v>43</v>
      </c>
      <c r="L759" t="s">
        <v>43</v>
      </c>
      <c r="M759" t="s">
        <v>43</v>
      </c>
      <c r="N759" t="s">
        <v>45</v>
      </c>
      <c r="O759" t="s">
        <v>43</v>
      </c>
      <c r="P759" t="s">
        <v>43</v>
      </c>
      <c r="Q759" t="s">
        <v>43</v>
      </c>
      <c r="R759" t="s">
        <v>43</v>
      </c>
      <c r="S759" t="s">
        <v>43</v>
      </c>
      <c r="T759" t="s">
        <v>43</v>
      </c>
      <c r="U759" t="s">
        <v>43</v>
      </c>
      <c r="V759" t="s">
        <v>43</v>
      </c>
      <c r="W759" t="s">
        <v>43</v>
      </c>
      <c r="X759" t="s">
        <v>43</v>
      </c>
      <c r="Y759" t="s">
        <v>43</v>
      </c>
      <c r="Z759" t="s">
        <v>43</v>
      </c>
      <c r="AA759" t="s">
        <v>43</v>
      </c>
      <c r="AB759" t="s">
        <v>43</v>
      </c>
      <c r="AC759" t="s">
        <v>43</v>
      </c>
      <c r="AD759" t="s">
        <v>43</v>
      </c>
      <c r="AE759" t="s">
        <v>43</v>
      </c>
      <c r="AF759" t="s">
        <v>43</v>
      </c>
      <c r="AG759" t="s">
        <v>43</v>
      </c>
      <c r="AH759" t="s">
        <v>43</v>
      </c>
      <c r="AI759" t="s">
        <v>43</v>
      </c>
      <c r="AJ759" t="s">
        <v>43</v>
      </c>
      <c r="AK759" t="s">
        <v>43</v>
      </c>
      <c r="AL759" t="s">
        <v>43</v>
      </c>
      <c r="AM759" t="s">
        <v>43</v>
      </c>
      <c r="AN759" t="s">
        <v>43</v>
      </c>
    </row>
    <row r="760" spans="1:40" x14ac:dyDescent="0.3">
      <c r="A760" s="1">
        <v>46210.911805555559</v>
      </c>
      <c r="B760" t="s">
        <v>40</v>
      </c>
      <c r="C760" t="s">
        <v>41</v>
      </c>
      <c r="D760" s="1">
        <v>46210.914942129632</v>
      </c>
      <c r="E760" t="s">
        <v>42</v>
      </c>
      <c r="F760" t="s">
        <v>43</v>
      </c>
      <c r="G760" t="s">
        <v>43</v>
      </c>
      <c r="H760" t="s">
        <v>43</v>
      </c>
      <c r="I760" t="s">
        <v>363</v>
      </c>
      <c r="J760" t="s">
        <v>43</v>
      </c>
      <c r="K760" t="s">
        <v>43</v>
      </c>
      <c r="L760" t="s">
        <v>43</v>
      </c>
      <c r="M760" t="s">
        <v>43</v>
      </c>
      <c r="N760" t="s">
        <v>45</v>
      </c>
      <c r="O760" t="s">
        <v>43</v>
      </c>
      <c r="P760" t="s">
        <v>43</v>
      </c>
      <c r="Q760" t="s">
        <v>43</v>
      </c>
      <c r="R760" t="s">
        <v>43</v>
      </c>
      <c r="S760" t="s">
        <v>43</v>
      </c>
      <c r="T760" t="s">
        <v>43</v>
      </c>
      <c r="U760" t="s">
        <v>43</v>
      </c>
      <c r="V760" t="s">
        <v>43</v>
      </c>
      <c r="W760" t="s">
        <v>43</v>
      </c>
      <c r="X760" t="s">
        <v>43</v>
      </c>
      <c r="Y760" t="s">
        <v>43</v>
      </c>
      <c r="Z760" t="s">
        <v>43</v>
      </c>
      <c r="AA760" t="s">
        <v>43</v>
      </c>
      <c r="AB760" t="s">
        <v>43</v>
      </c>
      <c r="AC760" t="s">
        <v>43</v>
      </c>
      <c r="AD760" t="s">
        <v>43</v>
      </c>
      <c r="AE760" t="s">
        <v>43</v>
      </c>
      <c r="AF760" t="s">
        <v>43</v>
      </c>
      <c r="AG760" t="s">
        <v>43</v>
      </c>
      <c r="AH760" t="s">
        <v>43</v>
      </c>
      <c r="AI760" t="s">
        <v>43</v>
      </c>
      <c r="AJ760" t="s">
        <v>43</v>
      </c>
      <c r="AK760" t="s">
        <v>43</v>
      </c>
      <c r="AL760" t="s">
        <v>43</v>
      </c>
      <c r="AM760" t="s">
        <v>43</v>
      </c>
      <c r="AN760" t="str">
        <f>HYPERLINK("https://www.google.com/maps?q=11.05478954,79.06083679","Open Location")</f>
        <v>Open Location</v>
      </c>
    </row>
    <row r="761" spans="1:40" x14ac:dyDescent="0.3">
      <c r="A761" s="1">
        <v>46210.911689814813</v>
      </c>
      <c r="B761" t="s">
        <v>40</v>
      </c>
      <c r="C761" t="s">
        <v>41</v>
      </c>
      <c r="D761" s="1">
        <v>46210.914594907408</v>
      </c>
      <c r="E761" t="s">
        <v>42</v>
      </c>
      <c r="F761" t="s">
        <v>43</v>
      </c>
      <c r="G761" t="s">
        <v>43</v>
      </c>
      <c r="H761" t="s">
        <v>43</v>
      </c>
      <c r="I761" t="s">
        <v>364</v>
      </c>
      <c r="J761" t="s">
        <v>43</v>
      </c>
      <c r="K761" t="s">
        <v>43</v>
      </c>
      <c r="L761" t="s">
        <v>43</v>
      </c>
      <c r="M761" t="s">
        <v>43</v>
      </c>
      <c r="N761" t="s">
        <v>45</v>
      </c>
      <c r="O761" t="s">
        <v>43</v>
      </c>
      <c r="P761" t="s">
        <v>43</v>
      </c>
      <c r="Q761" t="s">
        <v>43</v>
      </c>
      <c r="R761" t="s">
        <v>43</v>
      </c>
      <c r="S761" t="s">
        <v>43</v>
      </c>
      <c r="T761" t="s">
        <v>43</v>
      </c>
      <c r="U761" t="s">
        <v>43</v>
      </c>
      <c r="V761" t="s">
        <v>43</v>
      </c>
      <c r="W761" t="s">
        <v>43</v>
      </c>
      <c r="X761" t="s">
        <v>43</v>
      </c>
      <c r="Y761" t="s">
        <v>43</v>
      </c>
      <c r="Z761" t="s">
        <v>43</v>
      </c>
      <c r="AA761" t="s">
        <v>43</v>
      </c>
      <c r="AB761" t="s">
        <v>43</v>
      </c>
      <c r="AC761" t="s">
        <v>43</v>
      </c>
      <c r="AD761" t="s">
        <v>43</v>
      </c>
      <c r="AE761" t="s">
        <v>43</v>
      </c>
      <c r="AF761" t="s">
        <v>43</v>
      </c>
      <c r="AG761" t="s">
        <v>43</v>
      </c>
      <c r="AH761" t="s">
        <v>43</v>
      </c>
      <c r="AI761" t="s">
        <v>43</v>
      </c>
      <c r="AJ761" t="s">
        <v>43</v>
      </c>
      <c r="AK761" t="s">
        <v>43</v>
      </c>
      <c r="AL761" t="s">
        <v>43</v>
      </c>
      <c r="AM761" t="s">
        <v>43</v>
      </c>
      <c r="AN761" t="str">
        <f>HYPERLINK("https://www.google.com/maps?q=11.05479527,79.06083679","Open Location")</f>
        <v>Open Location</v>
      </c>
    </row>
    <row r="762" spans="1:40" x14ac:dyDescent="0.3">
      <c r="A762" s="1">
        <v>46210.911574074074</v>
      </c>
      <c r="B762" t="s">
        <v>40</v>
      </c>
      <c r="C762" t="s">
        <v>41</v>
      </c>
      <c r="D762" s="1">
        <v>46210.914270833331</v>
      </c>
      <c r="E762" t="s">
        <v>42</v>
      </c>
      <c r="F762" t="s">
        <v>43</v>
      </c>
      <c r="G762" t="s">
        <v>43</v>
      </c>
      <c r="H762" t="s">
        <v>43</v>
      </c>
      <c r="I762" t="s">
        <v>365</v>
      </c>
      <c r="J762" t="s">
        <v>43</v>
      </c>
      <c r="K762" t="s">
        <v>43</v>
      </c>
      <c r="L762" t="s">
        <v>43</v>
      </c>
      <c r="M762" t="s">
        <v>43</v>
      </c>
      <c r="N762" t="s">
        <v>45</v>
      </c>
      <c r="O762" t="s">
        <v>43</v>
      </c>
      <c r="P762" t="s">
        <v>43</v>
      </c>
      <c r="Q762" t="s">
        <v>43</v>
      </c>
      <c r="R762" t="s">
        <v>43</v>
      </c>
      <c r="S762" t="s">
        <v>43</v>
      </c>
      <c r="T762" t="s">
        <v>43</v>
      </c>
      <c r="U762" t="s">
        <v>43</v>
      </c>
      <c r="V762" t="s">
        <v>43</v>
      </c>
      <c r="W762" t="s">
        <v>43</v>
      </c>
      <c r="X762" t="s">
        <v>43</v>
      </c>
      <c r="Y762" t="s">
        <v>43</v>
      </c>
      <c r="Z762" t="s">
        <v>43</v>
      </c>
      <c r="AA762" t="s">
        <v>43</v>
      </c>
      <c r="AB762" t="s">
        <v>43</v>
      </c>
      <c r="AC762" t="s">
        <v>43</v>
      </c>
      <c r="AD762" t="s">
        <v>43</v>
      </c>
      <c r="AE762" t="s">
        <v>43</v>
      </c>
      <c r="AF762" t="s">
        <v>43</v>
      </c>
      <c r="AG762" t="s">
        <v>43</v>
      </c>
      <c r="AH762" t="s">
        <v>43</v>
      </c>
      <c r="AI762" t="s">
        <v>43</v>
      </c>
      <c r="AJ762" t="s">
        <v>43</v>
      </c>
      <c r="AK762" t="s">
        <v>43</v>
      </c>
      <c r="AL762" t="s">
        <v>43</v>
      </c>
      <c r="AM762" t="s">
        <v>43</v>
      </c>
      <c r="AN762" t="str">
        <f>HYPERLINK("https://www.google.com/maps?q=11.05479813,79.06083679","Open Location")</f>
        <v>Open Location</v>
      </c>
    </row>
    <row r="763" spans="1:40" x14ac:dyDescent="0.3">
      <c r="A763" s="1">
        <v>46210.911458333336</v>
      </c>
      <c r="B763" t="s">
        <v>40</v>
      </c>
      <c r="C763" t="s">
        <v>41</v>
      </c>
      <c r="D763" s="1">
        <v>46210.914282407408</v>
      </c>
      <c r="E763" t="s">
        <v>42</v>
      </c>
      <c r="F763" t="s">
        <v>43</v>
      </c>
      <c r="G763" t="s">
        <v>43</v>
      </c>
      <c r="H763" t="s">
        <v>43</v>
      </c>
      <c r="I763" t="s">
        <v>366</v>
      </c>
      <c r="J763" t="s">
        <v>43</v>
      </c>
      <c r="K763" t="s">
        <v>43</v>
      </c>
      <c r="L763" t="s">
        <v>43</v>
      </c>
      <c r="M763" t="s">
        <v>43</v>
      </c>
      <c r="N763" t="s">
        <v>45</v>
      </c>
      <c r="O763" t="s">
        <v>43</v>
      </c>
      <c r="P763" t="s">
        <v>43</v>
      </c>
      <c r="Q763" t="s">
        <v>43</v>
      </c>
      <c r="R763" t="s">
        <v>43</v>
      </c>
      <c r="S763" t="s">
        <v>43</v>
      </c>
      <c r="T763" t="s">
        <v>43</v>
      </c>
      <c r="U763" t="s">
        <v>43</v>
      </c>
      <c r="V763" t="s">
        <v>43</v>
      </c>
      <c r="W763" t="s">
        <v>43</v>
      </c>
      <c r="X763" t="s">
        <v>43</v>
      </c>
      <c r="Y763" t="s">
        <v>43</v>
      </c>
      <c r="Z763" t="s">
        <v>43</v>
      </c>
      <c r="AA763" t="s">
        <v>43</v>
      </c>
      <c r="AB763" t="s">
        <v>43</v>
      </c>
      <c r="AC763" t="s">
        <v>43</v>
      </c>
      <c r="AD763" t="s">
        <v>43</v>
      </c>
      <c r="AE763" t="s">
        <v>43</v>
      </c>
      <c r="AF763" t="s">
        <v>43</v>
      </c>
      <c r="AG763" t="s">
        <v>43</v>
      </c>
      <c r="AH763" t="s">
        <v>43</v>
      </c>
      <c r="AI763" t="s">
        <v>43</v>
      </c>
      <c r="AJ763" t="s">
        <v>43</v>
      </c>
      <c r="AK763" t="s">
        <v>43</v>
      </c>
      <c r="AL763" t="s">
        <v>43</v>
      </c>
      <c r="AM763" t="s">
        <v>43</v>
      </c>
      <c r="AN763" t="str">
        <f>HYPERLINK("https://www.google.com/maps?q=11.05479717,79.06084442","Open Location")</f>
        <v>Open Location</v>
      </c>
    </row>
    <row r="764" spans="1:40" x14ac:dyDescent="0.3">
      <c r="A764" s="1">
        <v>46210.91134259259</v>
      </c>
      <c r="B764" t="s">
        <v>40</v>
      </c>
      <c r="C764" t="s">
        <v>41</v>
      </c>
      <c r="D764" s="1">
        <v>46210.914201388892</v>
      </c>
      <c r="E764" t="s">
        <v>42</v>
      </c>
      <c r="F764" t="s">
        <v>43</v>
      </c>
      <c r="G764" t="s">
        <v>43</v>
      </c>
      <c r="H764" t="s">
        <v>43</v>
      </c>
      <c r="I764" t="s">
        <v>367</v>
      </c>
      <c r="J764" t="s">
        <v>43</v>
      </c>
      <c r="K764" t="s">
        <v>43</v>
      </c>
      <c r="L764" t="s">
        <v>43</v>
      </c>
      <c r="M764" t="s">
        <v>43</v>
      </c>
      <c r="N764" t="s">
        <v>45</v>
      </c>
      <c r="O764" t="s">
        <v>43</v>
      </c>
      <c r="P764" t="s">
        <v>43</v>
      </c>
      <c r="Q764" t="s">
        <v>43</v>
      </c>
      <c r="R764" t="s">
        <v>43</v>
      </c>
      <c r="S764" t="s">
        <v>43</v>
      </c>
      <c r="T764" t="s">
        <v>43</v>
      </c>
      <c r="U764" t="s">
        <v>43</v>
      </c>
      <c r="V764" t="s">
        <v>43</v>
      </c>
      <c r="W764" t="s">
        <v>43</v>
      </c>
      <c r="X764" t="s">
        <v>43</v>
      </c>
      <c r="Y764" t="s">
        <v>43</v>
      </c>
      <c r="Z764" t="s">
        <v>43</v>
      </c>
      <c r="AA764" t="s">
        <v>43</v>
      </c>
      <c r="AB764" t="s">
        <v>43</v>
      </c>
      <c r="AC764" t="s">
        <v>43</v>
      </c>
      <c r="AD764" t="s">
        <v>43</v>
      </c>
      <c r="AE764" t="s">
        <v>43</v>
      </c>
      <c r="AF764" t="s">
        <v>43</v>
      </c>
      <c r="AG764" t="s">
        <v>43</v>
      </c>
      <c r="AH764" t="s">
        <v>43</v>
      </c>
      <c r="AI764" t="s">
        <v>43</v>
      </c>
      <c r="AJ764" t="s">
        <v>43</v>
      </c>
      <c r="AK764" t="s">
        <v>43</v>
      </c>
      <c r="AL764" t="s">
        <v>43</v>
      </c>
      <c r="AM764" t="s">
        <v>43</v>
      </c>
      <c r="AN764" t="str">
        <f>HYPERLINK("https://www.google.com/maps?q=11.05480003,79.06083679","Open Location")</f>
        <v>Open Location</v>
      </c>
    </row>
    <row r="765" spans="1:40" x14ac:dyDescent="0.3">
      <c r="A765" s="1">
        <v>46210.911226851851</v>
      </c>
      <c r="B765" t="s">
        <v>40</v>
      </c>
      <c r="C765" t="s">
        <v>41</v>
      </c>
      <c r="D765" s="1">
        <v>46210.9141087963</v>
      </c>
      <c r="E765" t="s">
        <v>42</v>
      </c>
      <c r="F765" t="s">
        <v>43</v>
      </c>
      <c r="G765" t="s">
        <v>43</v>
      </c>
      <c r="H765" t="s">
        <v>43</v>
      </c>
      <c r="I765" t="s">
        <v>43</v>
      </c>
      <c r="J765" t="s">
        <v>43</v>
      </c>
      <c r="K765" t="s">
        <v>43</v>
      </c>
      <c r="L765" t="s">
        <v>43</v>
      </c>
      <c r="M765" t="s">
        <v>43</v>
      </c>
      <c r="N765" t="s">
        <v>45</v>
      </c>
      <c r="O765" t="s">
        <v>43</v>
      </c>
      <c r="P765" t="s">
        <v>43</v>
      </c>
      <c r="Q765" t="s">
        <v>43</v>
      </c>
      <c r="R765" t="s">
        <v>43</v>
      </c>
      <c r="S765" t="s">
        <v>43</v>
      </c>
      <c r="T765" t="s">
        <v>43</v>
      </c>
      <c r="U765" t="s">
        <v>43</v>
      </c>
      <c r="V765" t="s">
        <v>43</v>
      </c>
      <c r="W765" t="s">
        <v>43</v>
      </c>
      <c r="X765" t="s">
        <v>43</v>
      </c>
      <c r="Y765" t="s">
        <v>43</v>
      </c>
      <c r="Z765" t="s">
        <v>43</v>
      </c>
      <c r="AA765" t="s">
        <v>43</v>
      </c>
      <c r="AB765" t="s">
        <v>43</v>
      </c>
      <c r="AC765" t="s">
        <v>43</v>
      </c>
      <c r="AD765" t="s">
        <v>43</v>
      </c>
      <c r="AE765" t="s">
        <v>43</v>
      </c>
      <c r="AF765" t="s">
        <v>43</v>
      </c>
      <c r="AG765" t="s">
        <v>43</v>
      </c>
      <c r="AH765" t="s">
        <v>43</v>
      </c>
      <c r="AI765" t="s">
        <v>43</v>
      </c>
      <c r="AJ765" t="s">
        <v>43</v>
      </c>
      <c r="AK765" t="s">
        <v>43</v>
      </c>
      <c r="AL765" t="s">
        <v>43</v>
      </c>
      <c r="AM765" t="s">
        <v>43</v>
      </c>
      <c r="AN765" t="s">
        <v>43</v>
      </c>
    </row>
    <row r="766" spans="1:40" x14ac:dyDescent="0.3">
      <c r="A766" s="1">
        <v>46210.911111111112</v>
      </c>
      <c r="B766" t="s">
        <v>40</v>
      </c>
      <c r="C766" t="s">
        <v>41</v>
      </c>
      <c r="D766" s="1">
        <v>46210.914201388892</v>
      </c>
      <c r="E766" t="s">
        <v>42</v>
      </c>
      <c r="F766" t="s">
        <v>43</v>
      </c>
      <c r="G766" t="s">
        <v>43</v>
      </c>
      <c r="H766" t="s">
        <v>43</v>
      </c>
      <c r="I766" t="s">
        <v>368</v>
      </c>
      <c r="J766" t="s">
        <v>43</v>
      </c>
      <c r="K766" t="s">
        <v>43</v>
      </c>
      <c r="L766" t="s">
        <v>43</v>
      </c>
      <c r="M766" t="s">
        <v>43</v>
      </c>
      <c r="N766" t="s">
        <v>45</v>
      </c>
      <c r="O766" t="s">
        <v>43</v>
      </c>
      <c r="P766" t="s">
        <v>43</v>
      </c>
      <c r="Q766" t="s">
        <v>43</v>
      </c>
      <c r="R766" t="s">
        <v>43</v>
      </c>
      <c r="S766" t="s">
        <v>43</v>
      </c>
      <c r="T766" t="s">
        <v>43</v>
      </c>
      <c r="U766" t="s">
        <v>43</v>
      </c>
      <c r="V766" t="s">
        <v>43</v>
      </c>
      <c r="W766" t="s">
        <v>43</v>
      </c>
      <c r="X766" t="s">
        <v>43</v>
      </c>
      <c r="Y766" t="s">
        <v>43</v>
      </c>
      <c r="Z766" t="s">
        <v>43</v>
      </c>
      <c r="AA766" t="s">
        <v>43</v>
      </c>
      <c r="AB766" t="s">
        <v>43</v>
      </c>
      <c r="AC766" t="s">
        <v>43</v>
      </c>
      <c r="AD766" t="s">
        <v>43</v>
      </c>
      <c r="AE766" t="s">
        <v>43</v>
      </c>
      <c r="AF766" t="s">
        <v>43</v>
      </c>
      <c r="AG766" t="s">
        <v>43</v>
      </c>
      <c r="AH766" t="s">
        <v>43</v>
      </c>
      <c r="AI766" t="s">
        <v>43</v>
      </c>
      <c r="AJ766" t="s">
        <v>43</v>
      </c>
      <c r="AK766" t="s">
        <v>43</v>
      </c>
      <c r="AL766" t="s">
        <v>43</v>
      </c>
      <c r="AM766" t="s">
        <v>43</v>
      </c>
      <c r="AN766" t="str">
        <f>HYPERLINK("https://www.google.com/maps?q=11.05480289,79.06083679","Open Location")</f>
        <v>Open Location</v>
      </c>
    </row>
    <row r="767" spans="1:40" x14ac:dyDescent="0.3">
      <c r="A767" s="1">
        <v>46210.910995370374</v>
      </c>
      <c r="B767" t="s">
        <v>40</v>
      </c>
      <c r="C767" t="s">
        <v>41</v>
      </c>
      <c r="D767" s="1">
        <v>46210.913773148146</v>
      </c>
      <c r="E767" t="s">
        <v>42</v>
      </c>
      <c r="F767" t="s">
        <v>43</v>
      </c>
      <c r="G767" t="s">
        <v>43</v>
      </c>
      <c r="H767" t="s">
        <v>43</v>
      </c>
      <c r="I767" t="s">
        <v>369</v>
      </c>
      <c r="J767" t="s">
        <v>43</v>
      </c>
      <c r="K767" t="s">
        <v>43</v>
      </c>
      <c r="L767" t="s">
        <v>43</v>
      </c>
      <c r="M767" t="s">
        <v>43</v>
      </c>
      <c r="N767" t="s">
        <v>45</v>
      </c>
      <c r="O767" t="s">
        <v>43</v>
      </c>
      <c r="P767" t="s">
        <v>43</v>
      </c>
      <c r="Q767" t="s">
        <v>43</v>
      </c>
      <c r="R767" t="s">
        <v>43</v>
      </c>
      <c r="S767" t="s">
        <v>43</v>
      </c>
      <c r="T767" t="s">
        <v>43</v>
      </c>
      <c r="U767" t="s">
        <v>43</v>
      </c>
      <c r="V767" t="s">
        <v>43</v>
      </c>
      <c r="W767" t="s">
        <v>43</v>
      </c>
      <c r="X767" t="s">
        <v>43</v>
      </c>
      <c r="Y767" t="s">
        <v>43</v>
      </c>
      <c r="Z767" t="s">
        <v>43</v>
      </c>
      <c r="AA767" t="s">
        <v>43</v>
      </c>
      <c r="AB767" t="s">
        <v>43</v>
      </c>
      <c r="AC767" t="s">
        <v>43</v>
      </c>
      <c r="AD767" t="s">
        <v>43</v>
      </c>
      <c r="AE767" t="s">
        <v>43</v>
      </c>
      <c r="AF767" t="s">
        <v>43</v>
      </c>
      <c r="AG767" t="s">
        <v>43</v>
      </c>
      <c r="AH767" t="s">
        <v>43</v>
      </c>
      <c r="AI767" t="s">
        <v>43</v>
      </c>
      <c r="AJ767" t="s">
        <v>43</v>
      </c>
      <c r="AK767" t="s">
        <v>43</v>
      </c>
      <c r="AL767" t="s">
        <v>43</v>
      </c>
      <c r="AM767" t="s">
        <v>43</v>
      </c>
      <c r="AN767" t="str">
        <f>HYPERLINK("https://www.google.com/maps?q=11.05480671,79.06082916","Open Location")</f>
        <v>Open Location</v>
      </c>
    </row>
    <row r="768" spans="1:40" x14ac:dyDescent="0.3">
      <c r="A768" s="1">
        <v>46210.910879629628</v>
      </c>
      <c r="B768" t="s">
        <v>40</v>
      </c>
      <c r="C768" t="s">
        <v>41</v>
      </c>
      <c r="D768" s="1">
        <v>46210.913530092592</v>
      </c>
      <c r="E768" t="s">
        <v>42</v>
      </c>
      <c r="F768" t="s">
        <v>43</v>
      </c>
      <c r="G768" t="s">
        <v>43</v>
      </c>
      <c r="H768" t="s">
        <v>43</v>
      </c>
      <c r="I768" t="s">
        <v>370</v>
      </c>
      <c r="J768" t="s">
        <v>43</v>
      </c>
      <c r="K768" t="s">
        <v>43</v>
      </c>
      <c r="L768" t="s">
        <v>43</v>
      </c>
      <c r="M768" t="s">
        <v>43</v>
      </c>
      <c r="N768" t="s">
        <v>45</v>
      </c>
      <c r="O768" t="s">
        <v>43</v>
      </c>
      <c r="P768" t="s">
        <v>43</v>
      </c>
      <c r="Q768" t="s">
        <v>43</v>
      </c>
      <c r="R768" t="s">
        <v>43</v>
      </c>
      <c r="S768" t="s">
        <v>43</v>
      </c>
      <c r="T768" t="s">
        <v>43</v>
      </c>
      <c r="U768" t="s">
        <v>43</v>
      </c>
      <c r="V768" t="s">
        <v>43</v>
      </c>
      <c r="W768" t="s">
        <v>43</v>
      </c>
      <c r="X768" t="s">
        <v>43</v>
      </c>
      <c r="Y768" t="s">
        <v>43</v>
      </c>
      <c r="Z768" t="s">
        <v>43</v>
      </c>
      <c r="AA768" t="s">
        <v>43</v>
      </c>
      <c r="AB768" t="s">
        <v>43</v>
      </c>
      <c r="AC768" t="s">
        <v>43</v>
      </c>
      <c r="AD768" t="s">
        <v>43</v>
      </c>
      <c r="AE768" t="s">
        <v>43</v>
      </c>
      <c r="AF768" t="s">
        <v>43</v>
      </c>
      <c r="AG768" t="s">
        <v>43</v>
      </c>
      <c r="AH768" t="s">
        <v>43</v>
      </c>
      <c r="AI768" t="s">
        <v>43</v>
      </c>
      <c r="AJ768" t="s">
        <v>43</v>
      </c>
      <c r="AK768" t="s">
        <v>43</v>
      </c>
      <c r="AL768" t="s">
        <v>43</v>
      </c>
      <c r="AM768" t="s">
        <v>43</v>
      </c>
      <c r="AN768" t="str">
        <f>HYPERLINK("https://www.google.com/maps?q=11.05480671,79.06083679","Open Location")</f>
        <v>Open Location</v>
      </c>
    </row>
    <row r="769" spans="1:40" x14ac:dyDescent="0.3">
      <c r="A769" s="1">
        <v>46210.910763888889</v>
      </c>
      <c r="B769" t="s">
        <v>40</v>
      </c>
      <c r="C769" t="s">
        <v>41</v>
      </c>
      <c r="D769" s="1">
        <v>46210.913495370369</v>
      </c>
      <c r="E769" t="s">
        <v>42</v>
      </c>
      <c r="F769" t="s">
        <v>43</v>
      </c>
      <c r="G769" t="s">
        <v>43</v>
      </c>
      <c r="H769" t="s">
        <v>43</v>
      </c>
      <c r="I769" t="s">
        <v>371</v>
      </c>
      <c r="J769" t="s">
        <v>43</v>
      </c>
      <c r="K769" t="s">
        <v>43</v>
      </c>
      <c r="L769" t="s">
        <v>43</v>
      </c>
      <c r="M769" t="s">
        <v>43</v>
      </c>
      <c r="N769" t="s">
        <v>45</v>
      </c>
      <c r="O769" t="s">
        <v>43</v>
      </c>
      <c r="P769" t="s">
        <v>43</v>
      </c>
      <c r="Q769" t="s">
        <v>43</v>
      </c>
      <c r="R769" t="s">
        <v>43</v>
      </c>
      <c r="S769" t="s">
        <v>43</v>
      </c>
      <c r="T769" t="s">
        <v>43</v>
      </c>
      <c r="U769" t="s">
        <v>43</v>
      </c>
      <c r="V769" t="s">
        <v>43</v>
      </c>
      <c r="W769" t="s">
        <v>43</v>
      </c>
      <c r="X769" t="s">
        <v>43</v>
      </c>
      <c r="Y769" t="s">
        <v>43</v>
      </c>
      <c r="Z769" t="s">
        <v>43</v>
      </c>
      <c r="AA769" t="s">
        <v>43</v>
      </c>
      <c r="AB769" t="s">
        <v>43</v>
      </c>
      <c r="AC769" t="s">
        <v>43</v>
      </c>
      <c r="AD769" t="s">
        <v>43</v>
      </c>
      <c r="AE769" t="s">
        <v>43</v>
      </c>
      <c r="AF769" t="s">
        <v>43</v>
      </c>
      <c r="AG769" t="s">
        <v>43</v>
      </c>
      <c r="AH769" t="s">
        <v>43</v>
      </c>
      <c r="AI769" t="s">
        <v>43</v>
      </c>
      <c r="AJ769" t="s">
        <v>43</v>
      </c>
      <c r="AK769" t="s">
        <v>43</v>
      </c>
      <c r="AL769" t="s">
        <v>43</v>
      </c>
      <c r="AM769" t="s">
        <v>43</v>
      </c>
      <c r="AN769" t="str">
        <f>HYPERLINK("https://www.google.com/maps?q=11.0548048,79.06082916","Open Location")</f>
        <v>Open Location</v>
      </c>
    </row>
    <row r="770" spans="1:40" x14ac:dyDescent="0.3">
      <c r="A770" s="1">
        <v>46210.91064814815</v>
      </c>
      <c r="B770" t="s">
        <v>40</v>
      </c>
      <c r="C770" t="s">
        <v>41</v>
      </c>
      <c r="D770" s="1">
        <v>46210.913460648146</v>
      </c>
      <c r="E770" t="s">
        <v>42</v>
      </c>
      <c r="F770" t="s">
        <v>43</v>
      </c>
      <c r="G770" t="s">
        <v>43</v>
      </c>
      <c r="H770" t="s">
        <v>43</v>
      </c>
      <c r="I770" t="s">
        <v>372</v>
      </c>
      <c r="J770" t="s">
        <v>43</v>
      </c>
      <c r="K770" t="s">
        <v>43</v>
      </c>
      <c r="L770" t="s">
        <v>43</v>
      </c>
      <c r="M770" t="s">
        <v>43</v>
      </c>
      <c r="N770" t="s">
        <v>45</v>
      </c>
      <c r="O770" t="s">
        <v>43</v>
      </c>
      <c r="P770" t="s">
        <v>43</v>
      </c>
      <c r="Q770" t="s">
        <v>43</v>
      </c>
      <c r="R770" t="s">
        <v>43</v>
      </c>
      <c r="S770" t="s">
        <v>43</v>
      </c>
      <c r="T770" t="s">
        <v>43</v>
      </c>
      <c r="U770" t="s">
        <v>43</v>
      </c>
      <c r="V770" t="s">
        <v>43</v>
      </c>
      <c r="W770" t="s">
        <v>43</v>
      </c>
      <c r="X770" t="s">
        <v>43</v>
      </c>
      <c r="Y770" t="s">
        <v>43</v>
      </c>
      <c r="Z770" t="s">
        <v>43</v>
      </c>
      <c r="AA770" t="s">
        <v>43</v>
      </c>
      <c r="AB770" t="s">
        <v>43</v>
      </c>
      <c r="AC770" t="s">
        <v>43</v>
      </c>
      <c r="AD770" t="s">
        <v>43</v>
      </c>
      <c r="AE770" t="s">
        <v>43</v>
      </c>
      <c r="AF770" t="s">
        <v>43</v>
      </c>
      <c r="AG770" t="s">
        <v>43</v>
      </c>
      <c r="AH770" t="s">
        <v>43</v>
      </c>
      <c r="AI770" t="s">
        <v>43</v>
      </c>
      <c r="AJ770" t="s">
        <v>43</v>
      </c>
      <c r="AK770" t="s">
        <v>43</v>
      </c>
      <c r="AL770" t="s">
        <v>43</v>
      </c>
      <c r="AM770" t="s">
        <v>43</v>
      </c>
      <c r="AN770" t="str">
        <f>HYPERLINK("https://www.google.com/maps?q=11.05480194,79.06082916","Open Location")</f>
        <v>Open Location</v>
      </c>
    </row>
    <row r="771" spans="1:40" x14ac:dyDescent="0.3">
      <c r="A771" s="1">
        <v>46210.910532407404</v>
      </c>
      <c r="B771" t="s">
        <v>40</v>
      </c>
      <c r="C771" t="s">
        <v>41</v>
      </c>
      <c r="D771" s="1">
        <v>46210.913495370369</v>
      </c>
      <c r="E771" t="s">
        <v>42</v>
      </c>
      <c r="F771" t="s">
        <v>43</v>
      </c>
      <c r="G771" t="s">
        <v>43</v>
      </c>
      <c r="H771" t="s">
        <v>43</v>
      </c>
      <c r="I771" t="s">
        <v>43</v>
      </c>
      <c r="J771" t="s">
        <v>43</v>
      </c>
      <c r="K771" t="s">
        <v>43</v>
      </c>
      <c r="L771" t="s">
        <v>43</v>
      </c>
      <c r="M771" t="s">
        <v>43</v>
      </c>
      <c r="N771" t="s">
        <v>45</v>
      </c>
      <c r="O771" t="s">
        <v>43</v>
      </c>
      <c r="P771" t="s">
        <v>43</v>
      </c>
      <c r="Q771" t="s">
        <v>43</v>
      </c>
      <c r="R771" t="s">
        <v>43</v>
      </c>
      <c r="S771" t="s">
        <v>43</v>
      </c>
      <c r="T771" t="s">
        <v>43</v>
      </c>
      <c r="U771" t="s">
        <v>43</v>
      </c>
      <c r="V771" t="s">
        <v>43</v>
      </c>
      <c r="W771" t="s">
        <v>43</v>
      </c>
      <c r="X771" t="s">
        <v>43</v>
      </c>
      <c r="Y771" t="s">
        <v>43</v>
      </c>
      <c r="Z771" t="s">
        <v>43</v>
      </c>
      <c r="AA771" t="s">
        <v>43</v>
      </c>
      <c r="AB771" t="s">
        <v>43</v>
      </c>
      <c r="AC771" t="s">
        <v>43</v>
      </c>
      <c r="AD771" t="s">
        <v>43</v>
      </c>
      <c r="AE771" t="s">
        <v>43</v>
      </c>
      <c r="AF771" t="s">
        <v>43</v>
      </c>
      <c r="AG771" t="s">
        <v>43</v>
      </c>
      <c r="AH771" t="s">
        <v>43</v>
      </c>
      <c r="AI771" t="s">
        <v>43</v>
      </c>
      <c r="AJ771" t="s">
        <v>43</v>
      </c>
      <c r="AK771" t="s">
        <v>43</v>
      </c>
      <c r="AL771" t="s">
        <v>43</v>
      </c>
      <c r="AM771" t="s">
        <v>43</v>
      </c>
      <c r="AN771" t="s">
        <v>43</v>
      </c>
    </row>
    <row r="772" spans="1:40" x14ac:dyDescent="0.3">
      <c r="A772" s="1">
        <v>46210.910416666666</v>
      </c>
      <c r="B772" t="s">
        <v>40</v>
      </c>
      <c r="C772" t="s">
        <v>41</v>
      </c>
      <c r="D772" s="1">
        <v>46210.913414351853</v>
      </c>
      <c r="E772" t="s">
        <v>42</v>
      </c>
      <c r="F772" t="s">
        <v>43</v>
      </c>
      <c r="G772" t="s">
        <v>43</v>
      </c>
      <c r="H772" t="s">
        <v>43</v>
      </c>
      <c r="I772" t="s">
        <v>365</v>
      </c>
      <c r="J772" t="s">
        <v>43</v>
      </c>
      <c r="K772" t="s">
        <v>43</v>
      </c>
      <c r="L772" t="s">
        <v>43</v>
      </c>
      <c r="M772" t="s">
        <v>43</v>
      </c>
      <c r="N772" t="s">
        <v>45</v>
      </c>
      <c r="O772" t="s">
        <v>43</v>
      </c>
      <c r="P772" t="s">
        <v>43</v>
      </c>
      <c r="Q772" t="s">
        <v>43</v>
      </c>
      <c r="R772" t="s">
        <v>43</v>
      </c>
      <c r="S772" t="s">
        <v>43</v>
      </c>
      <c r="T772" t="s">
        <v>43</v>
      </c>
      <c r="U772" t="s">
        <v>43</v>
      </c>
      <c r="V772" t="s">
        <v>43</v>
      </c>
      <c r="W772" t="s">
        <v>43</v>
      </c>
      <c r="X772" t="s">
        <v>43</v>
      </c>
      <c r="Y772" t="s">
        <v>43</v>
      </c>
      <c r="Z772" t="s">
        <v>43</v>
      </c>
      <c r="AA772" t="s">
        <v>43</v>
      </c>
      <c r="AB772" t="s">
        <v>43</v>
      </c>
      <c r="AC772" t="s">
        <v>43</v>
      </c>
      <c r="AD772" t="s">
        <v>43</v>
      </c>
      <c r="AE772" t="s">
        <v>43</v>
      </c>
      <c r="AF772" t="s">
        <v>43</v>
      </c>
      <c r="AG772" t="s">
        <v>43</v>
      </c>
      <c r="AH772" t="s">
        <v>43</v>
      </c>
      <c r="AI772" t="s">
        <v>43</v>
      </c>
      <c r="AJ772" t="s">
        <v>43</v>
      </c>
      <c r="AK772" t="s">
        <v>43</v>
      </c>
      <c r="AL772" t="s">
        <v>43</v>
      </c>
      <c r="AM772" t="s">
        <v>43</v>
      </c>
      <c r="AN772" t="str">
        <f>HYPERLINK("https://www.google.com/maps?q=11.05479813,79.06083679","Open Location")</f>
        <v>Open Location</v>
      </c>
    </row>
    <row r="773" spans="1:40" x14ac:dyDescent="0.3">
      <c r="A773" s="1">
        <v>46210.910300925927</v>
      </c>
      <c r="B773" t="s">
        <v>40</v>
      </c>
      <c r="C773" t="s">
        <v>41</v>
      </c>
      <c r="D773" s="1">
        <v>46210.913032407407</v>
      </c>
      <c r="E773" t="s">
        <v>42</v>
      </c>
      <c r="F773" t="s">
        <v>43</v>
      </c>
      <c r="G773" t="s">
        <v>43</v>
      </c>
      <c r="H773" t="s">
        <v>43</v>
      </c>
      <c r="I773" t="s">
        <v>373</v>
      </c>
      <c r="J773" t="s">
        <v>43</v>
      </c>
      <c r="K773" t="s">
        <v>43</v>
      </c>
      <c r="L773" t="s">
        <v>43</v>
      </c>
      <c r="M773" t="s">
        <v>43</v>
      </c>
      <c r="N773" t="s">
        <v>45</v>
      </c>
      <c r="O773" t="s">
        <v>43</v>
      </c>
      <c r="P773" t="s">
        <v>43</v>
      </c>
      <c r="Q773" t="s">
        <v>43</v>
      </c>
      <c r="R773" t="s">
        <v>43</v>
      </c>
      <c r="S773" t="s">
        <v>43</v>
      </c>
      <c r="T773" t="s">
        <v>43</v>
      </c>
      <c r="U773" t="s">
        <v>43</v>
      </c>
      <c r="V773" t="s">
        <v>43</v>
      </c>
      <c r="W773" t="s">
        <v>43</v>
      </c>
      <c r="X773" t="s">
        <v>43</v>
      </c>
      <c r="Y773" t="s">
        <v>43</v>
      </c>
      <c r="Z773" t="s">
        <v>43</v>
      </c>
      <c r="AA773" t="s">
        <v>43</v>
      </c>
      <c r="AB773" t="s">
        <v>43</v>
      </c>
      <c r="AC773" t="s">
        <v>43</v>
      </c>
      <c r="AD773" t="s">
        <v>43</v>
      </c>
      <c r="AE773" t="s">
        <v>43</v>
      </c>
      <c r="AF773" t="s">
        <v>43</v>
      </c>
      <c r="AG773" t="s">
        <v>43</v>
      </c>
      <c r="AH773" t="s">
        <v>43</v>
      </c>
      <c r="AI773" t="s">
        <v>43</v>
      </c>
      <c r="AJ773" t="s">
        <v>43</v>
      </c>
      <c r="AK773" t="s">
        <v>43</v>
      </c>
      <c r="AL773" t="s">
        <v>43</v>
      </c>
      <c r="AM773" t="s">
        <v>43</v>
      </c>
      <c r="AN773" t="str">
        <f>HYPERLINK("https://www.google.com/maps?q=11.05479336,79.06083679","Open Location")</f>
        <v>Open Location</v>
      </c>
    </row>
    <row r="774" spans="1:40" x14ac:dyDescent="0.3">
      <c r="A774" s="1">
        <v>46210.910185185188</v>
      </c>
      <c r="B774" t="s">
        <v>40</v>
      </c>
      <c r="C774" t="s">
        <v>41</v>
      </c>
      <c r="D774" s="1">
        <v>46210.91300925926</v>
      </c>
      <c r="E774" t="s">
        <v>42</v>
      </c>
      <c r="F774" t="s">
        <v>43</v>
      </c>
      <c r="G774" t="s">
        <v>43</v>
      </c>
      <c r="H774" t="s">
        <v>43</v>
      </c>
      <c r="I774" t="s">
        <v>374</v>
      </c>
      <c r="J774" t="s">
        <v>43</v>
      </c>
      <c r="K774" t="s">
        <v>43</v>
      </c>
      <c r="L774" t="s">
        <v>43</v>
      </c>
      <c r="M774" t="s">
        <v>43</v>
      </c>
      <c r="N774" t="s">
        <v>45</v>
      </c>
      <c r="O774" t="s">
        <v>43</v>
      </c>
      <c r="P774" t="s">
        <v>43</v>
      </c>
      <c r="Q774" t="s">
        <v>43</v>
      </c>
      <c r="R774" t="s">
        <v>43</v>
      </c>
      <c r="S774" t="s">
        <v>43</v>
      </c>
      <c r="T774" t="s">
        <v>43</v>
      </c>
      <c r="U774" t="s">
        <v>43</v>
      </c>
      <c r="V774" t="s">
        <v>43</v>
      </c>
      <c r="W774" t="s">
        <v>43</v>
      </c>
      <c r="X774" t="s">
        <v>43</v>
      </c>
      <c r="Y774" t="s">
        <v>43</v>
      </c>
      <c r="Z774" t="s">
        <v>43</v>
      </c>
      <c r="AA774" t="s">
        <v>43</v>
      </c>
      <c r="AB774" t="s">
        <v>43</v>
      </c>
      <c r="AC774" t="s">
        <v>43</v>
      </c>
      <c r="AD774" t="s">
        <v>43</v>
      </c>
      <c r="AE774" t="s">
        <v>43</v>
      </c>
      <c r="AF774" t="s">
        <v>43</v>
      </c>
      <c r="AG774" t="s">
        <v>43</v>
      </c>
      <c r="AH774" t="s">
        <v>43</v>
      </c>
      <c r="AI774" t="s">
        <v>43</v>
      </c>
      <c r="AJ774" t="s">
        <v>43</v>
      </c>
      <c r="AK774" t="s">
        <v>43</v>
      </c>
      <c r="AL774" t="s">
        <v>43</v>
      </c>
      <c r="AM774" t="s">
        <v>43</v>
      </c>
      <c r="AN774" t="str">
        <f>HYPERLINK("https://www.google.com/maps?q=11.05478477,79.06083679","Open Location")</f>
        <v>Open Location</v>
      </c>
    </row>
    <row r="775" spans="1:40" x14ac:dyDescent="0.3">
      <c r="A775" s="1">
        <v>46210.910069444442</v>
      </c>
      <c r="B775" t="s">
        <v>40</v>
      </c>
      <c r="C775" t="s">
        <v>41</v>
      </c>
      <c r="D775" s="1">
        <v>46210.91300925926</v>
      </c>
      <c r="E775" t="s">
        <v>42</v>
      </c>
      <c r="F775" t="s">
        <v>43</v>
      </c>
      <c r="G775" t="s">
        <v>43</v>
      </c>
      <c r="H775" t="s">
        <v>43</v>
      </c>
      <c r="I775" t="s">
        <v>313</v>
      </c>
      <c r="J775" t="s">
        <v>43</v>
      </c>
      <c r="K775" t="s">
        <v>43</v>
      </c>
      <c r="L775" t="s">
        <v>43</v>
      </c>
      <c r="M775" t="s">
        <v>43</v>
      </c>
      <c r="N775" t="s">
        <v>45</v>
      </c>
      <c r="O775" t="s">
        <v>43</v>
      </c>
      <c r="P775" t="s">
        <v>43</v>
      </c>
      <c r="Q775" t="s">
        <v>43</v>
      </c>
      <c r="R775" t="s">
        <v>43</v>
      </c>
      <c r="S775" t="s">
        <v>43</v>
      </c>
      <c r="T775" t="s">
        <v>43</v>
      </c>
      <c r="U775" t="s">
        <v>43</v>
      </c>
      <c r="V775" t="s">
        <v>43</v>
      </c>
      <c r="W775" t="s">
        <v>43</v>
      </c>
      <c r="X775" t="s">
        <v>43</v>
      </c>
      <c r="Y775" t="s">
        <v>43</v>
      </c>
      <c r="Z775" t="s">
        <v>43</v>
      </c>
      <c r="AA775" t="s">
        <v>43</v>
      </c>
      <c r="AB775" t="s">
        <v>43</v>
      </c>
      <c r="AC775" t="s">
        <v>43</v>
      </c>
      <c r="AD775" t="s">
        <v>43</v>
      </c>
      <c r="AE775" t="s">
        <v>43</v>
      </c>
      <c r="AF775" t="s">
        <v>43</v>
      </c>
      <c r="AG775" t="s">
        <v>43</v>
      </c>
      <c r="AH775" t="s">
        <v>43</v>
      </c>
      <c r="AI775" t="s">
        <v>43</v>
      </c>
      <c r="AJ775" t="s">
        <v>43</v>
      </c>
      <c r="AK775" t="s">
        <v>43</v>
      </c>
      <c r="AL775" t="s">
        <v>43</v>
      </c>
      <c r="AM775" t="s">
        <v>43</v>
      </c>
      <c r="AN775" t="str">
        <f>HYPERLINK("https://www.google.com/maps?q=11.05477619,79.06083679","Open Location")</f>
        <v>Open Location</v>
      </c>
    </row>
    <row r="776" spans="1:40" x14ac:dyDescent="0.3">
      <c r="A776" s="1">
        <v>46210.909953703704</v>
      </c>
      <c r="B776" t="s">
        <v>40</v>
      </c>
      <c r="C776" t="s">
        <v>41</v>
      </c>
      <c r="D776" s="1">
        <v>46210.912708333337</v>
      </c>
      <c r="E776" t="s">
        <v>42</v>
      </c>
      <c r="F776" t="s">
        <v>43</v>
      </c>
      <c r="G776" t="s">
        <v>43</v>
      </c>
      <c r="H776" t="s">
        <v>43</v>
      </c>
      <c r="I776" t="s">
        <v>43</v>
      </c>
      <c r="J776" t="s">
        <v>43</v>
      </c>
      <c r="K776" t="s">
        <v>43</v>
      </c>
      <c r="L776" t="s">
        <v>43</v>
      </c>
      <c r="M776" t="s">
        <v>43</v>
      </c>
      <c r="N776" t="s">
        <v>45</v>
      </c>
      <c r="O776" t="s">
        <v>43</v>
      </c>
      <c r="P776" t="s">
        <v>43</v>
      </c>
      <c r="Q776" t="s">
        <v>43</v>
      </c>
      <c r="R776" t="s">
        <v>43</v>
      </c>
      <c r="S776" t="s">
        <v>43</v>
      </c>
      <c r="T776" t="s">
        <v>43</v>
      </c>
      <c r="U776" t="s">
        <v>43</v>
      </c>
      <c r="V776" t="s">
        <v>43</v>
      </c>
      <c r="W776" t="s">
        <v>43</v>
      </c>
      <c r="X776" t="s">
        <v>43</v>
      </c>
      <c r="Y776" t="s">
        <v>43</v>
      </c>
      <c r="Z776" t="s">
        <v>43</v>
      </c>
      <c r="AA776" t="s">
        <v>43</v>
      </c>
      <c r="AB776" t="s">
        <v>43</v>
      </c>
      <c r="AC776" t="s">
        <v>43</v>
      </c>
      <c r="AD776" t="s">
        <v>43</v>
      </c>
      <c r="AE776" t="s">
        <v>43</v>
      </c>
      <c r="AF776" t="s">
        <v>43</v>
      </c>
      <c r="AG776" t="s">
        <v>43</v>
      </c>
      <c r="AH776" t="s">
        <v>43</v>
      </c>
      <c r="AI776" t="s">
        <v>43</v>
      </c>
      <c r="AJ776" t="s">
        <v>43</v>
      </c>
      <c r="AK776" t="s">
        <v>43</v>
      </c>
      <c r="AL776" t="s">
        <v>43</v>
      </c>
      <c r="AM776" t="s">
        <v>43</v>
      </c>
      <c r="AN776" t="s">
        <v>43</v>
      </c>
    </row>
    <row r="777" spans="1:40" x14ac:dyDescent="0.3">
      <c r="A777" s="1">
        <v>46210.909837962965</v>
      </c>
      <c r="B777" t="s">
        <v>40</v>
      </c>
      <c r="C777" t="s">
        <v>41</v>
      </c>
      <c r="D777" s="1">
        <v>46210.912708333337</v>
      </c>
      <c r="E777" t="s">
        <v>42</v>
      </c>
      <c r="F777" t="s">
        <v>43</v>
      </c>
      <c r="G777" t="s">
        <v>43</v>
      </c>
      <c r="H777" t="s">
        <v>43</v>
      </c>
      <c r="I777" t="s">
        <v>312</v>
      </c>
      <c r="J777" t="s">
        <v>43</v>
      </c>
      <c r="K777" t="s">
        <v>43</v>
      </c>
      <c r="L777" t="s">
        <v>43</v>
      </c>
      <c r="M777" t="s">
        <v>43</v>
      </c>
      <c r="N777" t="s">
        <v>45</v>
      </c>
      <c r="O777" t="s">
        <v>43</v>
      </c>
      <c r="P777" t="s">
        <v>43</v>
      </c>
      <c r="Q777" t="s">
        <v>43</v>
      </c>
      <c r="R777" t="s">
        <v>43</v>
      </c>
      <c r="S777" t="s">
        <v>43</v>
      </c>
      <c r="T777" t="s">
        <v>43</v>
      </c>
      <c r="U777" t="s">
        <v>43</v>
      </c>
      <c r="V777" t="s">
        <v>43</v>
      </c>
      <c r="W777" t="s">
        <v>43</v>
      </c>
      <c r="X777" t="s">
        <v>43</v>
      </c>
      <c r="Y777" t="s">
        <v>43</v>
      </c>
      <c r="Z777" t="s">
        <v>43</v>
      </c>
      <c r="AA777" t="s">
        <v>43</v>
      </c>
      <c r="AB777" t="s">
        <v>43</v>
      </c>
      <c r="AC777" t="s">
        <v>43</v>
      </c>
      <c r="AD777" t="s">
        <v>43</v>
      </c>
      <c r="AE777" t="s">
        <v>43</v>
      </c>
      <c r="AF777" t="s">
        <v>43</v>
      </c>
      <c r="AG777" t="s">
        <v>43</v>
      </c>
      <c r="AH777" t="s">
        <v>43</v>
      </c>
      <c r="AI777" t="s">
        <v>43</v>
      </c>
      <c r="AJ777" t="s">
        <v>43</v>
      </c>
      <c r="AK777" t="s">
        <v>43</v>
      </c>
      <c r="AL777" t="s">
        <v>43</v>
      </c>
      <c r="AM777" t="s">
        <v>43</v>
      </c>
      <c r="AN777" t="str">
        <f>HYPERLINK("https://www.google.com/maps?q=11.05477524,79.06083679","Open Location")</f>
        <v>Open Location</v>
      </c>
    </row>
    <row r="778" spans="1:40" x14ac:dyDescent="0.3">
      <c r="A778" s="1">
        <v>46210.909722222219</v>
      </c>
      <c r="B778" t="s">
        <v>40</v>
      </c>
      <c r="C778" t="s">
        <v>41</v>
      </c>
      <c r="D778" s="1">
        <v>46210.913055555553</v>
      </c>
      <c r="E778" t="s">
        <v>42</v>
      </c>
      <c r="F778" t="s">
        <v>43</v>
      </c>
      <c r="G778" t="s">
        <v>43</v>
      </c>
      <c r="H778" t="s">
        <v>43</v>
      </c>
      <c r="I778" t="s">
        <v>375</v>
      </c>
      <c r="J778" t="s">
        <v>43</v>
      </c>
      <c r="K778" t="s">
        <v>43</v>
      </c>
      <c r="L778" t="s">
        <v>43</v>
      </c>
      <c r="M778" t="s">
        <v>43</v>
      </c>
      <c r="N778" t="s">
        <v>45</v>
      </c>
      <c r="O778" t="s">
        <v>43</v>
      </c>
      <c r="P778" t="s">
        <v>43</v>
      </c>
      <c r="Q778" t="s">
        <v>43</v>
      </c>
      <c r="R778" t="s">
        <v>43</v>
      </c>
      <c r="S778" t="s">
        <v>43</v>
      </c>
      <c r="T778" t="s">
        <v>43</v>
      </c>
      <c r="U778" t="s">
        <v>43</v>
      </c>
      <c r="V778" t="s">
        <v>43</v>
      </c>
      <c r="W778" t="s">
        <v>43</v>
      </c>
      <c r="X778" t="s">
        <v>43</v>
      </c>
      <c r="Y778" t="s">
        <v>43</v>
      </c>
      <c r="Z778" t="s">
        <v>43</v>
      </c>
      <c r="AA778" t="s">
        <v>43</v>
      </c>
      <c r="AB778" t="s">
        <v>43</v>
      </c>
      <c r="AC778" t="s">
        <v>43</v>
      </c>
      <c r="AD778" t="s">
        <v>43</v>
      </c>
      <c r="AE778" t="s">
        <v>43</v>
      </c>
      <c r="AF778" t="s">
        <v>43</v>
      </c>
      <c r="AG778" t="s">
        <v>43</v>
      </c>
      <c r="AH778" t="s">
        <v>43</v>
      </c>
      <c r="AI778" t="s">
        <v>43</v>
      </c>
      <c r="AJ778" t="s">
        <v>43</v>
      </c>
      <c r="AK778" t="s">
        <v>43</v>
      </c>
      <c r="AL778" t="s">
        <v>43</v>
      </c>
      <c r="AM778" t="s">
        <v>43</v>
      </c>
      <c r="AN778" t="str">
        <f>HYPERLINK("https://www.google.com/maps?q=11.05476856,79.06083679","Open Location")</f>
        <v>Open Location</v>
      </c>
    </row>
    <row r="779" spans="1:40" x14ac:dyDescent="0.3">
      <c r="A779" s="1">
        <v>46210.90960648148</v>
      </c>
      <c r="B779" t="s">
        <v>40</v>
      </c>
      <c r="C779" t="s">
        <v>41</v>
      </c>
      <c r="D779" s="1">
        <v>46210.912303240744</v>
      </c>
      <c r="E779" t="s">
        <v>42</v>
      </c>
      <c r="F779" t="s">
        <v>43</v>
      </c>
      <c r="G779" t="s">
        <v>43</v>
      </c>
      <c r="H779" t="s">
        <v>43</v>
      </c>
      <c r="I779" t="s">
        <v>272</v>
      </c>
      <c r="J779" t="s">
        <v>43</v>
      </c>
      <c r="K779" t="s">
        <v>43</v>
      </c>
      <c r="L779" t="s">
        <v>43</v>
      </c>
      <c r="M779" t="s">
        <v>43</v>
      </c>
      <c r="N779" t="s">
        <v>45</v>
      </c>
      <c r="O779" t="s">
        <v>43</v>
      </c>
      <c r="P779" t="s">
        <v>43</v>
      </c>
      <c r="Q779" t="s">
        <v>43</v>
      </c>
      <c r="R779" t="s">
        <v>43</v>
      </c>
      <c r="S779" t="s">
        <v>43</v>
      </c>
      <c r="T779" t="s">
        <v>43</v>
      </c>
      <c r="U779" t="s">
        <v>43</v>
      </c>
      <c r="V779" t="s">
        <v>43</v>
      </c>
      <c r="W779" t="s">
        <v>43</v>
      </c>
      <c r="X779" t="s">
        <v>43</v>
      </c>
      <c r="Y779" t="s">
        <v>43</v>
      </c>
      <c r="Z779" t="s">
        <v>43</v>
      </c>
      <c r="AA779" t="s">
        <v>43</v>
      </c>
      <c r="AB779" t="s">
        <v>43</v>
      </c>
      <c r="AC779" t="s">
        <v>43</v>
      </c>
      <c r="AD779" t="s">
        <v>43</v>
      </c>
      <c r="AE779" t="s">
        <v>43</v>
      </c>
      <c r="AF779" t="s">
        <v>43</v>
      </c>
      <c r="AG779" t="s">
        <v>43</v>
      </c>
      <c r="AH779" t="s">
        <v>43</v>
      </c>
      <c r="AI779" t="s">
        <v>43</v>
      </c>
      <c r="AJ779" t="s">
        <v>43</v>
      </c>
      <c r="AK779" t="s">
        <v>43</v>
      </c>
      <c r="AL779" t="s">
        <v>43</v>
      </c>
      <c r="AM779" t="s">
        <v>43</v>
      </c>
      <c r="AN779" t="str">
        <f>HYPERLINK("https://www.google.com/maps?q=11.0547657,79.06084442","Open Location")</f>
        <v>Open Location</v>
      </c>
    </row>
    <row r="780" spans="1:40" x14ac:dyDescent="0.3">
      <c r="A780" s="1">
        <v>46210.909490740742</v>
      </c>
      <c r="B780" t="s">
        <v>40</v>
      </c>
      <c r="C780" t="s">
        <v>41</v>
      </c>
      <c r="D780" s="1">
        <v>46210.912303240744</v>
      </c>
      <c r="E780" t="s">
        <v>42</v>
      </c>
      <c r="F780" t="s">
        <v>43</v>
      </c>
      <c r="G780" t="s">
        <v>43</v>
      </c>
      <c r="H780" t="s">
        <v>43</v>
      </c>
      <c r="I780" t="s">
        <v>328</v>
      </c>
      <c r="J780" t="s">
        <v>43</v>
      </c>
      <c r="K780" t="s">
        <v>43</v>
      </c>
      <c r="L780" t="s">
        <v>43</v>
      </c>
      <c r="M780" t="s">
        <v>43</v>
      </c>
      <c r="N780" t="s">
        <v>45</v>
      </c>
      <c r="O780" t="s">
        <v>43</v>
      </c>
      <c r="P780" t="s">
        <v>43</v>
      </c>
      <c r="Q780" t="s">
        <v>43</v>
      </c>
      <c r="R780" t="s">
        <v>43</v>
      </c>
      <c r="S780" t="s">
        <v>43</v>
      </c>
      <c r="T780" t="s">
        <v>43</v>
      </c>
      <c r="U780" t="s">
        <v>43</v>
      </c>
      <c r="V780" t="s">
        <v>43</v>
      </c>
      <c r="W780" t="s">
        <v>43</v>
      </c>
      <c r="X780" t="s">
        <v>43</v>
      </c>
      <c r="Y780" t="s">
        <v>43</v>
      </c>
      <c r="Z780" t="s">
        <v>43</v>
      </c>
      <c r="AA780" t="s">
        <v>43</v>
      </c>
      <c r="AB780" t="s">
        <v>43</v>
      </c>
      <c r="AC780" t="s">
        <v>43</v>
      </c>
      <c r="AD780" t="s">
        <v>43</v>
      </c>
      <c r="AE780" t="s">
        <v>43</v>
      </c>
      <c r="AF780" t="s">
        <v>43</v>
      </c>
      <c r="AG780" t="s">
        <v>43</v>
      </c>
      <c r="AH780" t="s">
        <v>43</v>
      </c>
      <c r="AI780" t="s">
        <v>43</v>
      </c>
      <c r="AJ780" t="s">
        <v>43</v>
      </c>
      <c r="AK780" t="s">
        <v>43</v>
      </c>
      <c r="AL780" t="s">
        <v>43</v>
      </c>
      <c r="AM780" t="s">
        <v>43</v>
      </c>
      <c r="AN780" t="str">
        <f>HYPERLINK("https://www.google.com/maps?q=11.05477238,79.06084442","Open Location")</f>
        <v>Open Location</v>
      </c>
    </row>
    <row r="781" spans="1:40" x14ac:dyDescent="0.3">
      <c r="A781" s="1">
        <v>46210.909375000003</v>
      </c>
      <c r="B781" t="s">
        <v>40</v>
      </c>
      <c r="C781" t="s">
        <v>41</v>
      </c>
      <c r="D781" s="1">
        <v>46210.912291666667</v>
      </c>
      <c r="E781" t="s">
        <v>42</v>
      </c>
      <c r="F781" t="s">
        <v>43</v>
      </c>
      <c r="G781" t="s">
        <v>43</v>
      </c>
      <c r="H781" t="s">
        <v>43</v>
      </c>
      <c r="I781" t="s">
        <v>376</v>
      </c>
      <c r="J781" t="s">
        <v>43</v>
      </c>
      <c r="K781" t="s">
        <v>43</v>
      </c>
      <c r="L781" t="s">
        <v>43</v>
      </c>
      <c r="M781" t="s">
        <v>43</v>
      </c>
      <c r="N781" t="s">
        <v>45</v>
      </c>
      <c r="O781" t="s">
        <v>43</v>
      </c>
      <c r="P781" t="s">
        <v>43</v>
      </c>
      <c r="Q781" t="s">
        <v>43</v>
      </c>
      <c r="R781" t="s">
        <v>43</v>
      </c>
      <c r="S781" t="s">
        <v>43</v>
      </c>
      <c r="T781" t="s">
        <v>43</v>
      </c>
      <c r="U781" t="s">
        <v>43</v>
      </c>
      <c r="V781" t="s">
        <v>43</v>
      </c>
      <c r="W781" t="s">
        <v>43</v>
      </c>
      <c r="X781" t="s">
        <v>43</v>
      </c>
      <c r="Y781" t="s">
        <v>43</v>
      </c>
      <c r="Z781" t="s">
        <v>43</v>
      </c>
      <c r="AA781" t="s">
        <v>43</v>
      </c>
      <c r="AB781" t="s">
        <v>43</v>
      </c>
      <c r="AC781" t="s">
        <v>43</v>
      </c>
      <c r="AD781" t="s">
        <v>43</v>
      </c>
      <c r="AE781" t="s">
        <v>43</v>
      </c>
      <c r="AF781" t="s">
        <v>43</v>
      </c>
      <c r="AG781" t="s">
        <v>43</v>
      </c>
      <c r="AH781" t="s">
        <v>43</v>
      </c>
      <c r="AI781" t="s">
        <v>43</v>
      </c>
      <c r="AJ781" t="s">
        <v>43</v>
      </c>
      <c r="AK781" t="s">
        <v>43</v>
      </c>
      <c r="AL781" t="s">
        <v>43</v>
      </c>
      <c r="AM781" t="s">
        <v>43</v>
      </c>
      <c r="AN781" t="str">
        <f>HYPERLINK("https://www.google.com/maps?q=11.05477619,79.06084442","Open Location")</f>
        <v>Open Location</v>
      </c>
    </row>
    <row r="782" spans="1:40" x14ac:dyDescent="0.3">
      <c r="A782" s="1">
        <v>46210.909259259257</v>
      </c>
      <c r="B782" t="s">
        <v>40</v>
      </c>
      <c r="C782" t="s">
        <v>41</v>
      </c>
      <c r="D782" s="1">
        <v>46210.912245370368</v>
      </c>
      <c r="E782" t="s">
        <v>42</v>
      </c>
      <c r="F782" t="s">
        <v>43</v>
      </c>
      <c r="G782" t="s">
        <v>43</v>
      </c>
      <c r="H782" t="s">
        <v>43</v>
      </c>
      <c r="I782" t="s">
        <v>43</v>
      </c>
      <c r="J782" t="s">
        <v>43</v>
      </c>
      <c r="K782" t="s">
        <v>43</v>
      </c>
      <c r="L782" t="s">
        <v>43</v>
      </c>
      <c r="M782" t="s">
        <v>43</v>
      </c>
      <c r="N782" t="s">
        <v>45</v>
      </c>
      <c r="O782" t="s">
        <v>43</v>
      </c>
      <c r="P782" t="s">
        <v>43</v>
      </c>
      <c r="Q782" t="s">
        <v>43</v>
      </c>
      <c r="R782" t="s">
        <v>43</v>
      </c>
      <c r="S782" t="s">
        <v>43</v>
      </c>
      <c r="T782" t="s">
        <v>43</v>
      </c>
      <c r="U782" t="s">
        <v>43</v>
      </c>
      <c r="V782" t="s">
        <v>43</v>
      </c>
      <c r="W782" t="s">
        <v>43</v>
      </c>
      <c r="X782" t="s">
        <v>43</v>
      </c>
      <c r="Y782" t="s">
        <v>43</v>
      </c>
      <c r="Z782" t="s">
        <v>43</v>
      </c>
      <c r="AA782" t="s">
        <v>43</v>
      </c>
      <c r="AB782" t="s">
        <v>43</v>
      </c>
      <c r="AC782" t="s">
        <v>43</v>
      </c>
      <c r="AD782" t="s">
        <v>43</v>
      </c>
      <c r="AE782" t="s">
        <v>43</v>
      </c>
      <c r="AF782" t="s">
        <v>43</v>
      </c>
      <c r="AG782" t="s">
        <v>43</v>
      </c>
      <c r="AH782" t="s">
        <v>43</v>
      </c>
      <c r="AI782" t="s">
        <v>43</v>
      </c>
      <c r="AJ782" t="s">
        <v>43</v>
      </c>
      <c r="AK782" t="s">
        <v>43</v>
      </c>
      <c r="AL782" t="s">
        <v>43</v>
      </c>
      <c r="AM782" t="s">
        <v>43</v>
      </c>
      <c r="AN782" t="s">
        <v>43</v>
      </c>
    </row>
    <row r="783" spans="1:40" x14ac:dyDescent="0.3">
      <c r="A783" s="1">
        <v>46210.909143518518</v>
      </c>
      <c r="B783" t="s">
        <v>40</v>
      </c>
      <c r="C783" t="s">
        <v>41</v>
      </c>
      <c r="D783" s="1">
        <v>46210.91233796296</v>
      </c>
      <c r="E783" t="s">
        <v>42</v>
      </c>
      <c r="F783" t="s">
        <v>43</v>
      </c>
      <c r="G783" t="s">
        <v>43</v>
      </c>
      <c r="H783" t="s">
        <v>43</v>
      </c>
      <c r="I783" t="s">
        <v>321</v>
      </c>
      <c r="J783" t="s">
        <v>43</v>
      </c>
      <c r="K783" t="s">
        <v>43</v>
      </c>
      <c r="L783" t="s">
        <v>43</v>
      </c>
      <c r="M783" t="s">
        <v>43</v>
      </c>
      <c r="N783" t="s">
        <v>45</v>
      </c>
      <c r="O783" t="s">
        <v>43</v>
      </c>
      <c r="P783" t="s">
        <v>43</v>
      </c>
      <c r="Q783" t="s">
        <v>43</v>
      </c>
      <c r="R783" t="s">
        <v>43</v>
      </c>
      <c r="S783" t="s">
        <v>43</v>
      </c>
      <c r="T783" t="s">
        <v>43</v>
      </c>
      <c r="U783" t="s">
        <v>43</v>
      </c>
      <c r="V783" t="s">
        <v>43</v>
      </c>
      <c r="W783" t="s">
        <v>43</v>
      </c>
      <c r="X783" t="s">
        <v>43</v>
      </c>
      <c r="Y783" t="s">
        <v>43</v>
      </c>
      <c r="Z783" t="s">
        <v>43</v>
      </c>
      <c r="AA783" t="s">
        <v>43</v>
      </c>
      <c r="AB783" t="s">
        <v>43</v>
      </c>
      <c r="AC783" t="s">
        <v>43</v>
      </c>
      <c r="AD783" t="s">
        <v>43</v>
      </c>
      <c r="AE783" t="s">
        <v>43</v>
      </c>
      <c r="AF783" t="s">
        <v>43</v>
      </c>
      <c r="AG783" t="s">
        <v>43</v>
      </c>
      <c r="AH783" t="s">
        <v>43</v>
      </c>
      <c r="AI783" t="s">
        <v>43</v>
      </c>
      <c r="AJ783" t="s">
        <v>43</v>
      </c>
      <c r="AK783" t="s">
        <v>43</v>
      </c>
      <c r="AL783" t="s">
        <v>43</v>
      </c>
      <c r="AM783" t="s">
        <v>43</v>
      </c>
      <c r="AN783" t="str">
        <f>HYPERLINK("https://www.google.com/maps?q=11.05477715,79.06084442","Open Location")</f>
        <v>Open Location</v>
      </c>
    </row>
    <row r="784" spans="1:40" x14ac:dyDescent="0.3">
      <c r="A784" s="1">
        <v>46210.90902777778</v>
      </c>
      <c r="B784" t="s">
        <v>40</v>
      </c>
      <c r="C784" t="s">
        <v>41</v>
      </c>
      <c r="D784" s="1">
        <v>46210.912060185183</v>
      </c>
      <c r="E784" t="s">
        <v>42</v>
      </c>
      <c r="F784" t="s">
        <v>43</v>
      </c>
      <c r="G784" t="s">
        <v>43</v>
      </c>
      <c r="H784" t="s">
        <v>43</v>
      </c>
      <c r="I784" t="s">
        <v>331</v>
      </c>
      <c r="J784" t="s">
        <v>43</v>
      </c>
      <c r="K784" t="s">
        <v>43</v>
      </c>
      <c r="L784" t="s">
        <v>43</v>
      </c>
      <c r="M784" t="s">
        <v>43</v>
      </c>
      <c r="N784" t="s">
        <v>45</v>
      </c>
      <c r="O784" t="s">
        <v>43</v>
      </c>
      <c r="P784" t="s">
        <v>43</v>
      </c>
      <c r="Q784" t="s">
        <v>43</v>
      </c>
      <c r="R784" t="s">
        <v>43</v>
      </c>
      <c r="S784" t="s">
        <v>43</v>
      </c>
      <c r="T784" t="s">
        <v>43</v>
      </c>
      <c r="U784" t="s">
        <v>43</v>
      </c>
      <c r="V784" t="s">
        <v>43</v>
      </c>
      <c r="W784" t="s">
        <v>43</v>
      </c>
      <c r="X784" t="s">
        <v>43</v>
      </c>
      <c r="Y784" t="s">
        <v>43</v>
      </c>
      <c r="Z784" t="s">
        <v>43</v>
      </c>
      <c r="AA784" t="s">
        <v>43</v>
      </c>
      <c r="AB784" t="s">
        <v>43</v>
      </c>
      <c r="AC784" t="s">
        <v>43</v>
      </c>
      <c r="AD784" t="s">
        <v>43</v>
      </c>
      <c r="AE784" t="s">
        <v>43</v>
      </c>
      <c r="AF784" t="s">
        <v>43</v>
      </c>
      <c r="AG784" t="s">
        <v>43</v>
      </c>
      <c r="AH784" t="s">
        <v>43</v>
      </c>
      <c r="AI784" t="s">
        <v>43</v>
      </c>
      <c r="AJ784" t="s">
        <v>43</v>
      </c>
      <c r="AK784" t="s">
        <v>43</v>
      </c>
      <c r="AL784" t="s">
        <v>43</v>
      </c>
      <c r="AM784" t="s">
        <v>43</v>
      </c>
      <c r="AN784" t="str">
        <f>HYPERLINK("https://www.google.com/maps?q=11.0547781,79.06084442","Open Location")</f>
        <v>Open Location</v>
      </c>
    </row>
    <row r="785" spans="1:40" x14ac:dyDescent="0.3">
      <c r="A785" s="1">
        <v>46210.908912037034</v>
      </c>
      <c r="B785" t="s">
        <v>40</v>
      </c>
      <c r="C785" t="s">
        <v>41</v>
      </c>
      <c r="D785" s="1">
        <v>46210.911736111113</v>
      </c>
      <c r="E785" t="s">
        <v>42</v>
      </c>
      <c r="F785" t="s">
        <v>43</v>
      </c>
      <c r="G785" t="s">
        <v>43</v>
      </c>
      <c r="H785" t="s">
        <v>43</v>
      </c>
      <c r="I785" t="s">
        <v>307</v>
      </c>
      <c r="J785" t="s">
        <v>43</v>
      </c>
      <c r="K785" t="s">
        <v>43</v>
      </c>
      <c r="L785" t="s">
        <v>43</v>
      </c>
      <c r="M785" t="s">
        <v>43</v>
      </c>
      <c r="N785" t="s">
        <v>45</v>
      </c>
      <c r="O785" t="s">
        <v>43</v>
      </c>
      <c r="P785" t="s">
        <v>43</v>
      </c>
      <c r="Q785" t="s">
        <v>43</v>
      </c>
      <c r="R785" t="s">
        <v>43</v>
      </c>
      <c r="S785" t="s">
        <v>43</v>
      </c>
      <c r="T785" t="s">
        <v>43</v>
      </c>
      <c r="U785" t="s">
        <v>43</v>
      </c>
      <c r="V785" t="s">
        <v>43</v>
      </c>
      <c r="W785" t="s">
        <v>43</v>
      </c>
      <c r="X785" t="s">
        <v>43</v>
      </c>
      <c r="Y785" t="s">
        <v>43</v>
      </c>
      <c r="Z785" t="s">
        <v>43</v>
      </c>
      <c r="AA785" t="s">
        <v>43</v>
      </c>
      <c r="AB785" t="s">
        <v>43</v>
      </c>
      <c r="AC785" t="s">
        <v>43</v>
      </c>
      <c r="AD785" t="s">
        <v>43</v>
      </c>
      <c r="AE785" t="s">
        <v>43</v>
      </c>
      <c r="AF785" t="s">
        <v>43</v>
      </c>
      <c r="AG785" t="s">
        <v>43</v>
      </c>
      <c r="AH785" t="s">
        <v>43</v>
      </c>
      <c r="AI785" t="s">
        <v>43</v>
      </c>
      <c r="AJ785" t="s">
        <v>43</v>
      </c>
      <c r="AK785" t="s">
        <v>43</v>
      </c>
      <c r="AL785" t="s">
        <v>43</v>
      </c>
      <c r="AM785" t="s">
        <v>43</v>
      </c>
      <c r="AN785" t="str">
        <f>HYPERLINK("https://www.google.com/maps?q=11.05478287,79.06084442","Open Location")</f>
        <v>Open Location</v>
      </c>
    </row>
    <row r="786" spans="1:40" x14ac:dyDescent="0.3">
      <c r="A786" s="1">
        <v>46210.908796296295</v>
      </c>
      <c r="B786" t="s">
        <v>40</v>
      </c>
      <c r="C786" t="s">
        <v>41</v>
      </c>
      <c r="D786" s="1">
        <v>46210.911585648151</v>
      </c>
      <c r="E786" t="s">
        <v>42</v>
      </c>
      <c r="F786" t="s">
        <v>43</v>
      </c>
      <c r="G786" t="s">
        <v>43</v>
      </c>
      <c r="H786" t="s">
        <v>43</v>
      </c>
      <c r="I786" t="s">
        <v>335</v>
      </c>
      <c r="J786" t="s">
        <v>43</v>
      </c>
      <c r="K786" t="s">
        <v>43</v>
      </c>
      <c r="L786" t="s">
        <v>43</v>
      </c>
      <c r="M786" t="s">
        <v>43</v>
      </c>
      <c r="N786" t="s">
        <v>45</v>
      </c>
      <c r="O786" t="s">
        <v>43</v>
      </c>
      <c r="P786" t="s">
        <v>43</v>
      </c>
      <c r="Q786" t="s">
        <v>43</v>
      </c>
      <c r="R786" t="s">
        <v>43</v>
      </c>
      <c r="S786" t="s">
        <v>43</v>
      </c>
      <c r="T786" t="s">
        <v>43</v>
      </c>
      <c r="U786" t="s">
        <v>43</v>
      </c>
      <c r="V786" t="s">
        <v>43</v>
      </c>
      <c r="W786" t="s">
        <v>43</v>
      </c>
      <c r="X786" t="s">
        <v>43</v>
      </c>
      <c r="Y786" t="s">
        <v>43</v>
      </c>
      <c r="Z786" t="s">
        <v>43</v>
      </c>
      <c r="AA786" t="s">
        <v>43</v>
      </c>
      <c r="AB786" t="s">
        <v>43</v>
      </c>
      <c r="AC786" t="s">
        <v>43</v>
      </c>
      <c r="AD786" t="s">
        <v>43</v>
      </c>
      <c r="AE786" t="s">
        <v>43</v>
      </c>
      <c r="AF786" t="s">
        <v>43</v>
      </c>
      <c r="AG786" t="s">
        <v>43</v>
      </c>
      <c r="AH786" t="s">
        <v>43</v>
      </c>
      <c r="AI786" t="s">
        <v>43</v>
      </c>
      <c r="AJ786" t="s">
        <v>43</v>
      </c>
      <c r="AK786" t="s">
        <v>43</v>
      </c>
      <c r="AL786" t="s">
        <v>43</v>
      </c>
      <c r="AM786" t="s">
        <v>43</v>
      </c>
      <c r="AN786" t="str">
        <f>HYPERLINK("https://www.google.com/maps?q=11.05478001,79.06084442","Open Location")</f>
        <v>Open Location</v>
      </c>
    </row>
    <row r="787" spans="1:40" x14ac:dyDescent="0.3">
      <c r="A787" s="1">
        <v>46210.908680555556</v>
      </c>
      <c r="B787" t="s">
        <v>40</v>
      </c>
      <c r="C787" t="s">
        <v>41</v>
      </c>
      <c r="D787" s="1">
        <v>46210.911354166667</v>
      </c>
      <c r="E787" t="s">
        <v>42</v>
      </c>
      <c r="F787" t="s">
        <v>43</v>
      </c>
      <c r="G787" t="s">
        <v>43</v>
      </c>
      <c r="H787" t="s">
        <v>43</v>
      </c>
      <c r="I787" t="s">
        <v>345</v>
      </c>
      <c r="J787" t="s">
        <v>43</v>
      </c>
      <c r="K787" t="s">
        <v>43</v>
      </c>
      <c r="L787" t="s">
        <v>43</v>
      </c>
      <c r="M787" t="s">
        <v>43</v>
      </c>
      <c r="N787" t="s">
        <v>45</v>
      </c>
      <c r="O787" t="s">
        <v>43</v>
      </c>
      <c r="P787" t="s">
        <v>43</v>
      </c>
      <c r="Q787" t="s">
        <v>43</v>
      </c>
      <c r="R787" t="s">
        <v>43</v>
      </c>
      <c r="S787" t="s">
        <v>43</v>
      </c>
      <c r="T787" t="s">
        <v>43</v>
      </c>
      <c r="U787" t="s">
        <v>43</v>
      </c>
      <c r="V787" t="s">
        <v>43</v>
      </c>
      <c r="W787" t="s">
        <v>43</v>
      </c>
      <c r="X787" t="s">
        <v>43</v>
      </c>
      <c r="Y787" t="s">
        <v>43</v>
      </c>
      <c r="Z787" t="s">
        <v>43</v>
      </c>
      <c r="AA787" t="s">
        <v>43</v>
      </c>
      <c r="AB787" t="s">
        <v>43</v>
      </c>
      <c r="AC787" t="s">
        <v>43</v>
      </c>
      <c r="AD787" t="s">
        <v>43</v>
      </c>
      <c r="AE787" t="s">
        <v>43</v>
      </c>
      <c r="AF787" t="s">
        <v>43</v>
      </c>
      <c r="AG787" t="s">
        <v>43</v>
      </c>
      <c r="AH787" t="s">
        <v>43</v>
      </c>
      <c r="AI787" t="s">
        <v>43</v>
      </c>
      <c r="AJ787" t="s">
        <v>43</v>
      </c>
      <c r="AK787" t="s">
        <v>43</v>
      </c>
      <c r="AL787" t="s">
        <v>43</v>
      </c>
      <c r="AM787" t="s">
        <v>43</v>
      </c>
      <c r="AN787" t="str">
        <f>HYPERLINK("https://www.google.com/maps?q=11.05478001,79.06083679","Open Location")</f>
        <v>Open Location</v>
      </c>
    </row>
    <row r="788" spans="1:40" x14ac:dyDescent="0.3">
      <c r="A788" s="1">
        <v>46210.908564814818</v>
      </c>
      <c r="B788" t="s">
        <v>40</v>
      </c>
      <c r="C788" t="s">
        <v>41</v>
      </c>
      <c r="D788" s="1">
        <v>46210.911516203705</v>
      </c>
      <c r="E788" t="s">
        <v>42</v>
      </c>
      <c r="F788" t="s">
        <v>43</v>
      </c>
      <c r="G788" t="s">
        <v>43</v>
      </c>
      <c r="H788" t="s">
        <v>43</v>
      </c>
      <c r="I788" t="s">
        <v>43</v>
      </c>
      <c r="J788" t="s">
        <v>43</v>
      </c>
      <c r="K788" t="s">
        <v>43</v>
      </c>
      <c r="L788" t="s">
        <v>43</v>
      </c>
      <c r="M788" t="s">
        <v>43</v>
      </c>
      <c r="N788" t="s">
        <v>45</v>
      </c>
      <c r="O788" t="s">
        <v>43</v>
      </c>
      <c r="P788" t="s">
        <v>43</v>
      </c>
      <c r="Q788" t="s">
        <v>43</v>
      </c>
      <c r="R788" t="s">
        <v>43</v>
      </c>
      <c r="S788" t="s">
        <v>43</v>
      </c>
      <c r="T788" t="s">
        <v>43</v>
      </c>
      <c r="U788" t="s">
        <v>43</v>
      </c>
      <c r="V788" t="s">
        <v>43</v>
      </c>
      <c r="W788" t="s">
        <v>43</v>
      </c>
      <c r="X788" t="s">
        <v>43</v>
      </c>
      <c r="Y788" t="s">
        <v>43</v>
      </c>
      <c r="Z788" t="s">
        <v>43</v>
      </c>
      <c r="AA788" t="s">
        <v>43</v>
      </c>
      <c r="AB788" t="s">
        <v>43</v>
      </c>
      <c r="AC788" t="s">
        <v>43</v>
      </c>
      <c r="AD788" t="s">
        <v>43</v>
      </c>
      <c r="AE788" t="s">
        <v>43</v>
      </c>
      <c r="AF788" t="s">
        <v>43</v>
      </c>
      <c r="AG788" t="s">
        <v>43</v>
      </c>
      <c r="AH788" t="s">
        <v>43</v>
      </c>
      <c r="AI788" t="s">
        <v>43</v>
      </c>
      <c r="AJ788" t="s">
        <v>43</v>
      </c>
      <c r="AK788" t="s">
        <v>43</v>
      </c>
      <c r="AL788" t="s">
        <v>43</v>
      </c>
      <c r="AM788" t="s">
        <v>43</v>
      </c>
      <c r="AN788" t="s">
        <v>43</v>
      </c>
    </row>
    <row r="789" spans="1:40" x14ac:dyDescent="0.3">
      <c r="A789" s="1">
        <v>46210.908449074072</v>
      </c>
      <c r="B789" t="s">
        <v>40</v>
      </c>
      <c r="C789" t="s">
        <v>41</v>
      </c>
      <c r="D789" s="1">
        <v>46210.911157407405</v>
      </c>
      <c r="E789" t="s">
        <v>42</v>
      </c>
      <c r="F789" t="s">
        <v>43</v>
      </c>
      <c r="G789" t="s">
        <v>43</v>
      </c>
      <c r="H789" t="s">
        <v>43</v>
      </c>
      <c r="I789" t="s">
        <v>377</v>
      </c>
      <c r="J789" t="s">
        <v>43</v>
      </c>
      <c r="K789" t="s">
        <v>43</v>
      </c>
      <c r="L789" t="s">
        <v>43</v>
      </c>
      <c r="M789" t="s">
        <v>43</v>
      </c>
      <c r="N789" t="s">
        <v>45</v>
      </c>
      <c r="O789" t="s">
        <v>43</v>
      </c>
      <c r="P789" t="s">
        <v>43</v>
      </c>
      <c r="Q789" t="s">
        <v>43</v>
      </c>
      <c r="R789" t="s">
        <v>43</v>
      </c>
      <c r="S789" t="s">
        <v>43</v>
      </c>
      <c r="T789" t="s">
        <v>43</v>
      </c>
      <c r="U789" t="s">
        <v>43</v>
      </c>
      <c r="V789" t="s">
        <v>43</v>
      </c>
      <c r="W789" t="s">
        <v>43</v>
      </c>
      <c r="X789" t="s">
        <v>43</v>
      </c>
      <c r="Y789" t="s">
        <v>43</v>
      </c>
      <c r="Z789" t="s">
        <v>43</v>
      </c>
      <c r="AA789" t="s">
        <v>43</v>
      </c>
      <c r="AB789" t="s">
        <v>43</v>
      </c>
      <c r="AC789" t="s">
        <v>43</v>
      </c>
      <c r="AD789" t="s">
        <v>43</v>
      </c>
      <c r="AE789" t="s">
        <v>43</v>
      </c>
      <c r="AF789" t="s">
        <v>43</v>
      </c>
      <c r="AG789" t="s">
        <v>43</v>
      </c>
      <c r="AH789" t="s">
        <v>43</v>
      </c>
      <c r="AI789" t="s">
        <v>43</v>
      </c>
      <c r="AJ789" t="s">
        <v>43</v>
      </c>
      <c r="AK789" t="s">
        <v>43</v>
      </c>
      <c r="AL789" t="s">
        <v>43</v>
      </c>
      <c r="AM789" t="s">
        <v>43</v>
      </c>
      <c r="AN789" t="str">
        <f>HYPERLINK("https://www.google.com/maps?q=11.05478764,79.06083679","Open Location")</f>
        <v>Open Location</v>
      </c>
    </row>
    <row r="790" spans="1:40" x14ac:dyDescent="0.3">
      <c r="A790" s="1">
        <v>46210.908333333333</v>
      </c>
      <c r="B790" t="s">
        <v>40</v>
      </c>
      <c r="C790" t="s">
        <v>41</v>
      </c>
      <c r="D790" s="1">
        <v>46210.911504629628</v>
      </c>
      <c r="E790" t="s">
        <v>42</v>
      </c>
      <c r="F790" t="s">
        <v>43</v>
      </c>
      <c r="G790" t="s">
        <v>43</v>
      </c>
      <c r="H790" t="s">
        <v>43</v>
      </c>
      <c r="I790" t="s">
        <v>378</v>
      </c>
      <c r="J790" t="s">
        <v>43</v>
      </c>
      <c r="K790" t="s">
        <v>43</v>
      </c>
      <c r="L790" t="s">
        <v>43</v>
      </c>
      <c r="M790" t="s">
        <v>43</v>
      </c>
      <c r="N790" t="s">
        <v>45</v>
      </c>
      <c r="O790" t="s">
        <v>43</v>
      </c>
      <c r="P790" t="s">
        <v>43</v>
      </c>
      <c r="Q790" t="s">
        <v>43</v>
      </c>
      <c r="R790" t="s">
        <v>43</v>
      </c>
      <c r="S790" t="s">
        <v>43</v>
      </c>
      <c r="T790" t="s">
        <v>43</v>
      </c>
      <c r="U790" t="s">
        <v>43</v>
      </c>
      <c r="V790" t="s">
        <v>43</v>
      </c>
      <c r="W790" t="s">
        <v>43</v>
      </c>
      <c r="X790" t="s">
        <v>43</v>
      </c>
      <c r="Y790" t="s">
        <v>43</v>
      </c>
      <c r="Z790" t="s">
        <v>43</v>
      </c>
      <c r="AA790" t="s">
        <v>43</v>
      </c>
      <c r="AB790" t="s">
        <v>43</v>
      </c>
      <c r="AC790" t="s">
        <v>43</v>
      </c>
      <c r="AD790" t="s">
        <v>43</v>
      </c>
      <c r="AE790" t="s">
        <v>43</v>
      </c>
      <c r="AF790" t="s">
        <v>43</v>
      </c>
      <c r="AG790" t="s">
        <v>43</v>
      </c>
      <c r="AH790" t="s">
        <v>43</v>
      </c>
      <c r="AI790" t="s">
        <v>43</v>
      </c>
      <c r="AJ790" t="s">
        <v>43</v>
      </c>
      <c r="AK790" t="s">
        <v>43</v>
      </c>
      <c r="AL790" t="s">
        <v>43</v>
      </c>
      <c r="AM790" t="s">
        <v>43</v>
      </c>
      <c r="AN790" t="str">
        <f>HYPERLINK("https://www.google.com/maps?q=11.0547924,79.06082916","Open Location")</f>
        <v>Open Location</v>
      </c>
    </row>
    <row r="791" spans="1:40" x14ac:dyDescent="0.3">
      <c r="A791" s="1">
        <v>46210.908217592594</v>
      </c>
      <c r="B791" t="s">
        <v>40</v>
      </c>
      <c r="C791" t="s">
        <v>41</v>
      </c>
      <c r="D791" s="1">
        <v>46210.911099537036</v>
      </c>
      <c r="E791" t="s">
        <v>42</v>
      </c>
      <c r="F791" t="s">
        <v>43</v>
      </c>
      <c r="G791" t="s">
        <v>43</v>
      </c>
      <c r="H791" t="s">
        <v>43</v>
      </c>
      <c r="I791" t="s">
        <v>366</v>
      </c>
      <c r="J791" t="s">
        <v>43</v>
      </c>
      <c r="K791" t="s">
        <v>43</v>
      </c>
      <c r="L791" t="s">
        <v>43</v>
      </c>
      <c r="M791" t="s">
        <v>43</v>
      </c>
      <c r="N791" t="s">
        <v>45</v>
      </c>
      <c r="O791" t="s">
        <v>43</v>
      </c>
      <c r="P791" t="s">
        <v>43</v>
      </c>
      <c r="Q791" t="s">
        <v>43</v>
      </c>
      <c r="R791" t="s">
        <v>43</v>
      </c>
      <c r="S791" t="s">
        <v>43</v>
      </c>
      <c r="T791" t="s">
        <v>43</v>
      </c>
      <c r="U791" t="s">
        <v>43</v>
      </c>
      <c r="V791" t="s">
        <v>43</v>
      </c>
      <c r="W791" t="s">
        <v>43</v>
      </c>
      <c r="X791" t="s">
        <v>43</v>
      </c>
      <c r="Y791" t="s">
        <v>43</v>
      </c>
      <c r="Z791" t="s">
        <v>43</v>
      </c>
      <c r="AA791" t="s">
        <v>43</v>
      </c>
      <c r="AB791" t="s">
        <v>43</v>
      </c>
      <c r="AC791" t="s">
        <v>43</v>
      </c>
      <c r="AD791" t="s">
        <v>43</v>
      </c>
      <c r="AE791" t="s">
        <v>43</v>
      </c>
      <c r="AF791" t="s">
        <v>43</v>
      </c>
      <c r="AG791" t="s">
        <v>43</v>
      </c>
      <c r="AH791" t="s">
        <v>43</v>
      </c>
      <c r="AI791" t="s">
        <v>43</v>
      </c>
      <c r="AJ791" t="s">
        <v>43</v>
      </c>
      <c r="AK791" t="s">
        <v>43</v>
      </c>
      <c r="AL791" t="s">
        <v>43</v>
      </c>
      <c r="AM791" t="s">
        <v>43</v>
      </c>
      <c r="AN791" t="str">
        <f>HYPERLINK("https://www.google.com/maps?q=11.05479717,79.06084442","Open Location")</f>
        <v>Open Location</v>
      </c>
    </row>
    <row r="792" spans="1:40" x14ac:dyDescent="0.3">
      <c r="A792" s="1">
        <v>46210.908101851855</v>
      </c>
      <c r="B792" t="s">
        <v>40</v>
      </c>
      <c r="C792" t="s">
        <v>41</v>
      </c>
      <c r="D792" s="1">
        <v>46210.910775462966</v>
      </c>
      <c r="E792" t="s">
        <v>42</v>
      </c>
      <c r="F792" t="s">
        <v>43</v>
      </c>
      <c r="G792" t="s">
        <v>43</v>
      </c>
      <c r="H792" t="s">
        <v>43</v>
      </c>
      <c r="I792" t="s">
        <v>379</v>
      </c>
      <c r="J792" t="s">
        <v>43</v>
      </c>
      <c r="K792" t="s">
        <v>43</v>
      </c>
      <c r="L792" t="s">
        <v>43</v>
      </c>
      <c r="M792" t="s">
        <v>43</v>
      </c>
      <c r="N792" t="s">
        <v>45</v>
      </c>
      <c r="O792" t="s">
        <v>43</v>
      </c>
      <c r="P792" t="s">
        <v>43</v>
      </c>
      <c r="Q792" t="s">
        <v>43</v>
      </c>
      <c r="R792" t="s">
        <v>43</v>
      </c>
      <c r="S792" t="s">
        <v>43</v>
      </c>
      <c r="T792" t="s">
        <v>43</v>
      </c>
      <c r="U792" t="s">
        <v>43</v>
      </c>
      <c r="V792" t="s">
        <v>43</v>
      </c>
      <c r="W792" t="s">
        <v>43</v>
      </c>
      <c r="X792" t="s">
        <v>43</v>
      </c>
      <c r="Y792" t="s">
        <v>43</v>
      </c>
      <c r="Z792" t="s">
        <v>43</v>
      </c>
      <c r="AA792" t="s">
        <v>43</v>
      </c>
      <c r="AB792" t="s">
        <v>43</v>
      </c>
      <c r="AC792" t="s">
        <v>43</v>
      </c>
      <c r="AD792" t="s">
        <v>43</v>
      </c>
      <c r="AE792" t="s">
        <v>43</v>
      </c>
      <c r="AF792" t="s">
        <v>43</v>
      </c>
      <c r="AG792" t="s">
        <v>43</v>
      </c>
      <c r="AH792" t="s">
        <v>43</v>
      </c>
      <c r="AI792" t="s">
        <v>43</v>
      </c>
      <c r="AJ792" t="s">
        <v>43</v>
      </c>
      <c r="AK792" t="s">
        <v>43</v>
      </c>
      <c r="AL792" t="s">
        <v>43</v>
      </c>
      <c r="AM792" t="s">
        <v>43</v>
      </c>
      <c r="AN792" t="str">
        <f>HYPERLINK("https://www.google.com/maps?q=11.05479908,79.06084442","Open Location")</f>
        <v>Open Location</v>
      </c>
    </row>
    <row r="793" spans="1:40" x14ac:dyDescent="0.3">
      <c r="A793" s="1">
        <v>46210.907986111109</v>
      </c>
      <c r="B793" t="s">
        <v>40</v>
      </c>
      <c r="C793" t="s">
        <v>41</v>
      </c>
      <c r="D793" s="1">
        <v>46210.910763888889</v>
      </c>
      <c r="E793" t="s">
        <v>42</v>
      </c>
      <c r="F793" t="s">
        <v>43</v>
      </c>
      <c r="G793" t="s">
        <v>43</v>
      </c>
      <c r="H793" t="s">
        <v>43</v>
      </c>
      <c r="I793" t="s">
        <v>43</v>
      </c>
      <c r="J793" t="s">
        <v>43</v>
      </c>
      <c r="K793" t="s">
        <v>43</v>
      </c>
      <c r="L793" t="s">
        <v>43</v>
      </c>
      <c r="M793" t="s">
        <v>43</v>
      </c>
      <c r="N793" t="s">
        <v>45</v>
      </c>
      <c r="O793" t="s">
        <v>43</v>
      </c>
      <c r="P793" t="s">
        <v>43</v>
      </c>
      <c r="Q793" t="s">
        <v>43</v>
      </c>
      <c r="R793" t="s">
        <v>43</v>
      </c>
      <c r="S793" t="s">
        <v>43</v>
      </c>
      <c r="T793" t="s">
        <v>43</v>
      </c>
      <c r="U793" t="s">
        <v>43</v>
      </c>
      <c r="V793" t="s">
        <v>43</v>
      </c>
      <c r="W793" t="s">
        <v>43</v>
      </c>
      <c r="X793" t="s">
        <v>43</v>
      </c>
      <c r="Y793" t="s">
        <v>43</v>
      </c>
      <c r="Z793" t="s">
        <v>43</v>
      </c>
      <c r="AA793" t="s">
        <v>43</v>
      </c>
      <c r="AB793" t="s">
        <v>43</v>
      </c>
      <c r="AC793" t="s">
        <v>43</v>
      </c>
      <c r="AD793" t="s">
        <v>43</v>
      </c>
      <c r="AE793" t="s">
        <v>43</v>
      </c>
      <c r="AF793" t="s">
        <v>43</v>
      </c>
      <c r="AG793" t="s">
        <v>43</v>
      </c>
      <c r="AH793" t="s">
        <v>43</v>
      </c>
      <c r="AI793" t="s">
        <v>43</v>
      </c>
      <c r="AJ793" t="s">
        <v>43</v>
      </c>
      <c r="AK793" t="s">
        <v>43</v>
      </c>
      <c r="AL793" t="s">
        <v>43</v>
      </c>
      <c r="AM793" t="s">
        <v>43</v>
      </c>
      <c r="AN793" t="s">
        <v>43</v>
      </c>
    </row>
    <row r="794" spans="1:40" x14ac:dyDescent="0.3">
      <c r="A794" s="1">
        <v>46210.907870370371</v>
      </c>
      <c r="B794" t="s">
        <v>40</v>
      </c>
      <c r="C794" t="s">
        <v>41</v>
      </c>
      <c r="D794" s="1">
        <v>46210.910983796297</v>
      </c>
      <c r="E794" t="s">
        <v>42</v>
      </c>
      <c r="F794" t="s">
        <v>43</v>
      </c>
      <c r="G794" t="s">
        <v>43</v>
      </c>
      <c r="H794" t="s">
        <v>43</v>
      </c>
      <c r="I794" t="s">
        <v>380</v>
      </c>
      <c r="J794" t="s">
        <v>43</v>
      </c>
      <c r="K794" t="s">
        <v>43</v>
      </c>
      <c r="L794" t="s">
        <v>43</v>
      </c>
      <c r="M794" t="s">
        <v>43</v>
      </c>
      <c r="N794" t="s">
        <v>45</v>
      </c>
      <c r="O794" t="s">
        <v>43</v>
      </c>
      <c r="P794" t="s">
        <v>43</v>
      </c>
      <c r="Q794" t="s">
        <v>43</v>
      </c>
      <c r="R794" t="s">
        <v>43</v>
      </c>
      <c r="S794" t="s">
        <v>43</v>
      </c>
      <c r="T794" t="s">
        <v>43</v>
      </c>
      <c r="U794" t="s">
        <v>43</v>
      </c>
      <c r="V794" t="s">
        <v>43</v>
      </c>
      <c r="W794" t="s">
        <v>43</v>
      </c>
      <c r="X794" t="s">
        <v>43</v>
      </c>
      <c r="Y794" t="s">
        <v>43</v>
      </c>
      <c r="Z794" t="s">
        <v>43</v>
      </c>
      <c r="AA794" t="s">
        <v>43</v>
      </c>
      <c r="AB794" t="s">
        <v>43</v>
      </c>
      <c r="AC794" t="s">
        <v>43</v>
      </c>
      <c r="AD794" t="s">
        <v>43</v>
      </c>
      <c r="AE794" t="s">
        <v>43</v>
      </c>
      <c r="AF794" t="s">
        <v>43</v>
      </c>
      <c r="AG794" t="s">
        <v>43</v>
      </c>
      <c r="AH794" t="s">
        <v>43</v>
      </c>
      <c r="AI794" t="s">
        <v>43</v>
      </c>
      <c r="AJ794" t="s">
        <v>43</v>
      </c>
      <c r="AK794" t="s">
        <v>43</v>
      </c>
      <c r="AL794" t="s">
        <v>43</v>
      </c>
      <c r="AM794" t="s">
        <v>43</v>
      </c>
      <c r="AN794" t="str">
        <f>HYPERLINK("https://www.google.com/maps?q=11.05480099,79.06084442","Open Location")</f>
        <v>Open Location</v>
      </c>
    </row>
    <row r="795" spans="1:40" x14ac:dyDescent="0.3">
      <c r="A795" s="1">
        <v>46210.907754629632</v>
      </c>
      <c r="B795" t="s">
        <v>40</v>
      </c>
      <c r="C795" t="s">
        <v>41</v>
      </c>
      <c r="D795" s="1">
        <v>46210.910671296297</v>
      </c>
      <c r="E795" t="s">
        <v>42</v>
      </c>
      <c r="F795" t="s">
        <v>43</v>
      </c>
      <c r="G795" t="s">
        <v>43</v>
      </c>
      <c r="H795" t="s">
        <v>43</v>
      </c>
      <c r="I795" t="s">
        <v>381</v>
      </c>
      <c r="J795" t="s">
        <v>43</v>
      </c>
      <c r="K795" t="s">
        <v>43</v>
      </c>
      <c r="L795" t="s">
        <v>43</v>
      </c>
      <c r="M795" t="s">
        <v>43</v>
      </c>
      <c r="N795" t="s">
        <v>45</v>
      </c>
      <c r="O795" t="s">
        <v>43</v>
      </c>
      <c r="P795" t="s">
        <v>43</v>
      </c>
      <c r="Q795" t="s">
        <v>43</v>
      </c>
      <c r="R795" t="s">
        <v>43</v>
      </c>
      <c r="S795" t="s">
        <v>43</v>
      </c>
      <c r="T795" t="s">
        <v>43</v>
      </c>
      <c r="U795" t="s">
        <v>43</v>
      </c>
      <c r="V795" t="s">
        <v>43</v>
      </c>
      <c r="W795" t="s">
        <v>43</v>
      </c>
      <c r="X795" t="s">
        <v>43</v>
      </c>
      <c r="Y795" t="s">
        <v>43</v>
      </c>
      <c r="Z795" t="s">
        <v>43</v>
      </c>
      <c r="AA795" t="s">
        <v>43</v>
      </c>
      <c r="AB795" t="s">
        <v>43</v>
      </c>
      <c r="AC795" t="s">
        <v>43</v>
      </c>
      <c r="AD795" t="s">
        <v>43</v>
      </c>
      <c r="AE795" t="s">
        <v>43</v>
      </c>
      <c r="AF795" t="s">
        <v>43</v>
      </c>
      <c r="AG795" t="s">
        <v>43</v>
      </c>
      <c r="AH795" t="s">
        <v>43</v>
      </c>
      <c r="AI795" t="s">
        <v>43</v>
      </c>
      <c r="AJ795" t="s">
        <v>43</v>
      </c>
      <c r="AK795" t="s">
        <v>43</v>
      </c>
      <c r="AL795" t="s">
        <v>43</v>
      </c>
      <c r="AM795" t="s">
        <v>43</v>
      </c>
      <c r="AN795" t="str">
        <f>HYPERLINK("https://www.google.com/maps?q=11.05479813,79.06084442","Open Location")</f>
        <v>Open Location</v>
      </c>
    </row>
    <row r="796" spans="1:40" x14ac:dyDescent="0.3">
      <c r="A796" s="1">
        <v>46210.907638888886</v>
      </c>
      <c r="B796" t="s">
        <v>40</v>
      </c>
      <c r="C796" t="s">
        <v>41</v>
      </c>
      <c r="D796" s="1">
        <v>46210.910381944443</v>
      </c>
      <c r="E796" t="s">
        <v>42</v>
      </c>
      <c r="F796" t="s">
        <v>43</v>
      </c>
      <c r="G796" t="s">
        <v>43</v>
      </c>
      <c r="H796" t="s">
        <v>43</v>
      </c>
      <c r="I796" t="s">
        <v>382</v>
      </c>
      <c r="J796" t="s">
        <v>43</v>
      </c>
      <c r="K796" t="s">
        <v>43</v>
      </c>
      <c r="L796" t="s">
        <v>43</v>
      </c>
      <c r="M796" t="s">
        <v>43</v>
      </c>
      <c r="N796" t="s">
        <v>45</v>
      </c>
      <c r="O796" t="s">
        <v>43</v>
      </c>
      <c r="P796" t="s">
        <v>43</v>
      </c>
      <c r="Q796" t="s">
        <v>43</v>
      </c>
      <c r="R796" t="s">
        <v>43</v>
      </c>
      <c r="S796" t="s">
        <v>43</v>
      </c>
      <c r="T796" t="s">
        <v>43</v>
      </c>
      <c r="U796" t="s">
        <v>43</v>
      </c>
      <c r="V796" t="s">
        <v>43</v>
      </c>
      <c r="W796" t="s">
        <v>43</v>
      </c>
      <c r="X796" t="s">
        <v>43</v>
      </c>
      <c r="Y796" t="s">
        <v>43</v>
      </c>
      <c r="Z796" t="s">
        <v>43</v>
      </c>
      <c r="AA796" t="s">
        <v>43</v>
      </c>
      <c r="AB796" t="s">
        <v>43</v>
      </c>
      <c r="AC796" t="s">
        <v>43</v>
      </c>
      <c r="AD796" t="s">
        <v>43</v>
      </c>
      <c r="AE796" t="s">
        <v>43</v>
      </c>
      <c r="AF796" t="s">
        <v>43</v>
      </c>
      <c r="AG796" t="s">
        <v>43</v>
      </c>
      <c r="AH796" t="s">
        <v>43</v>
      </c>
      <c r="AI796" t="s">
        <v>43</v>
      </c>
      <c r="AJ796" t="s">
        <v>43</v>
      </c>
      <c r="AK796" t="s">
        <v>43</v>
      </c>
      <c r="AL796" t="s">
        <v>43</v>
      </c>
      <c r="AM796" t="s">
        <v>43</v>
      </c>
      <c r="AN796" t="str">
        <f>HYPERLINK("https://www.google.com/maps?q=11.05479813,79.06085968","Open Location")</f>
        <v>Open Location</v>
      </c>
    </row>
    <row r="797" spans="1:40" x14ac:dyDescent="0.3">
      <c r="A797" s="1">
        <v>46210.907523148147</v>
      </c>
      <c r="B797" t="s">
        <v>40</v>
      </c>
      <c r="C797" t="s">
        <v>41</v>
      </c>
      <c r="D797" s="1">
        <v>46210.910381944443</v>
      </c>
      <c r="E797" t="s">
        <v>42</v>
      </c>
      <c r="F797" t="s">
        <v>43</v>
      </c>
      <c r="G797" t="s">
        <v>43</v>
      </c>
      <c r="H797" t="s">
        <v>43</v>
      </c>
      <c r="I797" t="s">
        <v>383</v>
      </c>
      <c r="J797" t="s">
        <v>43</v>
      </c>
      <c r="K797" t="s">
        <v>43</v>
      </c>
      <c r="L797" t="s">
        <v>43</v>
      </c>
      <c r="M797" t="s">
        <v>43</v>
      </c>
      <c r="N797" t="s">
        <v>45</v>
      </c>
      <c r="O797" t="s">
        <v>43</v>
      </c>
      <c r="P797" t="s">
        <v>43</v>
      </c>
      <c r="Q797" t="s">
        <v>43</v>
      </c>
      <c r="R797" t="s">
        <v>43</v>
      </c>
      <c r="S797" t="s">
        <v>43</v>
      </c>
      <c r="T797" t="s">
        <v>43</v>
      </c>
      <c r="U797" t="s">
        <v>43</v>
      </c>
      <c r="V797" t="s">
        <v>43</v>
      </c>
      <c r="W797" t="s">
        <v>43</v>
      </c>
      <c r="X797" t="s">
        <v>43</v>
      </c>
      <c r="Y797" t="s">
        <v>43</v>
      </c>
      <c r="Z797" t="s">
        <v>43</v>
      </c>
      <c r="AA797" t="s">
        <v>43</v>
      </c>
      <c r="AB797" t="s">
        <v>43</v>
      </c>
      <c r="AC797" t="s">
        <v>43</v>
      </c>
      <c r="AD797" t="s">
        <v>43</v>
      </c>
      <c r="AE797" t="s">
        <v>43</v>
      </c>
      <c r="AF797" t="s">
        <v>43</v>
      </c>
      <c r="AG797" t="s">
        <v>43</v>
      </c>
      <c r="AH797" t="s">
        <v>43</v>
      </c>
      <c r="AI797" t="s">
        <v>43</v>
      </c>
      <c r="AJ797" t="s">
        <v>43</v>
      </c>
      <c r="AK797" t="s">
        <v>43</v>
      </c>
      <c r="AL797" t="s">
        <v>43</v>
      </c>
      <c r="AM797" t="s">
        <v>43</v>
      </c>
      <c r="AN797" t="str">
        <f>HYPERLINK("https://www.google.com/maps?q=11.05479908,79.06085968","Open Location")</f>
        <v>Open Location</v>
      </c>
    </row>
    <row r="798" spans="1:40" x14ac:dyDescent="0.3">
      <c r="A798" s="1">
        <v>46210.907407407409</v>
      </c>
      <c r="B798" t="s">
        <v>40</v>
      </c>
      <c r="C798" t="s">
        <v>41</v>
      </c>
      <c r="D798" s="1">
        <v>46210.910358796296</v>
      </c>
      <c r="E798" t="s">
        <v>42</v>
      </c>
      <c r="F798" t="s">
        <v>43</v>
      </c>
      <c r="G798" t="s">
        <v>43</v>
      </c>
      <c r="H798" t="s">
        <v>43</v>
      </c>
      <c r="I798" t="s">
        <v>305</v>
      </c>
      <c r="J798" t="s">
        <v>43</v>
      </c>
      <c r="K798" t="s">
        <v>43</v>
      </c>
      <c r="L798" t="s">
        <v>43</v>
      </c>
      <c r="M798" t="s">
        <v>43</v>
      </c>
      <c r="N798" t="s">
        <v>45</v>
      </c>
      <c r="O798" t="s">
        <v>43</v>
      </c>
      <c r="P798" t="s">
        <v>43</v>
      </c>
      <c r="Q798" t="s">
        <v>43</v>
      </c>
      <c r="R798" t="s">
        <v>43</v>
      </c>
      <c r="S798" t="s">
        <v>43</v>
      </c>
      <c r="T798" t="s">
        <v>43</v>
      </c>
      <c r="U798" t="s">
        <v>43</v>
      </c>
      <c r="V798" t="s">
        <v>43</v>
      </c>
      <c r="W798" t="s">
        <v>43</v>
      </c>
      <c r="X798" t="s">
        <v>43</v>
      </c>
      <c r="Y798" t="s">
        <v>43</v>
      </c>
      <c r="Z798" t="s">
        <v>43</v>
      </c>
      <c r="AA798" t="s">
        <v>43</v>
      </c>
      <c r="AB798" t="s">
        <v>43</v>
      </c>
      <c r="AC798" t="s">
        <v>43</v>
      </c>
      <c r="AD798" t="s">
        <v>43</v>
      </c>
      <c r="AE798" t="s">
        <v>43</v>
      </c>
      <c r="AF798" t="s">
        <v>43</v>
      </c>
      <c r="AG798" t="s">
        <v>43</v>
      </c>
      <c r="AH798" t="s">
        <v>43</v>
      </c>
      <c r="AI798" t="s">
        <v>43</v>
      </c>
      <c r="AJ798" t="s">
        <v>43</v>
      </c>
      <c r="AK798" t="s">
        <v>43</v>
      </c>
      <c r="AL798" t="s">
        <v>43</v>
      </c>
      <c r="AM798" t="s">
        <v>43</v>
      </c>
      <c r="AN798" t="str">
        <f>HYPERLINK("https://www.google.com/maps?q=11.05479336,79.06085968","Open Location")</f>
        <v>Open Location</v>
      </c>
    </row>
    <row r="799" spans="1:40" x14ac:dyDescent="0.3">
      <c r="A799" s="1">
        <v>46210.90729166667</v>
      </c>
      <c r="B799" t="s">
        <v>40</v>
      </c>
      <c r="C799" t="s">
        <v>41</v>
      </c>
      <c r="D799" s="1">
        <v>46210.910370370373</v>
      </c>
      <c r="E799" t="s">
        <v>42</v>
      </c>
      <c r="F799" t="s">
        <v>43</v>
      </c>
      <c r="G799" t="s">
        <v>43</v>
      </c>
      <c r="H799" t="s">
        <v>43</v>
      </c>
      <c r="I799" t="s">
        <v>43</v>
      </c>
      <c r="J799" t="s">
        <v>43</v>
      </c>
      <c r="K799" t="s">
        <v>43</v>
      </c>
      <c r="L799" t="s">
        <v>43</v>
      </c>
      <c r="M799" t="s">
        <v>43</v>
      </c>
      <c r="N799" t="s">
        <v>45</v>
      </c>
      <c r="O799" t="s">
        <v>43</v>
      </c>
      <c r="P799" t="s">
        <v>43</v>
      </c>
      <c r="Q799" t="s">
        <v>43</v>
      </c>
      <c r="R799" t="s">
        <v>43</v>
      </c>
      <c r="S799" t="s">
        <v>43</v>
      </c>
      <c r="T799" t="s">
        <v>43</v>
      </c>
      <c r="U799" t="s">
        <v>43</v>
      </c>
      <c r="V799" t="s">
        <v>43</v>
      </c>
      <c r="W799" t="s">
        <v>43</v>
      </c>
      <c r="X799" t="s">
        <v>43</v>
      </c>
      <c r="Y799" t="s">
        <v>43</v>
      </c>
      <c r="Z799" t="s">
        <v>43</v>
      </c>
      <c r="AA799" t="s">
        <v>43</v>
      </c>
      <c r="AB799" t="s">
        <v>43</v>
      </c>
      <c r="AC799" t="s">
        <v>43</v>
      </c>
      <c r="AD799" t="s">
        <v>43</v>
      </c>
      <c r="AE799" t="s">
        <v>43</v>
      </c>
      <c r="AF799" t="s">
        <v>43</v>
      </c>
      <c r="AG799" t="s">
        <v>43</v>
      </c>
      <c r="AH799" t="s">
        <v>43</v>
      </c>
      <c r="AI799" t="s">
        <v>43</v>
      </c>
      <c r="AJ799" t="s">
        <v>43</v>
      </c>
      <c r="AK799" t="s">
        <v>43</v>
      </c>
      <c r="AL799" t="s">
        <v>43</v>
      </c>
      <c r="AM799" t="s">
        <v>43</v>
      </c>
      <c r="AN799" t="s">
        <v>43</v>
      </c>
    </row>
    <row r="800" spans="1:40" x14ac:dyDescent="0.3">
      <c r="A800" s="1">
        <v>46210.907175925924</v>
      </c>
      <c r="B800" t="s">
        <v>40</v>
      </c>
      <c r="C800" t="s">
        <v>41</v>
      </c>
      <c r="D800" s="1">
        <v>46210.91028935185</v>
      </c>
      <c r="E800" t="s">
        <v>42</v>
      </c>
      <c r="F800" t="s">
        <v>43</v>
      </c>
      <c r="G800" t="s">
        <v>43</v>
      </c>
      <c r="H800" t="s">
        <v>43</v>
      </c>
      <c r="I800" t="s">
        <v>303</v>
      </c>
      <c r="J800" t="s">
        <v>43</v>
      </c>
      <c r="K800" t="s">
        <v>43</v>
      </c>
      <c r="L800" t="s">
        <v>43</v>
      </c>
      <c r="M800" t="s">
        <v>43</v>
      </c>
      <c r="N800" t="s">
        <v>45</v>
      </c>
      <c r="O800" t="s">
        <v>43</v>
      </c>
      <c r="P800" t="s">
        <v>43</v>
      </c>
      <c r="Q800" t="s">
        <v>43</v>
      </c>
      <c r="R800" t="s">
        <v>43</v>
      </c>
      <c r="S800" t="s">
        <v>43</v>
      </c>
      <c r="T800" t="s">
        <v>43</v>
      </c>
      <c r="U800" t="s">
        <v>43</v>
      </c>
      <c r="V800" t="s">
        <v>43</v>
      </c>
      <c r="W800" t="s">
        <v>43</v>
      </c>
      <c r="X800" t="s">
        <v>43</v>
      </c>
      <c r="Y800" t="s">
        <v>43</v>
      </c>
      <c r="Z800" t="s">
        <v>43</v>
      </c>
      <c r="AA800" t="s">
        <v>43</v>
      </c>
      <c r="AB800" t="s">
        <v>43</v>
      </c>
      <c r="AC800" t="s">
        <v>43</v>
      </c>
      <c r="AD800" t="s">
        <v>43</v>
      </c>
      <c r="AE800" t="s">
        <v>43</v>
      </c>
      <c r="AF800" t="s">
        <v>43</v>
      </c>
      <c r="AG800" t="s">
        <v>43</v>
      </c>
      <c r="AH800" t="s">
        <v>43</v>
      </c>
      <c r="AI800" t="s">
        <v>43</v>
      </c>
      <c r="AJ800" t="s">
        <v>43</v>
      </c>
      <c r="AK800" t="s">
        <v>43</v>
      </c>
      <c r="AL800" t="s">
        <v>43</v>
      </c>
      <c r="AM800" t="s">
        <v>43</v>
      </c>
      <c r="AN800" t="str">
        <f>HYPERLINK("https://www.google.com/maps?q=11.05479527,79.06084442","Open Location")</f>
        <v>Open Location</v>
      </c>
    </row>
    <row r="801" spans="1:40" x14ac:dyDescent="0.3">
      <c r="A801" s="1">
        <v>46210.907060185185</v>
      </c>
      <c r="B801" t="s">
        <v>40</v>
      </c>
      <c r="C801" t="s">
        <v>41</v>
      </c>
      <c r="D801" s="1">
        <v>46210.909930555557</v>
      </c>
      <c r="E801" t="s">
        <v>42</v>
      </c>
      <c r="F801" t="s">
        <v>43</v>
      </c>
      <c r="G801" t="s">
        <v>43</v>
      </c>
      <c r="H801" t="s">
        <v>43</v>
      </c>
      <c r="I801" t="s">
        <v>384</v>
      </c>
      <c r="J801" t="s">
        <v>43</v>
      </c>
      <c r="K801" t="s">
        <v>43</v>
      </c>
      <c r="L801" t="s">
        <v>43</v>
      </c>
      <c r="M801" t="s">
        <v>43</v>
      </c>
      <c r="N801" t="s">
        <v>45</v>
      </c>
      <c r="O801" t="s">
        <v>43</v>
      </c>
      <c r="P801" t="s">
        <v>43</v>
      </c>
      <c r="Q801" t="s">
        <v>43</v>
      </c>
      <c r="R801" t="s">
        <v>43</v>
      </c>
      <c r="S801" t="s">
        <v>43</v>
      </c>
      <c r="T801" t="s">
        <v>43</v>
      </c>
      <c r="U801" t="s">
        <v>43</v>
      </c>
      <c r="V801" t="s">
        <v>43</v>
      </c>
      <c r="W801" t="s">
        <v>43</v>
      </c>
      <c r="X801" t="s">
        <v>43</v>
      </c>
      <c r="Y801" t="s">
        <v>43</v>
      </c>
      <c r="Z801" t="s">
        <v>43</v>
      </c>
      <c r="AA801" t="s">
        <v>43</v>
      </c>
      <c r="AB801" t="s">
        <v>43</v>
      </c>
      <c r="AC801" t="s">
        <v>43</v>
      </c>
      <c r="AD801" t="s">
        <v>43</v>
      </c>
      <c r="AE801" t="s">
        <v>43</v>
      </c>
      <c r="AF801" t="s">
        <v>43</v>
      </c>
      <c r="AG801" t="s">
        <v>43</v>
      </c>
      <c r="AH801" t="s">
        <v>43</v>
      </c>
      <c r="AI801" t="s">
        <v>43</v>
      </c>
      <c r="AJ801" t="s">
        <v>43</v>
      </c>
      <c r="AK801" t="s">
        <v>43</v>
      </c>
      <c r="AL801" t="s">
        <v>43</v>
      </c>
      <c r="AM801" t="s">
        <v>43</v>
      </c>
      <c r="AN801" t="str">
        <f>HYPERLINK("https://www.google.com/maps?q=11.05478954,79.06084442","Open Location")</f>
        <v>Open Location</v>
      </c>
    </row>
    <row r="802" spans="1:40" x14ac:dyDescent="0.3">
      <c r="A802" s="1">
        <v>46210.906944444447</v>
      </c>
      <c r="B802" t="s">
        <v>40</v>
      </c>
      <c r="C802" t="s">
        <v>41</v>
      </c>
      <c r="D802" s="1">
        <v>46210.909571759257</v>
      </c>
      <c r="E802" t="s">
        <v>42</v>
      </c>
      <c r="F802" t="s">
        <v>43</v>
      </c>
      <c r="G802" t="s">
        <v>43</v>
      </c>
      <c r="H802" t="s">
        <v>43</v>
      </c>
      <c r="I802" t="s">
        <v>297</v>
      </c>
      <c r="J802" t="s">
        <v>43</v>
      </c>
      <c r="K802" t="s">
        <v>43</v>
      </c>
      <c r="L802" t="s">
        <v>43</v>
      </c>
      <c r="M802" t="s">
        <v>43</v>
      </c>
      <c r="N802" t="s">
        <v>45</v>
      </c>
      <c r="O802" t="s">
        <v>43</v>
      </c>
      <c r="P802" t="s">
        <v>43</v>
      </c>
      <c r="Q802" t="s">
        <v>43</v>
      </c>
      <c r="R802" t="s">
        <v>43</v>
      </c>
      <c r="S802" t="s">
        <v>43</v>
      </c>
      <c r="T802" t="s">
        <v>43</v>
      </c>
      <c r="U802" t="s">
        <v>43</v>
      </c>
      <c r="V802" t="s">
        <v>43</v>
      </c>
      <c r="W802" t="s">
        <v>43</v>
      </c>
      <c r="X802" t="s">
        <v>43</v>
      </c>
      <c r="Y802" t="s">
        <v>43</v>
      </c>
      <c r="Z802" t="s">
        <v>43</v>
      </c>
      <c r="AA802" t="s">
        <v>43</v>
      </c>
      <c r="AB802" t="s">
        <v>43</v>
      </c>
      <c r="AC802" t="s">
        <v>43</v>
      </c>
      <c r="AD802" t="s">
        <v>43</v>
      </c>
      <c r="AE802" t="s">
        <v>43</v>
      </c>
      <c r="AF802" t="s">
        <v>43</v>
      </c>
      <c r="AG802" t="s">
        <v>43</v>
      </c>
      <c r="AH802" t="s">
        <v>43</v>
      </c>
      <c r="AI802" t="s">
        <v>43</v>
      </c>
      <c r="AJ802" t="s">
        <v>43</v>
      </c>
      <c r="AK802" t="s">
        <v>43</v>
      </c>
      <c r="AL802" t="s">
        <v>43</v>
      </c>
      <c r="AM802" t="s">
        <v>43</v>
      </c>
      <c r="AN802" t="str">
        <f>HYPERLINK("https://www.google.com/maps?q=11.05478477,79.06085968","Open Location")</f>
        <v>Open Location</v>
      </c>
    </row>
    <row r="803" spans="1:40" x14ac:dyDescent="0.3">
      <c r="A803" s="1">
        <v>46210.906828703701</v>
      </c>
      <c r="B803" t="s">
        <v>40</v>
      </c>
      <c r="C803" t="s">
        <v>41</v>
      </c>
      <c r="D803" s="1">
        <v>46210.909560185188</v>
      </c>
      <c r="E803" t="s">
        <v>42</v>
      </c>
      <c r="F803" t="s">
        <v>43</v>
      </c>
      <c r="G803" t="s">
        <v>43</v>
      </c>
      <c r="H803" t="s">
        <v>43</v>
      </c>
      <c r="I803" t="s">
        <v>293</v>
      </c>
      <c r="J803" t="s">
        <v>43</v>
      </c>
      <c r="K803" t="s">
        <v>43</v>
      </c>
      <c r="L803" t="s">
        <v>43</v>
      </c>
      <c r="M803" t="s">
        <v>43</v>
      </c>
      <c r="N803" t="s">
        <v>45</v>
      </c>
      <c r="O803" t="s">
        <v>43</v>
      </c>
      <c r="P803" t="s">
        <v>43</v>
      </c>
      <c r="Q803" t="s">
        <v>43</v>
      </c>
      <c r="R803" t="s">
        <v>43</v>
      </c>
      <c r="S803" t="s">
        <v>43</v>
      </c>
      <c r="T803" t="s">
        <v>43</v>
      </c>
      <c r="U803" t="s">
        <v>43</v>
      </c>
      <c r="V803" t="s">
        <v>43</v>
      </c>
      <c r="W803" t="s">
        <v>43</v>
      </c>
      <c r="X803" t="s">
        <v>43</v>
      </c>
      <c r="Y803" t="s">
        <v>43</v>
      </c>
      <c r="Z803" t="s">
        <v>43</v>
      </c>
      <c r="AA803" t="s">
        <v>43</v>
      </c>
      <c r="AB803" t="s">
        <v>43</v>
      </c>
      <c r="AC803" t="s">
        <v>43</v>
      </c>
      <c r="AD803" t="s">
        <v>43</v>
      </c>
      <c r="AE803" t="s">
        <v>43</v>
      </c>
      <c r="AF803" t="s">
        <v>43</v>
      </c>
      <c r="AG803" t="s">
        <v>43</v>
      </c>
      <c r="AH803" t="s">
        <v>43</v>
      </c>
      <c r="AI803" t="s">
        <v>43</v>
      </c>
      <c r="AJ803" t="s">
        <v>43</v>
      </c>
      <c r="AK803" t="s">
        <v>43</v>
      </c>
      <c r="AL803" t="s">
        <v>43</v>
      </c>
      <c r="AM803" t="s">
        <v>43</v>
      </c>
      <c r="AN803" t="str">
        <f>HYPERLINK("https://www.google.com/maps?q=11.05478191,79.06085968","Open Location")</f>
        <v>Open Location</v>
      </c>
    </row>
    <row r="804" spans="1:40" x14ac:dyDescent="0.3">
      <c r="A804" s="1">
        <v>46210.906712962962</v>
      </c>
      <c r="B804" t="s">
        <v>40</v>
      </c>
      <c r="C804" t="s">
        <v>41</v>
      </c>
      <c r="D804" s="1">
        <v>46210.909456018519</v>
      </c>
      <c r="E804" t="s">
        <v>42</v>
      </c>
      <c r="F804" t="s">
        <v>43</v>
      </c>
      <c r="G804" t="s">
        <v>43</v>
      </c>
      <c r="H804" t="s">
        <v>43</v>
      </c>
      <c r="I804" t="s">
        <v>292</v>
      </c>
      <c r="J804" t="s">
        <v>43</v>
      </c>
      <c r="K804" t="s">
        <v>43</v>
      </c>
      <c r="L804" t="s">
        <v>43</v>
      </c>
      <c r="M804" t="s">
        <v>43</v>
      </c>
      <c r="N804" t="s">
        <v>45</v>
      </c>
      <c r="O804" t="s">
        <v>43</v>
      </c>
      <c r="P804" t="s">
        <v>43</v>
      </c>
      <c r="Q804" t="s">
        <v>43</v>
      </c>
      <c r="R804" t="s">
        <v>43</v>
      </c>
      <c r="S804" t="s">
        <v>43</v>
      </c>
      <c r="T804" t="s">
        <v>43</v>
      </c>
      <c r="U804" t="s">
        <v>43</v>
      </c>
      <c r="V804" t="s">
        <v>43</v>
      </c>
      <c r="W804" t="s">
        <v>43</v>
      </c>
      <c r="X804" t="s">
        <v>43</v>
      </c>
      <c r="Y804" t="s">
        <v>43</v>
      </c>
      <c r="Z804" t="s">
        <v>43</v>
      </c>
      <c r="AA804" t="s">
        <v>43</v>
      </c>
      <c r="AB804" t="s">
        <v>43</v>
      </c>
      <c r="AC804" t="s">
        <v>43</v>
      </c>
      <c r="AD804" t="s">
        <v>43</v>
      </c>
      <c r="AE804" t="s">
        <v>43</v>
      </c>
      <c r="AF804" t="s">
        <v>43</v>
      </c>
      <c r="AG804" t="s">
        <v>43</v>
      </c>
      <c r="AH804" t="s">
        <v>43</v>
      </c>
      <c r="AI804" t="s">
        <v>43</v>
      </c>
      <c r="AJ804" t="s">
        <v>43</v>
      </c>
      <c r="AK804" t="s">
        <v>43</v>
      </c>
      <c r="AL804" t="s">
        <v>43</v>
      </c>
      <c r="AM804" t="s">
        <v>43</v>
      </c>
      <c r="AN804" t="str">
        <f>HYPERLINK("https://www.google.com/maps?q=11.05478096,79.06085968","Open Location")</f>
        <v>Open Location</v>
      </c>
    </row>
    <row r="805" spans="1:40" x14ac:dyDescent="0.3">
      <c r="A805" s="1">
        <v>46210.906597222223</v>
      </c>
      <c r="B805" t="s">
        <v>40</v>
      </c>
      <c r="C805" t="s">
        <v>41</v>
      </c>
      <c r="D805" s="1">
        <v>46210.909444444442</v>
      </c>
      <c r="E805" t="s">
        <v>42</v>
      </c>
      <c r="F805" t="s">
        <v>43</v>
      </c>
      <c r="G805" t="s">
        <v>43</v>
      </c>
      <c r="H805" t="s">
        <v>43</v>
      </c>
      <c r="I805" t="s">
        <v>43</v>
      </c>
      <c r="J805" t="s">
        <v>43</v>
      </c>
      <c r="K805" t="s">
        <v>43</v>
      </c>
      <c r="L805" t="s">
        <v>43</v>
      </c>
      <c r="M805" t="s">
        <v>43</v>
      </c>
      <c r="N805" t="s">
        <v>45</v>
      </c>
      <c r="O805" t="s">
        <v>43</v>
      </c>
      <c r="P805" t="s">
        <v>43</v>
      </c>
      <c r="Q805" t="s">
        <v>43</v>
      </c>
      <c r="R805" t="s">
        <v>43</v>
      </c>
      <c r="S805" t="s">
        <v>43</v>
      </c>
      <c r="T805" t="s">
        <v>43</v>
      </c>
      <c r="U805" t="s">
        <v>43</v>
      </c>
      <c r="V805" t="s">
        <v>43</v>
      </c>
      <c r="W805" t="s">
        <v>43</v>
      </c>
      <c r="X805" t="s">
        <v>43</v>
      </c>
      <c r="Y805" t="s">
        <v>43</v>
      </c>
      <c r="Z805" t="s">
        <v>43</v>
      </c>
      <c r="AA805" t="s">
        <v>43</v>
      </c>
      <c r="AB805" t="s">
        <v>43</v>
      </c>
      <c r="AC805" t="s">
        <v>43</v>
      </c>
      <c r="AD805" t="s">
        <v>43</v>
      </c>
      <c r="AE805" t="s">
        <v>43</v>
      </c>
      <c r="AF805" t="s">
        <v>43</v>
      </c>
      <c r="AG805" t="s">
        <v>43</v>
      </c>
      <c r="AH805" t="s">
        <v>43</v>
      </c>
      <c r="AI805" t="s">
        <v>43</v>
      </c>
      <c r="AJ805" t="s">
        <v>43</v>
      </c>
      <c r="AK805" t="s">
        <v>43</v>
      </c>
      <c r="AL805" t="s">
        <v>43</v>
      </c>
      <c r="AM805" t="s">
        <v>43</v>
      </c>
      <c r="AN805" t="s">
        <v>43</v>
      </c>
    </row>
    <row r="806" spans="1:40" x14ac:dyDescent="0.3">
      <c r="A806" s="1">
        <v>46210.906481481485</v>
      </c>
      <c r="B806" t="s">
        <v>40</v>
      </c>
      <c r="C806" t="s">
        <v>41</v>
      </c>
      <c r="D806" s="1">
        <v>46210.909456018519</v>
      </c>
      <c r="E806" t="s">
        <v>42</v>
      </c>
      <c r="F806" t="s">
        <v>43</v>
      </c>
      <c r="G806" t="s">
        <v>43</v>
      </c>
      <c r="H806" t="s">
        <v>43</v>
      </c>
      <c r="I806" t="s">
        <v>385</v>
      </c>
      <c r="J806" t="s">
        <v>43</v>
      </c>
      <c r="K806" t="s">
        <v>43</v>
      </c>
      <c r="L806" t="s">
        <v>43</v>
      </c>
      <c r="M806" t="s">
        <v>43</v>
      </c>
      <c r="N806" t="s">
        <v>45</v>
      </c>
      <c r="O806" t="s">
        <v>43</v>
      </c>
      <c r="P806" t="s">
        <v>43</v>
      </c>
      <c r="Q806" t="s">
        <v>43</v>
      </c>
      <c r="R806" t="s">
        <v>43</v>
      </c>
      <c r="S806" t="s">
        <v>43</v>
      </c>
      <c r="T806" t="s">
        <v>43</v>
      </c>
      <c r="U806" t="s">
        <v>43</v>
      </c>
      <c r="V806" t="s">
        <v>43</v>
      </c>
      <c r="W806" t="s">
        <v>43</v>
      </c>
      <c r="X806" t="s">
        <v>43</v>
      </c>
      <c r="Y806" t="s">
        <v>43</v>
      </c>
      <c r="Z806" t="s">
        <v>43</v>
      </c>
      <c r="AA806" t="s">
        <v>43</v>
      </c>
      <c r="AB806" t="s">
        <v>43</v>
      </c>
      <c r="AC806" t="s">
        <v>43</v>
      </c>
      <c r="AD806" t="s">
        <v>43</v>
      </c>
      <c r="AE806" t="s">
        <v>43</v>
      </c>
      <c r="AF806" t="s">
        <v>43</v>
      </c>
      <c r="AG806" t="s">
        <v>43</v>
      </c>
      <c r="AH806" t="s">
        <v>43</v>
      </c>
      <c r="AI806" t="s">
        <v>43</v>
      </c>
      <c r="AJ806" t="s">
        <v>43</v>
      </c>
      <c r="AK806" t="s">
        <v>43</v>
      </c>
      <c r="AL806" t="s">
        <v>43</v>
      </c>
      <c r="AM806" t="s">
        <v>43</v>
      </c>
      <c r="AN806" t="str">
        <f>HYPERLINK("https://www.google.com/maps?q=11.05478001,79.06085968","Open Location")</f>
        <v>Open Location</v>
      </c>
    </row>
    <row r="807" spans="1:40" x14ac:dyDescent="0.3">
      <c r="A807" s="1">
        <v>46210.906365740739</v>
      </c>
      <c r="B807" t="s">
        <v>40</v>
      </c>
      <c r="C807" t="s">
        <v>41</v>
      </c>
      <c r="D807" s="1">
        <v>46210.909097222226</v>
      </c>
      <c r="E807" t="s">
        <v>42</v>
      </c>
      <c r="F807" t="s">
        <v>43</v>
      </c>
      <c r="G807" t="s">
        <v>43</v>
      </c>
      <c r="H807" t="s">
        <v>43</v>
      </c>
      <c r="I807" t="s">
        <v>386</v>
      </c>
      <c r="J807" t="s">
        <v>43</v>
      </c>
      <c r="K807" t="s">
        <v>43</v>
      </c>
      <c r="L807" t="s">
        <v>43</v>
      </c>
      <c r="M807" t="s">
        <v>43</v>
      </c>
      <c r="N807" t="s">
        <v>45</v>
      </c>
      <c r="O807" t="s">
        <v>43</v>
      </c>
      <c r="P807" t="s">
        <v>43</v>
      </c>
      <c r="Q807" t="s">
        <v>43</v>
      </c>
      <c r="R807" t="s">
        <v>43</v>
      </c>
      <c r="S807" t="s">
        <v>43</v>
      </c>
      <c r="T807" t="s">
        <v>43</v>
      </c>
      <c r="U807" t="s">
        <v>43</v>
      </c>
      <c r="V807" t="s">
        <v>43</v>
      </c>
      <c r="W807" t="s">
        <v>43</v>
      </c>
      <c r="X807" t="s">
        <v>43</v>
      </c>
      <c r="Y807" t="s">
        <v>43</v>
      </c>
      <c r="Z807" t="s">
        <v>43</v>
      </c>
      <c r="AA807" t="s">
        <v>43</v>
      </c>
      <c r="AB807" t="s">
        <v>43</v>
      </c>
      <c r="AC807" t="s">
        <v>43</v>
      </c>
      <c r="AD807" t="s">
        <v>43</v>
      </c>
      <c r="AE807" t="s">
        <v>43</v>
      </c>
      <c r="AF807" t="s">
        <v>43</v>
      </c>
      <c r="AG807" t="s">
        <v>43</v>
      </c>
      <c r="AH807" t="s">
        <v>43</v>
      </c>
      <c r="AI807" t="s">
        <v>43</v>
      </c>
      <c r="AJ807" t="s">
        <v>43</v>
      </c>
      <c r="AK807" t="s">
        <v>43</v>
      </c>
      <c r="AL807" t="s">
        <v>43</v>
      </c>
      <c r="AM807" t="s">
        <v>43</v>
      </c>
      <c r="AN807" t="str">
        <f>HYPERLINK("https://www.google.com/maps?q=11.0547781,79.06086731","Open Location")</f>
        <v>Open Location</v>
      </c>
    </row>
    <row r="808" spans="1:40" x14ac:dyDescent="0.3">
      <c r="A808" s="1">
        <v>46210.90625</v>
      </c>
      <c r="B808" t="s">
        <v>40</v>
      </c>
      <c r="C808" t="s">
        <v>41</v>
      </c>
      <c r="D808" s="1">
        <v>46210.90902777778</v>
      </c>
      <c r="E808" t="s">
        <v>42</v>
      </c>
      <c r="F808" t="s">
        <v>43</v>
      </c>
      <c r="G808" t="s">
        <v>43</v>
      </c>
      <c r="H808" t="s">
        <v>43</v>
      </c>
      <c r="I808" t="s">
        <v>387</v>
      </c>
      <c r="J808" t="s">
        <v>43</v>
      </c>
      <c r="K808" t="s">
        <v>43</v>
      </c>
      <c r="L808" t="s">
        <v>43</v>
      </c>
      <c r="M808" t="s">
        <v>43</v>
      </c>
      <c r="N808" t="s">
        <v>45</v>
      </c>
      <c r="O808" t="s">
        <v>43</v>
      </c>
      <c r="P808" t="s">
        <v>43</v>
      </c>
      <c r="Q808" t="s">
        <v>43</v>
      </c>
      <c r="R808" t="s">
        <v>43</v>
      </c>
      <c r="S808" t="s">
        <v>43</v>
      </c>
      <c r="T808" t="s">
        <v>43</v>
      </c>
      <c r="U808" t="s">
        <v>43</v>
      </c>
      <c r="V808" t="s">
        <v>43</v>
      </c>
      <c r="W808" t="s">
        <v>43</v>
      </c>
      <c r="X808" t="s">
        <v>43</v>
      </c>
      <c r="Y808" t="s">
        <v>43</v>
      </c>
      <c r="Z808" t="s">
        <v>43</v>
      </c>
      <c r="AA808" t="s">
        <v>43</v>
      </c>
      <c r="AB808" t="s">
        <v>43</v>
      </c>
      <c r="AC808" t="s">
        <v>43</v>
      </c>
      <c r="AD808" t="s">
        <v>43</v>
      </c>
      <c r="AE808" t="s">
        <v>43</v>
      </c>
      <c r="AF808" t="s">
        <v>43</v>
      </c>
      <c r="AG808" t="s">
        <v>43</v>
      </c>
      <c r="AH808" t="s">
        <v>43</v>
      </c>
      <c r="AI808" t="s">
        <v>43</v>
      </c>
      <c r="AJ808" t="s">
        <v>43</v>
      </c>
      <c r="AK808" t="s">
        <v>43</v>
      </c>
      <c r="AL808" t="s">
        <v>43</v>
      </c>
      <c r="AM808" t="s">
        <v>43</v>
      </c>
      <c r="AN808" t="str">
        <f>HYPERLINK("https://www.google.com/maps?q=11.05477524,79.06086731","Open Location")</f>
        <v>Open Location</v>
      </c>
    </row>
    <row r="809" spans="1:40" x14ac:dyDescent="0.3">
      <c r="A809" s="1">
        <v>46210.906134259261</v>
      </c>
      <c r="B809" t="s">
        <v>40</v>
      </c>
      <c r="C809" t="s">
        <v>41</v>
      </c>
      <c r="D809" s="1">
        <v>46210.90902777778</v>
      </c>
      <c r="E809" t="s">
        <v>42</v>
      </c>
      <c r="F809" t="s">
        <v>43</v>
      </c>
      <c r="G809" t="s">
        <v>43</v>
      </c>
      <c r="H809" t="s">
        <v>43</v>
      </c>
      <c r="I809" t="s">
        <v>291</v>
      </c>
      <c r="J809" t="s">
        <v>43</v>
      </c>
      <c r="K809" t="s">
        <v>43</v>
      </c>
      <c r="L809" t="s">
        <v>43</v>
      </c>
      <c r="M809" t="s">
        <v>43</v>
      </c>
      <c r="N809" t="s">
        <v>45</v>
      </c>
      <c r="O809" t="s">
        <v>43</v>
      </c>
      <c r="P809" t="s">
        <v>43</v>
      </c>
      <c r="Q809" t="s">
        <v>43</v>
      </c>
      <c r="R809" t="s">
        <v>43</v>
      </c>
      <c r="S809" t="s">
        <v>43</v>
      </c>
      <c r="T809" t="s">
        <v>43</v>
      </c>
      <c r="U809" t="s">
        <v>43</v>
      </c>
      <c r="V809" t="s">
        <v>43</v>
      </c>
      <c r="W809" t="s">
        <v>43</v>
      </c>
      <c r="X809" t="s">
        <v>43</v>
      </c>
      <c r="Y809" t="s">
        <v>43</v>
      </c>
      <c r="Z809" t="s">
        <v>43</v>
      </c>
      <c r="AA809" t="s">
        <v>43</v>
      </c>
      <c r="AB809" t="s">
        <v>43</v>
      </c>
      <c r="AC809" t="s">
        <v>43</v>
      </c>
      <c r="AD809" t="s">
        <v>43</v>
      </c>
      <c r="AE809" t="s">
        <v>43</v>
      </c>
      <c r="AF809" t="s">
        <v>43</v>
      </c>
      <c r="AG809" t="s">
        <v>43</v>
      </c>
      <c r="AH809" t="s">
        <v>43</v>
      </c>
      <c r="AI809" t="s">
        <v>43</v>
      </c>
      <c r="AJ809" t="s">
        <v>43</v>
      </c>
      <c r="AK809" t="s">
        <v>43</v>
      </c>
      <c r="AL809" t="s">
        <v>43</v>
      </c>
      <c r="AM809" t="s">
        <v>43</v>
      </c>
      <c r="AN809" t="str">
        <f>HYPERLINK("https://www.google.com/maps?q=11.05477619,79.06085968","Open Location")</f>
        <v>Open Location</v>
      </c>
    </row>
    <row r="810" spans="1:40" x14ac:dyDescent="0.3">
      <c r="A810" s="1">
        <v>46210.906018518515</v>
      </c>
      <c r="B810" t="s">
        <v>40</v>
      </c>
      <c r="C810" t="s">
        <v>41</v>
      </c>
      <c r="D810" s="1">
        <v>46210.90902777778</v>
      </c>
      <c r="E810" t="s">
        <v>42</v>
      </c>
      <c r="F810" t="s">
        <v>43</v>
      </c>
      <c r="G810" t="s">
        <v>43</v>
      </c>
      <c r="H810" t="s">
        <v>43</v>
      </c>
      <c r="I810" t="s">
        <v>43</v>
      </c>
      <c r="J810" t="s">
        <v>43</v>
      </c>
      <c r="K810" t="s">
        <v>43</v>
      </c>
      <c r="L810" t="s">
        <v>43</v>
      </c>
      <c r="M810" t="s">
        <v>43</v>
      </c>
      <c r="N810" t="s">
        <v>45</v>
      </c>
      <c r="O810" t="s">
        <v>43</v>
      </c>
      <c r="P810" t="s">
        <v>43</v>
      </c>
      <c r="Q810" t="s">
        <v>43</v>
      </c>
      <c r="R810" t="s">
        <v>43</v>
      </c>
      <c r="S810" t="s">
        <v>43</v>
      </c>
      <c r="T810" t="s">
        <v>43</v>
      </c>
      <c r="U810" t="s">
        <v>43</v>
      </c>
      <c r="V810" t="s">
        <v>43</v>
      </c>
      <c r="W810" t="s">
        <v>43</v>
      </c>
      <c r="X810" t="s">
        <v>43</v>
      </c>
      <c r="Y810" t="s">
        <v>43</v>
      </c>
      <c r="Z810" t="s">
        <v>43</v>
      </c>
      <c r="AA810" t="s">
        <v>43</v>
      </c>
      <c r="AB810" t="s">
        <v>43</v>
      </c>
      <c r="AC810" t="s">
        <v>43</v>
      </c>
      <c r="AD810" t="s">
        <v>43</v>
      </c>
      <c r="AE810" t="s">
        <v>43</v>
      </c>
      <c r="AF810" t="s">
        <v>43</v>
      </c>
      <c r="AG810" t="s">
        <v>43</v>
      </c>
      <c r="AH810" t="s">
        <v>43</v>
      </c>
      <c r="AI810" t="s">
        <v>43</v>
      </c>
      <c r="AJ810" t="s">
        <v>43</v>
      </c>
      <c r="AK810" t="s">
        <v>43</v>
      </c>
      <c r="AL810" t="s">
        <v>43</v>
      </c>
      <c r="AM810" t="s">
        <v>43</v>
      </c>
      <c r="AN810" t="s">
        <v>43</v>
      </c>
    </row>
    <row r="811" spans="1:40" x14ac:dyDescent="0.3">
      <c r="A811" s="1">
        <v>46210.905902777777</v>
      </c>
      <c r="B811" t="s">
        <v>40</v>
      </c>
      <c r="C811" t="s">
        <v>41</v>
      </c>
      <c r="D811" s="1">
        <v>46210.90902777778</v>
      </c>
      <c r="E811" t="s">
        <v>42</v>
      </c>
      <c r="F811" t="s">
        <v>43</v>
      </c>
      <c r="G811" t="s">
        <v>43</v>
      </c>
      <c r="H811" t="s">
        <v>43</v>
      </c>
      <c r="I811" t="s">
        <v>388</v>
      </c>
      <c r="J811" t="s">
        <v>43</v>
      </c>
      <c r="K811" t="s">
        <v>43</v>
      </c>
      <c r="L811" t="s">
        <v>43</v>
      </c>
      <c r="M811" t="s">
        <v>43</v>
      </c>
      <c r="N811" t="s">
        <v>45</v>
      </c>
      <c r="O811" t="s">
        <v>43</v>
      </c>
      <c r="P811" t="s">
        <v>43</v>
      </c>
      <c r="Q811" t="s">
        <v>43</v>
      </c>
      <c r="R811" t="s">
        <v>43</v>
      </c>
      <c r="S811" t="s">
        <v>43</v>
      </c>
      <c r="T811" t="s">
        <v>43</v>
      </c>
      <c r="U811" t="s">
        <v>43</v>
      </c>
      <c r="V811" t="s">
        <v>43</v>
      </c>
      <c r="W811" t="s">
        <v>43</v>
      </c>
      <c r="X811" t="s">
        <v>43</v>
      </c>
      <c r="Y811" t="s">
        <v>43</v>
      </c>
      <c r="Z811" t="s">
        <v>43</v>
      </c>
      <c r="AA811" t="s">
        <v>43</v>
      </c>
      <c r="AB811" t="s">
        <v>43</v>
      </c>
      <c r="AC811" t="s">
        <v>43</v>
      </c>
      <c r="AD811" t="s">
        <v>43</v>
      </c>
      <c r="AE811" t="s">
        <v>43</v>
      </c>
      <c r="AF811" t="s">
        <v>43</v>
      </c>
      <c r="AG811" t="s">
        <v>43</v>
      </c>
      <c r="AH811" t="s">
        <v>43</v>
      </c>
      <c r="AI811" t="s">
        <v>43</v>
      </c>
      <c r="AJ811" t="s">
        <v>43</v>
      </c>
      <c r="AK811" t="s">
        <v>43</v>
      </c>
      <c r="AL811" t="s">
        <v>43</v>
      </c>
      <c r="AM811" t="s">
        <v>43</v>
      </c>
      <c r="AN811" t="str">
        <f>HYPERLINK("https://www.google.com/maps?q=11.05477715,79.06085968","Open Location")</f>
        <v>Open Location</v>
      </c>
    </row>
    <row r="812" spans="1:40" x14ac:dyDescent="0.3">
      <c r="A812" s="1">
        <v>46210.905787037038</v>
      </c>
      <c r="B812" t="s">
        <v>40</v>
      </c>
      <c r="C812" t="s">
        <v>41</v>
      </c>
      <c r="D812" s="1">
        <v>46210.909166666665</v>
      </c>
      <c r="E812" t="s">
        <v>42</v>
      </c>
      <c r="F812" t="s">
        <v>43</v>
      </c>
      <c r="G812" t="s">
        <v>43</v>
      </c>
      <c r="H812" t="s">
        <v>43</v>
      </c>
      <c r="I812" t="s">
        <v>386</v>
      </c>
      <c r="J812" t="s">
        <v>43</v>
      </c>
      <c r="K812" t="s">
        <v>43</v>
      </c>
      <c r="L812" t="s">
        <v>43</v>
      </c>
      <c r="M812" t="s">
        <v>43</v>
      </c>
      <c r="N812" t="s">
        <v>45</v>
      </c>
      <c r="O812" t="s">
        <v>43</v>
      </c>
      <c r="P812" t="s">
        <v>43</v>
      </c>
      <c r="Q812" t="s">
        <v>43</v>
      </c>
      <c r="R812" t="s">
        <v>43</v>
      </c>
      <c r="S812" t="s">
        <v>43</v>
      </c>
      <c r="T812" t="s">
        <v>43</v>
      </c>
      <c r="U812" t="s">
        <v>43</v>
      </c>
      <c r="V812" t="s">
        <v>43</v>
      </c>
      <c r="W812" t="s">
        <v>43</v>
      </c>
      <c r="X812" t="s">
        <v>43</v>
      </c>
      <c r="Y812" t="s">
        <v>43</v>
      </c>
      <c r="Z812" t="s">
        <v>43</v>
      </c>
      <c r="AA812" t="s">
        <v>43</v>
      </c>
      <c r="AB812" t="s">
        <v>43</v>
      </c>
      <c r="AC812" t="s">
        <v>43</v>
      </c>
      <c r="AD812" t="s">
        <v>43</v>
      </c>
      <c r="AE812" t="s">
        <v>43</v>
      </c>
      <c r="AF812" t="s">
        <v>43</v>
      </c>
      <c r="AG812" t="s">
        <v>43</v>
      </c>
      <c r="AH812" t="s">
        <v>43</v>
      </c>
      <c r="AI812" t="s">
        <v>43</v>
      </c>
      <c r="AJ812" t="s">
        <v>43</v>
      </c>
      <c r="AK812" t="s">
        <v>43</v>
      </c>
      <c r="AL812" t="s">
        <v>43</v>
      </c>
      <c r="AM812" t="s">
        <v>43</v>
      </c>
      <c r="AN812" t="str">
        <f>HYPERLINK("https://www.google.com/maps?q=11.0547781,79.06086731","Open Location")</f>
        <v>Open Location</v>
      </c>
    </row>
    <row r="813" spans="1:40" x14ac:dyDescent="0.3">
      <c r="A813" s="1">
        <v>46210.905671296299</v>
      </c>
      <c r="B813" t="s">
        <v>40</v>
      </c>
      <c r="C813" t="s">
        <v>41</v>
      </c>
      <c r="D813" s="1">
        <v>46210.908726851849</v>
      </c>
      <c r="E813" t="s">
        <v>42</v>
      </c>
      <c r="F813" t="s">
        <v>43</v>
      </c>
      <c r="G813" t="s">
        <v>43</v>
      </c>
      <c r="H813" t="s">
        <v>43</v>
      </c>
      <c r="I813" t="s">
        <v>389</v>
      </c>
      <c r="J813" t="s">
        <v>43</v>
      </c>
      <c r="K813" t="s">
        <v>43</v>
      </c>
      <c r="L813" t="s">
        <v>43</v>
      </c>
      <c r="M813" t="s">
        <v>43</v>
      </c>
      <c r="N813" t="s">
        <v>45</v>
      </c>
      <c r="O813" t="s">
        <v>43</v>
      </c>
      <c r="P813" t="s">
        <v>43</v>
      </c>
      <c r="Q813" t="s">
        <v>43</v>
      </c>
      <c r="R813" t="s">
        <v>43</v>
      </c>
      <c r="S813" t="s">
        <v>43</v>
      </c>
      <c r="T813" t="s">
        <v>43</v>
      </c>
      <c r="U813" t="s">
        <v>43</v>
      </c>
      <c r="V813" t="s">
        <v>43</v>
      </c>
      <c r="W813" t="s">
        <v>43</v>
      </c>
      <c r="X813" t="s">
        <v>43</v>
      </c>
      <c r="Y813" t="s">
        <v>43</v>
      </c>
      <c r="Z813" t="s">
        <v>43</v>
      </c>
      <c r="AA813" t="s">
        <v>43</v>
      </c>
      <c r="AB813" t="s">
        <v>43</v>
      </c>
      <c r="AC813" t="s">
        <v>43</v>
      </c>
      <c r="AD813" t="s">
        <v>43</v>
      </c>
      <c r="AE813" t="s">
        <v>43</v>
      </c>
      <c r="AF813" t="s">
        <v>43</v>
      </c>
      <c r="AG813" t="s">
        <v>43</v>
      </c>
      <c r="AH813" t="s">
        <v>43</v>
      </c>
      <c r="AI813" t="s">
        <v>43</v>
      </c>
      <c r="AJ813" t="s">
        <v>43</v>
      </c>
      <c r="AK813" t="s">
        <v>43</v>
      </c>
      <c r="AL813" t="s">
        <v>43</v>
      </c>
      <c r="AM813" t="s">
        <v>43</v>
      </c>
      <c r="AN813" t="str">
        <f>HYPERLINK("https://www.google.com/maps?q=11.05477715,79.06086731","Open Location")</f>
        <v>Open Location</v>
      </c>
    </row>
    <row r="814" spans="1:40" x14ac:dyDescent="0.3">
      <c r="A814" s="1">
        <v>46210.905555555553</v>
      </c>
      <c r="B814" t="s">
        <v>40</v>
      </c>
      <c r="C814" t="s">
        <v>41</v>
      </c>
      <c r="D814" s="1">
        <v>46210.908472222225</v>
      </c>
      <c r="E814" t="s">
        <v>42</v>
      </c>
      <c r="F814" t="s">
        <v>43</v>
      </c>
      <c r="G814" t="s">
        <v>43</v>
      </c>
      <c r="H814" t="s">
        <v>43</v>
      </c>
      <c r="I814" t="s">
        <v>291</v>
      </c>
      <c r="J814" t="s">
        <v>43</v>
      </c>
      <c r="K814" t="s">
        <v>43</v>
      </c>
      <c r="L814" t="s">
        <v>43</v>
      </c>
      <c r="M814" t="s">
        <v>43</v>
      </c>
      <c r="N814" t="s">
        <v>45</v>
      </c>
      <c r="O814" t="s">
        <v>43</v>
      </c>
      <c r="P814" t="s">
        <v>43</v>
      </c>
      <c r="Q814" t="s">
        <v>43</v>
      </c>
      <c r="R814" t="s">
        <v>43</v>
      </c>
      <c r="S814" t="s">
        <v>43</v>
      </c>
      <c r="T814" t="s">
        <v>43</v>
      </c>
      <c r="U814" t="s">
        <v>43</v>
      </c>
      <c r="V814" t="s">
        <v>43</v>
      </c>
      <c r="W814" t="s">
        <v>43</v>
      </c>
      <c r="X814" t="s">
        <v>43</v>
      </c>
      <c r="Y814" t="s">
        <v>43</v>
      </c>
      <c r="Z814" t="s">
        <v>43</v>
      </c>
      <c r="AA814" t="s">
        <v>43</v>
      </c>
      <c r="AB814" t="s">
        <v>43</v>
      </c>
      <c r="AC814" t="s">
        <v>43</v>
      </c>
      <c r="AD814" t="s">
        <v>43</v>
      </c>
      <c r="AE814" t="s">
        <v>43</v>
      </c>
      <c r="AF814" t="s">
        <v>43</v>
      </c>
      <c r="AG814" t="s">
        <v>43</v>
      </c>
      <c r="AH814" t="s">
        <v>43</v>
      </c>
      <c r="AI814" t="s">
        <v>43</v>
      </c>
      <c r="AJ814" t="s">
        <v>43</v>
      </c>
      <c r="AK814" t="s">
        <v>43</v>
      </c>
      <c r="AL814" t="s">
        <v>43</v>
      </c>
      <c r="AM814" t="s">
        <v>43</v>
      </c>
      <c r="AN814" t="str">
        <f>HYPERLINK("https://www.google.com/maps?q=11.05477619,79.06085968","Open Location")</f>
        <v>Open Location</v>
      </c>
    </row>
    <row r="815" spans="1:40" x14ac:dyDescent="0.3">
      <c r="A815" s="1">
        <v>46210.905439814815</v>
      </c>
      <c r="B815" t="s">
        <v>40</v>
      </c>
      <c r="C815" t="s">
        <v>41</v>
      </c>
      <c r="D815" s="1">
        <v>46210.90834490741</v>
      </c>
      <c r="E815" t="s">
        <v>42</v>
      </c>
      <c r="F815" t="s">
        <v>43</v>
      </c>
      <c r="G815" t="s">
        <v>43</v>
      </c>
      <c r="H815" t="s">
        <v>43</v>
      </c>
      <c r="I815" t="s">
        <v>390</v>
      </c>
      <c r="J815" t="s">
        <v>43</v>
      </c>
      <c r="K815" t="s">
        <v>43</v>
      </c>
      <c r="L815" t="s">
        <v>43</v>
      </c>
      <c r="M815" t="s">
        <v>43</v>
      </c>
      <c r="N815" t="s">
        <v>45</v>
      </c>
      <c r="O815" t="s">
        <v>43</v>
      </c>
      <c r="P815" t="s">
        <v>43</v>
      </c>
      <c r="Q815" t="s">
        <v>43</v>
      </c>
      <c r="R815" t="s">
        <v>43</v>
      </c>
      <c r="S815" t="s">
        <v>43</v>
      </c>
      <c r="T815" t="s">
        <v>43</v>
      </c>
      <c r="U815" t="s">
        <v>43</v>
      </c>
      <c r="V815" t="s">
        <v>43</v>
      </c>
      <c r="W815" t="s">
        <v>43</v>
      </c>
      <c r="X815" t="s">
        <v>43</v>
      </c>
      <c r="Y815" t="s">
        <v>43</v>
      </c>
      <c r="Z815" t="s">
        <v>43</v>
      </c>
      <c r="AA815" t="s">
        <v>43</v>
      </c>
      <c r="AB815" t="s">
        <v>43</v>
      </c>
      <c r="AC815" t="s">
        <v>43</v>
      </c>
      <c r="AD815" t="s">
        <v>43</v>
      </c>
      <c r="AE815" t="s">
        <v>43</v>
      </c>
      <c r="AF815" t="s">
        <v>43</v>
      </c>
      <c r="AG815" t="s">
        <v>43</v>
      </c>
      <c r="AH815" t="s">
        <v>43</v>
      </c>
      <c r="AI815" t="s">
        <v>43</v>
      </c>
      <c r="AJ815" t="s">
        <v>43</v>
      </c>
      <c r="AK815" t="s">
        <v>43</v>
      </c>
      <c r="AL815" t="s">
        <v>43</v>
      </c>
      <c r="AM815" t="s">
        <v>43</v>
      </c>
      <c r="AN815" t="str">
        <f>HYPERLINK("https://www.google.com/maps?q=11.05477238,79.06085968","Open Location")</f>
        <v>Open Location</v>
      </c>
    </row>
    <row r="816" spans="1:40" x14ac:dyDescent="0.3">
      <c r="A816" s="1">
        <v>46210.905324074076</v>
      </c>
      <c r="B816" t="s">
        <v>40</v>
      </c>
      <c r="C816" t="s">
        <v>41</v>
      </c>
      <c r="D816" s="1">
        <v>46210.908263888887</v>
      </c>
      <c r="E816" t="s">
        <v>42</v>
      </c>
      <c r="F816" t="s">
        <v>43</v>
      </c>
      <c r="G816" t="s">
        <v>43</v>
      </c>
      <c r="H816" t="s">
        <v>43</v>
      </c>
      <c r="I816" t="s">
        <v>43</v>
      </c>
      <c r="J816" t="s">
        <v>43</v>
      </c>
      <c r="K816" t="s">
        <v>43</v>
      </c>
      <c r="L816" t="s">
        <v>43</v>
      </c>
      <c r="M816" t="s">
        <v>43</v>
      </c>
      <c r="N816" t="s">
        <v>45</v>
      </c>
      <c r="O816" t="s">
        <v>43</v>
      </c>
      <c r="P816" t="s">
        <v>43</v>
      </c>
      <c r="Q816" t="s">
        <v>43</v>
      </c>
      <c r="R816" t="s">
        <v>43</v>
      </c>
      <c r="S816" t="s">
        <v>43</v>
      </c>
      <c r="T816" t="s">
        <v>43</v>
      </c>
      <c r="U816" t="s">
        <v>43</v>
      </c>
      <c r="V816" t="s">
        <v>43</v>
      </c>
      <c r="W816" t="s">
        <v>43</v>
      </c>
      <c r="X816" t="s">
        <v>43</v>
      </c>
      <c r="Y816" t="s">
        <v>43</v>
      </c>
      <c r="Z816" t="s">
        <v>43</v>
      </c>
      <c r="AA816" t="s">
        <v>43</v>
      </c>
      <c r="AB816" t="s">
        <v>43</v>
      </c>
      <c r="AC816" t="s">
        <v>43</v>
      </c>
      <c r="AD816" t="s">
        <v>43</v>
      </c>
      <c r="AE816" t="s">
        <v>43</v>
      </c>
      <c r="AF816" t="s">
        <v>43</v>
      </c>
      <c r="AG816" t="s">
        <v>43</v>
      </c>
      <c r="AH816" t="s">
        <v>43</v>
      </c>
      <c r="AI816" t="s">
        <v>43</v>
      </c>
      <c r="AJ816" t="s">
        <v>43</v>
      </c>
      <c r="AK816" t="s">
        <v>43</v>
      </c>
      <c r="AL816" t="s">
        <v>43</v>
      </c>
      <c r="AM816" t="s">
        <v>43</v>
      </c>
      <c r="AN816" t="s">
        <v>43</v>
      </c>
    </row>
    <row r="817" spans="1:40" x14ac:dyDescent="0.3">
      <c r="A817" s="1">
        <v>46210.90520833333</v>
      </c>
      <c r="B817" t="s">
        <v>40</v>
      </c>
      <c r="C817" t="s">
        <v>41</v>
      </c>
      <c r="D817" s="1">
        <v>46210.908263888887</v>
      </c>
      <c r="E817" t="s">
        <v>42</v>
      </c>
      <c r="F817" t="s">
        <v>43</v>
      </c>
      <c r="G817" t="s">
        <v>43</v>
      </c>
      <c r="H817" t="s">
        <v>43</v>
      </c>
      <c r="I817" t="s">
        <v>287</v>
      </c>
      <c r="J817" t="s">
        <v>43</v>
      </c>
      <c r="K817" t="s">
        <v>43</v>
      </c>
      <c r="L817" t="s">
        <v>43</v>
      </c>
      <c r="M817" t="s">
        <v>43</v>
      </c>
      <c r="N817" t="s">
        <v>45</v>
      </c>
      <c r="O817" t="s">
        <v>43</v>
      </c>
      <c r="P817" t="s">
        <v>43</v>
      </c>
      <c r="Q817" t="s">
        <v>43</v>
      </c>
      <c r="R817" t="s">
        <v>43</v>
      </c>
      <c r="S817" t="s">
        <v>43</v>
      </c>
      <c r="T817" t="s">
        <v>43</v>
      </c>
      <c r="U817" t="s">
        <v>43</v>
      </c>
      <c r="V817" t="s">
        <v>43</v>
      </c>
      <c r="W817" t="s">
        <v>43</v>
      </c>
      <c r="X817" t="s">
        <v>43</v>
      </c>
      <c r="Y817" t="s">
        <v>43</v>
      </c>
      <c r="Z817" t="s">
        <v>43</v>
      </c>
      <c r="AA817" t="s">
        <v>43</v>
      </c>
      <c r="AB817" t="s">
        <v>43</v>
      </c>
      <c r="AC817" t="s">
        <v>43</v>
      </c>
      <c r="AD817" t="s">
        <v>43</v>
      </c>
      <c r="AE817" t="s">
        <v>43</v>
      </c>
      <c r="AF817" t="s">
        <v>43</v>
      </c>
      <c r="AG817" t="s">
        <v>43</v>
      </c>
      <c r="AH817" t="s">
        <v>43</v>
      </c>
      <c r="AI817" t="s">
        <v>43</v>
      </c>
      <c r="AJ817" t="s">
        <v>43</v>
      </c>
      <c r="AK817" t="s">
        <v>43</v>
      </c>
      <c r="AL817" t="s">
        <v>43</v>
      </c>
      <c r="AM817" t="s">
        <v>43</v>
      </c>
      <c r="AN817" t="str">
        <f>HYPERLINK("https://www.google.com/maps?q=11.05476856,79.06085968","Open Location")</f>
        <v>Open Location</v>
      </c>
    </row>
    <row r="818" spans="1:40" x14ac:dyDescent="0.3">
      <c r="A818" s="1">
        <v>46210.905092592591</v>
      </c>
      <c r="B818" t="s">
        <v>40</v>
      </c>
      <c r="C818" t="s">
        <v>41</v>
      </c>
      <c r="D818" s="1">
        <v>46210.908032407409</v>
      </c>
      <c r="E818" t="s">
        <v>42</v>
      </c>
      <c r="F818" t="s">
        <v>43</v>
      </c>
      <c r="G818" t="s">
        <v>43</v>
      </c>
      <c r="H818" t="s">
        <v>43</v>
      </c>
      <c r="I818" t="s">
        <v>274</v>
      </c>
      <c r="J818" t="s">
        <v>43</v>
      </c>
      <c r="K818" t="s">
        <v>43</v>
      </c>
      <c r="L818" t="s">
        <v>43</v>
      </c>
      <c r="M818" t="s">
        <v>43</v>
      </c>
      <c r="N818" t="s">
        <v>45</v>
      </c>
      <c r="O818" t="s">
        <v>43</v>
      </c>
      <c r="P818" t="s">
        <v>43</v>
      </c>
      <c r="Q818" t="s">
        <v>43</v>
      </c>
      <c r="R818" t="s">
        <v>43</v>
      </c>
      <c r="S818" t="s">
        <v>43</v>
      </c>
      <c r="T818" t="s">
        <v>43</v>
      </c>
      <c r="U818" t="s">
        <v>43</v>
      </c>
      <c r="V818" t="s">
        <v>43</v>
      </c>
      <c r="W818" t="s">
        <v>43</v>
      </c>
      <c r="X818" t="s">
        <v>43</v>
      </c>
      <c r="Y818" t="s">
        <v>43</v>
      </c>
      <c r="Z818" t="s">
        <v>43</v>
      </c>
      <c r="AA818" t="s">
        <v>43</v>
      </c>
      <c r="AB818" t="s">
        <v>43</v>
      </c>
      <c r="AC818" t="s">
        <v>43</v>
      </c>
      <c r="AD818" t="s">
        <v>43</v>
      </c>
      <c r="AE818" t="s">
        <v>43</v>
      </c>
      <c r="AF818" t="s">
        <v>43</v>
      </c>
      <c r="AG818" t="s">
        <v>43</v>
      </c>
      <c r="AH818" t="s">
        <v>43</v>
      </c>
      <c r="AI818" t="s">
        <v>43</v>
      </c>
      <c r="AJ818" t="s">
        <v>43</v>
      </c>
      <c r="AK818" t="s">
        <v>43</v>
      </c>
      <c r="AL818" t="s">
        <v>43</v>
      </c>
      <c r="AM818" t="s">
        <v>43</v>
      </c>
      <c r="AN818" t="str">
        <f>HYPERLINK("https://www.google.com/maps?q=11.05476665,79.06084442","Open Location")</f>
        <v>Open Location</v>
      </c>
    </row>
    <row r="819" spans="1:40" x14ac:dyDescent="0.3">
      <c r="A819" s="1">
        <v>46210.904976851853</v>
      </c>
      <c r="B819" t="s">
        <v>40</v>
      </c>
      <c r="C819" t="s">
        <v>41</v>
      </c>
      <c r="D819" s="1">
        <v>46210.907916666663</v>
      </c>
      <c r="E819" t="s">
        <v>42</v>
      </c>
      <c r="F819" t="s">
        <v>43</v>
      </c>
      <c r="G819" t="s">
        <v>43</v>
      </c>
      <c r="H819" t="s">
        <v>43</v>
      </c>
      <c r="I819" t="s">
        <v>274</v>
      </c>
      <c r="J819" t="s">
        <v>43</v>
      </c>
      <c r="K819" t="s">
        <v>43</v>
      </c>
      <c r="L819" t="s">
        <v>43</v>
      </c>
      <c r="M819" t="s">
        <v>43</v>
      </c>
      <c r="N819" t="s">
        <v>45</v>
      </c>
      <c r="O819" t="s">
        <v>43</v>
      </c>
      <c r="P819" t="s">
        <v>43</v>
      </c>
      <c r="Q819" t="s">
        <v>43</v>
      </c>
      <c r="R819" t="s">
        <v>43</v>
      </c>
      <c r="S819" t="s">
        <v>43</v>
      </c>
      <c r="T819" t="s">
        <v>43</v>
      </c>
      <c r="U819" t="s">
        <v>43</v>
      </c>
      <c r="V819" t="s">
        <v>43</v>
      </c>
      <c r="W819" t="s">
        <v>43</v>
      </c>
      <c r="X819" t="s">
        <v>43</v>
      </c>
      <c r="Y819" t="s">
        <v>43</v>
      </c>
      <c r="Z819" t="s">
        <v>43</v>
      </c>
      <c r="AA819" t="s">
        <v>43</v>
      </c>
      <c r="AB819" t="s">
        <v>43</v>
      </c>
      <c r="AC819" t="s">
        <v>43</v>
      </c>
      <c r="AD819" t="s">
        <v>43</v>
      </c>
      <c r="AE819" t="s">
        <v>43</v>
      </c>
      <c r="AF819" t="s">
        <v>43</v>
      </c>
      <c r="AG819" t="s">
        <v>43</v>
      </c>
      <c r="AH819" t="s">
        <v>43</v>
      </c>
      <c r="AI819" t="s">
        <v>43</v>
      </c>
      <c r="AJ819" t="s">
        <v>43</v>
      </c>
      <c r="AK819" t="s">
        <v>43</v>
      </c>
      <c r="AL819" t="s">
        <v>43</v>
      </c>
      <c r="AM819" t="s">
        <v>43</v>
      </c>
      <c r="AN819" t="str">
        <f>HYPERLINK("https://www.google.com/maps?q=11.05476665,79.06084442","Open Location")</f>
        <v>Open Location</v>
      </c>
    </row>
    <row r="820" spans="1:40" x14ac:dyDescent="0.3">
      <c r="A820" s="1">
        <v>46210.904861111114</v>
      </c>
      <c r="B820" t="s">
        <v>40</v>
      </c>
      <c r="C820" t="s">
        <v>41</v>
      </c>
      <c r="D820" s="1">
        <v>46210.907453703701</v>
      </c>
      <c r="E820" t="s">
        <v>42</v>
      </c>
      <c r="F820" t="s">
        <v>43</v>
      </c>
      <c r="G820" t="s">
        <v>43</v>
      </c>
      <c r="H820" t="s">
        <v>43</v>
      </c>
      <c r="I820" t="s">
        <v>272</v>
      </c>
      <c r="J820" t="s">
        <v>43</v>
      </c>
      <c r="K820" t="s">
        <v>43</v>
      </c>
      <c r="L820" t="s">
        <v>43</v>
      </c>
      <c r="M820" t="s">
        <v>43</v>
      </c>
      <c r="N820" t="s">
        <v>45</v>
      </c>
      <c r="O820" t="s">
        <v>43</v>
      </c>
      <c r="P820" t="s">
        <v>43</v>
      </c>
      <c r="Q820" t="s">
        <v>43</v>
      </c>
      <c r="R820" t="s">
        <v>43</v>
      </c>
      <c r="S820" t="s">
        <v>43</v>
      </c>
      <c r="T820" t="s">
        <v>43</v>
      </c>
      <c r="U820" t="s">
        <v>43</v>
      </c>
      <c r="V820" t="s">
        <v>43</v>
      </c>
      <c r="W820" t="s">
        <v>43</v>
      </c>
      <c r="X820" t="s">
        <v>43</v>
      </c>
      <c r="Y820" t="s">
        <v>43</v>
      </c>
      <c r="Z820" t="s">
        <v>43</v>
      </c>
      <c r="AA820" t="s">
        <v>43</v>
      </c>
      <c r="AB820" t="s">
        <v>43</v>
      </c>
      <c r="AC820" t="s">
        <v>43</v>
      </c>
      <c r="AD820" t="s">
        <v>43</v>
      </c>
      <c r="AE820" t="s">
        <v>43</v>
      </c>
      <c r="AF820" t="s">
        <v>43</v>
      </c>
      <c r="AG820" t="s">
        <v>43</v>
      </c>
      <c r="AH820" t="s">
        <v>43</v>
      </c>
      <c r="AI820" t="s">
        <v>43</v>
      </c>
      <c r="AJ820" t="s">
        <v>43</v>
      </c>
      <c r="AK820" t="s">
        <v>43</v>
      </c>
      <c r="AL820" t="s">
        <v>43</v>
      </c>
      <c r="AM820" t="s">
        <v>43</v>
      </c>
      <c r="AN820" t="str">
        <f>HYPERLINK("https://www.google.com/maps?q=11.0547657,79.06084442","Open Location")</f>
        <v>Open Location</v>
      </c>
    </row>
    <row r="821" spans="1:40" x14ac:dyDescent="0.3">
      <c r="A821" s="1">
        <v>46210.904745370368</v>
      </c>
      <c r="B821" t="s">
        <v>40</v>
      </c>
      <c r="C821" t="s">
        <v>41</v>
      </c>
      <c r="D821" s="1">
        <v>46210.907523148147</v>
      </c>
      <c r="E821" t="s">
        <v>42</v>
      </c>
      <c r="F821" t="s">
        <v>43</v>
      </c>
      <c r="G821" t="s">
        <v>43</v>
      </c>
      <c r="H821" t="s">
        <v>43</v>
      </c>
      <c r="I821" t="s">
        <v>269</v>
      </c>
      <c r="J821" t="s">
        <v>43</v>
      </c>
      <c r="K821" t="s">
        <v>43</v>
      </c>
      <c r="L821" t="s">
        <v>43</v>
      </c>
      <c r="M821" t="s">
        <v>43</v>
      </c>
      <c r="N821" t="s">
        <v>45</v>
      </c>
      <c r="O821" t="s">
        <v>43</v>
      </c>
      <c r="P821" t="s">
        <v>43</v>
      </c>
      <c r="Q821" t="s">
        <v>43</v>
      </c>
      <c r="R821" t="s">
        <v>43</v>
      </c>
      <c r="S821" t="s">
        <v>43</v>
      </c>
      <c r="T821" t="s">
        <v>43</v>
      </c>
      <c r="U821" t="s">
        <v>43</v>
      </c>
      <c r="V821" t="s">
        <v>43</v>
      </c>
      <c r="W821" t="s">
        <v>43</v>
      </c>
      <c r="X821" t="s">
        <v>43</v>
      </c>
      <c r="Y821" t="s">
        <v>43</v>
      </c>
      <c r="Z821" t="s">
        <v>43</v>
      </c>
      <c r="AA821" t="s">
        <v>43</v>
      </c>
      <c r="AB821" t="s">
        <v>43</v>
      </c>
      <c r="AC821" t="s">
        <v>43</v>
      </c>
      <c r="AD821" t="s">
        <v>43</v>
      </c>
      <c r="AE821" t="s">
        <v>43</v>
      </c>
      <c r="AF821" t="s">
        <v>43</v>
      </c>
      <c r="AG821" t="s">
        <v>43</v>
      </c>
      <c r="AH821" t="s">
        <v>43</v>
      </c>
      <c r="AI821" t="s">
        <v>43</v>
      </c>
      <c r="AJ821" t="s">
        <v>43</v>
      </c>
      <c r="AK821" t="s">
        <v>43</v>
      </c>
      <c r="AL821" t="s">
        <v>43</v>
      </c>
      <c r="AM821" t="s">
        <v>43</v>
      </c>
      <c r="AN821" t="str">
        <f>HYPERLINK("https://www.google.com/maps?q=11.05476475,79.06083679","Open Location")</f>
        <v>Open Location</v>
      </c>
    </row>
    <row r="822" spans="1:40" x14ac:dyDescent="0.3">
      <c r="A822" s="1">
        <v>46210.904629629629</v>
      </c>
      <c r="B822" t="s">
        <v>40</v>
      </c>
      <c r="C822" t="s">
        <v>41</v>
      </c>
      <c r="D822" s="1">
        <v>46210.907523148147</v>
      </c>
      <c r="E822" t="s">
        <v>42</v>
      </c>
      <c r="F822" t="s">
        <v>43</v>
      </c>
      <c r="G822" t="s">
        <v>43</v>
      </c>
      <c r="H822" t="s">
        <v>43</v>
      </c>
      <c r="I822" t="s">
        <v>43</v>
      </c>
      <c r="J822" t="s">
        <v>43</v>
      </c>
      <c r="K822" t="s">
        <v>43</v>
      </c>
      <c r="L822" t="s">
        <v>43</v>
      </c>
      <c r="M822" t="s">
        <v>43</v>
      </c>
      <c r="N822" t="s">
        <v>45</v>
      </c>
      <c r="O822" t="s">
        <v>43</v>
      </c>
      <c r="P822" t="s">
        <v>43</v>
      </c>
      <c r="Q822" t="s">
        <v>43</v>
      </c>
      <c r="R822" t="s">
        <v>43</v>
      </c>
      <c r="S822" t="s">
        <v>43</v>
      </c>
      <c r="T822" t="s">
        <v>43</v>
      </c>
      <c r="U822" t="s">
        <v>43</v>
      </c>
      <c r="V822" t="s">
        <v>43</v>
      </c>
      <c r="W822" t="s">
        <v>43</v>
      </c>
      <c r="X822" t="s">
        <v>43</v>
      </c>
      <c r="Y822" t="s">
        <v>43</v>
      </c>
      <c r="Z822" t="s">
        <v>43</v>
      </c>
      <c r="AA822" t="s">
        <v>43</v>
      </c>
      <c r="AB822" t="s">
        <v>43</v>
      </c>
      <c r="AC822" t="s">
        <v>43</v>
      </c>
      <c r="AD822" t="s">
        <v>43</v>
      </c>
      <c r="AE822" t="s">
        <v>43</v>
      </c>
      <c r="AF822" t="s">
        <v>43</v>
      </c>
      <c r="AG822" t="s">
        <v>43</v>
      </c>
      <c r="AH822" t="s">
        <v>43</v>
      </c>
      <c r="AI822" t="s">
        <v>43</v>
      </c>
      <c r="AJ822" t="s">
        <v>43</v>
      </c>
      <c r="AK822" t="s">
        <v>43</v>
      </c>
      <c r="AL822" t="s">
        <v>43</v>
      </c>
      <c r="AM822" t="s">
        <v>43</v>
      </c>
      <c r="AN822" t="s">
        <v>43</v>
      </c>
    </row>
    <row r="823" spans="1:40" x14ac:dyDescent="0.3">
      <c r="A823" s="1">
        <v>46210.904513888891</v>
      </c>
      <c r="B823" t="s">
        <v>40</v>
      </c>
      <c r="C823" t="s">
        <v>41</v>
      </c>
      <c r="D823" s="1">
        <v>46210.907453703701</v>
      </c>
      <c r="E823" t="s">
        <v>42</v>
      </c>
      <c r="F823" t="s">
        <v>43</v>
      </c>
      <c r="G823" t="s">
        <v>43</v>
      </c>
      <c r="H823" t="s">
        <v>43</v>
      </c>
      <c r="I823" t="s">
        <v>271</v>
      </c>
      <c r="J823" t="s">
        <v>43</v>
      </c>
      <c r="K823" t="s">
        <v>43</v>
      </c>
      <c r="L823" t="s">
        <v>43</v>
      </c>
      <c r="M823" t="s">
        <v>43</v>
      </c>
      <c r="N823" t="s">
        <v>45</v>
      </c>
      <c r="O823" t="s">
        <v>43</v>
      </c>
      <c r="P823" t="s">
        <v>43</v>
      </c>
      <c r="Q823" t="s">
        <v>43</v>
      </c>
      <c r="R823" t="s">
        <v>43</v>
      </c>
      <c r="S823" t="s">
        <v>43</v>
      </c>
      <c r="T823" t="s">
        <v>43</v>
      </c>
      <c r="U823" t="s">
        <v>43</v>
      </c>
      <c r="V823" t="s">
        <v>43</v>
      </c>
      <c r="W823" t="s">
        <v>43</v>
      </c>
      <c r="X823" t="s">
        <v>43</v>
      </c>
      <c r="Y823" t="s">
        <v>43</v>
      </c>
      <c r="Z823" t="s">
        <v>43</v>
      </c>
      <c r="AA823" t="s">
        <v>43</v>
      </c>
      <c r="AB823" t="s">
        <v>43</v>
      </c>
      <c r="AC823" t="s">
        <v>43</v>
      </c>
      <c r="AD823" t="s">
        <v>43</v>
      </c>
      <c r="AE823" t="s">
        <v>43</v>
      </c>
      <c r="AF823" t="s">
        <v>43</v>
      </c>
      <c r="AG823" t="s">
        <v>43</v>
      </c>
      <c r="AH823" t="s">
        <v>43</v>
      </c>
      <c r="AI823" t="s">
        <v>43</v>
      </c>
      <c r="AJ823" t="s">
        <v>43</v>
      </c>
      <c r="AK823" t="s">
        <v>43</v>
      </c>
      <c r="AL823" t="s">
        <v>43</v>
      </c>
      <c r="AM823" t="s">
        <v>43</v>
      </c>
      <c r="AN823" t="str">
        <f>HYPERLINK("https://www.google.com/maps?q=11.05476761,79.06083679","Open Location")</f>
        <v>Open Location</v>
      </c>
    </row>
    <row r="824" spans="1:40" x14ac:dyDescent="0.3">
      <c r="A824" s="1">
        <v>46210.904398148145</v>
      </c>
      <c r="B824" t="s">
        <v>40</v>
      </c>
      <c r="C824" t="s">
        <v>41</v>
      </c>
      <c r="D824" s="1">
        <v>46210.907546296294</v>
      </c>
      <c r="E824" t="s">
        <v>42</v>
      </c>
      <c r="F824" t="s">
        <v>43</v>
      </c>
      <c r="G824" t="s">
        <v>43</v>
      </c>
      <c r="H824" t="s">
        <v>43</v>
      </c>
      <c r="I824" t="s">
        <v>268</v>
      </c>
      <c r="J824" t="s">
        <v>43</v>
      </c>
      <c r="K824" t="s">
        <v>43</v>
      </c>
      <c r="L824" t="s">
        <v>43</v>
      </c>
      <c r="M824" t="s">
        <v>43</v>
      </c>
      <c r="N824" t="s">
        <v>45</v>
      </c>
      <c r="O824" t="s">
        <v>43</v>
      </c>
      <c r="P824" t="s">
        <v>43</v>
      </c>
      <c r="Q824" t="s">
        <v>43</v>
      </c>
      <c r="R824" t="s">
        <v>43</v>
      </c>
      <c r="S824" t="s">
        <v>43</v>
      </c>
      <c r="T824" t="s">
        <v>43</v>
      </c>
      <c r="U824" t="s">
        <v>43</v>
      </c>
      <c r="V824" t="s">
        <v>43</v>
      </c>
      <c r="W824" t="s">
        <v>43</v>
      </c>
      <c r="X824" t="s">
        <v>43</v>
      </c>
      <c r="Y824" t="s">
        <v>43</v>
      </c>
      <c r="Z824" t="s">
        <v>43</v>
      </c>
      <c r="AA824" t="s">
        <v>43</v>
      </c>
      <c r="AB824" t="s">
        <v>43</v>
      </c>
      <c r="AC824" t="s">
        <v>43</v>
      </c>
      <c r="AD824" t="s">
        <v>43</v>
      </c>
      <c r="AE824" t="s">
        <v>43</v>
      </c>
      <c r="AF824" t="s">
        <v>43</v>
      </c>
      <c r="AG824" t="s">
        <v>43</v>
      </c>
      <c r="AH824" t="s">
        <v>43</v>
      </c>
      <c r="AI824" t="s">
        <v>43</v>
      </c>
      <c r="AJ824" t="s">
        <v>43</v>
      </c>
      <c r="AK824" t="s">
        <v>43</v>
      </c>
      <c r="AL824" t="s">
        <v>43</v>
      </c>
      <c r="AM824" t="s">
        <v>43</v>
      </c>
      <c r="AN824" t="str">
        <f>HYPERLINK("https://www.google.com/maps?q=11.05476665,79.06083679","Open Location")</f>
        <v>Open Location</v>
      </c>
    </row>
    <row r="825" spans="1:40" x14ac:dyDescent="0.3">
      <c r="A825" s="1">
        <v>46210.904282407406</v>
      </c>
      <c r="B825" t="s">
        <v>40</v>
      </c>
      <c r="C825" t="s">
        <v>41</v>
      </c>
      <c r="D825" s="1">
        <v>46210.907199074078</v>
      </c>
      <c r="E825" t="s">
        <v>42</v>
      </c>
      <c r="F825" t="s">
        <v>43</v>
      </c>
      <c r="G825" t="s">
        <v>43</v>
      </c>
      <c r="H825" t="s">
        <v>43</v>
      </c>
      <c r="I825" t="s">
        <v>391</v>
      </c>
      <c r="J825" t="s">
        <v>43</v>
      </c>
      <c r="K825" t="s">
        <v>43</v>
      </c>
      <c r="L825" t="s">
        <v>43</v>
      </c>
      <c r="M825" t="s">
        <v>43</v>
      </c>
      <c r="N825" t="s">
        <v>45</v>
      </c>
      <c r="O825" t="s">
        <v>43</v>
      </c>
      <c r="P825" t="s">
        <v>43</v>
      </c>
      <c r="Q825" t="s">
        <v>43</v>
      </c>
      <c r="R825" t="s">
        <v>43</v>
      </c>
      <c r="S825" t="s">
        <v>43</v>
      </c>
      <c r="T825" t="s">
        <v>43</v>
      </c>
      <c r="U825" t="s">
        <v>43</v>
      </c>
      <c r="V825" t="s">
        <v>43</v>
      </c>
      <c r="W825" t="s">
        <v>43</v>
      </c>
      <c r="X825" t="s">
        <v>43</v>
      </c>
      <c r="Y825" t="s">
        <v>43</v>
      </c>
      <c r="Z825" t="s">
        <v>43</v>
      </c>
      <c r="AA825" t="s">
        <v>43</v>
      </c>
      <c r="AB825" t="s">
        <v>43</v>
      </c>
      <c r="AC825" t="s">
        <v>43</v>
      </c>
      <c r="AD825" t="s">
        <v>43</v>
      </c>
      <c r="AE825" t="s">
        <v>43</v>
      </c>
      <c r="AF825" t="s">
        <v>43</v>
      </c>
      <c r="AG825" t="s">
        <v>43</v>
      </c>
      <c r="AH825" t="s">
        <v>43</v>
      </c>
      <c r="AI825" t="s">
        <v>43</v>
      </c>
      <c r="AJ825" t="s">
        <v>43</v>
      </c>
      <c r="AK825" t="s">
        <v>43</v>
      </c>
      <c r="AL825" t="s">
        <v>43</v>
      </c>
      <c r="AM825" t="s">
        <v>43</v>
      </c>
      <c r="AN825" t="str">
        <f>HYPERLINK("https://www.google.com/maps?q=11.05477047,79.06083679","Open Location")</f>
        <v>Open Location</v>
      </c>
    </row>
    <row r="826" spans="1:40" x14ac:dyDescent="0.3">
      <c r="A826" s="1">
        <v>46210.904166666667</v>
      </c>
      <c r="B826" t="s">
        <v>40</v>
      </c>
      <c r="C826" t="s">
        <v>41</v>
      </c>
      <c r="D826" s="1">
        <v>46210.906990740739</v>
      </c>
      <c r="E826" t="s">
        <v>42</v>
      </c>
      <c r="F826" t="s">
        <v>43</v>
      </c>
      <c r="G826" t="s">
        <v>43</v>
      </c>
      <c r="H826" t="s">
        <v>43</v>
      </c>
      <c r="I826" t="s">
        <v>258</v>
      </c>
      <c r="J826" t="s">
        <v>43</v>
      </c>
      <c r="K826" t="s">
        <v>43</v>
      </c>
      <c r="L826" t="s">
        <v>43</v>
      </c>
      <c r="M826" t="s">
        <v>43</v>
      </c>
      <c r="N826" t="s">
        <v>45</v>
      </c>
      <c r="O826" t="s">
        <v>43</v>
      </c>
      <c r="P826" t="s">
        <v>43</v>
      </c>
      <c r="Q826" t="s">
        <v>43</v>
      </c>
      <c r="R826" t="s">
        <v>43</v>
      </c>
      <c r="S826" t="s">
        <v>43</v>
      </c>
      <c r="T826" t="s">
        <v>43</v>
      </c>
      <c r="U826" t="s">
        <v>43</v>
      </c>
      <c r="V826" t="s">
        <v>43</v>
      </c>
      <c r="W826" t="s">
        <v>43</v>
      </c>
      <c r="X826" t="s">
        <v>43</v>
      </c>
      <c r="Y826" t="s">
        <v>43</v>
      </c>
      <c r="Z826" t="s">
        <v>43</v>
      </c>
      <c r="AA826" t="s">
        <v>43</v>
      </c>
      <c r="AB826" t="s">
        <v>43</v>
      </c>
      <c r="AC826" t="s">
        <v>43</v>
      </c>
      <c r="AD826" t="s">
        <v>43</v>
      </c>
      <c r="AE826" t="s">
        <v>43</v>
      </c>
      <c r="AF826" t="s">
        <v>43</v>
      </c>
      <c r="AG826" t="s">
        <v>43</v>
      </c>
      <c r="AH826" t="s">
        <v>43</v>
      </c>
      <c r="AI826" t="s">
        <v>43</v>
      </c>
      <c r="AJ826" t="s">
        <v>43</v>
      </c>
      <c r="AK826" t="s">
        <v>43</v>
      </c>
      <c r="AL826" t="s">
        <v>43</v>
      </c>
      <c r="AM826" t="s">
        <v>43</v>
      </c>
      <c r="AN826" t="str">
        <f>HYPERLINK("https://www.google.com/maps?q=11.05476761,79.06084442","Open Location")</f>
        <v>Open Location</v>
      </c>
    </row>
    <row r="827" spans="1:40" x14ac:dyDescent="0.3">
      <c r="A827" s="1">
        <v>46210.904050925928</v>
      </c>
      <c r="B827" t="s">
        <v>40</v>
      </c>
      <c r="C827" t="s">
        <v>41</v>
      </c>
      <c r="D827" s="1">
        <v>46210.907025462962</v>
      </c>
      <c r="E827" t="s">
        <v>42</v>
      </c>
      <c r="F827" t="s">
        <v>43</v>
      </c>
      <c r="G827" t="s">
        <v>43</v>
      </c>
      <c r="H827" t="s">
        <v>43</v>
      </c>
      <c r="I827" t="s">
        <v>43</v>
      </c>
      <c r="J827" t="s">
        <v>43</v>
      </c>
      <c r="K827" t="s">
        <v>43</v>
      </c>
      <c r="L827" t="s">
        <v>43</v>
      </c>
      <c r="M827" t="s">
        <v>43</v>
      </c>
      <c r="N827" t="s">
        <v>45</v>
      </c>
      <c r="O827" t="s">
        <v>43</v>
      </c>
      <c r="P827" t="s">
        <v>43</v>
      </c>
      <c r="Q827" t="s">
        <v>43</v>
      </c>
      <c r="R827" t="s">
        <v>43</v>
      </c>
      <c r="S827" t="s">
        <v>43</v>
      </c>
      <c r="T827" t="s">
        <v>43</v>
      </c>
      <c r="U827" t="s">
        <v>43</v>
      </c>
      <c r="V827" t="s">
        <v>43</v>
      </c>
      <c r="W827" t="s">
        <v>43</v>
      </c>
      <c r="X827" t="s">
        <v>43</v>
      </c>
      <c r="Y827" t="s">
        <v>43</v>
      </c>
      <c r="Z827" t="s">
        <v>43</v>
      </c>
      <c r="AA827" t="s">
        <v>43</v>
      </c>
      <c r="AB827" t="s">
        <v>43</v>
      </c>
      <c r="AC827" t="s">
        <v>43</v>
      </c>
      <c r="AD827" t="s">
        <v>43</v>
      </c>
      <c r="AE827" t="s">
        <v>43</v>
      </c>
      <c r="AF827" t="s">
        <v>43</v>
      </c>
      <c r="AG827" t="s">
        <v>43</v>
      </c>
      <c r="AH827" t="s">
        <v>43</v>
      </c>
      <c r="AI827" t="s">
        <v>43</v>
      </c>
      <c r="AJ827" t="s">
        <v>43</v>
      </c>
      <c r="AK827" t="s">
        <v>43</v>
      </c>
      <c r="AL827" t="s">
        <v>43</v>
      </c>
      <c r="AM827" t="s">
        <v>43</v>
      </c>
      <c r="AN827" t="s">
        <v>43</v>
      </c>
    </row>
    <row r="828" spans="1:40" x14ac:dyDescent="0.3">
      <c r="A828" s="1">
        <v>46210.903935185182</v>
      </c>
      <c r="B828" t="s">
        <v>40</v>
      </c>
      <c r="C828" t="s">
        <v>41</v>
      </c>
      <c r="D828" s="1">
        <v>46210.906909722224</v>
      </c>
      <c r="E828" t="s">
        <v>42</v>
      </c>
      <c r="F828" t="s">
        <v>43</v>
      </c>
      <c r="G828" t="s">
        <v>43</v>
      </c>
      <c r="H828" t="s">
        <v>43</v>
      </c>
      <c r="I828" t="s">
        <v>344</v>
      </c>
      <c r="J828" t="s">
        <v>43</v>
      </c>
      <c r="K828" t="s">
        <v>43</v>
      </c>
      <c r="L828" t="s">
        <v>43</v>
      </c>
      <c r="M828" t="s">
        <v>43</v>
      </c>
      <c r="N828" t="s">
        <v>45</v>
      </c>
      <c r="O828" t="s">
        <v>43</v>
      </c>
      <c r="P828" t="s">
        <v>43</v>
      </c>
      <c r="Q828" t="s">
        <v>43</v>
      </c>
      <c r="R828" t="s">
        <v>43</v>
      </c>
      <c r="S828" t="s">
        <v>43</v>
      </c>
      <c r="T828" t="s">
        <v>43</v>
      </c>
      <c r="U828" t="s">
        <v>43</v>
      </c>
      <c r="V828" t="s">
        <v>43</v>
      </c>
      <c r="W828" t="s">
        <v>43</v>
      </c>
      <c r="X828" t="s">
        <v>43</v>
      </c>
      <c r="Y828" t="s">
        <v>43</v>
      </c>
      <c r="Z828" t="s">
        <v>43</v>
      </c>
      <c r="AA828" t="s">
        <v>43</v>
      </c>
      <c r="AB828" t="s">
        <v>43</v>
      </c>
      <c r="AC828" t="s">
        <v>43</v>
      </c>
      <c r="AD828" t="s">
        <v>43</v>
      </c>
      <c r="AE828" t="s">
        <v>43</v>
      </c>
      <c r="AF828" t="s">
        <v>43</v>
      </c>
      <c r="AG828" t="s">
        <v>43</v>
      </c>
      <c r="AH828" t="s">
        <v>43</v>
      </c>
      <c r="AI828" t="s">
        <v>43</v>
      </c>
      <c r="AJ828" t="s">
        <v>43</v>
      </c>
      <c r="AK828" t="s">
        <v>43</v>
      </c>
      <c r="AL828" t="s">
        <v>43</v>
      </c>
      <c r="AM828" t="s">
        <v>43</v>
      </c>
      <c r="AN828" t="str">
        <f>HYPERLINK("https://www.google.com/maps?q=11.05476856,79.06084442","Open Location")</f>
        <v>Open Location</v>
      </c>
    </row>
    <row r="829" spans="1:40" x14ac:dyDescent="0.3">
      <c r="A829" s="1">
        <v>46210.903819444444</v>
      </c>
      <c r="B829" t="s">
        <v>40</v>
      </c>
      <c r="C829" t="s">
        <v>41</v>
      </c>
      <c r="D829" s="1">
        <v>46210.906678240739</v>
      </c>
      <c r="E829" t="s">
        <v>42</v>
      </c>
      <c r="F829" t="s">
        <v>43</v>
      </c>
      <c r="G829" t="s">
        <v>43</v>
      </c>
      <c r="H829" t="s">
        <v>43</v>
      </c>
      <c r="I829" t="s">
        <v>289</v>
      </c>
      <c r="J829" t="s">
        <v>43</v>
      </c>
      <c r="K829" t="s">
        <v>43</v>
      </c>
      <c r="L829" t="s">
        <v>43</v>
      </c>
      <c r="M829" t="s">
        <v>43</v>
      </c>
      <c r="N829" t="s">
        <v>45</v>
      </c>
      <c r="O829" t="s">
        <v>43</v>
      </c>
      <c r="P829" t="s">
        <v>43</v>
      </c>
      <c r="Q829" t="s">
        <v>43</v>
      </c>
      <c r="R829" t="s">
        <v>43</v>
      </c>
      <c r="S829" t="s">
        <v>43</v>
      </c>
      <c r="T829" t="s">
        <v>43</v>
      </c>
      <c r="U829" t="s">
        <v>43</v>
      </c>
      <c r="V829" t="s">
        <v>43</v>
      </c>
      <c r="W829" t="s">
        <v>43</v>
      </c>
      <c r="X829" t="s">
        <v>43</v>
      </c>
      <c r="Y829" t="s">
        <v>43</v>
      </c>
      <c r="Z829" t="s">
        <v>43</v>
      </c>
      <c r="AA829" t="s">
        <v>43</v>
      </c>
      <c r="AB829" t="s">
        <v>43</v>
      </c>
      <c r="AC829" t="s">
        <v>43</v>
      </c>
      <c r="AD829" t="s">
        <v>43</v>
      </c>
      <c r="AE829" t="s">
        <v>43</v>
      </c>
      <c r="AF829" t="s">
        <v>43</v>
      </c>
      <c r="AG829" t="s">
        <v>43</v>
      </c>
      <c r="AH829" t="s">
        <v>43</v>
      </c>
      <c r="AI829" t="s">
        <v>43</v>
      </c>
      <c r="AJ829" t="s">
        <v>43</v>
      </c>
      <c r="AK829" t="s">
        <v>43</v>
      </c>
      <c r="AL829" t="s">
        <v>43</v>
      </c>
      <c r="AM829" t="s">
        <v>43</v>
      </c>
      <c r="AN829" t="str">
        <f>HYPERLINK("https://www.google.com/maps?q=11.05477047,79.06084442","Open Location")</f>
        <v>Open Location</v>
      </c>
    </row>
    <row r="830" spans="1:40" x14ac:dyDescent="0.3">
      <c r="A830" s="1">
        <v>46210.903703703705</v>
      </c>
      <c r="B830" t="s">
        <v>40</v>
      </c>
      <c r="C830" t="s">
        <v>41</v>
      </c>
      <c r="D830" s="1">
        <v>46210.906655092593</v>
      </c>
      <c r="E830" t="s">
        <v>42</v>
      </c>
      <c r="F830" t="s">
        <v>43</v>
      </c>
      <c r="G830" t="s">
        <v>43</v>
      </c>
      <c r="H830" t="s">
        <v>43</v>
      </c>
      <c r="I830" t="s">
        <v>327</v>
      </c>
      <c r="J830" t="s">
        <v>43</v>
      </c>
      <c r="K830" t="s">
        <v>43</v>
      </c>
      <c r="L830" t="s">
        <v>43</v>
      </c>
      <c r="M830" t="s">
        <v>43</v>
      </c>
      <c r="N830" t="s">
        <v>45</v>
      </c>
      <c r="O830" t="s">
        <v>43</v>
      </c>
      <c r="P830" t="s">
        <v>43</v>
      </c>
      <c r="Q830" t="s">
        <v>43</v>
      </c>
      <c r="R830" t="s">
        <v>43</v>
      </c>
      <c r="S830" t="s">
        <v>43</v>
      </c>
      <c r="T830" t="s">
        <v>43</v>
      </c>
      <c r="U830" t="s">
        <v>43</v>
      </c>
      <c r="V830" t="s">
        <v>43</v>
      </c>
      <c r="W830" t="s">
        <v>43</v>
      </c>
      <c r="X830" t="s">
        <v>43</v>
      </c>
      <c r="Y830" t="s">
        <v>43</v>
      </c>
      <c r="Z830" t="s">
        <v>43</v>
      </c>
      <c r="AA830" t="s">
        <v>43</v>
      </c>
      <c r="AB830" t="s">
        <v>43</v>
      </c>
      <c r="AC830" t="s">
        <v>43</v>
      </c>
      <c r="AD830" t="s">
        <v>43</v>
      </c>
      <c r="AE830" t="s">
        <v>43</v>
      </c>
      <c r="AF830" t="s">
        <v>43</v>
      </c>
      <c r="AG830" t="s">
        <v>43</v>
      </c>
      <c r="AH830" t="s">
        <v>43</v>
      </c>
      <c r="AI830" t="s">
        <v>43</v>
      </c>
      <c r="AJ830" t="s">
        <v>43</v>
      </c>
      <c r="AK830" t="s">
        <v>43</v>
      </c>
      <c r="AL830" t="s">
        <v>43</v>
      </c>
      <c r="AM830" t="s">
        <v>43</v>
      </c>
      <c r="AN830" t="str">
        <f>HYPERLINK("https://www.google.com/maps?q=11.05477142,79.06084442","Open Location")</f>
        <v>Open Location</v>
      </c>
    </row>
    <row r="831" spans="1:40" x14ac:dyDescent="0.3">
      <c r="A831" s="1">
        <v>46210.903587962966</v>
      </c>
      <c r="B831" t="s">
        <v>40</v>
      </c>
      <c r="C831" t="s">
        <v>41</v>
      </c>
      <c r="D831" s="1">
        <v>46210.906805555554</v>
      </c>
      <c r="E831" t="s">
        <v>42</v>
      </c>
      <c r="F831" t="s">
        <v>43</v>
      </c>
      <c r="G831" t="s">
        <v>43</v>
      </c>
      <c r="H831" t="s">
        <v>43</v>
      </c>
      <c r="I831" t="s">
        <v>329</v>
      </c>
      <c r="J831" t="s">
        <v>43</v>
      </c>
      <c r="K831" t="s">
        <v>43</v>
      </c>
      <c r="L831" t="s">
        <v>43</v>
      </c>
      <c r="M831" t="s">
        <v>43</v>
      </c>
      <c r="N831" t="s">
        <v>45</v>
      </c>
      <c r="O831" t="s">
        <v>43</v>
      </c>
      <c r="P831" t="s">
        <v>43</v>
      </c>
      <c r="Q831" t="s">
        <v>43</v>
      </c>
      <c r="R831" t="s">
        <v>43</v>
      </c>
      <c r="S831" t="s">
        <v>43</v>
      </c>
      <c r="T831" t="s">
        <v>43</v>
      </c>
      <c r="U831" t="s">
        <v>43</v>
      </c>
      <c r="V831" t="s">
        <v>43</v>
      </c>
      <c r="W831" t="s">
        <v>43</v>
      </c>
      <c r="X831" t="s">
        <v>43</v>
      </c>
      <c r="Y831" t="s">
        <v>43</v>
      </c>
      <c r="Z831" t="s">
        <v>43</v>
      </c>
      <c r="AA831" t="s">
        <v>43</v>
      </c>
      <c r="AB831" t="s">
        <v>43</v>
      </c>
      <c r="AC831" t="s">
        <v>43</v>
      </c>
      <c r="AD831" t="s">
        <v>43</v>
      </c>
      <c r="AE831" t="s">
        <v>43</v>
      </c>
      <c r="AF831" t="s">
        <v>43</v>
      </c>
      <c r="AG831" t="s">
        <v>43</v>
      </c>
      <c r="AH831" t="s">
        <v>43</v>
      </c>
      <c r="AI831" t="s">
        <v>43</v>
      </c>
      <c r="AJ831" t="s">
        <v>43</v>
      </c>
      <c r="AK831" t="s">
        <v>43</v>
      </c>
      <c r="AL831" t="s">
        <v>43</v>
      </c>
      <c r="AM831" t="s">
        <v>43</v>
      </c>
      <c r="AN831" t="str">
        <f>HYPERLINK("https://www.google.com/maps?q=11.05477142,79.06083679","Open Location")</f>
        <v>Open Location</v>
      </c>
    </row>
    <row r="832" spans="1:40" x14ac:dyDescent="0.3">
      <c r="A832" s="1">
        <v>46210.90347222222</v>
      </c>
      <c r="B832" t="s">
        <v>40</v>
      </c>
      <c r="C832" t="s">
        <v>41</v>
      </c>
      <c r="D832" s="1">
        <v>46210.906655092593</v>
      </c>
      <c r="E832" t="s">
        <v>42</v>
      </c>
      <c r="F832" t="s">
        <v>43</v>
      </c>
      <c r="G832" t="s">
        <v>43</v>
      </c>
      <c r="H832" t="s">
        <v>43</v>
      </c>
      <c r="I832" t="s">
        <v>344</v>
      </c>
      <c r="J832" t="s">
        <v>43</v>
      </c>
      <c r="K832" t="s">
        <v>43</v>
      </c>
      <c r="L832" t="s">
        <v>43</v>
      </c>
      <c r="M832" t="s">
        <v>43</v>
      </c>
      <c r="N832" t="s">
        <v>45</v>
      </c>
      <c r="O832" t="s">
        <v>43</v>
      </c>
      <c r="P832" t="s">
        <v>43</v>
      </c>
      <c r="Q832" t="s">
        <v>43</v>
      </c>
      <c r="R832" t="s">
        <v>43</v>
      </c>
      <c r="S832" t="s">
        <v>43</v>
      </c>
      <c r="T832" t="s">
        <v>43</v>
      </c>
      <c r="U832" t="s">
        <v>43</v>
      </c>
      <c r="V832" t="s">
        <v>43</v>
      </c>
      <c r="W832" t="s">
        <v>43</v>
      </c>
      <c r="X832" t="s">
        <v>43</v>
      </c>
      <c r="Y832" t="s">
        <v>43</v>
      </c>
      <c r="Z832" t="s">
        <v>43</v>
      </c>
      <c r="AA832" t="s">
        <v>43</v>
      </c>
      <c r="AB832" t="s">
        <v>43</v>
      </c>
      <c r="AC832" t="s">
        <v>43</v>
      </c>
      <c r="AD832" t="s">
        <v>43</v>
      </c>
      <c r="AE832" t="s">
        <v>43</v>
      </c>
      <c r="AF832" t="s">
        <v>43</v>
      </c>
      <c r="AG832" t="s">
        <v>43</v>
      </c>
      <c r="AH832" t="s">
        <v>43</v>
      </c>
      <c r="AI832" t="s">
        <v>43</v>
      </c>
      <c r="AJ832" t="s">
        <v>43</v>
      </c>
      <c r="AK832" t="s">
        <v>43</v>
      </c>
      <c r="AL832" t="s">
        <v>43</v>
      </c>
      <c r="AM832" t="s">
        <v>43</v>
      </c>
      <c r="AN832" t="str">
        <f>HYPERLINK("https://www.google.com/maps?q=11.05476856,79.06084442","Open Location")</f>
        <v>Open Location</v>
      </c>
    </row>
    <row r="833" spans="1:40" x14ac:dyDescent="0.3">
      <c r="A833" s="1">
        <v>46210.903356481482</v>
      </c>
      <c r="B833" t="s">
        <v>40</v>
      </c>
      <c r="C833" t="s">
        <v>41</v>
      </c>
      <c r="D833" s="1">
        <v>46210.9062037037</v>
      </c>
      <c r="E833" t="s">
        <v>42</v>
      </c>
      <c r="F833" t="s">
        <v>43</v>
      </c>
      <c r="G833" t="s">
        <v>43</v>
      </c>
      <c r="H833" t="s">
        <v>43</v>
      </c>
      <c r="I833" t="s">
        <v>43</v>
      </c>
      <c r="J833" t="s">
        <v>43</v>
      </c>
      <c r="K833" t="s">
        <v>43</v>
      </c>
      <c r="L833" t="s">
        <v>43</v>
      </c>
      <c r="M833" t="s">
        <v>43</v>
      </c>
      <c r="N833" t="s">
        <v>45</v>
      </c>
      <c r="O833" t="s">
        <v>43</v>
      </c>
      <c r="P833" t="s">
        <v>43</v>
      </c>
      <c r="Q833" t="s">
        <v>43</v>
      </c>
      <c r="R833" t="s">
        <v>43</v>
      </c>
      <c r="S833" t="s">
        <v>43</v>
      </c>
      <c r="T833" t="s">
        <v>43</v>
      </c>
      <c r="U833" t="s">
        <v>43</v>
      </c>
      <c r="V833" t="s">
        <v>43</v>
      </c>
      <c r="W833" t="s">
        <v>43</v>
      </c>
      <c r="X833" t="s">
        <v>43</v>
      </c>
      <c r="Y833" t="s">
        <v>43</v>
      </c>
      <c r="Z833" t="s">
        <v>43</v>
      </c>
      <c r="AA833" t="s">
        <v>43</v>
      </c>
      <c r="AB833" t="s">
        <v>43</v>
      </c>
      <c r="AC833" t="s">
        <v>43</v>
      </c>
      <c r="AD833" t="s">
        <v>43</v>
      </c>
      <c r="AE833" t="s">
        <v>43</v>
      </c>
      <c r="AF833" t="s">
        <v>43</v>
      </c>
      <c r="AG833" t="s">
        <v>43</v>
      </c>
      <c r="AH833" t="s">
        <v>43</v>
      </c>
      <c r="AI833" t="s">
        <v>43</v>
      </c>
      <c r="AJ833" t="s">
        <v>43</v>
      </c>
      <c r="AK833" t="s">
        <v>43</v>
      </c>
      <c r="AL833" t="s">
        <v>43</v>
      </c>
      <c r="AM833" t="s">
        <v>43</v>
      </c>
      <c r="AN833" t="s">
        <v>43</v>
      </c>
    </row>
    <row r="834" spans="1:40" x14ac:dyDescent="0.3">
      <c r="A834" s="1">
        <v>46210.903240740743</v>
      </c>
      <c r="B834" t="s">
        <v>40</v>
      </c>
      <c r="C834" t="s">
        <v>41</v>
      </c>
      <c r="D834" s="1">
        <v>46210.906238425923</v>
      </c>
      <c r="E834" t="s">
        <v>42</v>
      </c>
      <c r="F834" t="s">
        <v>43</v>
      </c>
      <c r="G834" t="s">
        <v>43</v>
      </c>
      <c r="H834" t="s">
        <v>43</v>
      </c>
      <c r="I834" t="s">
        <v>258</v>
      </c>
      <c r="J834" t="s">
        <v>43</v>
      </c>
      <c r="K834" t="s">
        <v>43</v>
      </c>
      <c r="L834" t="s">
        <v>43</v>
      </c>
      <c r="M834" t="s">
        <v>43</v>
      </c>
      <c r="N834" t="s">
        <v>45</v>
      </c>
      <c r="O834" t="s">
        <v>43</v>
      </c>
      <c r="P834" t="s">
        <v>43</v>
      </c>
      <c r="Q834" t="s">
        <v>43</v>
      </c>
      <c r="R834" t="s">
        <v>43</v>
      </c>
      <c r="S834" t="s">
        <v>43</v>
      </c>
      <c r="T834" t="s">
        <v>43</v>
      </c>
      <c r="U834" t="s">
        <v>43</v>
      </c>
      <c r="V834" t="s">
        <v>43</v>
      </c>
      <c r="W834" t="s">
        <v>43</v>
      </c>
      <c r="X834" t="s">
        <v>43</v>
      </c>
      <c r="Y834" t="s">
        <v>43</v>
      </c>
      <c r="Z834" t="s">
        <v>43</v>
      </c>
      <c r="AA834" t="s">
        <v>43</v>
      </c>
      <c r="AB834" t="s">
        <v>43</v>
      </c>
      <c r="AC834" t="s">
        <v>43</v>
      </c>
      <c r="AD834" t="s">
        <v>43</v>
      </c>
      <c r="AE834" t="s">
        <v>43</v>
      </c>
      <c r="AF834" t="s">
        <v>43</v>
      </c>
      <c r="AG834" t="s">
        <v>43</v>
      </c>
      <c r="AH834" t="s">
        <v>43</v>
      </c>
      <c r="AI834" t="s">
        <v>43</v>
      </c>
      <c r="AJ834" t="s">
        <v>43</v>
      </c>
      <c r="AK834" t="s">
        <v>43</v>
      </c>
      <c r="AL834" t="s">
        <v>43</v>
      </c>
      <c r="AM834" t="s">
        <v>43</v>
      </c>
      <c r="AN834" t="str">
        <f>HYPERLINK("https://www.google.com/maps?q=11.05476761,79.06084442","Open Location")</f>
        <v>Open Location</v>
      </c>
    </row>
    <row r="835" spans="1:40" x14ac:dyDescent="0.3">
      <c r="A835" s="1">
        <v>46210.903124999997</v>
      </c>
      <c r="B835" t="s">
        <v>40</v>
      </c>
      <c r="C835" t="s">
        <v>41</v>
      </c>
      <c r="D835" s="1">
        <v>46210.906006944446</v>
      </c>
      <c r="E835" t="s">
        <v>42</v>
      </c>
      <c r="F835" t="s">
        <v>43</v>
      </c>
      <c r="G835" t="s">
        <v>43</v>
      </c>
      <c r="H835" t="s">
        <v>43</v>
      </c>
      <c r="I835" t="s">
        <v>258</v>
      </c>
      <c r="J835" t="s">
        <v>43</v>
      </c>
      <c r="K835" t="s">
        <v>43</v>
      </c>
      <c r="L835" t="s">
        <v>43</v>
      </c>
      <c r="M835" t="s">
        <v>43</v>
      </c>
      <c r="N835" t="s">
        <v>45</v>
      </c>
      <c r="O835" t="s">
        <v>43</v>
      </c>
      <c r="P835" t="s">
        <v>43</v>
      </c>
      <c r="Q835" t="s">
        <v>43</v>
      </c>
      <c r="R835" t="s">
        <v>43</v>
      </c>
      <c r="S835" t="s">
        <v>43</v>
      </c>
      <c r="T835" t="s">
        <v>43</v>
      </c>
      <c r="U835" t="s">
        <v>43</v>
      </c>
      <c r="V835" t="s">
        <v>43</v>
      </c>
      <c r="W835" t="s">
        <v>43</v>
      </c>
      <c r="X835" t="s">
        <v>43</v>
      </c>
      <c r="Y835" t="s">
        <v>43</v>
      </c>
      <c r="Z835" t="s">
        <v>43</v>
      </c>
      <c r="AA835" t="s">
        <v>43</v>
      </c>
      <c r="AB835" t="s">
        <v>43</v>
      </c>
      <c r="AC835" t="s">
        <v>43</v>
      </c>
      <c r="AD835" t="s">
        <v>43</v>
      </c>
      <c r="AE835" t="s">
        <v>43</v>
      </c>
      <c r="AF835" t="s">
        <v>43</v>
      </c>
      <c r="AG835" t="s">
        <v>43</v>
      </c>
      <c r="AH835" t="s">
        <v>43</v>
      </c>
      <c r="AI835" t="s">
        <v>43</v>
      </c>
      <c r="AJ835" t="s">
        <v>43</v>
      </c>
      <c r="AK835" t="s">
        <v>43</v>
      </c>
      <c r="AL835" t="s">
        <v>43</v>
      </c>
      <c r="AM835" t="s">
        <v>43</v>
      </c>
      <c r="AN835" t="str">
        <f>HYPERLINK("https://www.google.com/maps?q=11.05476761,79.06084442","Open Location")</f>
        <v>Open Location</v>
      </c>
    </row>
    <row r="836" spans="1:40" x14ac:dyDescent="0.3">
      <c r="A836" s="1">
        <v>46210.903009259258</v>
      </c>
      <c r="B836" t="s">
        <v>40</v>
      </c>
      <c r="C836" t="s">
        <v>41</v>
      </c>
      <c r="D836" s="1">
        <v>46210.905787037038</v>
      </c>
      <c r="E836" t="s">
        <v>42</v>
      </c>
      <c r="F836" t="s">
        <v>43</v>
      </c>
      <c r="G836" t="s">
        <v>43</v>
      </c>
      <c r="H836" t="s">
        <v>43</v>
      </c>
      <c r="I836" t="s">
        <v>344</v>
      </c>
      <c r="J836" t="s">
        <v>43</v>
      </c>
      <c r="K836" t="s">
        <v>43</v>
      </c>
      <c r="L836" t="s">
        <v>43</v>
      </c>
      <c r="M836" t="s">
        <v>43</v>
      </c>
      <c r="N836" t="s">
        <v>45</v>
      </c>
      <c r="O836" t="s">
        <v>43</v>
      </c>
      <c r="P836" t="s">
        <v>43</v>
      </c>
      <c r="Q836" t="s">
        <v>43</v>
      </c>
      <c r="R836" t="s">
        <v>43</v>
      </c>
      <c r="S836" t="s">
        <v>43</v>
      </c>
      <c r="T836" t="s">
        <v>43</v>
      </c>
      <c r="U836" t="s">
        <v>43</v>
      </c>
      <c r="V836" t="s">
        <v>43</v>
      </c>
      <c r="W836" t="s">
        <v>43</v>
      </c>
      <c r="X836" t="s">
        <v>43</v>
      </c>
      <c r="Y836" t="s">
        <v>43</v>
      </c>
      <c r="Z836" t="s">
        <v>43</v>
      </c>
      <c r="AA836" t="s">
        <v>43</v>
      </c>
      <c r="AB836" t="s">
        <v>43</v>
      </c>
      <c r="AC836" t="s">
        <v>43</v>
      </c>
      <c r="AD836" t="s">
        <v>43</v>
      </c>
      <c r="AE836" t="s">
        <v>43</v>
      </c>
      <c r="AF836" t="s">
        <v>43</v>
      </c>
      <c r="AG836" t="s">
        <v>43</v>
      </c>
      <c r="AH836" t="s">
        <v>43</v>
      </c>
      <c r="AI836" t="s">
        <v>43</v>
      </c>
      <c r="AJ836" t="s">
        <v>43</v>
      </c>
      <c r="AK836" t="s">
        <v>43</v>
      </c>
      <c r="AL836" t="s">
        <v>43</v>
      </c>
      <c r="AM836" t="s">
        <v>43</v>
      </c>
      <c r="AN836" t="str">
        <f>HYPERLINK("https://www.google.com/maps?q=11.05476856,79.06084442","Open Location")</f>
        <v>Open Location</v>
      </c>
    </row>
    <row r="837" spans="1:40" x14ac:dyDescent="0.3">
      <c r="A837" s="1">
        <v>46210.90289351852</v>
      </c>
      <c r="B837" t="s">
        <v>40</v>
      </c>
      <c r="C837" t="s">
        <v>41</v>
      </c>
      <c r="D837" s="1">
        <v>46210.905763888892</v>
      </c>
      <c r="E837" t="s">
        <v>42</v>
      </c>
      <c r="F837" t="s">
        <v>43</v>
      </c>
      <c r="G837" t="s">
        <v>43</v>
      </c>
      <c r="H837" t="s">
        <v>43</v>
      </c>
      <c r="I837" t="s">
        <v>274</v>
      </c>
      <c r="J837" t="s">
        <v>43</v>
      </c>
      <c r="K837" t="s">
        <v>43</v>
      </c>
      <c r="L837" t="s">
        <v>43</v>
      </c>
      <c r="M837" t="s">
        <v>43</v>
      </c>
      <c r="N837" t="s">
        <v>45</v>
      </c>
      <c r="O837" t="s">
        <v>43</v>
      </c>
      <c r="P837" t="s">
        <v>43</v>
      </c>
      <c r="Q837" t="s">
        <v>43</v>
      </c>
      <c r="R837" t="s">
        <v>43</v>
      </c>
      <c r="S837" t="s">
        <v>43</v>
      </c>
      <c r="T837" t="s">
        <v>43</v>
      </c>
      <c r="U837" t="s">
        <v>43</v>
      </c>
      <c r="V837" t="s">
        <v>43</v>
      </c>
      <c r="W837" t="s">
        <v>43</v>
      </c>
      <c r="X837" t="s">
        <v>43</v>
      </c>
      <c r="Y837" t="s">
        <v>43</v>
      </c>
      <c r="Z837" t="s">
        <v>43</v>
      </c>
      <c r="AA837" t="s">
        <v>43</v>
      </c>
      <c r="AB837" t="s">
        <v>43</v>
      </c>
      <c r="AC837" t="s">
        <v>43</v>
      </c>
      <c r="AD837" t="s">
        <v>43</v>
      </c>
      <c r="AE837" t="s">
        <v>43</v>
      </c>
      <c r="AF837" t="s">
        <v>43</v>
      </c>
      <c r="AG837" t="s">
        <v>43</v>
      </c>
      <c r="AH837" t="s">
        <v>43</v>
      </c>
      <c r="AI837" t="s">
        <v>43</v>
      </c>
      <c r="AJ837" t="s">
        <v>43</v>
      </c>
      <c r="AK837" t="s">
        <v>43</v>
      </c>
      <c r="AL837" t="s">
        <v>43</v>
      </c>
      <c r="AM837" t="s">
        <v>43</v>
      </c>
      <c r="AN837" t="str">
        <f>HYPERLINK("https://www.google.com/maps?q=11.05476665,79.06084442","Open Location")</f>
        <v>Open Location</v>
      </c>
    </row>
    <row r="838" spans="1:40" x14ac:dyDescent="0.3">
      <c r="A838" s="1">
        <v>46210.902777777781</v>
      </c>
      <c r="B838" t="s">
        <v>40</v>
      </c>
      <c r="C838" t="s">
        <v>41</v>
      </c>
      <c r="D838" s="1">
        <v>46210.905509259261</v>
      </c>
      <c r="E838" t="s">
        <v>42</v>
      </c>
      <c r="F838" t="s">
        <v>43</v>
      </c>
      <c r="G838" t="s">
        <v>43</v>
      </c>
      <c r="H838" t="s">
        <v>43</v>
      </c>
      <c r="I838" t="s">
        <v>274</v>
      </c>
      <c r="J838" t="s">
        <v>43</v>
      </c>
      <c r="K838" t="s">
        <v>43</v>
      </c>
      <c r="L838" t="s">
        <v>43</v>
      </c>
      <c r="M838" t="s">
        <v>43</v>
      </c>
      <c r="N838" t="s">
        <v>45</v>
      </c>
      <c r="O838" t="s">
        <v>43</v>
      </c>
      <c r="P838" t="s">
        <v>43</v>
      </c>
      <c r="Q838" t="s">
        <v>43</v>
      </c>
      <c r="R838" t="s">
        <v>43</v>
      </c>
      <c r="S838" t="s">
        <v>43</v>
      </c>
      <c r="T838" t="s">
        <v>43</v>
      </c>
      <c r="U838" t="s">
        <v>43</v>
      </c>
      <c r="V838" t="s">
        <v>43</v>
      </c>
      <c r="W838" t="s">
        <v>43</v>
      </c>
      <c r="X838" t="s">
        <v>43</v>
      </c>
      <c r="Y838" t="s">
        <v>43</v>
      </c>
      <c r="Z838" t="s">
        <v>43</v>
      </c>
      <c r="AA838" t="s">
        <v>43</v>
      </c>
      <c r="AB838" t="s">
        <v>43</v>
      </c>
      <c r="AC838" t="s">
        <v>43</v>
      </c>
      <c r="AD838" t="s">
        <v>43</v>
      </c>
      <c r="AE838" t="s">
        <v>43</v>
      </c>
      <c r="AF838" t="s">
        <v>43</v>
      </c>
      <c r="AG838" t="s">
        <v>43</v>
      </c>
      <c r="AH838" t="s">
        <v>43</v>
      </c>
      <c r="AI838" t="s">
        <v>43</v>
      </c>
      <c r="AJ838" t="s">
        <v>43</v>
      </c>
      <c r="AK838" t="s">
        <v>43</v>
      </c>
      <c r="AL838" t="s">
        <v>43</v>
      </c>
      <c r="AM838" t="s">
        <v>43</v>
      </c>
      <c r="AN838" t="str">
        <f>HYPERLINK("https://www.google.com/maps?q=11.05476665,79.06084442","Open Location")</f>
        <v>Open Location</v>
      </c>
    </row>
    <row r="839" spans="1:40" x14ac:dyDescent="0.3">
      <c r="A839" s="1">
        <v>46210.902662037035</v>
      </c>
      <c r="B839" t="s">
        <v>40</v>
      </c>
      <c r="C839" t="s">
        <v>41</v>
      </c>
      <c r="D839" s="1">
        <v>46210.905590277776</v>
      </c>
      <c r="E839" t="s">
        <v>42</v>
      </c>
      <c r="F839" t="s">
        <v>43</v>
      </c>
      <c r="G839" t="s">
        <v>43</v>
      </c>
      <c r="H839" t="s">
        <v>43</v>
      </c>
      <c r="I839" t="s">
        <v>43</v>
      </c>
      <c r="J839" t="s">
        <v>43</v>
      </c>
      <c r="K839" t="s">
        <v>43</v>
      </c>
      <c r="L839" t="s">
        <v>43</v>
      </c>
      <c r="M839" t="s">
        <v>43</v>
      </c>
      <c r="N839" t="s">
        <v>45</v>
      </c>
      <c r="O839" t="s">
        <v>43</v>
      </c>
      <c r="P839" t="s">
        <v>43</v>
      </c>
      <c r="Q839" t="s">
        <v>43</v>
      </c>
      <c r="R839" t="s">
        <v>43</v>
      </c>
      <c r="S839" t="s">
        <v>43</v>
      </c>
      <c r="T839" t="s">
        <v>43</v>
      </c>
      <c r="U839" t="s">
        <v>43</v>
      </c>
      <c r="V839" t="s">
        <v>43</v>
      </c>
      <c r="W839" t="s">
        <v>43</v>
      </c>
      <c r="X839" t="s">
        <v>43</v>
      </c>
      <c r="Y839" t="s">
        <v>43</v>
      </c>
      <c r="Z839" t="s">
        <v>43</v>
      </c>
      <c r="AA839" t="s">
        <v>43</v>
      </c>
      <c r="AB839" t="s">
        <v>43</v>
      </c>
      <c r="AC839" t="s">
        <v>43</v>
      </c>
      <c r="AD839" t="s">
        <v>43</v>
      </c>
      <c r="AE839" t="s">
        <v>43</v>
      </c>
      <c r="AF839" t="s">
        <v>43</v>
      </c>
      <c r="AG839" t="s">
        <v>43</v>
      </c>
      <c r="AH839" t="s">
        <v>43</v>
      </c>
      <c r="AI839" t="s">
        <v>43</v>
      </c>
      <c r="AJ839" t="s">
        <v>43</v>
      </c>
      <c r="AK839" t="s">
        <v>43</v>
      </c>
      <c r="AL839" t="s">
        <v>43</v>
      </c>
      <c r="AM839" t="s">
        <v>43</v>
      </c>
      <c r="AN839" t="s">
        <v>43</v>
      </c>
    </row>
    <row r="840" spans="1:40" x14ac:dyDescent="0.3">
      <c r="A840" s="1">
        <v>46210.902546296296</v>
      </c>
      <c r="B840" t="s">
        <v>40</v>
      </c>
      <c r="C840" t="s">
        <v>41</v>
      </c>
      <c r="D840" s="1">
        <v>46210.905787037038</v>
      </c>
      <c r="E840" t="s">
        <v>42</v>
      </c>
      <c r="F840" t="s">
        <v>43</v>
      </c>
      <c r="G840" t="s">
        <v>43</v>
      </c>
      <c r="H840" t="s">
        <v>43</v>
      </c>
      <c r="I840" t="s">
        <v>344</v>
      </c>
      <c r="J840" t="s">
        <v>43</v>
      </c>
      <c r="K840" t="s">
        <v>43</v>
      </c>
      <c r="L840" t="s">
        <v>43</v>
      </c>
      <c r="M840" t="s">
        <v>43</v>
      </c>
      <c r="N840" t="s">
        <v>45</v>
      </c>
      <c r="O840" t="s">
        <v>43</v>
      </c>
      <c r="P840" t="s">
        <v>43</v>
      </c>
      <c r="Q840" t="s">
        <v>43</v>
      </c>
      <c r="R840" t="s">
        <v>43</v>
      </c>
      <c r="S840" t="s">
        <v>43</v>
      </c>
      <c r="T840" t="s">
        <v>43</v>
      </c>
      <c r="U840" t="s">
        <v>43</v>
      </c>
      <c r="V840" t="s">
        <v>43</v>
      </c>
      <c r="W840" t="s">
        <v>43</v>
      </c>
      <c r="X840" t="s">
        <v>43</v>
      </c>
      <c r="Y840" t="s">
        <v>43</v>
      </c>
      <c r="Z840" t="s">
        <v>43</v>
      </c>
      <c r="AA840" t="s">
        <v>43</v>
      </c>
      <c r="AB840" t="s">
        <v>43</v>
      </c>
      <c r="AC840" t="s">
        <v>43</v>
      </c>
      <c r="AD840" t="s">
        <v>43</v>
      </c>
      <c r="AE840" t="s">
        <v>43</v>
      </c>
      <c r="AF840" t="s">
        <v>43</v>
      </c>
      <c r="AG840" t="s">
        <v>43</v>
      </c>
      <c r="AH840" t="s">
        <v>43</v>
      </c>
      <c r="AI840" t="s">
        <v>43</v>
      </c>
      <c r="AJ840" t="s">
        <v>43</v>
      </c>
      <c r="AK840" t="s">
        <v>43</v>
      </c>
      <c r="AL840" t="s">
        <v>43</v>
      </c>
      <c r="AM840" t="s">
        <v>43</v>
      </c>
      <c r="AN840" t="str">
        <f>HYPERLINK("https://www.google.com/maps?q=11.05476856,79.06084442","Open Location")</f>
        <v>Open Location</v>
      </c>
    </row>
    <row r="841" spans="1:40" x14ac:dyDescent="0.3">
      <c r="A841" s="1">
        <v>46210.902430555558</v>
      </c>
      <c r="B841" t="s">
        <v>40</v>
      </c>
      <c r="C841" t="s">
        <v>41</v>
      </c>
      <c r="D841" s="1">
        <v>46210.905335648145</v>
      </c>
      <c r="E841" t="s">
        <v>42</v>
      </c>
      <c r="F841" t="s">
        <v>43</v>
      </c>
      <c r="G841" t="s">
        <v>43</v>
      </c>
      <c r="H841" t="s">
        <v>43</v>
      </c>
      <c r="I841" t="s">
        <v>274</v>
      </c>
      <c r="J841" t="s">
        <v>43</v>
      </c>
      <c r="K841" t="s">
        <v>43</v>
      </c>
      <c r="L841" t="s">
        <v>43</v>
      </c>
      <c r="M841" t="s">
        <v>43</v>
      </c>
      <c r="N841" t="s">
        <v>45</v>
      </c>
      <c r="O841" t="s">
        <v>43</v>
      </c>
      <c r="P841" t="s">
        <v>43</v>
      </c>
      <c r="Q841" t="s">
        <v>43</v>
      </c>
      <c r="R841" t="s">
        <v>43</v>
      </c>
      <c r="S841" t="s">
        <v>43</v>
      </c>
      <c r="T841" t="s">
        <v>43</v>
      </c>
      <c r="U841" t="s">
        <v>43</v>
      </c>
      <c r="V841" t="s">
        <v>43</v>
      </c>
      <c r="W841" t="s">
        <v>43</v>
      </c>
      <c r="X841" t="s">
        <v>43</v>
      </c>
      <c r="Y841" t="s">
        <v>43</v>
      </c>
      <c r="Z841" t="s">
        <v>43</v>
      </c>
      <c r="AA841" t="s">
        <v>43</v>
      </c>
      <c r="AB841" t="s">
        <v>43</v>
      </c>
      <c r="AC841" t="s">
        <v>43</v>
      </c>
      <c r="AD841" t="s">
        <v>43</v>
      </c>
      <c r="AE841" t="s">
        <v>43</v>
      </c>
      <c r="AF841" t="s">
        <v>43</v>
      </c>
      <c r="AG841" t="s">
        <v>43</v>
      </c>
      <c r="AH841" t="s">
        <v>43</v>
      </c>
      <c r="AI841" t="s">
        <v>43</v>
      </c>
      <c r="AJ841" t="s">
        <v>43</v>
      </c>
      <c r="AK841" t="s">
        <v>43</v>
      </c>
      <c r="AL841" t="s">
        <v>43</v>
      </c>
      <c r="AM841" t="s">
        <v>43</v>
      </c>
      <c r="AN841" t="str">
        <f>HYPERLINK("https://www.google.com/maps?q=11.05476665,79.06084442","Open Location")</f>
        <v>Open Location</v>
      </c>
    </row>
    <row r="842" spans="1:40" x14ac:dyDescent="0.3">
      <c r="A842" s="1">
        <v>46210.902314814812</v>
      </c>
      <c r="B842" t="s">
        <v>40</v>
      </c>
      <c r="C842" t="s">
        <v>41</v>
      </c>
      <c r="D842" s="1">
        <v>46210.905219907407</v>
      </c>
      <c r="E842" t="s">
        <v>42</v>
      </c>
      <c r="F842" t="s">
        <v>43</v>
      </c>
      <c r="G842" t="s">
        <v>43</v>
      </c>
      <c r="H842" t="s">
        <v>43</v>
      </c>
      <c r="I842" t="s">
        <v>392</v>
      </c>
      <c r="J842" t="s">
        <v>43</v>
      </c>
      <c r="K842" t="s">
        <v>43</v>
      </c>
      <c r="L842" t="s">
        <v>43</v>
      </c>
      <c r="M842" t="s">
        <v>43</v>
      </c>
      <c r="N842" t="s">
        <v>45</v>
      </c>
      <c r="O842" t="s">
        <v>43</v>
      </c>
      <c r="P842" t="s">
        <v>43</v>
      </c>
      <c r="Q842" t="s">
        <v>43</v>
      </c>
      <c r="R842" t="s">
        <v>43</v>
      </c>
      <c r="S842" t="s">
        <v>43</v>
      </c>
      <c r="T842" t="s">
        <v>43</v>
      </c>
      <c r="U842" t="s">
        <v>43</v>
      </c>
      <c r="V842" t="s">
        <v>43</v>
      </c>
      <c r="W842" t="s">
        <v>43</v>
      </c>
      <c r="X842" t="s">
        <v>43</v>
      </c>
      <c r="Y842" t="s">
        <v>43</v>
      </c>
      <c r="Z842" t="s">
        <v>43</v>
      </c>
      <c r="AA842" t="s">
        <v>43</v>
      </c>
      <c r="AB842" t="s">
        <v>43</v>
      </c>
      <c r="AC842" t="s">
        <v>43</v>
      </c>
      <c r="AD842" t="s">
        <v>43</v>
      </c>
      <c r="AE842" t="s">
        <v>43</v>
      </c>
      <c r="AF842" t="s">
        <v>43</v>
      </c>
      <c r="AG842" t="s">
        <v>43</v>
      </c>
      <c r="AH842" t="s">
        <v>43</v>
      </c>
      <c r="AI842" t="s">
        <v>43</v>
      </c>
      <c r="AJ842" t="s">
        <v>43</v>
      </c>
      <c r="AK842" t="s">
        <v>43</v>
      </c>
      <c r="AL842" t="s">
        <v>43</v>
      </c>
      <c r="AM842" t="s">
        <v>43</v>
      </c>
      <c r="AN842" t="str">
        <f>HYPERLINK("https://www.google.com/maps?q=11.05476475,79.06084442","Open Location")</f>
        <v>Open Location</v>
      </c>
    </row>
    <row r="843" spans="1:40" x14ac:dyDescent="0.3">
      <c r="A843" s="1">
        <v>46210.902199074073</v>
      </c>
      <c r="B843" t="s">
        <v>40</v>
      </c>
      <c r="C843" t="s">
        <v>41</v>
      </c>
      <c r="D843" s="1">
        <v>46210.904895833337</v>
      </c>
      <c r="E843" t="s">
        <v>42</v>
      </c>
      <c r="F843" t="s">
        <v>43</v>
      </c>
      <c r="G843" t="s">
        <v>43</v>
      </c>
      <c r="H843" t="s">
        <v>43</v>
      </c>
      <c r="I843" t="s">
        <v>258</v>
      </c>
      <c r="J843" t="s">
        <v>43</v>
      </c>
      <c r="K843" t="s">
        <v>43</v>
      </c>
      <c r="L843" t="s">
        <v>43</v>
      </c>
      <c r="M843" t="s">
        <v>43</v>
      </c>
      <c r="N843" t="s">
        <v>45</v>
      </c>
      <c r="O843" t="s">
        <v>43</v>
      </c>
      <c r="P843" t="s">
        <v>43</v>
      </c>
      <c r="Q843" t="s">
        <v>43</v>
      </c>
      <c r="R843" t="s">
        <v>43</v>
      </c>
      <c r="S843" t="s">
        <v>43</v>
      </c>
      <c r="T843" t="s">
        <v>43</v>
      </c>
      <c r="U843" t="s">
        <v>43</v>
      </c>
      <c r="V843" t="s">
        <v>43</v>
      </c>
      <c r="W843" t="s">
        <v>43</v>
      </c>
      <c r="X843" t="s">
        <v>43</v>
      </c>
      <c r="Y843" t="s">
        <v>43</v>
      </c>
      <c r="Z843" t="s">
        <v>43</v>
      </c>
      <c r="AA843" t="s">
        <v>43</v>
      </c>
      <c r="AB843" t="s">
        <v>43</v>
      </c>
      <c r="AC843" t="s">
        <v>43</v>
      </c>
      <c r="AD843" t="s">
        <v>43</v>
      </c>
      <c r="AE843" t="s">
        <v>43</v>
      </c>
      <c r="AF843" t="s">
        <v>43</v>
      </c>
      <c r="AG843" t="s">
        <v>43</v>
      </c>
      <c r="AH843" t="s">
        <v>43</v>
      </c>
      <c r="AI843" t="s">
        <v>43</v>
      </c>
      <c r="AJ843" t="s">
        <v>43</v>
      </c>
      <c r="AK843" t="s">
        <v>43</v>
      </c>
      <c r="AL843" t="s">
        <v>43</v>
      </c>
      <c r="AM843" t="s">
        <v>43</v>
      </c>
      <c r="AN843" t="str">
        <f>HYPERLINK("https://www.google.com/maps?q=11.05476761,79.06084442","Open Location")</f>
        <v>Open Location</v>
      </c>
    </row>
    <row r="844" spans="1:40" x14ac:dyDescent="0.3">
      <c r="A844" s="1">
        <v>46210.902083333334</v>
      </c>
      <c r="B844" t="s">
        <v>40</v>
      </c>
      <c r="C844" t="s">
        <v>41</v>
      </c>
      <c r="D844" s="1">
        <v>46210.904780092591</v>
      </c>
      <c r="E844" t="s">
        <v>42</v>
      </c>
      <c r="F844" t="s">
        <v>43</v>
      </c>
      <c r="G844" t="s">
        <v>43</v>
      </c>
      <c r="H844" t="s">
        <v>43</v>
      </c>
      <c r="I844" t="s">
        <v>43</v>
      </c>
      <c r="J844" t="s">
        <v>43</v>
      </c>
      <c r="K844" t="s">
        <v>43</v>
      </c>
      <c r="L844" t="s">
        <v>43</v>
      </c>
      <c r="M844" t="s">
        <v>43</v>
      </c>
      <c r="N844" t="s">
        <v>45</v>
      </c>
      <c r="O844" t="s">
        <v>43</v>
      </c>
      <c r="P844" t="s">
        <v>43</v>
      </c>
      <c r="Q844" t="s">
        <v>43</v>
      </c>
      <c r="R844" t="s">
        <v>43</v>
      </c>
      <c r="S844" t="s">
        <v>43</v>
      </c>
      <c r="T844" t="s">
        <v>43</v>
      </c>
      <c r="U844" t="s">
        <v>43</v>
      </c>
      <c r="V844" t="s">
        <v>43</v>
      </c>
      <c r="W844" t="s">
        <v>43</v>
      </c>
      <c r="X844" t="s">
        <v>43</v>
      </c>
      <c r="Y844" t="s">
        <v>43</v>
      </c>
      <c r="Z844" t="s">
        <v>43</v>
      </c>
      <c r="AA844" t="s">
        <v>43</v>
      </c>
      <c r="AB844" t="s">
        <v>43</v>
      </c>
      <c r="AC844" t="s">
        <v>43</v>
      </c>
      <c r="AD844" t="s">
        <v>43</v>
      </c>
      <c r="AE844" t="s">
        <v>43</v>
      </c>
      <c r="AF844" t="s">
        <v>43</v>
      </c>
      <c r="AG844" t="s">
        <v>43</v>
      </c>
      <c r="AH844" t="s">
        <v>43</v>
      </c>
      <c r="AI844" t="s">
        <v>43</v>
      </c>
      <c r="AJ844" t="s">
        <v>43</v>
      </c>
      <c r="AK844" t="s">
        <v>43</v>
      </c>
      <c r="AL844" t="s">
        <v>43</v>
      </c>
      <c r="AM844" t="s">
        <v>43</v>
      </c>
      <c r="AN844" t="s">
        <v>43</v>
      </c>
    </row>
    <row r="845" spans="1:40" x14ac:dyDescent="0.3">
      <c r="A845" s="1">
        <v>46210.901967592596</v>
      </c>
      <c r="B845" t="s">
        <v>40</v>
      </c>
      <c r="C845" t="s">
        <v>41</v>
      </c>
      <c r="D845" s="1">
        <v>46210.904745370368</v>
      </c>
      <c r="E845" t="s">
        <v>42</v>
      </c>
      <c r="F845" t="s">
        <v>43</v>
      </c>
      <c r="G845" t="s">
        <v>43</v>
      </c>
      <c r="H845" t="s">
        <v>43</v>
      </c>
      <c r="I845" t="s">
        <v>258</v>
      </c>
      <c r="J845" t="s">
        <v>43</v>
      </c>
      <c r="K845" t="s">
        <v>43</v>
      </c>
      <c r="L845" t="s">
        <v>43</v>
      </c>
      <c r="M845" t="s">
        <v>43</v>
      </c>
      <c r="N845" t="s">
        <v>45</v>
      </c>
      <c r="O845" t="s">
        <v>43</v>
      </c>
      <c r="P845" t="s">
        <v>43</v>
      </c>
      <c r="Q845" t="s">
        <v>43</v>
      </c>
      <c r="R845" t="s">
        <v>43</v>
      </c>
      <c r="S845" t="s">
        <v>43</v>
      </c>
      <c r="T845" t="s">
        <v>43</v>
      </c>
      <c r="U845" t="s">
        <v>43</v>
      </c>
      <c r="V845" t="s">
        <v>43</v>
      </c>
      <c r="W845" t="s">
        <v>43</v>
      </c>
      <c r="X845" t="s">
        <v>43</v>
      </c>
      <c r="Y845" t="s">
        <v>43</v>
      </c>
      <c r="Z845" t="s">
        <v>43</v>
      </c>
      <c r="AA845" t="s">
        <v>43</v>
      </c>
      <c r="AB845" t="s">
        <v>43</v>
      </c>
      <c r="AC845" t="s">
        <v>43</v>
      </c>
      <c r="AD845" t="s">
        <v>43</v>
      </c>
      <c r="AE845" t="s">
        <v>43</v>
      </c>
      <c r="AF845" t="s">
        <v>43</v>
      </c>
      <c r="AG845" t="s">
        <v>43</v>
      </c>
      <c r="AH845" t="s">
        <v>43</v>
      </c>
      <c r="AI845" t="s">
        <v>43</v>
      </c>
      <c r="AJ845" t="s">
        <v>43</v>
      </c>
      <c r="AK845" t="s">
        <v>43</v>
      </c>
      <c r="AL845" t="s">
        <v>43</v>
      </c>
      <c r="AM845" t="s">
        <v>43</v>
      </c>
      <c r="AN845" t="str">
        <f>HYPERLINK("https://www.google.com/maps?q=11.05476761,79.06084442","Open Location")</f>
        <v>Open Location</v>
      </c>
    </row>
    <row r="846" spans="1:40" x14ac:dyDescent="0.3">
      <c r="A846" s="1">
        <v>46210.90185185185</v>
      </c>
      <c r="B846" t="s">
        <v>40</v>
      </c>
      <c r="C846" t="s">
        <v>41</v>
      </c>
      <c r="D846" s="1">
        <v>46210.904803240737</v>
      </c>
      <c r="E846" t="s">
        <v>42</v>
      </c>
      <c r="F846" t="s">
        <v>43</v>
      </c>
      <c r="G846" t="s">
        <v>43</v>
      </c>
      <c r="H846" t="s">
        <v>43</v>
      </c>
      <c r="I846" t="s">
        <v>392</v>
      </c>
      <c r="J846" t="s">
        <v>43</v>
      </c>
      <c r="K846" t="s">
        <v>43</v>
      </c>
      <c r="L846" t="s">
        <v>43</v>
      </c>
      <c r="M846" t="s">
        <v>43</v>
      </c>
      <c r="N846" t="s">
        <v>45</v>
      </c>
      <c r="O846" t="s">
        <v>43</v>
      </c>
      <c r="P846" t="s">
        <v>43</v>
      </c>
      <c r="Q846" t="s">
        <v>43</v>
      </c>
      <c r="R846" t="s">
        <v>43</v>
      </c>
      <c r="S846" t="s">
        <v>43</v>
      </c>
      <c r="T846" t="s">
        <v>43</v>
      </c>
      <c r="U846" t="s">
        <v>43</v>
      </c>
      <c r="V846" t="s">
        <v>43</v>
      </c>
      <c r="W846" t="s">
        <v>43</v>
      </c>
      <c r="X846" t="s">
        <v>43</v>
      </c>
      <c r="Y846" t="s">
        <v>43</v>
      </c>
      <c r="Z846" t="s">
        <v>43</v>
      </c>
      <c r="AA846" t="s">
        <v>43</v>
      </c>
      <c r="AB846" t="s">
        <v>43</v>
      </c>
      <c r="AC846" t="s">
        <v>43</v>
      </c>
      <c r="AD846" t="s">
        <v>43</v>
      </c>
      <c r="AE846" t="s">
        <v>43</v>
      </c>
      <c r="AF846" t="s">
        <v>43</v>
      </c>
      <c r="AG846" t="s">
        <v>43</v>
      </c>
      <c r="AH846" t="s">
        <v>43</v>
      </c>
      <c r="AI846" t="s">
        <v>43</v>
      </c>
      <c r="AJ846" t="s">
        <v>43</v>
      </c>
      <c r="AK846" t="s">
        <v>43</v>
      </c>
      <c r="AL846" t="s">
        <v>43</v>
      </c>
      <c r="AM846" t="s">
        <v>43</v>
      </c>
      <c r="AN846" t="str">
        <f>HYPERLINK("https://www.google.com/maps?q=11.05476475,79.06084442","Open Location")</f>
        <v>Open Location</v>
      </c>
    </row>
    <row r="847" spans="1:40" x14ac:dyDescent="0.3">
      <c r="A847" s="1">
        <v>46210.901736111111</v>
      </c>
      <c r="B847" t="s">
        <v>40</v>
      </c>
      <c r="C847" t="s">
        <v>41</v>
      </c>
      <c r="D847" s="1">
        <v>46210.904803240737</v>
      </c>
      <c r="E847" t="s">
        <v>42</v>
      </c>
      <c r="F847" t="s">
        <v>43</v>
      </c>
      <c r="G847" t="s">
        <v>43</v>
      </c>
      <c r="H847" t="s">
        <v>43</v>
      </c>
      <c r="I847" t="s">
        <v>393</v>
      </c>
      <c r="J847" t="s">
        <v>43</v>
      </c>
      <c r="K847" t="s">
        <v>43</v>
      </c>
      <c r="L847" t="s">
        <v>43</v>
      </c>
      <c r="M847" t="s">
        <v>43</v>
      </c>
      <c r="N847" t="s">
        <v>45</v>
      </c>
      <c r="O847" t="s">
        <v>43</v>
      </c>
      <c r="P847" t="s">
        <v>43</v>
      </c>
      <c r="Q847" t="s">
        <v>43</v>
      </c>
      <c r="R847" t="s">
        <v>43</v>
      </c>
      <c r="S847" t="s">
        <v>43</v>
      </c>
      <c r="T847" t="s">
        <v>43</v>
      </c>
      <c r="U847" t="s">
        <v>43</v>
      </c>
      <c r="V847" t="s">
        <v>43</v>
      </c>
      <c r="W847" t="s">
        <v>43</v>
      </c>
      <c r="X847" t="s">
        <v>43</v>
      </c>
      <c r="Y847" t="s">
        <v>43</v>
      </c>
      <c r="Z847" t="s">
        <v>43</v>
      </c>
      <c r="AA847" t="s">
        <v>43</v>
      </c>
      <c r="AB847" t="s">
        <v>43</v>
      </c>
      <c r="AC847" t="s">
        <v>43</v>
      </c>
      <c r="AD847" t="s">
        <v>43</v>
      </c>
      <c r="AE847" t="s">
        <v>43</v>
      </c>
      <c r="AF847" t="s">
        <v>43</v>
      </c>
      <c r="AG847" t="s">
        <v>43</v>
      </c>
      <c r="AH847" t="s">
        <v>43</v>
      </c>
      <c r="AI847" t="s">
        <v>43</v>
      </c>
      <c r="AJ847" t="s">
        <v>43</v>
      </c>
      <c r="AK847" t="s">
        <v>43</v>
      </c>
      <c r="AL847" t="s">
        <v>43</v>
      </c>
      <c r="AM847" t="s">
        <v>43</v>
      </c>
      <c r="AN847" t="str">
        <f>HYPERLINK("https://www.google.com/maps?q=11.05476379,79.06084442","Open Location")</f>
        <v>Open Location</v>
      </c>
    </row>
    <row r="848" spans="1:40" x14ac:dyDescent="0.3">
      <c r="A848" s="1">
        <v>46210.901620370372</v>
      </c>
      <c r="B848" t="s">
        <v>40</v>
      </c>
      <c r="C848" t="s">
        <v>41</v>
      </c>
      <c r="D848" s="1">
        <v>46210.904699074075</v>
      </c>
      <c r="E848" t="s">
        <v>42</v>
      </c>
      <c r="F848" t="s">
        <v>43</v>
      </c>
      <c r="G848" t="s">
        <v>43</v>
      </c>
      <c r="H848" t="s">
        <v>43</v>
      </c>
      <c r="I848" t="s">
        <v>275</v>
      </c>
      <c r="J848" t="s">
        <v>43</v>
      </c>
      <c r="K848" t="s">
        <v>43</v>
      </c>
      <c r="L848" t="s">
        <v>43</v>
      </c>
      <c r="M848" t="s">
        <v>43</v>
      </c>
      <c r="N848" t="s">
        <v>45</v>
      </c>
      <c r="O848" t="s">
        <v>43</v>
      </c>
      <c r="P848" t="s">
        <v>43</v>
      </c>
      <c r="Q848" t="s">
        <v>43</v>
      </c>
      <c r="R848" t="s">
        <v>43</v>
      </c>
      <c r="S848" t="s">
        <v>43</v>
      </c>
      <c r="T848" t="s">
        <v>43</v>
      </c>
      <c r="U848" t="s">
        <v>43</v>
      </c>
      <c r="V848" t="s">
        <v>43</v>
      </c>
      <c r="W848" t="s">
        <v>43</v>
      </c>
      <c r="X848" t="s">
        <v>43</v>
      </c>
      <c r="Y848" t="s">
        <v>43</v>
      </c>
      <c r="Z848" t="s">
        <v>43</v>
      </c>
      <c r="AA848" t="s">
        <v>43</v>
      </c>
      <c r="AB848" t="s">
        <v>43</v>
      </c>
      <c r="AC848" t="s">
        <v>43</v>
      </c>
      <c r="AD848" t="s">
        <v>43</v>
      </c>
      <c r="AE848" t="s">
        <v>43</v>
      </c>
      <c r="AF848" t="s">
        <v>43</v>
      </c>
      <c r="AG848" t="s">
        <v>43</v>
      </c>
      <c r="AH848" t="s">
        <v>43</v>
      </c>
      <c r="AI848" t="s">
        <v>43</v>
      </c>
      <c r="AJ848" t="s">
        <v>43</v>
      </c>
      <c r="AK848" t="s">
        <v>43</v>
      </c>
      <c r="AL848" t="s">
        <v>43</v>
      </c>
      <c r="AM848" t="s">
        <v>43</v>
      </c>
      <c r="AN848" t="str">
        <f>HYPERLINK("https://www.google.com/maps?q=11.05476284,79.06084442","Open Location")</f>
        <v>Open Location</v>
      </c>
    </row>
    <row r="849" spans="1:40" x14ac:dyDescent="0.3">
      <c r="A849" s="1">
        <v>46210.901504629626</v>
      </c>
      <c r="B849" t="s">
        <v>40</v>
      </c>
      <c r="C849" t="s">
        <v>41</v>
      </c>
      <c r="D849" s="1">
        <v>46210.904363425929</v>
      </c>
      <c r="E849" t="s">
        <v>42</v>
      </c>
      <c r="F849" t="s">
        <v>43</v>
      </c>
      <c r="G849" t="s">
        <v>43</v>
      </c>
      <c r="H849" t="s">
        <v>43</v>
      </c>
      <c r="I849" t="s">
        <v>392</v>
      </c>
      <c r="J849" t="s">
        <v>43</v>
      </c>
      <c r="K849" t="s">
        <v>43</v>
      </c>
      <c r="L849" t="s">
        <v>43</v>
      </c>
      <c r="M849" t="s">
        <v>43</v>
      </c>
      <c r="N849" t="s">
        <v>45</v>
      </c>
      <c r="O849" t="s">
        <v>43</v>
      </c>
      <c r="P849" t="s">
        <v>43</v>
      </c>
      <c r="Q849" t="s">
        <v>43</v>
      </c>
      <c r="R849" t="s">
        <v>43</v>
      </c>
      <c r="S849" t="s">
        <v>43</v>
      </c>
      <c r="T849" t="s">
        <v>43</v>
      </c>
      <c r="U849" t="s">
        <v>43</v>
      </c>
      <c r="V849" t="s">
        <v>43</v>
      </c>
      <c r="W849" t="s">
        <v>43</v>
      </c>
      <c r="X849" t="s">
        <v>43</v>
      </c>
      <c r="Y849" t="s">
        <v>43</v>
      </c>
      <c r="Z849" t="s">
        <v>43</v>
      </c>
      <c r="AA849" t="s">
        <v>43</v>
      </c>
      <c r="AB849" t="s">
        <v>43</v>
      </c>
      <c r="AC849" t="s">
        <v>43</v>
      </c>
      <c r="AD849" t="s">
        <v>43</v>
      </c>
      <c r="AE849" t="s">
        <v>43</v>
      </c>
      <c r="AF849" t="s">
        <v>43</v>
      </c>
      <c r="AG849" t="s">
        <v>43</v>
      </c>
      <c r="AH849" t="s">
        <v>43</v>
      </c>
      <c r="AI849" t="s">
        <v>43</v>
      </c>
      <c r="AJ849" t="s">
        <v>43</v>
      </c>
      <c r="AK849" t="s">
        <v>43</v>
      </c>
      <c r="AL849" t="s">
        <v>43</v>
      </c>
      <c r="AM849" t="s">
        <v>43</v>
      </c>
      <c r="AN849" t="str">
        <f>HYPERLINK("https://www.google.com/maps?q=11.05476475,79.06084442","Open Location")</f>
        <v>Open Location</v>
      </c>
    </row>
    <row r="850" spans="1:40" x14ac:dyDescent="0.3">
      <c r="A850" s="1">
        <v>46210.901388888888</v>
      </c>
      <c r="B850" t="s">
        <v>40</v>
      </c>
      <c r="C850" t="s">
        <v>41</v>
      </c>
      <c r="D850" s="1">
        <v>46210.904502314814</v>
      </c>
      <c r="E850" t="s">
        <v>42</v>
      </c>
      <c r="F850" t="s">
        <v>43</v>
      </c>
      <c r="G850" t="s">
        <v>43</v>
      </c>
      <c r="H850" t="s">
        <v>43</v>
      </c>
      <c r="I850" t="s">
        <v>43</v>
      </c>
      <c r="J850" t="s">
        <v>43</v>
      </c>
      <c r="K850" t="s">
        <v>43</v>
      </c>
      <c r="L850" t="s">
        <v>43</v>
      </c>
      <c r="M850" t="s">
        <v>43</v>
      </c>
      <c r="N850" t="s">
        <v>45</v>
      </c>
      <c r="O850" t="s">
        <v>43</v>
      </c>
      <c r="P850" t="s">
        <v>43</v>
      </c>
      <c r="Q850" t="s">
        <v>43</v>
      </c>
      <c r="R850" t="s">
        <v>43</v>
      </c>
      <c r="S850" t="s">
        <v>43</v>
      </c>
      <c r="T850" t="s">
        <v>43</v>
      </c>
      <c r="U850" t="s">
        <v>43</v>
      </c>
      <c r="V850" t="s">
        <v>43</v>
      </c>
      <c r="W850" t="s">
        <v>43</v>
      </c>
      <c r="X850" t="s">
        <v>43</v>
      </c>
      <c r="Y850" t="s">
        <v>43</v>
      </c>
      <c r="Z850" t="s">
        <v>43</v>
      </c>
      <c r="AA850" t="s">
        <v>43</v>
      </c>
      <c r="AB850" t="s">
        <v>43</v>
      </c>
      <c r="AC850" t="s">
        <v>43</v>
      </c>
      <c r="AD850" t="s">
        <v>43</v>
      </c>
      <c r="AE850" t="s">
        <v>43</v>
      </c>
      <c r="AF850" t="s">
        <v>43</v>
      </c>
      <c r="AG850" t="s">
        <v>43</v>
      </c>
      <c r="AH850" t="s">
        <v>43</v>
      </c>
      <c r="AI850" t="s">
        <v>43</v>
      </c>
      <c r="AJ850" t="s">
        <v>43</v>
      </c>
      <c r="AK850" t="s">
        <v>43</v>
      </c>
      <c r="AL850" t="s">
        <v>43</v>
      </c>
      <c r="AM850" t="s">
        <v>43</v>
      </c>
      <c r="AN850" t="s">
        <v>43</v>
      </c>
    </row>
    <row r="851" spans="1:40" x14ac:dyDescent="0.3">
      <c r="A851" s="1">
        <v>46210.901273148149</v>
      </c>
      <c r="B851" t="s">
        <v>40</v>
      </c>
      <c r="C851" t="s">
        <v>41</v>
      </c>
      <c r="D851" s="1">
        <v>46210.904097222221</v>
      </c>
      <c r="E851" t="s">
        <v>42</v>
      </c>
      <c r="F851" t="s">
        <v>43</v>
      </c>
      <c r="G851" t="s">
        <v>43</v>
      </c>
      <c r="H851" t="s">
        <v>43</v>
      </c>
      <c r="I851" t="s">
        <v>258</v>
      </c>
      <c r="J851" t="s">
        <v>43</v>
      </c>
      <c r="K851" t="s">
        <v>43</v>
      </c>
      <c r="L851" t="s">
        <v>43</v>
      </c>
      <c r="M851" t="s">
        <v>43</v>
      </c>
      <c r="N851" t="s">
        <v>45</v>
      </c>
      <c r="O851" t="s">
        <v>43</v>
      </c>
      <c r="P851" t="s">
        <v>43</v>
      </c>
      <c r="Q851" t="s">
        <v>43</v>
      </c>
      <c r="R851" t="s">
        <v>43</v>
      </c>
      <c r="S851" t="s">
        <v>43</v>
      </c>
      <c r="T851" t="s">
        <v>43</v>
      </c>
      <c r="U851" t="s">
        <v>43</v>
      </c>
      <c r="V851" t="s">
        <v>43</v>
      </c>
      <c r="W851" t="s">
        <v>43</v>
      </c>
      <c r="X851" t="s">
        <v>43</v>
      </c>
      <c r="Y851" t="s">
        <v>43</v>
      </c>
      <c r="Z851" t="s">
        <v>43</v>
      </c>
      <c r="AA851" t="s">
        <v>43</v>
      </c>
      <c r="AB851" t="s">
        <v>43</v>
      </c>
      <c r="AC851" t="s">
        <v>43</v>
      </c>
      <c r="AD851" t="s">
        <v>43</v>
      </c>
      <c r="AE851" t="s">
        <v>43</v>
      </c>
      <c r="AF851" t="s">
        <v>43</v>
      </c>
      <c r="AG851" t="s">
        <v>43</v>
      </c>
      <c r="AH851" t="s">
        <v>43</v>
      </c>
      <c r="AI851" t="s">
        <v>43</v>
      </c>
      <c r="AJ851" t="s">
        <v>43</v>
      </c>
      <c r="AK851" t="s">
        <v>43</v>
      </c>
      <c r="AL851" t="s">
        <v>43</v>
      </c>
      <c r="AM851" t="s">
        <v>43</v>
      </c>
      <c r="AN851" t="str">
        <f>HYPERLINK("https://www.google.com/maps?q=11.05476761,79.06084442","Open Location")</f>
        <v>Open Location</v>
      </c>
    </row>
    <row r="852" spans="1:40" x14ac:dyDescent="0.3">
      <c r="A852" s="1">
        <v>46210.90115740741</v>
      </c>
      <c r="B852" t="s">
        <v>40</v>
      </c>
      <c r="C852" t="s">
        <v>41</v>
      </c>
      <c r="D852" s="1">
        <v>46210.904085648152</v>
      </c>
      <c r="E852" t="s">
        <v>42</v>
      </c>
      <c r="F852" t="s">
        <v>43</v>
      </c>
      <c r="G852" t="s">
        <v>43</v>
      </c>
      <c r="H852" t="s">
        <v>43</v>
      </c>
      <c r="I852" t="s">
        <v>272</v>
      </c>
      <c r="J852" t="s">
        <v>43</v>
      </c>
      <c r="K852" t="s">
        <v>43</v>
      </c>
      <c r="L852" t="s">
        <v>43</v>
      </c>
      <c r="M852" t="s">
        <v>43</v>
      </c>
      <c r="N852" t="s">
        <v>45</v>
      </c>
      <c r="O852" t="s">
        <v>43</v>
      </c>
      <c r="P852" t="s">
        <v>43</v>
      </c>
      <c r="Q852" t="s">
        <v>43</v>
      </c>
      <c r="R852" t="s">
        <v>43</v>
      </c>
      <c r="S852" t="s">
        <v>43</v>
      </c>
      <c r="T852" t="s">
        <v>43</v>
      </c>
      <c r="U852" t="s">
        <v>43</v>
      </c>
      <c r="V852" t="s">
        <v>43</v>
      </c>
      <c r="W852" t="s">
        <v>43</v>
      </c>
      <c r="X852" t="s">
        <v>43</v>
      </c>
      <c r="Y852" t="s">
        <v>43</v>
      </c>
      <c r="Z852" t="s">
        <v>43</v>
      </c>
      <c r="AA852" t="s">
        <v>43</v>
      </c>
      <c r="AB852" t="s">
        <v>43</v>
      </c>
      <c r="AC852" t="s">
        <v>43</v>
      </c>
      <c r="AD852" t="s">
        <v>43</v>
      </c>
      <c r="AE852" t="s">
        <v>43</v>
      </c>
      <c r="AF852" t="s">
        <v>43</v>
      </c>
      <c r="AG852" t="s">
        <v>43</v>
      </c>
      <c r="AH852" t="s">
        <v>43</v>
      </c>
      <c r="AI852" t="s">
        <v>43</v>
      </c>
      <c r="AJ852" t="s">
        <v>43</v>
      </c>
      <c r="AK852" t="s">
        <v>43</v>
      </c>
      <c r="AL852" t="s">
        <v>43</v>
      </c>
      <c r="AM852" t="s">
        <v>43</v>
      </c>
      <c r="AN852" t="str">
        <f>HYPERLINK("https://www.google.com/maps?q=11.0547657,79.06084442","Open Location")</f>
        <v>Open Location</v>
      </c>
    </row>
    <row r="853" spans="1:40" x14ac:dyDescent="0.3">
      <c r="A853" s="1">
        <v>46210.901041666664</v>
      </c>
      <c r="B853" t="s">
        <v>40</v>
      </c>
      <c r="C853" t="s">
        <v>41</v>
      </c>
      <c r="D853" s="1">
        <v>46210.903831018521</v>
      </c>
      <c r="E853" t="s">
        <v>42</v>
      </c>
      <c r="F853" t="s">
        <v>43</v>
      </c>
      <c r="G853" t="s">
        <v>43</v>
      </c>
      <c r="H853" t="s">
        <v>43</v>
      </c>
      <c r="I853" t="s">
        <v>274</v>
      </c>
      <c r="J853" t="s">
        <v>43</v>
      </c>
      <c r="K853" t="s">
        <v>43</v>
      </c>
      <c r="L853" t="s">
        <v>43</v>
      </c>
      <c r="M853" t="s">
        <v>43</v>
      </c>
      <c r="N853" t="s">
        <v>45</v>
      </c>
      <c r="O853" t="s">
        <v>43</v>
      </c>
      <c r="P853" t="s">
        <v>43</v>
      </c>
      <c r="Q853" t="s">
        <v>43</v>
      </c>
      <c r="R853" t="s">
        <v>43</v>
      </c>
      <c r="S853" t="s">
        <v>43</v>
      </c>
      <c r="T853" t="s">
        <v>43</v>
      </c>
      <c r="U853" t="s">
        <v>43</v>
      </c>
      <c r="V853" t="s">
        <v>43</v>
      </c>
      <c r="W853" t="s">
        <v>43</v>
      </c>
      <c r="X853" t="s">
        <v>43</v>
      </c>
      <c r="Y853" t="s">
        <v>43</v>
      </c>
      <c r="Z853" t="s">
        <v>43</v>
      </c>
      <c r="AA853" t="s">
        <v>43</v>
      </c>
      <c r="AB853" t="s">
        <v>43</v>
      </c>
      <c r="AC853" t="s">
        <v>43</v>
      </c>
      <c r="AD853" t="s">
        <v>43</v>
      </c>
      <c r="AE853" t="s">
        <v>43</v>
      </c>
      <c r="AF853" t="s">
        <v>43</v>
      </c>
      <c r="AG853" t="s">
        <v>43</v>
      </c>
      <c r="AH853" t="s">
        <v>43</v>
      </c>
      <c r="AI853" t="s">
        <v>43</v>
      </c>
      <c r="AJ853" t="s">
        <v>43</v>
      </c>
      <c r="AK853" t="s">
        <v>43</v>
      </c>
      <c r="AL853" t="s">
        <v>43</v>
      </c>
      <c r="AM853" t="s">
        <v>43</v>
      </c>
      <c r="AN853" t="str">
        <f>HYPERLINK("https://www.google.com/maps?q=11.05476665,79.06084442","Open Location")</f>
        <v>Open Location</v>
      </c>
    </row>
    <row r="854" spans="1:40" x14ac:dyDescent="0.3">
      <c r="A854" s="1">
        <v>46210.900925925926</v>
      </c>
      <c r="B854" t="s">
        <v>40</v>
      </c>
      <c r="C854" t="s">
        <v>41</v>
      </c>
      <c r="D854" s="1">
        <v>46210.903854166667</v>
      </c>
      <c r="E854" t="s">
        <v>42</v>
      </c>
      <c r="F854" t="s">
        <v>43</v>
      </c>
      <c r="G854" t="s">
        <v>43</v>
      </c>
      <c r="H854" t="s">
        <v>43</v>
      </c>
      <c r="I854" t="s">
        <v>275</v>
      </c>
      <c r="J854" t="s">
        <v>43</v>
      </c>
      <c r="K854" t="s">
        <v>43</v>
      </c>
      <c r="L854" t="s">
        <v>43</v>
      </c>
      <c r="M854" t="s">
        <v>43</v>
      </c>
      <c r="N854" t="s">
        <v>45</v>
      </c>
      <c r="O854" t="s">
        <v>43</v>
      </c>
      <c r="P854" t="s">
        <v>43</v>
      </c>
      <c r="Q854" t="s">
        <v>43</v>
      </c>
      <c r="R854" t="s">
        <v>43</v>
      </c>
      <c r="S854" t="s">
        <v>43</v>
      </c>
      <c r="T854" t="s">
        <v>43</v>
      </c>
      <c r="U854" t="s">
        <v>43</v>
      </c>
      <c r="V854" t="s">
        <v>43</v>
      </c>
      <c r="W854" t="s">
        <v>43</v>
      </c>
      <c r="X854" t="s">
        <v>43</v>
      </c>
      <c r="Y854" t="s">
        <v>43</v>
      </c>
      <c r="Z854" t="s">
        <v>43</v>
      </c>
      <c r="AA854" t="s">
        <v>43</v>
      </c>
      <c r="AB854" t="s">
        <v>43</v>
      </c>
      <c r="AC854" t="s">
        <v>43</v>
      </c>
      <c r="AD854" t="s">
        <v>43</v>
      </c>
      <c r="AE854" t="s">
        <v>43</v>
      </c>
      <c r="AF854" t="s">
        <v>43</v>
      </c>
      <c r="AG854" t="s">
        <v>43</v>
      </c>
      <c r="AH854" t="s">
        <v>43</v>
      </c>
      <c r="AI854" t="s">
        <v>43</v>
      </c>
      <c r="AJ854" t="s">
        <v>43</v>
      </c>
      <c r="AK854" t="s">
        <v>43</v>
      </c>
      <c r="AL854" t="s">
        <v>43</v>
      </c>
      <c r="AM854" t="s">
        <v>43</v>
      </c>
      <c r="AN854" t="str">
        <f>HYPERLINK("https://www.google.com/maps?q=11.05476284,79.06084442","Open Location")</f>
        <v>Open Location</v>
      </c>
    </row>
    <row r="855" spans="1:40" x14ac:dyDescent="0.3">
      <c r="A855" s="1">
        <v>46210.900810185187</v>
      </c>
      <c r="B855" t="s">
        <v>40</v>
      </c>
      <c r="C855" t="s">
        <v>41</v>
      </c>
      <c r="D855" s="1">
        <v>46210.903981481482</v>
      </c>
      <c r="E855" t="s">
        <v>42</v>
      </c>
      <c r="F855" t="s">
        <v>43</v>
      </c>
      <c r="G855" t="s">
        <v>43</v>
      </c>
      <c r="H855" t="s">
        <v>43</v>
      </c>
      <c r="I855" t="s">
        <v>394</v>
      </c>
      <c r="J855" t="s">
        <v>43</v>
      </c>
      <c r="K855" t="s">
        <v>43</v>
      </c>
      <c r="L855" t="s">
        <v>43</v>
      </c>
      <c r="M855" t="s">
        <v>43</v>
      </c>
      <c r="N855" t="s">
        <v>45</v>
      </c>
      <c r="O855" t="s">
        <v>43</v>
      </c>
      <c r="P855" t="s">
        <v>43</v>
      </c>
      <c r="Q855" t="s">
        <v>43</v>
      </c>
      <c r="R855" t="s">
        <v>43</v>
      </c>
      <c r="S855" t="s">
        <v>43</v>
      </c>
      <c r="T855" t="s">
        <v>43</v>
      </c>
      <c r="U855" t="s">
        <v>43</v>
      </c>
      <c r="V855" t="s">
        <v>43</v>
      </c>
      <c r="W855" t="s">
        <v>43</v>
      </c>
      <c r="X855" t="s">
        <v>43</v>
      </c>
      <c r="Y855" t="s">
        <v>43</v>
      </c>
      <c r="Z855" t="s">
        <v>43</v>
      </c>
      <c r="AA855" t="s">
        <v>43</v>
      </c>
      <c r="AB855" t="s">
        <v>43</v>
      </c>
      <c r="AC855" t="s">
        <v>43</v>
      </c>
      <c r="AD855" t="s">
        <v>43</v>
      </c>
      <c r="AE855" t="s">
        <v>43</v>
      </c>
      <c r="AF855" t="s">
        <v>43</v>
      </c>
      <c r="AG855" t="s">
        <v>43</v>
      </c>
      <c r="AH855" t="s">
        <v>43</v>
      </c>
      <c r="AI855" t="s">
        <v>43</v>
      </c>
      <c r="AJ855" t="s">
        <v>43</v>
      </c>
      <c r="AK855" t="s">
        <v>43</v>
      </c>
      <c r="AL855" t="s">
        <v>43</v>
      </c>
      <c r="AM855" t="s">
        <v>43</v>
      </c>
      <c r="AN855" t="str">
        <f>HYPERLINK("https://www.google.com/maps?q=11.05476093,79.06085968","Open Location")</f>
        <v>Open Location</v>
      </c>
    </row>
    <row r="856" spans="1:40" x14ac:dyDescent="0.3">
      <c r="A856" s="1">
        <v>46210.900694444441</v>
      </c>
      <c r="B856" t="s">
        <v>40</v>
      </c>
      <c r="C856" t="s">
        <v>41</v>
      </c>
      <c r="D856" s="1">
        <v>46210.903599537036</v>
      </c>
      <c r="E856" t="s">
        <v>42</v>
      </c>
      <c r="F856" t="s">
        <v>43</v>
      </c>
      <c r="G856" t="s">
        <v>43</v>
      </c>
      <c r="H856" t="s">
        <v>43</v>
      </c>
      <c r="I856" t="s">
        <v>43</v>
      </c>
      <c r="J856" t="s">
        <v>43</v>
      </c>
      <c r="K856" t="s">
        <v>43</v>
      </c>
      <c r="L856" t="s">
        <v>43</v>
      </c>
      <c r="M856" t="s">
        <v>43</v>
      </c>
      <c r="N856" t="s">
        <v>45</v>
      </c>
      <c r="O856" t="s">
        <v>43</v>
      </c>
      <c r="P856" t="s">
        <v>43</v>
      </c>
      <c r="Q856" t="s">
        <v>43</v>
      </c>
      <c r="R856" t="s">
        <v>43</v>
      </c>
      <c r="S856" t="s">
        <v>43</v>
      </c>
      <c r="T856" t="s">
        <v>43</v>
      </c>
      <c r="U856" t="s">
        <v>43</v>
      </c>
      <c r="V856" t="s">
        <v>43</v>
      </c>
      <c r="W856" t="s">
        <v>43</v>
      </c>
      <c r="X856" t="s">
        <v>43</v>
      </c>
      <c r="Y856" t="s">
        <v>43</v>
      </c>
      <c r="Z856" t="s">
        <v>43</v>
      </c>
      <c r="AA856" t="s">
        <v>43</v>
      </c>
      <c r="AB856" t="s">
        <v>43</v>
      </c>
      <c r="AC856" t="s">
        <v>43</v>
      </c>
      <c r="AD856" t="s">
        <v>43</v>
      </c>
      <c r="AE856" t="s">
        <v>43</v>
      </c>
      <c r="AF856" t="s">
        <v>43</v>
      </c>
      <c r="AG856" t="s">
        <v>43</v>
      </c>
      <c r="AH856" t="s">
        <v>43</v>
      </c>
      <c r="AI856" t="s">
        <v>43</v>
      </c>
      <c r="AJ856" t="s">
        <v>43</v>
      </c>
      <c r="AK856" t="s">
        <v>43</v>
      </c>
      <c r="AL856" t="s">
        <v>43</v>
      </c>
      <c r="AM856" t="s">
        <v>43</v>
      </c>
      <c r="AN856" t="s">
        <v>43</v>
      </c>
    </row>
    <row r="857" spans="1:40" x14ac:dyDescent="0.3">
      <c r="A857" s="1">
        <v>46210.900578703702</v>
      </c>
      <c r="B857" t="s">
        <v>40</v>
      </c>
      <c r="C857" t="s">
        <v>41</v>
      </c>
      <c r="D857" s="1">
        <v>46210.903668981482</v>
      </c>
      <c r="E857" t="s">
        <v>42</v>
      </c>
      <c r="F857" t="s">
        <v>43</v>
      </c>
      <c r="G857" t="s">
        <v>43</v>
      </c>
      <c r="H857" t="s">
        <v>43</v>
      </c>
      <c r="I857" t="s">
        <v>338</v>
      </c>
      <c r="J857" t="s">
        <v>43</v>
      </c>
      <c r="K857" t="s">
        <v>43</v>
      </c>
      <c r="L857" t="s">
        <v>43</v>
      </c>
      <c r="M857" t="s">
        <v>43</v>
      </c>
      <c r="N857" t="s">
        <v>45</v>
      </c>
      <c r="O857" t="s">
        <v>43</v>
      </c>
      <c r="P857" t="s">
        <v>43</v>
      </c>
      <c r="Q857" t="s">
        <v>43</v>
      </c>
      <c r="R857" t="s">
        <v>43</v>
      </c>
      <c r="S857" t="s">
        <v>43</v>
      </c>
      <c r="T857" t="s">
        <v>43</v>
      </c>
      <c r="U857" t="s">
        <v>43</v>
      </c>
      <c r="V857" t="s">
        <v>43</v>
      </c>
      <c r="W857" t="s">
        <v>43</v>
      </c>
      <c r="X857" t="s">
        <v>43</v>
      </c>
      <c r="Y857" t="s">
        <v>43</v>
      </c>
      <c r="Z857" t="s">
        <v>43</v>
      </c>
      <c r="AA857" t="s">
        <v>43</v>
      </c>
      <c r="AB857" t="s">
        <v>43</v>
      </c>
      <c r="AC857" t="s">
        <v>43</v>
      </c>
      <c r="AD857" t="s">
        <v>43</v>
      </c>
      <c r="AE857" t="s">
        <v>43</v>
      </c>
      <c r="AF857" t="s">
        <v>43</v>
      </c>
      <c r="AG857" t="s">
        <v>43</v>
      </c>
      <c r="AH857" t="s">
        <v>43</v>
      </c>
      <c r="AI857" t="s">
        <v>43</v>
      </c>
      <c r="AJ857" t="s">
        <v>43</v>
      </c>
      <c r="AK857" t="s">
        <v>43</v>
      </c>
      <c r="AL857" t="s">
        <v>43</v>
      </c>
      <c r="AM857" t="s">
        <v>43</v>
      </c>
      <c r="AN857" t="str">
        <f>HYPERLINK("https://www.google.com/maps?q=11.05476093,79.06084442","Open Location")</f>
        <v>Open Location</v>
      </c>
    </row>
    <row r="858" spans="1:40" x14ac:dyDescent="0.3">
      <c r="A858" s="1">
        <v>46210.900462962964</v>
      </c>
      <c r="B858" t="s">
        <v>40</v>
      </c>
      <c r="C858" t="s">
        <v>41</v>
      </c>
      <c r="D858" s="1">
        <v>46210.903402777774</v>
      </c>
      <c r="E858" t="s">
        <v>42</v>
      </c>
      <c r="F858" t="s">
        <v>43</v>
      </c>
      <c r="G858" t="s">
        <v>43</v>
      </c>
      <c r="H858" t="s">
        <v>43</v>
      </c>
      <c r="I858" t="s">
        <v>395</v>
      </c>
      <c r="J858" t="s">
        <v>43</v>
      </c>
      <c r="K858" t="s">
        <v>43</v>
      </c>
      <c r="L858" t="s">
        <v>43</v>
      </c>
      <c r="M858" t="s">
        <v>43</v>
      </c>
      <c r="N858" t="s">
        <v>45</v>
      </c>
      <c r="O858" t="s">
        <v>43</v>
      </c>
      <c r="P858" t="s">
        <v>43</v>
      </c>
      <c r="Q858" t="s">
        <v>43</v>
      </c>
      <c r="R858" t="s">
        <v>43</v>
      </c>
      <c r="S858" t="s">
        <v>43</v>
      </c>
      <c r="T858" t="s">
        <v>43</v>
      </c>
      <c r="U858" t="s">
        <v>43</v>
      </c>
      <c r="V858" t="s">
        <v>43</v>
      </c>
      <c r="W858" t="s">
        <v>43</v>
      </c>
      <c r="X858" t="s">
        <v>43</v>
      </c>
      <c r="Y858" t="s">
        <v>43</v>
      </c>
      <c r="Z858" t="s">
        <v>43</v>
      </c>
      <c r="AA858" t="s">
        <v>43</v>
      </c>
      <c r="AB858" t="s">
        <v>43</v>
      </c>
      <c r="AC858" t="s">
        <v>43</v>
      </c>
      <c r="AD858" t="s">
        <v>43</v>
      </c>
      <c r="AE858" t="s">
        <v>43</v>
      </c>
      <c r="AF858" t="s">
        <v>43</v>
      </c>
      <c r="AG858" t="s">
        <v>43</v>
      </c>
      <c r="AH858" t="s">
        <v>43</v>
      </c>
      <c r="AI858" t="s">
        <v>43</v>
      </c>
      <c r="AJ858" t="s">
        <v>43</v>
      </c>
      <c r="AK858" t="s">
        <v>43</v>
      </c>
      <c r="AL858" t="s">
        <v>43</v>
      </c>
      <c r="AM858" t="s">
        <v>43</v>
      </c>
      <c r="AN858" t="str">
        <f>HYPERLINK("https://www.google.com/maps?q=11.05475903,79.06084442","Open Location")</f>
        <v>Open Location</v>
      </c>
    </row>
    <row r="859" spans="1:40" x14ac:dyDescent="0.3">
      <c r="A859" s="1">
        <v>46210.900347222225</v>
      </c>
      <c r="B859" t="s">
        <v>40</v>
      </c>
      <c r="C859" t="s">
        <v>41</v>
      </c>
      <c r="D859" s="1">
        <v>46210.903229166666</v>
      </c>
      <c r="E859" t="s">
        <v>42</v>
      </c>
      <c r="F859" t="s">
        <v>43</v>
      </c>
      <c r="G859" t="s">
        <v>43</v>
      </c>
      <c r="H859" t="s">
        <v>43</v>
      </c>
      <c r="I859" t="s">
        <v>395</v>
      </c>
      <c r="J859" t="s">
        <v>43</v>
      </c>
      <c r="K859" t="s">
        <v>43</v>
      </c>
      <c r="L859" t="s">
        <v>43</v>
      </c>
      <c r="M859" t="s">
        <v>43</v>
      </c>
      <c r="N859" t="s">
        <v>45</v>
      </c>
      <c r="O859" t="s">
        <v>43</v>
      </c>
      <c r="P859" t="s">
        <v>43</v>
      </c>
      <c r="Q859" t="s">
        <v>43</v>
      </c>
      <c r="R859" t="s">
        <v>43</v>
      </c>
      <c r="S859" t="s">
        <v>43</v>
      </c>
      <c r="T859" t="s">
        <v>43</v>
      </c>
      <c r="U859" t="s">
        <v>43</v>
      </c>
      <c r="V859" t="s">
        <v>43</v>
      </c>
      <c r="W859" t="s">
        <v>43</v>
      </c>
      <c r="X859" t="s">
        <v>43</v>
      </c>
      <c r="Y859" t="s">
        <v>43</v>
      </c>
      <c r="Z859" t="s">
        <v>43</v>
      </c>
      <c r="AA859" t="s">
        <v>43</v>
      </c>
      <c r="AB859" t="s">
        <v>43</v>
      </c>
      <c r="AC859" t="s">
        <v>43</v>
      </c>
      <c r="AD859" t="s">
        <v>43</v>
      </c>
      <c r="AE859" t="s">
        <v>43</v>
      </c>
      <c r="AF859" t="s">
        <v>43</v>
      </c>
      <c r="AG859" t="s">
        <v>43</v>
      </c>
      <c r="AH859" t="s">
        <v>43</v>
      </c>
      <c r="AI859" t="s">
        <v>43</v>
      </c>
      <c r="AJ859" t="s">
        <v>43</v>
      </c>
      <c r="AK859" t="s">
        <v>43</v>
      </c>
      <c r="AL859" t="s">
        <v>43</v>
      </c>
      <c r="AM859" t="s">
        <v>43</v>
      </c>
      <c r="AN859" t="str">
        <f>HYPERLINK("https://www.google.com/maps?q=11.05475903,79.06084442","Open Location")</f>
        <v>Open Location</v>
      </c>
    </row>
    <row r="860" spans="1:40" x14ac:dyDescent="0.3">
      <c r="A860" s="1">
        <v>46210.900231481479</v>
      </c>
      <c r="B860" t="s">
        <v>40</v>
      </c>
      <c r="C860" t="s">
        <v>41</v>
      </c>
      <c r="D860" s="1">
        <v>46210.903240740743</v>
      </c>
      <c r="E860" t="s">
        <v>42</v>
      </c>
      <c r="F860" t="s">
        <v>43</v>
      </c>
      <c r="G860" t="s">
        <v>43</v>
      </c>
      <c r="H860" t="s">
        <v>43</v>
      </c>
      <c r="I860" t="s">
        <v>396</v>
      </c>
      <c r="J860" t="s">
        <v>43</v>
      </c>
      <c r="K860" t="s">
        <v>43</v>
      </c>
      <c r="L860" t="s">
        <v>43</v>
      </c>
      <c r="M860" t="s">
        <v>43</v>
      </c>
      <c r="N860" t="s">
        <v>45</v>
      </c>
      <c r="O860" t="s">
        <v>43</v>
      </c>
      <c r="P860" t="s">
        <v>43</v>
      </c>
      <c r="Q860" t="s">
        <v>43</v>
      </c>
      <c r="R860" t="s">
        <v>43</v>
      </c>
      <c r="S860" t="s">
        <v>43</v>
      </c>
      <c r="T860" t="s">
        <v>43</v>
      </c>
      <c r="U860" t="s">
        <v>43</v>
      </c>
      <c r="V860" t="s">
        <v>43</v>
      </c>
      <c r="W860" t="s">
        <v>43</v>
      </c>
      <c r="X860" t="s">
        <v>43</v>
      </c>
      <c r="Y860" t="s">
        <v>43</v>
      </c>
      <c r="Z860" t="s">
        <v>43</v>
      </c>
      <c r="AA860" t="s">
        <v>43</v>
      </c>
      <c r="AB860" t="s">
        <v>43</v>
      </c>
      <c r="AC860" t="s">
        <v>43</v>
      </c>
      <c r="AD860" t="s">
        <v>43</v>
      </c>
      <c r="AE860" t="s">
        <v>43</v>
      </c>
      <c r="AF860" t="s">
        <v>43</v>
      </c>
      <c r="AG860" t="s">
        <v>43</v>
      </c>
      <c r="AH860" t="s">
        <v>43</v>
      </c>
      <c r="AI860" t="s">
        <v>43</v>
      </c>
      <c r="AJ860" t="s">
        <v>43</v>
      </c>
      <c r="AK860" t="s">
        <v>43</v>
      </c>
      <c r="AL860" t="s">
        <v>43</v>
      </c>
      <c r="AM860" t="s">
        <v>43</v>
      </c>
      <c r="AN860" t="str">
        <f>HYPERLINK("https://www.google.com/maps?q=11.05475807,79.06084442","Open Location")</f>
        <v>Open Location</v>
      </c>
    </row>
    <row r="861" spans="1:40" x14ac:dyDescent="0.3">
      <c r="A861" s="1">
        <v>46210.90011574074</v>
      </c>
      <c r="B861" t="s">
        <v>40</v>
      </c>
      <c r="C861" t="s">
        <v>41</v>
      </c>
      <c r="D861" s="1">
        <v>46210.902928240743</v>
      </c>
      <c r="E861" t="s">
        <v>42</v>
      </c>
      <c r="F861" t="s">
        <v>43</v>
      </c>
      <c r="G861" t="s">
        <v>43</v>
      </c>
      <c r="H861" t="s">
        <v>43</v>
      </c>
      <c r="I861" t="s">
        <v>43</v>
      </c>
      <c r="J861" t="s">
        <v>43</v>
      </c>
      <c r="K861" t="s">
        <v>43</v>
      </c>
      <c r="L861" t="s">
        <v>43</v>
      </c>
      <c r="M861" t="s">
        <v>43</v>
      </c>
      <c r="N861" t="s">
        <v>45</v>
      </c>
      <c r="O861" t="s">
        <v>43</v>
      </c>
      <c r="P861" t="s">
        <v>43</v>
      </c>
      <c r="Q861" t="s">
        <v>43</v>
      </c>
      <c r="R861" t="s">
        <v>43</v>
      </c>
      <c r="S861" t="s">
        <v>43</v>
      </c>
      <c r="T861" t="s">
        <v>43</v>
      </c>
      <c r="U861" t="s">
        <v>43</v>
      </c>
      <c r="V861" t="s">
        <v>43</v>
      </c>
      <c r="W861" t="s">
        <v>43</v>
      </c>
      <c r="X861" t="s">
        <v>43</v>
      </c>
      <c r="Y861" t="s">
        <v>43</v>
      </c>
      <c r="Z861" t="s">
        <v>43</v>
      </c>
      <c r="AA861" t="s">
        <v>43</v>
      </c>
      <c r="AB861" t="s">
        <v>43</v>
      </c>
      <c r="AC861" t="s">
        <v>43</v>
      </c>
      <c r="AD861" t="s">
        <v>43</v>
      </c>
      <c r="AE861" t="s">
        <v>43</v>
      </c>
      <c r="AF861" t="s">
        <v>43</v>
      </c>
      <c r="AG861" t="s">
        <v>43</v>
      </c>
      <c r="AH861" t="s">
        <v>43</v>
      </c>
      <c r="AI861" t="s">
        <v>43</v>
      </c>
      <c r="AJ861" t="s">
        <v>43</v>
      </c>
      <c r="AK861" t="s">
        <v>43</v>
      </c>
      <c r="AL861" t="s">
        <v>43</v>
      </c>
      <c r="AM861" t="s">
        <v>43</v>
      </c>
      <c r="AN861" t="s">
        <v>43</v>
      </c>
    </row>
    <row r="862" spans="1:40" x14ac:dyDescent="0.3">
      <c r="A862" s="1">
        <v>46210.9</v>
      </c>
      <c r="B862" t="s">
        <v>40</v>
      </c>
      <c r="C862" t="s">
        <v>41</v>
      </c>
      <c r="D862" s="1">
        <v>46210.903229166666</v>
      </c>
      <c r="E862" t="s">
        <v>42</v>
      </c>
      <c r="F862" t="s">
        <v>43</v>
      </c>
      <c r="G862" t="s">
        <v>43</v>
      </c>
      <c r="H862" t="s">
        <v>43</v>
      </c>
      <c r="I862" t="s">
        <v>397</v>
      </c>
      <c r="J862" t="s">
        <v>43</v>
      </c>
      <c r="K862" t="s">
        <v>43</v>
      </c>
      <c r="L862" t="s">
        <v>43</v>
      </c>
      <c r="M862" t="s">
        <v>43</v>
      </c>
      <c r="N862" t="s">
        <v>45</v>
      </c>
      <c r="O862" t="s">
        <v>43</v>
      </c>
      <c r="P862" t="s">
        <v>43</v>
      </c>
      <c r="Q862" t="s">
        <v>43</v>
      </c>
      <c r="R862" t="s">
        <v>43</v>
      </c>
      <c r="S862" t="s">
        <v>43</v>
      </c>
      <c r="T862" t="s">
        <v>43</v>
      </c>
      <c r="U862" t="s">
        <v>43</v>
      </c>
      <c r="V862" t="s">
        <v>43</v>
      </c>
      <c r="W862" t="s">
        <v>43</v>
      </c>
      <c r="X862" t="s">
        <v>43</v>
      </c>
      <c r="Y862" t="s">
        <v>43</v>
      </c>
      <c r="Z862" t="s">
        <v>43</v>
      </c>
      <c r="AA862" t="s">
        <v>43</v>
      </c>
      <c r="AB862" t="s">
        <v>43</v>
      </c>
      <c r="AC862" t="s">
        <v>43</v>
      </c>
      <c r="AD862" t="s">
        <v>43</v>
      </c>
      <c r="AE862" t="s">
        <v>43</v>
      </c>
      <c r="AF862" t="s">
        <v>43</v>
      </c>
      <c r="AG862" t="s">
        <v>43</v>
      </c>
      <c r="AH862" t="s">
        <v>43</v>
      </c>
      <c r="AI862" t="s">
        <v>43</v>
      </c>
      <c r="AJ862" t="s">
        <v>43</v>
      </c>
      <c r="AK862" t="s">
        <v>43</v>
      </c>
      <c r="AL862" t="s">
        <v>43</v>
      </c>
      <c r="AM862" t="s">
        <v>43</v>
      </c>
      <c r="AN862" t="str">
        <f>HYPERLINK("https://www.google.com/maps?q=11.05475616,79.06084442","Open Location")</f>
        <v>Open Location</v>
      </c>
    </row>
    <row r="863" spans="1:40" x14ac:dyDescent="0.3">
      <c r="A863" s="1">
        <v>46210.899884259263</v>
      </c>
      <c r="B863" t="s">
        <v>40</v>
      </c>
      <c r="C863" t="s">
        <v>41</v>
      </c>
      <c r="D863" s="1">
        <v>46210.902858796297</v>
      </c>
      <c r="E863" t="s">
        <v>42</v>
      </c>
      <c r="F863" t="s">
        <v>43</v>
      </c>
      <c r="G863" t="s">
        <v>43</v>
      </c>
      <c r="H863" t="s">
        <v>43</v>
      </c>
      <c r="I863" t="s">
        <v>398</v>
      </c>
      <c r="J863" t="s">
        <v>43</v>
      </c>
      <c r="K863" t="s">
        <v>43</v>
      </c>
      <c r="L863" t="s">
        <v>43</v>
      </c>
      <c r="M863" t="s">
        <v>43</v>
      </c>
      <c r="N863" t="s">
        <v>45</v>
      </c>
      <c r="O863" t="s">
        <v>43</v>
      </c>
      <c r="P863" t="s">
        <v>43</v>
      </c>
      <c r="Q863" t="s">
        <v>43</v>
      </c>
      <c r="R863" t="s">
        <v>43</v>
      </c>
      <c r="S863" t="s">
        <v>43</v>
      </c>
      <c r="T863" t="s">
        <v>43</v>
      </c>
      <c r="U863" t="s">
        <v>43</v>
      </c>
      <c r="V863" t="s">
        <v>43</v>
      </c>
      <c r="W863" t="s">
        <v>43</v>
      </c>
      <c r="X863" t="s">
        <v>43</v>
      </c>
      <c r="Y863" t="s">
        <v>43</v>
      </c>
      <c r="Z863" t="s">
        <v>43</v>
      </c>
      <c r="AA863" t="s">
        <v>43</v>
      </c>
      <c r="AB863" t="s">
        <v>43</v>
      </c>
      <c r="AC863" t="s">
        <v>43</v>
      </c>
      <c r="AD863" t="s">
        <v>43</v>
      </c>
      <c r="AE863" t="s">
        <v>43</v>
      </c>
      <c r="AF863" t="s">
        <v>43</v>
      </c>
      <c r="AG863" t="s">
        <v>43</v>
      </c>
      <c r="AH863" t="s">
        <v>43</v>
      </c>
      <c r="AI863" t="s">
        <v>43</v>
      </c>
      <c r="AJ863" t="s">
        <v>43</v>
      </c>
      <c r="AK863" t="s">
        <v>43</v>
      </c>
      <c r="AL863" t="s">
        <v>43</v>
      </c>
      <c r="AM863" t="s">
        <v>43</v>
      </c>
      <c r="AN863" t="str">
        <f>HYPERLINK("https://www.google.com/maps?q=11.05475426,79.06084442","Open Location")</f>
        <v>Open Location</v>
      </c>
    </row>
    <row r="864" spans="1:40" x14ac:dyDescent="0.3">
      <c r="A864" s="1">
        <v>46210.899768518517</v>
      </c>
      <c r="B864" t="s">
        <v>40</v>
      </c>
      <c r="C864" t="s">
        <v>41</v>
      </c>
      <c r="D864" s="1">
        <v>46210.902951388889</v>
      </c>
      <c r="E864" t="s">
        <v>42</v>
      </c>
      <c r="F864" t="s">
        <v>43</v>
      </c>
      <c r="G864" t="s">
        <v>43</v>
      </c>
      <c r="H864" t="s">
        <v>43</v>
      </c>
      <c r="I864" t="s">
        <v>399</v>
      </c>
      <c r="J864" t="s">
        <v>43</v>
      </c>
      <c r="K864" t="s">
        <v>43</v>
      </c>
      <c r="L864" t="s">
        <v>43</v>
      </c>
      <c r="M864" t="s">
        <v>43</v>
      </c>
      <c r="N864" t="s">
        <v>45</v>
      </c>
      <c r="O864" t="s">
        <v>43</v>
      </c>
      <c r="P864" t="s">
        <v>43</v>
      </c>
      <c r="Q864" t="s">
        <v>43</v>
      </c>
      <c r="R864" t="s">
        <v>43</v>
      </c>
      <c r="S864" t="s">
        <v>43</v>
      </c>
      <c r="T864" t="s">
        <v>43</v>
      </c>
      <c r="U864" t="s">
        <v>43</v>
      </c>
      <c r="V864" t="s">
        <v>43</v>
      </c>
      <c r="W864" t="s">
        <v>43</v>
      </c>
      <c r="X864" t="s">
        <v>43</v>
      </c>
      <c r="Y864" t="s">
        <v>43</v>
      </c>
      <c r="Z864" t="s">
        <v>43</v>
      </c>
      <c r="AA864" t="s">
        <v>43</v>
      </c>
      <c r="AB864" t="s">
        <v>43</v>
      </c>
      <c r="AC864" t="s">
        <v>43</v>
      </c>
      <c r="AD864" t="s">
        <v>43</v>
      </c>
      <c r="AE864" t="s">
        <v>43</v>
      </c>
      <c r="AF864" t="s">
        <v>43</v>
      </c>
      <c r="AG864" t="s">
        <v>43</v>
      </c>
      <c r="AH864" t="s">
        <v>43</v>
      </c>
      <c r="AI864" t="s">
        <v>43</v>
      </c>
      <c r="AJ864" t="s">
        <v>43</v>
      </c>
      <c r="AK864" t="s">
        <v>43</v>
      </c>
      <c r="AL864" t="s">
        <v>43</v>
      </c>
      <c r="AM864" t="s">
        <v>43</v>
      </c>
      <c r="AN864" t="str">
        <f>HYPERLINK("https://www.google.com/maps?q=11.05475235,79.06085968","Open Location")</f>
        <v>Open Location</v>
      </c>
    </row>
    <row r="865" spans="1:40" x14ac:dyDescent="0.3">
      <c r="A865" s="1">
        <v>46210.899652777778</v>
      </c>
      <c r="B865" t="s">
        <v>40</v>
      </c>
      <c r="C865" t="s">
        <v>41</v>
      </c>
      <c r="D865" s="1">
        <v>46210.902754629627</v>
      </c>
      <c r="E865" t="s">
        <v>42</v>
      </c>
      <c r="F865" t="s">
        <v>43</v>
      </c>
      <c r="G865" t="s">
        <v>43</v>
      </c>
      <c r="H865" t="s">
        <v>43</v>
      </c>
      <c r="I865" t="s">
        <v>400</v>
      </c>
      <c r="J865" t="s">
        <v>43</v>
      </c>
      <c r="K865" t="s">
        <v>43</v>
      </c>
      <c r="L865" t="s">
        <v>43</v>
      </c>
      <c r="M865" t="s">
        <v>43</v>
      </c>
      <c r="N865" t="s">
        <v>45</v>
      </c>
      <c r="O865" t="s">
        <v>43</v>
      </c>
      <c r="P865" t="s">
        <v>43</v>
      </c>
      <c r="Q865" t="s">
        <v>43</v>
      </c>
      <c r="R865" t="s">
        <v>43</v>
      </c>
      <c r="S865" t="s">
        <v>43</v>
      </c>
      <c r="T865" t="s">
        <v>43</v>
      </c>
      <c r="U865" t="s">
        <v>43</v>
      </c>
      <c r="V865" t="s">
        <v>43</v>
      </c>
      <c r="W865" t="s">
        <v>43</v>
      </c>
      <c r="X865" t="s">
        <v>43</v>
      </c>
      <c r="Y865" t="s">
        <v>43</v>
      </c>
      <c r="Z865" t="s">
        <v>43</v>
      </c>
      <c r="AA865" t="s">
        <v>43</v>
      </c>
      <c r="AB865" t="s">
        <v>43</v>
      </c>
      <c r="AC865" t="s">
        <v>43</v>
      </c>
      <c r="AD865" t="s">
        <v>43</v>
      </c>
      <c r="AE865" t="s">
        <v>43</v>
      </c>
      <c r="AF865" t="s">
        <v>43</v>
      </c>
      <c r="AG865" t="s">
        <v>43</v>
      </c>
      <c r="AH865" t="s">
        <v>43</v>
      </c>
      <c r="AI865" t="s">
        <v>43</v>
      </c>
      <c r="AJ865" t="s">
        <v>43</v>
      </c>
      <c r="AK865" t="s">
        <v>43</v>
      </c>
      <c r="AL865" t="s">
        <v>43</v>
      </c>
      <c r="AM865" t="s">
        <v>43</v>
      </c>
      <c r="AN865" t="str">
        <f>HYPERLINK("https://www.google.com/maps?q=11.0547514,79.06084442","Open Location")</f>
        <v>Open Location</v>
      </c>
    </row>
    <row r="866" spans="1:40" x14ac:dyDescent="0.3">
      <c r="A866" s="1">
        <v>46210.899537037039</v>
      </c>
      <c r="B866" t="s">
        <v>40</v>
      </c>
      <c r="C866" t="s">
        <v>41</v>
      </c>
      <c r="D866" s="1">
        <v>46210.902395833335</v>
      </c>
      <c r="E866" t="s">
        <v>42</v>
      </c>
      <c r="F866" t="s">
        <v>43</v>
      </c>
      <c r="G866" t="s">
        <v>43</v>
      </c>
      <c r="H866" t="s">
        <v>43</v>
      </c>
      <c r="I866" t="s">
        <v>401</v>
      </c>
      <c r="J866" t="s">
        <v>43</v>
      </c>
      <c r="K866" t="s">
        <v>43</v>
      </c>
      <c r="L866" t="s">
        <v>43</v>
      </c>
      <c r="M866" t="s">
        <v>43</v>
      </c>
      <c r="N866" t="s">
        <v>45</v>
      </c>
      <c r="O866" t="s">
        <v>43</v>
      </c>
      <c r="P866" t="s">
        <v>43</v>
      </c>
      <c r="Q866" t="s">
        <v>43</v>
      </c>
      <c r="R866" t="s">
        <v>43</v>
      </c>
      <c r="S866" t="s">
        <v>43</v>
      </c>
      <c r="T866" t="s">
        <v>43</v>
      </c>
      <c r="U866" t="s">
        <v>43</v>
      </c>
      <c r="V866" t="s">
        <v>43</v>
      </c>
      <c r="W866" t="s">
        <v>43</v>
      </c>
      <c r="X866" t="s">
        <v>43</v>
      </c>
      <c r="Y866" t="s">
        <v>43</v>
      </c>
      <c r="Z866" t="s">
        <v>43</v>
      </c>
      <c r="AA866" t="s">
        <v>43</v>
      </c>
      <c r="AB866" t="s">
        <v>43</v>
      </c>
      <c r="AC866" t="s">
        <v>43</v>
      </c>
      <c r="AD866" t="s">
        <v>43</v>
      </c>
      <c r="AE866" t="s">
        <v>43</v>
      </c>
      <c r="AF866" t="s">
        <v>43</v>
      </c>
      <c r="AG866" t="s">
        <v>43</v>
      </c>
      <c r="AH866" t="s">
        <v>43</v>
      </c>
      <c r="AI866" t="s">
        <v>43</v>
      </c>
      <c r="AJ866" t="s">
        <v>43</v>
      </c>
      <c r="AK866" t="s">
        <v>43</v>
      </c>
      <c r="AL866" t="s">
        <v>43</v>
      </c>
      <c r="AM866" t="s">
        <v>43</v>
      </c>
      <c r="AN866" t="str">
        <f>HYPERLINK("https://www.google.com/maps?q=11.0547533,79.06084442","Open Location")</f>
        <v>Open Location</v>
      </c>
    </row>
    <row r="867" spans="1:40" x14ac:dyDescent="0.3">
      <c r="A867" s="1">
        <v>46210.899421296293</v>
      </c>
      <c r="B867" t="s">
        <v>40</v>
      </c>
      <c r="C867" t="s">
        <v>41</v>
      </c>
      <c r="D867" s="1">
        <v>46210.902465277781</v>
      </c>
      <c r="E867" t="s">
        <v>42</v>
      </c>
      <c r="F867" t="s">
        <v>43</v>
      </c>
      <c r="G867" t="s">
        <v>43</v>
      </c>
      <c r="H867" t="s">
        <v>43</v>
      </c>
      <c r="I867" t="s">
        <v>43</v>
      </c>
      <c r="J867" t="s">
        <v>43</v>
      </c>
      <c r="K867" t="s">
        <v>43</v>
      </c>
      <c r="L867" t="s">
        <v>43</v>
      </c>
      <c r="M867" t="s">
        <v>43</v>
      </c>
      <c r="N867" t="s">
        <v>45</v>
      </c>
      <c r="O867" t="s">
        <v>43</v>
      </c>
      <c r="P867" t="s">
        <v>43</v>
      </c>
      <c r="Q867" t="s">
        <v>43</v>
      </c>
      <c r="R867" t="s">
        <v>43</v>
      </c>
      <c r="S867" t="s">
        <v>43</v>
      </c>
      <c r="T867" t="s">
        <v>43</v>
      </c>
      <c r="U867" t="s">
        <v>43</v>
      </c>
      <c r="V867" t="s">
        <v>43</v>
      </c>
      <c r="W867" t="s">
        <v>43</v>
      </c>
      <c r="X867" t="s">
        <v>43</v>
      </c>
      <c r="Y867" t="s">
        <v>43</v>
      </c>
      <c r="Z867" t="s">
        <v>43</v>
      </c>
      <c r="AA867" t="s">
        <v>43</v>
      </c>
      <c r="AB867" t="s">
        <v>43</v>
      </c>
      <c r="AC867" t="s">
        <v>43</v>
      </c>
      <c r="AD867" t="s">
        <v>43</v>
      </c>
      <c r="AE867" t="s">
        <v>43</v>
      </c>
      <c r="AF867" t="s">
        <v>43</v>
      </c>
      <c r="AG867" t="s">
        <v>43</v>
      </c>
      <c r="AH867" t="s">
        <v>43</v>
      </c>
      <c r="AI867" t="s">
        <v>43</v>
      </c>
      <c r="AJ867" t="s">
        <v>43</v>
      </c>
      <c r="AK867" t="s">
        <v>43</v>
      </c>
      <c r="AL867" t="s">
        <v>43</v>
      </c>
      <c r="AM867" t="s">
        <v>43</v>
      </c>
      <c r="AN867" t="s">
        <v>43</v>
      </c>
    </row>
    <row r="868" spans="1:40" x14ac:dyDescent="0.3">
      <c r="A868" s="1">
        <v>46210.899305555555</v>
      </c>
      <c r="B868" t="s">
        <v>40</v>
      </c>
      <c r="C868" t="s">
        <v>41</v>
      </c>
      <c r="D868" s="1">
        <v>46210.902280092596</v>
      </c>
      <c r="E868" t="s">
        <v>42</v>
      </c>
      <c r="F868" t="s">
        <v>43</v>
      </c>
      <c r="G868" t="s">
        <v>43</v>
      </c>
      <c r="H868" t="s">
        <v>43</v>
      </c>
      <c r="I868" t="s">
        <v>401</v>
      </c>
      <c r="J868" t="s">
        <v>43</v>
      </c>
      <c r="K868" t="s">
        <v>43</v>
      </c>
      <c r="L868" t="s">
        <v>43</v>
      </c>
      <c r="M868" t="s">
        <v>43</v>
      </c>
      <c r="N868" t="s">
        <v>45</v>
      </c>
      <c r="O868" t="s">
        <v>43</v>
      </c>
      <c r="P868" t="s">
        <v>43</v>
      </c>
      <c r="Q868" t="s">
        <v>43</v>
      </c>
      <c r="R868" t="s">
        <v>43</v>
      </c>
      <c r="S868" t="s">
        <v>43</v>
      </c>
      <c r="T868" t="s">
        <v>43</v>
      </c>
      <c r="U868" t="s">
        <v>43</v>
      </c>
      <c r="V868" t="s">
        <v>43</v>
      </c>
      <c r="W868" t="s">
        <v>43</v>
      </c>
      <c r="X868" t="s">
        <v>43</v>
      </c>
      <c r="Y868" t="s">
        <v>43</v>
      </c>
      <c r="Z868" t="s">
        <v>43</v>
      </c>
      <c r="AA868" t="s">
        <v>43</v>
      </c>
      <c r="AB868" t="s">
        <v>43</v>
      </c>
      <c r="AC868" t="s">
        <v>43</v>
      </c>
      <c r="AD868" t="s">
        <v>43</v>
      </c>
      <c r="AE868" t="s">
        <v>43</v>
      </c>
      <c r="AF868" t="s">
        <v>43</v>
      </c>
      <c r="AG868" t="s">
        <v>43</v>
      </c>
      <c r="AH868" t="s">
        <v>43</v>
      </c>
      <c r="AI868" t="s">
        <v>43</v>
      </c>
      <c r="AJ868" t="s">
        <v>43</v>
      </c>
      <c r="AK868" t="s">
        <v>43</v>
      </c>
      <c r="AL868" t="s">
        <v>43</v>
      </c>
      <c r="AM868" t="s">
        <v>43</v>
      </c>
      <c r="AN868" t="str">
        <f>HYPERLINK("https://www.google.com/maps?q=11.0547533,79.06084442","Open Location")</f>
        <v>Open Location</v>
      </c>
    </row>
    <row r="869" spans="1:40" x14ac:dyDescent="0.3">
      <c r="A869" s="1">
        <v>46210.899189814816</v>
      </c>
      <c r="B869" t="s">
        <v>40</v>
      </c>
      <c r="C869" t="s">
        <v>41</v>
      </c>
      <c r="D869" s="1">
        <v>46210.901979166665</v>
      </c>
      <c r="E869" t="s">
        <v>42</v>
      </c>
      <c r="F869" t="s">
        <v>43</v>
      </c>
      <c r="G869" t="s">
        <v>43</v>
      </c>
      <c r="H869" t="s">
        <v>43</v>
      </c>
      <c r="I869" t="s">
        <v>402</v>
      </c>
      <c r="J869" t="s">
        <v>43</v>
      </c>
      <c r="K869" t="s">
        <v>43</v>
      </c>
      <c r="L869" t="s">
        <v>43</v>
      </c>
      <c r="M869" t="s">
        <v>43</v>
      </c>
      <c r="N869" t="s">
        <v>45</v>
      </c>
      <c r="O869" t="s">
        <v>43</v>
      </c>
      <c r="P869" t="s">
        <v>43</v>
      </c>
      <c r="Q869" t="s">
        <v>43</v>
      </c>
      <c r="R869" t="s">
        <v>43</v>
      </c>
      <c r="S869" t="s">
        <v>43</v>
      </c>
      <c r="T869" t="s">
        <v>43</v>
      </c>
      <c r="U869" t="s">
        <v>43</v>
      </c>
      <c r="V869" t="s">
        <v>43</v>
      </c>
      <c r="W869" t="s">
        <v>43</v>
      </c>
      <c r="X869" t="s">
        <v>43</v>
      </c>
      <c r="Y869" t="s">
        <v>43</v>
      </c>
      <c r="Z869" t="s">
        <v>43</v>
      </c>
      <c r="AA869" t="s">
        <v>43</v>
      </c>
      <c r="AB869" t="s">
        <v>43</v>
      </c>
      <c r="AC869" t="s">
        <v>43</v>
      </c>
      <c r="AD869" t="s">
        <v>43</v>
      </c>
      <c r="AE869" t="s">
        <v>43</v>
      </c>
      <c r="AF869" t="s">
        <v>43</v>
      </c>
      <c r="AG869" t="s">
        <v>43</v>
      </c>
      <c r="AH869" t="s">
        <v>43</v>
      </c>
      <c r="AI869" t="s">
        <v>43</v>
      </c>
      <c r="AJ869" t="s">
        <v>43</v>
      </c>
      <c r="AK869" t="s">
        <v>43</v>
      </c>
      <c r="AL869" t="s">
        <v>43</v>
      </c>
      <c r="AM869" t="s">
        <v>43</v>
      </c>
      <c r="AN869" t="str">
        <f>HYPERLINK("https://www.google.com/maps?q=11.05475712,79.06084442","Open Location")</f>
        <v>Open Location</v>
      </c>
    </row>
    <row r="870" spans="1:40" x14ac:dyDescent="0.3">
      <c r="A870" s="1">
        <v>46210.899074074077</v>
      </c>
      <c r="B870" t="s">
        <v>40</v>
      </c>
      <c r="C870" t="s">
        <v>41</v>
      </c>
      <c r="D870" s="1">
        <v>46210.90185185185</v>
      </c>
      <c r="E870" t="s">
        <v>42</v>
      </c>
      <c r="F870" t="s">
        <v>43</v>
      </c>
      <c r="G870" t="s">
        <v>43</v>
      </c>
      <c r="H870" t="s">
        <v>43</v>
      </c>
      <c r="I870" t="s">
        <v>403</v>
      </c>
      <c r="J870" t="s">
        <v>43</v>
      </c>
      <c r="K870" t="s">
        <v>43</v>
      </c>
      <c r="L870" t="s">
        <v>43</v>
      </c>
      <c r="M870" t="s">
        <v>43</v>
      </c>
      <c r="N870" t="s">
        <v>45</v>
      </c>
      <c r="O870" t="s">
        <v>43</v>
      </c>
      <c r="P870" t="s">
        <v>43</v>
      </c>
      <c r="Q870" t="s">
        <v>43</v>
      </c>
      <c r="R870" t="s">
        <v>43</v>
      </c>
      <c r="S870" t="s">
        <v>43</v>
      </c>
      <c r="T870" t="s">
        <v>43</v>
      </c>
      <c r="U870" t="s">
        <v>43</v>
      </c>
      <c r="V870" t="s">
        <v>43</v>
      </c>
      <c r="W870" t="s">
        <v>43</v>
      </c>
      <c r="X870" t="s">
        <v>43</v>
      </c>
      <c r="Y870" t="s">
        <v>43</v>
      </c>
      <c r="Z870" t="s">
        <v>43</v>
      </c>
      <c r="AA870" t="s">
        <v>43</v>
      </c>
      <c r="AB870" t="s">
        <v>43</v>
      </c>
      <c r="AC870" t="s">
        <v>43</v>
      </c>
      <c r="AD870" t="s">
        <v>43</v>
      </c>
      <c r="AE870" t="s">
        <v>43</v>
      </c>
      <c r="AF870" t="s">
        <v>43</v>
      </c>
      <c r="AG870" t="s">
        <v>43</v>
      </c>
      <c r="AH870" t="s">
        <v>43</v>
      </c>
      <c r="AI870" t="s">
        <v>43</v>
      </c>
      <c r="AJ870" t="s">
        <v>43</v>
      </c>
      <c r="AK870" t="s">
        <v>43</v>
      </c>
      <c r="AL870" t="s">
        <v>43</v>
      </c>
      <c r="AM870" t="s">
        <v>43</v>
      </c>
      <c r="AN870" t="str">
        <f>HYPERLINK("https://www.google.com/maps?q=11.05475807,79.06083679","Open Location")</f>
        <v>Open Location</v>
      </c>
    </row>
    <row r="871" spans="1:40" x14ac:dyDescent="0.3">
      <c r="A871" s="1">
        <v>46210.898958333331</v>
      </c>
      <c r="B871" t="s">
        <v>40</v>
      </c>
      <c r="C871" t="s">
        <v>41</v>
      </c>
      <c r="D871" s="1">
        <v>46210.90184027778</v>
      </c>
      <c r="E871" t="s">
        <v>42</v>
      </c>
      <c r="F871" t="s">
        <v>43</v>
      </c>
      <c r="G871" t="s">
        <v>43</v>
      </c>
      <c r="H871" t="s">
        <v>43</v>
      </c>
      <c r="I871" t="s">
        <v>403</v>
      </c>
      <c r="J871" t="s">
        <v>43</v>
      </c>
      <c r="K871" t="s">
        <v>43</v>
      </c>
      <c r="L871" t="s">
        <v>43</v>
      </c>
      <c r="M871" t="s">
        <v>43</v>
      </c>
      <c r="N871" t="s">
        <v>45</v>
      </c>
      <c r="O871" t="s">
        <v>43</v>
      </c>
      <c r="P871" t="s">
        <v>43</v>
      </c>
      <c r="Q871" t="s">
        <v>43</v>
      </c>
      <c r="R871" t="s">
        <v>43</v>
      </c>
      <c r="S871" t="s">
        <v>43</v>
      </c>
      <c r="T871" t="s">
        <v>43</v>
      </c>
      <c r="U871" t="s">
        <v>43</v>
      </c>
      <c r="V871" t="s">
        <v>43</v>
      </c>
      <c r="W871" t="s">
        <v>43</v>
      </c>
      <c r="X871" t="s">
        <v>43</v>
      </c>
      <c r="Y871" t="s">
        <v>43</v>
      </c>
      <c r="Z871" t="s">
        <v>43</v>
      </c>
      <c r="AA871" t="s">
        <v>43</v>
      </c>
      <c r="AB871" t="s">
        <v>43</v>
      </c>
      <c r="AC871" t="s">
        <v>43</v>
      </c>
      <c r="AD871" t="s">
        <v>43</v>
      </c>
      <c r="AE871" t="s">
        <v>43</v>
      </c>
      <c r="AF871" t="s">
        <v>43</v>
      </c>
      <c r="AG871" t="s">
        <v>43</v>
      </c>
      <c r="AH871" t="s">
        <v>43</v>
      </c>
      <c r="AI871" t="s">
        <v>43</v>
      </c>
      <c r="AJ871" t="s">
        <v>43</v>
      </c>
      <c r="AK871" t="s">
        <v>43</v>
      </c>
      <c r="AL871" t="s">
        <v>43</v>
      </c>
      <c r="AM871" t="s">
        <v>43</v>
      </c>
      <c r="AN871" t="str">
        <f>HYPERLINK("https://www.google.com/maps?q=11.05475807,79.06083679","Open Location")</f>
        <v>Open Location</v>
      </c>
    </row>
    <row r="872" spans="1:40" x14ac:dyDescent="0.3">
      <c r="A872" s="1">
        <v>46210.898842592593</v>
      </c>
      <c r="B872" t="s">
        <v>40</v>
      </c>
      <c r="C872" t="s">
        <v>41</v>
      </c>
      <c r="D872" s="1">
        <v>46210.901608796295</v>
      </c>
      <c r="E872" t="s">
        <v>42</v>
      </c>
      <c r="F872" t="s">
        <v>43</v>
      </c>
      <c r="G872" t="s">
        <v>43</v>
      </c>
      <c r="H872" t="s">
        <v>43</v>
      </c>
      <c r="I872" t="s">
        <v>397</v>
      </c>
      <c r="J872" t="s">
        <v>43</v>
      </c>
      <c r="K872" t="s">
        <v>43</v>
      </c>
      <c r="L872" t="s">
        <v>43</v>
      </c>
      <c r="M872" t="s">
        <v>43</v>
      </c>
      <c r="N872" t="s">
        <v>45</v>
      </c>
      <c r="O872" t="s">
        <v>43</v>
      </c>
      <c r="P872" t="s">
        <v>43</v>
      </c>
      <c r="Q872" t="s">
        <v>43</v>
      </c>
      <c r="R872" t="s">
        <v>43</v>
      </c>
      <c r="S872" t="s">
        <v>43</v>
      </c>
      <c r="T872" t="s">
        <v>43</v>
      </c>
      <c r="U872" t="s">
        <v>43</v>
      </c>
      <c r="V872" t="s">
        <v>43</v>
      </c>
      <c r="W872" t="s">
        <v>43</v>
      </c>
      <c r="X872" t="s">
        <v>43</v>
      </c>
      <c r="Y872" t="s">
        <v>43</v>
      </c>
      <c r="Z872" t="s">
        <v>43</v>
      </c>
      <c r="AA872" t="s">
        <v>43</v>
      </c>
      <c r="AB872" t="s">
        <v>43</v>
      </c>
      <c r="AC872" t="s">
        <v>43</v>
      </c>
      <c r="AD872" t="s">
        <v>43</v>
      </c>
      <c r="AE872" t="s">
        <v>43</v>
      </c>
      <c r="AF872" t="s">
        <v>43</v>
      </c>
      <c r="AG872" t="s">
        <v>43</v>
      </c>
      <c r="AH872" t="s">
        <v>43</v>
      </c>
      <c r="AI872" t="s">
        <v>43</v>
      </c>
      <c r="AJ872" t="s">
        <v>43</v>
      </c>
      <c r="AK872" t="s">
        <v>43</v>
      </c>
      <c r="AL872" t="s">
        <v>43</v>
      </c>
      <c r="AM872" t="s">
        <v>43</v>
      </c>
      <c r="AN872" t="str">
        <f>HYPERLINK("https://www.google.com/maps?q=11.05475616,79.06084442","Open Location")</f>
        <v>Open Location</v>
      </c>
    </row>
    <row r="873" spans="1:40" x14ac:dyDescent="0.3">
      <c r="A873" s="1">
        <v>46210.898726851854</v>
      </c>
      <c r="B873" t="s">
        <v>40</v>
      </c>
      <c r="C873" t="s">
        <v>41</v>
      </c>
      <c r="D873" s="1">
        <v>46210.901446759257</v>
      </c>
      <c r="E873" t="s">
        <v>42</v>
      </c>
      <c r="F873" t="s">
        <v>43</v>
      </c>
      <c r="G873" t="s">
        <v>43</v>
      </c>
      <c r="H873" t="s">
        <v>43</v>
      </c>
      <c r="I873" t="s">
        <v>43</v>
      </c>
      <c r="J873" t="s">
        <v>43</v>
      </c>
      <c r="K873" t="s">
        <v>43</v>
      </c>
      <c r="L873" t="s">
        <v>43</v>
      </c>
      <c r="M873" t="s">
        <v>43</v>
      </c>
      <c r="N873" t="s">
        <v>45</v>
      </c>
      <c r="O873" t="s">
        <v>43</v>
      </c>
      <c r="P873" t="s">
        <v>43</v>
      </c>
      <c r="Q873" t="s">
        <v>43</v>
      </c>
      <c r="R873" t="s">
        <v>43</v>
      </c>
      <c r="S873" t="s">
        <v>43</v>
      </c>
      <c r="T873" t="s">
        <v>43</v>
      </c>
      <c r="U873" t="s">
        <v>43</v>
      </c>
      <c r="V873" t="s">
        <v>43</v>
      </c>
      <c r="W873" t="s">
        <v>43</v>
      </c>
      <c r="X873" t="s">
        <v>43</v>
      </c>
      <c r="Y873" t="s">
        <v>43</v>
      </c>
      <c r="Z873" t="s">
        <v>43</v>
      </c>
      <c r="AA873" t="s">
        <v>43</v>
      </c>
      <c r="AB873" t="s">
        <v>43</v>
      </c>
      <c r="AC873" t="s">
        <v>43</v>
      </c>
      <c r="AD873" t="s">
        <v>43</v>
      </c>
      <c r="AE873" t="s">
        <v>43</v>
      </c>
      <c r="AF873" t="s">
        <v>43</v>
      </c>
      <c r="AG873" t="s">
        <v>43</v>
      </c>
      <c r="AH873" t="s">
        <v>43</v>
      </c>
      <c r="AI873" t="s">
        <v>43</v>
      </c>
      <c r="AJ873" t="s">
        <v>43</v>
      </c>
      <c r="AK873" t="s">
        <v>43</v>
      </c>
      <c r="AL873" t="s">
        <v>43</v>
      </c>
      <c r="AM873" t="s">
        <v>43</v>
      </c>
      <c r="AN873" t="s">
        <v>43</v>
      </c>
    </row>
    <row r="874" spans="1:40" x14ac:dyDescent="0.3">
      <c r="A874" s="1">
        <v>46210.898611111108</v>
      </c>
      <c r="B874" t="s">
        <v>40</v>
      </c>
      <c r="C874" t="s">
        <v>41</v>
      </c>
      <c r="D874" s="1">
        <v>46210.901585648149</v>
      </c>
      <c r="E874" t="s">
        <v>42</v>
      </c>
      <c r="F874" t="s">
        <v>43</v>
      </c>
      <c r="G874" t="s">
        <v>43</v>
      </c>
      <c r="H874" t="s">
        <v>43</v>
      </c>
      <c r="I874" t="s">
        <v>397</v>
      </c>
      <c r="J874" t="s">
        <v>43</v>
      </c>
      <c r="K874" t="s">
        <v>43</v>
      </c>
      <c r="L874" t="s">
        <v>43</v>
      </c>
      <c r="M874" t="s">
        <v>43</v>
      </c>
      <c r="N874" t="s">
        <v>45</v>
      </c>
      <c r="O874" t="s">
        <v>43</v>
      </c>
      <c r="P874" t="s">
        <v>43</v>
      </c>
      <c r="Q874" t="s">
        <v>43</v>
      </c>
      <c r="R874" t="s">
        <v>43</v>
      </c>
      <c r="S874" t="s">
        <v>43</v>
      </c>
      <c r="T874" t="s">
        <v>43</v>
      </c>
      <c r="U874" t="s">
        <v>43</v>
      </c>
      <c r="V874" t="s">
        <v>43</v>
      </c>
      <c r="W874" t="s">
        <v>43</v>
      </c>
      <c r="X874" t="s">
        <v>43</v>
      </c>
      <c r="Y874" t="s">
        <v>43</v>
      </c>
      <c r="Z874" t="s">
        <v>43</v>
      </c>
      <c r="AA874" t="s">
        <v>43</v>
      </c>
      <c r="AB874" t="s">
        <v>43</v>
      </c>
      <c r="AC874" t="s">
        <v>43</v>
      </c>
      <c r="AD874" t="s">
        <v>43</v>
      </c>
      <c r="AE874" t="s">
        <v>43</v>
      </c>
      <c r="AF874" t="s">
        <v>43</v>
      </c>
      <c r="AG874" t="s">
        <v>43</v>
      </c>
      <c r="AH874" t="s">
        <v>43</v>
      </c>
      <c r="AI874" t="s">
        <v>43</v>
      </c>
      <c r="AJ874" t="s">
        <v>43</v>
      </c>
      <c r="AK874" t="s">
        <v>43</v>
      </c>
      <c r="AL874" t="s">
        <v>43</v>
      </c>
      <c r="AM874" t="s">
        <v>43</v>
      </c>
      <c r="AN874" t="str">
        <f>HYPERLINK("https://www.google.com/maps?q=11.05475616,79.06084442","Open Location")</f>
        <v>Open Location</v>
      </c>
    </row>
    <row r="875" spans="1:40" x14ac:dyDescent="0.3">
      <c r="A875" s="1">
        <v>46210.898495370369</v>
      </c>
      <c r="B875" t="s">
        <v>40</v>
      </c>
      <c r="C875" t="s">
        <v>41</v>
      </c>
      <c r="D875" s="1">
        <v>46210.901585648149</v>
      </c>
      <c r="E875" t="s">
        <v>42</v>
      </c>
      <c r="F875" t="s">
        <v>43</v>
      </c>
      <c r="G875" t="s">
        <v>43</v>
      </c>
      <c r="H875" t="s">
        <v>43</v>
      </c>
      <c r="I875" t="s">
        <v>402</v>
      </c>
      <c r="J875" t="s">
        <v>43</v>
      </c>
      <c r="K875" t="s">
        <v>43</v>
      </c>
      <c r="L875" t="s">
        <v>43</v>
      </c>
      <c r="M875" t="s">
        <v>43</v>
      </c>
      <c r="N875" t="s">
        <v>45</v>
      </c>
      <c r="O875" t="s">
        <v>43</v>
      </c>
      <c r="P875" t="s">
        <v>43</v>
      </c>
      <c r="Q875" t="s">
        <v>43</v>
      </c>
      <c r="R875" t="s">
        <v>43</v>
      </c>
      <c r="S875" t="s">
        <v>43</v>
      </c>
      <c r="T875" t="s">
        <v>43</v>
      </c>
      <c r="U875" t="s">
        <v>43</v>
      </c>
      <c r="V875" t="s">
        <v>43</v>
      </c>
      <c r="W875" t="s">
        <v>43</v>
      </c>
      <c r="X875" t="s">
        <v>43</v>
      </c>
      <c r="Y875" t="s">
        <v>43</v>
      </c>
      <c r="Z875" t="s">
        <v>43</v>
      </c>
      <c r="AA875" t="s">
        <v>43</v>
      </c>
      <c r="AB875" t="s">
        <v>43</v>
      </c>
      <c r="AC875" t="s">
        <v>43</v>
      </c>
      <c r="AD875" t="s">
        <v>43</v>
      </c>
      <c r="AE875" t="s">
        <v>43</v>
      </c>
      <c r="AF875" t="s">
        <v>43</v>
      </c>
      <c r="AG875" t="s">
        <v>43</v>
      </c>
      <c r="AH875" t="s">
        <v>43</v>
      </c>
      <c r="AI875" t="s">
        <v>43</v>
      </c>
      <c r="AJ875" t="s">
        <v>43</v>
      </c>
      <c r="AK875" t="s">
        <v>43</v>
      </c>
      <c r="AL875" t="s">
        <v>43</v>
      </c>
      <c r="AM875" t="s">
        <v>43</v>
      </c>
      <c r="AN875" t="str">
        <f>HYPERLINK("https://www.google.com/maps?q=11.05475712,79.06084442","Open Location")</f>
        <v>Open Location</v>
      </c>
    </row>
    <row r="876" spans="1:40" x14ac:dyDescent="0.3">
      <c r="A876" s="1">
        <v>46210.898379629631</v>
      </c>
      <c r="B876" t="s">
        <v>40</v>
      </c>
      <c r="C876" t="s">
        <v>41</v>
      </c>
      <c r="D876" s="1">
        <v>46210.90116898148</v>
      </c>
      <c r="E876" t="s">
        <v>42</v>
      </c>
      <c r="F876" t="s">
        <v>43</v>
      </c>
      <c r="G876" t="s">
        <v>43</v>
      </c>
      <c r="H876" t="s">
        <v>43</v>
      </c>
      <c r="I876" t="s">
        <v>396</v>
      </c>
      <c r="J876" t="s">
        <v>43</v>
      </c>
      <c r="K876" t="s">
        <v>43</v>
      </c>
      <c r="L876" t="s">
        <v>43</v>
      </c>
      <c r="M876" t="s">
        <v>43</v>
      </c>
      <c r="N876" t="s">
        <v>45</v>
      </c>
      <c r="O876" t="s">
        <v>43</v>
      </c>
      <c r="P876" t="s">
        <v>43</v>
      </c>
      <c r="Q876" t="s">
        <v>43</v>
      </c>
      <c r="R876" t="s">
        <v>43</v>
      </c>
      <c r="S876" t="s">
        <v>43</v>
      </c>
      <c r="T876" t="s">
        <v>43</v>
      </c>
      <c r="U876" t="s">
        <v>43</v>
      </c>
      <c r="V876" t="s">
        <v>43</v>
      </c>
      <c r="W876" t="s">
        <v>43</v>
      </c>
      <c r="X876" t="s">
        <v>43</v>
      </c>
      <c r="Y876" t="s">
        <v>43</v>
      </c>
      <c r="Z876" t="s">
        <v>43</v>
      </c>
      <c r="AA876" t="s">
        <v>43</v>
      </c>
      <c r="AB876" t="s">
        <v>43</v>
      </c>
      <c r="AC876" t="s">
        <v>43</v>
      </c>
      <c r="AD876" t="s">
        <v>43</v>
      </c>
      <c r="AE876" t="s">
        <v>43</v>
      </c>
      <c r="AF876" t="s">
        <v>43</v>
      </c>
      <c r="AG876" t="s">
        <v>43</v>
      </c>
      <c r="AH876" t="s">
        <v>43</v>
      </c>
      <c r="AI876" t="s">
        <v>43</v>
      </c>
      <c r="AJ876" t="s">
        <v>43</v>
      </c>
      <c r="AK876" t="s">
        <v>43</v>
      </c>
      <c r="AL876" t="s">
        <v>43</v>
      </c>
      <c r="AM876" t="s">
        <v>43</v>
      </c>
      <c r="AN876" t="str">
        <f>HYPERLINK("https://www.google.com/maps?q=11.05475807,79.06084442","Open Location")</f>
        <v>Open Location</v>
      </c>
    </row>
    <row r="877" spans="1:40" x14ac:dyDescent="0.3">
      <c r="A877" s="1">
        <v>46210.898263888892</v>
      </c>
      <c r="B877" t="s">
        <v>40</v>
      </c>
      <c r="C877" t="s">
        <v>41</v>
      </c>
      <c r="D877" s="1">
        <v>46210.90116898148</v>
      </c>
      <c r="E877" t="s">
        <v>42</v>
      </c>
      <c r="F877" t="s">
        <v>43</v>
      </c>
      <c r="G877" t="s">
        <v>43</v>
      </c>
      <c r="H877" t="s">
        <v>43</v>
      </c>
      <c r="I877" t="s">
        <v>396</v>
      </c>
      <c r="J877" t="s">
        <v>43</v>
      </c>
      <c r="K877" t="s">
        <v>43</v>
      </c>
      <c r="L877" t="s">
        <v>43</v>
      </c>
      <c r="M877" t="s">
        <v>43</v>
      </c>
      <c r="N877" t="s">
        <v>45</v>
      </c>
      <c r="O877" t="s">
        <v>43</v>
      </c>
      <c r="P877" t="s">
        <v>43</v>
      </c>
      <c r="Q877" t="s">
        <v>43</v>
      </c>
      <c r="R877" t="s">
        <v>43</v>
      </c>
      <c r="S877" t="s">
        <v>43</v>
      </c>
      <c r="T877" t="s">
        <v>43</v>
      </c>
      <c r="U877" t="s">
        <v>43</v>
      </c>
      <c r="V877" t="s">
        <v>43</v>
      </c>
      <c r="W877" t="s">
        <v>43</v>
      </c>
      <c r="X877" t="s">
        <v>43</v>
      </c>
      <c r="Y877" t="s">
        <v>43</v>
      </c>
      <c r="Z877" t="s">
        <v>43</v>
      </c>
      <c r="AA877" t="s">
        <v>43</v>
      </c>
      <c r="AB877" t="s">
        <v>43</v>
      </c>
      <c r="AC877" t="s">
        <v>43</v>
      </c>
      <c r="AD877" t="s">
        <v>43</v>
      </c>
      <c r="AE877" t="s">
        <v>43</v>
      </c>
      <c r="AF877" t="s">
        <v>43</v>
      </c>
      <c r="AG877" t="s">
        <v>43</v>
      </c>
      <c r="AH877" t="s">
        <v>43</v>
      </c>
      <c r="AI877" t="s">
        <v>43</v>
      </c>
      <c r="AJ877" t="s">
        <v>43</v>
      </c>
      <c r="AK877" t="s">
        <v>43</v>
      </c>
      <c r="AL877" t="s">
        <v>43</v>
      </c>
      <c r="AM877" t="s">
        <v>43</v>
      </c>
      <c r="AN877" t="str">
        <f>HYPERLINK("https://www.google.com/maps?q=11.05475807,79.06084442","Open Location")</f>
        <v>Open Location</v>
      </c>
    </row>
    <row r="878" spans="1:40" x14ac:dyDescent="0.3">
      <c r="A878" s="1">
        <v>46210.898148148146</v>
      </c>
      <c r="B878" t="s">
        <v>40</v>
      </c>
      <c r="C878" t="s">
        <v>41</v>
      </c>
      <c r="D878" s="1">
        <v>46210.90116898148</v>
      </c>
      <c r="E878" t="s">
        <v>42</v>
      </c>
      <c r="F878" t="s">
        <v>43</v>
      </c>
      <c r="G878" t="s">
        <v>43</v>
      </c>
      <c r="H878" t="s">
        <v>43</v>
      </c>
      <c r="I878" t="s">
        <v>43</v>
      </c>
      <c r="J878" t="s">
        <v>43</v>
      </c>
      <c r="K878" t="s">
        <v>43</v>
      </c>
      <c r="L878" t="s">
        <v>43</v>
      </c>
      <c r="M878" t="s">
        <v>43</v>
      </c>
      <c r="N878" t="s">
        <v>45</v>
      </c>
      <c r="O878" t="s">
        <v>43</v>
      </c>
      <c r="P878" t="s">
        <v>43</v>
      </c>
      <c r="Q878" t="s">
        <v>43</v>
      </c>
      <c r="R878" t="s">
        <v>43</v>
      </c>
      <c r="S878" t="s">
        <v>43</v>
      </c>
      <c r="T878" t="s">
        <v>43</v>
      </c>
      <c r="U878" t="s">
        <v>43</v>
      </c>
      <c r="V878" t="s">
        <v>43</v>
      </c>
      <c r="W878" t="s">
        <v>43</v>
      </c>
      <c r="X878" t="s">
        <v>43</v>
      </c>
      <c r="Y878" t="s">
        <v>43</v>
      </c>
      <c r="Z878" t="s">
        <v>43</v>
      </c>
      <c r="AA878" t="s">
        <v>43</v>
      </c>
      <c r="AB878" t="s">
        <v>43</v>
      </c>
      <c r="AC878" t="s">
        <v>43</v>
      </c>
      <c r="AD878" t="s">
        <v>43</v>
      </c>
      <c r="AE878" t="s">
        <v>43</v>
      </c>
      <c r="AF878" t="s">
        <v>43</v>
      </c>
      <c r="AG878" t="s">
        <v>43</v>
      </c>
      <c r="AH878" t="s">
        <v>43</v>
      </c>
      <c r="AI878" t="s">
        <v>43</v>
      </c>
      <c r="AJ878" t="s">
        <v>43</v>
      </c>
      <c r="AK878" t="s">
        <v>43</v>
      </c>
      <c r="AL878" t="s">
        <v>43</v>
      </c>
      <c r="AM878" t="s">
        <v>43</v>
      </c>
      <c r="AN878" t="s">
        <v>43</v>
      </c>
    </row>
    <row r="879" spans="1:40" x14ac:dyDescent="0.3">
      <c r="A879" s="1">
        <v>46210.898032407407</v>
      </c>
      <c r="B879" t="s">
        <v>40</v>
      </c>
      <c r="C879" t="s">
        <v>41</v>
      </c>
      <c r="D879" s="1">
        <v>46210.900833333333</v>
      </c>
      <c r="E879" t="s">
        <v>42</v>
      </c>
      <c r="F879" t="s">
        <v>43</v>
      </c>
      <c r="G879" t="s">
        <v>43</v>
      </c>
      <c r="H879" t="s">
        <v>43</v>
      </c>
      <c r="I879" t="s">
        <v>402</v>
      </c>
      <c r="J879" t="s">
        <v>43</v>
      </c>
      <c r="K879" t="s">
        <v>43</v>
      </c>
      <c r="L879" t="s">
        <v>43</v>
      </c>
      <c r="M879" t="s">
        <v>43</v>
      </c>
      <c r="N879" t="s">
        <v>45</v>
      </c>
      <c r="O879" t="s">
        <v>43</v>
      </c>
      <c r="P879" t="s">
        <v>43</v>
      </c>
      <c r="Q879" t="s">
        <v>43</v>
      </c>
      <c r="R879" t="s">
        <v>43</v>
      </c>
      <c r="S879" t="s">
        <v>43</v>
      </c>
      <c r="T879" t="s">
        <v>43</v>
      </c>
      <c r="U879" t="s">
        <v>43</v>
      </c>
      <c r="V879" t="s">
        <v>43</v>
      </c>
      <c r="W879" t="s">
        <v>43</v>
      </c>
      <c r="X879" t="s">
        <v>43</v>
      </c>
      <c r="Y879" t="s">
        <v>43</v>
      </c>
      <c r="Z879" t="s">
        <v>43</v>
      </c>
      <c r="AA879" t="s">
        <v>43</v>
      </c>
      <c r="AB879" t="s">
        <v>43</v>
      </c>
      <c r="AC879" t="s">
        <v>43</v>
      </c>
      <c r="AD879" t="s">
        <v>43</v>
      </c>
      <c r="AE879" t="s">
        <v>43</v>
      </c>
      <c r="AF879" t="s">
        <v>43</v>
      </c>
      <c r="AG879" t="s">
        <v>43</v>
      </c>
      <c r="AH879" t="s">
        <v>43</v>
      </c>
      <c r="AI879" t="s">
        <v>43</v>
      </c>
      <c r="AJ879" t="s">
        <v>43</v>
      </c>
      <c r="AK879" t="s">
        <v>43</v>
      </c>
      <c r="AL879" t="s">
        <v>43</v>
      </c>
      <c r="AM879" t="s">
        <v>43</v>
      </c>
      <c r="AN879" t="str">
        <f>HYPERLINK("https://www.google.com/maps?q=11.05475712,79.06084442","Open Location")</f>
        <v>Open Location</v>
      </c>
    </row>
    <row r="880" spans="1:40" x14ac:dyDescent="0.3">
      <c r="A880" s="1">
        <v>46210.897916666669</v>
      </c>
      <c r="B880" t="s">
        <v>40</v>
      </c>
      <c r="C880" t="s">
        <v>41</v>
      </c>
      <c r="D880" s="1">
        <v>46210.901030092595</v>
      </c>
      <c r="E880" t="s">
        <v>42</v>
      </c>
      <c r="F880" t="s">
        <v>43</v>
      </c>
      <c r="G880" t="s">
        <v>43</v>
      </c>
      <c r="H880" t="s">
        <v>43</v>
      </c>
      <c r="I880" t="s">
        <v>404</v>
      </c>
      <c r="J880" t="s">
        <v>43</v>
      </c>
      <c r="K880" t="s">
        <v>43</v>
      </c>
      <c r="L880" t="s">
        <v>43</v>
      </c>
      <c r="M880" t="s">
        <v>43</v>
      </c>
      <c r="N880" t="s">
        <v>45</v>
      </c>
      <c r="O880" t="s">
        <v>43</v>
      </c>
      <c r="P880" t="s">
        <v>43</v>
      </c>
      <c r="Q880" t="s">
        <v>43</v>
      </c>
      <c r="R880" t="s">
        <v>43</v>
      </c>
      <c r="S880" t="s">
        <v>43</v>
      </c>
      <c r="T880" t="s">
        <v>43</v>
      </c>
      <c r="U880" t="s">
        <v>43</v>
      </c>
      <c r="V880" t="s">
        <v>43</v>
      </c>
      <c r="W880" t="s">
        <v>43</v>
      </c>
      <c r="X880" t="s">
        <v>43</v>
      </c>
      <c r="Y880" t="s">
        <v>43</v>
      </c>
      <c r="Z880" t="s">
        <v>43</v>
      </c>
      <c r="AA880" t="s">
        <v>43</v>
      </c>
      <c r="AB880" t="s">
        <v>43</v>
      </c>
      <c r="AC880" t="s">
        <v>43</v>
      </c>
      <c r="AD880" t="s">
        <v>43</v>
      </c>
      <c r="AE880" t="s">
        <v>43</v>
      </c>
      <c r="AF880" t="s">
        <v>43</v>
      </c>
      <c r="AG880" t="s">
        <v>43</v>
      </c>
      <c r="AH880" t="s">
        <v>43</v>
      </c>
      <c r="AI880" t="s">
        <v>43</v>
      </c>
      <c r="AJ880" t="s">
        <v>43</v>
      </c>
      <c r="AK880" t="s">
        <v>43</v>
      </c>
      <c r="AL880" t="s">
        <v>43</v>
      </c>
      <c r="AM880" t="s">
        <v>43</v>
      </c>
      <c r="AN880" t="str">
        <f>HYPERLINK("https://www.google.com/maps?q=11.05475712,79.06083679","Open Location")</f>
        <v>Open Location</v>
      </c>
    </row>
    <row r="881" spans="1:40" x14ac:dyDescent="0.3">
      <c r="A881" s="1">
        <v>46210.897800925923</v>
      </c>
      <c r="B881" t="s">
        <v>40</v>
      </c>
      <c r="C881" t="s">
        <v>41</v>
      </c>
      <c r="D881" s="1">
        <v>46210.900636574072</v>
      </c>
      <c r="E881" t="s">
        <v>42</v>
      </c>
      <c r="F881" t="s">
        <v>43</v>
      </c>
      <c r="G881" t="s">
        <v>43</v>
      </c>
      <c r="H881" t="s">
        <v>43</v>
      </c>
      <c r="I881" t="s">
        <v>405</v>
      </c>
      <c r="J881" t="s">
        <v>43</v>
      </c>
      <c r="K881" t="s">
        <v>43</v>
      </c>
      <c r="L881" t="s">
        <v>43</v>
      </c>
      <c r="M881" t="s">
        <v>43</v>
      </c>
      <c r="N881" t="s">
        <v>45</v>
      </c>
      <c r="O881" t="s">
        <v>43</v>
      </c>
      <c r="P881" t="s">
        <v>43</v>
      </c>
      <c r="Q881" t="s">
        <v>43</v>
      </c>
      <c r="R881" t="s">
        <v>43</v>
      </c>
      <c r="S881" t="s">
        <v>43</v>
      </c>
      <c r="T881" t="s">
        <v>43</v>
      </c>
      <c r="U881" t="s">
        <v>43</v>
      </c>
      <c r="V881" t="s">
        <v>43</v>
      </c>
      <c r="W881" t="s">
        <v>43</v>
      </c>
      <c r="X881" t="s">
        <v>43</v>
      </c>
      <c r="Y881" t="s">
        <v>43</v>
      </c>
      <c r="Z881" t="s">
        <v>43</v>
      </c>
      <c r="AA881" t="s">
        <v>43</v>
      </c>
      <c r="AB881" t="s">
        <v>43</v>
      </c>
      <c r="AC881" t="s">
        <v>43</v>
      </c>
      <c r="AD881" t="s">
        <v>43</v>
      </c>
      <c r="AE881" t="s">
        <v>43</v>
      </c>
      <c r="AF881" t="s">
        <v>43</v>
      </c>
      <c r="AG881" t="s">
        <v>43</v>
      </c>
      <c r="AH881" t="s">
        <v>43</v>
      </c>
      <c r="AI881" t="s">
        <v>43</v>
      </c>
      <c r="AJ881" t="s">
        <v>43</v>
      </c>
      <c r="AK881" t="s">
        <v>43</v>
      </c>
      <c r="AL881" t="s">
        <v>43</v>
      </c>
      <c r="AM881" t="s">
        <v>43</v>
      </c>
      <c r="AN881" t="str">
        <f>HYPERLINK("https://www.google.com/maps?q=11.05475521,79.06084442","Open Location")</f>
        <v>Open Location</v>
      </c>
    </row>
    <row r="882" spans="1:40" x14ac:dyDescent="0.3">
      <c r="A882" s="1">
        <v>46210.897685185184</v>
      </c>
      <c r="B882" t="s">
        <v>40</v>
      </c>
      <c r="C882" t="s">
        <v>41</v>
      </c>
      <c r="D882" s="1">
        <v>46210.900636574072</v>
      </c>
      <c r="E882" t="s">
        <v>42</v>
      </c>
      <c r="F882" t="s">
        <v>43</v>
      </c>
      <c r="G882" t="s">
        <v>43</v>
      </c>
      <c r="H882" t="s">
        <v>43</v>
      </c>
      <c r="I882" t="s">
        <v>402</v>
      </c>
      <c r="J882" t="s">
        <v>43</v>
      </c>
      <c r="K882" t="s">
        <v>43</v>
      </c>
      <c r="L882" t="s">
        <v>43</v>
      </c>
      <c r="M882" t="s">
        <v>43</v>
      </c>
      <c r="N882" t="s">
        <v>45</v>
      </c>
      <c r="O882" t="s">
        <v>43</v>
      </c>
      <c r="P882" t="s">
        <v>43</v>
      </c>
      <c r="Q882" t="s">
        <v>43</v>
      </c>
      <c r="R882" t="s">
        <v>43</v>
      </c>
      <c r="S882" t="s">
        <v>43</v>
      </c>
      <c r="T882" t="s">
        <v>43</v>
      </c>
      <c r="U882" t="s">
        <v>43</v>
      </c>
      <c r="V882" t="s">
        <v>43</v>
      </c>
      <c r="W882" t="s">
        <v>43</v>
      </c>
      <c r="X882" t="s">
        <v>43</v>
      </c>
      <c r="Y882" t="s">
        <v>43</v>
      </c>
      <c r="Z882" t="s">
        <v>43</v>
      </c>
      <c r="AA882" t="s">
        <v>43</v>
      </c>
      <c r="AB882" t="s">
        <v>43</v>
      </c>
      <c r="AC882" t="s">
        <v>43</v>
      </c>
      <c r="AD882" t="s">
        <v>43</v>
      </c>
      <c r="AE882" t="s">
        <v>43</v>
      </c>
      <c r="AF882" t="s">
        <v>43</v>
      </c>
      <c r="AG882" t="s">
        <v>43</v>
      </c>
      <c r="AH882" t="s">
        <v>43</v>
      </c>
      <c r="AI882" t="s">
        <v>43</v>
      </c>
      <c r="AJ882" t="s">
        <v>43</v>
      </c>
      <c r="AK882" t="s">
        <v>43</v>
      </c>
      <c r="AL882" t="s">
        <v>43</v>
      </c>
      <c r="AM882" t="s">
        <v>43</v>
      </c>
      <c r="AN882" t="str">
        <f>HYPERLINK("https://www.google.com/maps?q=11.05475712,79.06084442","Open Location")</f>
        <v>Open Location</v>
      </c>
    </row>
    <row r="883" spans="1:40" x14ac:dyDescent="0.3">
      <c r="A883" s="1">
        <v>46210.897569444445</v>
      </c>
      <c r="B883" t="s">
        <v>40</v>
      </c>
      <c r="C883" t="s">
        <v>41</v>
      </c>
      <c r="D883" s="1">
        <v>46210.900405092594</v>
      </c>
      <c r="E883" t="s">
        <v>42</v>
      </c>
      <c r="F883" t="s">
        <v>43</v>
      </c>
      <c r="G883" t="s">
        <v>43</v>
      </c>
      <c r="H883" t="s">
        <v>43</v>
      </c>
      <c r="I883" t="s">
        <v>395</v>
      </c>
      <c r="J883" t="s">
        <v>43</v>
      </c>
      <c r="K883" t="s">
        <v>43</v>
      </c>
      <c r="L883" t="s">
        <v>43</v>
      </c>
      <c r="M883" t="s">
        <v>43</v>
      </c>
      <c r="N883" t="s">
        <v>45</v>
      </c>
      <c r="O883" t="s">
        <v>43</v>
      </c>
      <c r="P883" t="s">
        <v>43</v>
      </c>
      <c r="Q883" t="s">
        <v>43</v>
      </c>
      <c r="R883" t="s">
        <v>43</v>
      </c>
      <c r="S883" t="s">
        <v>43</v>
      </c>
      <c r="T883" t="s">
        <v>43</v>
      </c>
      <c r="U883" t="s">
        <v>43</v>
      </c>
      <c r="V883" t="s">
        <v>43</v>
      </c>
      <c r="W883" t="s">
        <v>43</v>
      </c>
      <c r="X883" t="s">
        <v>43</v>
      </c>
      <c r="Y883" t="s">
        <v>43</v>
      </c>
      <c r="Z883" t="s">
        <v>43</v>
      </c>
      <c r="AA883" t="s">
        <v>43</v>
      </c>
      <c r="AB883" t="s">
        <v>43</v>
      </c>
      <c r="AC883" t="s">
        <v>43</v>
      </c>
      <c r="AD883" t="s">
        <v>43</v>
      </c>
      <c r="AE883" t="s">
        <v>43</v>
      </c>
      <c r="AF883" t="s">
        <v>43</v>
      </c>
      <c r="AG883" t="s">
        <v>43</v>
      </c>
      <c r="AH883" t="s">
        <v>43</v>
      </c>
      <c r="AI883" t="s">
        <v>43</v>
      </c>
      <c r="AJ883" t="s">
        <v>43</v>
      </c>
      <c r="AK883" t="s">
        <v>43</v>
      </c>
      <c r="AL883" t="s">
        <v>43</v>
      </c>
      <c r="AM883" t="s">
        <v>43</v>
      </c>
      <c r="AN883" t="str">
        <f>HYPERLINK("https://www.google.com/maps?q=11.05475903,79.06084442","Open Location")</f>
        <v>Open Location</v>
      </c>
    </row>
    <row r="884" spans="1:40" x14ac:dyDescent="0.3">
      <c r="A884" s="1">
        <v>46210.897453703707</v>
      </c>
      <c r="B884" t="s">
        <v>40</v>
      </c>
      <c r="C884" t="s">
        <v>41</v>
      </c>
      <c r="D884" s="1">
        <v>46210.900358796294</v>
      </c>
      <c r="E884" t="s">
        <v>42</v>
      </c>
      <c r="F884" t="s">
        <v>43</v>
      </c>
      <c r="G884" t="s">
        <v>43</v>
      </c>
      <c r="H884" t="s">
        <v>43</v>
      </c>
      <c r="I884" t="s">
        <v>43</v>
      </c>
      <c r="J884" t="s">
        <v>43</v>
      </c>
      <c r="K884" t="s">
        <v>43</v>
      </c>
      <c r="L884" t="s">
        <v>43</v>
      </c>
      <c r="M884" t="s">
        <v>43</v>
      </c>
      <c r="N884" t="s">
        <v>45</v>
      </c>
      <c r="O884" t="s">
        <v>43</v>
      </c>
      <c r="P884" t="s">
        <v>43</v>
      </c>
      <c r="Q884" t="s">
        <v>43</v>
      </c>
      <c r="R884" t="s">
        <v>43</v>
      </c>
      <c r="S884" t="s">
        <v>43</v>
      </c>
      <c r="T884" t="s">
        <v>43</v>
      </c>
      <c r="U884" t="s">
        <v>43</v>
      </c>
      <c r="V884" t="s">
        <v>43</v>
      </c>
      <c r="W884" t="s">
        <v>43</v>
      </c>
      <c r="X884" t="s">
        <v>43</v>
      </c>
      <c r="Y884" t="s">
        <v>43</v>
      </c>
      <c r="Z884" t="s">
        <v>43</v>
      </c>
      <c r="AA884" t="s">
        <v>43</v>
      </c>
      <c r="AB884" t="s">
        <v>43</v>
      </c>
      <c r="AC884" t="s">
        <v>43</v>
      </c>
      <c r="AD884" t="s">
        <v>43</v>
      </c>
      <c r="AE884" t="s">
        <v>43</v>
      </c>
      <c r="AF884" t="s">
        <v>43</v>
      </c>
      <c r="AG884" t="s">
        <v>43</v>
      </c>
      <c r="AH884" t="s">
        <v>43</v>
      </c>
      <c r="AI884" t="s">
        <v>43</v>
      </c>
      <c r="AJ884" t="s">
        <v>43</v>
      </c>
      <c r="AK884" t="s">
        <v>43</v>
      </c>
      <c r="AL884" t="s">
        <v>43</v>
      </c>
      <c r="AM884" t="s">
        <v>43</v>
      </c>
      <c r="AN884" t="s">
        <v>43</v>
      </c>
    </row>
    <row r="885" spans="1:40" x14ac:dyDescent="0.3">
      <c r="A885" s="1">
        <v>46210.897337962961</v>
      </c>
      <c r="B885" t="s">
        <v>40</v>
      </c>
      <c r="C885" t="s">
        <v>41</v>
      </c>
      <c r="D885" s="1">
        <v>46210.900405092594</v>
      </c>
      <c r="E885" t="s">
        <v>42</v>
      </c>
      <c r="F885" t="s">
        <v>43</v>
      </c>
      <c r="G885" t="s">
        <v>43</v>
      </c>
      <c r="H885" t="s">
        <v>43</v>
      </c>
      <c r="I885" t="s">
        <v>405</v>
      </c>
      <c r="J885" t="s">
        <v>43</v>
      </c>
      <c r="K885" t="s">
        <v>43</v>
      </c>
      <c r="L885" t="s">
        <v>43</v>
      </c>
      <c r="M885" t="s">
        <v>43</v>
      </c>
      <c r="N885" t="s">
        <v>45</v>
      </c>
      <c r="O885" t="s">
        <v>43</v>
      </c>
      <c r="P885" t="s">
        <v>43</v>
      </c>
      <c r="Q885" t="s">
        <v>43</v>
      </c>
      <c r="R885" t="s">
        <v>43</v>
      </c>
      <c r="S885" t="s">
        <v>43</v>
      </c>
      <c r="T885" t="s">
        <v>43</v>
      </c>
      <c r="U885" t="s">
        <v>43</v>
      </c>
      <c r="V885" t="s">
        <v>43</v>
      </c>
      <c r="W885" t="s">
        <v>43</v>
      </c>
      <c r="X885" t="s">
        <v>43</v>
      </c>
      <c r="Y885" t="s">
        <v>43</v>
      </c>
      <c r="Z885" t="s">
        <v>43</v>
      </c>
      <c r="AA885" t="s">
        <v>43</v>
      </c>
      <c r="AB885" t="s">
        <v>43</v>
      </c>
      <c r="AC885" t="s">
        <v>43</v>
      </c>
      <c r="AD885" t="s">
        <v>43</v>
      </c>
      <c r="AE885" t="s">
        <v>43</v>
      </c>
      <c r="AF885" t="s">
        <v>43</v>
      </c>
      <c r="AG885" t="s">
        <v>43</v>
      </c>
      <c r="AH885" t="s">
        <v>43</v>
      </c>
      <c r="AI885" t="s">
        <v>43</v>
      </c>
      <c r="AJ885" t="s">
        <v>43</v>
      </c>
      <c r="AK885" t="s">
        <v>43</v>
      </c>
      <c r="AL885" t="s">
        <v>43</v>
      </c>
      <c r="AM885" t="s">
        <v>43</v>
      </c>
      <c r="AN885" t="str">
        <f>HYPERLINK("https://www.google.com/maps?q=11.05475521,79.06084442","Open Location")</f>
        <v>Open Location</v>
      </c>
    </row>
    <row r="886" spans="1:40" x14ac:dyDescent="0.3">
      <c r="A886" s="1">
        <v>46210.897222222222</v>
      </c>
      <c r="B886" t="s">
        <v>40</v>
      </c>
      <c r="C886" t="s">
        <v>41</v>
      </c>
      <c r="D886" s="1">
        <v>46210.900405092594</v>
      </c>
      <c r="E886" t="s">
        <v>42</v>
      </c>
      <c r="F886" t="s">
        <v>43</v>
      </c>
      <c r="G886" t="s">
        <v>43</v>
      </c>
      <c r="H886" t="s">
        <v>43</v>
      </c>
      <c r="I886" t="s">
        <v>405</v>
      </c>
      <c r="J886" t="s">
        <v>43</v>
      </c>
      <c r="K886" t="s">
        <v>43</v>
      </c>
      <c r="L886" t="s">
        <v>43</v>
      </c>
      <c r="M886" t="s">
        <v>43</v>
      </c>
      <c r="N886" t="s">
        <v>45</v>
      </c>
      <c r="O886" t="s">
        <v>43</v>
      </c>
      <c r="P886" t="s">
        <v>43</v>
      </c>
      <c r="Q886" t="s">
        <v>43</v>
      </c>
      <c r="R886" t="s">
        <v>43</v>
      </c>
      <c r="S886" t="s">
        <v>43</v>
      </c>
      <c r="T886" t="s">
        <v>43</v>
      </c>
      <c r="U886" t="s">
        <v>43</v>
      </c>
      <c r="V886" t="s">
        <v>43</v>
      </c>
      <c r="W886" t="s">
        <v>43</v>
      </c>
      <c r="X886" t="s">
        <v>43</v>
      </c>
      <c r="Y886" t="s">
        <v>43</v>
      </c>
      <c r="Z886" t="s">
        <v>43</v>
      </c>
      <c r="AA886" t="s">
        <v>43</v>
      </c>
      <c r="AB886" t="s">
        <v>43</v>
      </c>
      <c r="AC886" t="s">
        <v>43</v>
      </c>
      <c r="AD886" t="s">
        <v>43</v>
      </c>
      <c r="AE886" t="s">
        <v>43</v>
      </c>
      <c r="AF886" t="s">
        <v>43</v>
      </c>
      <c r="AG886" t="s">
        <v>43</v>
      </c>
      <c r="AH886" t="s">
        <v>43</v>
      </c>
      <c r="AI886" t="s">
        <v>43</v>
      </c>
      <c r="AJ886" t="s">
        <v>43</v>
      </c>
      <c r="AK886" t="s">
        <v>43</v>
      </c>
      <c r="AL886" t="s">
        <v>43</v>
      </c>
      <c r="AM886" t="s">
        <v>43</v>
      </c>
      <c r="AN886" t="str">
        <f>HYPERLINK("https://www.google.com/maps?q=11.05475521,79.06084442","Open Location")</f>
        <v>Open Location</v>
      </c>
    </row>
    <row r="887" spans="1:40" x14ac:dyDescent="0.3">
      <c r="A887" s="1">
        <v>46210.897106481483</v>
      </c>
      <c r="B887" t="s">
        <v>40</v>
      </c>
      <c r="C887" t="s">
        <v>41</v>
      </c>
      <c r="D887" s="1">
        <v>46210.900127314817</v>
      </c>
      <c r="E887" t="s">
        <v>42</v>
      </c>
      <c r="F887" t="s">
        <v>43</v>
      </c>
      <c r="G887" t="s">
        <v>43</v>
      </c>
      <c r="H887" t="s">
        <v>43</v>
      </c>
      <c r="I887" t="s">
        <v>398</v>
      </c>
      <c r="J887" t="s">
        <v>43</v>
      </c>
      <c r="K887" t="s">
        <v>43</v>
      </c>
      <c r="L887" t="s">
        <v>43</v>
      </c>
      <c r="M887" t="s">
        <v>43</v>
      </c>
      <c r="N887" t="s">
        <v>45</v>
      </c>
      <c r="O887" t="s">
        <v>43</v>
      </c>
      <c r="P887" t="s">
        <v>43</v>
      </c>
      <c r="Q887" t="s">
        <v>43</v>
      </c>
      <c r="R887" t="s">
        <v>43</v>
      </c>
      <c r="S887" t="s">
        <v>43</v>
      </c>
      <c r="T887" t="s">
        <v>43</v>
      </c>
      <c r="U887" t="s">
        <v>43</v>
      </c>
      <c r="V887" t="s">
        <v>43</v>
      </c>
      <c r="W887" t="s">
        <v>43</v>
      </c>
      <c r="X887" t="s">
        <v>43</v>
      </c>
      <c r="Y887" t="s">
        <v>43</v>
      </c>
      <c r="Z887" t="s">
        <v>43</v>
      </c>
      <c r="AA887" t="s">
        <v>43</v>
      </c>
      <c r="AB887" t="s">
        <v>43</v>
      </c>
      <c r="AC887" t="s">
        <v>43</v>
      </c>
      <c r="AD887" t="s">
        <v>43</v>
      </c>
      <c r="AE887" t="s">
        <v>43</v>
      </c>
      <c r="AF887" t="s">
        <v>43</v>
      </c>
      <c r="AG887" t="s">
        <v>43</v>
      </c>
      <c r="AH887" t="s">
        <v>43</v>
      </c>
      <c r="AI887" t="s">
        <v>43</v>
      </c>
      <c r="AJ887" t="s">
        <v>43</v>
      </c>
      <c r="AK887" t="s">
        <v>43</v>
      </c>
      <c r="AL887" t="s">
        <v>43</v>
      </c>
      <c r="AM887" t="s">
        <v>43</v>
      </c>
      <c r="AN887" t="str">
        <f>HYPERLINK("https://www.google.com/maps?q=11.05475426,79.06084442","Open Location")</f>
        <v>Open Location</v>
      </c>
    </row>
    <row r="888" spans="1:40" x14ac:dyDescent="0.3">
      <c r="A888" s="1">
        <v>46210.896990740737</v>
      </c>
      <c r="B888" t="s">
        <v>40</v>
      </c>
      <c r="C888" t="s">
        <v>41</v>
      </c>
      <c r="D888" s="1">
        <v>46210.89984953704</v>
      </c>
      <c r="E888" t="s">
        <v>42</v>
      </c>
      <c r="F888" t="s">
        <v>43</v>
      </c>
      <c r="G888" t="s">
        <v>43</v>
      </c>
      <c r="H888" t="s">
        <v>43</v>
      </c>
      <c r="I888" t="s">
        <v>406</v>
      </c>
      <c r="J888" t="s">
        <v>43</v>
      </c>
      <c r="K888" t="s">
        <v>43</v>
      </c>
      <c r="L888" t="s">
        <v>43</v>
      </c>
      <c r="M888" t="s">
        <v>43</v>
      </c>
      <c r="N888" t="s">
        <v>45</v>
      </c>
      <c r="O888" t="s">
        <v>43</v>
      </c>
      <c r="P888" t="s">
        <v>43</v>
      </c>
      <c r="Q888" t="s">
        <v>43</v>
      </c>
      <c r="R888" t="s">
        <v>43</v>
      </c>
      <c r="S888" t="s">
        <v>43</v>
      </c>
      <c r="T888" t="s">
        <v>43</v>
      </c>
      <c r="U888" t="s">
        <v>43</v>
      </c>
      <c r="V888" t="s">
        <v>43</v>
      </c>
      <c r="W888" t="s">
        <v>43</v>
      </c>
      <c r="X888" t="s">
        <v>43</v>
      </c>
      <c r="Y888" t="s">
        <v>43</v>
      </c>
      <c r="Z888" t="s">
        <v>43</v>
      </c>
      <c r="AA888" t="s">
        <v>43</v>
      </c>
      <c r="AB888" t="s">
        <v>43</v>
      </c>
      <c r="AC888" t="s">
        <v>43</v>
      </c>
      <c r="AD888" t="s">
        <v>43</v>
      </c>
      <c r="AE888" t="s">
        <v>43</v>
      </c>
      <c r="AF888" t="s">
        <v>43</v>
      </c>
      <c r="AG888" t="s">
        <v>43</v>
      </c>
      <c r="AH888" t="s">
        <v>43</v>
      </c>
      <c r="AI888" t="s">
        <v>43</v>
      </c>
      <c r="AJ888" t="s">
        <v>43</v>
      </c>
      <c r="AK888" t="s">
        <v>43</v>
      </c>
      <c r="AL888" t="s">
        <v>43</v>
      </c>
      <c r="AM888" t="s">
        <v>43</v>
      </c>
      <c r="AN888" t="str">
        <f>HYPERLINK("https://www.google.com/maps?q=11.05475235,79.06083679","Open Location")</f>
        <v>Open Location</v>
      </c>
    </row>
    <row r="889" spans="1:40" x14ac:dyDescent="0.3">
      <c r="A889" s="1">
        <v>46210.896874999999</v>
      </c>
      <c r="B889" t="s">
        <v>40</v>
      </c>
      <c r="C889" t="s">
        <v>41</v>
      </c>
      <c r="D889" s="1">
        <v>46210.899780092594</v>
      </c>
      <c r="E889" t="s">
        <v>42</v>
      </c>
      <c r="F889" t="s">
        <v>43</v>
      </c>
      <c r="G889" t="s">
        <v>43</v>
      </c>
      <c r="H889" t="s">
        <v>43</v>
      </c>
      <c r="I889" t="s">
        <v>405</v>
      </c>
      <c r="J889" t="s">
        <v>43</v>
      </c>
      <c r="K889" t="s">
        <v>43</v>
      </c>
      <c r="L889" t="s">
        <v>43</v>
      </c>
      <c r="M889" t="s">
        <v>43</v>
      </c>
      <c r="N889" t="s">
        <v>45</v>
      </c>
      <c r="O889" t="s">
        <v>43</v>
      </c>
      <c r="P889" t="s">
        <v>43</v>
      </c>
      <c r="Q889" t="s">
        <v>43</v>
      </c>
      <c r="R889" t="s">
        <v>43</v>
      </c>
      <c r="S889" t="s">
        <v>43</v>
      </c>
      <c r="T889" t="s">
        <v>43</v>
      </c>
      <c r="U889" t="s">
        <v>43</v>
      </c>
      <c r="V889" t="s">
        <v>43</v>
      </c>
      <c r="W889" t="s">
        <v>43</v>
      </c>
      <c r="X889" t="s">
        <v>43</v>
      </c>
      <c r="Y889" t="s">
        <v>43</v>
      </c>
      <c r="Z889" t="s">
        <v>43</v>
      </c>
      <c r="AA889" t="s">
        <v>43</v>
      </c>
      <c r="AB889" t="s">
        <v>43</v>
      </c>
      <c r="AC889" t="s">
        <v>43</v>
      </c>
      <c r="AD889" t="s">
        <v>43</v>
      </c>
      <c r="AE889" t="s">
        <v>43</v>
      </c>
      <c r="AF889" t="s">
        <v>43</v>
      </c>
      <c r="AG889" t="s">
        <v>43</v>
      </c>
      <c r="AH889" t="s">
        <v>43</v>
      </c>
      <c r="AI889" t="s">
        <v>43</v>
      </c>
      <c r="AJ889" t="s">
        <v>43</v>
      </c>
      <c r="AK889" t="s">
        <v>43</v>
      </c>
      <c r="AL889" t="s">
        <v>43</v>
      </c>
      <c r="AM889" t="s">
        <v>43</v>
      </c>
      <c r="AN889" t="str">
        <f>HYPERLINK("https://www.google.com/maps?q=11.05475521,79.06084442","Open Location")</f>
        <v>Open Location</v>
      </c>
    </row>
    <row r="890" spans="1:40" x14ac:dyDescent="0.3">
      <c r="A890" s="1">
        <v>46210.89675925926</v>
      </c>
      <c r="B890" t="s">
        <v>40</v>
      </c>
      <c r="C890" t="s">
        <v>41</v>
      </c>
      <c r="D890" s="1">
        <v>46210.89949074074</v>
      </c>
      <c r="E890" t="s">
        <v>42</v>
      </c>
      <c r="F890" t="s">
        <v>43</v>
      </c>
      <c r="G890" t="s">
        <v>43</v>
      </c>
      <c r="H890" t="s">
        <v>43</v>
      </c>
      <c r="I890" t="s">
        <v>43</v>
      </c>
      <c r="J890" t="s">
        <v>43</v>
      </c>
      <c r="K890" t="s">
        <v>43</v>
      </c>
      <c r="L890" t="s">
        <v>43</v>
      </c>
      <c r="M890" t="s">
        <v>43</v>
      </c>
      <c r="N890" t="s">
        <v>45</v>
      </c>
      <c r="O890" t="s">
        <v>43</v>
      </c>
      <c r="P890" t="s">
        <v>43</v>
      </c>
      <c r="Q890" t="s">
        <v>43</v>
      </c>
      <c r="R890" t="s">
        <v>43</v>
      </c>
      <c r="S890" t="s">
        <v>43</v>
      </c>
      <c r="T890" t="s">
        <v>43</v>
      </c>
      <c r="U890" t="s">
        <v>43</v>
      </c>
      <c r="V890" t="s">
        <v>43</v>
      </c>
      <c r="W890" t="s">
        <v>43</v>
      </c>
      <c r="X890" t="s">
        <v>43</v>
      </c>
      <c r="Y890" t="s">
        <v>43</v>
      </c>
      <c r="Z890" t="s">
        <v>43</v>
      </c>
      <c r="AA890" t="s">
        <v>43</v>
      </c>
      <c r="AB890" t="s">
        <v>43</v>
      </c>
      <c r="AC890" t="s">
        <v>43</v>
      </c>
      <c r="AD890" t="s">
        <v>43</v>
      </c>
      <c r="AE890" t="s">
        <v>43</v>
      </c>
      <c r="AF890" t="s">
        <v>43</v>
      </c>
      <c r="AG890" t="s">
        <v>43</v>
      </c>
      <c r="AH890" t="s">
        <v>43</v>
      </c>
      <c r="AI890" t="s">
        <v>43</v>
      </c>
      <c r="AJ890" t="s">
        <v>43</v>
      </c>
      <c r="AK890" t="s">
        <v>43</v>
      </c>
      <c r="AL890" t="s">
        <v>43</v>
      </c>
      <c r="AM890" t="s">
        <v>43</v>
      </c>
      <c r="AN890" t="s">
        <v>43</v>
      </c>
    </row>
    <row r="891" spans="1:40" x14ac:dyDescent="0.3">
      <c r="A891" s="1">
        <v>46210.896643518521</v>
      </c>
      <c r="B891" t="s">
        <v>40</v>
      </c>
      <c r="C891" t="s">
        <v>41</v>
      </c>
      <c r="D891" s="1">
        <v>46210.899548611109</v>
      </c>
      <c r="E891" t="s">
        <v>42</v>
      </c>
      <c r="F891" t="s">
        <v>43</v>
      </c>
      <c r="G891" t="s">
        <v>43</v>
      </c>
      <c r="H891" t="s">
        <v>43</v>
      </c>
      <c r="I891" t="s">
        <v>407</v>
      </c>
      <c r="J891" t="s">
        <v>43</v>
      </c>
      <c r="K891" t="s">
        <v>43</v>
      </c>
      <c r="L891" t="s">
        <v>43</v>
      </c>
      <c r="M891" t="s">
        <v>43</v>
      </c>
      <c r="N891" t="s">
        <v>45</v>
      </c>
      <c r="O891" t="s">
        <v>43</v>
      </c>
      <c r="P891" t="s">
        <v>43</v>
      </c>
      <c r="Q891" t="s">
        <v>43</v>
      </c>
      <c r="R891" t="s">
        <v>43</v>
      </c>
      <c r="S891" t="s">
        <v>43</v>
      </c>
      <c r="T891" t="s">
        <v>43</v>
      </c>
      <c r="U891" t="s">
        <v>43</v>
      </c>
      <c r="V891" t="s">
        <v>43</v>
      </c>
      <c r="W891" t="s">
        <v>43</v>
      </c>
      <c r="X891" t="s">
        <v>43</v>
      </c>
      <c r="Y891" t="s">
        <v>43</v>
      </c>
      <c r="Z891" t="s">
        <v>43</v>
      </c>
      <c r="AA891" t="s">
        <v>43</v>
      </c>
      <c r="AB891" t="s">
        <v>43</v>
      </c>
      <c r="AC891" t="s">
        <v>43</v>
      </c>
      <c r="AD891" t="s">
        <v>43</v>
      </c>
      <c r="AE891" t="s">
        <v>43</v>
      </c>
      <c r="AF891" t="s">
        <v>43</v>
      </c>
      <c r="AG891" t="s">
        <v>43</v>
      </c>
      <c r="AH891" t="s">
        <v>43</v>
      </c>
      <c r="AI891" t="s">
        <v>43</v>
      </c>
      <c r="AJ891" t="s">
        <v>43</v>
      </c>
      <c r="AK891" t="s">
        <v>43</v>
      </c>
      <c r="AL891" t="s">
        <v>43</v>
      </c>
      <c r="AM891" t="s">
        <v>43</v>
      </c>
      <c r="AN891" t="str">
        <f>HYPERLINK("https://www.google.com/maps?q=11.05475426,79.06083679","Open Location")</f>
        <v>Open Location</v>
      </c>
    </row>
    <row r="892" spans="1:40" x14ac:dyDescent="0.3">
      <c r="A892" s="1">
        <v>46210.896527777775</v>
      </c>
      <c r="B892" t="s">
        <v>40</v>
      </c>
      <c r="C892" t="s">
        <v>41</v>
      </c>
      <c r="D892" s="1">
        <v>46210.899548611109</v>
      </c>
      <c r="E892" t="s">
        <v>42</v>
      </c>
      <c r="F892" t="s">
        <v>43</v>
      </c>
      <c r="G892" t="s">
        <v>43</v>
      </c>
      <c r="H892" t="s">
        <v>43</v>
      </c>
      <c r="I892" t="s">
        <v>408</v>
      </c>
      <c r="J892" t="s">
        <v>43</v>
      </c>
      <c r="K892" t="s">
        <v>43</v>
      </c>
      <c r="L892" t="s">
        <v>43</v>
      </c>
      <c r="M892" t="s">
        <v>43</v>
      </c>
      <c r="N892" t="s">
        <v>45</v>
      </c>
      <c r="O892" t="s">
        <v>43</v>
      </c>
      <c r="P892" t="s">
        <v>43</v>
      </c>
      <c r="Q892" t="s">
        <v>43</v>
      </c>
      <c r="R892" t="s">
        <v>43</v>
      </c>
      <c r="S892" t="s">
        <v>43</v>
      </c>
      <c r="T892" t="s">
        <v>43</v>
      </c>
      <c r="U892" t="s">
        <v>43</v>
      </c>
      <c r="V892" t="s">
        <v>43</v>
      </c>
      <c r="W892" t="s">
        <v>43</v>
      </c>
      <c r="X892" t="s">
        <v>43</v>
      </c>
      <c r="Y892" t="s">
        <v>43</v>
      </c>
      <c r="Z892" t="s">
        <v>43</v>
      </c>
      <c r="AA892" t="s">
        <v>43</v>
      </c>
      <c r="AB892" t="s">
        <v>43</v>
      </c>
      <c r="AC892" t="s">
        <v>43</v>
      </c>
      <c r="AD892" t="s">
        <v>43</v>
      </c>
      <c r="AE892" t="s">
        <v>43</v>
      </c>
      <c r="AF892" t="s">
        <v>43</v>
      </c>
      <c r="AG892" t="s">
        <v>43</v>
      </c>
      <c r="AH892" t="s">
        <v>43</v>
      </c>
      <c r="AI892" t="s">
        <v>43</v>
      </c>
      <c r="AJ892" t="s">
        <v>43</v>
      </c>
      <c r="AK892" t="s">
        <v>43</v>
      </c>
      <c r="AL892" t="s">
        <v>43</v>
      </c>
      <c r="AM892" t="s">
        <v>43</v>
      </c>
      <c r="AN892" t="str">
        <f>HYPERLINK("https://www.google.com/maps?q=11.05475521,79.06083679","Open Location")</f>
        <v>Open Location</v>
      </c>
    </row>
    <row r="893" spans="1:40" x14ac:dyDescent="0.3">
      <c r="A893" s="1">
        <v>46210.896412037036</v>
      </c>
      <c r="B893" t="s">
        <v>40</v>
      </c>
      <c r="C893" t="s">
        <v>41</v>
      </c>
      <c r="D893" s="1">
        <v>46210.899305555555</v>
      </c>
      <c r="E893" t="s">
        <v>42</v>
      </c>
      <c r="F893" t="s">
        <v>43</v>
      </c>
      <c r="G893" t="s">
        <v>43</v>
      </c>
      <c r="H893" t="s">
        <v>43</v>
      </c>
      <c r="I893" t="s">
        <v>409</v>
      </c>
      <c r="J893" t="s">
        <v>43</v>
      </c>
      <c r="K893" t="s">
        <v>43</v>
      </c>
      <c r="L893" t="s">
        <v>43</v>
      </c>
      <c r="M893" t="s">
        <v>43</v>
      </c>
      <c r="N893" t="s">
        <v>45</v>
      </c>
      <c r="O893" t="s">
        <v>43</v>
      </c>
      <c r="P893" t="s">
        <v>43</v>
      </c>
      <c r="Q893" t="s">
        <v>43</v>
      </c>
      <c r="R893" t="s">
        <v>43</v>
      </c>
      <c r="S893" t="s">
        <v>43</v>
      </c>
      <c r="T893" t="s">
        <v>43</v>
      </c>
      <c r="U893" t="s">
        <v>43</v>
      </c>
      <c r="V893" t="s">
        <v>43</v>
      </c>
      <c r="W893" t="s">
        <v>43</v>
      </c>
      <c r="X893" t="s">
        <v>43</v>
      </c>
      <c r="Y893" t="s">
        <v>43</v>
      </c>
      <c r="Z893" t="s">
        <v>43</v>
      </c>
      <c r="AA893" t="s">
        <v>43</v>
      </c>
      <c r="AB893" t="s">
        <v>43</v>
      </c>
      <c r="AC893" t="s">
        <v>43</v>
      </c>
      <c r="AD893" t="s">
        <v>43</v>
      </c>
      <c r="AE893" t="s">
        <v>43</v>
      </c>
      <c r="AF893" t="s">
        <v>43</v>
      </c>
      <c r="AG893" t="s">
        <v>43</v>
      </c>
      <c r="AH893" t="s">
        <v>43</v>
      </c>
      <c r="AI893" t="s">
        <v>43</v>
      </c>
      <c r="AJ893" t="s">
        <v>43</v>
      </c>
      <c r="AK893" t="s">
        <v>43</v>
      </c>
      <c r="AL893" t="s">
        <v>43</v>
      </c>
      <c r="AM893" t="s">
        <v>43</v>
      </c>
      <c r="AN893" t="str">
        <f>HYPERLINK("https://www.google.com/maps?q=11.0547533,79.06083679","Open Location")</f>
        <v>Open Location</v>
      </c>
    </row>
    <row r="894" spans="1:40" x14ac:dyDescent="0.3">
      <c r="A894" s="1">
        <v>46210.896296296298</v>
      </c>
      <c r="B894" t="s">
        <v>40</v>
      </c>
      <c r="C894" t="s">
        <v>41</v>
      </c>
      <c r="D894" s="1">
        <v>46210.899305555555</v>
      </c>
      <c r="E894" t="s">
        <v>42</v>
      </c>
      <c r="F894" t="s">
        <v>43</v>
      </c>
      <c r="G894" t="s">
        <v>43</v>
      </c>
      <c r="H894" t="s">
        <v>43</v>
      </c>
      <c r="I894" t="s">
        <v>406</v>
      </c>
      <c r="J894" t="s">
        <v>43</v>
      </c>
      <c r="K894" t="s">
        <v>43</v>
      </c>
      <c r="L894" t="s">
        <v>43</v>
      </c>
      <c r="M894" t="s">
        <v>43</v>
      </c>
      <c r="N894" t="s">
        <v>45</v>
      </c>
      <c r="O894" t="s">
        <v>43</v>
      </c>
      <c r="P894" t="s">
        <v>43</v>
      </c>
      <c r="Q894" t="s">
        <v>43</v>
      </c>
      <c r="R894" t="s">
        <v>43</v>
      </c>
      <c r="S894" t="s">
        <v>43</v>
      </c>
      <c r="T894" t="s">
        <v>43</v>
      </c>
      <c r="U894" t="s">
        <v>43</v>
      </c>
      <c r="V894" t="s">
        <v>43</v>
      </c>
      <c r="W894" t="s">
        <v>43</v>
      </c>
      <c r="X894" t="s">
        <v>43</v>
      </c>
      <c r="Y894" t="s">
        <v>43</v>
      </c>
      <c r="Z894" t="s">
        <v>43</v>
      </c>
      <c r="AA894" t="s">
        <v>43</v>
      </c>
      <c r="AB894" t="s">
        <v>43</v>
      </c>
      <c r="AC894" t="s">
        <v>43</v>
      </c>
      <c r="AD894" t="s">
        <v>43</v>
      </c>
      <c r="AE894" t="s">
        <v>43</v>
      </c>
      <c r="AF894" t="s">
        <v>43</v>
      </c>
      <c r="AG894" t="s">
        <v>43</v>
      </c>
      <c r="AH894" t="s">
        <v>43</v>
      </c>
      <c r="AI894" t="s">
        <v>43</v>
      </c>
      <c r="AJ894" t="s">
        <v>43</v>
      </c>
      <c r="AK894" t="s">
        <v>43</v>
      </c>
      <c r="AL894" t="s">
        <v>43</v>
      </c>
      <c r="AM894" t="s">
        <v>43</v>
      </c>
      <c r="AN894" t="str">
        <f>HYPERLINK("https://www.google.com/maps?q=11.05475235,79.06083679","Open Location")</f>
        <v>Open Location</v>
      </c>
    </row>
    <row r="895" spans="1:40" x14ac:dyDescent="0.3">
      <c r="A895" s="1">
        <v>46210.896180555559</v>
      </c>
      <c r="B895" t="s">
        <v>40</v>
      </c>
      <c r="C895" t="s">
        <v>41</v>
      </c>
      <c r="D895" s="1">
        <v>46210.89912037037</v>
      </c>
      <c r="E895" t="s">
        <v>42</v>
      </c>
      <c r="F895" t="s">
        <v>43</v>
      </c>
      <c r="G895" t="s">
        <v>43</v>
      </c>
      <c r="H895" t="s">
        <v>43</v>
      </c>
      <c r="I895" t="s">
        <v>409</v>
      </c>
      <c r="J895" t="s">
        <v>43</v>
      </c>
      <c r="K895" t="s">
        <v>43</v>
      </c>
      <c r="L895" t="s">
        <v>43</v>
      </c>
      <c r="M895" t="s">
        <v>43</v>
      </c>
      <c r="N895" t="s">
        <v>45</v>
      </c>
      <c r="O895" t="s">
        <v>43</v>
      </c>
      <c r="P895" t="s">
        <v>43</v>
      </c>
      <c r="Q895" t="s">
        <v>43</v>
      </c>
      <c r="R895" t="s">
        <v>43</v>
      </c>
      <c r="S895" t="s">
        <v>43</v>
      </c>
      <c r="T895" t="s">
        <v>43</v>
      </c>
      <c r="U895" t="s">
        <v>43</v>
      </c>
      <c r="V895" t="s">
        <v>43</v>
      </c>
      <c r="W895" t="s">
        <v>43</v>
      </c>
      <c r="X895" t="s">
        <v>43</v>
      </c>
      <c r="Y895" t="s">
        <v>43</v>
      </c>
      <c r="Z895" t="s">
        <v>43</v>
      </c>
      <c r="AA895" t="s">
        <v>43</v>
      </c>
      <c r="AB895" t="s">
        <v>43</v>
      </c>
      <c r="AC895" t="s">
        <v>43</v>
      </c>
      <c r="AD895" t="s">
        <v>43</v>
      </c>
      <c r="AE895" t="s">
        <v>43</v>
      </c>
      <c r="AF895" t="s">
        <v>43</v>
      </c>
      <c r="AG895" t="s">
        <v>43</v>
      </c>
      <c r="AH895" t="s">
        <v>43</v>
      </c>
      <c r="AI895" t="s">
        <v>43</v>
      </c>
      <c r="AJ895" t="s">
        <v>43</v>
      </c>
      <c r="AK895" t="s">
        <v>43</v>
      </c>
      <c r="AL895" t="s">
        <v>43</v>
      </c>
      <c r="AM895" t="s">
        <v>43</v>
      </c>
      <c r="AN895" t="str">
        <f>HYPERLINK("https://www.google.com/maps?q=11.0547533,79.06083679","Open Location")</f>
        <v>Open Location</v>
      </c>
    </row>
    <row r="896" spans="1:40" x14ac:dyDescent="0.3">
      <c r="A896" s="1">
        <v>46210.896064814813</v>
      </c>
      <c r="B896" t="s">
        <v>40</v>
      </c>
      <c r="C896" t="s">
        <v>41</v>
      </c>
      <c r="D896" s="1">
        <v>46210.898738425924</v>
      </c>
      <c r="E896" t="s">
        <v>42</v>
      </c>
      <c r="F896" t="s">
        <v>43</v>
      </c>
      <c r="G896" t="s">
        <v>43</v>
      </c>
      <c r="H896" t="s">
        <v>43</v>
      </c>
      <c r="I896" t="s">
        <v>43</v>
      </c>
      <c r="J896" t="s">
        <v>43</v>
      </c>
      <c r="K896" t="s">
        <v>43</v>
      </c>
      <c r="L896" t="s">
        <v>43</v>
      </c>
      <c r="M896" t="s">
        <v>43</v>
      </c>
      <c r="N896" t="s">
        <v>45</v>
      </c>
      <c r="O896" t="s">
        <v>43</v>
      </c>
      <c r="P896" t="s">
        <v>43</v>
      </c>
      <c r="Q896" t="s">
        <v>43</v>
      </c>
      <c r="R896" t="s">
        <v>43</v>
      </c>
      <c r="S896" t="s">
        <v>43</v>
      </c>
      <c r="T896" t="s">
        <v>43</v>
      </c>
      <c r="U896" t="s">
        <v>43</v>
      </c>
      <c r="V896" t="s">
        <v>43</v>
      </c>
      <c r="W896" t="s">
        <v>43</v>
      </c>
      <c r="X896" t="s">
        <v>43</v>
      </c>
      <c r="Y896" t="s">
        <v>43</v>
      </c>
      <c r="Z896" t="s">
        <v>43</v>
      </c>
      <c r="AA896" t="s">
        <v>43</v>
      </c>
      <c r="AB896" t="s">
        <v>43</v>
      </c>
      <c r="AC896" t="s">
        <v>43</v>
      </c>
      <c r="AD896" t="s">
        <v>43</v>
      </c>
      <c r="AE896" t="s">
        <v>43</v>
      </c>
      <c r="AF896" t="s">
        <v>43</v>
      </c>
      <c r="AG896" t="s">
        <v>43</v>
      </c>
      <c r="AH896" t="s">
        <v>43</v>
      </c>
      <c r="AI896" t="s">
        <v>43</v>
      </c>
      <c r="AJ896" t="s">
        <v>43</v>
      </c>
      <c r="AK896" t="s">
        <v>43</v>
      </c>
      <c r="AL896" t="s">
        <v>43</v>
      </c>
      <c r="AM896" t="s">
        <v>43</v>
      </c>
      <c r="AN896" t="s">
        <v>43</v>
      </c>
    </row>
    <row r="897" spans="1:40" x14ac:dyDescent="0.3">
      <c r="A897" s="1">
        <v>46210.895949074074</v>
      </c>
      <c r="B897" t="s">
        <v>40</v>
      </c>
      <c r="C897" t="s">
        <v>41</v>
      </c>
      <c r="D897" s="1">
        <v>46210.898888888885</v>
      </c>
      <c r="E897" t="s">
        <v>42</v>
      </c>
      <c r="F897" t="s">
        <v>43</v>
      </c>
      <c r="G897" t="s">
        <v>43</v>
      </c>
      <c r="H897" t="s">
        <v>43</v>
      </c>
      <c r="I897" t="s">
        <v>398</v>
      </c>
      <c r="J897" t="s">
        <v>43</v>
      </c>
      <c r="K897" t="s">
        <v>43</v>
      </c>
      <c r="L897" t="s">
        <v>43</v>
      </c>
      <c r="M897" t="s">
        <v>43</v>
      </c>
      <c r="N897" t="s">
        <v>45</v>
      </c>
      <c r="O897" t="s">
        <v>43</v>
      </c>
      <c r="P897" t="s">
        <v>43</v>
      </c>
      <c r="Q897" t="s">
        <v>43</v>
      </c>
      <c r="R897" t="s">
        <v>43</v>
      </c>
      <c r="S897" t="s">
        <v>43</v>
      </c>
      <c r="T897" t="s">
        <v>43</v>
      </c>
      <c r="U897" t="s">
        <v>43</v>
      </c>
      <c r="V897" t="s">
        <v>43</v>
      </c>
      <c r="W897" t="s">
        <v>43</v>
      </c>
      <c r="X897" t="s">
        <v>43</v>
      </c>
      <c r="Y897" t="s">
        <v>43</v>
      </c>
      <c r="Z897" t="s">
        <v>43</v>
      </c>
      <c r="AA897" t="s">
        <v>43</v>
      </c>
      <c r="AB897" t="s">
        <v>43</v>
      </c>
      <c r="AC897" t="s">
        <v>43</v>
      </c>
      <c r="AD897" t="s">
        <v>43</v>
      </c>
      <c r="AE897" t="s">
        <v>43</v>
      </c>
      <c r="AF897" t="s">
        <v>43</v>
      </c>
      <c r="AG897" t="s">
        <v>43</v>
      </c>
      <c r="AH897" t="s">
        <v>43</v>
      </c>
      <c r="AI897" t="s">
        <v>43</v>
      </c>
      <c r="AJ897" t="s">
        <v>43</v>
      </c>
      <c r="AK897" t="s">
        <v>43</v>
      </c>
      <c r="AL897" t="s">
        <v>43</v>
      </c>
      <c r="AM897" t="s">
        <v>43</v>
      </c>
      <c r="AN897" t="str">
        <f>HYPERLINK("https://www.google.com/maps?q=11.05475426,79.06084442","Open Location")</f>
        <v>Open Location</v>
      </c>
    </row>
    <row r="898" spans="1:40" x14ac:dyDescent="0.3">
      <c r="A898" s="1">
        <v>46210.895833333336</v>
      </c>
      <c r="B898" t="s">
        <v>40</v>
      </c>
      <c r="C898" t="s">
        <v>41</v>
      </c>
      <c r="D898" s="1">
        <v>46210.898888888885</v>
      </c>
      <c r="E898" t="s">
        <v>42</v>
      </c>
      <c r="F898" t="s">
        <v>43</v>
      </c>
      <c r="G898" t="s">
        <v>43</v>
      </c>
      <c r="H898" t="s">
        <v>43</v>
      </c>
      <c r="I898" t="s">
        <v>398</v>
      </c>
      <c r="J898" t="s">
        <v>43</v>
      </c>
      <c r="K898" t="s">
        <v>43</v>
      </c>
      <c r="L898" t="s">
        <v>43</v>
      </c>
      <c r="M898" t="s">
        <v>43</v>
      </c>
      <c r="N898" t="s">
        <v>45</v>
      </c>
      <c r="O898" t="s">
        <v>43</v>
      </c>
      <c r="P898" t="s">
        <v>43</v>
      </c>
      <c r="Q898" t="s">
        <v>43</v>
      </c>
      <c r="R898" t="s">
        <v>43</v>
      </c>
      <c r="S898" t="s">
        <v>43</v>
      </c>
      <c r="T898" t="s">
        <v>43</v>
      </c>
      <c r="U898" t="s">
        <v>43</v>
      </c>
      <c r="V898" t="s">
        <v>43</v>
      </c>
      <c r="W898" t="s">
        <v>43</v>
      </c>
      <c r="X898" t="s">
        <v>43</v>
      </c>
      <c r="Y898" t="s">
        <v>43</v>
      </c>
      <c r="Z898" t="s">
        <v>43</v>
      </c>
      <c r="AA898" t="s">
        <v>43</v>
      </c>
      <c r="AB898" t="s">
        <v>43</v>
      </c>
      <c r="AC898" t="s">
        <v>43</v>
      </c>
      <c r="AD898" t="s">
        <v>43</v>
      </c>
      <c r="AE898" t="s">
        <v>43</v>
      </c>
      <c r="AF898" t="s">
        <v>43</v>
      </c>
      <c r="AG898" t="s">
        <v>43</v>
      </c>
      <c r="AH898" t="s">
        <v>43</v>
      </c>
      <c r="AI898" t="s">
        <v>43</v>
      </c>
      <c r="AJ898" t="s">
        <v>43</v>
      </c>
      <c r="AK898" t="s">
        <v>43</v>
      </c>
      <c r="AL898" t="s">
        <v>43</v>
      </c>
      <c r="AM898" t="s">
        <v>43</v>
      </c>
      <c r="AN898" t="str">
        <f>HYPERLINK("https://www.google.com/maps?q=11.05475426,79.06084442","Open Location")</f>
        <v>Open Location</v>
      </c>
    </row>
    <row r="899" spans="1:40" x14ac:dyDescent="0.3">
      <c r="A899" s="1">
        <v>46210.89571759259</v>
      </c>
      <c r="B899" t="s">
        <v>40</v>
      </c>
      <c r="C899" t="s">
        <v>41</v>
      </c>
      <c r="D899" s="1">
        <v>46210.898530092592</v>
      </c>
      <c r="E899" t="s">
        <v>42</v>
      </c>
      <c r="F899" t="s">
        <v>43</v>
      </c>
      <c r="G899" t="s">
        <v>43</v>
      </c>
      <c r="H899" t="s">
        <v>43</v>
      </c>
      <c r="I899" t="s">
        <v>405</v>
      </c>
      <c r="J899" t="s">
        <v>43</v>
      </c>
      <c r="K899" t="s">
        <v>43</v>
      </c>
      <c r="L899" t="s">
        <v>43</v>
      </c>
      <c r="M899" t="s">
        <v>43</v>
      </c>
      <c r="N899" t="s">
        <v>45</v>
      </c>
      <c r="O899" t="s">
        <v>43</v>
      </c>
      <c r="P899" t="s">
        <v>43</v>
      </c>
      <c r="Q899" t="s">
        <v>43</v>
      </c>
      <c r="R899" t="s">
        <v>43</v>
      </c>
      <c r="S899" t="s">
        <v>43</v>
      </c>
      <c r="T899" t="s">
        <v>43</v>
      </c>
      <c r="U899" t="s">
        <v>43</v>
      </c>
      <c r="V899" t="s">
        <v>43</v>
      </c>
      <c r="W899" t="s">
        <v>43</v>
      </c>
      <c r="X899" t="s">
        <v>43</v>
      </c>
      <c r="Y899" t="s">
        <v>43</v>
      </c>
      <c r="Z899" t="s">
        <v>43</v>
      </c>
      <c r="AA899" t="s">
        <v>43</v>
      </c>
      <c r="AB899" t="s">
        <v>43</v>
      </c>
      <c r="AC899" t="s">
        <v>43</v>
      </c>
      <c r="AD899" t="s">
        <v>43</v>
      </c>
      <c r="AE899" t="s">
        <v>43</v>
      </c>
      <c r="AF899" t="s">
        <v>43</v>
      </c>
      <c r="AG899" t="s">
        <v>43</v>
      </c>
      <c r="AH899" t="s">
        <v>43</v>
      </c>
      <c r="AI899" t="s">
        <v>43</v>
      </c>
      <c r="AJ899" t="s">
        <v>43</v>
      </c>
      <c r="AK899" t="s">
        <v>43</v>
      </c>
      <c r="AL899" t="s">
        <v>43</v>
      </c>
      <c r="AM899" t="s">
        <v>43</v>
      </c>
      <c r="AN899" t="str">
        <f>HYPERLINK("https://www.google.com/maps?q=11.05475521,79.06084442","Open Location")</f>
        <v>Open Location</v>
      </c>
    </row>
    <row r="900" spans="1:40" x14ac:dyDescent="0.3">
      <c r="A900" s="1">
        <v>46210.895601851851</v>
      </c>
      <c r="B900" t="s">
        <v>40</v>
      </c>
      <c r="C900" t="s">
        <v>41</v>
      </c>
      <c r="D900" s="1">
        <v>46210.898530092592</v>
      </c>
      <c r="E900" t="s">
        <v>42</v>
      </c>
      <c r="F900" t="s">
        <v>43</v>
      </c>
      <c r="G900" t="s">
        <v>43</v>
      </c>
      <c r="H900" t="s">
        <v>43</v>
      </c>
      <c r="I900" t="s">
        <v>398</v>
      </c>
      <c r="J900" t="s">
        <v>43</v>
      </c>
      <c r="K900" t="s">
        <v>43</v>
      </c>
      <c r="L900" t="s">
        <v>43</v>
      </c>
      <c r="M900" t="s">
        <v>43</v>
      </c>
      <c r="N900" t="s">
        <v>45</v>
      </c>
      <c r="O900" t="s">
        <v>43</v>
      </c>
      <c r="P900" t="s">
        <v>43</v>
      </c>
      <c r="Q900" t="s">
        <v>43</v>
      </c>
      <c r="R900" t="s">
        <v>43</v>
      </c>
      <c r="S900" t="s">
        <v>43</v>
      </c>
      <c r="T900" t="s">
        <v>43</v>
      </c>
      <c r="U900" t="s">
        <v>43</v>
      </c>
      <c r="V900" t="s">
        <v>43</v>
      </c>
      <c r="W900" t="s">
        <v>43</v>
      </c>
      <c r="X900" t="s">
        <v>43</v>
      </c>
      <c r="Y900" t="s">
        <v>43</v>
      </c>
      <c r="Z900" t="s">
        <v>43</v>
      </c>
      <c r="AA900" t="s">
        <v>43</v>
      </c>
      <c r="AB900" t="s">
        <v>43</v>
      </c>
      <c r="AC900" t="s">
        <v>43</v>
      </c>
      <c r="AD900" t="s">
        <v>43</v>
      </c>
      <c r="AE900" t="s">
        <v>43</v>
      </c>
      <c r="AF900" t="s">
        <v>43</v>
      </c>
      <c r="AG900" t="s">
        <v>43</v>
      </c>
      <c r="AH900" t="s">
        <v>43</v>
      </c>
      <c r="AI900" t="s">
        <v>43</v>
      </c>
      <c r="AJ900" t="s">
        <v>43</v>
      </c>
      <c r="AK900" t="s">
        <v>43</v>
      </c>
      <c r="AL900" t="s">
        <v>43</v>
      </c>
      <c r="AM900" t="s">
        <v>43</v>
      </c>
      <c r="AN900" t="str">
        <f>HYPERLINK("https://www.google.com/maps?q=11.05475426,79.06084442","Open Location")</f>
        <v>Open Location</v>
      </c>
    </row>
    <row r="901" spans="1:40" x14ac:dyDescent="0.3">
      <c r="A901" s="1">
        <v>46210.895486111112</v>
      </c>
      <c r="B901" t="s">
        <v>40</v>
      </c>
      <c r="C901" t="s">
        <v>41</v>
      </c>
      <c r="D901" s="1">
        <v>46210.898298611108</v>
      </c>
      <c r="E901" t="s">
        <v>42</v>
      </c>
      <c r="F901" t="s">
        <v>43</v>
      </c>
      <c r="G901" t="s">
        <v>43</v>
      </c>
      <c r="H901" t="s">
        <v>43</v>
      </c>
      <c r="I901" t="s">
        <v>43</v>
      </c>
      <c r="J901" t="s">
        <v>43</v>
      </c>
      <c r="K901" t="s">
        <v>43</v>
      </c>
      <c r="L901" t="s">
        <v>43</v>
      </c>
      <c r="M901" t="s">
        <v>43</v>
      </c>
      <c r="N901" t="s">
        <v>45</v>
      </c>
      <c r="O901" t="s">
        <v>43</v>
      </c>
      <c r="P901" t="s">
        <v>43</v>
      </c>
      <c r="Q901" t="s">
        <v>43</v>
      </c>
      <c r="R901" t="s">
        <v>43</v>
      </c>
      <c r="S901" t="s">
        <v>43</v>
      </c>
      <c r="T901" t="s">
        <v>43</v>
      </c>
      <c r="U901" t="s">
        <v>43</v>
      </c>
      <c r="V901" t="s">
        <v>43</v>
      </c>
      <c r="W901" t="s">
        <v>43</v>
      </c>
      <c r="X901" t="s">
        <v>43</v>
      </c>
      <c r="Y901" t="s">
        <v>43</v>
      </c>
      <c r="Z901" t="s">
        <v>43</v>
      </c>
      <c r="AA901" t="s">
        <v>43</v>
      </c>
      <c r="AB901" t="s">
        <v>43</v>
      </c>
      <c r="AC901" t="s">
        <v>43</v>
      </c>
      <c r="AD901" t="s">
        <v>43</v>
      </c>
      <c r="AE901" t="s">
        <v>43</v>
      </c>
      <c r="AF901" t="s">
        <v>43</v>
      </c>
      <c r="AG901" t="s">
        <v>43</v>
      </c>
      <c r="AH901" t="s">
        <v>43</v>
      </c>
      <c r="AI901" t="s">
        <v>43</v>
      </c>
      <c r="AJ901" t="s">
        <v>43</v>
      </c>
      <c r="AK901" t="s">
        <v>43</v>
      </c>
      <c r="AL901" t="s">
        <v>43</v>
      </c>
      <c r="AM901" t="s">
        <v>43</v>
      </c>
      <c r="AN901" t="s">
        <v>43</v>
      </c>
    </row>
    <row r="902" spans="1:40" x14ac:dyDescent="0.3">
      <c r="A902" s="1">
        <v>46210.895370370374</v>
      </c>
      <c r="B902" t="s">
        <v>40</v>
      </c>
      <c r="C902" t="s">
        <v>41</v>
      </c>
      <c r="D902" s="1">
        <v>46210.898252314815</v>
      </c>
      <c r="E902" t="s">
        <v>42</v>
      </c>
      <c r="F902" t="s">
        <v>43</v>
      </c>
      <c r="G902" t="s">
        <v>43</v>
      </c>
      <c r="H902" t="s">
        <v>43</v>
      </c>
      <c r="I902" t="s">
        <v>410</v>
      </c>
      <c r="J902" t="s">
        <v>43</v>
      </c>
      <c r="K902" t="s">
        <v>43</v>
      </c>
      <c r="L902" t="s">
        <v>43</v>
      </c>
      <c r="M902" t="s">
        <v>43</v>
      </c>
      <c r="N902" t="s">
        <v>45</v>
      </c>
      <c r="O902" t="s">
        <v>43</v>
      </c>
      <c r="P902" t="s">
        <v>43</v>
      </c>
      <c r="Q902" t="s">
        <v>43</v>
      </c>
      <c r="R902" t="s">
        <v>43</v>
      </c>
      <c r="S902" t="s">
        <v>43</v>
      </c>
      <c r="T902" t="s">
        <v>43</v>
      </c>
      <c r="U902" t="s">
        <v>43</v>
      </c>
      <c r="V902" t="s">
        <v>43</v>
      </c>
      <c r="W902" t="s">
        <v>43</v>
      </c>
      <c r="X902" t="s">
        <v>43</v>
      </c>
      <c r="Y902" t="s">
        <v>43</v>
      </c>
      <c r="Z902" t="s">
        <v>43</v>
      </c>
      <c r="AA902" t="s">
        <v>43</v>
      </c>
      <c r="AB902" t="s">
        <v>43</v>
      </c>
      <c r="AC902" t="s">
        <v>43</v>
      </c>
      <c r="AD902" t="s">
        <v>43</v>
      </c>
      <c r="AE902" t="s">
        <v>43</v>
      </c>
      <c r="AF902" t="s">
        <v>43</v>
      </c>
      <c r="AG902" t="s">
        <v>43</v>
      </c>
      <c r="AH902" t="s">
        <v>43</v>
      </c>
      <c r="AI902" t="s">
        <v>43</v>
      </c>
      <c r="AJ902" t="s">
        <v>43</v>
      </c>
      <c r="AK902" t="s">
        <v>43</v>
      </c>
      <c r="AL902" t="s">
        <v>43</v>
      </c>
      <c r="AM902" t="s">
        <v>43</v>
      </c>
      <c r="AN902" t="str">
        <f>HYPERLINK("https://www.google.com/maps?q=11.05475235,79.06084442","Open Location")</f>
        <v>Open Location</v>
      </c>
    </row>
    <row r="903" spans="1:40" x14ac:dyDescent="0.3">
      <c r="A903" s="1">
        <v>46210.895254629628</v>
      </c>
      <c r="B903" t="s">
        <v>40</v>
      </c>
      <c r="C903" t="s">
        <v>41</v>
      </c>
      <c r="D903" s="1">
        <v>46210.898043981484</v>
      </c>
      <c r="E903" t="s">
        <v>42</v>
      </c>
      <c r="F903" t="s">
        <v>43</v>
      </c>
      <c r="G903" t="s">
        <v>43</v>
      </c>
      <c r="H903" t="s">
        <v>43</v>
      </c>
      <c r="I903" t="s">
        <v>410</v>
      </c>
      <c r="J903" t="s">
        <v>43</v>
      </c>
      <c r="K903" t="s">
        <v>43</v>
      </c>
      <c r="L903" t="s">
        <v>43</v>
      </c>
      <c r="M903" t="s">
        <v>43</v>
      </c>
      <c r="N903" t="s">
        <v>45</v>
      </c>
      <c r="O903" t="s">
        <v>43</v>
      </c>
      <c r="P903" t="s">
        <v>43</v>
      </c>
      <c r="Q903" t="s">
        <v>43</v>
      </c>
      <c r="R903" t="s">
        <v>43</v>
      </c>
      <c r="S903" t="s">
        <v>43</v>
      </c>
      <c r="T903" t="s">
        <v>43</v>
      </c>
      <c r="U903" t="s">
        <v>43</v>
      </c>
      <c r="V903" t="s">
        <v>43</v>
      </c>
      <c r="W903" t="s">
        <v>43</v>
      </c>
      <c r="X903" t="s">
        <v>43</v>
      </c>
      <c r="Y903" t="s">
        <v>43</v>
      </c>
      <c r="Z903" t="s">
        <v>43</v>
      </c>
      <c r="AA903" t="s">
        <v>43</v>
      </c>
      <c r="AB903" t="s">
        <v>43</v>
      </c>
      <c r="AC903" t="s">
        <v>43</v>
      </c>
      <c r="AD903" t="s">
        <v>43</v>
      </c>
      <c r="AE903" t="s">
        <v>43</v>
      </c>
      <c r="AF903" t="s">
        <v>43</v>
      </c>
      <c r="AG903" t="s">
        <v>43</v>
      </c>
      <c r="AH903" t="s">
        <v>43</v>
      </c>
      <c r="AI903" t="s">
        <v>43</v>
      </c>
      <c r="AJ903" t="s">
        <v>43</v>
      </c>
      <c r="AK903" t="s">
        <v>43</v>
      </c>
      <c r="AL903" t="s">
        <v>43</v>
      </c>
      <c r="AM903" t="s">
        <v>43</v>
      </c>
      <c r="AN903" t="str">
        <f>HYPERLINK("https://www.google.com/maps?q=11.05475235,79.06084442","Open Location")</f>
        <v>Open Location</v>
      </c>
    </row>
    <row r="904" spans="1:40" x14ac:dyDescent="0.3">
      <c r="A904" s="1">
        <v>46210.895138888889</v>
      </c>
      <c r="B904" t="s">
        <v>40</v>
      </c>
      <c r="C904" t="s">
        <v>41</v>
      </c>
      <c r="D904" s="1">
        <v>46210.898344907408</v>
      </c>
      <c r="E904" t="s">
        <v>42</v>
      </c>
      <c r="F904" t="s">
        <v>43</v>
      </c>
      <c r="G904" t="s">
        <v>43</v>
      </c>
      <c r="H904" t="s">
        <v>43</v>
      </c>
      <c r="I904" t="s">
        <v>405</v>
      </c>
      <c r="J904" t="s">
        <v>43</v>
      </c>
      <c r="K904" t="s">
        <v>43</v>
      </c>
      <c r="L904" t="s">
        <v>43</v>
      </c>
      <c r="M904" t="s">
        <v>43</v>
      </c>
      <c r="N904" t="s">
        <v>45</v>
      </c>
      <c r="O904" t="s">
        <v>43</v>
      </c>
      <c r="P904" t="s">
        <v>43</v>
      </c>
      <c r="Q904" t="s">
        <v>43</v>
      </c>
      <c r="R904" t="s">
        <v>43</v>
      </c>
      <c r="S904" t="s">
        <v>43</v>
      </c>
      <c r="T904" t="s">
        <v>43</v>
      </c>
      <c r="U904" t="s">
        <v>43</v>
      </c>
      <c r="V904" t="s">
        <v>43</v>
      </c>
      <c r="W904" t="s">
        <v>43</v>
      </c>
      <c r="X904" t="s">
        <v>43</v>
      </c>
      <c r="Y904" t="s">
        <v>43</v>
      </c>
      <c r="Z904" t="s">
        <v>43</v>
      </c>
      <c r="AA904" t="s">
        <v>43</v>
      </c>
      <c r="AB904" t="s">
        <v>43</v>
      </c>
      <c r="AC904" t="s">
        <v>43</v>
      </c>
      <c r="AD904" t="s">
        <v>43</v>
      </c>
      <c r="AE904" t="s">
        <v>43</v>
      </c>
      <c r="AF904" t="s">
        <v>43</v>
      </c>
      <c r="AG904" t="s">
        <v>43</v>
      </c>
      <c r="AH904" t="s">
        <v>43</v>
      </c>
      <c r="AI904" t="s">
        <v>43</v>
      </c>
      <c r="AJ904" t="s">
        <v>43</v>
      </c>
      <c r="AK904" t="s">
        <v>43</v>
      </c>
      <c r="AL904" t="s">
        <v>43</v>
      </c>
      <c r="AM904" t="s">
        <v>43</v>
      </c>
      <c r="AN904" t="str">
        <f>HYPERLINK("https://www.google.com/maps?q=11.05475521,79.06084442","Open Location")</f>
        <v>Open Location</v>
      </c>
    </row>
    <row r="905" spans="1:40" x14ac:dyDescent="0.3">
      <c r="A905" s="1">
        <v>46210.89502314815</v>
      </c>
      <c r="B905" t="s">
        <v>40</v>
      </c>
      <c r="C905" t="s">
        <v>41</v>
      </c>
      <c r="D905" s="1">
        <v>46210.897974537038</v>
      </c>
      <c r="E905" t="s">
        <v>42</v>
      </c>
      <c r="F905" t="s">
        <v>43</v>
      </c>
      <c r="G905" t="s">
        <v>43</v>
      </c>
      <c r="H905" t="s">
        <v>43</v>
      </c>
      <c r="I905" t="s">
        <v>405</v>
      </c>
      <c r="J905" t="s">
        <v>43</v>
      </c>
      <c r="K905" t="s">
        <v>43</v>
      </c>
      <c r="L905" t="s">
        <v>43</v>
      </c>
      <c r="M905" t="s">
        <v>43</v>
      </c>
      <c r="N905" t="s">
        <v>45</v>
      </c>
      <c r="O905" t="s">
        <v>43</v>
      </c>
      <c r="P905" t="s">
        <v>43</v>
      </c>
      <c r="Q905" t="s">
        <v>43</v>
      </c>
      <c r="R905" t="s">
        <v>43</v>
      </c>
      <c r="S905" t="s">
        <v>43</v>
      </c>
      <c r="T905" t="s">
        <v>43</v>
      </c>
      <c r="U905" t="s">
        <v>43</v>
      </c>
      <c r="V905" t="s">
        <v>43</v>
      </c>
      <c r="W905" t="s">
        <v>43</v>
      </c>
      <c r="X905" t="s">
        <v>43</v>
      </c>
      <c r="Y905" t="s">
        <v>43</v>
      </c>
      <c r="Z905" t="s">
        <v>43</v>
      </c>
      <c r="AA905" t="s">
        <v>43</v>
      </c>
      <c r="AB905" t="s">
        <v>43</v>
      </c>
      <c r="AC905" t="s">
        <v>43</v>
      </c>
      <c r="AD905" t="s">
        <v>43</v>
      </c>
      <c r="AE905" t="s">
        <v>43</v>
      </c>
      <c r="AF905" t="s">
        <v>43</v>
      </c>
      <c r="AG905" t="s">
        <v>43</v>
      </c>
      <c r="AH905" t="s">
        <v>43</v>
      </c>
      <c r="AI905" t="s">
        <v>43</v>
      </c>
      <c r="AJ905" t="s">
        <v>43</v>
      </c>
      <c r="AK905" t="s">
        <v>43</v>
      </c>
      <c r="AL905" t="s">
        <v>43</v>
      </c>
      <c r="AM905" t="s">
        <v>43</v>
      </c>
      <c r="AN905" t="str">
        <f>HYPERLINK("https://www.google.com/maps?q=11.05475521,79.06084442","Open Location")</f>
        <v>Open Location</v>
      </c>
    </row>
    <row r="906" spans="1:40" x14ac:dyDescent="0.3">
      <c r="A906" s="1">
        <v>46210.894907407404</v>
      </c>
      <c r="B906" t="s">
        <v>40</v>
      </c>
      <c r="C906" t="s">
        <v>41</v>
      </c>
      <c r="D906" s="1">
        <v>46210.897534722222</v>
      </c>
      <c r="E906" t="s">
        <v>42</v>
      </c>
      <c r="F906" t="s">
        <v>43</v>
      </c>
      <c r="G906" t="s">
        <v>43</v>
      </c>
      <c r="H906" t="s">
        <v>43</v>
      </c>
      <c r="I906" t="s">
        <v>405</v>
      </c>
      <c r="J906" t="s">
        <v>43</v>
      </c>
      <c r="K906" t="s">
        <v>43</v>
      </c>
      <c r="L906" t="s">
        <v>43</v>
      </c>
      <c r="M906" t="s">
        <v>43</v>
      </c>
      <c r="N906" t="s">
        <v>45</v>
      </c>
      <c r="O906" t="s">
        <v>43</v>
      </c>
      <c r="P906" t="s">
        <v>43</v>
      </c>
      <c r="Q906" t="s">
        <v>43</v>
      </c>
      <c r="R906" t="s">
        <v>43</v>
      </c>
      <c r="S906" t="s">
        <v>43</v>
      </c>
      <c r="T906" t="s">
        <v>43</v>
      </c>
      <c r="U906" t="s">
        <v>43</v>
      </c>
      <c r="V906" t="s">
        <v>43</v>
      </c>
      <c r="W906" t="s">
        <v>43</v>
      </c>
      <c r="X906" t="s">
        <v>43</v>
      </c>
      <c r="Y906" t="s">
        <v>43</v>
      </c>
      <c r="Z906" t="s">
        <v>43</v>
      </c>
      <c r="AA906" t="s">
        <v>43</v>
      </c>
      <c r="AB906" t="s">
        <v>43</v>
      </c>
      <c r="AC906" t="s">
        <v>43</v>
      </c>
      <c r="AD906" t="s">
        <v>43</v>
      </c>
      <c r="AE906" t="s">
        <v>43</v>
      </c>
      <c r="AF906" t="s">
        <v>43</v>
      </c>
      <c r="AG906" t="s">
        <v>43</v>
      </c>
      <c r="AH906" t="s">
        <v>43</v>
      </c>
      <c r="AI906" t="s">
        <v>43</v>
      </c>
      <c r="AJ906" t="s">
        <v>43</v>
      </c>
      <c r="AK906" t="s">
        <v>43</v>
      </c>
      <c r="AL906" t="s">
        <v>43</v>
      </c>
      <c r="AM906" t="s">
        <v>43</v>
      </c>
      <c r="AN906" t="str">
        <f>HYPERLINK("https://www.google.com/maps?q=11.05475521,79.06084442","Open Location")</f>
        <v>Open Location</v>
      </c>
    </row>
    <row r="907" spans="1:40" x14ac:dyDescent="0.3">
      <c r="A907" s="1">
        <v>46210.894791666666</v>
      </c>
      <c r="B907" t="s">
        <v>40</v>
      </c>
      <c r="C907" t="s">
        <v>41</v>
      </c>
      <c r="D907" s="1">
        <v>46210.897569444445</v>
      </c>
      <c r="E907" t="s">
        <v>42</v>
      </c>
      <c r="F907" t="s">
        <v>43</v>
      </c>
      <c r="G907" t="s">
        <v>43</v>
      </c>
      <c r="H907" t="s">
        <v>43</v>
      </c>
      <c r="I907" t="s">
        <v>43</v>
      </c>
      <c r="J907" t="s">
        <v>43</v>
      </c>
      <c r="K907" t="s">
        <v>43</v>
      </c>
      <c r="L907" t="s">
        <v>43</v>
      </c>
      <c r="M907" t="s">
        <v>43</v>
      </c>
      <c r="N907" t="s">
        <v>45</v>
      </c>
      <c r="O907" t="s">
        <v>43</v>
      </c>
      <c r="P907" t="s">
        <v>43</v>
      </c>
      <c r="Q907" t="s">
        <v>43</v>
      </c>
      <c r="R907" t="s">
        <v>43</v>
      </c>
      <c r="S907" t="s">
        <v>43</v>
      </c>
      <c r="T907" t="s">
        <v>43</v>
      </c>
      <c r="U907" t="s">
        <v>43</v>
      </c>
      <c r="V907" t="s">
        <v>43</v>
      </c>
      <c r="W907" t="s">
        <v>43</v>
      </c>
      <c r="X907" t="s">
        <v>43</v>
      </c>
      <c r="Y907" t="s">
        <v>43</v>
      </c>
      <c r="Z907" t="s">
        <v>43</v>
      </c>
      <c r="AA907" t="s">
        <v>43</v>
      </c>
      <c r="AB907" t="s">
        <v>43</v>
      </c>
      <c r="AC907" t="s">
        <v>43</v>
      </c>
      <c r="AD907" t="s">
        <v>43</v>
      </c>
      <c r="AE907" t="s">
        <v>43</v>
      </c>
      <c r="AF907" t="s">
        <v>43</v>
      </c>
      <c r="AG907" t="s">
        <v>43</v>
      </c>
      <c r="AH907" t="s">
        <v>43</v>
      </c>
      <c r="AI907" t="s">
        <v>43</v>
      </c>
      <c r="AJ907" t="s">
        <v>43</v>
      </c>
      <c r="AK907" t="s">
        <v>43</v>
      </c>
      <c r="AL907" t="s">
        <v>43</v>
      </c>
      <c r="AM907" t="s">
        <v>43</v>
      </c>
      <c r="AN907" t="s">
        <v>43</v>
      </c>
    </row>
    <row r="908" spans="1:40" x14ac:dyDescent="0.3">
      <c r="A908" s="1">
        <v>46210.894675925927</v>
      </c>
      <c r="B908" t="s">
        <v>40</v>
      </c>
      <c r="C908" t="s">
        <v>41</v>
      </c>
      <c r="D908" s="1">
        <v>46210.897569444445</v>
      </c>
      <c r="E908" t="s">
        <v>42</v>
      </c>
      <c r="F908" t="s">
        <v>43</v>
      </c>
      <c r="G908" t="s">
        <v>43</v>
      </c>
      <c r="H908" t="s">
        <v>43</v>
      </c>
      <c r="I908" t="s">
        <v>398</v>
      </c>
      <c r="J908" t="s">
        <v>43</v>
      </c>
      <c r="K908" t="s">
        <v>43</v>
      </c>
      <c r="L908" t="s">
        <v>43</v>
      </c>
      <c r="M908" t="s">
        <v>43</v>
      </c>
      <c r="N908" t="s">
        <v>45</v>
      </c>
      <c r="O908" t="s">
        <v>43</v>
      </c>
      <c r="P908" t="s">
        <v>43</v>
      </c>
      <c r="Q908" t="s">
        <v>43</v>
      </c>
      <c r="R908" t="s">
        <v>43</v>
      </c>
      <c r="S908" t="s">
        <v>43</v>
      </c>
      <c r="T908" t="s">
        <v>43</v>
      </c>
      <c r="U908" t="s">
        <v>43</v>
      </c>
      <c r="V908" t="s">
        <v>43</v>
      </c>
      <c r="W908" t="s">
        <v>43</v>
      </c>
      <c r="X908" t="s">
        <v>43</v>
      </c>
      <c r="Y908" t="s">
        <v>43</v>
      </c>
      <c r="Z908" t="s">
        <v>43</v>
      </c>
      <c r="AA908" t="s">
        <v>43</v>
      </c>
      <c r="AB908" t="s">
        <v>43</v>
      </c>
      <c r="AC908" t="s">
        <v>43</v>
      </c>
      <c r="AD908" t="s">
        <v>43</v>
      </c>
      <c r="AE908" t="s">
        <v>43</v>
      </c>
      <c r="AF908" t="s">
        <v>43</v>
      </c>
      <c r="AG908" t="s">
        <v>43</v>
      </c>
      <c r="AH908" t="s">
        <v>43</v>
      </c>
      <c r="AI908" t="s">
        <v>43</v>
      </c>
      <c r="AJ908" t="s">
        <v>43</v>
      </c>
      <c r="AK908" t="s">
        <v>43</v>
      </c>
      <c r="AL908" t="s">
        <v>43</v>
      </c>
      <c r="AM908" t="s">
        <v>43</v>
      </c>
      <c r="AN908" t="str">
        <f>HYPERLINK("https://www.google.com/maps?q=11.05475426,79.06084442","Open Location")</f>
        <v>Open Location</v>
      </c>
    </row>
    <row r="909" spans="1:40" x14ac:dyDescent="0.3">
      <c r="A909" s="1">
        <v>46210.894560185188</v>
      </c>
      <c r="B909" t="s">
        <v>40</v>
      </c>
      <c r="C909" t="s">
        <v>41</v>
      </c>
      <c r="D909" s="1">
        <v>46210.897534722222</v>
      </c>
      <c r="E909" t="s">
        <v>42</v>
      </c>
      <c r="F909" t="s">
        <v>43</v>
      </c>
      <c r="G909" t="s">
        <v>43</v>
      </c>
      <c r="H909" t="s">
        <v>43</v>
      </c>
      <c r="I909" t="s">
        <v>410</v>
      </c>
      <c r="J909" t="s">
        <v>43</v>
      </c>
      <c r="K909" t="s">
        <v>43</v>
      </c>
      <c r="L909" t="s">
        <v>43</v>
      </c>
      <c r="M909" t="s">
        <v>43</v>
      </c>
      <c r="N909" t="s">
        <v>45</v>
      </c>
      <c r="O909" t="s">
        <v>43</v>
      </c>
      <c r="P909" t="s">
        <v>43</v>
      </c>
      <c r="Q909" t="s">
        <v>43</v>
      </c>
      <c r="R909" t="s">
        <v>43</v>
      </c>
      <c r="S909" t="s">
        <v>43</v>
      </c>
      <c r="T909" t="s">
        <v>43</v>
      </c>
      <c r="U909" t="s">
        <v>43</v>
      </c>
      <c r="V909" t="s">
        <v>43</v>
      </c>
      <c r="W909" t="s">
        <v>43</v>
      </c>
      <c r="X909" t="s">
        <v>43</v>
      </c>
      <c r="Y909" t="s">
        <v>43</v>
      </c>
      <c r="Z909" t="s">
        <v>43</v>
      </c>
      <c r="AA909" t="s">
        <v>43</v>
      </c>
      <c r="AB909" t="s">
        <v>43</v>
      </c>
      <c r="AC909" t="s">
        <v>43</v>
      </c>
      <c r="AD909" t="s">
        <v>43</v>
      </c>
      <c r="AE909" t="s">
        <v>43</v>
      </c>
      <c r="AF909" t="s">
        <v>43</v>
      </c>
      <c r="AG909" t="s">
        <v>43</v>
      </c>
      <c r="AH909" t="s">
        <v>43</v>
      </c>
      <c r="AI909" t="s">
        <v>43</v>
      </c>
      <c r="AJ909" t="s">
        <v>43</v>
      </c>
      <c r="AK909" t="s">
        <v>43</v>
      </c>
      <c r="AL909" t="s">
        <v>43</v>
      </c>
      <c r="AM909" t="s">
        <v>43</v>
      </c>
      <c r="AN909" t="str">
        <f>HYPERLINK("https://www.google.com/maps?q=11.05475235,79.06084442","Open Location")</f>
        <v>Open Location</v>
      </c>
    </row>
    <row r="910" spans="1:40" x14ac:dyDescent="0.3">
      <c r="A910" s="1">
        <v>46210.894444444442</v>
      </c>
      <c r="B910" t="s">
        <v>40</v>
      </c>
      <c r="C910" t="s">
        <v>41</v>
      </c>
      <c r="D910" s="1">
        <v>46210.897557870368</v>
      </c>
      <c r="E910" t="s">
        <v>42</v>
      </c>
      <c r="F910" t="s">
        <v>43</v>
      </c>
      <c r="G910" t="s">
        <v>43</v>
      </c>
      <c r="H910" t="s">
        <v>43</v>
      </c>
      <c r="I910" t="s">
        <v>411</v>
      </c>
      <c r="J910" t="s">
        <v>43</v>
      </c>
      <c r="K910" t="s">
        <v>43</v>
      </c>
      <c r="L910" t="s">
        <v>43</v>
      </c>
      <c r="M910" t="s">
        <v>43</v>
      </c>
      <c r="N910" t="s">
        <v>45</v>
      </c>
      <c r="O910" t="s">
        <v>43</v>
      </c>
      <c r="P910" t="s">
        <v>43</v>
      </c>
      <c r="Q910" t="s">
        <v>43</v>
      </c>
      <c r="R910" t="s">
        <v>43</v>
      </c>
      <c r="S910" t="s">
        <v>43</v>
      </c>
      <c r="T910" t="s">
        <v>43</v>
      </c>
      <c r="U910" t="s">
        <v>43</v>
      </c>
      <c r="V910" t="s">
        <v>43</v>
      </c>
      <c r="W910" t="s">
        <v>43</v>
      </c>
      <c r="X910" t="s">
        <v>43</v>
      </c>
      <c r="Y910" t="s">
        <v>43</v>
      </c>
      <c r="Z910" t="s">
        <v>43</v>
      </c>
      <c r="AA910" t="s">
        <v>43</v>
      </c>
      <c r="AB910" t="s">
        <v>43</v>
      </c>
      <c r="AC910" t="s">
        <v>43</v>
      </c>
      <c r="AD910" t="s">
        <v>43</v>
      </c>
      <c r="AE910" t="s">
        <v>43</v>
      </c>
      <c r="AF910" t="s">
        <v>43</v>
      </c>
      <c r="AG910" t="s">
        <v>43</v>
      </c>
      <c r="AH910" t="s">
        <v>43</v>
      </c>
      <c r="AI910" t="s">
        <v>43</v>
      </c>
      <c r="AJ910" t="s">
        <v>43</v>
      </c>
      <c r="AK910" t="s">
        <v>43</v>
      </c>
      <c r="AL910" t="s">
        <v>43</v>
      </c>
      <c r="AM910" t="s">
        <v>43</v>
      </c>
      <c r="AN910" t="str">
        <f>HYPERLINK("https://www.google.com/maps?q=11.05474758,79.06084442","Open Location")</f>
        <v>Open Location</v>
      </c>
    </row>
    <row r="911" spans="1:40" x14ac:dyDescent="0.3">
      <c r="A911" s="1">
        <v>46210.894328703704</v>
      </c>
      <c r="B911" t="s">
        <v>40</v>
      </c>
      <c r="C911" t="s">
        <v>41</v>
      </c>
      <c r="D911" s="1">
        <v>46210.897557870368</v>
      </c>
      <c r="E911" t="s">
        <v>42</v>
      </c>
      <c r="F911" t="s">
        <v>43</v>
      </c>
      <c r="G911" t="s">
        <v>43</v>
      </c>
      <c r="H911" t="s">
        <v>43</v>
      </c>
      <c r="I911" t="s">
        <v>412</v>
      </c>
      <c r="J911" t="s">
        <v>43</v>
      </c>
      <c r="K911" t="s">
        <v>43</v>
      </c>
      <c r="L911" t="s">
        <v>43</v>
      </c>
      <c r="M911" t="s">
        <v>43</v>
      </c>
      <c r="N911" t="s">
        <v>45</v>
      </c>
      <c r="O911" t="s">
        <v>43</v>
      </c>
      <c r="P911" t="s">
        <v>43</v>
      </c>
      <c r="Q911" t="s">
        <v>43</v>
      </c>
      <c r="R911" t="s">
        <v>43</v>
      </c>
      <c r="S911" t="s">
        <v>43</v>
      </c>
      <c r="T911" t="s">
        <v>43</v>
      </c>
      <c r="U911" t="s">
        <v>43</v>
      </c>
      <c r="V911" t="s">
        <v>43</v>
      </c>
      <c r="W911" t="s">
        <v>43</v>
      </c>
      <c r="X911" t="s">
        <v>43</v>
      </c>
      <c r="Y911" t="s">
        <v>43</v>
      </c>
      <c r="Z911" t="s">
        <v>43</v>
      </c>
      <c r="AA911" t="s">
        <v>43</v>
      </c>
      <c r="AB911" t="s">
        <v>43</v>
      </c>
      <c r="AC911" t="s">
        <v>43</v>
      </c>
      <c r="AD911" t="s">
        <v>43</v>
      </c>
      <c r="AE911" t="s">
        <v>43</v>
      </c>
      <c r="AF911" t="s">
        <v>43</v>
      </c>
      <c r="AG911" t="s">
        <v>43</v>
      </c>
      <c r="AH911" t="s">
        <v>43</v>
      </c>
      <c r="AI911" t="s">
        <v>43</v>
      </c>
      <c r="AJ911" t="s">
        <v>43</v>
      </c>
      <c r="AK911" t="s">
        <v>43</v>
      </c>
      <c r="AL911" t="s">
        <v>43</v>
      </c>
      <c r="AM911" t="s">
        <v>43</v>
      </c>
      <c r="AN911" t="str">
        <f>HYPERLINK("https://www.google.com/maps?q=11.05475044,79.06084442","Open Location")</f>
        <v>Open Location</v>
      </c>
    </row>
    <row r="912" spans="1:40" x14ac:dyDescent="0.3">
      <c r="A912" s="1">
        <v>46210.894212962965</v>
      </c>
      <c r="B912" t="s">
        <v>40</v>
      </c>
      <c r="C912" t="s">
        <v>41</v>
      </c>
      <c r="D912" s="1">
        <v>46210.897523148145</v>
      </c>
      <c r="E912" t="s">
        <v>42</v>
      </c>
      <c r="F912" t="s">
        <v>43</v>
      </c>
      <c r="G912" t="s">
        <v>43</v>
      </c>
      <c r="H912" t="s">
        <v>43</v>
      </c>
      <c r="I912" t="s">
        <v>412</v>
      </c>
      <c r="J912" t="s">
        <v>43</v>
      </c>
      <c r="K912" t="s">
        <v>43</v>
      </c>
      <c r="L912" t="s">
        <v>43</v>
      </c>
      <c r="M912" t="s">
        <v>43</v>
      </c>
      <c r="N912" t="s">
        <v>45</v>
      </c>
      <c r="O912" t="s">
        <v>43</v>
      </c>
      <c r="P912" t="s">
        <v>43</v>
      </c>
      <c r="Q912" t="s">
        <v>43</v>
      </c>
      <c r="R912" t="s">
        <v>43</v>
      </c>
      <c r="S912" t="s">
        <v>43</v>
      </c>
      <c r="T912" t="s">
        <v>43</v>
      </c>
      <c r="U912" t="s">
        <v>43</v>
      </c>
      <c r="V912" t="s">
        <v>43</v>
      </c>
      <c r="W912" t="s">
        <v>43</v>
      </c>
      <c r="X912" t="s">
        <v>43</v>
      </c>
      <c r="Y912" t="s">
        <v>43</v>
      </c>
      <c r="Z912" t="s">
        <v>43</v>
      </c>
      <c r="AA912" t="s">
        <v>43</v>
      </c>
      <c r="AB912" t="s">
        <v>43</v>
      </c>
      <c r="AC912" t="s">
        <v>43</v>
      </c>
      <c r="AD912" t="s">
        <v>43</v>
      </c>
      <c r="AE912" t="s">
        <v>43</v>
      </c>
      <c r="AF912" t="s">
        <v>43</v>
      </c>
      <c r="AG912" t="s">
        <v>43</v>
      </c>
      <c r="AH912" t="s">
        <v>43</v>
      </c>
      <c r="AI912" t="s">
        <v>43</v>
      </c>
      <c r="AJ912" t="s">
        <v>43</v>
      </c>
      <c r="AK912" t="s">
        <v>43</v>
      </c>
      <c r="AL912" t="s">
        <v>43</v>
      </c>
      <c r="AM912" t="s">
        <v>43</v>
      </c>
      <c r="AN912" t="str">
        <f>HYPERLINK("https://www.google.com/maps?q=11.05475044,79.06084442","Open Location")</f>
        <v>Open Location</v>
      </c>
    </row>
    <row r="913" spans="1:40" x14ac:dyDescent="0.3">
      <c r="A913" s="1">
        <v>46210.894097222219</v>
      </c>
      <c r="B913" t="s">
        <v>40</v>
      </c>
      <c r="C913" t="s">
        <v>41</v>
      </c>
      <c r="D913" s="1">
        <v>46210.897164351853</v>
      </c>
      <c r="E913" t="s">
        <v>42</v>
      </c>
      <c r="F913" t="s">
        <v>43</v>
      </c>
      <c r="G913" t="s">
        <v>43</v>
      </c>
      <c r="H913" t="s">
        <v>43</v>
      </c>
      <c r="I913" t="s">
        <v>43</v>
      </c>
      <c r="J913" t="s">
        <v>43</v>
      </c>
      <c r="K913" t="s">
        <v>43</v>
      </c>
      <c r="L913" t="s">
        <v>43</v>
      </c>
      <c r="M913" t="s">
        <v>43</v>
      </c>
      <c r="N913" t="s">
        <v>45</v>
      </c>
      <c r="O913" t="s">
        <v>43</v>
      </c>
      <c r="P913" t="s">
        <v>43</v>
      </c>
      <c r="Q913" t="s">
        <v>43</v>
      </c>
      <c r="R913" t="s">
        <v>43</v>
      </c>
      <c r="S913" t="s">
        <v>43</v>
      </c>
      <c r="T913" t="s">
        <v>43</v>
      </c>
      <c r="U913" t="s">
        <v>43</v>
      </c>
      <c r="V913" t="s">
        <v>43</v>
      </c>
      <c r="W913" t="s">
        <v>43</v>
      </c>
      <c r="X913" t="s">
        <v>43</v>
      </c>
      <c r="Y913" t="s">
        <v>43</v>
      </c>
      <c r="Z913" t="s">
        <v>43</v>
      </c>
      <c r="AA913" t="s">
        <v>43</v>
      </c>
      <c r="AB913" t="s">
        <v>43</v>
      </c>
      <c r="AC913" t="s">
        <v>43</v>
      </c>
      <c r="AD913" t="s">
        <v>43</v>
      </c>
      <c r="AE913" t="s">
        <v>43</v>
      </c>
      <c r="AF913" t="s">
        <v>43</v>
      </c>
      <c r="AG913" t="s">
        <v>43</v>
      </c>
      <c r="AH913" t="s">
        <v>43</v>
      </c>
      <c r="AI913" t="s">
        <v>43</v>
      </c>
      <c r="AJ913" t="s">
        <v>43</v>
      </c>
      <c r="AK913" t="s">
        <v>43</v>
      </c>
      <c r="AL913" t="s">
        <v>43</v>
      </c>
      <c r="AM913" t="s">
        <v>43</v>
      </c>
      <c r="AN913" t="s">
        <v>43</v>
      </c>
    </row>
    <row r="914" spans="1:40" x14ac:dyDescent="0.3">
      <c r="A914" s="1">
        <v>46210.89398148148</v>
      </c>
      <c r="B914" t="s">
        <v>40</v>
      </c>
      <c r="C914" t="s">
        <v>41</v>
      </c>
      <c r="D914" s="1">
        <v>46210.897175925929</v>
      </c>
      <c r="E914" t="s">
        <v>42</v>
      </c>
      <c r="F914" t="s">
        <v>43</v>
      </c>
      <c r="G914" t="s">
        <v>43</v>
      </c>
      <c r="H914" t="s">
        <v>43</v>
      </c>
      <c r="I914" t="s">
        <v>400</v>
      </c>
      <c r="J914" t="s">
        <v>43</v>
      </c>
      <c r="K914" t="s">
        <v>43</v>
      </c>
      <c r="L914" t="s">
        <v>43</v>
      </c>
      <c r="M914" t="s">
        <v>43</v>
      </c>
      <c r="N914" t="s">
        <v>45</v>
      </c>
      <c r="O914" t="s">
        <v>43</v>
      </c>
      <c r="P914" t="s">
        <v>43</v>
      </c>
      <c r="Q914" t="s">
        <v>43</v>
      </c>
      <c r="R914" t="s">
        <v>43</v>
      </c>
      <c r="S914" t="s">
        <v>43</v>
      </c>
      <c r="T914" t="s">
        <v>43</v>
      </c>
      <c r="U914" t="s">
        <v>43</v>
      </c>
      <c r="V914" t="s">
        <v>43</v>
      </c>
      <c r="W914" t="s">
        <v>43</v>
      </c>
      <c r="X914" t="s">
        <v>43</v>
      </c>
      <c r="Y914" t="s">
        <v>43</v>
      </c>
      <c r="Z914" t="s">
        <v>43</v>
      </c>
      <c r="AA914" t="s">
        <v>43</v>
      </c>
      <c r="AB914" t="s">
        <v>43</v>
      </c>
      <c r="AC914" t="s">
        <v>43</v>
      </c>
      <c r="AD914" t="s">
        <v>43</v>
      </c>
      <c r="AE914" t="s">
        <v>43</v>
      </c>
      <c r="AF914" t="s">
        <v>43</v>
      </c>
      <c r="AG914" t="s">
        <v>43</v>
      </c>
      <c r="AH914" t="s">
        <v>43</v>
      </c>
      <c r="AI914" t="s">
        <v>43</v>
      </c>
      <c r="AJ914" t="s">
        <v>43</v>
      </c>
      <c r="AK914" t="s">
        <v>43</v>
      </c>
      <c r="AL914" t="s">
        <v>43</v>
      </c>
      <c r="AM914" t="s">
        <v>43</v>
      </c>
      <c r="AN914" t="str">
        <f>HYPERLINK("https://www.google.com/maps?q=11.0547514,79.06084442","Open Location")</f>
        <v>Open Location</v>
      </c>
    </row>
    <row r="915" spans="1:40" x14ac:dyDescent="0.3">
      <c r="A915" s="1">
        <v>46210.893865740742</v>
      </c>
      <c r="B915" t="s">
        <v>40</v>
      </c>
      <c r="C915" t="s">
        <v>41</v>
      </c>
      <c r="D915" s="1">
        <v>46210.896724537037</v>
      </c>
      <c r="E915" t="s">
        <v>42</v>
      </c>
      <c r="F915" t="s">
        <v>43</v>
      </c>
      <c r="G915" t="s">
        <v>43</v>
      </c>
      <c r="H915" t="s">
        <v>43</v>
      </c>
      <c r="I915" t="s">
        <v>412</v>
      </c>
      <c r="J915" t="s">
        <v>43</v>
      </c>
      <c r="K915" t="s">
        <v>43</v>
      </c>
      <c r="L915" t="s">
        <v>43</v>
      </c>
      <c r="M915" t="s">
        <v>43</v>
      </c>
      <c r="N915" t="s">
        <v>45</v>
      </c>
      <c r="O915" t="s">
        <v>43</v>
      </c>
      <c r="P915" t="s">
        <v>43</v>
      </c>
      <c r="Q915" t="s">
        <v>43</v>
      </c>
      <c r="R915" t="s">
        <v>43</v>
      </c>
      <c r="S915" t="s">
        <v>43</v>
      </c>
      <c r="T915" t="s">
        <v>43</v>
      </c>
      <c r="U915" t="s">
        <v>43</v>
      </c>
      <c r="V915" t="s">
        <v>43</v>
      </c>
      <c r="W915" t="s">
        <v>43</v>
      </c>
      <c r="X915" t="s">
        <v>43</v>
      </c>
      <c r="Y915" t="s">
        <v>43</v>
      </c>
      <c r="Z915" t="s">
        <v>43</v>
      </c>
      <c r="AA915" t="s">
        <v>43</v>
      </c>
      <c r="AB915" t="s">
        <v>43</v>
      </c>
      <c r="AC915" t="s">
        <v>43</v>
      </c>
      <c r="AD915" t="s">
        <v>43</v>
      </c>
      <c r="AE915" t="s">
        <v>43</v>
      </c>
      <c r="AF915" t="s">
        <v>43</v>
      </c>
      <c r="AG915" t="s">
        <v>43</v>
      </c>
      <c r="AH915" t="s">
        <v>43</v>
      </c>
      <c r="AI915" t="s">
        <v>43</v>
      </c>
      <c r="AJ915" t="s">
        <v>43</v>
      </c>
      <c r="AK915" t="s">
        <v>43</v>
      </c>
      <c r="AL915" t="s">
        <v>43</v>
      </c>
      <c r="AM915" t="s">
        <v>43</v>
      </c>
      <c r="AN915" t="str">
        <f>HYPERLINK("https://www.google.com/maps?q=11.05475044,79.06084442","Open Location")</f>
        <v>Open Location</v>
      </c>
    </row>
    <row r="916" spans="1:40" x14ac:dyDescent="0.3">
      <c r="A916" s="1">
        <v>46210.893750000003</v>
      </c>
      <c r="B916" t="s">
        <v>40</v>
      </c>
      <c r="C916" t="s">
        <v>41</v>
      </c>
      <c r="D916" s="1">
        <v>46210.896527777775</v>
      </c>
      <c r="E916" t="s">
        <v>42</v>
      </c>
      <c r="F916" t="s">
        <v>43</v>
      </c>
      <c r="G916" t="s">
        <v>43</v>
      </c>
      <c r="H916" t="s">
        <v>43</v>
      </c>
      <c r="I916" t="s">
        <v>413</v>
      </c>
      <c r="J916" t="s">
        <v>43</v>
      </c>
      <c r="K916" t="s">
        <v>43</v>
      </c>
      <c r="L916" t="s">
        <v>43</v>
      </c>
      <c r="M916" t="s">
        <v>43</v>
      </c>
      <c r="N916" t="s">
        <v>45</v>
      </c>
      <c r="O916" t="s">
        <v>43</v>
      </c>
      <c r="P916" t="s">
        <v>43</v>
      </c>
      <c r="Q916" t="s">
        <v>43</v>
      </c>
      <c r="R916" t="s">
        <v>43</v>
      </c>
      <c r="S916" t="s">
        <v>43</v>
      </c>
      <c r="T916" t="s">
        <v>43</v>
      </c>
      <c r="U916" t="s">
        <v>43</v>
      </c>
      <c r="V916" t="s">
        <v>43</v>
      </c>
      <c r="W916" t="s">
        <v>43</v>
      </c>
      <c r="X916" t="s">
        <v>43</v>
      </c>
      <c r="Y916" t="s">
        <v>43</v>
      </c>
      <c r="Z916" t="s">
        <v>43</v>
      </c>
      <c r="AA916" t="s">
        <v>43</v>
      </c>
      <c r="AB916" t="s">
        <v>43</v>
      </c>
      <c r="AC916" t="s">
        <v>43</v>
      </c>
      <c r="AD916" t="s">
        <v>43</v>
      </c>
      <c r="AE916" t="s">
        <v>43</v>
      </c>
      <c r="AF916" t="s">
        <v>43</v>
      </c>
      <c r="AG916" t="s">
        <v>43</v>
      </c>
      <c r="AH916" t="s">
        <v>43</v>
      </c>
      <c r="AI916" t="s">
        <v>43</v>
      </c>
      <c r="AJ916" t="s">
        <v>43</v>
      </c>
      <c r="AK916" t="s">
        <v>43</v>
      </c>
      <c r="AL916" t="s">
        <v>43</v>
      </c>
      <c r="AM916" t="s">
        <v>43</v>
      </c>
      <c r="AN916" t="str">
        <f>HYPERLINK("https://www.google.com/maps?q=11.05474854,79.06084442","Open Location")</f>
        <v>Open Location</v>
      </c>
    </row>
    <row r="917" spans="1:40" x14ac:dyDescent="0.3">
      <c r="A917" s="1">
        <v>46210.893634259257</v>
      </c>
      <c r="B917" t="s">
        <v>40</v>
      </c>
      <c r="C917" t="s">
        <v>41</v>
      </c>
      <c r="D917" s="1">
        <v>46210.896516203706</v>
      </c>
      <c r="E917" t="s">
        <v>42</v>
      </c>
      <c r="F917" t="s">
        <v>43</v>
      </c>
      <c r="G917" t="s">
        <v>43</v>
      </c>
      <c r="H917" t="s">
        <v>43</v>
      </c>
      <c r="I917" t="s">
        <v>400</v>
      </c>
      <c r="J917" t="s">
        <v>43</v>
      </c>
      <c r="K917" t="s">
        <v>43</v>
      </c>
      <c r="L917" t="s">
        <v>43</v>
      </c>
      <c r="M917" t="s">
        <v>43</v>
      </c>
      <c r="N917" t="s">
        <v>45</v>
      </c>
      <c r="O917" t="s">
        <v>43</v>
      </c>
      <c r="P917" t="s">
        <v>43</v>
      </c>
      <c r="Q917" t="s">
        <v>43</v>
      </c>
      <c r="R917" t="s">
        <v>43</v>
      </c>
      <c r="S917" t="s">
        <v>43</v>
      </c>
      <c r="T917" t="s">
        <v>43</v>
      </c>
      <c r="U917" t="s">
        <v>43</v>
      </c>
      <c r="V917" t="s">
        <v>43</v>
      </c>
      <c r="W917" t="s">
        <v>43</v>
      </c>
      <c r="X917" t="s">
        <v>43</v>
      </c>
      <c r="Y917" t="s">
        <v>43</v>
      </c>
      <c r="Z917" t="s">
        <v>43</v>
      </c>
      <c r="AA917" t="s">
        <v>43</v>
      </c>
      <c r="AB917" t="s">
        <v>43</v>
      </c>
      <c r="AC917" t="s">
        <v>43</v>
      </c>
      <c r="AD917" t="s">
        <v>43</v>
      </c>
      <c r="AE917" t="s">
        <v>43</v>
      </c>
      <c r="AF917" t="s">
        <v>43</v>
      </c>
      <c r="AG917" t="s">
        <v>43</v>
      </c>
      <c r="AH917" t="s">
        <v>43</v>
      </c>
      <c r="AI917" t="s">
        <v>43</v>
      </c>
      <c r="AJ917" t="s">
        <v>43</v>
      </c>
      <c r="AK917" t="s">
        <v>43</v>
      </c>
      <c r="AL917" t="s">
        <v>43</v>
      </c>
      <c r="AM917" t="s">
        <v>43</v>
      </c>
      <c r="AN917" t="str">
        <f>HYPERLINK("https://www.google.com/maps?q=11.0547514,79.06084442","Open Location")</f>
        <v>Open Location</v>
      </c>
    </row>
    <row r="918" spans="1:40" x14ac:dyDescent="0.3">
      <c r="A918" s="1">
        <v>46210.893518518518</v>
      </c>
      <c r="B918" t="s">
        <v>40</v>
      </c>
      <c r="C918" t="s">
        <v>41</v>
      </c>
      <c r="D918" s="1">
        <v>46210.896354166667</v>
      </c>
      <c r="E918" t="s">
        <v>42</v>
      </c>
      <c r="F918" t="s">
        <v>43</v>
      </c>
      <c r="G918" t="s">
        <v>43</v>
      </c>
      <c r="H918" t="s">
        <v>43</v>
      </c>
      <c r="I918" t="s">
        <v>43</v>
      </c>
      <c r="J918" t="s">
        <v>43</v>
      </c>
      <c r="K918" t="s">
        <v>43</v>
      </c>
      <c r="L918" t="s">
        <v>43</v>
      </c>
      <c r="M918" t="s">
        <v>43</v>
      </c>
      <c r="N918" t="s">
        <v>45</v>
      </c>
      <c r="O918" t="s">
        <v>43</v>
      </c>
      <c r="P918" t="s">
        <v>43</v>
      </c>
      <c r="Q918" t="s">
        <v>43</v>
      </c>
      <c r="R918" t="s">
        <v>43</v>
      </c>
      <c r="S918" t="s">
        <v>43</v>
      </c>
      <c r="T918" t="s">
        <v>43</v>
      </c>
      <c r="U918" t="s">
        <v>43</v>
      </c>
      <c r="V918" t="s">
        <v>43</v>
      </c>
      <c r="W918" t="s">
        <v>43</v>
      </c>
      <c r="X918" t="s">
        <v>43</v>
      </c>
      <c r="Y918" t="s">
        <v>43</v>
      </c>
      <c r="Z918" t="s">
        <v>43</v>
      </c>
      <c r="AA918" t="s">
        <v>43</v>
      </c>
      <c r="AB918" t="s">
        <v>43</v>
      </c>
      <c r="AC918" t="s">
        <v>43</v>
      </c>
      <c r="AD918" t="s">
        <v>43</v>
      </c>
      <c r="AE918" t="s">
        <v>43</v>
      </c>
      <c r="AF918" t="s">
        <v>43</v>
      </c>
      <c r="AG918" t="s">
        <v>43</v>
      </c>
      <c r="AH918" t="s">
        <v>43</v>
      </c>
      <c r="AI918" t="s">
        <v>43</v>
      </c>
      <c r="AJ918" t="s">
        <v>43</v>
      </c>
      <c r="AK918" t="s">
        <v>43</v>
      </c>
      <c r="AL918" t="s">
        <v>43</v>
      </c>
      <c r="AM918" t="s">
        <v>43</v>
      </c>
      <c r="AN918" t="s">
        <v>43</v>
      </c>
    </row>
    <row r="919" spans="1:40" x14ac:dyDescent="0.3">
      <c r="A919" s="1">
        <v>46210.89340277778</v>
      </c>
      <c r="B919" t="s">
        <v>40</v>
      </c>
      <c r="C919" t="s">
        <v>41</v>
      </c>
      <c r="D919" s="1">
        <v>46210.896157407406</v>
      </c>
      <c r="E919" t="s">
        <v>42</v>
      </c>
      <c r="F919" t="s">
        <v>43</v>
      </c>
      <c r="G919" t="s">
        <v>43</v>
      </c>
      <c r="H919" t="s">
        <v>43</v>
      </c>
      <c r="I919" t="s">
        <v>410</v>
      </c>
      <c r="J919" t="s">
        <v>43</v>
      </c>
      <c r="K919" t="s">
        <v>43</v>
      </c>
      <c r="L919" t="s">
        <v>43</v>
      </c>
      <c r="M919" t="s">
        <v>43</v>
      </c>
      <c r="N919" t="s">
        <v>45</v>
      </c>
      <c r="O919" t="s">
        <v>43</v>
      </c>
      <c r="P919" t="s">
        <v>43</v>
      </c>
      <c r="Q919" t="s">
        <v>43</v>
      </c>
      <c r="R919" t="s">
        <v>43</v>
      </c>
      <c r="S919" t="s">
        <v>43</v>
      </c>
      <c r="T919" t="s">
        <v>43</v>
      </c>
      <c r="U919" t="s">
        <v>43</v>
      </c>
      <c r="V919" t="s">
        <v>43</v>
      </c>
      <c r="W919" t="s">
        <v>43</v>
      </c>
      <c r="X919" t="s">
        <v>43</v>
      </c>
      <c r="Y919" t="s">
        <v>43</v>
      </c>
      <c r="Z919" t="s">
        <v>43</v>
      </c>
      <c r="AA919" t="s">
        <v>43</v>
      </c>
      <c r="AB919" t="s">
        <v>43</v>
      </c>
      <c r="AC919" t="s">
        <v>43</v>
      </c>
      <c r="AD919" t="s">
        <v>43</v>
      </c>
      <c r="AE919" t="s">
        <v>43</v>
      </c>
      <c r="AF919" t="s">
        <v>43</v>
      </c>
      <c r="AG919" t="s">
        <v>43</v>
      </c>
      <c r="AH919" t="s">
        <v>43</v>
      </c>
      <c r="AI919" t="s">
        <v>43</v>
      </c>
      <c r="AJ919" t="s">
        <v>43</v>
      </c>
      <c r="AK919" t="s">
        <v>43</v>
      </c>
      <c r="AL919" t="s">
        <v>43</v>
      </c>
      <c r="AM919" t="s">
        <v>43</v>
      </c>
      <c r="AN919" t="str">
        <f>HYPERLINK("https://www.google.com/maps?q=11.05475235,79.06084442","Open Location")</f>
        <v>Open Location</v>
      </c>
    </row>
    <row r="920" spans="1:40" x14ac:dyDescent="0.3">
      <c r="A920" s="1">
        <v>46210.893287037034</v>
      </c>
      <c r="B920" t="s">
        <v>40</v>
      </c>
      <c r="C920" t="s">
        <v>41</v>
      </c>
      <c r="D920" s="1">
        <v>46210.896249999998</v>
      </c>
      <c r="E920" t="s">
        <v>42</v>
      </c>
      <c r="F920" t="s">
        <v>43</v>
      </c>
      <c r="G920" t="s">
        <v>43</v>
      </c>
      <c r="H920" t="s">
        <v>43</v>
      </c>
      <c r="I920" t="s">
        <v>398</v>
      </c>
      <c r="J920" t="s">
        <v>43</v>
      </c>
      <c r="K920" t="s">
        <v>43</v>
      </c>
      <c r="L920" t="s">
        <v>43</v>
      </c>
      <c r="M920" t="s">
        <v>43</v>
      </c>
      <c r="N920" t="s">
        <v>45</v>
      </c>
      <c r="O920" t="s">
        <v>43</v>
      </c>
      <c r="P920" t="s">
        <v>43</v>
      </c>
      <c r="Q920" t="s">
        <v>43</v>
      </c>
      <c r="R920" t="s">
        <v>43</v>
      </c>
      <c r="S920" t="s">
        <v>43</v>
      </c>
      <c r="T920" t="s">
        <v>43</v>
      </c>
      <c r="U920" t="s">
        <v>43</v>
      </c>
      <c r="V920" t="s">
        <v>43</v>
      </c>
      <c r="W920" t="s">
        <v>43</v>
      </c>
      <c r="X920" t="s">
        <v>43</v>
      </c>
      <c r="Y920" t="s">
        <v>43</v>
      </c>
      <c r="Z920" t="s">
        <v>43</v>
      </c>
      <c r="AA920" t="s">
        <v>43</v>
      </c>
      <c r="AB920" t="s">
        <v>43</v>
      </c>
      <c r="AC920" t="s">
        <v>43</v>
      </c>
      <c r="AD920" t="s">
        <v>43</v>
      </c>
      <c r="AE920" t="s">
        <v>43</v>
      </c>
      <c r="AF920" t="s">
        <v>43</v>
      </c>
      <c r="AG920" t="s">
        <v>43</v>
      </c>
      <c r="AH920" t="s">
        <v>43</v>
      </c>
      <c r="AI920" t="s">
        <v>43</v>
      </c>
      <c r="AJ920" t="s">
        <v>43</v>
      </c>
      <c r="AK920" t="s">
        <v>43</v>
      </c>
      <c r="AL920" t="s">
        <v>43</v>
      </c>
      <c r="AM920" t="s">
        <v>43</v>
      </c>
      <c r="AN920" t="str">
        <f>HYPERLINK("https://www.google.com/maps?q=11.05475426,79.06084442","Open Location")</f>
        <v>Open Location</v>
      </c>
    </row>
    <row r="921" spans="1:40" x14ac:dyDescent="0.3">
      <c r="A921" s="1">
        <v>46210.893171296295</v>
      </c>
      <c r="B921" t="s">
        <v>40</v>
      </c>
      <c r="C921" t="s">
        <v>41</v>
      </c>
      <c r="D921" s="1">
        <v>46210.896145833336</v>
      </c>
      <c r="E921" t="s">
        <v>42</v>
      </c>
      <c r="F921" t="s">
        <v>43</v>
      </c>
      <c r="G921" t="s">
        <v>43</v>
      </c>
      <c r="H921" t="s">
        <v>43</v>
      </c>
      <c r="I921" t="s">
        <v>400</v>
      </c>
      <c r="J921" t="s">
        <v>43</v>
      </c>
      <c r="K921" t="s">
        <v>43</v>
      </c>
      <c r="L921" t="s">
        <v>43</v>
      </c>
      <c r="M921" t="s">
        <v>43</v>
      </c>
      <c r="N921" t="s">
        <v>45</v>
      </c>
      <c r="O921" t="s">
        <v>43</v>
      </c>
      <c r="P921" t="s">
        <v>43</v>
      </c>
      <c r="Q921" t="s">
        <v>43</v>
      </c>
      <c r="R921" t="s">
        <v>43</v>
      </c>
      <c r="S921" t="s">
        <v>43</v>
      </c>
      <c r="T921" t="s">
        <v>43</v>
      </c>
      <c r="U921" t="s">
        <v>43</v>
      </c>
      <c r="V921" t="s">
        <v>43</v>
      </c>
      <c r="W921" t="s">
        <v>43</v>
      </c>
      <c r="X921" t="s">
        <v>43</v>
      </c>
      <c r="Y921" t="s">
        <v>43</v>
      </c>
      <c r="Z921" t="s">
        <v>43</v>
      </c>
      <c r="AA921" t="s">
        <v>43</v>
      </c>
      <c r="AB921" t="s">
        <v>43</v>
      </c>
      <c r="AC921" t="s">
        <v>43</v>
      </c>
      <c r="AD921" t="s">
        <v>43</v>
      </c>
      <c r="AE921" t="s">
        <v>43</v>
      </c>
      <c r="AF921" t="s">
        <v>43</v>
      </c>
      <c r="AG921" t="s">
        <v>43</v>
      </c>
      <c r="AH921" t="s">
        <v>43</v>
      </c>
      <c r="AI921" t="s">
        <v>43</v>
      </c>
      <c r="AJ921" t="s">
        <v>43</v>
      </c>
      <c r="AK921" t="s">
        <v>43</v>
      </c>
      <c r="AL921" t="s">
        <v>43</v>
      </c>
      <c r="AM921" t="s">
        <v>43</v>
      </c>
      <c r="AN921" t="str">
        <f>HYPERLINK("https://www.google.com/maps?q=11.0547514,79.06084442","Open Location")</f>
        <v>Open Location</v>
      </c>
    </row>
    <row r="922" spans="1:40" x14ac:dyDescent="0.3">
      <c r="A922" s="1">
        <v>46210.893055555556</v>
      </c>
      <c r="B922" t="s">
        <v>40</v>
      </c>
      <c r="C922" t="s">
        <v>41</v>
      </c>
      <c r="D922" s="1">
        <v>46210.895694444444</v>
      </c>
      <c r="E922" t="s">
        <v>42</v>
      </c>
      <c r="F922" t="s">
        <v>43</v>
      </c>
      <c r="G922" t="s">
        <v>43</v>
      </c>
      <c r="H922" t="s">
        <v>43</v>
      </c>
      <c r="I922" t="s">
        <v>410</v>
      </c>
      <c r="J922" t="s">
        <v>43</v>
      </c>
      <c r="K922" t="s">
        <v>43</v>
      </c>
      <c r="L922" t="s">
        <v>43</v>
      </c>
      <c r="M922" t="s">
        <v>43</v>
      </c>
      <c r="N922" t="s">
        <v>45</v>
      </c>
      <c r="O922" t="s">
        <v>43</v>
      </c>
      <c r="P922" t="s">
        <v>43</v>
      </c>
      <c r="Q922" t="s">
        <v>43</v>
      </c>
      <c r="R922" t="s">
        <v>43</v>
      </c>
      <c r="S922" t="s">
        <v>43</v>
      </c>
      <c r="T922" t="s">
        <v>43</v>
      </c>
      <c r="U922" t="s">
        <v>43</v>
      </c>
      <c r="V922" t="s">
        <v>43</v>
      </c>
      <c r="W922" t="s">
        <v>43</v>
      </c>
      <c r="X922" t="s">
        <v>43</v>
      </c>
      <c r="Y922" t="s">
        <v>43</v>
      </c>
      <c r="Z922" t="s">
        <v>43</v>
      </c>
      <c r="AA922" t="s">
        <v>43</v>
      </c>
      <c r="AB922" t="s">
        <v>43</v>
      </c>
      <c r="AC922" t="s">
        <v>43</v>
      </c>
      <c r="AD922" t="s">
        <v>43</v>
      </c>
      <c r="AE922" t="s">
        <v>43</v>
      </c>
      <c r="AF922" t="s">
        <v>43</v>
      </c>
      <c r="AG922" t="s">
        <v>43</v>
      </c>
      <c r="AH922" t="s">
        <v>43</v>
      </c>
      <c r="AI922" t="s">
        <v>43</v>
      </c>
      <c r="AJ922" t="s">
        <v>43</v>
      </c>
      <c r="AK922" t="s">
        <v>43</v>
      </c>
      <c r="AL922" t="s">
        <v>43</v>
      </c>
      <c r="AM922" t="s">
        <v>43</v>
      </c>
      <c r="AN922" t="str">
        <f>HYPERLINK("https://www.google.com/maps?q=11.05475235,79.06084442","Open Location")</f>
        <v>Open Location</v>
      </c>
    </row>
    <row r="923" spans="1:40" x14ac:dyDescent="0.3">
      <c r="A923" s="1">
        <v>46210.892939814818</v>
      </c>
      <c r="B923" t="s">
        <v>40</v>
      </c>
      <c r="C923" t="s">
        <v>41</v>
      </c>
      <c r="D923" s="1">
        <v>46210.895694444444</v>
      </c>
      <c r="E923" t="s">
        <v>42</v>
      </c>
      <c r="F923" t="s">
        <v>43</v>
      </c>
      <c r="G923" t="s">
        <v>43</v>
      </c>
      <c r="H923" t="s">
        <v>43</v>
      </c>
      <c r="I923" t="s">
        <v>408</v>
      </c>
      <c r="J923" t="s">
        <v>43</v>
      </c>
      <c r="K923" t="s">
        <v>43</v>
      </c>
      <c r="L923" t="s">
        <v>43</v>
      </c>
      <c r="M923" t="s">
        <v>43</v>
      </c>
      <c r="N923" t="s">
        <v>45</v>
      </c>
      <c r="O923" t="s">
        <v>43</v>
      </c>
      <c r="P923" t="s">
        <v>43</v>
      </c>
      <c r="Q923" t="s">
        <v>43</v>
      </c>
      <c r="R923" t="s">
        <v>43</v>
      </c>
      <c r="S923" t="s">
        <v>43</v>
      </c>
      <c r="T923" t="s">
        <v>43</v>
      </c>
      <c r="U923" t="s">
        <v>43</v>
      </c>
      <c r="V923" t="s">
        <v>43</v>
      </c>
      <c r="W923" t="s">
        <v>43</v>
      </c>
      <c r="X923" t="s">
        <v>43</v>
      </c>
      <c r="Y923" t="s">
        <v>43</v>
      </c>
      <c r="Z923" t="s">
        <v>43</v>
      </c>
      <c r="AA923" t="s">
        <v>43</v>
      </c>
      <c r="AB923" t="s">
        <v>43</v>
      </c>
      <c r="AC923" t="s">
        <v>43</v>
      </c>
      <c r="AD923" t="s">
        <v>43</v>
      </c>
      <c r="AE923" t="s">
        <v>43</v>
      </c>
      <c r="AF923" t="s">
        <v>43</v>
      </c>
      <c r="AG923" t="s">
        <v>43</v>
      </c>
      <c r="AH923" t="s">
        <v>43</v>
      </c>
      <c r="AI923" t="s">
        <v>43</v>
      </c>
      <c r="AJ923" t="s">
        <v>43</v>
      </c>
      <c r="AK923" t="s">
        <v>43</v>
      </c>
      <c r="AL923" t="s">
        <v>43</v>
      </c>
      <c r="AM923" t="s">
        <v>43</v>
      </c>
      <c r="AN923" t="str">
        <f>HYPERLINK("https://www.google.com/maps?q=11.05475521,79.06083679","Open Location")</f>
        <v>Open Location</v>
      </c>
    </row>
    <row r="924" spans="1:40" x14ac:dyDescent="0.3">
      <c r="A924" s="1">
        <v>46210.892824074072</v>
      </c>
      <c r="B924" t="s">
        <v>40</v>
      </c>
      <c r="C924" t="s">
        <v>41</v>
      </c>
      <c r="D924" s="1">
        <v>46210.895752314813</v>
      </c>
      <c r="E924" t="s">
        <v>42</v>
      </c>
      <c r="F924" t="s">
        <v>43</v>
      </c>
      <c r="G924" t="s">
        <v>43</v>
      </c>
      <c r="H924" t="s">
        <v>43</v>
      </c>
      <c r="I924" t="s">
        <v>43</v>
      </c>
      <c r="J924" t="s">
        <v>43</v>
      </c>
      <c r="K924" t="s">
        <v>43</v>
      </c>
      <c r="L924" t="s">
        <v>43</v>
      </c>
      <c r="M924" t="s">
        <v>43</v>
      </c>
      <c r="N924" t="s">
        <v>45</v>
      </c>
      <c r="O924" t="s">
        <v>43</v>
      </c>
      <c r="P924" t="s">
        <v>43</v>
      </c>
      <c r="Q924" t="s">
        <v>43</v>
      </c>
      <c r="R924" t="s">
        <v>43</v>
      </c>
      <c r="S924" t="s">
        <v>43</v>
      </c>
      <c r="T924" t="s">
        <v>43</v>
      </c>
      <c r="U924" t="s">
        <v>43</v>
      </c>
      <c r="V924" t="s">
        <v>43</v>
      </c>
      <c r="W924" t="s">
        <v>43</v>
      </c>
      <c r="X924" t="s">
        <v>43</v>
      </c>
      <c r="Y924" t="s">
        <v>43</v>
      </c>
      <c r="Z924" t="s">
        <v>43</v>
      </c>
      <c r="AA924" t="s">
        <v>43</v>
      </c>
      <c r="AB924" t="s">
        <v>43</v>
      </c>
      <c r="AC924" t="s">
        <v>43</v>
      </c>
      <c r="AD924" t="s">
        <v>43</v>
      </c>
      <c r="AE924" t="s">
        <v>43</v>
      </c>
      <c r="AF924" t="s">
        <v>43</v>
      </c>
      <c r="AG924" t="s">
        <v>43</v>
      </c>
      <c r="AH924" t="s">
        <v>43</v>
      </c>
      <c r="AI924" t="s">
        <v>43</v>
      </c>
      <c r="AJ924" t="s">
        <v>43</v>
      </c>
      <c r="AK924" t="s">
        <v>43</v>
      </c>
      <c r="AL924" t="s">
        <v>43</v>
      </c>
      <c r="AM924" t="s">
        <v>43</v>
      </c>
      <c r="AN924" t="s">
        <v>43</v>
      </c>
    </row>
    <row r="925" spans="1:40" x14ac:dyDescent="0.3">
      <c r="A925" s="1">
        <v>46210.892708333333</v>
      </c>
      <c r="B925" t="s">
        <v>40</v>
      </c>
      <c r="C925" t="s">
        <v>41</v>
      </c>
      <c r="D925" s="1">
        <v>46210.895682870374</v>
      </c>
      <c r="E925" t="s">
        <v>42</v>
      </c>
      <c r="F925" t="s">
        <v>43</v>
      </c>
      <c r="G925" t="s">
        <v>43</v>
      </c>
      <c r="H925" t="s">
        <v>43</v>
      </c>
      <c r="I925" t="s">
        <v>407</v>
      </c>
      <c r="J925" t="s">
        <v>43</v>
      </c>
      <c r="K925" t="s">
        <v>43</v>
      </c>
      <c r="L925" t="s">
        <v>43</v>
      </c>
      <c r="M925" t="s">
        <v>43</v>
      </c>
      <c r="N925" t="s">
        <v>45</v>
      </c>
      <c r="O925" t="s">
        <v>43</v>
      </c>
      <c r="P925" t="s">
        <v>43</v>
      </c>
      <c r="Q925" t="s">
        <v>43</v>
      </c>
      <c r="R925" t="s">
        <v>43</v>
      </c>
      <c r="S925" t="s">
        <v>43</v>
      </c>
      <c r="T925" t="s">
        <v>43</v>
      </c>
      <c r="U925" t="s">
        <v>43</v>
      </c>
      <c r="V925" t="s">
        <v>43</v>
      </c>
      <c r="W925" t="s">
        <v>43</v>
      </c>
      <c r="X925" t="s">
        <v>43</v>
      </c>
      <c r="Y925" t="s">
        <v>43</v>
      </c>
      <c r="Z925" t="s">
        <v>43</v>
      </c>
      <c r="AA925" t="s">
        <v>43</v>
      </c>
      <c r="AB925" t="s">
        <v>43</v>
      </c>
      <c r="AC925" t="s">
        <v>43</v>
      </c>
      <c r="AD925" t="s">
        <v>43</v>
      </c>
      <c r="AE925" t="s">
        <v>43</v>
      </c>
      <c r="AF925" t="s">
        <v>43</v>
      </c>
      <c r="AG925" t="s">
        <v>43</v>
      </c>
      <c r="AH925" t="s">
        <v>43</v>
      </c>
      <c r="AI925" t="s">
        <v>43</v>
      </c>
      <c r="AJ925" t="s">
        <v>43</v>
      </c>
      <c r="AK925" t="s">
        <v>43</v>
      </c>
      <c r="AL925" t="s">
        <v>43</v>
      </c>
      <c r="AM925" t="s">
        <v>43</v>
      </c>
      <c r="AN925" t="str">
        <f>HYPERLINK("https://www.google.com/maps?q=11.05475426,79.06083679","Open Location")</f>
        <v>Open Location</v>
      </c>
    </row>
    <row r="926" spans="1:40" x14ac:dyDescent="0.3">
      <c r="A926" s="1">
        <v>46210.892592592594</v>
      </c>
      <c r="B926" t="s">
        <v>40</v>
      </c>
      <c r="C926" t="s">
        <v>41</v>
      </c>
      <c r="D926" s="1">
        <v>46210.895486111112</v>
      </c>
      <c r="E926" t="s">
        <v>42</v>
      </c>
      <c r="F926" t="s">
        <v>43</v>
      </c>
      <c r="G926" t="s">
        <v>43</v>
      </c>
      <c r="H926" t="s">
        <v>43</v>
      </c>
      <c r="I926" t="s">
        <v>409</v>
      </c>
      <c r="J926" t="s">
        <v>43</v>
      </c>
      <c r="K926" t="s">
        <v>43</v>
      </c>
      <c r="L926" t="s">
        <v>43</v>
      </c>
      <c r="M926" t="s">
        <v>43</v>
      </c>
      <c r="N926" t="s">
        <v>45</v>
      </c>
      <c r="O926" t="s">
        <v>43</v>
      </c>
      <c r="P926" t="s">
        <v>43</v>
      </c>
      <c r="Q926" t="s">
        <v>43</v>
      </c>
      <c r="R926" t="s">
        <v>43</v>
      </c>
      <c r="S926" t="s">
        <v>43</v>
      </c>
      <c r="T926" t="s">
        <v>43</v>
      </c>
      <c r="U926" t="s">
        <v>43</v>
      </c>
      <c r="V926" t="s">
        <v>43</v>
      </c>
      <c r="W926" t="s">
        <v>43</v>
      </c>
      <c r="X926" t="s">
        <v>43</v>
      </c>
      <c r="Y926" t="s">
        <v>43</v>
      </c>
      <c r="Z926" t="s">
        <v>43</v>
      </c>
      <c r="AA926" t="s">
        <v>43</v>
      </c>
      <c r="AB926" t="s">
        <v>43</v>
      </c>
      <c r="AC926" t="s">
        <v>43</v>
      </c>
      <c r="AD926" t="s">
        <v>43</v>
      </c>
      <c r="AE926" t="s">
        <v>43</v>
      </c>
      <c r="AF926" t="s">
        <v>43</v>
      </c>
      <c r="AG926" t="s">
        <v>43</v>
      </c>
      <c r="AH926" t="s">
        <v>43</v>
      </c>
      <c r="AI926" t="s">
        <v>43</v>
      </c>
      <c r="AJ926" t="s">
        <v>43</v>
      </c>
      <c r="AK926" t="s">
        <v>43</v>
      </c>
      <c r="AL926" t="s">
        <v>43</v>
      </c>
      <c r="AM926" t="s">
        <v>43</v>
      </c>
      <c r="AN926" t="str">
        <f>HYPERLINK("https://www.google.com/maps?q=11.0547533,79.06083679","Open Location")</f>
        <v>Open Location</v>
      </c>
    </row>
    <row r="927" spans="1:40" x14ac:dyDescent="0.3">
      <c r="A927" s="1">
        <v>46210.892476851855</v>
      </c>
      <c r="B927" t="s">
        <v>40</v>
      </c>
      <c r="C927" t="s">
        <v>41</v>
      </c>
      <c r="D927" s="1">
        <v>46210.895312499997</v>
      </c>
      <c r="E927" t="s">
        <v>42</v>
      </c>
      <c r="F927" t="s">
        <v>43</v>
      </c>
      <c r="G927" t="s">
        <v>43</v>
      </c>
      <c r="H927" t="s">
        <v>43</v>
      </c>
      <c r="I927" t="s">
        <v>414</v>
      </c>
      <c r="J927" t="s">
        <v>43</v>
      </c>
      <c r="K927" t="s">
        <v>43</v>
      </c>
      <c r="L927" t="s">
        <v>43</v>
      </c>
      <c r="M927" t="s">
        <v>43</v>
      </c>
      <c r="N927" t="s">
        <v>45</v>
      </c>
      <c r="O927" t="s">
        <v>43</v>
      </c>
      <c r="P927" t="s">
        <v>43</v>
      </c>
      <c r="Q927" t="s">
        <v>43</v>
      </c>
      <c r="R927" t="s">
        <v>43</v>
      </c>
      <c r="S927" t="s">
        <v>43</v>
      </c>
      <c r="T927" t="s">
        <v>43</v>
      </c>
      <c r="U927" t="s">
        <v>43</v>
      </c>
      <c r="V927" t="s">
        <v>43</v>
      </c>
      <c r="W927" t="s">
        <v>43</v>
      </c>
      <c r="X927" t="s">
        <v>43</v>
      </c>
      <c r="Y927" t="s">
        <v>43</v>
      </c>
      <c r="Z927" t="s">
        <v>43</v>
      </c>
      <c r="AA927" t="s">
        <v>43</v>
      </c>
      <c r="AB927" t="s">
        <v>43</v>
      </c>
      <c r="AC927" t="s">
        <v>43</v>
      </c>
      <c r="AD927" t="s">
        <v>43</v>
      </c>
      <c r="AE927" t="s">
        <v>43</v>
      </c>
      <c r="AF927" t="s">
        <v>43</v>
      </c>
      <c r="AG927" t="s">
        <v>43</v>
      </c>
      <c r="AH927" t="s">
        <v>43</v>
      </c>
      <c r="AI927" t="s">
        <v>43</v>
      </c>
      <c r="AJ927" t="s">
        <v>43</v>
      </c>
      <c r="AK927" t="s">
        <v>43</v>
      </c>
      <c r="AL927" t="s">
        <v>43</v>
      </c>
      <c r="AM927" t="s">
        <v>43</v>
      </c>
      <c r="AN927" t="str">
        <f>HYPERLINK("https://www.google.com/maps?q=11.05475044,79.06083679","Open Location")</f>
        <v>Open Location</v>
      </c>
    </row>
    <row r="928" spans="1:40" x14ac:dyDescent="0.3">
      <c r="A928" s="1">
        <v>46210.892361111109</v>
      </c>
      <c r="B928" t="s">
        <v>40</v>
      </c>
      <c r="C928" t="s">
        <v>41</v>
      </c>
      <c r="D928" s="1">
        <v>46210.895312499997</v>
      </c>
      <c r="E928" t="s">
        <v>42</v>
      </c>
      <c r="F928" t="s">
        <v>43</v>
      </c>
      <c r="G928" t="s">
        <v>43</v>
      </c>
      <c r="H928" t="s">
        <v>43</v>
      </c>
      <c r="I928" t="s">
        <v>415</v>
      </c>
      <c r="J928" t="s">
        <v>43</v>
      </c>
      <c r="K928" t="s">
        <v>43</v>
      </c>
      <c r="L928" t="s">
        <v>43</v>
      </c>
      <c r="M928" t="s">
        <v>43</v>
      </c>
      <c r="N928" t="s">
        <v>45</v>
      </c>
      <c r="O928" t="s">
        <v>43</v>
      </c>
      <c r="P928" t="s">
        <v>43</v>
      </c>
      <c r="Q928" t="s">
        <v>43</v>
      </c>
      <c r="R928" t="s">
        <v>43</v>
      </c>
      <c r="S928" t="s">
        <v>43</v>
      </c>
      <c r="T928" t="s">
        <v>43</v>
      </c>
      <c r="U928" t="s">
        <v>43</v>
      </c>
      <c r="V928" t="s">
        <v>43</v>
      </c>
      <c r="W928" t="s">
        <v>43</v>
      </c>
      <c r="X928" t="s">
        <v>43</v>
      </c>
      <c r="Y928" t="s">
        <v>43</v>
      </c>
      <c r="Z928" t="s">
        <v>43</v>
      </c>
      <c r="AA928" t="s">
        <v>43</v>
      </c>
      <c r="AB928" t="s">
        <v>43</v>
      </c>
      <c r="AC928" t="s">
        <v>43</v>
      </c>
      <c r="AD928" t="s">
        <v>43</v>
      </c>
      <c r="AE928" t="s">
        <v>43</v>
      </c>
      <c r="AF928" t="s">
        <v>43</v>
      </c>
      <c r="AG928" t="s">
        <v>43</v>
      </c>
      <c r="AH928" t="s">
        <v>43</v>
      </c>
      <c r="AI928" t="s">
        <v>43</v>
      </c>
      <c r="AJ928" t="s">
        <v>43</v>
      </c>
      <c r="AK928" t="s">
        <v>43</v>
      </c>
      <c r="AL928" t="s">
        <v>43</v>
      </c>
      <c r="AM928" t="s">
        <v>43</v>
      </c>
      <c r="AN928" t="str">
        <f>HYPERLINK("https://www.google.com/maps?q=11.05474758,79.06082916","Open Location")</f>
        <v>Open Location</v>
      </c>
    </row>
    <row r="929" spans="1:40" x14ac:dyDescent="0.3">
      <c r="A929" s="1">
        <v>46210.892245370371</v>
      </c>
      <c r="B929" t="s">
        <v>40</v>
      </c>
      <c r="C929" t="s">
        <v>41</v>
      </c>
      <c r="D929" s="1">
        <v>46210.89503472222</v>
      </c>
      <c r="E929" t="s">
        <v>42</v>
      </c>
      <c r="F929" t="s">
        <v>43</v>
      </c>
      <c r="G929" t="s">
        <v>43</v>
      </c>
      <c r="H929" t="s">
        <v>43</v>
      </c>
      <c r="I929" t="s">
        <v>416</v>
      </c>
      <c r="J929" t="s">
        <v>43</v>
      </c>
      <c r="K929" t="s">
        <v>43</v>
      </c>
      <c r="L929" t="s">
        <v>43</v>
      </c>
      <c r="M929" t="s">
        <v>43</v>
      </c>
      <c r="N929" t="s">
        <v>45</v>
      </c>
      <c r="O929" t="s">
        <v>43</v>
      </c>
      <c r="P929" t="s">
        <v>43</v>
      </c>
      <c r="Q929" t="s">
        <v>43</v>
      </c>
      <c r="R929" t="s">
        <v>43</v>
      </c>
      <c r="S929" t="s">
        <v>43</v>
      </c>
      <c r="T929" t="s">
        <v>43</v>
      </c>
      <c r="U929" t="s">
        <v>43</v>
      </c>
      <c r="V929" t="s">
        <v>43</v>
      </c>
      <c r="W929" t="s">
        <v>43</v>
      </c>
      <c r="X929" t="s">
        <v>43</v>
      </c>
      <c r="Y929" t="s">
        <v>43</v>
      </c>
      <c r="Z929" t="s">
        <v>43</v>
      </c>
      <c r="AA929" t="s">
        <v>43</v>
      </c>
      <c r="AB929" t="s">
        <v>43</v>
      </c>
      <c r="AC929" t="s">
        <v>43</v>
      </c>
      <c r="AD929" t="s">
        <v>43</v>
      </c>
      <c r="AE929" t="s">
        <v>43</v>
      </c>
      <c r="AF929" t="s">
        <v>43</v>
      </c>
      <c r="AG929" t="s">
        <v>43</v>
      </c>
      <c r="AH929" t="s">
        <v>43</v>
      </c>
      <c r="AI929" t="s">
        <v>43</v>
      </c>
      <c r="AJ929" t="s">
        <v>43</v>
      </c>
      <c r="AK929" t="s">
        <v>43</v>
      </c>
      <c r="AL929" t="s">
        <v>43</v>
      </c>
      <c r="AM929" t="s">
        <v>43</v>
      </c>
      <c r="AN929" t="str">
        <f>HYPERLINK("https://www.google.com/maps?q=11.05474854,79.06083679","Open Location")</f>
        <v>Open Location</v>
      </c>
    </row>
    <row r="930" spans="1:40" x14ac:dyDescent="0.3">
      <c r="A930" s="1">
        <v>46210.892129629632</v>
      </c>
      <c r="B930" t="s">
        <v>40</v>
      </c>
      <c r="C930" t="s">
        <v>41</v>
      </c>
      <c r="D930" s="1">
        <v>46210.895370370374</v>
      </c>
      <c r="E930" t="s">
        <v>42</v>
      </c>
      <c r="F930" t="s">
        <v>43</v>
      </c>
      <c r="G930" t="s">
        <v>43</v>
      </c>
      <c r="H930" t="s">
        <v>43</v>
      </c>
      <c r="I930" t="s">
        <v>43</v>
      </c>
      <c r="J930" t="s">
        <v>43</v>
      </c>
      <c r="K930" t="s">
        <v>43</v>
      </c>
      <c r="L930" t="s">
        <v>43</v>
      </c>
      <c r="M930" t="s">
        <v>43</v>
      </c>
      <c r="N930" t="s">
        <v>45</v>
      </c>
      <c r="O930" t="s">
        <v>43</v>
      </c>
      <c r="P930" t="s">
        <v>43</v>
      </c>
      <c r="Q930" t="s">
        <v>43</v>
      </c>
      <c r="R930" t="s">
        <v>43</v>
      </c>
      <c r="S930" t="s">
        <v>43</v>
      </c>
      <c r="T930" t="s">
        <v>43</v>
      </c>
      <c r="U930" t="s">
        <v>43</v>
      </c>
      <c r="V930" t="s">
        <v>43</v>
      </c>
      <c r="W930" t="s">
        <v>43</v>
      </c>
      <c r="X930" t="s">
        <v>43</v>
      </c>
      <c r="Y930" t="s">
        <v>43</v>
      </c>
      <c r="Z930" t="s">
        <v>43</v>
      </c>
      <c r="AA930" t="s">
        <v>43</v>
      </c>
      <c r="AB930" t="s">
        <v>43</v>
      </c>
      <c r="AC930" t="s">
        <v>43</v>
      </c>
      <c r="AD930" t="s">
        <v>43</v>
      </c>
      <c r="AE930" t="s">
        <v>43</v>
      </c>
      <c r="AF930" t="s">
        <v>43</v>
      </c>
      <c r="AG930" t="s">
        <v>43</v>
      </c>
      <c r="AH930" t="s">
        <v>43</v>
      </c>
      <c r="AI930" t="s">
        <v>43</v>
      </c>
      <c r="AJ930" t="s">
        <v>43</v>
      </c>
      <c r="AK930" t="s">
        <v>43</v>
      </c>
      <c r="AL930" t="s">
        <v>43</v>
      </c>
      <c r="AM930" t="s">
        <v>43</v>
      </c>
      <c r="AN930" t="s">
        <v>43</v>
      </c>
    </row>
    <row r="931" spans="1:40" x14ac:dyDescent="0.3">
      <c r="A931" s="1">
        <v>46210.892013888886</v>
      </c>
      <c r="B931" t="s">
        <v>40</v>
      </c>
      <c r="C931" t="s">
        <v>41</v>
      </c>
      <c r="D931" s="1">
        <v>46210.89472222222</v>
      </c>
      <c r="E931" t="s">
        <v>42</v>
      </c>
      <c r="F931" t="s">
        <v>43</v>
      </c>
      <c r="G931" t="s">
        <v>43</v>
      </c>
      <c r="H931" t="s">
        <v>43</v>
      </c>
      <c r="I931" t="s">
        <v>417</v>
      </c>
      <c r="J931" t="s">
        <v>43</v>
      </c>
      <c r="K931" t="s">
        <v>43</v>
      </c>
      <c r="L931" t="s">
        <v>43</v>
      </c>
      <c r="M931" t="s">
        <v>43</v>
      </c>
      <c r="N931" t="s">
        <v>45</v>
      </c>
      <c r="O931" t="s">
        <v>43</v>
      </c>
      <c r="P931" t="s">
        <v>43</v>
      </c>
      <c r="Q931" t="s">
        <v>43</v>
      </c>
      <c r="R931" t="s">
        <v>43</v>
      </c>
      <c r="S931" t="s">
        <v>43</v>
      </c>
      <c r="T931" t="s">
        <v>43</v>
      </c>
      <c r="U931" t="s">
        <v>43</v>
      </c>
      <c r="V931" t="s">
        <v>43</v>
      </c>
      <c r="W931" t="s">
        <v>43</v>
      </c>
      <c r="X931" t="s">
        <v>43</v>
      </c>
      <c r="Y931" t="s">
        <v>43</v>
      </c>
      <c r="Z931" t="s">
        <v>43</v>
      </c>
      <c r="AA931" t="s">
        <v>43</v>
      </c>
      <c r="AB931" t="s">
        <v>43</v>
      </c>
      <c r="AC931" t="s">
        <v>43</v>
      </c>
      <c r="AD931" t="s">
        <v>43</v>
      </c>
      <c r="AE931" t="s">
        <v>43</v>
      </c>
      <c r="AF931" t="s">
        <v>43</v>
      </c>
      <c r="AG931" t="s">
        <v>43</v>
      </c>
      <c r="AH931" t="s">
        <v>43</v>
      </c>
      <c r="AI931" t="s">
        <v>43</v>
      </c>
      <c r="AJ931" t="s">
        <v>43</v>
      </c>
      <c r="AK931" t="s">
        <v>43</v>
      </c>
      <c r="AL931" t="s">
        <v>43</v>
      </c>
      <c r="AM931" t="s">
        <v>43</v>
      </c>
      <c r="AN931" t="str">
        <f>HYPERLINK("https://www.google.com/maps?q=11.0547514,79.06083679","Open Location")</f>
        <v>Open Location</v>
      </c>
    </row>
    <row r="932" spans="1:40" x14ac:dyDescent="0.3">
      <c r="A932" s="1">
        <v>46210.891898148147</v>
      </c>
      <c r="B932" t="s">
        <v>40</v>
      </c>
      <c r="C932" t="s">
        <v>41</v>
      </c>
      <c r="D932" s="1">
        <v>46210.89471064815</v>
      </c>
      <c r="E932" t="s">
        <v>42</v>
      </c>
      <c r="F932" t="s">
        <v>43</v>
      </c>
      <c r="G932" t="s">
        <v>43</v>
      </c>
      <c r="H932" t="s">
        <v>43</v>
      </c>
      <c r="I932" t="s">
        <v>418</v>
      </c>
      <c r="J932" t="s">
        <v>43</v>
      </c>
      <c r="K932" t="s">
        <v>43</v>
      </c>
      <c r="L932" t="s">
        <v>43</v>
      </c>
      <c r="M932" t="s">
        <v>43</v>
      </c>
      <c r="N932" t="s">
        <v>45</v>
      </c>
      <c r="O932" t="s">
        <v>43</v>
      </c>
      <c r="P932" t="s">
        <v>43</v>
      </c>
      <c r="Q932" t="s">
        <v>43</v>
      </c>
      <c r="R932" t="s">
        <v>43</v>
      </c>
      <c r="S932" t="s">
        <v>43</v>
      </c>
      <c r="T932" t="s">
        <v>43</v>
      </c>
      <c r="U932" t="s">
        <v>43</v>
      </c>
      <c r="V932" t="s">
        <v>43</v>
      </c>
      <c r="W932" t="s">
        <v>43</v>
      </c>
      <c r="X932" t="s">
        <v>43</v>
      </c>
      <c r="Y932" t="s">
        <v>43</v>
      </c>
      <c r="Z932" t="s">
        <v>43</v>
      </c>
      <c r="AA932" t="s">
        <v>43</v>
      </c>
      <c r="AB932" t="s">
        <v>43</v>
      </c>
      <c r="AC932" t="s">
        <v>43</v>
      </c>
      <c r="AD932" t="s">
        <v>43</v>
      </c>
      <c r="AE932" t="s">
        <v>43</v>
      </c>
      <c r="AF932" t="s">
        <v>43</v>
      </c>
      <c r="AG932" t="s">
        <v>43</v>
      </c>
      <c r="AH932" t="s">
        <v>43</v>
      </c>
      <c r="AI932" t="s">
        <v>43</v>
      </c>
      <c r="AJ932" t="s">
        <v>43</v>
      </c>
      <c r="AK932" t="s">
        <v>43</v>
      </c>
      <c r="AL932" t="s">
        <v>43</v>
      </c>
      <c r="AM932" t="s">
        <v>43</v>
      </c>
      <c r="AN932" t="str">
        <f>HYPERLINK("https://www.google.com/maps?q=11.05475426,79.06082916","Open Location")</f>
        <v>Open Location</v>
      </c>
    </row>
    <row r="933" spans="1:40" x14ac:dyDescent="0.3">
      <c r="A933" s="1">
        <v>46210.891782407409</v>
      </c>
      <c r="B933" t="s">
        <v>40</v>
      </c>
      <c r="C933" t="s">
        <v>41</v>
      </c>
      <c r="D933" s="1">
        <v>46210.895011574074</v>
      </c>
      <c r="E933" t="s">
        <v>42</v>
      </c>
      <c r="F933" t="s">
        <v>43</v>
      </c>
      <c r="G933" t="s">
        <v>43</v>
      </c>
      <c r="H933" t="s">
        <v>43</v>
      </c>
      <c r="I933" t="s">
        <v>418</v>
      </c>
      <c r="J933" t="s">
        <v>43</v>
      </c>
      <c r="K933" t="s">
        <v>43</v>
      </c>
      <c r="L933" t="s">
        <v>43</v>
      </c>
      <c r="M933" t="s">
        <v>43</v>
      </c>
      <c r="N933" t="s">
        <v>45</v>
      </c>
      <c r="O933" t="s">
        <v>43</v>
      </c>
      <c r="P933" t="s">
        <v>43</v>
      </c>
      <c r="Q933" t="s">
        <v>43</v>
      </c>
      <c r="R933" t="s">
        <v>43</v>
      </c>
      <c r="S933" t="s">
        <v>43</v>
      </c>
      <c r="T933" t="s">
        <v>43</v>
      </c>
      <c r="U933" t="s">
        <v>43</v>
      </c>
      <c r="V933" t="s">
        <v>43</v>
      </c>
      <c r="W933" t="s">
        <v>43</v>
      </c>
      <c r="X933" t="s">
        <v>43</v>
      </c>
      <c r="Y933" t="s">
        <v>43</v>
      </c>
      <c r="Z933" t="s">
        <v>43</v>
      </c>
      <c r="AA933" t="s">
        <v>43</v>
      </c>
      <c r="AB933" t="s">
        <v>43</v>
      </c>
      <c r="AC933" t="s">
        <v>43</v>
      </c>
      <c r="AD933" t="s">
        <v>43</v>
      </c>
      <c r="AE933" t="s">
        <v>43</v>
      </c>
      <c r="AF933" t="s">
        <v>43</v>
      </c>
      <c r="AG933" t="s">
        <v>43</v>
      </c>
      <c r="AH933" t="s">
        <v>43</v>
      </c>
      <c r="AI933" t="s">
        <v>43</v>
      </c>
      <c r="AJ933" t="s">
        <v>43</v>
      </c>
      <c r="AK933" t="s">
        <v>43</v>
      </c>
      <c r="AL933" t="s">
        <v>43</v>
      </c>
      <c r="AM933" t="s">
        <v>43</v>
      </c>
      <c r="AN933" t="str">
        <f>HYPERLINK("https://www.google.com/maps?q=11.05475426,79.06082916","Open Location")</f>
        <v>Open Location</v>
      </c>
    </row>
    <row r="934" spans="1:40" x14ac:dyDescent="0.3">
      <c r="A934" s="1">
        <v>46210.89166666667</v>
      </c>
      <c r="B934" t="s">
        <v>40</v>
      </c>
      <c r="C934" t="s">
        <v>41</v>
      </c>
      <c r="D934" s="1">
        <v>46210.894895833335</v>
      </c>
      <c r="E934" t="s">
        <v>42</v>
      </c>
      <c r="F934" t="s">
        <v>43</v>
      </c>
      <c r="G934" t="s">
        <v>43</v>
      </c>
      <c r="H934" t="s">
        <v>43</v>
      </c>
      <c r="I934" t="s">
        <v>408</v>
      </c>
      <c r="J934" t="s">
        <v>43</v>
      </c>
      <c r="K934" t="s">
        <v>43</v>
      </c>
      <c r="L934" t="s">
        <v>43</v>
      </c>
      <c r="M934" t="s">
        <v>43</v>
      </c>
      <c r="N934" t="s">
        <v>45</v>
      </c>
      <c r="O934" t="s">
        <v>43</v>
      </c>
      <c r="P934" t="s">
        <v>43</v>
      </c>
      <c r="Q934" t="s">
        <v>43</v>
      </c>
      <c r="R934" t="s">
        <v>43</v>
      </c>
      <c r="S934" t="s">
        <v>43</v>
      </c>
      <c r="T934" t="s">
        <v>43</v>
      </c>
      <c r="U934" t="s">
        <v>43</v>
      </c>
      <c r="V934" t="s">
        <v>43</v>
      </c>
      <c r="W934" t="s">
        <v>43</v>
      </c>
      <c r="X934" t="s">
        <v>43</v>
      </c>
      <c r="Y934" t="s">
        <v>43</v>
      </c>
      <c r="Z934" t="s">
        <v>43</v>
      </c>
      <c r="AA934" t="s">
        <v>43</v>
      </c>
      <c r="AB934" t="s">
        <v>43</v>
      </c>
      <c r="AC934" t="s">
        <v>43</v>
      </c>
      <c r="AD934" t="s">
        <v>43</v>
      </c>
      <c r="AE934" t="s">
        <v>43</v>
      </c>
      <c r="AF934" t="s">
        <v>43</v>
      </c>
      <c r="AG934" t="s">
        <v>43</v>
      </c>
      <c r="AH934" t="s">
        <v>43</v>
      </c>
      <c r="AI934" t="s">
        <v>43</v>
      </c>
      <c r="AJ934" t="s">
        <v>43</v>
      </c>
      <c r="AK934" t="s">
        <v>43</v>
      </c>
      <c r="AL934" t="s">
        <v>43</v>
      </c>
      <c r="AM934" t="s">
        <v>43</v>
      </c>
      <c r="AN934" t="str">
        <f>HYPERLINK("https://www.google.com/maps?q=11.05475521,79.06083679","Open Location")</f>
        <v>Open Location</v>
      </c>
    </row>
    <row r="935" spans="1:40" x14ac:dyDescent="0.3">
      <c r="A935" s="1">
        <v>46210.891550925924</v>
      </c>
      <c r="B935" t="s">
        <v>40</v>
      </c>
      <c r="C935" t="s">
        <v>41</v>
      </c>
      <c r="D935" s="1">
        <v>46210.894444444442</v>
      </c>
      <c r="E935" t="s">
        <v>42</v>
      </c>
      <c r="F935" t="s">
        <v>43</v>
      </c>
      <c r="G935" t="s">
        <v>43</v>
      </c>
      <c r="H935" t="s">
        <v>43</v>
      </c>
      <c r="I935" t="s">
        <v>43</v>
      </c>
      <c r="J935" t="s">
        <v>43</v>
      </c>
      <c r="K935" t="s">
        <v>43</v>
      </c>
      <c r="L935" t="s">
        <v>43</v>
      </c>
      <c r="M935" t="s">
        <v>43</v>
      </c>
      <c r="N935" t="s">
        <v>45</v>
      </c>
      <c r="O935" t="s">
        <v>43</v>
      </c>
      <c r="P935" t="s">
        <v>43</v>
      </c>
      <c r="Q935" t="s">
        <v>43</v>
      </c>
      <c r="R935" t="s">
        <v>43</v>
      </c>
      <c r="S935" t="s">
        <v>43</v>
      </c>
      <c r="T935" t="s">
        <v>43</v>
      </c>
      <c r="U935" t="s">
        <v>43</v>
      </c>
      <c r="V935" t="s">
        <v>43</v>
      </c>
      <c r="W935" t="s">
        <v>43</v>
      </c>
      <c r="X935" t="s">
        <v>43</v>
      </c>
      <c r="Y935" t="s">
        <v>43</v>
      </c>
      <c r="Z935" t="s">
        <v>43</v>
      </c>
      <c r="AA935" t="s">
        <v>43</v>
      </c>
      <c r="AB935" t="s">
        <v>43</v>
      </c>
      <c r="AC935" t="s">
        <v>43</v>
      </c>
      <c r="AD935" t="s">
        <v>43</v>
      </c>
      <c r="AE935" t="s">
        <v>43</v>
      </c>
      <c r="AF935" t="s">
        <v>43</v>
      </c>
      <c r="AG935" t="s">
        <v>43</v>
      </c>
      <c r="AH935" t="s">
        <v>43</v>
      </c>
      <c r="AI935" t="s">
        <v>43</v>
      </c>
      <c r="AJ935" t="s">
        <v>43</v>
      </c>
      <c r="AK935" t="s">
        <v>43</v>
      </c>
      <c r="AL935" t="s">
        <v>43</v>
      </c>
      <c r="AM935" t="s">
        <v>43</v>
      </c>
      <c r="AN935" t="s">
        <v>43</v>
      </c>
    </row>
    <row r="936" spans="1:40" x14ac:dyDescent="0.3">
      <c r="A936" s="1">
        <v>46210.891435185185</v>
      </c>
      <c r="B936" t="s">
        <v>40</v>
      </c>
      <c r="C936" t="s">
        <v>41</v>
      </c>
      <c r="D936" s="1">
        <v>46210.894236111111</v>
      </c>
      <c r="E936" t="s">
        <v>42</v>
      </c>
      <c r="F936" t="s">
        <v>43</v>
      </c>
      <c r="G936" t="s">
        <v>43</v>
      </c>
      <c r="H936" t="s">
        <v>43</v>
      </c>
      <c r="I936" t="s">
        <v>403</v>
      </c>
      <c r="J936" t="s">
        <v>43</v>
      </c>
      <c r="K936" t="s">
        <v>43</v>
      </c>
      <c r="L936" t="s">
        <v>43</v>
      </c>
      <c r="M936" t="s">
        <v>43</v>
      </c>
      <c r="N936" t="s">
        <v>45</v>
      </c>
      <c r="O936" t="s">
        <v>43</v>
      </c>
      <c r="P936" t="s">
        <v>43</v>
      </c>
      <c r="Q936" t="s">
        <v>43</v>
      </c>
      <c r="R936" t="s">
        <v>43</v>
      </c>
      <c r="S936" t="s">
        <v>43</v>
      </c>
      <c r="T936" t="s">
        <v>43</v>
      </c>
      <c r="U936" t="s">
        <v>43</v>
      </c>
      <c r="V936" t="s">
        <v>43</v>
      </c>
      <c r="W936" t="s">
        <v>43</v>
      </c>
      <c r="X936" t="s">
        <v>43</v>
      </c>
      <c r="Y936" t="s">
        <v>43</v>
      </c>
      <c r="Z936" t="s">
        <v>43</v>
      </c>
      <c r="AA936" t="s">
        <v>43</v>
      </c>
      <c r="AB936" t="s">
        <v>43</v>
      </c>
      <c r="AC936" t="s">
        <v>43</v>
      </c>
      <c r="AD936" t="s">
        <v>43</v>
      </c>
      <c r="AE936" t="s">
        <v>43</v>
      </c>
      <c r="AF936" t="s">
        <v>43</v>
      </c>
      <c r="AG936" t="s">
        <v>43</v>
      </c>
      <c r="AH936" t="s">
        <v>43</v>
      </c>
      <c r="AI936" t="s">
        <v>43</v>
      </c>
      <c r="AJ936" t="s">
        <v>43</v>
      </c>
      <c r="AK936" t="s">
        <v>43</v>
      </c>
      <c r="AL936" t="s">
        <v>43</v>
      </c>
      <c r="AM936" t="s">
        <v>43</v>
      </c>
      <c r="AN936" t="str">
        <f>HYPERLINK("https://www.google.com/maps?q=11.05475807,79.06083679","Open Location")</f>
        <v>Open Location</v>
      </c>
    </row>
    <row r="937" spans="1:40" x14ac:dyDescent="0.3">
      <c r="A937" s="1">
        <v>46210.891319444447</v>
      </c>
      <c r="B937" t="s">
        <v>40</v>
      </c>
      <c r="C937" t="s">
        <v>41</v>
      </c>
      <c r="D937" s="1">
        <v>46210.894131944442</v>
      </c>
      <c r="E937" t="s">
        <v>42</v>
      </c>
      <c r="F937" t="s">
        <v>43</v>
      </c>
      <c r="G937" t="s">
        <v>43</v>
      </c>
      <c r="H937" t="s">
        <v>43</v>
      </c>
      <c r="I937" t="s">
        <v>396</v>
      </c>
      <c r="J937" t="s">
        <v>43</v>
      </c>
      <c r="K937" t="s">
        <v>43</v>
      </c>
      <c r="L937" t="s">
        <v>43</v>
      </c>
      <c r="M937" t="s">
        <v>43</v>
      </c>
      <c r="N937" t="s">
        <v>45</v>
      </c>
      <c r="O937" t="s">
        <v>43</v>
      </c>
      <c r="P937" t="s">
        <v>43</v>
      </c>
      <c r="Q937" t="s">
        <v>43</v>
      </c>
      <c r="R937" t="s">
        <v>43</v>
      </c>
      <c r="S937" t="s">
        <v>43</v>
      </c>
      <c r="T937" t="s">
        <v>43</v>
      </c>
      <c r="U937" t="s">
        <v>43</v>
      </c>
      <c r="V937" t="s">
        <v>43</v>
      </c>
      <c r="W937" t="s">
        <v>43</v>
      </c>
      <c r="X937" t="s">
        <v>43</v>
      </c>
      <c r="Y937" t="s">
        <v>43</v>
      </c>
      <c r="Z937" t="s">
        <v>43</v>
      </c>
      <c r="AA937" t="s">
        <v>43</v>
      </c>
      <c r="AB937" t="s">
        <v>43</v>
      </c>
      <c r="AC937" t="s">
        <v>43</v>
      </c>
      <c r="AD937" t="s">
        <v>43</v>
      </c>
      <c r="AE937" t="s">
        <v>43</v>
      </c>
      <c r="AF937" t="s">
        <v>43</v>
      </c>
      <c r="AG937" t="s">
        <v>43</v>
      </c>
      <c r="AH937" t="s">
        <v>43</v>
      </c>
      <c r="AI937" t="s">
        <v>43</v>
      </c>
      <c r="AJ937" t="s">
        <v>43</v>
      </c>
      <c r="AK937" t="s">
        <v>43</v>
      </c>
      <c r="AL937" t="s">
        <v>43</v>
      </c>
      <c r="AM937" t="s">
        <v>43</v>
      </c>
      <c r="AN937" t="str">
        <f>HYPERLINK("https://www.google.com/maps?q=11.05475807,79.06084442","Open Location")</f>
        <v>Open Location</v>
      </c>
    </row>
    <row r="938" spans="1:40" x14ac:dyDescent="0.3">
      <c r="A938" s="1">
        <v>46210.891203703701</v>
      </c>
      <c r="B938" t="s">
        <v>40</v>
      </c>
      <c r="C938" t="s">
        <v>41</v>
      </c>
      <c r="D938" s="1">
        <v>46210.894131944442</v>
      </c>
      <c r="E938" t="s">
        <v>42</v>
      </c>
      <c r="F938" t="s">
        <v>43</v>
      </c>
      <c r="G938" t="s">
        <v>43</v>
      </c>
      <c r="H938" t="s">
        <v>43</v>
      </c>
      <c r="I938" t="s">
        <v>419</v>
      </c>
      <c r="J938" t="s">
        <v>43</v>
      </c>
      <c r="K938" t="s">
        <v>43</v>
      </c>
      <c r="L938" t="s">
        <v>43</v>
      </c>
      <c r="M938" t="s">
        <v>43</v>
      </c>
      <c r="N938" t="s">
        <v>45</v>
      </c>
      <c r="O938" t="s">
        <v>43</v>
      </c>
      <c r="P938" t="s">
        <v>43</v>
      </c>
      <c r="Q938" t="s">
        <v>43</v>
      </c>
      <c r="R938" t="s">
        <v>43</v>
      </c>
      <c r="S938" t="s">
        <v>43</v>
      </c>
      <c r="T938" t="s">
        <v>43</v>
      </c>
      <c r="U938" t="s">
        <v>43</v>
      </c>
      <c r="V938" t="s">
        <v>43</v>
      </c>
      <c r="W938" t="s">
        <v>43</v>
      </c>
      <c r="X938" t="s">
        <v>43</v>
      </c>
      <c r="Y938" t="s">
        <v>43</v>
      </c>
      <c r="Z938" t="s">
        <v>43</v>
      </c>
      <c r="AA938" t="s">
        <v>43</v>
      </c>
      <c r="AB938" t="s">
        <v>43</v>
      </c>
      <c r="AC938" t="s">
        <v>43</v>
      </c>
      <c r="AD938" t="s">
        <v>43</v>
      </c>
      <c r="AE938" t="s">
        <v>43</v>
      </c>
      <c r="AF938" t="s">
        <v>43</v>
      </c>
      <c r="AG938" t="s">
        <v>43</v>
      </c>
      <c r="AH938" t="s">
        <v>43</v>
      </c>
      <c r="AI938" t="s">
        <v>43</v>
      </c>
      <c r="AJ938" t="s">
        <v>43</v>
      </c>
      <c r="AK938" t="s">
        <v>43</v>
      </c>
      <c r="AL938" t="s">
        <v>43</v>
      </c>
      <c r="AM938" t="s">
        <v>43</v>
      </c>
      <c r="AN938" t="str">
        <f>HYPERLINK("https://www.google.com/maps?q=11.05475521,79.06085968","Open Location")</f>
        <v>Open Location</v>
      </c>
    </row>
    <row r="939" spans="1:40" x14ac:dyDescent="0.3">
      <c r="A939" s="1">
        <v>46210.891087962962</v>
      </c>
      <c r="B939" t="s">
        <v>40</v>
      </c>
      <c r="C939" t="s">
        <v>41</v>
      </c>
      <c r="D939" s="1">
        <v>46210.893854166665</v>
      </c>
      <c r="E939" t="s">
        <v>42</v>
      </c>
      <c r="F939" t="s">
        <v>43</v>
      </c>
      <c r="G939" t="s">
        <v>43</v>
      </c>
      <c r="H939" t="s">
        <v>43</v>
      </c>
      <c r="I939" t="s">
        <v>398</v>
      </c>
      <c r="J939" t="s">
        <v>43</v>
      </c>
      <c r="K939" t="s">
        <v>43</v>
      </c>
      <c r="L939" t="s">
        <v>43</v>
      </c>
      <c r="M939" t="s">
        <v>43</v>
      </c>
      <c r="N939" t="s">
        <v>45</v>
      </c>
      <c r="O939" t="s">
        <v>43</v>
      </c>
      <c r="P939" t="s">
        <v>43</v>
      </c>
      <c r="Q939" t="s">
        <v>43</v>
      </c>
      <c r="R939" t="s">
        <v>43</v>
      </c>
      <c r="S939" t="s">
        <v>43</v>
      </c>
      <c r="T939" t="s">
        <v>43</v>
      </c>
      <c r="U939" t="s">
        <v>43</v>
      </c>
      <c r="V939" t="s">
        <v>43</v>
      </c>
      <c r="W939" t="s">
        <v>43</v>
      </c>
      <c r="X939" t="s">
        <v>43</v>
      </c>
      <c r="Y939" t="s">
        <v>43</v>
      </c>
      <c r="Z939" t="s">
        <v>43</v>
      </c>
      <c r="AA939" t="s">
        <v>43</v>
      </c>
      <c r="AB939" t="s">
        <v>43</v>
      </c>
      <c r="AC939" t="s">
        <v>43</v>
      </c>
      <c r="AD939" t="s">
        <v>43</v>
      </c>
      <c r="AE939" t="s">
        <v>43</v>
      </c>
      <c r="AF939" t="s">
        <v>43</v>
      </c>
      <c r="AG939" t="s">
        <v>43</v>
      </c>
      <c r="AH939" t="s">
        <v>43</v>
      </c>
      <c r="AI939" t="s">
        <v>43</v>
      </c>
      <c r="AJ939" t="s">
        <v>43</v>
      </c>
      <c r="AK939" t="s">
        <v>43</v>
      </c>
      <c r="AL939" t="s">
        <v>43</v>
      </c>
      <c r="AM939" t="s">
        <v>43</v>
      </c>
      <c r="AN939" t="str">
        <f>HYPERLINK("https://www.google.com/maps?q=11.05475426,79.06084442","Open Location")</f>
        <v>Open Location</v>
      </c>
    </row>
    <row r="940" spans="1:40" x14ac:dyDescent="0.3">
      <c r="A940" s="1">
        <v>46210.890972222223</v>
      </c>
      <c r="B940" t="s">
        <v>40</v>
      </c>
      <c r="C940" t="s">
        <v>41</v>
      </c>
      <c r="D940" s="1">
        <v>46210.893680555557</v>
      </c>
      <c r="E940" t="s">
        <v>42</v>
      </c>
      <c r="F940" t="s">
        <v>43</v>
      </c>
      <c r="G940" t="s">
        <v>43</v>
      </c>
      <c r="H940" t="s">
        <v>43</v>
      </c>
      <c r="I940" t="s">
        <v>405</v>
      </c>
      <c r="J940" t="s">
        <v>43</v>
      </c>
      <c r="K940" t="s">
        <v>43</v>
      </c>
      <c r="L940" t="s">
        <v>43</v>
      </c>
      <c r="M940" t="s">
        <v>43</v>
      </c>
      <c r="N940" t="s">
        <v>45</v>
      </c>
      <c r="O940" t="s">
        <v>43</v>
      </c>
      <c r="P940" t="s">
        <v>43</v>
      </c>
      <c r="Q940" t="s">
        <v>43</v>
      </c>
      <c r="R940" t="s">
        <v>43</v>
      </c>
      <c r="S940" t="s">
        <v>43</v>
      </c>
      <c r="T940" t="s">
        <v>43</v>
      </c>
      <c r="U940" t="s">
        <v>43</v>
      </c>
      <c r="V940" t="s">
        <v>43</v>
      </c>
      <c r="W940" t="s">
        <v>43</v>
      </c>
      <c r="X940" t="s">
        <v>43</v>
      </c>
      <c r="Y940" t="s">
        <v>43</v>
      </c>
      <c r="Z940" t="s">
        <v>43</v>
      </c>
      <c r="AA940" t="s">
        <v>43</v>
      </c>
      <c r="AB940" t="s">
        <v>43</v>
      </c>
      <c r="AC940" t="s">
        <v>43</v>
      </c>
      <c r="AD940" t="s">
        <v>43</v>
      </c>
      <c r="AE940" t="s">
        <v>43</v>
      </c>
      <c r="AF940" t="s">
        <v>43</v>
      </c>
      <c r="AG940" t="s">
        <v>43</v>
      </c>
      <c r="AH940" t="s">
        <v>43</v>
      </c>
      <c r="AI940" t="s">
        <v>43</v>
      </c>
      <c r="AJ940" t="s">
        <v>43</v>
      </c>
      <c r="AK940" t="s">
        <v>43</v>
      </c>
      <c r="AL940" t="s">
        <v>43</v>
      </c>
      <c r="AM940" t="s">
        <v>43</v>
      </c>
      <c r="AN940" t="str">
        <f>HYPERLINK("https://www.google.com/maps?q=11.05475521,79.06084442","Open Location")</f>
        <v>Open Location</v>
      </c>
    </row>
    <row r="941" spans="1:40" x14ac:dyDescent="0.3">
      <c r="A941" s="1">
        <v>46210.890856481485</v>
      </c>
      <c r="B941" t="s">
        <v>40</v>
      </c>
      <c r="C941" t="s">
        <v>41</v>
      </c>
      <c r="D941" s="1">
        <v>46210.893680555557</v>
      </c>
      <c r="E941" t="s">
        <v>42</v>
      </c>
      <c r="F941" t="s">
        <v>43</v>
      </c>
      <c r="G941" t="s">
        <v>43</v>
      </c>
      <c r="H941" t="s">
        <v>43</v>
      </c>
      <c r="I941" t="s">
        <v>43</v>
      </c>
      <c r="J941" t="s">
        <v>43</v>
      </c>
      <c r="K941" t="s">
        <v>43</v>
      </c>
      <c r="L941" t="s">
        <v>43</v>
      </c>
      <c r="M941" t="s">
        <v>43</v>
      </c>
      <c r="N941" t="s">
        <v>45</v>
      </c>
      <c r="O941" t="s">
        <v>43</v>
      </c>
      <c r="P941" t="s">
        <v>43</v>
      </c>
      <c r="Q941" t="s">
        <v>43</v>
      </c>
      <c r="R941" t="s">
        <v>43</v>
      </c>
      <c r="S941" t="s">
        <v>43</v>
      </c>
      <c r="T941" t="s">
        <v>43</v>
      </c>
      <c r="U941" t="s">
        <v>43</v>
      </c>
      <c r="V941" t="s">
        <v>43</v>
      </c>
      <c r="W941" t="s">
        <v>43</v>
      </c>
      <c r="X941" t="s">
        <v>43</v>
      </c>
      <c r="Y941" t="s">
        <v>43</v>
      </c>
      <c r="Z941" t="s">
        <v>43</v>
      </c>
      <c r="AA941" t="s">
        <v>43</v>
      </c>
      <c r="AB941" t="s">
        <v>43</v>
      </c>
      <c r="AC941" t="s">
        <v>43</v>
      </c>
      <c r="AD941" t="s">
        <v>43</v>
      </c>
      <c r="AE941" t="s">
        <v>43</v>
      </c>
      <c r="AF941" t="s">
        <v>43</v>
      </c>
      <c r="AG941" t="s">
        <v>43</v>
      </c>
      <c r="AH941" t="s">
        <v>43</v>
      </c>
      <c r="AI941" t="s">
        <v>43</v>
      </c>
      <c r="AJ941" t="s">
        <v>43</v>
      </c>
      <c r="AK941" t="s">
        <v>43</v>
      </c>
      <c r="AL941" t="s">
        <v>43</v>
      </c>
      <c r="AM941" t="s">
        <v>43</v>
      </c>
      <c r="AN941" t="s">
        <v>43</v>
      </c>
    </row>
    <row r="942" spans="1:40" x14ac:dyDescent="0.3">
      <c r="A942" s="1">
        <v>46210.890740740739</v>
      </c>
      <c r="B942" t="s">
        <v>40</v>
      </c>
      <c r="C942" t="s">
        <v>41</v>
      </c>
      <c r="D942" s="1">
        <v>46210.893738425926</v>
      </c>
      <c r="E942" t="s">
        <v>42</v>
      </c>
      <c r="F942" t="s">
        <v>43</v>
      </c>
      <c r="G942" t="s">
        <v>43</v>
      </c>
      <c r="H942" t="s">
        <v>43</v>
      </c>
      <c r="I942" t="s">
        <v>420</v>
      </c>
      <c r="J942" t="s">
        <v>43</v>
      </c>
      <c r="K942" t="s">
        <v>43</v>
      </c>
      <c r="L942" t="s">
        <v>43</v>
      </c>
      <c r="M942" t="s">
        <v>43</v>
      </c>
      <c r="N942" t="s">
        <v>45</v>
      </c>
      <c r="O942" t="s">
        <v>43</v>
      </c>
      <c r="P942" t="s">
        <v>43</v>
      </c>
      <c r="Q942" t="s">
        <v>43</v>
      </c>
      <c r="R942" t="s">
        <v>43</v>
      </c>
      <c r="S942" t="s">
        <v>43</v>
      </c>
      <c r="T942" t="s">
        <v>43</v>
      </c>
      <c r="U942" t="s">
        <v>43</v>
      </c>
      <c r="V942" t="s">
        <v>43</v>
      </c>
      <c r="W942" t="s">
        <v>43</v>
      </c>
      <c r="X942" t="s">
        <v>43</v>
      </c>
      <c r="Y942" t="s">
        <v>43</v>
      </c>
      <c r="Z942" t="s">
        <v>43</v>
      </c>
      <c r="AA942" t="s">
        <v>43</v>
      </c>
      <c r="AB942" t="s">
        <v>43</v>
      </c>
      <c r="AC942" t="s">
        <v>43</v>
      </c>
      <c r="AD942" t="s">
        <v>43</v>
      </c>
      <c r="AE942" t="s">
        <v>43</v>
      </c>
      <c r="AF942" t="s">
        <v>43</v>
      </c>
      <c r="AG942" t="s">
        <v>43</v>
      </c>
      <c r="AH942" t="s">
        <v>43</v>
      </c>
      <c r="AI942" t="s">
        <v>43</v>
      </c>
      <c r="AJ942" t="s">
        <v>43</v>
      </c>
      <c r="AK942" t="s">
        <v>43</v>
      </c>
      <c r="AL942" t="s">
        <v>43</v>
      </c>
      <c r="AM942" t="s">
        <v>43</v>
      </c>
      <c r="AN942" t="str">
        <f>HYPERLINK("https://www.google.com/maps?q=11.05475616,79.06083679","Open Location")</f>
        <v>Open Location</v>
      </c>
    </row>
    <row r="943" spans="1:40" x14ac:dyDescent="0.3">
      <c r="A943" s="1">
        <v>46210.890625</v>
      </c>
      <c r="B943" t="s">
        <v>40</v>
      </c>
      <c r="C943" t="s">
        <v>41</v>
      </c>
      <c r="D943" s="1">
        <v>46210.893657407411</v>
      </c>
      <c r="E943" t="s">
        <v>42</v>
      </c>
      <c r="F943" t="s">
        <v>43</v>
      </c>
      <c r="G943" t="s">
        <v>43</v>
      </c>
      <c r="H943" t="s">
        <v>43</v>
      </c>
      <c r="I943" t="s">
        <v>404</v>
      </c>
      <c r="J943" t="s">
        <v>43</v>
      </c>
      <c r="K943" t="s">
        <v>43</v>
      </c>
      <c r="L943" t="s">
        <v>43</v>
      </c>
      <c r="M943" t="s">
        <v>43</v>
      </c>
      <c r="N943" t="s">
        <v>45</v>
      </c>
      <c r="O943" t="s">
        <v>43</v>
      </c>
      <c r="P943" t="s">
        <v>43</v>
      </c>
      <c r="Q943" t="s">
        <v>43</v>
      </c>
      <c r="R943" t="s">
        <v>43</v>
      </c>
      <c r="S943" t="s">
        <v>43</v>
      </c>
      <c r="T943" t="s">
        <v>43</v>
      </c>
      <c r="U943" t="s">
        <v>43</v>
      </c>
      <c r="V943" t="s">
        <v>43</v>
      </c>
      <c r="W943" t="s">
        <v>43</v>
      </c>
      <c r="X943" t="s">
        <v>43</v>
      </c>
      <c r="Y943" t="s">
        <v>43</v>
      </c>
      <c r="Z943" t="s">
        <v>43</v>
      </c>
      <c r="AA943" t="s">
        <v>43</v>
      </c>
      <c r="AB943" t="s">
        <v>43</v>
      </c>
      <c r="AC943" t="s">
        <v>43</v>
      </c>
      <c r="AD943" t="s">
        <v>43</v>
      </c>
      <c r="AE943" t="s">
        <v>43</v>
      </c>
      <c r="AF943" t="s">
        <v>43</v>
      </c>
      <c r="AG943" t="s">
        <v>43</v>
      </c>
      <c r="AH943" t="s">
        <v>43</v>
      </c>
      <c r="AI943" t="s">
        <v>43</v>
      </c>
      <c r="AJ943" t="s">
        <v>43</v>
      </c>
      <c r="AK943" t="s">
        <v>43</v>
      </c>
      <c r="AL943" t="s">
        <v>43</v>
      </c>
      <c r="AM943" t="s">
        <v>43</v>
      </c>
      <c r="AN943" t="str">
        <f>HYPERLINK("https://www.google.com/maps?q=11.05475712,79.06083679","Open Location")</f>
        <v>Open Location</v>
      </c>
    </row>
    <row r="944" spans="1:40" x14ac:dyDescent="0.3">
      <c r="A944" s="1">
        <v>46210.890509259261</v>
      </c>
      <c r="B944" t="s">
        <v>40</v>
      </c>
      <c r="C944" t="s">
        <v>41</v>
      </c>
      <c r="D944" s="1">
        <v>46210.893692129626</v>
      </c>
      <c r="E944" t="s">
        <v>42</v>
      </c>
      <c r="F944" t="s">
        <v>43</v>
      </c>
      <c r="G944" t="s">
        <v>43</v>
      </c>
      <c r="H944" t="s">
        <v>43</v>
      </c>
      <c r="I944" t="s">
        <v>421</v>
      </c>
      <c r="J944" t="s">
        <v>43</v>
      </c>
      <c r="K944" t="s">
        <v>43</v>
      </c>
      <c r="L944" t="s">
        <v>43</v>
      </c>
      <c r="M944" t="s">
        <v>43</v>
      </c>
      <c r="N944" t="s">
        <v>45</v>
      </c>
      <c r="O944" t="s">
        <v>43</v>
      </c>
      <c r="P944" t="s">
        <v>43</v>
      </c>
      <c r="Q944" t="s">
        <v>43</v>
      </c>
      <c r="R944" t="s">
        <v>43</v>
      </c>
      <c r="S944" t="s">
        <v>43</v>
      </c>
      <c r="T944" t="s">
        <v>43</v>
      </c>
      <c r="U944" t="s">
        <v>43</v>
      </c>
      <c r="V944" t="s">
        <v>43</v>
      </c>
      <c r="W944" t="s">
        <v>43</v>
      </c>
      <c r="X944" t="s">
        <v>43</v>
      </c>
      <c r="Y944" t="s">
        <v>43</v>
      </c>
      <c r="Z944" t="s">
        <v>43</v>
      </c>
      <c r="AA944" t="s">
        <v>43</v>
      </c>
      <c r="AB944" t="s">
        <v>43</v>
      </c>
      <c r="AC944" t="s">
        <v>43</v>
      </c>
      <c r="AD944" t="s">
        <v>43</v>
      </c>
      <c r="AE944" t="s">
        <v>43</v>
      </c>
      <c r="AF944" t="s">
        <v>43</v>
      </c>
      <c r="AG944" t="s">
        <v>43</v>
      </c>
      <c r="AH944" t="s">
        <v>43</v>
      </c>
      <c r="AI944" t="s">
        <v>43</v>
      </c>
      <c r="AJ944" t="s">
        <v>43</v>
      </c>
      <c r="AK944" t="s">
        <v>43</v>
      </c>
      <c r="AL944" t="s">
        <v>43</v>
      </c>
      <c r="AM944" t="s">
        <v>43</v>
      </c>
      <c r="AN944" t="str">
        <f>HYPERLINK("https://www.google.com/maps?q=11.05475903,79.06083679","Open Location")</f>
        <v>Open Location</v>
      </c>
    </row>
    <row r="945" spans="1:40" x14ac:dyDescent="0.3">
      <c r="A945" s="1">
        <v>46210.890393518515</v>
      </c>
      <c r="B945" t="s">
        <v>40</v>
      </c>
      <c r="C945" t="s">
        <v>41</v>
      </c>
      <c r="D945" s="1">
        <v>46210.893263888887</v>
      </c>
      <c r="E945" t="s">
        <v>42</v>
      </c>
      <c r="F945" t="s">
        <v>43</v>
      </c>
      <c r="G945" t="s">
        <v>43</v>
      </c>
      <c r="H945" t="s">
        <v>43</v>
      </c>
      <c r="I945" t="s">
        <v>422</v>
      </c>
      <c r="J945" t="s">
        <v>43</v>
      </c>
      <c r="K945" t="s">
        <v>43</v>
      </c>
      <c r="L945" t="s">
        <v>43</v>
      </c>
      <c r="M945" t="s">
        <v>43</v>
      </c>
      <c r="N945" t="s">
        <v>45</v>
      </c>
      <c r="O945" t="s">
        <v>43</v>
      </c>
      <c r="P945" t="s">
        <v>43</v>
      </c>
      <c r="Q945" t="s">
        <v>43</v>
      </c>
      <c r="R945" t="s">
        <v>43</v>
      </c>
      <c r="S945" t="s">
        <v>43</v>
      </c>
      <c r="T945" t="s">
        <v>43</v>
      </c>
      <c r="U945" t="s">
        <v>43</v>
      </c>
      <c r="V945" t="s">
        <v>43</v>
      </c>
      <c r="W945" t="s">
        <v>43</v>
      </c>
      <c r="X945" t="s">
        <v>43</v>
      </c>
      <c r="Y945" t="s">
        <v>43</v>
      </c>
      <c r="Z945" t="s">
        <v>43</v>
      </c>
      <c r="AA945" t="s">
        <v>43</v>
      </c>
      <c r="AB945" t="s">
        <v>43</v>
      </c>
      <c r="AC945" t="s">
        <v>43</v>
      </c>
      <c r="AD945" t="s">
        <v>43</v>
      </c>
      <c r="AE945" t="s">
        <v>43</v>
      </c>
      <c r="AF945" t="s">
        <v>43</v>
      </c>
      <c r="AG945" t="s">
        <v>43</v>
      </c>
      <c r="AH945" t="s">
        <v>43</v>
      </c>
      <c r="AI945" t="s">
        <v>43</v>
      </c>
      <c r="AJ945" t="s">
        <v>43</v>
      </c>
      <c r="AK945" t="s">
        <v>43</v>
      </c>
      <c r="AL945" t="s">
        <v>43</v>
      </c>
      <c r="AM945" t="s">
        <v>43</v>
      </c>
      <c r="AN945" t="str">
        <f>HYPERLINK("https://www.google.com/maps?q=11.05475998,79.06084442","Open Location")</f>
        <v>Open Location</v>
      </c>
    </row>
    <row r="946" spans="1:40" x14ac:dyDescent="0.3">
      <c r="A946" s="1">
        <v>46210.890277777777</v>
      </c>
      <c r="B946" t="s">
        <v>40</v>
      </c>
      <c r="C946" t="s">
        <v>41</v>
      </c>
      <c r="D946" s="1">
        <v>46210.893136574072</v>
      </c>
      <c r="E946" t="s">
        <v>42</v>
      </c>
      <c r="F946" t="s">
        <v>43</v>
      </c>
      <c r="G946" t="s">
        <v>43</v>
      </c>
      <c r="H946" t="s">
        <v>43</v>
      </c>
      <c r="I946" t="s">
        <v>422</v>
      </c>
      <c r="J946" t="s">
        <v>43</v>
      </c>
      <c r="K946" t="s">
        <v>43</v>
      </c>
      <c r="L946" t="s">
        <v>43</v>
      </c>
      <c r="M946" t="s">
        <v>43</v>
      </c>
      <c r="N946" t="s">
        <v>45</v>
      </c>
      <c r="O946" t="s">
        <v>43</v>
      </c>
      <c r="P946" t="s">
        <v>43</v>
      </c>
      <c r="Q946" t="s">
        <v>43</v>
      </c>
      <c r="R946" t="s">
        <v>43</v>
      </c>
      <c r="S946" t="s">
        <v>43</v>
      </c>
      <c r="T946" t="s">
        <v>43</v>
      </c>
      <c r="U946" t="s">
        <v>43</v>
      </c>
      <c r="V946" t="s">
        <v>43</v>
      </c>
      <c r="W946" t="s">
        <v>43</v>
      </c>
      <c r="X946" t="s">
        <v>43</v>
      </c>
      <c r="Y946" t="s">
        <v>43</v>
      </c>
      <c r="Z946" t="s">
        <v>43</v>
      </c>
      <c r="AA946" t="s">
        <v>43</v>
      </c>
      <c r="AB946" t="s">
        <v>43</v>
      </c>
      <c r="AC946" t="s">
        <v>43</v>
      </c>
      <c r="AD946" t="s">
        <v>43</v>
      </c>
      <c r="AE946" t="s">
        <v>43</v>
      </c>
      <c r="AF946" t="s">
        <v>43</v>
      </c>
      <c r="AG946" t="s">
        <v>43</v>
      </c>
      <c r="AH946" t="s">
        <v>43</v>
      </c>
      <c r="AI946" t="s">
        <v>43</v>
      </c>
      <c r="AJ946" t="s">
        <v>43</v>
      </c>
      <c r="AK946" t="s">
        <v>43</v>
      </c>
      <c r="AL946" t="s">
        <v>43</v>
      </c>
      <c r="AM946" t="s">
        <v>43</v>
      </c>
      <c r="AN946" t="str">
        <f>HYPERLINK("https://www.google.com/maps?q=11.05475998,79.06084442","Open Location")</f>
        <v>Open Location</v>
      </c>
    </row>
    <row r="947" spans="1:40" x14ac:dyDescent="0.3">
      <c r="A947" s="1">
        <v>46210.890162037038</v>
      </c>
      <c r="B947" t="s">
        <v>40</v>
      </c>
      <c r="C947" t="s">
        <v>41</v>
      </c>
      <c r="D947" s="1">
        <v>46210.893263888887</v>
      </c>
      <c r="E947" t="s">
        <v>42</v>
      </c>
      <c r="F947" t="s">
        <v>43</v>
      </c>
      <c r="G947" t="s">
        <v>43</v>
      </c>
      <c r="H947" t="s">
        <v>43</v>
      </c>
      <c r="I947" t="s">
        <v>43</v>
      </c>
      <c r="J947" t="s">
        <v>43</v>
      </c>
      <c r="K947" t="s">
        <v>43</v>
      </c>
      <c r="L947" t="s">
        <v>43</v>
      </c>
      <c r="M947" t="s">
        <v>43</v>
      </c>
      <c r="N947" t="s">
        <v>45</v>
      </c>
      <c r="O947" t="s">
        <v>43</v>
      </c>
      <c r="P947" t="s">
        <v>43</v>
      </c>
      <c r="Q947" t="s">
        <v>43</v>
      </c>
      <c r="R947" t="s">
        <v>43</v>
      </c>
      <c r="S947" t="s">
        <v>43</v>
      </c>
      <c r="T947" t="s">
        <v>43</v>
      </c>
      <c r="U947" t="s">
        <v>43</v>
      </c>
      <c r="V947" t="s">
        <v>43</v>
      </c>
      <c r="W947" t="s">
        <v>43</v>
      </c>
      <c r="X947" t="s">
        <v>43</v>
      </c>
      <c r="Y947" t="s">
        <v>43</v>
      </c>
      <c r="Z947" t="s">
        <v>43</v>
      </c>
      <c r="AA947" t="s">
        <v>43</v>
      </c>
      <c r="AB947" t="s">
        <v>43</v>
      </c>
      <c r="AC947" t="s">
        <v>43</v>
      </c>
      <c r="AD947" t="s">
        <v>43</v>
      </c>
      <c r="AE947" t="s">
        <v>43</v>
      </c>
      <c r="AF947" t="s">
        <v>43</v>
      </c>
      <c r="AG947" t="s">
        <v>43</v>
      </c>
      <c r="AH947" t="s">
        <v>43</v>
      </c>
      <c r="AI947" t="s">
        <v>43</v>
      </c>
      <c r="AJ947" t="s">
        <v>43</v>
      </c>
      <c r="AK947" t="s">
        <v>43</v>
      </c>
      <c r="AL947" t="s">
        <v>43</v>
      </c>
      <c r="AM947" t="s">
        <v>43</v>
      </c>
      <c r="AN947" t="s">
        <v>43</v>
      </c>
    </row>
    <row r="948" spans="1:40" x14ac:dyDescent="0.3">
      <c r="A948" s="1">
        <v>46210.890046296299</v>
      </c>
      <c r="B948" t="s">
        <v>40</v>
      </c>
      <c r="C948" t="s">
        <v>41</v>
      </c>
      <c r="D948" s="1">
        <v>46210.892974537041</v>
      </c>
      <c r="E948" t="s">
        <v>42</v>
      </c>
      <c r="F948" t="s">
        <v>43</v>
      </c>
      <c r="G948" t="s">
        <v>43</v>
      </c>
      <c r="H948" t="s">
        <v>43</v>
      </c>
      <c r="I948" t="s">
        <v>395</v>
      </c>
      <c r="J948" t="s">
        <v>43</v>
      </c>
      <c r="K948" t="s">
        <v>43</v>
      </c>
      <c r="L948" t="s">
        <v>43</v>
      </c>
      <c r="M948" t="s">
        <v>43</v>
      </c>
      <c r="N948" t="s">
        <v>45</v>
      </c>
      <c r="O948" t="s">
        <v>43</v>
      </c>
      <c r="P948" t="s">
        <v>43</v>
      </c>
      <c r="Q948" t="s">
        <v>43</v>
      </c>
      <c r="R948" t="s">
        <v>43</v>
      </c>
      <c r="S948" t="s">
        <v>43</v>
      </c>
      <c r="T948" t="s">
        <v>43</v>
      </c>
      <c r="U948" t="s">
        <v>43</v>
      </c>
      <c r="V948" t="s">
        <v>43</v>
      </c>
      <c r="W948" t="s">
        <v>43</v>
      </c>
      <c r="X948" t="s">
        <v>43</v>
      </c>
      <c r="Y948" t="s">
        <v>43</v>
      </c>
      <c r="Z948" t="s">
        <v>43</v>
      </c>
      <c r="AA948" t="s">
        <v>43</v>
      </c>
      <c r="AB948" t="s">
        <v>43</v>
      </c>
      <c r="AC948" t="s">
        <v>43</v>
      </c>
      <c r="AD948" t="s">
        <v>43</v>
      </c>
      <c r="AE948" t="s">
        <v>43</v>
      </c>
      <c r="AF948" t="s">
        <v>43</v>
      </c>
      <c r="AG948" t="s">
        <v>43</v>
      </c>
      <c r="AH948" t="s">
        <v>43</v>
      </c>
      <c r="AI948" t="s">
        <v>43</v>
      </c>
      <c r="AJ948" t="s">
        <v>43</v>
      </c>
      <c r="AK948" t="s">
        <v>43</v>
      </c>
      <c r="AL948" t="s">
        <v>43</v>
      </c>
      <c r="AM948" t="s">
        <v>43</v>
      </c>
      <c r="AN948" t="str">
        <f>HYPERLINK("https://www.google.com/maps?q=11.05475903,79.06084442","Open Location")</f>
        <v>Open Location</v>
      </c>
    </row>
    <row r="949" spans="1:40" x14ac:dyDescent="0.3">
      <c r="A949" s="1">
        <v>46210.889930555553</v>
      </c>
      <c r="B949" t="s">
        <v>40</v>
      </c>
      <c r="C949" t="s">
        <v>41</v>
      </c>
      <c r="D949" s="1">
        <v>46210.892800925925</v>
      </c>
      <c r="E949" t="s">
        <v>42</v>
      </c>
      <c r="F949" t="s">
        <v>43</v>
      </c>
      <c r="G949" t="s">
        <v>43</v>
      </c>
      <c r="H949" t="s">
        <v>43</v>
      </c>
      <c r="I949" t="s">
        <v>403</v>
      </c>
      <c r="J949" t="s">
        <v>43</v>
      </c>
      <c r="K949" t="s">
        <v>43</v>
      </c>
      <c r="L949" t="s">
        <v>43</v>
      </c>
      <c r="M949" t="s">
        <v>43</v>
      </c>
      <c r="N949" t="s">
        <v>45</v>
      </c>
      <c r="O949" t="s">
        <v>43</v>
      </c>
      <c r="P949" t="s">
        <v>43</v>
      </c>
      <c r="Q949" t="s">
        <v>43</v>
      </c>
      <c r="R949" t="s">
        <v>43</v>
      </c>
      <c r="S949" t="s">
        <v>43</v>
      </c>
      <c r="T949" t="s">
        <v>43</v>
      </c>
      <c r="U949" t="s">
        <v>43</v>
      </c>
      <c r="V949" t="s">
        <v>43</v>
      </c>
      <c r="W949" t="s">
        <v>43</v>
      </c>
      <c r="X949" t="s">
        <v>43</v>
      </c>
      <c r="Y949" t="s">
        <v>43</v>
      </c>
      <c r="Z949" t="s">
        <v>43</v>
      </c>
      <c r="AA949" t="s">
        <v>43</v>
      </c>
      <c r="AB949" t="s">
        <v>43</v>
      </c>
      <c r="AC949" t="s">
        <v>43</v>
      </c>
      <c r="AD949" t="s">
        <v>43</v>
      </c>
      <c r="AE949" t="s">
        <v>43</v>
      </c>
      <c r="AF949" t="s">
        <v>43</v>
      </c>
      <c r="AG949" t="s">
        <v>43</v>
      </c>
      <c r="AH949" t="s">
        <v>43</v>
      </c>
      <c r="AI949" t="s">
        <v>43</v>
      </c>
      <c r="AJ949" t="s">
        <v>43</v>
      </c>
      <c r="AK949" t="s">
        <v>43</v>
      </c>
      <c r="AL949" t="s">
        <v>43</v>
      </c>
      <c r="AM949" t="s">
        <v>43</v>
      </c>
      <c r="AN949" t="str">
        <f>HYPERLINK("https://www.google.com/maps?q=11.05475807,79.06083679","Open Location")</f>
        <v>Open Location</v>
      </c>
    </row>
    <row r="950" spans="1:40" x14ac:dyDescent="0.3">
      <c r="A950" s="1">
        <v>46210.889814814815</v>
      </c>
      <c r="B950" t="s">
        <v>40</v>
      </c>
      <c r="C950" t="s">
        <v>41</v>
      </c>
      <c r="D950" s="1">
        <v>46210.892430555556</v>
      </c>
      <c r="E950" t="s">
        <v>42</v>
      </c>
      <c r="F950" t="s">
        <v>43</v>
      </c>
      <c r="G950" t="s">
        <v>43</v>
      </c>
      <c r="H950" t="s">
        <v>43</v>
      </c>
      <c r="I950" t="s">
        <v>404</v>
      </c>
      <c r="J950" t="s">
        <v>43</v>
      </c>
      <c r="K950" t="s">
        <v>43</v>
      </c>
      <c r="L950" t="s">
        <v>43</v>
      </c>
      <c r="M950" t="s">
        <v>43</v>
      </c>
      <c r="N950" t="s">
        <v>45</v>
      </c>
      <c r="O950" t="s">
        <v>43</v>
      </c>
      <c r="P950" t="s">
        <v>43</v>
      </c>
      <c r="Q950" t="s">
        <v>43</v>
      </c>
      <c r="R950" t="s">
        <v>43</v>
      </c>
      <c r="S950" t="s">
        <v>43</v>
      </c>
      <c r="T950" t="s">
        <v>43</v>
      </c>
      <c r="U950" t="s">
        <v>43</v>
      </c>
      <c r="V950" t="s">
        <v>43</v>
      </c>
      <c r="W950" t="s">
        <v>43</v>
      </c>
      <c r="X950" t="s">
        <v>43</v>
      </c>
      <c r="Y950" t="s">
        <v>43</v>
      </c>
      <c r="Z950" t="s">
        <v>43</v>
      </c>
      <c r="AA950" t="s">
        <v>43</v>
      </c>
      <c r="AB950" t="s">
        <v>43</v>
      </c>
      <c r="AC950" t="s">
        <v>43</v>
      </c>
      <c r="AD950" t="s">
        <v>43</v>
      </c>
      <c r="AE950" t="s">
        <v>43</v>
      </c>
      <c r="AF950" t="s">
        <v>43</v>
      </c>
      <c r="AG950" t="s">
        <v>43</v>
      </c>
      <c r="AH950" t="s">
        <v>43</v>
      </c>
      <c r="AI950" t="s">
        <v>43</v>
      </c>
      <c r="AJ950" t="s">
        <v>43</v>
      </c>
      <c r="AK950" t="s">
        <v>43</v>
      </c>
      <c r="AL950" t="s">
        <v>43</v>
      </c>
      <c r="AM950" t="s">
        <v>43</v>
      </c>
      <c r="AN950" t="str">
        <f>HYPERLINK("https://www.google.com/maps?q=11.05475712,79.06083679","Open Location")</f>
        <v>Open Location</v>
      </c>
    </row>
    <row r="951" spans="1:40" x14ac:dyDescent="0.3">
      <c r="A951" s="1">
        <v>46210.889699074076</v>
      </c>
      <c r="B951" t="s">
        <v>40</v>
      </c>
      <c r="C951" t="s">
        <v>41</v>
      </c>
      <c r="D951" s="1">
        <v>46210.892800925925</v>
      </c>
      <c r="E951" t="s">
        <v>42</v>
      </c>
      <c r="F951" t="s">
        <v>43</v>
      </c>
      <c r="G951" t="s">
        <v>43</v>
      </c>
      <c r="H951" t="s">
        <v>43</v>
      </c>
      <c r="I951" t="s">
        <v>408</v>
      </c>
      <c r="J951" t="s">
        <v>43</v>
      </c>
      <c r="K951" t="s">
        <v>43</v>
      </c>
      <c r="L951" t="s">
        <v>43</v>
      </c>
      <c r="M951" t="s">
        <v>43</v>
      </c>
      <c r="N951" t="s">
        <v>45</v>
      </c>
      <c r="O951" t="s">
        <v>43</v>
      </c>
      <c r="P951" t="s">
        <v>43</v>
      </c>
      <c r="Q951" t="s">
        <v>43</v>
      </c>
      <c r="R951" t="s">
        <v>43</v>
      </c>
      <c r="S951" t="s">
        <v>43</v>
      </c>
      <c r="T951" t="s">
        <v>43</v>
      </c>
      <c r="U951" t="s">
        <v>43</v>
      </c>
      <c r="V951" t="s">
        <v>43</v>
      </c>
      <c r="W951" t="s">
        <v>43</v>
      </c>
      <c r="X951" t="s">
        <v>43</v>
      </c>
      <c r="Y951" t="s">
        <v>43</v>
      </c>
      <c r="Z951" t="s">
        <v>43</v>
      </c>
      <c r="AA951" t="s">
        <v>43</v>
      </c>
      <c r="AB951" t="s">
        <v>43</v>
      </c>
      <c r="AC951" t="s">
        <v>43</v>
      </c>
      <c r="AD951" t="s">
        <v>43</v>
      </c>
      <c r="AE951" t="s">
        <v>43</v>
      </c>
      <c r="AF951" t="s">
        <v>43</v>
      </c>
      <c r="AG951" t="s">
        <v>43</v>
      </c>
      <c r="AH951" t="s">
        <v>43</v>
      </c>
      <c r="AI951" t="s">
        <v>43</v>
      </c>
      <c r="AJ951" t="s">
        <v>43</v>
      </c>
      <c r="AK951" t="s">
        <v>43</v>
      </c>
      <c r="AL951" t="s">
        <v>43</v>
      </c>
      <c r="AM951" t="s">
        <v>43</v>
      </c>
      <c r="AN951" t="str">
        <f>HYPERLINK("https://www.google.com/maps?q=11.05475521,79.06083679","Open Location")</f>
        <v>Open Location</v>
      </c>
    </row>
    <row r="952" spans="1:40" x14ac:dyDescent="0.3">
      <c r="A952" s="1">
        <v>46210.88958333333</v>
      </c>
      <c r="B952" t="s">
        <v>40</v>
      </c>
      <c r="C952" t="s">
        <v>41</v>
      </c>
      <c r="D952" s="1">
        <v>46210.892430555556</v>
      </c>
      <c r="E952" t="s">
        <v>42</v>
      </c>
      <c r="F952" t="s">
        <v>43</v>
      </c>
      <c r="G952" t="s">
        <v>43</v>
      </c>
      <c r="H952" t="s">
        <v>43</v>
      </c>
      <c r="I952" t="s">
        <v>43</v>
      </c>
      <c r="J952" t="s">
        <v>43</v>
      </c>
      <c r="K952" t="s">
        <v>43</v>
      </c>
      <c r="L952" t="s">
        <v>43</v>
      </c>
      <c r="M952" t="s">
        <v>43</v>
      </c>
      <c r="N952" t="s">
        <v>45</v>
      </c>
      <c r="O952" t="s">
        <v>43</v>
      </c>
      <c r="P952" t="s">
        <v>43</v>
      </c>
      <c r="Q952" t="s">
        <v>43</v>
      </c>
      <c r="R952" t="s">
        <v>43</v>
      </c>
      <c r="S952" t="s">
        <v>43</v>
      </c>
      <c r="T952" t="s">
        <v>43</v>
      </c>
      <c r="U952" t="s">
        <v>43</v>
      </c>
      <c r="V952" t="s">
        <v>43</v>
      </c>
      <c r="W952" t="s">
        <v>43</v>
      </c>
      <c r="X952" t="s">
        <v>43</v>
      </c>
      <c r="Y952" t="s">
        <v>43</v>
      </c>
      <c r="Z952" t="s">
        <v>43</v>
      </c>
      <c r="AA952" t="s">
        <v>43</v>
      </c>
      <c r="AB952" t="s">
        <v>43</v>
      </c>
      <c r="AC952" t="s">
        <v>43</v>
      </c>
      <c r="AD952" t="s">
        <v>43</v>
      </c>
      <c r="AE952" t="s">
        <v>43</v>
      </c>
      <c r="AF952" t="s">
        <v>43</v>
      </c>
      <c r="AG952" t="s">
        <v>43</v>
      </c>
      <c r="AH952" t="s">
        <v>43</v>
      </c>
      <c r="AI952" t="s">
        <v>43</v>
      </c>
      <c r="AJ952" t="s">
        <v>43</v>
      </c>
      <c r="AK952" t="s">
        <v>43</v>
      </c>
      <c r="AL952" t="s">
        <v>43</v>
      </c>
      <c r="AM952" t="s">
        <v>43</v>
      </c>
      <c r="AN952" t="s">
        <v>43</v>
      </c>
    </row>
    <row r="953" spans="1:40" x14ac:dyDescent="0.3">
      <c r="A953" s="1">
        <v>46210.889467592591</v>
      </c>
      <c r="B953" t="s">
        <v>40</v>
      </c>
      <c r="C953" t="s">
        <v>41</v>
      </c>
      <c r="D953" s="1">
        <v>46210.892372685186</v>
      </c>
      <c r="E953" t="s">
        <v>42</v>
      </c>
      <c r="F953" t="s">
        <v>43</v>
      </c>
      <c r="G953" t="s">
        <v>43</v>
      </c>
      <c r="H953" t="s">
        <v>43</v>
      </c>
      <c r="I953" t="s">
        <v>421</v>
      </c>
      <c r="J953" t="s">
        <v>43</v>
      </c>
      <c r="K953" t="s">
        <v>43</v>
      </c>
      <c r="L953" t="s">
        <v>43</v>
      </c>
      <c r="M953" t="s">
        <v>43</v>
      </c>
      <c r="N953" t="s">
        <v>45</v>
      </c>
      <c r="O953" t="s">
        <v>43</v>
      </c>
      <c r="P953" t="s">
        <v>43</v>
      </c>
      <c r="Q953" t="s">
        <v>43</v>
      </c>
      <c r="R953" t="s">
        <v>43</v>
      </c>
      <c r="S953" t="s">
        <v>43</v>
      </c>
      <c r="T953" t="s">
        <v>43</v>
      </c>
      <c r="U953" t="s">
        <v>43</v>
      </c>
      <c r="V953" t="s">
        <v>43</v>
      </c>
      <c r="W953" t="s">
        <v>43</v>
      </c>
      <c r="X953" t="s">
        <v>43</v>
      </c>
      <c r="Y953" t="s">
        <v>43</v>
      </c>
      <c r="Z953" t="s">
        <v>43</v>
      </c>
      <c r="AA953" t="s">
        <v>43</v>
      </c>
      <c r="AB953" t="s">
        <v>43</v>
      </c>
      <c r="AC953" t="s">
        <v>43</v>
      </c>
      <c r="AD953" t="s">
        <v>43</v>
      </c>
      <c r="AE953" t="s">
        <v>43</v>
      </c>
      <c r="AF953" t="s">
        <v>43</v>
      </c>
      <c r="AG953" t="s">
        <v>43</v>
      </c>
      <c r="AH953" t="s">
        <v>43</v>
      </c>
      <c r="AI953" t="s">
        <v>43</v>
      </c>
      <c r="AJ953" t="s">
        <v>43</v>
      </c>
      <c r="AK953" t="s">
        <v>43</v>
      </c>
      <c r="AL953" t="s">
        <v>43</v>
      </c>
      <c r="AM953" t="s">
        <v>43</v>
      </c>
      <c r="AN953" t="str">
        <f>HYPERLINK("https://www.google.com/maps?q=11.05475903,79.06083679","Open Location")</f>
        <v>Open Location</v>
      </c>
    </row>
    <row r="954" spans="1:40" x14ac:dyDescent="0.3">
      <c r="A954" s="1">
        <v>46210.889351851853</v>
      </c>
      <c r="B954" t="s">
        <v>40</v>
      </c>
      <c r="C954" t="s">
        <v>41</v>
      </c>
      <c r="D954" s="1">
        <v>46210.892256944448</v>
      </c>
      <c r="E954" t="s">
        <v>42</v>
      </c>
      <c r="F954" t="s">
        <v>43</v>
      </c>
      <c r="G954" t="s">
        <v>43</v>
      </c>
      <c r="H954" t="s">
        <v>43</v>
      </c>
      <c r="I954" t="s">
        <v>423</v>
      </c>
      <c r="J954" t="s">
        <v>43</v>
      </c>
      <c r="K954" t="s">
        <v>43</v>
      </c>
      <c r="L954" t="s">
        <v>43</v>
      </c>
      <c r="M954" t="s">
        <v>43</v>
      </c>
      <c r="N954" t="s">
        <v>45</v>
      </c>
      <c r="O954" t="s">
        <v>43</v>
      </c>
      <c r="P954" t="s">
        <v>43</v>
      </c>
      <c r="Q954" t="s">
        <v>43</v>
      </c>
      <c r="R954" t="s">
        <v>43</v>
      </c>
      <c r="S954" t="s">
        <v>43</v>
      </c>
      <c r="T954" t="s">
        <v>43</v>
      </c>
      <c r="U954" t="s">
        <v>43</v>
      </c>
      <c r="V954" t="s">
        <v>43</v>
      </c>
      <c r="W954" t="s">
        <v>43</v>
      </c>
      <c r="X954" t="s">
        <v>43</v>
      </c>
      <c r="Y954" t="s">
        <v>43</v>
      </c>
      <c r="Z954" t="s">
        <v>43</v>
      </c>
      <c r="AA954" t="s">
        <v>43</v>
      </c>
      <c r="AB954" t="s">
        <v>43</v>
      </c>
      <c r="AC954" t="s">
        <v>43</v>
      </c>
      <c r="AD954" t="s">
        <v>43</v>
      </c>
      <c r="AE954" t="s">
        <v>43</v>
      </c>
      <c r="AF954" t="s">
        <v>43</v>
      </c>
      <c r="AG954" t="s">
        <v>43</v>
      </c>
      <c r="AH954" t="s">
        <v>43</v>
      </c>
      <c r="AI954" t="s">
        <v>43</v>
      </c>
      <c r="AJ954" t="s">
        <v>43</v>
      </c>
      <c r="AK954" t="s">
        <v>43</v>
      </c>
      <c r="AL954" t="s">
        <v>43</v>
      </c>
      <c r="AM954" t="s">
        <v>43</v>
      </c>
      <c r="AN954" t="str">
        <f>HYPERLINK("https://www.google.com/maps?q=11.05475998,79.06083679","Open Location")</f>
        <v>Open Location</v>
      </c>
    </row>
    <row r="955" spans="1:40" x14ac:dyDescent="0.3">
      <c r="A955" s="1">
        <v>46210.889236111114</v>
      </c>
      <c r="B955" t="s">
        <v>40</v>
      </c>
      <c r="C955" t="s">
        <v>41</v>
      </c>
      <c r="D955" s="1">
        <v>46210.89203703704</v>
      </c>
      <c r="E955" t="s">
        <v>42</v>
      </c>
      <c r="F955" t="s">
        <v>43</v>
      </c>
      <c r="G955" t="s">
        <v>43</v>
      </c>
      <c r="H955" t="s">
        <v>43</v>
      </c>
      <c r="I955" t="s">
        <v>424</v>
      </c>
      <c r="J955" t="s">
        <v>43</v>
      </c>
      <c r="K955" t="s">
        <v>43</v>
      </c>
      <c r="L955" t="s">
        <v>43</v>
      </c>
      <c r="M955" t="s">
        <v>43</v>
      </c>
      <c r="N955" t="s">
        <v>45</v>
      </c>
      <c r="O955" t="s">
        <v>43</v>
      </c>
      <c r="P955" t="s">
        <v>43</v>
      </c>
      <c r="Q955" t="s">
        <v>43</v>
      </c>
      <c r="R955" t="s">
        <v>43</v>
      </c>
      <c r="S955" t="s">
        <v>43</v>
      </c>
      <c r="T955" t="s">
        <v>43</v>
      </c>
      <c r="U955" t="s">
        <v>43</v>
      </c>
      <c r="V955" t="s">
        <v>43</v>
      </c>
      <c r="W955" t="s">
        <v>43</v>
      </c>
      <c r="X955" t="s">
        <v>43</v>
      </c>
      <c r="Y955" t="s">
        <v>43</v>
      </c>
      <c r="Z955" t="s">
        <v>43</v>
      </c>
      <c r="AA955" t="s">
        <v>43</v>
      </c>
      <c r="AB955" t="s">
        <v>43</v>
      </c>
      <c r="AC955" t="s">
        <v>43</v>
      </c>
      <c r="AD955" t="s">
        <v>43</v>
      </c>
      <c r="AE955" t="s">
        <v>43</v>
      </c>
      <c r="AF955" t="s">
        <v>43</v>
      </c>
      <c r="AG955" t="s">
        <v>43</v>
      </c>
      <c r="AH955" t="s">
        <v>43</v>
      </c>
      <c r="AI955" t="s">
        <v>43</v>
      </c>
      <c r="AJ955" t="s">
        <v>43</v>
      </c>
      <c r="AK955" t="s">
        <v>43</v>
      </c>
      <c r="AL955" t="s">
        <v>43</v>
      </c>
      <c r="AM955" t="s">
        <v>43</v>
      </c>
      <c r="AN955" t="str">
        <f>HYPERLINK("https://www.google.com/maps?q=11.05476189,79.06082916","Open Location")</f>
        <v>Open Location</v>
      </c>
    </row>
    <row r="956" spans="1:40" x14ac:dyDescent="0.3">
      <c r="A956" s="1">
        <v>46210.889120370368</v>
      </c>
      <c r="B956" t="s">
        <v>40</v>
      </c>
      <c r="C956" t="s">
        <v>41</v>
      </c>
      <c r="D956" s="1">
        <v>46210.891967592594</v>
      </c>
      <c r="E956" t="s">
        <v>42</v>
      </c>
      <c r="F956" t="s">
        <v>43</v>
      </c>
      <c r="G956" t="s">
        <v>43</v>
      </c>
      <c r="H956" t="s">
        <v>43</v>
      </c>
      <c r="I956" t="s">
        <v>266</v>
      </c>
      <c r="J956" t="s">
        <v>43</v>
      </c>
      <c r="K956" t="s">
        <v>43</v>
      </c>
      <c r="L956" t="s">
        <v>43</v>
      </c>
      <c r="M956" t="s">
        <v>43</v>
      </c>
      <c r="N956" t="s">
        <v>45</v>
      </c>
      <c r="O956" t="s">
        <v>43</v>
      </c>
      <c r="P956" t="s">
        <v>43</v>
      </c>
      <c r="Q956" t="s">
        <v>43</v>
      </c>
      <c r="R956" t="s">
        <v>43</v>
      </c>
      <c r="S956" t="s">
        <v>43</v>
      </c>
      <c r="T956" t="s">
        <v>43</v>
      </c>
      <c r="U956" t="s">
        <v>43</v>
      </c>
      <c r="V956" t="s">
        <v>43</v>
      </c>
      <c r="W956" t="s">
        <v>43</v>
      </c>
      <c r="X956" t="s">
        <v>43</v>
      </c>
      <c r="Y956" t="s">
        <v>43</v>
      </c>
      <c r="Z956" t="s">
        <v>43</v>
      </c>
      <c r="AA956" t="s">
        <v>43</v>
      </c>
      <c r="AB956" t="s">
        <v>43</v>
      </c>
      <c r="AC956" t="s">
        <v>43</v>
      </c>
      <c r="AD956" t="s">
        <v>43</v>
      </c>
      <c r="AE956" t="s">
        <v>43</v>
      </c>
      <c r="AF956" t="s">
        <v>43</v>
      </c>
      <c r="AG956" t="s">
        <v>43</v>
      </c>
      <c r="AH956" t="s">
        <v>43</v>
      </c>
      <c r="AI956" t="s">
        <v>43</v>
      </c>
      <c r="AJ956" t="s">
        <v>43</v>
      </c>
      <c r="AK956" t="s">
        <v>43</v>
      </c>
      <c r="AL956" t="s">
        <v>43</v>
      </c>
      <c r="AM956" t="s">
        <v>43</v>
      </c>
      <c r="AN956" t="str">
        <f>HYPERLINK("https://www.google.com/maps?q=11.05476379,79.06083679","Open Location")</f>
        <v>Open Location</v>
      </c>
    </row>
    <row r="957" spans="1:40" x14ac:dyDescent="0.3">
      <c r="A957" s="1">
        <v>46210.889004629629</v>
      </c>
      <c r="B957" t="s">
        <v>40</v>
      </c>
      <c r="C957" t="s">
        <v>41</v>
      </c>
      <c r="D957" s="1">
        <v>46210.891967592594</v>
      </c>
      <c r="E957" t="s">
        <v>42</v>
      </c>
      <c r="F957" t="s">
        <v>43</v>
      </c>
      <c r="G957" t="s">
        <v>43</v>
      </c>
      <c r="H957" t="s">
        <v>43</v>
      </c>
      <c r="I957" t="s">
        <v>339</v>
      </c>
      <c r="J957" t="s">
        <v>43</v>
      </c>
      <c r="K957" t="s">
        <v>43</v>
      </c>
      <c r="L957" t="s">
        <v>43</v>
      </c>
      <c r="M957" t="s">
        <v>43</v>
      </c>
      <c r="N957" t="s">
        <v>45</v>
      </c>
      <c r="O957" t="s">
        <v>43</v>
      </c>
      <c r="P957" t="s">
        <v>43</v>
      </c>
      <c r="Q957" t="s">
        <v>43</v>
      </c>
      <c r="R957" t="s">
        <v>43</v>
      </c>
      <c r="S957" t="s">
        <v>43</v>
      </c>
      <c r="T957" t="s">
        <v>43</v>
      </c>
      <c r="U957" t="s">
        <v>43</v>
      </c>
      <c r="V957" t="s">
        <v>43</v>
      </c>
      <c r="W957" t="s">
        <v>43</v>
      </c>
      <c r="X957" t="s">
        <v>43</v>
      </c>
      <c r="Y957" t="s">
        <v>43</v>
      </c>
      <c r="Z957" t="s">
        <v>43</v>
      </c>
      <c r="AA957" t="s">
        <v>43</v>
      </c>
      <c r="AB957" t="s">
        <v>43</v>
      </c>
      <c r="AC957" t="s">
        <v>43</v>
      </c>
      <c r="AD957" t="s">
        <v>43</v>
      </c>
      <c r="AE957" t="s">
        <v>43</v>
      </c>
      <c r="AF957" t="s">
        <v>43</v>
      </c>
      <c r="AG957" t="s">
        <v>43</v>
      </c>
      <c r="AH957" t="s">
        <v>43</v>
      </c>
      <c r="AI957" t="s">
        <v>43</v>
      </c>
      <c r="AJ957" t="s">
        <v>43</v>
      </c>
      <c r="AK957" t="s">
        <v>43</v>
      </c>
      <c r="AL957" t="s">
        <v>43</v>
      </c>
      <c r="AM957" t="s">
        <v>43</v>
      </c>
      <c r="AN957" t="str">
        <f>HYPERLINK("https://www.google.com/maps?q=11.05476189,79.06083679","Open Location")</f>
        <v>Open Location</v>
      </c>
    </row>
    <row r="958" spans="1:40" x14ac:dyDescent="0.3">
      <c r="A958" s="1">
        <v>46210.888888888891</v>
      </c>
      <c r="B958" t="s">
        <v>40</v>
      </c>
      <c r="C958" t="s">
        <v>41</v>
      </c>
      <c r="D958" s="1">
        <v>46210.891712962963</v>
      </c>
      <c r="E958" t="s">
        <v>42</v>
      </c>
      <c r="F958" t="s">
        <v>43</v>
      </c>
      <c r="G958" t="s">
        <v>43</v>
      </c>
      <c r="H958" t="s">
        <v>43</v>
      </c>
      <c r="I958" t="s">
        <v>43</v>
      </c>
      <c r="J958" t="s">
        <v>43</v>
      </c>
      <c r="K958" t="s">
        <v>43</v>
      </c>
      <c r="L958" t="s">
        <v>43</v>
      </c>
      <c r="M958" t="s">
        <v>43</v>
      </c>
      <c r="N958" t="s">
        <v>45</v>
      </c>
      <c r="O958" t="s">
        <v>43</v>
      </c>
      <c r="P958" t="s">
        <v>43</v>
      </c>
      <c r="Q958" t="s">
        <v>43</v>
      </c>
      <c r="R958" t="s">
        <v>43</v>
      </c>
      <c r="S958" t="s">
        <v>43</v>
      </c>
      <c r="T958" t="s">
        <v>43</v>
      </c>
      <c r="U958" t="s">
        <v>43</v>
      </c>
      <c r="V958" t="s">
        <v>43</v>
      </c>
      <c r="W958" t="s">
        <v>43</v>
      </c>
      <c r="X958" t="s">
        <v>43</v>
      </c>
      <c r="Y958" t="s">
        <v>43</v>
      </c>
      <c r="Z958" t="s">
        <v>43</v>
      </c>
      <c r="AA958" t="s">
        <v>43</v>
      </c>
      <c r="AB958" t="s">
        <v>43</v>
      </c>
      <c r="AC958" t="s">
        <v>43</v>
      </c>
      <c r="AD958" t="s">
        <v>43</v>
      </c>
      <c r="AE958" t="s">
        <v>43</v>
      </c>
      <c r="AF958" t="s">
        <v>43</v>
      </c>
      <c r="AG958" t="s">
        <v>43</v>
      </c>
      <c r="AH958" t="s">
        <v>43</v>
      </c>
      <c r="AI958" t="s">
        <v>43</v>
      </c>
      <c r="AJ958" t="s">
        <v>43</v>
      </c>
      <c r="AK958" t="s">
        <v>43</v>
      </c>
      <c r="AL958" t="s">
        <v>43</v>
      </c>
      <c r="AM958" t="s">
        <v>43</v>
      </c>
      <c r="AN958" t="s">
        <v>43</v>
      </c>
    </row>
    <row r="959" spans="1:40" x14ac:dyDescent="0.3">
      <c r="A959" s="1">
        <v>46210.888773148145</v>
      </c>
      <c r="B959" t="s">
        <v>40</v>
      </c>
      <c r="C959" t="s">
        <v>41</v>
      </c>
      <c r="D959" s="1">
        <v>46210.891712962963</v>
      </c>
      <c r="E959" t="s">
        <v>42</v>
      </c>
      <c r="F959" t="s">
        <v>43</v>
      </c>
      <c r="G959" t="s">
        <v>43</v>
      </c>
      <c r="H959" t="s">
        <v>43</v>
      </c>
      <c r="I959" t="s">
        <v>267</v>
      </c>
      <c r="J959" t="s">
        <v>43</v>
      </c>
      <c r="K959" t="s">
        <v>43</v>
      </c>
      <c r="L959" t="s">
        <v>43</v>
      </c>
      <c r="M959" t="s">
        <v>43</v>
      </c>
      <c r="N959" t="s">
        <v>45</v>
      </c>
      <c r="O959" t="s">
        <v>43</v>
      </c>
      <c r="P959" t="s">
        <v>43</v>
      </c>
      <c r="Q959" t="s">
        <v>43</v>
      </c>
      <c r="R959" t="s">
        <v>43</v>
      </c>
      <c r="S959" t="s">
        <v>43</v>
      </c>
      <c r="T959" t="s">
        <v>43</v>
      </c>
      <c r="U959" t="s">
        <v>43</v>
      </c>
      <c r="V959" t="s">
        <v>43</v>
      </c>
      <c r="W959" t="s">
        <v>43</v>
      </c>
      <c r="X959" t="s">
        <v>43</v>
      </c>
      <c r="Y959" t="s">
        <v>43</v>
      </c>
      <c r="Z959" t="s">
        <v>43</v>
      </c>
      <c r="AA959" t="s">
        <v>43</v>
      </c>
      <c r="AB959" t="s">
        <v>43</v>
      </c>
      <c r="AC959" t="s">
        <v>43</v>
      </c>
      <c r="AD959" t="s">
        <v>43</v>
      </c>
      <c r="AE959" t="s">
        <v>43</v>
      </c>
      <c r="AF959" t="s">
        <v>43</v>
      </c>
      <c r="AG959" t="s">
        <v>43</v>
      </c>
      <c r="AH959" t="s">
        <v>43</v>
      </c>
      <c r="AI959" t="s">
        <v>43</v>
      </c>
      <c r="AJ959" t="s">
        <v>43</v>
      </c>
      <c r="AK959" t="s">
        <v>43</v>
      </c>
      <c r="AL959" t="s">
        <v>43</v>
      </c>
      <c r="AM959" t="s">
        <v>43</v>
      </c>
      <c r="AN959" t="str">
        <f>HYPERLINK("https://www.google.com/maps?q=11.05476284,79.06083679","Open Location")</f>
        <v>Open Location</v>
      </c>
    </row>
    <row r="960" spans="1:40" x14ac:dyDescent="0.3">
      <c r="A960" s="1">
        <v>46210.888657407406</v>
      </c>
      <c r="B960" t="s">
        <v>40</v>
      </c>
      <c r="C960" t="s">
        <v>41</v>
      </c>
      <c r="D960" s="1">
        <v>46210.891597222224</v>
      </c>
      <c r="E960" t="s">
        <v>42</v>
      </c>
      <c r="F960" t="s">
        <v>43</v>
      </c>
      <c r="G960" t="s">
        <v>43</v>
      </c>
      <c r="H960" t="s">
        <v>43</v>
      </c>
      <c r="I960" t="s">
        <v>422</v>
      </c>
      <c r="J960" t="s">
        <v>43</v>
      </c>
      <c r="K960" t="s">
        <v>43</v>
      </c>
      <c r="L960" t="s">
        <v>43</v>
      </c>
      <c r="M960" t="s">
        <v>43</v>
      </c>
      <c r="N960" t="s">
        <v>45</v>
      </c>
      <c r="O960" t="s">
        <v>43</v>
      </c>
      <c r="P960" t="s">
        <v>43</v>
      </c>
      <c r="Q960" t="s">
        <v>43</v>
      </c>
      <c r="R960" t="s">
        <v>43</v>
      </c>
      <c r="S960" t="s">
        <v>43</v>
      </c>
      <c r="T960" t="s">
        <v>43</v>
      </c>
      <c r="U960" t="s">
        <v>43</v>
      </c>
      <c r="V960" t="s">
        <v>43</v>
      </c>
      <c r="W960" t="s">
        <v>43</v>
      </c>
      <c r="X960" t="s">
        <v>43</v>
      </c>
      <c r="Y960" t="s">
        <v>43</v>
      </c>
      <c r="Z960" t="s">
        <v>43</v>
      </c>
      <c r="AA960" t="s">
        <v>43</v>
      </c>
      <c r="AB960" t="s">
        <v>43</v>
      </c>
      <c r="AC960" t="s">
        <v>43</v>
      </c>
      <c r="AD960" t="s">
        <v>43</v>
      </c>
      <c r="AE960" t="s">
        <v>43</v>
      </c>
      <c r="AF960" t="s">
        <v>43</v>
      </c>
      <c r="AG960" t="s">
        <v>43</v>
      </c>
      <c r="AH960" t="s">
        <v>43</v>
      </c>
      <c r="AI960" t="s">
        <v>43</v>
      </c>
      <c r="AJ960" t="s">
        <v>43</v>
      </c>
      <c r="AK960" t="s">
        <v>43</v>
      </c>
      <c r="AL960" t="s">
        <v>43</v>
      </c>
      <c r="AM960" t="s">
        <v>43</v>
      </c>
      <c r="AN960" t="str">
        <f>HYPERLINK("https://www.google.com/maps?q=11.05475998,79.06084442","Open Location")</f>
        <v>Open Location</v>
      </c>
    </row>
    <row r="961" spans="1:40" x14ac:dyDescent="0.3">
      <c r="A961" s="1">
        <v>46210.888541666667</v>
      </c>
      <c r="B961" t="s">
        <v>40</v>
      </c>
      <c r="C961" t="s">
        <v>41</v>
      </c>
      <c r="D961" s="1">
        <v>46210.89135416667</v>
      </c>
      <c r="E961" t="s">
        <v>42</v>
      </c>
      <c r="F961" t="s">
        <v>43</v>
      </c>
      <c r="G961" t="s">
        <v>43</v>
      </c>
      <c r="H961" t="s">
        <v>43</v>
      </c>
      <c r="I961" t="s">
        <v>340</v>
      </c>
      <c r="J961" t="s">
        <v>43</v>
      </c>
      <c r="K961" t="s">
        <v>43</v>
      </c>
      <c r="L961" t="s">
        <v>43</v>
      </c>
      <c r="M961" t="s">
        <v>43</v>
      </c>
      <c r="N961" t="s">
        <v>45</v>
      </c>
      <c r="O961" t="s">
        <v>43</v>
      </c>
      <c r="P961" t="s">
        <v>43</v>
      </c>
      <c r="Q961" t="s">
        <v>43</v>
      </c>
      <c r="R961" t="s">
        <v>43</v>
      </c>
      <c r="S961" t="s">
        <v>43</v>
      </c>
      <c r="T961" t="s">
        <v>43</v>
      </c>
      <c r="U961" t="s">
        <v>43</v>
      </c>
      <c r="V961" t="s">
        <v>43</v>
      </c>
      <c r="W961" t="s">
        <v>43</v>
      </c>
      <c r="X961" t="s">
        <v>43</v>
      </c>
      <c r="Y961" t="s">
        <v>43</v>
      </c>
      <c r="Z961" t="s">
        <v>43</v>
      </c>
      <c r="AA961" t="s">
        <v>43</v>
      </c>
      <c r="AB961" t="s">
        <v>43</v>
      </c>
      <c r="AC961" t="s">
        <v>43</v>
      </c>
      <c r="AD961" t="s">
        <v>43</v>
      </c>
      <c r="AE961" t="s">
        <v>43</v>
      </c>
      <c r="AF961" t="s">
        <v>43</v>
      </c>
      <c r="AG961" t="s">
        <v>43</v>
      </c>
      <c r="AH961" t="s">
        <v>43</v>
      </c>
      <c r="AI961" t="s">
        <v>43</v>
      </c>
      <c r="AJ961" t="s">
        <v>43</v>
      </c>
      <c r="AK961" t="s">
        <v>43</v>
      </c>
      <c r="AL961" t="s">
        <v>43</v>
      </c>
      <c r="AM961" t="s">
        <v>43</v>
      </c>
      <c r="AN961" t="str">
        <f>HYPERLINK("https://www.google.com/maps?q=11.05476189,79.06084442","Open Location")</f>
        <v>Open Location</v>
      </c>
    </row>
    <row r="962" spans="1:40" x14ac:dyDescent="0.3">
      <c r="A962" s="1">
        <v>46210.888425925928</v>
      </c>
      <c r="B962" t="s">
        <v>40</v>
      </c>
      <c r="C962" t="s">
        <v>41</v>
      </c>
      <c r="D962" s="1">
        <v>46210.89135416667</v>
      </c>
      <c r="E962" t="s">
        <v>42</v>
      </c>
      <c r="F962" t="s">
        <v>43</v>
      </c>
      <c r="G962" t="s">
        <v>43</v>
      </c>
      <c r="H962" t="s">
        <v>43</v>
      </c>
      <c r="I962" t="s">
        <v>338</v>
      </c>
      <c r="J962" t="s">
        <v>43</v>
      </c>
      <c r="K962" t="s">
        <v>43</v>
      </c>
      <c r="L962" t="s">
        <v>43</v>
      </c>
      <c r="M962" t="s">
        <v>43</v>
      </c>
      <c r="N962" t="s">
        <v>45</v>
      </c>
      <c r="O962" t="s">
        <v>43</v>
      </c>
      <c r="P962" t="s">
        <v>43</v>
      </c>
      <c r="Q962" t="s">
        <v>43</v>
      </c>
      <c r="R962" t="s">
        <v>43</v>
      </c>
      <c r="S962" t="s">
        <v>43</v>
      </c>
      <c r="T962" t="s">
        <v>43</v>
      </c>
      <c r="U962" t="s">
        <v>43</v>
      </c>
      <c r="V962" t="s">
        <v>43</v>
      </c>
      <c r="W962" t="s">
        <v>43</v>
      </c>
      <c r="X962" t="s">
        <v>43</v>
      </c>
      <c r="Y962" t="s">
        <v>43</v>
      </c>
      <c r="Z962" t="s">
        <v>43</v>
      </c>
      <c r="AA962" t="s">
        <v>43</v>
      </c>
      <c r="AB962" t="s">
        <v>43</v>
      </c>
      <c r="AC962" t="s">
        <v>43</v>
      </c>
      <c r="AD962" t="s">
        <v>43</v>
      </c>
      <c r="AE962" t="s">
        <v>43</v>
      </c>
      <c r="AF962" t="s">
        <v>43</v>
      </c>
      <c r="AG962" t="s">
        <v>43</v>
      </c>
      <c r="AH962" t="s">
        <v>43</v>
      </c>
      <c r="AI962" t="s">
        <v>43</v>
      </c>
      <c r="AJ962" t="s">
        <v>43</v>
      </c>
      <c r="AK962" t="s">
        <v>43</v>
      </c>
      <c r="AL962" t="s">
        <v>43</v>
      </c>
      <c r="AM962" t="s">
        <v>43</v>
      </c>
      <c r="AN962" t="str">
        <f>HYPERLINK("https://www.google.com/maps?q=11.05476093,79.06084442","Open Location")</f>
        <v>Open Location</v>
      </c>
    </row>
    <row r="963" spans="1:40" x14ac:dyDescent="0.3">
      <c r="A963" s="1">
        <v>46210.888310185182</v>
      </c>
      <c r="B963" t="s">
        <v>40</v>
      </c>
      <c r="C963" t="s">
        <v>41</v>
      </c>
      <c r="D963" s="1">
        <v>46210.891064814816</v>
      </c>
      <c r="E963" t="s">
        <v>42</v>
      </c>
      <c r="F963" t="s">
        <v>43</v>
      </c>
      <c r="G963" t="s">
        <v>43</v>
      </c>
      <c r="H963" t="s">
        <v>43</v>
      </c>
      <c r="I963" t="s">
        <v>425</v>
      </c>
      <c r="J963" t="s">
        <v>43</v>
      </c>
      <c r="K963" t="s">
        <v>43</v>
      </c>
      <c r="L963" t="s">
        <v>43</v>
      </c>
      <c r="M963" t="s">
        <v>43</v>
      </c>
      <c r="N963" t="s">
        <v>45</v>
      </c>
      <c r="O963" t="s">
        <v>43</v>
      </c>
      <c r="P963" t="s">
        <v>43</v>
      </c>
      <c r="Q963" t="s">
        <v>43</v>
      </c>
      <c r="R963" t="s">
        <v>43</v>
      </c>
      <c r="S963" t="s">
        <v>43</v>
      </c>
      <c r="T963" t="s">
        <v>43</v>
      </c>
      <c r="U963" t="s">
        <v>43</v>
      </c>
      <c r="V963" t="s">
        <v>43</v>
      </c>
      <c r="W963" t="s">
        <v>43</v>
      </c>
      <c r="X963" t="s">
        <v>43</v>
      </c>
      <c r="Y963" t="s">
        <v>43</v>
      </c>
      <c r="Z963" t="s">
        <v>43</v>
      </c>
      <c r="AA963" t="s">
        <v>43</v>
      </c>
      <c r="AB963" t="s">
        <v>43</v>
      </c>
      <c r="AC963" t="s">
        <v>43</v>
      </c>
      <c r="AD963" t="s">
        <v>43</v>
      </c>
      <c r="AE963" t="s">
        <v>43</v>
      </c>
      <c r="AF963" t="s">
        <v>43</v>
      </c>
      <c r="AG963" t="s">
        <v>43</v>
      </c>
      <c r="AH963" t="s">
        <v>43</v>
      </c>
      <c r="AI963" t="s">
        <v>43</v>
      </c>
      <c r="AJ963" t="s">
        <v>43</v>
      </c>
      <c r="AK963" t="s">
        <v>43</v>
      </c>
      <c r="AL963" t="s">
        <v>43</v>
      </c>
      <c r="AM963" t="s">
        <v>43</v>
      </c>
      <c r="AN963" t="str">
        <f>HYPERLINK("https://www.google.com/maps?q=11.05475903,79.06085968","Open Location")</f>
        <v>Open Location</v>
      </c>
    </row>
    <row r="964" spans="1:40" x14ac:dyDescent="0.3">
      <c r="A964" s="1">
        <v>46210.888194444444</v>
      </c>
      <c r="B964" t="s">
        <v>40</v>
      </c>
      <c r="C964" t="s">
        <v>41</v>
      </c>
      <c r="D964" s="1">
        <v>46210.891030092593</v>
      </c>
      <c r="E964" t="s">
        <v>42</v>
      </c>
      <c r="F964" t="s">
        <v>43</v>
      </c>
      <c r="G964" t="s">
        <v>43</v>
      </c>
      <c r="H964" t="s">
        <v>43</v>
      </c>
      <c r="I964" t="s">
        <v>43</v>
      </c>
      <c r="J964" t="s">
        <v>43</v>
      </c>
      <c r="K964" t="s">
        <v>43</v>
      </c>
      <c r="L964" t="s">
        <v>43</v>
      </c>
      <c r="M964" t="s">
        <v>43</v>
      </c>
      <c r="N964" t="s">
        <v>45</v>
      </c>
      <c r="O964" t="s">
        <v>43</v>
      </c>
      <c r="P964" t="s">
        <v>43</v>
      </c>
      <c r="Q964" t="s">
        <v>43</v>
      </c>
      <c r="R964" t="s">
        <v>43</v>
      </c>
      <c r="S964" t="s">
        <v>43</v>
      </c>
      <c r="T964" t="s">
        <v>43</v>
      </c>
      <c r="U964" t="s">
        <v>43</v>
      </c>
      <c r="V964" t="s">
        <v>43</v>
      </c>
      <c r="W964" t="s">
        <v>43</v>
      </c>
      <c r="X964" t="s">
        <v>43</v>
      </c>
      <c r="Y964" t="s">
        <v>43</v>
      </c>
      <c r="Z964" t="s">
        <v>43</v>
      </c>
      <c r="AA964" t="s">
        <v>43</v>
      </c>
      <c r="AB964" t="s">
        <v>43</v>
      </c>
      <c r="AC964" t="s">
        <v>43</v>
      </c>
      <c r="AD964" t="s">
        <v>43</v>
      </c>
      <c r="AE964" t="s">
        <v>43</v>
      </c>
      <c r="AF964" t="s">
        <v>43</v>
      </c>
      <c r="AG964" t="s">
        <v>43</v>
      </c>
      <c r="AH964" t="s">
        <v>43</v>
      </c>
      <c r="AI964" t="s">
        <v>43</v>
      </c>
      <c r="AJ964" t="s">
        <v>43</v>
      </c>
      <c r="AK964" t="s">
        <v>43</v>
      </c>
      <c r="AL964" t="s">
        <v>43</v>
      </c>
      <c r="AM964" t="s">
        <v>43</v>
      </c>
      <c r="AN964" t="s">
        <v>43</v>
      </c>
    </row>
    <row r="965" spans="1:40" x14ac:dyDescent="0.3">
      <c r="A965" s="1">
        <v>46210.888078703705</v>
      </c>
      <c r="B965" t="s">
        <v>40</v>
      </c>
      <c r="C965" t="s">
        <v>41</v>
      </c>
      <c r="D965" s="1">
        <v>46210.890810185185</v>
      </c>
      <c r="E965" t="s">
        <v>42</v>
      </c>
      <c r="F965" t="s">
        <v>43</v>
      </c>
      <c r="G965" t="s">
        <v>43</v>
      </c>
      <c r="H965" t="s">
        <v>43</v>
      </c>
      <c r="I965" t="s">
        <v>426</v>
      </c>
      <c r="J965" t="s">
        <v>43</v>
      </c>
      <c r="K965" t="s">
        <v>43</v>
      </c>
      <c r="L965" t="s">
        <v>43</v>
      </c>
      <c r="M965" t="s">
        <v>43</v>
      </c>
      <c r="N965" t="s">
        <v>45</v>
      </c>
      <c r="O965" t="s">
        <v>43</v>
      </c>
      <c r="P965" t="s">
        <v>43</v>
      </c>
      <c r="Q965" t="s">
        <v>43</v>
      </c>
      <c r="R965" t="s">
        <v>43</v>
      </c>
      <c r="S965" t="s">
        <v>43</v>
      </c>
      <c r="T965" t="s">
        <v>43</v>
      </c>
      <c r="U965" t="s">
        <v>43</v>
      </c>
      <c r="V965" t="s">
        <v>43</v>
      </c>
      <c r="W965" t="s">
        <v>43</v>
      </c>
      <c r="X965" t="s">
        <v>43</v>
      </c>
      <c r="Y965" t="s">
        <v>43</v>
      </c>
      <c r="Z965" t="s">
        <v>43</v>
      </c>
      <c r="AA965" t="s">
        <v>43</v>
      </c>
      <c r="AB965" t="s">
        <v>43</v>
      </c>
      <c r="AC965" t="s">
        <v>43</v>
      </c>
      <c r="AD965" t="s">
        <v>43</v>
      </c>
      <c r="AE965" t="s">
        <v>43</v>
      </c>
      <c r="AF965" t="s">
        <v>43</v>
      </c>
      <c r="AG965" t="s">
        <v>43</v>
      </c>
      <c r="AH965" t="s">
        <v>43</v>
      </c>
      <c r="AI965" t="s">
        <v>43</v>
      </c>
      <c r="AJ965" t="s">
        <v>43</v>
      </c>
      <c r="AK965" t="s">
        <v>43</v>
      </c>
      <c r="AL965" t="s">
        <v>43</v>
      </c>
      <c r="AM965" t="s">
        <v>43</v>
      </c>
      <c r="AN965" t="str">
        <f>HYPERLINK("https://www.google.com/maps?q=11.05475998,79.06085968","Open Location")</f>
        <v>Open Location</v>
      </c>
    </row>
    <row r="966" spans="1:40" x14ac:dyDescent="0.3">
      <c r="A966" s="1">
        <v>46210.887962962966</v>
      </c>
      <c r="B966" t="s">
        <v>40</v>
      </c>
      <c r="C966" t="s">
        <v>41</v>
      </c>
      <c r="D966" s="1">
        <v>46210.890960648147</v>
      </c>
      <c r="E966" t="s">
        <v>42</v>
      </c>
      <c r="F966" t="s">
        <v>43</v>
      </c>
      <c r="G966" t="s">
        <v>43</v>
      </c>
      <c r="H966" t="s">
        <v>43</v>
      </c>
      <c r="I966" t="s">
        <v>425</v>
      </c>
      <c r="J966" t="s">
        <v>43</v>
      </c>
      <c r="K966" t="s">
        <v>43</v>
      </c>
      <c r="L966" t="s">
        <v>43</v>
      </c>
      <c r="M966" t="s">
        <v>43</v>
      </c>
      <c r="N966" t="s">
        <v>45</v>
      </c>
      <c r="O966" t="s">
        <v>43</v>
      </c>
      <c r="P966" t="s">
        <v>43</v>
      </c>
      <c r="Q966" t="s">
        <v>43</v>
      </c>
      <c r="R966" t="s">
        <v>43</v>
      </c>
      <c r="S966" t="s">
        <v>43</v>
      </c>
      <c r="T966" t="s">
        <v>43</v>
      </c>
      <c r="U966" t="s">
        <v>43</v>
      </c>
      <c r="V966" t="s">
        <v>43</v>
      </c>
      <c r="W966" t="s">
        <v>43</v>
      </c>
      <c r="X966" t="s">
        <v>43</v>
      </c>
      <c r="Y966" t="s">
        <v>43</v>
      </c>
      <c r="Z966" t="s">
        <v>43</v>
      </c>
      <c r="AA966" t="s">
        <v>43</v>
      </c>
      <c r="AB966" t="s">
        <v>43</v>
      </c>
      <c r="AC966" t="s">
        <v>43</v>
      </c>
      <c r="AD966" t="s">
        <v>43</v>
      </c>
      <c r="AE966" t="s">
        <v>43</v>
      </c>
      <c r="AF966" t="s">
        <v>43</v>
      </c>
      <c r="AG966" t="s">
        <v>43</v>
      </c>
      <c r="AH966" t="s">
        <v>43</v>
      </c>
      <c r="AI966" t="s">
        <v>43</v>
      </c>
      <c r="AJ966" t="s">
        <v>43</v>
      </c>
      <c r="AK966" t="s">
        <v>43</v>
      </c>
      <c r="AL966" t="s">
        <v>43</v>
      </c>
      <c r="AM966" t="s">
        <v>43</v>
      </c>
      <c r="AN966" t="str">
        <f>HYPERLINK("https://www.google.com/maps?q=11.05475903,79.06085968","Open Location")</f>
        <v>Open Location</v>
      </c>
    </row>
    <row r="967" spans="1:40" x14ac:dyDescent="0.3">
      <c r="A967" s="1">
        <v>46210.88784722222</v>
      </c>
      <c r="B967" t="s">
        <v>40</v>
      </c>
      <c r="C967" t="s">
        <v>41</v>
      </c>
      <c r="D967" s="1">
        <v>46210.890821759262</v>
      </c>
      <c r="E967" t="s">
        <v>42</v>
      </c>
      <c r="F967" t="s">
        <v>43</v>
      </c>
      <c r="G967" t="s">
        <v>43</v>
      </c>
      <c r="H967" t="s">
        <v>43</v>
      </c>
      <c r="I967" t="s">
        <v>427</v>
      </c>
      <c r="J967" t="s">
        <v>43</v>
      </c>
      <c r="K967" t="s">
        <v>43</v>
      </c>
      <c r="L967" t="s">
        <v>43</v>
      </c>
      <c r="M967" t="s">
        <v>43</v>
      </c>
      <c r="N967" t="s">
        <v>45</v>
      </c>
      <c r="O967" t="s">
        <v>43</v>
      </c>
      <c r="P967" t="s">
        <v>43</v>
      </c>
      <c r="Q967" t="s">
        <v>43</v>
      </c>
      <c r="R967" t="s">
        <v>43</v>
      </c>
      <c r="S967" t="s">
        <v>43</v>
      </c>
      <c r="T967" t="s">
        <v>43</v>
      </c>
      <c r="U967" t="s">
        <v>43</v>
      </c>
      <c r="V967" t="s">
        <v>43</v>
      </c>
      <c r="W967" t="s">
        <v>43</v>
      </c>
      <c r="X967" t="s">
        <v>43</v>
      </c>
      <c r="Y967" t="s">
        <v>43</v>
      </c>
      <c r="Z967" t="s">
        <v>43</v>
      </c>
      <c r="AA967" t="s">
        <v>43</v>
      </c>
      <c r="AB967" t="s">
        <v>43</v>
      </c>
      <c r="AC967" t="s">
        <v>43</v>
      </c>
      <c r="AD967" t="s">
        <v>43</v>
      </c>
      <c r="AE967" t="s">
        <v>43</v>
      </c>
      <c r="AF967" t="s">
        <v>43</v>
      </c>
      <c r="AG967" t="s">
        <v>43</v>
      </c>
      <c r="AH967" t="s">
        <v>43</v>
      </c>
      <c r="AI967" t="s">
        <v>43</v>
      </c>
      <c r="AJ967" t="s">
        <v>43</v>
      </c>
      <c r="AK967" t="s">
        <v>43</v>
      </c>
      <c r="AL967" t="s">
        <v>43</v>
      </c>
      <c r="AM967" t="s">
        <v>43</v>
      </c>
      <c r="AN967" t="str">
        <f>HYPERLINK("https://www.google.com/maps?q=11.05475712,79.06085968","Open Location")</f>
        <v>Open Location</v>
      </c>
    </row>
    <row r="968" spans="1:40" x14ac:dyDescent="0.3">
      <c r="A968" s="1">
        <v>46210.887731481482</v>
      </c>
      <c r="B968" t="s">
        <v>40</v>
      </c>
      <c r="C968" t="s">
        <v>41</v>
      </c>
      <c r="D968" s="1">
        <v>46210.890428240738</v>
      </c>
      <c r="E968" t="s">
        <v>42</v>
      </c>
      <c r="F968" t="s">
        <v>43</v>
      </c>
      <c r="G968" t="s">
        <v>43</v>
      </c>
      <c r="H968" t="s">
        <v>43</v>
      </c>
      <c r="I968" t="s">
        <v>279</v>
      </c>
      <c r="J968" t="s">
        <v>43</v>
      </c>
      <c r="K968" t="s">
        <v>43</v>
      </c>
      <c r="L968" t="s">
        <v>43</v>
      </c>
      <c r="M968" t="s">
        <v>43</v>
      </c>
      <c r="N968" t="s">
        <v>45</v>
      </c>
      <c r="O968" t="s">
        <v>43</v>
      </c>
      <c r="P968" t="s">
        <v>43</v>
      </c>
      <c r="Q968" t="s">
        <v>43</v>
      </c>
      <c r="R968" t="s">
        <v>43</v>
      </c>
      <c r="S968" t="s">
        <v>43</v>
      </c>
      <c r="T968" t="s">
        <v>43</v>
      </c>
      <c r="U968" t="s">
        <v>43</v>
      </c>
      <c r="V968" t="s">
        <v>43</v>
      </c>
      <c r="W968" t="s">
        <v>43</v>
      </c>
      <c r="X968" t="s">
        <v>43</v>
      </c>
      <c r="Y968" t="s">
        <v>43</v>
      </c>
      <c r="Z968" t="s">
        <v>43</v>
      </c>
      <c r="AA968" t="s">
        <v>43</v>
      </c>
      <c r="AB968" t="s">
        <v>43</v>
      </c>
      <c r="AC968" t="s">
        <v>43</v>
      </c>
      <c r="AD968" t="s">
        <v>43</v>
      </c>
      <c r="AE968" t="s">
        <v>43</v>
      </c>
      <c r="AF968" t="s">
        <v>43</v>
      </c>
      <c r="AG968" t="s">
        <v>43</v>
      </c>
      <c r="AH968" t="s">
        <v>43</v>
      </c>
      <c r="AI968" t="s">
        <v>43</v>
      </c>
      <c r="AJ968" t="s">
        <v>43</v>
      </c>
      <c r="AK968" t="s">
        <v>43</v>
      </c>
      <c r="AL968" t="s">
        <v>43</v>
      </c>
      <c r="AM968" t="s">
        <v>43</v>
      </c>
      <c r="AN968" t="str">
        <f>HYPERLINK("https://www.google.com/maps?q=11.05475807,79.06086731","Open Location")</f>
        <v>Open Location</v>
      </c>
    </row>
    <row r="969" spans="1:40" x14ac:dyDescent="0.3">
      <c r="A969" s="1">
        <v>46210.887615740743</v>
      </c>
      <c r="B969" t="s">
        <v>40</v>
      </c>
      <c r="C969" t="s">
        <v>41</v>
      </c>
      <c r="D969" s="1">
        <v>46210.890752314815</v>
      </c>
      <c r="E969" t="s">
        <v>42</v>
      </c>
      <c r="F969" t="s">
        <v>43</v>
      </c>
      <c r="G969" t="s">
        <v>43</v>
      </c>
      <c r="H969" t="s">
        <v>43</v>
      </c>
      <c r="I969" t="s">
        <v>43</v>
      </c>
      <c r="J969" t="s">
        <v>43</v>
      </c>
      <c r="K969" t="s">
        <v>43</v>
      </c>
      <c r="L969" t="s">
        <v>43</v>
      </c>
      <c r="M969" t="s">
        <v>43</v>
      </c>
      <c r="N969" t="s">
        <v>45</v>
      </c>
      <c r="O969" t="s">
        <v>43</v>
      </c>
      <c r="P969" t="s">
        <v>43</v>
      </c>
      <c r="Q969" t="s">
        <v>43</v>
      </c>
      <c r="R969" t="s">
        <v>43</v>
      </c>
      <c r="S969" t="s">
        <v>43</v>
      </c>
      <c r="T969" t="s">
        <v>43</v>
      </c>
      <c r="U969" t="s">
        <v>43</v>
      </c>
      <c r="V969" t="s">
        <v>43</v>
      </c>
      <c r="W969" t="s">
        <v>43</v>
      </c>
      <c r="X969" t="s">
        <v>43</v>
      </c>
      <c r="Y969" t="s">
        <v>43</v>
      </c>
      <c r="Z969" t="s">
        <v>43</v>
      </c>
      <c r="AA969" t="s">
        <v>43</v>
      </c>
      <c r="AB969" t="s">
        <v>43</v>
      </c>
      <c r="AC969" t="s">
        <v>43</v>
      </c>
      <c r="AD969" t="s">
        <v>43</v>
      </c>
      <c r="AE969" t="s">
        <v>43</v>
      </c>
      <c r="AF969" t="s">
        <v>43</v>
      </c>
      <c r="AG969" t="s">
        <v>43</v>
      </c>
      <c r="AH969" t="s">
        <v>43</v>
      </c>
      <c r="AI969" t="s">
        <v>43</v>
      </c>
      <c r="AJ969" t="s">
        <v>43</v>
      </c>
      <c r="AK969" t="s">
        <v>43</v>
      </c>
      <c r="AL969" t="s">
        <v>43</v>
      </c>
      <c r="AM969" t="s">
        <v>43</v>
      </c>
      <c r="AN969" t="s">
        <v>43</v>
      </c>
    </row>
    <row r="970" spans="1:40" x14ac:dyDescent="0.3">
      <c r="A970" s="1">
        <v>46210.887499999997</v>
      </c>
      <c r="B970" t="s">
        <v>40</v>
      </c>
      <c r="C970" t="s">
        <v>41</v>
      </c>
      <c r="D970" s="1">
        <v>46210.890659722223</v>
      </c>
      <c r="E970" t="s">
        <v>42</v>
      </c>
      <c r="F970" t="s">
        <v>43</v>
      </c>
      <c r="G970" t="s">
        <v>43</v>
      </c>
      <c r="H970" t="s">
        <v>43</v>
      </c>
      <c r="I970" t="s">
        <v>428</v>
      </c>
      <c r="J970" t="s">
        <v>43</v>
      </c>
      <c r="K970" t="s">
        <v>43</v>
      </c>
      <c r="L970" t="s">
        <v>43</v>
      </c>
      <c r="M970" t="s">
        <v>43</v>
      </c>
      <c r="N970" t="s">
        <v>45</v>
      </c>
      <c r="O970" t="s">
        <v>43</v>
      </c>
      <c r="P970" t="s">
        <v>43</v>
      </c>
      <c r="Q970" t="s">
        <v>43</v>
      </c>
      <c r="R970" t="s">
        <v>43</v>
      </c>
      <c r="S970" t="s">
        <v>43</v>
      </c>
      <c r="T970" t="s">
        <v>43</v>
      </c>
      <c r="U970" t="s">
        <v>43</v>
      </c>
      <c r="V970" t="s">
        <v>43</v>
      </c>
      <c r="W970" t="s">
        <v>43</v>
      </c>
      <c r="X970" t="s">
        <v>43</v>
      </c>
      <c r="Y970" t="s">
        <v>43</v>
      </c>
      <c r="Z970" t="s">
        <v>43</v>
      </c>
      <c r="AA970" t="s">
        <v>43</v>
      </c>
      <c r="AB970" t="s">
        <v>43</v>
      </c>
      <c r="AC970" t="s">
        <v>43</v>
      </c>
      <c r="AD970" t="s">
        <v>43</v>
      </c>
      <c r="AE970" t="s">
        <v>43</v>
      </c>
      <c r="AF970" t="s">
        <v>43</v>
      </c>
      <c r="AG970" t="s">
        <v>43</v>
      </c>
      <c r="AH970" t="s">
        <v>43</v>
      </c>
      <c r="AI970" t="s">
        <v>43</v>
      </c>
      <c r="AJ970" t="s">
        <v>43</v>
      </c>
      <c r="AK970" t="s">
        <v>43</v>
      </c>
      <c r="AL970" t="s">
        <v>43</v>
      </c>
      <c r="AM970" t="s">
        <v>43</v>
      </c>
      <c r="AN970" t="str">
        <f>HYPERLINK("https://www.google.com/maps?q=11.05476093,79.06086731","Open Location")</f>
        <v>Open Location</v>
      </c>
    </row>
    <row r="971" spans="1:40" x14ac:dyDescent="0.3">
      <c r="A971" s="1">
        <v>46210.887384259258</v>
      </c>
      <c r="B971" t="s">
        <v>40</v>
      </c>
      <c r="C971" t="s">
        <v>41</v>
      </c>
      <c r="D971" s="1">
        <v>46210.890069444446</v>
      </c>
      <c r="E971" t="s">
        <v>42</v>
      </c>
      <c r="F971" t="s">
        <v>43</v>
      </c>
      <c r="G971" t="s">
        <v>43</v>
      </c>
      <c r="H971" t="s">
        <v>43</v>
      </c>
      <c r="I971" t="s">
        <v>278</v>
      </c>
      <c r="J971" t="s">
        <v>43</v>
      </c>
      <c r="K971" t="s">
        <v>43</v>
      </c>
      <c r="L971" t="s">
        <v>43</v>
      </c>
      <c r="M971" t="s">
        <v>43</v>
      </c>
      <c r="N971" t="s">
        <v>45</v>
      </c>
      <c r="O971" t="s">
        <v>43</v>
      </c>
      <c r="P971" t="s">
        <v>43</v>
      </c>
      <c r="Q971" t="s">
        <v>43</v>
      </c>
      <c r="R971" t="s">
        <v>43</v>
      </c>
      <c r="S971" t="s">
        <v>43</v>
      </c>
      <c r="T971" t="s">
        <v>43</v>
      </c>
      <c r="U971" t="s">
        <v>43</v>
      </c>
      <c r="V971" t="s">
        <v>43</v>
      </c>
      <c r="W971" t="s">
        <v>43</v>
      </c>
      <c r="X971" t="s">
        <v>43</v>
      </c>
      <c r="Y971" t="s">
        <v>43</v>
      </c>
      <c r="Z971" t="s">
        <v>43</v>
      </c>
      <c r="AA971" t="s">
        <v>43</v>
      </c>
      <c r="AB971" t="s">
        <v>43</v>
      </c>
      <c r="AC971" t="s">
        <v>43</v>
      </c>
      <c r="AD971" t="s">
        <v>43</v>
      </c>
      <c r="AE971" t="s">
        <v>43</v>
      </c>
      <c r="AF971" t="s">
        <v>43</v>
      </c>
      <c r="AG971" t="s">
        <v>43</v>
      </c>
      <c r="AH971" t="s">
        <v>43</v>
      </c>
      <c r="AI971" t="s">
        <v>43</v>
      </c>
      <c r="AJ971" t="s">
        <v>43</v>
      </c>
      <c r="AK971" t="s">
        <v>43</v>
      </c>
      <c r="AL971" t="s">
        <v>43</v>
      </c>
      <c r="AM971" t="s">
        <v>43</v>
      </c>
      <c r="AN971" t="str">
        <f>HYPERLINK("https://www.google.com/maps?q=11.05476189,79.06086731","Open Location")</f>
        <v>Open Location</v>
      </c>
    </row>
    <row r="972" spans="1:40" x14ac:dyDescent="0.3">
      <c r="A972" s="1">
        <v>46210.88726851852</v>
      </c>
      <c r="B972" t="s">
        <v>40</v>
      </c>
      <c r="C972" t="s">
        <v>41</v>
      </c>
      <c r="D972" s="1">
        <v>46210.890069444446</v>
      </c>
      <c r="E972" t="s">
        <v>42</v>
      </c>
      <c r="F972" t="s">
        <v>43</v>
      </c>
      <c r="G972" t="s">
        <v>43</v>
      </c>
      <c r="H972" t="s">
        <v>43</v>
      </c>
      <c r="I972" t="s">
        <v>429</v>
      </c>
      <c r="J972" t="s">
        <v>43</v>
      </c>
      <c r="K972" t="s">
        <v>43</v>
      </c>
      <c r="L972" t="s">
        <v>43</v>
      </c>
      <c r="M972" t="s">
        <v>43</v>
      </c>
      <c r="N972" t="s">
        <v>45</v>
      </c>
      <c r="O972" t="s">
        <v>43</v>
      </c>
      <c r="P972" t="s">
        <v>43</v>
      </c>
      <c r="Q972" t="s">
        <v>43</v>
      </c>
      <c r="R972" t="s">
        <v>43</v>
      </c>
      <c r="S972" t="s">
        <v>43</v>
      </c>
      <c r="T972" t="s">
        <v>43</v>
      </c>
      <c r="U972" t="s">
        <v>43</v>
      </c>
      <c r="V972" t="s">
        <v>43</v>
      </c>
      <c r="W972" t="s">
        <v>43</v>
      </c>
      <c r="X972" t="s">
        <v>43</v>
      </c>
      <c r="Y972" t="s">
        <v>43</v>
      </c>
      <c r="Z972" t="s">
        <v>43</v>
      </c>
      <c r="AA972" t="s">
        <v>43</v>
      </c>
      <c r="AB972" t="s">
        <v>43</v>
      </c>
      <c r="AC972" t="s">
        <v>43</v>
      </c>
      <c r="AD972" t="s">
        <v>43</v>
      </c>
      <c r="AE972" t="s">
        <v>43</v>
      </c>
      <c r="AF972" t="s">
        <v>43</v>
      </c>
      <c r="AG972" t="s">
        <v>43</v>
      </c>
      <c r="AH972" t="s">
        <v>43</v>
      </c>
      <c r="AI972" t="s">
        <v>43</v>
      </c>
      <c r="AJ972" t="s">
        <v>43</v>
      </c>
      <c r="AK972" t="s">
        <v>43</v>
      </c>
      <c r="AL972" t="s">
        <v>43</v>
      </c>
      <c r="AM972" t="s">
        <v>43</v>
      </c>
      <c r="AN972" t="str">
        <f>HYPERLINK("https://www.google.com/maps?q=11.05476189,79.06087494","Open Location")</f>
        <v>Open Location</v>
      </c>
    </row>
    <row r="973" spans="1:40" x14ac:dyDescent="0.3">
      <c r="A973" s="1">
        <v>46210.887152777781</v>
      </c>
      <c r="B973" t="s">
        <v>40</v>
      </c>
      <c r="C973" t="s">
        <v>41</v>
      </c>
      <c r="D973" s="1">
        <v>46210.890023148146</v>
      </c>
      <c r="E973" t="s">
        <v>42</v>
      </c>
      <c r="F973" t="s">
        <v>43</v>
      </c>
      <c r="G973" t="s">
        <v>43</v>
      </c>
      <c r="H973" t="s">
        <v>43</v>
      </c>
      <c r="I973" t="s">
        <v>430</v>
      </c>
      <c r="J973" t="s">
        <v>43</v>
      </c>
      <c r="K973" t="s">
        <v>43</v>
      </c>
      <c r="L973" t="s">
        <v>43</v>
      </c>
      <c r="M973" t="s">
        <v>43</v>
      </c>
      <c r="N973" t="s">
        <v>45</v>
      </c>
      <c r="O973" t="s">
        <v>43</v>
      </c>
      <c r="P973" t="s">
        <v>43</v>
      </c>
      <c r="Q973" t="s">
        <v>43</v>
      </c>
      <c r="R973" t="s">
        <v>43</v>
      </c>
      <c r="S973" t="s">
        <v>43</v>
      </c>
      <c r="T973" t="s">
        <v>43</v>
      </c>
      <c r="U973" t="s">
        <v>43</v>
      </c>
      <c r="V973" t="s">
        <v>43</v>
      </c>
      <c r="W973" t="s">
        <v>43</v>
      </c>
      <c r="X973" t="s">
        <v>43</v>
      </c>
      <c r="Y973" t="s">
        <v>43</v>
      </c>
      <c r="Z973" t="s">
        <v>43</v>
      </c>
      <c r="AA973" t="s">
        <v>43</v>
      </c>
      <c r="AB973" t="s">
        <v>43</v>
      </c>
      <c r="AC973" t="s">
        <v>43</v>
      </c>
      <c r="AD973" t="s">
        <v>43</v>
      </c>
      <c r="AE973" t="s">
        <v>43</v>
      </c>
      <c r="AF973" t="s">
        <v>43</v>
      </c>
      <c r="AG973" t="s">
        <v>43</v>
      </c>
      <c r="AH973" t="s">
        <v>43</v>
      </c>
      <c r="AI973" t="s">
        <v>43</v>
      </c>
      <c r="AJ973" t="s">
        <v>43</v>
      </c>
      <c r="AK973" t="s">
        <v>43</v>
      </c>
      <c r="AL973" t="s">
        <v>43</v>
      </c>
      <c r="AM973" t="s">
        <v>43</v>
      </c>
      <c r="AN973" t="str">
        <f>HYPERLINK("https://www.google.com/maps?q=11.05476093,79.06087494","Open Location")</f>
        <v>Open Location</v>
      </c>
    </row>
    <row r="974" spans="1:40" x14ac:dyDescent="0.3">
      <c r="A974" s="1">
        <v>46210.887037037035</v>
      </c>
      <c r="B974" t="s">
        <v>40</v>
      </c>
      <c r="C974" t="s">
        <v>41</v>
      </c>
      <c r="D974" s="1">
        <v>46210.889710648145</v>
      </c>
      <c r="E974" t="s">
        <v>42</v>
      </c>
      <c r="F974" t="s">
        <v>43</v>
      </c>
      <c r="G974" t="s">
        <v>43</v>
      </c>
      <c r="H974" t="s">
        <v>43</v>
      </c>
      <c r="I974" t="s">
        <v>431</v>
      </c>
      <c r="J974" t="s">
        <v>43</v>
      </c>
      <c r="K974" t="s">
        <v>43</v>
      </c>
      <c r="L974" t="s">
        <v>43</v>
      </c>
      <c r="M974" t="s">
        <v>43</v>
      </c>
      <c r="N974" t="s">
        <v>45</v>
      </c>
      <c r="O974" t="s">
        <v>43</v>
      </c>
      <c r="P974" t="s">
        <v>43</v>
      </c>
      <c r="Q974" t="s">
        <v>43</v>
      </c>
      <c r="R974" t="s">
        <v>43</v>
      </c>
      <c r="S974" t="s">
        <v>43</v>
      </c>
      <c r="T974" t="s">
        <v>43</v>
      </c>
      <c r="U974" t="s">
        <v>43</v>
      </c>
      <c r="V974" t="s">
        <v>43</v>
      </c>
      <c r="W974" t="s">
        <v>43</v>
      </c>
      <c r="X974" t="s">
        <v>43</v>
      </c>
      <c r="Y974" t="s">
        <v>43</v>
      </c>
      <c r="Z974" t="s">
        <v>43</v>
      </c>
      <c r="AA974" t="s">
        <v>43</v>
      </c>
      <c r="AB974" t="s">
        <v>43</v>
      </c>
      <c r="AC974" t="s">
        <v>43</v>
      </c>
      <c r="AD974" t="s">
        <v>43</v>
      </c>
      <c r="AE974" t="s">
        <v>43</v>
      </c>
      <c r="AF974" t="s">
        <v>43</v>
      </c>
      <c r="AG974" t="s">
        <v>43</v>
      </c>
      <c r="AH974" t="s">
        <v>43</v>
      </c>
      <c r="AI974" t="s">
        <v>43</v>
      </c>
      <c r="AJ974" t="s">
        <v>43</v>
      </c>
      <c r="AK974" t="s">
        <v>43</v>
      </c>
      <c r="AL974" t="s">
        <v>43</v>
      </c>
      <c r="AM974" t="s">
        <v>43</v>
      </c>
      <c r="AN974" t="str">
        <f>HYPERLINK("https://www.google.com/maps?q=11.05476284,79.06086731","Open Location")</f>
        <v>Open Location</v>
      </c>
    </row>
    <row r="975" spans="1:40" x14ac:dyDescent="0.3">
      <c r="A975" s="1">
        <v>46210.886921296296</v>
      </c>
      <c r="B975" t="s">
        <v>40</v>
      </c>
      <c r="C975" t="s">
        <v>41</v>
      </c>
      <c r="D975" s="1">
        <v>46210.889710648145</v>
      </c>
      <c r="E975" t="s">
        <v>42</v>
      </c>
      <c r="F975" t="s">
        <v>43</v>
      </c>
      <c r="G975" t="s">
        <v>43</v>
      </c>
      <c r="H975" t="s">
        <v>43</v>
      </c>
      <c r="I975" t="s">
        <v>43</v>
      </c>
      <c r="J975" t="s">
        <v>43</v>
      </c>
      <c r="K975" t="s">
        <v>43</v>
      </c>
      <c r="L975" t="s">
        <v>43</v>
      </c>
      <c r="M975" t="s">
        <v>43</v>
      </c>
      <c r="N975" t="s">
        <v>45</v>
      </c>
      <c r="O975" t="s">
        <v>43</v>
      </c>
      <c r="P975" t="s">
        <v>43</v>
      </c>
      <c r="Q975" t="s">
        <v>43</v>
      </c>
      <c r="R975" t="s">
        <v>43</v>
      </c>
      <c r="S975" t="s">
        <v>43</v>
      </c>
      <c r="T975" t="s">
        <v>43</v>
      </c>
      <c r="U975" t="s">
        <v>43</v>
      </c>
      <c r="V975" t="s">
        <v>43</v>
      </c>
      <c r="W975" t="s">
        <v>43</v>
      </c>
      <c r="X975" t="s">
        <v>43</v>
      </c>
      <c r="Y975" t="s">
        <v>43</v>
      </c>
      <c r="Z975" t="s">
        <v>43</v>
      </c>
      <c r="AA975" t="s">
        <v>43</v>
      </c>
      <c r="AB975" t="s">
        <v>43</v>
      </c>
      <c r="AC975" t="s">
        <v>43</v>
      </c>
      <c r="AD975" t="s">
        <v>43</v>
      </c>
      <c r="AE975" t="s">
        <v>43</v>
      </c>
      <c r="AF975" t="s">
        <v>43</v>
      </c>
      <c r="AG975" t="s">
        <v>43</v>
      </c>
      <c r="AH975" t="s">
        <v>43</v>
      </c>
      <c r="AI975" t="s">
        <v>43</v>
      </c>
      <c r="AJ975" t="s">
        <v>43</v>
      </c>
      <c r="AK975" t="s">
        <v>43</v>
      </c>
      <c r="AL975" t="s">
        <v>43</v>
      </c>
      <c r="AM975" t="s">
        <v>43</v>
      </c>
      <c r="AN975" t="s">
        <v>43</v>
      </c>
    </row>
    <row r="976" spans="1:40" x14ac:dyDescent="0.3">
      <c r="A976" s="1">
        <v>46210.886805555558</v>
      </c>
      <c r="B976" t="s">
        <v>40</v>
      </c>
      <c r="C976" t="s">
        <v>41</v>
      </c>
      <c r="D976" s="1">
        <v>46210.889907407407</v>
      </c>
      <c r="E976" t="s">
        <v>42</v>
      </c>
      <c r="F976" t="s">
        <v>43</v>
      </c>
      <c r="G976" t="s">
        <v>43</v>
      </c>
      <c r="H976" t="s">
        <v>43</v>
      </c>
      <c r="I976" t="s">
        <v>285</v>
      </c>
      <c r="J976" t="s">
        <v>43</v>
      </c>
      <c r="K976" t="s">
        <v>43</v>
      </c>
      <c r="L976" t="s">
        <v>43</v>
      </c>
      <c r="M976" t="s">
        <v>43</v>
      </c>
      <c r="N976" t="s">
        <v>45</v>
      </c>
      <c r="O976" t="s">
        <v>43</v>
      </c>
      <c r="P976" t="s">
        <v>43</v>
      </c>
      <c r="Q976" t="s">
        <v>43</v>
      </c>
      <c r="R976" t="s">
        <v>43</v>
      </c>
      <c r="S976" t="s">
        <v>43</v>
      </c>
      <c r="T976" t="s">
        <v>43</v>
      </c>
      <c r="U976" t="s">
        <v>43</v>
      </c>
      <c r="V976" t="s">
        <v>43</v>
      </c>
      <c r="W976" t="s">
        <v>43</v>
      </c>
      <c r="X976" t="s">
        <v>43</v>
      </c>
      <c r="Y976" t="s">
        <v>43</v>
      </c>
      <c r="Z976" t="s">
        <v>43</v>
      </c>
      <c r="AA976" t="s">
        <v>43</v>
      </c>
      <c r="AB976" t="s">
        <v>43</v>
      </c>
      <c r="AC976" t="s">
        <v>43</v>
      </c>
      <c r="AD976" t="s">
        <v>43</v>
      </c>
      <c r="AE976" t="s">
        <v>43</v>
      </c>
      <c r="AF976" t="s">
        <v>43</v>
      </c>
      <c r="AG976" t="s">
        <v>43</v>
      </c>
      <c r="AH976" t="s">
        <v>43</v>
      </c>
      <c r="AI976" t="s">
        <v>43</v>
      </c>
      <c r="AJ976" t="s">
        <v>43</v>
      </c>
      <c r="AK976" t="s">
        <v>43</v>
      </c>
      <c r="AL976" t="s">
        <v>43</v>
      </c>
      <c r="AM976" t="s">
        <v>43</v>
      </c>
      <c r="AN976" t="str">
        <f>HYPERLINK("https://www.google.com/maps?q=11.05476379,79.06086731","Open Location")</f>
        <v>Open Location</v>
      </c>
    </row>
    <row r="977" spans="1:40" x14ac:dyDescent="0.3">
      <c r="A977" s="1">
        <v>46210.886689814812</v>
      </c>
      <c r="B977" t="s">
        <v>40</v>
      </c>
      <c r="C977" t="s">
        <v>41</v>
      </c>
      <c r="D977" s="1">
        <v>46210.889837962961</v>
      </c>
      <c r="E977" t="s">
        <v>42</v>
      </c>
      <c r="F977" t="s">
        <v>43</v>
      </c>
      <c r="G977" t="s">
        <v>43</v>
      </c>
      <c r="H977" t="s">
        <v>43</v>
      </c>
      <c r="I977" t="s">
        <v>285</v>
      </c>
      <c r="J977" t="s">
        <v>43</v>
      </c>
      <c r="K977" t="s">
        <v>43</v>
      </c>
      <c r="L977" t="s">
        <v>43</v>
      </c>
      <c r="M977" t="s">
        <v>43</v>
      </c>
      <c r="N977" t="s">
        <v>45</v>
      </c>
      <c r="O977" t="s">
        <v>43</v>
      </c>
      <c r="P977" t="s">
        <v>43</v>
      </c>
      <c r="Q977" t="s">
        <v>43</v>
      </c>
      <c r="R977" t="s">
        <v>43</v>
      </c>
      <c r="S977" t="s">
        <v>43</v>
      </c>
      <c r="T977" t="s">
        <v>43</v>
      </c>
      <c r="U977" t="s">
        <v>43</v>
      </c>
      <c r="V977" t="s">
        <v>43</v>
      </c>
      <c r="W977" t="s">
        <v>43</v>
      </c>
      <c r="X977" t="s">
        <v>43</v>
      </c>
      <c r="Y977" t="s">
        <v>43</v>
      </c>
      <c r="Z977" t="s">
        <v>43</v>
      </c>
      <c r="AA977" t="s">
        <v>43</v>
      </c>
      <c r="AB977" t="s">
        <v>43</v>
      </c>
      <c r="AC977" t="s">
        <v>43</v>
      </c>
      <c r="AD977" t="s">
        <v>43</v>
      </c>
      <c r="AE977" t="s">
        <v>43</v>
      </c>
      <c r="AF977" t="s">
        <v>43</v>
      </c>
      <c r="AG977" t="s">
        <v>43</v>
      </c>
      <c r="AH977" t="s">
        <v>43</v>
      </c>
      <c r="AI977" t="s">
        <v>43</v>
      </c>
      <c r="AJ977" t="s">
        <v>43</v>
      </c>
      <c r="AK977" t="s">
        <v>43</v>
      </c>
      <c r="AL977" t="s">
        <v>43</v>
      </c>
      <c r="AM977" t="s">
        <v>43</v>
      </c>
      <c r="AN977" t="str">
        <f>HYPERLINK("https://www.google.com/maps?q=11.05476379,79.06086731","Open Location")</f>
        <v>Open Location</v>
      </c>
    </row>
    <row r="978" spans="1:40" x14ac:dyDescent="0.3">
      <c r="A978" s="1">
        <v>46210.886574074073</v>
      </c>
      <c r="B978" t="s">
        <v>40</v>
      </c>
      <c r="C978" t="s">
        <v>41</v>
      </c>
      <c r="D978" s="1">
        <v>46210.889710648145</v>
      </c>
      <c r="E978" t="s">
        <v>42</v>
      </c>
      <c r="F978" t="s">
        <v>43</v>
      </c>
      <c r="G978" t="s">
        <v>43</v>
      </c>
      <c r="H978" t="s">
        <v>43</v>
      </c>
      <c r="I978" t="s">
        <v>341</v>
      </c>
      <c r="J978" t="s">
        <v>43</v>
      </c>
      <c r="K978" t="s">
        <v>43</v>
      </c>
      <c r="L978" t="s">
        <v>43</v>
      </c>
      <c r="M978" t="s">
        <v>43</v>
      </c>
      <c r="N978" t="s">
        <v>45</v>
      </c>
      <c r="O978" t="s">
        <v>43</v>
      </c>
      <c r="P978" t="s">
        <v>43</v>
      </c>
      <c r="Q978" t="s">
        <v>43</v>
      </c>
      <c r="R978" t="s">
        <v>43</v>
      </c>
      <c r="S978" t="s">
        <v>43</v>
      </c>
      <c r="T978" t="s">
        <v>43</v>
      </c>
      <c r="U978" t="s">
        <v>43</v>
      </c>
      <c r="V978" t="s">
        <v>43</v>
      </c>
      <c r="W978" t="s">
        <v>43</v>
      </c>
      <c r="X978" t="s">
        <v>43</v>
      </c>
      <c r="Y978" t="s">
        <v>43</v>
      </c>
      <c r="Z978" t="s">
        <v>43</v>
      </c>
      <c r="AA978" t="s">
        <v>43</v>
      </c>
      <c r="AB978" t="s">
        <v>43</v>
      </c>
      <c r="AC978" t="s">
        <v>43</v>
      </c>
      <c r="AD978" t="s">
        <v>43</v>
      </c>
      <c r="AE978" t="s">
        <v>43</v>
      </c>
      <c r="AF978" t="s">
        <v>43</v>
      </c>
      <c r="AG978" t="s">
        <v>43</v>
      </c>
      <c r="AH978" t="s">
        <v>43</v>
      </c>
      <c r="AI978" t="s">
        <v>43</v>
      </c>
      <c r="AJ978" t="s">
        <v>43</v>
      </c>
      <c r="AK978" t="s">
        <v>43</v>
      </c>
      <c r="AL978" t="s">
        <v>43</v>
      </c>
      <c r="AM978" t="s">
        <v>43</v>
      </c>
      <c r="AN978" t="str">
        <f>HYPERLINK("https://www.google.com/maps?q=11.05476475,79.06085968","Open Location")</f>
        <v>Open Location</v>
      </c>
    </row>
    <row r="979" spans="1:40" x14ac:dyDescent="0.3">
      <c r="A979" s="1">
        <v>46210.886458333334</v>
      </c>
      <c r="B979" t="s">
        <v>40</v>
      </c>
      <c r="C979" t="s">
        <v>41</v>
      </c>
      <c r="D979" s="1">
        <v>46210.889467592591</v>
      </c>
      <c r="E979" t="s">
        <v>42</v>
      </c>
      <c r="F979" t="s">
        <v>43</v>
      </c>
      <c r="G979" t="s">
        <v>43</v>
      </c>
      <c r="H979" t="s">
        <v>43</v>
      </c>
      <c r="I979" t="s">
        <v>277</v>
      </c>
      <c r="J979" t="s">
        <v>43</v>
      </c>
      <c r="K979" t="s">
        <v>43</v>
      </c>
      <c r="L979" t="s">
        <v>43</v>
      </c>
      <c r="M979" t="s">
        <v>43</v>
      </c>
      <c r="N979" t="s">
        <v>45</v>
      </c>
      <c r="O979" t="s">
        <v>43</v>
      </c>
      <c r="P979" t="s">
        <v>43</v>
      </c>
      <c r="Q979" t="s">
        <v>43</v>
      </c>
      <c r="R979" t="s">
        <v>43</v>
      </c>
      <c r="S979" t="s">
        <v>43</v>
      </c>
      <c r="T979" t="s">
        <v>43</v>
      </c>
      <c r="U979" t="s">
        <v>43</v>
      </c>
      <c r="V979" t="s">
        <v>43</v>
      </c>
      <c r="W979" t="s">
        <v>43</v>
      </c>
      <c r="X979" t="s">
        <v>43</v>
      </c>
      <c r="Y979" t="s">
        <v>43</v>
      </c>
      <c r="Z979" t="s">
        <v>43</v>
      </c>
      <c r="AA979" t="s">
        <v>43</v>
      </c>
      <c r="AB979" t="s">
        <v>43</v>
      </c>
      <c r="AC979" t="s">
        <v>43</v>
      </c>
      <c r="AD979" t="s">
        <v>43</v>
      </c>
      <c r="AE979" t="s">
        <v>43</v>
      </c>
      <c r="AF979" t="s">
        <v>43</v>
      </c>
      <c r="AG979" t="s">
        <v>43</v>
      </c>
      <c r="AH979" t="s">
        <v>43</v>
      </c>
      <c r="AI979" t="s">
        <v>43</v>
      </c>
      <c r="AJ979" t="s">
        <v>43</v>
      </c>
      <c r="AK979" t="s">
        <v>43</v>
      </c>
      <c r="AL979" t="s">
        <v>43</v>
      </c>
      <c r="AM979" t="s">
        <v>43</v>
      </c>
      <c r="AN979" t="str">
        <f>HYPERLINK("https://www.google.com/maps?q=11.05476475,79.06086731","Open Location")</f>
        <v>Open Location</v>
      </c>
    </row>
    <row r="980" spans="1:40" x14ac:dyDescent="0.3">
      <c r="A980" s="1">
        <v>46210.886342592596</v>
      </c>
      <c r="B980" t="s">
        <v>40</v>
      </c>
      <c r="C980" t="s">
        <v>41</v>
      </c>
      <c r="D980" s="1">
        <v>46210.889467592591</v>
      </c>
      <c r="E980" t="s">
        <v>42</v>
      </c>
      <c r="F980" t="s">
        <v>43</v>
      </c>
      <c r="G980" t="s">
        <v>43</v>
      </c>
      <c r="H980" t="s">
        <v>43</v>
      </c>
      <c r="I980" t="s">
        <v>342</v>
      </c>
      <c r="J980" t="s">
        <v>43</v>
      </c>
      <c r="K980" t="s">
        <v>43</v>
      </c>
      <c r="L980" t="s">
        <v>43</v>
      </c>
      <c r="M980" t="s">
        <v>43</v>
      </c>
      <c r="N980" t="s">
        <v>45</v>
      </c>
      <c r="O980" t="s">
        <v>43</v>
      </c>
      <c r="P980" t="s">
        <v>43</v>
      </c>
      <c r="Q980" t="s">
        <v>43</v>
      </c>
      <c r="R980" t="s">
        <v>43</v>
      </c>
      <c r="S980" t="s">
        <v>43</v>
      </c>
      <c r="T980" t="s">
        <v>43</v>
      </c>
      <c r="U980" t="s">
        <v>43</v>
      </c>
      <c r="V980" t="s">
        <v>43</v>
      </c>
      <c r="W980" t="s">
        <v>43</v>
      </c>
      <c r="X980" t="s">
        <v>43</v>
      </c>
      <c r="Y980" t="s">
        <v>43</v>
      </c>
      <c r="Z980" t="s">
        <v>43</v>
      </c>
      <c r="AA980" t="s">
        <v>43</v>
      </c>
      <c r="AB980" t="s">
        <v>43</v>
      </c>
      <c r="AC980" t="s">
        <v>43</v>
      </c>
      <c r="AD980" t="s">
        <v>43</v>
      </c>
      <c r="AE980" t="s">
        <v>43</v>
      </c>
      <c r="AF980" t="s">
        <v>43</v>
      </c>
      <c r="AG980" t="s">
        <v>43</v>
      </c>
      <c r="AH980" t="s">
        <v>43</v>
      </c>
      <c r="AI980" t="s">
        <v>43</v>
      </c>
      <c r="AJ980" t="s">
        <v>43</v>
      </c>
      <c r="AK980" t="s">
        <v>43</v>
      </c>
      <c r="AL980" t="s">
        <v>43</v>
      </c>
      <c r="AM980" t="s">
        <v>43</v>
      </c>
      <c r="AN980" t="str">
        <f>HYPERLINK("https://www.google.com/maps?q=11.05476761,79.06085968","Open Location")</f>
        <v>Open Location</v>
      </c>
    </row>
    <row r="981" spans="1:40" x14ac:dyDescent="0.3">
      <c r="A981" s="1">
        <v>46210.88622685185</v>
      </c>
      <c r="B981" t="s">
        <v>40</v>
      </c>
      <c r="C981" t="s">
        <v>41</v>
      </c>
      <c r="D981" s="1">
        <v>46210.889224537037</v>
      </c>
      <c r="E981" t="s">
        <v>42</v>
      </c>
      <c r="F981" t="s">
        <v>43</v>
      </c>
      <c r="G981" t="s">
        <v>43</v>
      </c>
      <c r="H981" t="s">
        <v>43</v>
      </c>
      <c r="I981" t="s">
        <v>43</v>
      </c>
      <c r="J981" t="s">
        <v>43</v>
      </c>
      <c r="K981" t="s">
        <v>43</v>
      </c>
      <c r="L981" t="s">
        <v>43</v>
      </c>
      <c r="M981" t="s">
        <v>43</v>
      </c>
      <c r="N981" t="s">
        <v>45</v>
      </c>
      <c r="O981" t="s">
        <v>43</v>
      </c>
      <c r="P981" t="s">
        <v>43</v>
      </c>
      <c r="Q981" t="s">
        <v>43</v>
      </c>
      <c r="R981" t="s">
        <v>43</v>
      </c>
      <c r="S981" t="s">
        <v>43</v>
      </c>
      <c r="T981" t="s">
        <v>43</v>
      </c>
      <c r="U981" t="s">
        <v>43</v>
      </c>
      <c r="V981" t="s">
        <v>43</v>
      </c>
      <c r="W981" t="s">
        <v>43</v>
      </c>
      <c r="X981" t="s">
        <v>43</v>
      </c>
      <c r="Y981" t="s">
        <v>43</v>
      </c>
      <c r="Z981" t="s">
        <v>43</v>
      </c>
      <c r="AA981" t="s">
        <v>43</v>
      </c>
      <c r="AB981" t="s">
        <v>43</v>
      </c>
      <c r="AC981" t="s">
        <v>43</v>
      </c>
      <c r="AD981" t="s">
        <v>43</v>
      </c>
      <c r="AE981" t="s">
        <v>43</v>
      </c>
      <c r="AF981" t="s">
        <v>43</v>
      </c>
      <c r="AG981" t="s">
        <v>43</v>
      </c>
      <c r="AH981" t="s">
        <v>43</v>
      </c>
      <c r="AI981" t="s">
        <v>43</v>
      </c>
      <c r="AJ981" t="s">
        <v>43</v>
      </c>
      <c r="AK981" t="s">
        <v>43</v>
      </c>
      <c r="AL981" t="s">
        <v>43</v>
      </c>
      <c r="AM981" t="s">
        <v>43</v>
      </c>
      <c r="AN981" t="s">
        <v>43</v>
      </c>
    </row>
    <row r="982" spans="1:40" x14ac:dyDescent="0.3">
      <c r="A982" s="1">
        <v>46210.886111111111</v>
      </c>
      <c r="B982" t="s">
        <v>40</v>
      </c>
      <c r="C982" t="s">
        <v>41</v>
      </c>
      <c r="D982" s="1">
        <v>46210.889236111114</v>
      </c>
      <c r="E982" t="s">
        <v>42</v>
      </c>
      <c r="F982" t="s">
        <v>43</v>
      </c>
      <c r="G982" t="s">
        <v>43</v>
      </c>
      <c r="H982" t="s">
        <v>43</v>
      </c>
      <c r="I982" t="s">
        <v>286</v>
      </c>
      <c r="J982" t="s">
        <v>43</v>
      </c>
      <c r="K982" t="s">
        <v>43</v>
      </c>
      <c r="L982" t="s">
        <v>43</v>
      </c>
      <c r="M982" t="s">
        <v>43</v>
      </c>
      <c r="N982" t="s">
        <v>45</v>
      </c>
      <c r="O982" t="s">
        <v>43</v>
      </c>
      <c r="P982" t="s">
        <v>43</v>
      </c>
      <c r="Q982" t="s">
        <v>43</v>
      </c>
      <c r="R982" t="s">
        <v>43</v>
      </c>
      <c r="S982" t="s">
        <v>43</v>
      </c>
      <c r="T982" t="s">
        <v>43</v>
      </c>
      <c r="U982" t="s">
        <v>43</v>
      </c>
      <c r="V982" t="s">
        <v>43</v>
      </c>
      <c r="W982" t="s">
        <v>43</v>
      </c>
      <c r="X982" t="s">
        <v>43</v>
      </c>
      <c r="Y982" t="s">
        <v>43</v>
      </c>
      <c r="Z982" t="s">
        <v>43</v>
      </c>
      <c r="AA982" t="s">
        <v>43</v>
      </c>
      <c r="AB982" t="s">
        <v>43</v>
      </c>
      <c r="AC982" t="s">
        <v>43</v>
      </c>
      <c r="AD982" t="s">
        <v>43</v>
      </c>
      <c r="AE982" t="s">
        <v>43</v>
      </c>
      <c r="AF982" t="s">
        <v>43</v>
      </c>
      <c r="AG982" t="s">
        <v>43</v>
      </c>
      <c r="AH982" t="s">
        <v>43</v>
      </c>
      <c r="AI982" t="s">
        <v>43</v>
      </c>
      <c r="AJ982" t="s">
        <v>43</v>
      </c>
      <c r="AK982" t="s">
        <v>43</v>
      </c>
      <c r="AL982" t="s">
        <v>43</v>
      </c>
      <c r="AM982" t="s">
        <v>43</v>
      </c>
      <c r="AN982" t="str">
        <f>HYPERLINK("https://www.google.com/maps?q=11.05476665,79.06086731","Open Location")</f>
        <v>Open Location</v>
      </c>
    </row>
    <row r="983" spans="1:40" x14ac:dyDescent="0.3">
      <c r="A983" s="1">
        <v>46210.885995370372</v>
      </c>
      <c r="B983" t="s">
        <v>40</v>
      </c>
      <c r="C983" t="s">
        <v>41</v>
      </c>
      <c r="D983" s="1">
        <v>46210.889201388891</v>
      </c>
      <c r="E983" t="s">
        <v>42</v>
      </c>
      <c r="F983" t="s">
        <v>43</v>
      </c>
      <c r="G983" t="s">
        <v>43</v>
      </c>
      <c r="H983" t="s">
        <v>43</v>
      </c>
      <c r="I983" t="s">
        <v>285</v>
      </c>
      <c r="J983" t="s">
        <v>43</v>
      </c>
      <c r="K983" t="s">
        <v>43</v>
      </c>
      <c r="L983" t="s">
        <v>43</v>
      </c>
      <c r="M983" t="s">
        <v>43</v>
      </c>
      <c r="N983" t="s">
        <v>45</v>
      </c>
      <c r="O983" t="s">
        <v>43</v>
      </c>
      <c r="P983" t="s">
        <v>43</v>
      </c>
      <c r="Q983" t="s">
        <v>43</v>
      </c>
      <c r="R983" t="s">
        <v>43</v>
      </c>
      <c r="S983" t="s">
        <v>43</v>
      </c>
      <c r="T983" t="s">
        <v>43</v>
      </c>
      <c r="U983" t="s">
        <v>43</v>
      </c>
      <c r="V983" t="s">
        <v>43</v>
      </c>
      <c r="W983" t="s">
        <v>43</v>
      </c>
      <c r="X983" t="s">
        <v>43</v>
      </c>
      <c r="Y983" t="s">
        <v>43</v>
      </c>
      <c r="Z983" t="s">
        <v>43</v>
      </c>
      <c r="AA983" t="s">
        <v>43</v>
      </c>
      <c r="AB983" t="s">
        <v>43</v>
      </c>
      <c r="AC983" t="s">
        <v>43</v>
      </c>
      <c r="AD983" t="s">
        <v>43</v>
      </c>
      <c r="AE983" t="s">
        <v>43</v>
      </c>
      <c r="AF983" t="s">
        <v>43</v>
      </c>
      <c r="AG983" t="s">
        <v>43</v>
      </c>
      <c r="AH983" t="s">
        <v>43</v>
      </c>
      <c r="AI983" t="s">
        <v>43</v>
      </c>
      <c r="AJ983" t="s">
        <v>43</v>
      </c>
      <c r="AK983" t="s">
        <v>43</v>
      </c>
      <c r="AL983" t="s">
        <v>43</v>
      </c>
      <c r="AM983" t="s">
        <v>43</v>
      </c>
      <c r="AN983" t="str">
        <f>HYPERLINK("https://www.google.com/maps?q=11.05476379,79.06086731","Open Location")</f>
        <v>Open Location</v>
      </c>
    </row>
    <row r="984" spans="1:40" x14ac:dyDescent="0.3">
      <c r="A984" s="1">
        <v>46210.885879629626</v>
      </c>
      <c r="B984" t="s">
        <v>40</v>
      </c>
      <c r="C984" t="s">
        <v>41</v>
      </c>
      <c r="D984" s="1">
        <v>46210.889201388891</v>
      </c>
      <c r="E984" t="s">
        <v>42</v>
      </c>
      <c r="F984" t="s">
        <v>43</v>
      </c>
      <c r="G984" t="s">
        <v>43</v>
      </c>
      <c r="H984" t="s">
        <v>43</v>
      </c>
      <c r="I984" t="s">
        <v>43</v>
      </c>
      <c r="J984" t="s">
        <v>43</v>
      </c>
      <c r="K984" t="s">
        <v>43</v>
      </c>
      <c r="L984" t="s">
        <v>43</v>
      </c>
      <c r="M984" t="s">
        <v>43</v>
      </c>
      <c r="N984" t="s">
        <v>45</v>
      </c>
      <c r="O984" t="s">
        <v>43</v>
      </c>
      <c r="P984" t="s">
        <v>43</v>
      </c>
      <c r="Q984" t="s">
        <v>43</v>
      </c>
      <c r="R984" t="s">
        <v>43</v>
      </c>
      <c r="S984" t="s">
        <v>43</v>
      </c>
      <c r="T984" t="s">
        <v>43</v>
      </c>
      <c r="U984" t="s">
        <v>43</v>
      </c>
      <c r="V984" t="s">
        <v>43</v>
      </c>
      <c r="W984" t="s">
        <v>43</v>
      </c>
      <c r="X984" t="s">
        <v>43</v>
      </c>
      <c r="Y984" t="s">
        <v>43</v>
      </c>
      <c r="Z984" t="s">
        <v>43</v>
      </c>
      <c r="AA984" t="s">
        <v>43</v>
      </c>
      <c r="AB984" t="s">
        <v>43</v>
      </c>
      <c r="AC984" t="s">
        <v>43</v>
      </c>
      <c r="AD984" t="s">
        <v>43</v>
      </c>
      <c r="AE984" t="s">
        <v>43</v>
      </c>
      <c r="AF984" t="s">
        <v>43</v>
      </c>
      <c r="AG984" t="s">
        <v>43</v>
      </c>
      <c r="AH984" t="s">
        <v>43</v>
      </c>
      <c r="AI984" t="s">
        <v>43</v>
      </c>
      <c r="AJ984" t="s">
        <v>43</v>
      </c>
      <c r="AK984" t="s">
        <v>43</v>
      </c>
      <c r="AL984" t="s">
        <v>43</v>
      </c>
      <c r="AM984" t="s">
        <v>43</v>
      </c>
      <c r="AN984" t="s">
        <v>43</v>
      </c>
    </row>
    <row r="985" spans="1:40" x14ac:dyDescent="0.3">
      <c r="A985" s="1">
        <v>46210.885763888888</v>
      </c>
      <c r="B985" t="s">
        <v>40</v>
      </c>
      <c r="C985" t="s">
        <v>41</v>
      </c>
      <c r="D985" s="1">
        <v>46210.889004629629</v>
      </c>
      <c r="E985" t="s">
        <v>42</v>
      </c>
      <c r="F985" t="s">
        <v>43</v>
      </c>
      <c r="G985" t="s">
        <v>43</v>
      </c>
      <c r="H985" t="s">
        <v>43</v>
      </c>
      <c r="I985" t="s">
        <v>285</v>
      </c>
      <c r="J985" t="s">
        <v>43</v>
      </c>
      <c r="K985" t="s">
        <v>43</v>
      </c>
      <c r="L985" t="s">
        <v>43</v>
      </c>
      <c r="M985" t="s">
        <v>43</v>
      </c>
      <c r="N985" t="s">
        <v>45</v>
      </c>
      <c r="O985" t="s">
        <v>43</v>
      </c>
      <c r="P985" t="s">
        <v>43</v>
      </c>
      <c r="Q985" t="s">
        <v>43</v>
      </c>
      <c r="R985" t="s">
        <v>43</v>
      </c>
      <c r="S985" t="s">
        <v>43</v>
      </c>
      <c r="T985" t="s">
        <v>43</v>
      </c>
      <c r="U985" t="s">
        <v>43</v>
      </c>
      <c r="V985" t="s">
        <v>43</v>
      </c>
      <c r="W985" t="s">
        <v>43</v>
      </c>
      <c r="X985" t="s">
        <v>43</v>
      </c>
      <c r="Y985" t="s">
        <v>43</v>
      </c>
      <c r="Z985" t="s">
        <v>43</v>
      </c>
      <c r="AA985" t="s">
        <v>43</v>
      </c>
      <c r="AB985" t="s">
        <v>43</v>
      </c>
      <c r="AC985" t="s">
        <v>43</v>
      </c>
      <c r="AD985" t="s">
        <v>43</v>
      </c>
      <c r="AE985" t="s">
        <v>43</v>
      </c>
      <c r="AF985" t="s">
        <v>43</v>
      </c>
      <c r="AG985" t="s">
        <v>43</v>
      </c>
      <c r="AH985" t="s">
        <v>43</v>
      </c>
      <c r="AI985" t="s">
        <v>43</v>
      </c>
      <c r="AJ985" t="s">
        <v>43</v>
      </c>
      <c r="AK985" t="s">
        <v>43</v>
      </c>
      <c r="AL985" t="s">
        <v>43</v>
      </c>
      <c r="AM985" t="s">
        <v>43</v>
      </c>
      <c r="AN985" t="str">
        <f>HYPERLINK("https://www.google.com/maps?q=11.05476379,79.06086731","Open Location")</f>
        <v>Open Location</v>
      </c>
    </row>
    <row r="986" spans="1:40" x14ac:dyDescent="0.3">
      <c r="A986" s="1">
        <v>46210.885648148149</v>
      </c>
      <c r="B986" t="s">
        <v>40</v>
      </c>
      <c r="C986" t="s">
        <v>41</v>
      </c>
      <c r="D986" s="1">
        <v>46210.888969907406</v>
      </c>
      <c r="E986" t="s">
        <v>42</v>
      </c>
      <c r="F986" t="s">
        <v>43</v>
      </c>
      <c r="G986" t="s">
        <v>43</v>
      </c>
      <c r="H986" t="s">
        <v>43</v>
      </c>
      <c r="I986" t="s">
        <v>43</v>
      </c>
      <c r="J986" t="s">
        <v>43</v>
      </c>
      <c r="K986" t="s">
        <v>43</v>
      </c>
      <c r="L986" t="s">
        <v>43</v>
      </c>
      <c r="M986" t="s">
        <v>43</v>
      </c>
      <c r="N986" t="s">
        <v>45</v>
      </c>
      <c r="O986" t="s">
        <v>43</v>
      </c>
      <c r="P986" t="s">
        <v>43</v>
      </c>
      <c r="Q986" t="s">
        <v>43</v>
      </c>
      <c r="R986" t="s">
        <v>43</v>
      </c>
      <c r="S986" t="s">
        <v>43</v>
      </c>
      <c r="T986" t="s">
        <v>43</v>
      </c>
      <c r="U986" t="s">
        <v>43</v>
      </c>
      <c r="V986" t="s">
        <v>43</v>
      </c>
      <c r="W986" t="s">
        <v>43</v>
      </c>
      <c r="X986" t="s">
        <v>43</v>
      </c>
      <c r="Y986" t="s">
        <v>43</v>
      </c>
      <c r="Z986" t="s">
        <v>43</v>
      </c>
      <c r="AA986" t="s">
        <v>43</v>
      </c>
      <c r="AB986" t="s">
        <v>43</v>
      </c>
      <c r="AC986" t="s">
        <v>43</v>
      </c>
      <c r="AD986" t="s">
        <v>43</v>
      </c>
      <c r="AE986" t="s">
        <v>43</v>
      </c>
      <c r="AF986" t="s">
        <v>43</v>
      </c>
      <c r="AG986" t="s">
        <v>43</v>
      </c>
      <c r="AH986" t="s">
        <v>43</v>
      </c>
      <c r="AI986" t="s">
        <v>43</v>
      </c>
      <c r="AJ986" t="s">
        <v>43</v>
      </c>
      <c r="AK986" t="s">
        <v>43</v>
      </c>
      <c r="AL986" t="s">
        <v>43</v>
      </c>
      <c r="AM986" t="s">
        <v>43</v>
      </c>
      <c r="AN986" t="s">
        <v>43</v>
      </c>
    </row>
    <row r="987" spans="1:40" x14ac:dyDescent="0.3">
      <c r="A987" s="1">
        <v>46210.88553240741</v>
      </c>
      <c r="B987" t="s">
        <v>40</v>
      </c>
      <c r="C987" t="s">
        <v>41</v>
      </c>
      <c r="D987" s="1">
        <v>46210.888773148145</v>
      </c>
      <c r="E987" t="s">
        <v>42</v>
      </c>
      <c r="F987" t="s">
        <v>43</v>
      </c>
      <c r="G987" t="s">
        <v>43</v>
      </c>
      <c r="H987" t="s">
        <v>43</v>
      </c>
      <c r="I987" t="s">
        <v>288</v>
      </c>
      <c r="J987" t="s">
        <v>43</v>
      </c>
      <c r="K987" t="s">
        <v>43</v>
      </c>
      <c r="L987" t="s">
        <v>43</v>
      </c>
      <c r="M987" t="s">
        <v>43</v>
      </c>
      <c r="N987" t="s">
        <v>45</v>
      </c>
      <c r="O987" t="s">
        <v>43</v>
      </c>
      <c r="P987" t="s">
        <v>43</v>
      </c>
      <c r="Q987" t="s">
        <v>43</v>
      </c>
      <c r="R987" t="s">
        <v>43</v>
      </c>
      <c r="S987" t="s">
        <v>43</v>
      </c>
      <c r="T987" t="s">
        <v>43</v>
      </c>
      <c r="U987" t="s">
        <v>43</v>
      </c>
      <c r="V987" t="s">
        <v>43</v>
      </c>
      <c r="W987" t="s">
        <v>43</v>
      </c>
      <c r="X987" t="s">
        <v>43</v>
      </c>
      <c r="Y987" t="s">
        <v>43</v>
      </c>
      <c r="Z987" t="s">
        <v>43</v>
      </c>
      <c r="AA987" t="s">
        <v>43</v>
      </c>
      <c r="AB987" t="s">
        <v>43</v>
      </c>
      <c r="AC987" t="s">
        <v>43</v>
      </c>
      <c r="AD987" t="s">
        <v>43</v>
      </c>
      <c r="AE987" t="s">
        <v>43</v>
      </c>
      <c r="AF987" t="s">
        <v>43</v>
      </c>
      <c r="AG987" t="s">
        <v>43</v>
      </c>
      <c r="AH987" t="s">
        <v>43</v>
      </c>
      <c r="AI987" t="s">
        <v>43</v>
      </c>
      <c r="AJ987" t="s">
        <v>43</v>
      </c>
      <c r="AK987" t="s">
        <v>43</v>
      </c>
      <c r="AL987" t="s">
        <v>43</v>
      </c>
      <c r="AM987" t="s">
        <v>43</v>
      </c>
      <c r="AN987" t="str">
        <f>HYPERLINK("https://www.google.com/maps?q=11.0547657,79.06085968","Open Location")</f>
        <v>Open Location</v>
      </c>
    </row>
    <row r="988" spans="1:40" x14ac:dyDescent="0.3">
      <c r="A988" s="1">
        <v>46210.885416666664</v>
      </c>
      <c r="B988" t="s">
        <v>40</v>
      </c>
      <c r="C988" t="s">
        <v>41</v>
      </c>
      <c r="D988" s="1">
        <v>46210.888773148145</v>
      </c>
      <c r="E988" t="s">
        <v>42</v>
      </c>
      <c r="F988" t="s">
        <v>43</v>
      </c>
      <c r="G988" t="s">
        <v>43</v>
      </c>
      <c r="H988" t="s">
        <v>43</v>
      </c>
      <c r="I988" t="s">
        <v>278</v>
      </c>
      <c r="J988" t="s">
        <v>43</v>
      </c>
      <c r="K988" t="s">
        <v>43</v>
      </c>
      <c r="L988" t="s">
        <v>43</v>
      </c>
      <c r="M988" t="s">
        <v>43</v>
      </c>
      <c r="N988" t="s">
        <v>45</v>
      </c>
      <c r="O988" t="s">
        <v>43</v>
      </c>
      <c r="P988" t="s">
        <v>43</v>
      </c>
      <c r="Q988" t="s">
        <v>43</v>
      </c>
      <c r="R988" t="s">
        <v>43</v>
      </c>
      <c r="S988" t="s">
        <v>43</v>
      </c>
      <c r="T988" t="s">
        <v>43</v>
      </c>
      <c r="U988" t="s">
        <v>43</v>
      </c>
      <c r="V988" t="s">
        <v>43</v>
      </c>
      <c r="W988" t="s">
        <v>43</v>
      </c>
      <c r="X988" t="s">
        <v>43</v>
      </c>
      <c r="Y988" t="s">
        <v>43</v>
      </c>
      <c r="Z988" t="s">
        <v>43</v>
      </c>
      <c r="AA988" t="s">
        <v>43</v>
      </c>
      <c r="AB988" t="s">
        <v>43</v>
      </c>
      <c r="AC988" t="s">
        <v>43</v>
      </c>
      <c r="AD988" t="s">
        <v>43</v>
      </c>
      <c r="AE988" t="s">
        <v>43</v>
      </c>
      <c r="AF988" t="s">
        <v>43</v>
      </c>
      <c r="AG988" t="s">
        <v>43</v>
      </c>
      <c r="AH988" t="s">
        <v>43</v>
      </c>
      <c r="AI988" t="s">
        <v>43</v>
      </c>
      <c r="AJ988" t="s">
        <v>43</v>
      </c>
      <c r="AK988" t="s">
        <v>43</v>
      </c>
      <c r="AL988" t="s">
        <v>43</v>
      </c>
      <c r="AM988" t="s">
        <v>43</v>
      </c>
      <c r="AN988" t="str">
        <f>HYPERLINK("https://www.google.com/maps?q=11.05476189,79.06086731","Open Location")</f>
        <v>Open Location</v>
      </c>
    </row>
    <row r="989" spans="1:40" x14ac:dyDescent="0.3">
      <c r="A989" s="1">
        <v>46210.885300925926</v>
      </c>
      <c r="B989" t="s">
        <v>40</v>
      </c>
      <c r="C989" t="s">
        <v>41</v>
      </c>
      <c r="D989" s="1">
        <v>46210.888622685183</v>
      </c>
      <c r="E989" t="s">
        <v>42</v>
      </c>
      <c r="F989" t="s">
        <v>43</v>
      </c>
      <c r="G989" t="s">
        <v>43</v>
      </c>
      <c r="H989" t="s">
        <v>43</v>
      </c>
      <c r="I989" t="s">
        <v>278</v>
      </c>
      <c r="J989" t="s">
        <v>43</v>
      </c>
      <c r="K989" t="s">
        <v>43</v>
      </c>
      <c r="L989" t="s">
        <v>43</v>
      </c>
      <c r="M989" t="s">
        <v>43</v>
      </c>
      <c r="N989" t="s">
        <v>45</v>
      </c>
      <c r="O989" t="s">
        <v>43</v>
      </c>
      <c r="P989" t="s">
        <v>43</v>
      </c>
      <c r="Q989" t="s">
        <v>43</v>
      </c>
      <c r="R989" t="s">
        <v>43</v>
      </c>
      <c r="S989" t="s">
        <v>43</v>
      </c>
      <c r="T989" t="s">
        <v>43</v>
      </c>
      <c r="U989" t="s">
        <v>43</v>
      </c>
      <c r="V989" t="s">
        <v>43</v>
      </c>
      <c r="W989" t="s">
        <v>43</v>
      </c>
      <c r="X989" t="s">
        <v>43</v>
      </c>
      <c r="Y989" t="s">
        <v>43</v>
      </c>
      <c r="Z989" t="s">
        <v>43</v>
      </c>
      <c r="AA989" t="s">
        <v>43</v>
      </c>
      <c r="AB989" t="s">
        <v>43</v>
      </c>
      <c r="AC989" t="s">
        <v>43</v>
      </c>
      <c r="AD989" t="s">
        <v>43</v>
      </c>
      <c r="AE989" t="s">
        <v>43</v>
      </c>
      <c r="AF989" t="s">
        <v>43</v>
      </c>
      <c r="AG989" t="s">
        <v>43</v>
      </c>
      <c r="AH989" t="s">
        <v>43</v>
      </c>
      <c r="AI989" t="s">
        <v>43</v>
      </c>
      <c r="AJ989" t="s">
        <v>43</v>
      </c>
      <c r="AK989" t="s">
        <v>43</v>
      </c>
      <c r="AL989" t="s">
        <v>43</v>
      </c>
      <c r="AM989" t="s">
        <v>43</v>
      </c>
      <c r="AN989" t="str">
        <f>HYPERLINK("https://www.google.com/maps?q=11.05476189,79.06086731","Open Location")</f>
        <v>Open Location</v>
      </c>
    </row>
    <row r="990" spans="1:40" x14ac:dyDescent="0.3">
      <c r="A990" s="1">
        <v>46210.885185185187</v>
      </c>
      <c r="B990" t="s">
        <v>40</v>
      </c>
      <c r="C990" t="s">
        <v>41</v>
      </c>
      <c r="D990" s="1">
        <v>46210.888622685183</v>
      </c>
      <c r="E990" t="s">
        <v>42</v>
      </c>
      <c r="F990" t="s">
        <v>43</v>
      </c>
      <c r="G990" t="s">
        <v>43</v>
      </c>
      <c r="H990" t="s">
        <v>43</v>
      </c>
      <c r="I990" t="s">
        <v>43</v>
      </c>
      <c r="J990" t="s">
        <v>43</v>
      </c>
      <c r="K990" t="s">
        <v>43</v>
      </c>
      <c r="L990" t="s">
        <v>43</v>
      </c>
      <c r="M990" t="s">
        <v>43</v>
      </c>
      <c r="N990" t="s">
        <v>45</v>
      </c>
      <c r="O990" t="s">
        <v>43</v>
      </c>
      <c r="P990" t="s">
        <v>43</v>
      </c>
      <c r="Q990" t="s">
        <v>43</v>
      </c>
      <c r="R990" t="s">
        <v>43</v>
      </c>
      <c r="S990" t="s">
        <v>43</v>
      </c>
      <c r="T990" t="s">
        <v>43</v>
      </c>
      <c r="U990" t="s">
        <v>43</v>
      </c>
      <c r="V990" t="s">
        <v>43</v>
      </c>
      <c r="W990" t="s">
        <v>43</v>
      </c>
      <c r="X990" t="s">
        <v>43</v>
      </c>
      <c r="Y990" t="s">
        <v>43</v>
      </c>
      <c r="Z990" t="s">
        <v>43</v>
      </c>
      <c r="AA990" t="s">
        <v>43</v>
      </c>
      <c r="AB990" t="s">
        <v>43</v>
      </c>
      <c r="AC990" t="s">
        <v>43</v>
      </c>
      <c r="AD990" t="s">
        <v>43</v>
      </c>
      <c r="AE990" t="s">
        <v>43</v>
      </c>
      <c r="AF990" t="s">
        <v>43</v>
      </c>
      <c r="AG990" t="s">
        <v>43</v>
      </c>
      <c r="AH990" t="s">
        <v>43</v>
      </c>
      <c r="AI990" t="s">
        <v>43</v>
      </c>
      <c r="AJ990" t="s">
        <v>43</v>
      </c>
      <c r="AK990" t="s">
        <v>43</v>
      </c>
      <c r="AL990" t="s">
        <v>43</v>
      </c>
      <c r="AM990" t="s">
        <v>43</v>
      </c>
      <c r="AN990" t="s">
        <v>43</v>
      </c>
    </row>
    <row r="991" spans="1:40" x14ac:dyDescent="0.3">
      <c r="A991" s="1">
        <v>46210.885069444441</v>
      </c>
      <c r="B991" t="s">
        <v>40</v>
      </c>
      <c r="C991" t="s">
        <v>41</v>
      </c>
      <c r="D991" s="1">
        <v>46210.887916666667</v>
      </c>
      <c r="E991" t="s">
        <v>42</v>
      </c>
      <c r="F991" t="s">
        <v>43</v>
      </c>
      <c r="G991" t="s">
        <v>43</v>
      </c>
      <c r="H991" t="s">
        <v>43</v>
      </c>
      <c r="I991" t="s">
        <v>283</v>
      </c>
      <c r="J991" t="s">
        <v>43</v>
      </c>
      <c r="K991" t="s">
        <v>43</v>
      </c>
      <c r="L991" t="s">
        <v>43</v>
      </c>
      <c r="M991" t="s">
        <v>43</v>
      </c>
      <c r="N991" t="s">
        <v>45</v>
      </c>
      <c r="O991" t="s">
        <v>43</v>
      </c>
      <c r="P991" t="s">
        <v>43</v>
      </c>
      <c r="Q991" t="s">
        <v>43</v>
      </c>
      <c r="R991" t="s">
        <v>43</v>
      </c>
      <c r="S991" t="s">
        <v>43</v>
      </c>
      <c r="T991" t="s">
        <v>43</v>
      </c>
      <c r="U991" t="s">
        <v>43</v>
      </c>
      <c r="V991" t="s">
        <v>43</v>
      </c>
      <c r="W991" t="s">
        <v>43</v>
      </c>
      <c r="X991" t="s">
        <v>43</v>
      </c>
      <c r="Y991" t="s">
        <v>43</v>
      </c>
      <c r="Z991" t="s">
        <v>43</v>
      </c>
      <c r="AA991" t="s">
        <v>43</v>
      </c>
      <c r="AB991" t="s">
        <v>43</v>
      </c>
      <c r="AC991" t="s">
        <v>43</v>
      </c>
      <c r="AD991" t="s">
        <v>43</v>
      </c>
      <c r="AE991" t="s">
        <v>43</v>
      </c>
      <c r="AF991" t="s">
        <v>43</v>
      </c>
      <c r="AG991" t="s">
        <v>43</v>
      </c>
      <c r="AH991" t="s">
        <v>43</v>
      </c>
      <c r="AI991" t="s">
        <v>43</v>
      </c>
      <c r="AJ991" t="s">
        <v>43</v>
      </c>
      <c r="AK991" t="s">
        <v>43</v>
      </c>
      <c r="AL991" t="s">
        <v>43</v>
      </c>
      <c r="AM991" t="s">
        <v>43</v>
      </c>
      <c r="AN991" t="str">
        <f>HYPERLINK("https://www.google.com/maps?q=11.05475903,79.06086731","Open Location")</f>
        <v>Open Location</v>
      </c>
    </row>
    <row r="992" spans="1:40" x14ac:dyDescent="0.3">
      <c r="A992" s="1">
        <v>46210.884953703702</v>
      </c>
      <c r="B992" t="s">
        <v>40</v>
      </c>
      <c r="C992" t="s">
        <v>41</v>
      </c>
      <c r="D992" s="1">
        <v>46210.887789351851</v>
      </c>
      <c r="E992" t="s">
        <v>42</v>
      </c>
      <c r="F992" t="s">
        <v>43</v>
      </c>
      <c r="G992" t="s">
        <v>43</v>
      </c>
      <c r="H992" t="s">
        <v>43</v>
      </c>
      <c r="I992" t="s">
        <v>432</v>
      </c>
      <c r="J992" t="s">
        <v>43</v>
      </c>
      <c r="K992" t="s">
        <v>43</v>
      </c>
      <c r="L992" t="s">
        <v>43</v>
      </c>
      <c r="M992" t="s">
        <v>43</v>
      </c>
      <c r="N992" t="s">
        <v>45</v>
      </c>
      <c r="O992" t="s">
        <v>43</v>
      </c>
      <c r="P992" t="s">
        <v>43</v>
      </c>
      <c r="Q992" t="s">
        <v>43</v>
      </c>
      <c r="R992" t="s">
        <v>43</v>
      </c>
      <c r="S992" t="s">
        <v>43</v>
      </c>
      <c r="T992" t="s">
        <v>43</v>
      </c>
      <c r="U992" t="s">
        <v>43</v>
      </c>
      <c r="V992" t="s">
        <v>43</v>
      </c>
      <c r="W992" t="s">
        <v>43</v>
      </c>
      <c r="X992" t="s">
        <v>43</v>
      </c>
      <c r="Y992" t="s">
        <v>43</v>
      </c>
      <c r="Z992" t="s">
        <v>43</v>
      </c>
      <c r="AA992" t="s">
        <v>43</v>
      </c>
      <c r="AB992" t="s">
        <v>43</v>
      </c>
      <c r="AC992" t="s">
        <v>43</v>
      </c>
      <c r="AD992" t="s">
        <v>43</v>
      </c>
      <c r="AE992" t="s">
        <v>43</v>
      </c>
      <c r="AF992" t="s">
        <v>43</v>
      </c>
      <c r="AG992" t="s">
        <v>43</v>
      </c>
      <c r="AH992" t="s">
        <v>43</v>
      </c>
      <c r="AI992" t="s">
        <v>43</v>
      </c>
      <c r="AJ992" t="s">
        <v>43</v>
      </c>
      <c r="AK992" t="s">
        <v>43</v>
      </c>
      <c r="AL992" t="s">
        <v>43</v>
      </c>
      <c r="AM992" t="s">
        <v>43</v>
      </c>
      <c r="AN992" t="str">
        <f>HYPERLINK("https://www.google.com/maps?q=11.05475903,79.06087494","Open Location")</f>
        <v>Open Location</v>
      </c>
    </row>
    <row r="993" spans="1:40" x14ac:dyDescent="0.3">
      <c r="A993" s="1">
        <v>46210.884837962964</v>
      </c>
      <c r="B993" t="s">
        <v>40</v>
      </c>
      <c r="C993" t="s">
        <v>41</v>
      </c>
      <c r="D993" s="1">
        <v>46210.887789351851</v>
      </c>
      <c r="E993" t="s">
        <v>42</v>
      </c>
      <c r="F993" t="s">
        <v>43</v>
      </c>
      <c r="G993" t="s">
        <v>43</v>
      </c>
      <c r="H993" t="s">
        <v>43</v>
      </c>
      <c r="I993" t="s">
        <v>433</v>
      </c>
      <c r="J993" t="s">
        <v>43</v>
      </c>
      <c r="K993" t="s">
        <v>43</v>
      </c>
      <c r="L993" t="s">
        <v>43</v>
      </c>
      <c r="M993" t="s">
        <v>43</v>
      </c>
      <c r="N993" t="s">
        <v>45</v>
      </c>
      <c r="O993" t="s">
        <v>43</v>
      </c>
      <c r="P993" t="s">
        <v>43</v>
      </c>
      <c r="Q993" t="s">
        <v>43</v>
      </c>
      <c r="R993" t="s">
        <v>43</v>
      </c>
      <c r="S993" t="s">
        <v>43</v>
      </c>
      <c r="T993" t="s">
        <v>43</v>
      </c>
      <c r="U993" t="s">
        <v>43</v>
      </c>
      <c r="V993" t="s">
        <v>43</v>
      </c>
      <c r="W993" t="s">
        <v>43</v>
      </c>
      <c r="X993" t="s">
        <v>43</v>
      </c>
      <c r="Y993" t="s">
        <v>43</v>
      </c>
      <c r="Z993" t="s">
        <v>43</v>
      </c>
      <c r="AA993" t="s">
        <v>43</v>
      </c>
      <c r="AB993" t="s">
        <v>43</v>
      </c>
      <c r="AC993" t="s">
        <v>43</v>
      </c>
      <c r="AD993" t="s">
        <v>43</v>
      </c>
      <c r="AE993" t="s">
        <v>43</v>
      </c>
      <c r="AF993" t="s">
        <v>43</v>
      </c>
      <c r="AG993" t="s">
        <v>43</v>
      </c>
      <c r="AH993" t="s">
        <v>43</v>
      </c>
      <c r="AI993" t="s">
        <v>43</v>
      </c>
      <c r="AJ993" t="s">
        <v>43</v>
      </c>
      <c r="AK993" t="s">
        <v>43</v>
      </c>
      <c r="AL993" t="s">
        <v>43</v>
      </c>
      <c r="AM993" t="s">
        <v>43</v>
      </c>
      <c r="AN993" t="str">
        <f>HYPERLINK("https://www.google.com/maps?q=11.05475998,79.06087494","Open Location")</f>
        <v>Open Location</v>
      </c>
    </row>
    <row r="994" spans="1:40" x14ac:dyDescent="0.3">
      <c r="A994" s="1">
        <v>46210.884722222225</v>
      </c>
      <c r="B994" t="s">
        <v>40</v>
      </c>
      <c r="C994" t="s">
        <v>41</v>
      </c>
      <c r="D994" s="1">
        <v>46210.887546296297</v>
      </c>
      <c r="E994" t="s">
        <v>42</v>
      </c>
      <c r="F994" t="s">
        <v>43</v>
      </c>
      <c r="G994" t="s">
        <v>43</v>
      </c>
      <c r="H994" t="s">
        <v>43</v>
      </c>
      <c r="I994" t="s">
        <v>429</v>
      </c>
      <c r="J994" t="s">
        <v>43</v>
      </c>
      <c r="K994" t="s">
        <v>43</v>
      </c>
      <c r="L994" t="s">
        <v>43</v>
      </c>
      <c r="M994" t="s">
        <v>43</v>
      </c>
      <c r="N994" t="s">
        <v>45</v>
      </c>
      <c r="O994" t="s">
        <v>43</v>
      </c>
      <c r="P994" t="s">
        <v>43</v>
      </c>
      <c r="Q994" t="s">
        <v>43</v>
      </c>
      <c r="R994" t="s">
        <v>43</v>
      </c>
      <c r="S994" t="s">
        <v>43</v>
      </c>
      <c r="T994" t="s">
        <v>43</v>
      </c>
      <c r="U994" t="s">
        <v>43</v>
      </c>
      <c r="V994" t="s">
        <v>43</v>
      </c>
      <c r="W994" t="s">
        <v>43</v>
      </c>
      <c r="X994" t="s">
        <v>43</v>
      </c>
      <c r="Y994" t="s">
        <v>43</v>
      </c>
      <c r="Z994" t="s">
        <v>43</v>
      </c>
      <c r="AA994" t="s">
        <v>43</v>
      </c>
      <c r="AB994" t="s">
        <v>43</v>
      </c>
      <c r="AC994" t="s">
        <v>43</v>
      </c>
      <c r="AD994" t="s">
        <v>43</v>
      </c>
      <c r="AE994" t="s">
        <v>43</v>
      </c>
      <c r="AF994" t="s">
        <v>43</v>
      </c>
      <c r="AG994" t="s">
        <v>43</v>
      </c>
      <c r="AH994" t="s">
        <v>43</v>
      </c>
      <c r="AI994" t="s">
        <v>43</v>
      </c>
      <c r="AJ994" t="s">
        <v>43</v>
      </c>
      <c r="AK994" t="s">
        <v>43</v>
      </c>
      <c r="AL994" t="s">
        <v>43</v>
      </c>
      <c r="AM994" t="s">
        <v>43</v>
      </c>
      <c r="AN994" t="str">
        <f>HYPERLINK("https://www.google.com/maps?q=11.05476189,79.06087494","Open Location")</f>
        <v>Open Location</v>
      </c>
    </row>
    <row r="995" spans="1:40" x14ac:dyDescent="0.3">
      <c r="A995" s="1">
        <v>46210.884606481479</v>
      </c>
      <c r="B995" t="s">
        <v>40</v>
      </c>
      <c r="C995" t="s">
        <v>41</v>
      </c>
      <c r="D995" s="1">
        <v>46210.887685185182</v>
      </c>
      <c r="E995" t="s">
        <v>42</v>
      </c>
      <c r="F995" t="s">
        <v>43</v>
      </c>
      <c r="G995" t="s">
        <v>43</v>
      </c>
      <c r="H995" t="s">
        <v>43</v>
      </c>
      <c r="I995" t="s">
        <v>429</v>
      </c>
      <c r="J995" t="s">
        <v>43</v>
      </c>
      <c r="K995" t="s">
        <v>43</v>
      </c>
      <c r="L995" t="s">
        <v>43</v>
      </c>
      <c r="M995" t="s">
        <v>43</v>
      </c>
      <c r="N995" t="s">
        <v>45</v>
      </c>
      <c r="O995" t="s">
        <v>43</v>
      </c>
      <c r="P995" t="s">
        <v>43</v>
      </c>
      <c r="Q995" t="s">
        <v>43</v>
      </c>
      <c r="R995" t="s">
        <v>43</v>
      </c>
      <c r="S995" t="s">
        <v>43</v>
      </c>
      <c r="T995" t="s">
        <v>43</v>
      </c>
      <c r="U995" t="s">
        <v>43</v>
      </c>
      <c r="V995" t="s">
        <v>43</v>
      </c>
      <c r="W995" t="s">
        <v>43</v>
      </c>
      <c r="X995" t="s">
        <v>43</v>
      </c>
      <c r="Y995" t="s">
        <v>43</v>
      </c>
      <c r="Z995" t="s">
        <v>43</v>
      </c>
      <c r="AA995" t="s">
        <v>43</v>
      </c>
      <c r="AB995" t="s">
        <v>43</v>
      </c>
      <c r="AC995" t="s">
        <v>43</v>
      </c>
      <c r="AD995" t="s">
        <v>43</v>
      </c>
      <c r="AE995" t="s">
        <v>43</v>
      </c>
      <c r="AF995" t="s">
        <v>43</v>
      </c>
      <c r="AG995" t="s">
        <v>43</v>
      </c>
      <c r="AH995" t="s">
        <v>43</v>
      </c>
      <c r="AI995" t="s">
        <v>43</v>
      </c>
      <c r="AJ995" t="s">
        <v>43</v>
      </c>
      <c r="AK995" t="s">
        <v>43</v>
      </c>
      <c r="AL995" t="s">
        <v>43</v>
      </c>
      <c r="AM995" t="s">
        <v>43</v>
      </c>
      <c r="AN995" t="str">
        <f>HYPERLINK("https://www.google.com/maps?q=11.05476189,79.06087494","Open Location")</f>
        <v>Open Location</v>
      </c>
    </row>
    <row r="996" spans="1:40" x14ac:dyDescent="0.3">
      <c r="A996" s="1">
        <v>46210.88449074074</v>
      </c>
      <c r="B996" t="s">
        <v>40</v>
      </c>
      <c r="C996" t="s">
        <v>41</v>
      </c>
      <c r="D996" s="1">
        <v>46210.887685185182</v>
      </c>
      <c r="E996" t="s">
        <v>42</v>
      </c>
      <c r="F996" t="s">
        <v>43</v>
      </c>
      <c r="G996" t="s">
        <v>43</v>
      </c>
      <c r="H996" t="s">
        <v>43</v>
      </c>
      <c r="I996" t="s">
        <v>43</v>
      </c>
      <c r="J996" t="s">
        <v>43</v>
      </c>
      <c r="K996" t="s">
        <v>43</v>
      </c>
      <c r="L996" t="s">
        <v>43</v>
      </c>
      <c r="M996" t="s">
        <v>43</v>
      </c>
      <c r="N996" t="s">
        <v>45</v>
      </c>
      <c r="O996" t="s">
        <v>43</v>
      </c>
      <c r="P996" t="s">
        <v>43</v>
      </c>
      <c r="Q996" t="s">
        <v>43</v>
      </c>
      <c r="R996" t="s">
        <v>43</v>
      </c>
      <c r="S996" t="s">
        <v>43</v>
      </c>
      <c r="T996" t="s">
        <v>43</v>
      </c>
      <c r="U996" t="s">
        <v>43</v>
      </c>
      <c r="V996" t="s">
        <v>43</v>
      </c>
      <c r="W996" t="s">
        <v>43</v>
      </c>
      <c r="X996" t="s">
        <v>43</v>
      </c>
      <c r="Y996" t="s">
        <v>43</v>
      </c>
      <c r="Z996" t="s">
        <v>43</v>
      </c>
      <c r="AA996" t="s">
        <v>43</v>
      </c>
      <c r="AB996" t="s">
        <v>43</v>
      </c>
      <c r="AC996" t="s">
        <v>43</v>
      </c>
      <c r="AD996" t="s">
        <v>43</v>
      </c>
      <c r="AE996" t="s">
        <v>43</v>
      </c>
      <c r="AF996" t="s">
        <v>43</v>
      </c>
      <c r="AG996" t="s">
        <v>43</v>
      </c>
      <c r="AH996" t="s">
        <v>43</v>
      </c>
      <c r="AI996" t="s">
        <v>43</v>
      </c>
      <c r="AJ996" t="s">
        <v>43</v>
      </c>
      <c r="AK996" t="s">
        <v>43</v>
      </c>
      <c r="AL996" t="s">
        <v>43</v>
      </c>
      <c r="AM996" t="s">
        <v>43</v>
      </c>
      <c r="AN996" t="s">
        <v>43</v>
      </c>
    </row>
    <row r="997" spans="1:40" x14ac:dyDescent="0.3">
      <c r="A997" s="1">
        <v>46210.884375000001</v>
      </c>
      <c r="B997" t="s">
        <v>40</v>
      </c>
      <c r="C997" t="s">
        <v>41</v>
      </c>
      <c r="D997" s="1">
        <v>46210.887511574074</v>
      </c>
      <c r="E997" t="s">
        <v>42</v>
      </c>
      <c r="F997" t="s">
        <v>43</v>
      </c>
      <c r="G997" t="s">
        <v>43</v>
      </c>
      <c r="H997" t="s">
        <v>43</v>
      </c>
      <c r="I997" t="s">
        <v>434</v>
      </c>
      <c r="J997" t="s">
        <v>43</v>
      </c>
      <c r="K997" t="s">
        <v>43</v>
      </c>
      <c r="L997" t="s">
        <v>43</v>
      </c>
      <c r="M997" t="s">
        <v>43</v>
      </c>
      <c r="N997" t="s">
        <v>45</v>
      </c>
      <c r="O997" t="s">
        <v>43</v>
      </c>
      <c r="P997" t="s">
        <v>43</v>
      </c>
      <c r="Q997" t="s">
        <v>43</v>
      </c>
      <c r="R997" t="s">
        <v>43</v>
      </c>
      <c r="S997" t="s">
        <v>43</v>
      </c>
      <c r="T997" t="s">
        <v>43</v>
      </c>
      <c r="U997" t="s">
        <v>43</v>
      </c>
      <c r="V997" t="s">
        <v>43</v>
      </c>
      <c r="W997" t="s">
        <v>43</v>
      </c>
      <c r="X997" t="s">
        <v>43</v>
      </c>
      <c r="Y997" t="s">
        <v>43</v>
      </c>
      <c r="Z997" t="s">
        <v>43</v>
      </c>
      <c r="AA997" t="s">
        <v>43</v>
      </c>
      <c r="AB997" t="s">
        <v>43</v>
      </c>
      <c r="AC997" t="s">
        <v>43</v>
      </c>
      <c r="AD997" t="s">
        <v>43</v>
      </c>
      <c r="AE997" t="s">
        <v>43</v>
      </c>
      <c r="AF997" t="s">
        <v>43</v>
      </c>
      <c r="AG997" t="s">
        <v>43</v>
      </c>
      <c r="AH997" t="s">
        <v>43</v>
      </c>
      <c r="AI997" t="s">
        <v>43</v>
      </c>
      <c r="AJ997" t="s">
        <v>43</v>
      </c>
      <c r="AK997" t="s">
        <v>43</v>
      </c>
      <c r="AL997" t="s">
        <v>43</v>
      </c>
      <c r="AM997" t="s">
        <v>43</v>
      </c>
      <c r="AN997" t="str">
        <f>HYPERLINK("https://www.google.com/maps?q=11.05476475,79.06087494","Open Location")</f>
        <v>Open Location</v>
      </c>
    </row>
    <row r="998" spans="1:40" x14ac:dyDescent="0.3">
      <c r="A998" s="1">
        <v>46210.884259259263</v>
      </c>
      <c r="B998" t="s">
        <v>40</v>
      </c>
      <c r="C998" t="s">
        <v>41</v>
      </c>
      <c r="D998" s="1">
        <v>46210.887546296297</v>
      </c>
      <c r="E998" t="s">
        <v>42</v>
      </c>
      <c r="F998" t="s">
        <v>43</v>
      </c>
      <c r="G998" t="s">
        <v>43</v>
      </c>
      <c r="H998" t="s">
        <v>43</v>
      </c>
      <c r="I998" t="s">
        <v>277</v>
      </c>
      <c r="J998" t="s">
        <v>43</v>
      </c>
      <c r="K998" t="s">
        <v>43</v>
      </c>
      <c r="L998" t="s">
        <v>43</v>
      </c>
      <c r="M998" t="s">
        <v>43</v>
      </c>
      <c r="N998" t="s">
        <v>45</v>
      </c>
      <c r="O998" t="s">
        <v>43</v>
      </c>
      <c r="P998" t="s">
        <v>43</v>
      </c>
      <c r="Q998" t="s">
        <v>43</v>
      </c>
      <c r="R998" t="s">
        <v>43</v>
      </c>
      <c r="S998" t="s">
        <v>43</v>
      </c>
      <c r="T998" t="s">
        <v>43</v>
      </c>
      <c r="U998" t="s">
        <v>43</v>
      </c>
      <c r="V998" t="s">
        <v>43</v>
      </c>
      <c r="W998" t="s">
        <v>43</v>
      </c>
      <c r="X998" t="s">
        <v>43</v>
      </c>
      <c r="Y998" t="s">
        <v>43</v>
      </c>
      <c r="Z998" t="s">
        <v>43</v>
      </c>
      <c r="AA998" t="s">
        <v>43</v>
      </c>
      <c r="AB998" t="s">
        <v>43</v>
      </c>
      <c r="AC998" t="s">
        <v>43</v>
      </c>
      <c r="AD998" t="s">
        <v>43</v>
      </c>
      <c r="AE998" t="s">
        <v>43</v>
      </c>
      <c r="AF998" t="s">
        <v>43</v>
      </c>
      <c r="AG998" t="s">
        <v>43</v>
      </c>
      <c r="AH998" t="s">
        <v>43</v>
      </c>
      <c r="AI998" t="s">
        <v>43</v>
      </c>
      <c r="AJ998" t="s">
        <v>43</v>
      </c>
      <c r="AK998" t="s">
        <v>43</v>
      </c>
      <c r="AL998" t="s">
        <v>43</v>
      </c>
      <c r="AM998" t="s">
        <v>43</v>
      </c>
      <c r="AN998" t="str">
        <f>HYPERLINK("https://www.google.com/maps?q=11.05476475,79.06086731","Open Location")</f>
        <v>Open Location</v>
      </c>
    </row>
    <row r="999" spans="1:40" x14ac:dyDescent="0.3">
      <c r="A999" s="1">
        <v>46210.884143518517</v>
      </c>
      <c r="B999" t="s">
        <v>40</v>
      </c>
      <c r="C999" t="s">
        <v>41</v>
      </c>
      <c r="D999" s="1">
        <v>46210.887083333335</v>
      </c>
      <c r="E999" t="s">
        <v>42</v>
      </c>
      <c r="F999" t="s">
        <v>43</v>
      </c>
      <c r="G999" t="s">
        <v>43</v>
      </c>
      <c r="H999" t="s">
        <v>43</v>
      </c>
      <c r="I999" t="s">
        <v>431</v>
      </c>
      <c r="J999" t="s">
        <v>43</v>
      </c>
      <c r="K999" t="s">
        <v>43</v>
      </c>
      <c r="L999" t="s">
        <v>43</v>
      </c>
      <c r="M999" t="s">
        <v>43</v>
      </c>
      <c r="N999" t="s">
        <v>45</v>
      </c>
      <c r="O999" t="s">
        <v>43</v>
      </c>
      <c r="P999" t="s">
        <v>43</v>
      </c>
      <c r="Q999" t="s">
        <v>43</v>
      </c>
      <c r="R999" t="s">
        <v>43</v>
      </c>
      <c r="S999" t="s">
        <v>43</v>
      </c>
      <c r="T999" t="s">
        <v>43</v>
      </c>
      <c r="U999" t="s">
        <v>43</v>
      </c>
      <c r="V999" t="s">
        <v>43</v>
      </c>
      <c r="W999" t="s">
        <v>43</v>
      </c>
      <c r="X999" t="s">
        <v>43</v>
      </c>
      <c r="Y999" t="s">
        <v>43</v>
      </c>
      <c r="Z999" t="s">
        <v>43</v>
      </c>
      <c r="AA999" t="s">
        <v>43</v>
      </c>
      <c r="AB999" t="s">
        <v>43</v>
      </c>
      <c r="AC999" t="s">
        <v>43</v>
      </c>
      <c r="AD999" t="s">
        <v>43</v>
      </c>
      <c r="AE999" t="s">
        <v>43</v>
      </c>
      <c r="AF999" t="s">
        <v>43</v>
      </c>
      <c r="AG999" t="s">
        <v>43</v>
      </c>
      <c r="AH999" t="s">
        <v>43</v>
      </c>
      <c r="AI999" t="s">
        <v>43</v>
      </c>
      <c r="AJ999" t="s">
        <v>43</v>
      </c>
      <c r="AK999" t="s">
        <v>43</v>
      </c>
      <c r="AL999" t="s">
        <v>43</v>
      </c>
      <c r="AM999" t="s">
        <v>43</v>
      </c>
      <c r="AN999" t="str">
        <f>HYPERLINK("https://www.google.com/maps?q=11.05476284,79.06086731","Open Location")</f>
        <v>Open Location</v>
      </c>
    </row>
    <row r="1000" spans="1:40" x14ac:dyDescent="0.3">
      <c r="A1000" s="1">
        <v>46210.884027777778</v>
      </c>
      <c r="B1000" t="s">
        <v>40</v>
      </c>
      <c r="C1000" t="s">
        <v>41</v>
      </c>
      <c r="D1000" s="1">
        <v>46210.886643518519</v>
      </c>
      <c r="E1000" t="s">
        <v>42</v>
      </c>
      <c r="F1000" t="s">
        <v>43</v>
      </c>
      <c r="G1000" t="s">
        <v>43</v>
      </c>
      <c r="H1000" t="s">
        <v>43</v>
      </c>
      <c r="I1000" t="s">
        <v>428</v>
      </c>
      <c r="J1000" t="s">
        <v>43</v>
      </c>
      <c r="K1000" t="s">
        <v>43</v>
      </c>
      <c r="L1000" t="s">
        <v>43</v>
      </c>
      <c r="M1000" t="s">
        <v>43</v>
      </c>
      <c r="N1000" t="s">
        <v>45</v>
      </c>
      <c r="O1000" t="s">
        <v>43</v>
      </c>
      <c r="P1000" t="s">
        <v>43</v>
      </c>
      <c r="Q1000" t="s">
        <v>43</v>
      </c>
      <c r="R1000" t="s">
        <v>43</v>
      </c>
      <c r="S1000" t="s">
        <v>43</v>
      </c>
      <c r="T1000" t="s">
        <v>43</v>
      </c>
      <c r="U1000" t="s">
        <v>43</v>
      </c>
      <c r="V1000" t="s">
        <v>43</v>
      </c>
      <c r="W1000" t="s">
        <v>43</v>
      </c>
      <c r="X1000" t="s">
        <v>43</v>
      </c>
      <c r="Y1000" t="s">
        <v>43</v>
      </c>
      <c r="Z1000" t="s">
        <v>43</v>
      </c>
      <c r="AA1000" t="s">
        <v>43</v>
      </c>
      <c r="AB1000" t="s">
        <v>43</v>
      </c>
      <c r="AC1000" t="s">
        <v>43</v>
      </c>
      <c r="AD1000" t="s">
        <v>43</v>
      </c>
      <c r="AE1000" t="s">
        <v>43</v>
      </c>
      <c r="AF1000" t="s">
        <v>43</v>
      </c>
      <c r="AG1000" t="s">
        <v>43</v>
      </c>
      <c r="AH1000" t="s">
        <v>43</v>
      </c>
      <c r="AI1000" t="s">
        <v>43</v>
      </c>
      <c r="AJ1000" t="s">
        <v>43</v>
      </c>
      <c r="AK1000" t="s">
        <v>43</v>
      </c>
      <c r="AL1000" t="s">
        <v>43</v>
      </c>
      <c r="AM1000" t="s">
        <v>43</v>
      </c>
      <c r="AN1000" t="str">
        <f>HYPERLINK("https://www.google.com/maps?q=11.05476093,79.06086731","Open Location")</f>
        <v>Open Location</v>
      </c>
    </row>
    <row r="1001" spans="1:40" x14ac:dyDescent="0.3">
      <c r="A1001" s="1">
        <v>46210.883912037039</v>
      </c>
      <c r="B1001" t="s">
        <v>40</v>
      </c>
      <c r="C1001" t="s">
        <v>41</v>
      </c>
      <c r="D1001" s="1">
        <v>46210.886817129627</v>
      </c>
      <c r="E1001" t="s">
        <v>42</v>
      </c>
      <c r="F1001" t="s">
        <v>43</v>
      </c>
      <c r="G1001" t="s">
        <v>43</v>
      </c>
      <c r="H1001" t="s">
        <v>43</v>
      </c>
      <c r="I1001" t="s">
        <v>276</v>
      </c>
      <c r="J1001" t="s">
        <v>43</v>
      </c>
      <c r="K1001" t="s">
        <v>43</v>
      </c>
      <c r="L1001" t="s">
        <v>43</v>
      </c>
      <c r="M1001" t="s">
        <v>43</v>
      </c>
      <c r="N1001" t="s">
        <v>45</v>
      </c>
      <c r="O1001" t="s">
        <v>43</v>
      </c>
      <c r="P1001" t="s">
        <v>43</v>
      </c>
      <c r="Q1001" t="s">
        <v>43</v>
      </c>
      <c r="R1001" t="s">
        <v>43</v>
      </c>
      <c r="S1001" t="s">
        <v>43</v>
      </c>
      <c r="T1001" t="s">
        <v>43</v>
      </c>
      <c r="U1001" t="s">
        <v>43</v>
      </c>
      <c r="V1001" t="s">
        <v>43</v>
      </c>
      <c r="W1001" t="s">
        <v>43</v>
      </c>
      <c r="X1001" t="s">
        <v>43</v>
      </c>
      <c r="Y1001" t="s">
        <v>43</v>
      </c>
      <c r="Z1001" t="s">
        <v>43</v>
      </c>
      <c r="AA1001" t="s">
        <v>43</v>
      </c>
      <c r="AB1001" t="s">
        <v>43</v>
      </c>
      <c r="AC1001" t="s">
        <v>43</v>
      </c>
      <c r="AD1001" t="s">
        <v>43</v>
      </c>
      <c r="AE1001" t="s">
        <v>43</v>
      </c>
      <c r="AF1001" t="s">
        <v>43</v>
      </c>
      <c r="AG1001" t="s">
        <v>43</v>
      </c>
      <c r="AH1001" t="s">
        <v>43</v>
      </c>
      <c r="AI1001" t="s">
        <v>43</v>
      </c>
      <c r="AJ1001" t="s">
        <v>43</v>
      </c>
      <c r="AK1001" t="s">
        <v>43</v>
      </c>
      <c r="AL1001" t="s">
        <v>43</v>
      </c>
      <c r="AM1001" t="s">
        <v>43</v>
      </c>
      <c r="AN1001" t="str">
        <f>HYPERLINK("https://www.google.com/maps?q=11.05476189,79.06085968","Open Location")</f>
        <v>Open Location</v>
      </c>
    </row>
    <row r="1002" spans="1:40" x14ac:dyDescent="0.3">
      <c r="A1002" s="1">
        <v>46210.883796296293</v>
      </c>
      <c r="B1002" t="s">
        <v>40</v>
      </c>
      <c r="C1002" t="s">
        <v>41</v>
      </c>
      <c r="D1002" s="1">
        <v>46210.88652777778</v>
      </c>
      <c r="E1002" t="s">
        <v>42</v>
      </c>
      <c r="F1002" t="s">
        <v>43</v>
      </c>
      <c r="G1002" t="s">
        <v>43</v>
      </c>
      <c r="H1002" t="s">
        <v>43</v>
      </c>
      <c r="I1002" t="s">
        <v>43</v>
      </c>
      <c r="J1002" t="s">
        <v>43</v>
      </c>
      <c r="K1002" t="s">
        <v>43</v>
      </c>
      <c r="L1002" t="s">
        <v>43</v>
      </c>
      <c r="M1002" t="s">
        <v>43</v>
      </c>
      <c r="N1002" t="s">
        <v>45</v>
      </c>
      <c r="O1002" t="s">
        <v>43</v>
      </c>
      <c r="P1002" t="s">
        <v>43</v>
      </c>
      <c r="Q1002" t="s">
        <v>43</v>
      </c>
      <c r="R1002" t="s">
        <v>43</v>
      </c>
      <c r="S1002" t="s">
        <v>43</v>
      </c>
      <c r="T1002" t="s">
        <v>43</v>
      </c>
      <c r="U1002" t="s">
        <v>43</v>
      </c>
      <c r="V1002" t="s">
        <v>43</v>
      </c>
      <c r="W1002" t="s">
        <v>43</v>
      </c>
      <c r="X1002" t="s">
        <v>43</v>
      </c>
      <c r="Y1002" t="s">
        <v>43</v>
      </c>
      <c r="Z1002" t="s">
        <v>43</v>
      </c>
      <c r="AA1002" t="s">
        <v>43</v>
      </c>
      <c r="AB1002" t="s">
        <v>43</v>
      </c>
      <c r="AC1002" t="s">
        <v>43</v>
      </c>
      <c r="AD1002" t="s">
        <v>43</v>
      </c>
      <c r="AE1002" t="s">
        <v>43</v>
      </c>
      <c r="AF1002" t="s">
        <v>43</v>
      </c>
      <c r="AG1002" t="s">
        <v>43</v>
      </c>
      <c r="AH1002" t="s">
        <v>43</v>
      </c>
      <c r="AI1002" t="s">
        <v>43</v>
      </c>
      <c r="AJ1002" t="s">
        <v>43</v>
      </c>
      <c r="AK1002" t="s">
        <v>43</v>
      </c>
      <c r="AL1002" t="s">
        <v>43</v>
      </c>
      <c r="AM1002" t="s">
        <v>43</v>
      </c>
      <c r="AN1002" t="s">
        <v>43</v>
      </c>
    </row>
    <row r="1003" spans="1:40" x14ac:dyDescent="0.3">
      <c r="A1003" s="1">
        <v>46210.883680555555</v>
      </c>
      <c r="B1003" t="s">
        <v>40</v>
      </c>
      <c r="C1003" t="s">
        <v>41</v>
      </c>
      <c r="D1003" s="1">
        <v>46210.886817129627</v>
      </c>
      <c r="E1003" t="s">
        <v>42</v>
      </c>
      <c r="F1003" t="s">
        <v>43</v>
      </c>
      <c r="G1003" t="s">
        <v>43</v>
      </c>
      <c r="H1003" t="s">
        <v>43</v>
      </c>
      <c r="I1003" t="s">
        <v>402</v>
      </c>
      <c r="J1003" t="s">
        <v>43</v>
      </c>
      <c r="K1003" t="s">
        <v>43</v>
      </c>
      <c r="L1003" t="s">
        <v>43</v>
      </c>
      <c r="M1003" t="s">
        <v>43</v>
      </c>
      <c r="N1003" t="s">
        <v>45</v>
      </c>
      <c r="O1003" t="s">
        <v>43</v>
      </c>
      <c r="P1003" t="s">
        <v>43</v>
      </c>
      <c r="Q1003" t="s">
        <v>43</v>
      </c>
      <c r="R1003" t="s">
        <v>43</v>
      </c>
      <c r="S1003" t="s">
        <v>43</v>
      </c>
      <c r="T1003" t="s">
        <v>43</v>
      </c>
      <c r="U1003" t="s">
        <v>43</v>
      </c>
      <c r="V1003" t="s">
        <v>43</v>
      </c>
      <c r="W1003" t="s">
        <v>43</v>
      </c>
      <c r="X1003" t="s">
        <v>43</v>
      </c>
      <c r="Y1003" t="s">
        <v>43</v>
      </c>
      <c r="Z1003" t="s">
        <v>43</v>
      </c>
      <c r="AA1003" t="s">
        <v>43</v>
      </c>
      <c r="AB1003" t="s">
        <v>43</v>
      </c>
      <c r="AC1003" t="s">
        <v>43</v>
      </c>
      <c r="AD1003" t="s">
        <v>43</v>
      </c>
      <c r="AE1003" t="s">
        <v>43</v>
      </c>
      <c r="AF1003" t="s">
        <v>43</v>
      </c>
      <c r="AG1003" t="s">
        <v>43</v>
      </c>
      <c r="AH1003" t="s">
        <v>43</v>
      </c>
      <c r="AI1003" t="s">
        <v>43</v>
      </c>
      <c r="AJ1003" t="s">
        <v>43</v>
      </c>
      <c r="AK1003" t="s">
        <v>43</v>
      </c>
      <c r="AL1003" t="s">
        <v>43</v>
      </c>
      <c r="AM1003" t="s">
        <v>43</v>
      </c>
      <c r="AN1003" t="str">
        <f>HYPERLINK("https://www.google.com/maps?q=11.05475712,79.06084442","Open Location")</f>
        <v>Open Location</v>
      </c>
    </row>
    <row r="1004" spans="1:40" x14ac:dyDescent="0.3">
      <c r="A1004" s="1">
        <v>46210.883564814816</v>
      </c>
      <c r="B1004" t="s">
        <v>40</v>
      </c>
      <c r="C1004" t="s">
        <v>41</v>
      </c>
      <c r="D1004" s="1">
        <v>46210.886643518519</v>
      </c>
      <c r="E1004" t="s">
        <v>42</v>
      </c>
      <c r="F1004" t="s">
        <v>43</v>
      </c>
      <c r="G1004" t="s">
        <v>43</v>
      </c>
      <c r="H1004" t="s">
        <v>43</v>
      </c>
      <c r="I1004" t="s">
        <v>425</v>
      </c>
      <c r="J1004" t="s">
        <v>43</v>
      </c>
      <c r="K1004" t="s">
        <v>43</v>
      </c>
      <c r="L1004" t="s">
        <v>43</v>
      </c>
      <c r="M1004" t="s">
        <v>43</v>
      </c>
      <c r="N1004" t="s">
        <v>45</v>
      </c>
      <c r="O1004" t="s">
        <v>43</v>
      </c>
      <c r="P1004" t="s">
        <v>43</v>
      </c>
      <c r="Q1004" t="s">
        <v>43</v>
      </c>
      <c r="R1004" t="s">
        <v>43</v>
      </c>
      <c r="S1004" t="s">
        <v>43</v>
      </c>
      <c r="T1004" t="s">
        <v>43</v>
      </c>
      <c r="U1004" t="s">
        <v>43</v>
      </c>
      <c r="V1004" t="s">
        <v>43</v>
      </c>
      <c r="W1004" t="s">
        <v>43</v>
      </c>
      <c r="X1004" t="s">
        <v>43</v>
      </c>
      <c r="Y1004" t="s">
        <v>43</v>
      </c>
      <c r="Z1004" t="s">
        <v>43</v>
      </c>
      <c r="AA1004" t="s">
        <v>43</v>
      </c>
      <c r="AB1004" t="s">
        <v>43</v>
      </c>
      <c r="AC1004" t="s">
        <v>43</v>
      </c>
      <c r="AD1004" t="s">
        <v>43</v>
      </c>
      <c r="AE1004" t="s">
        <v>43</v>
      </c>
      <c r="AF1004" t="s">
        <v>43</v>
      </c>
      <c r="AG1004" t="s">
        <v>43</v>
      </c>
      <c r="AH1004" t="s">
        <v>43</v>
      </c>
      <c r="AI1004" t="s">
        <v>43</v>
      </c>
      <c r="AJ1004" t="s">
        <v>43</v>
      </c>
      <c r="AK1004" t="s">
        <v>43</v>
      </c>
      <c r="AL1004" t="s">
        <v>43</v>
      </c>
      <c r="AM1004" t="s">
        <v>43</v>
      </c>
      <c r="AN1004" t="str">
        <f>HYPERLINK("https://www.google.com/maps?q=11.05475903,79.06085968","Open Location")</f>
        <v>Open Location</v>
      </c>
    </row>
    <row r="1005" spans="1:40" x14ac:dyDescent="0.3">
      <c r="A1005" s="1">
        <v>46210.883449074077</v>
      </c>
      <c r="B1005" t="s">
        <v>40</v>
      </c>
      <c r="C1005" t="s">
        <v>41</v>
      </c>
      <c r="D1005" s="1">
        <v>46210.886400462965</v>
      </c>
      <c r="E1005" t="s">
        <v>42</v>
      </c>
      <c r="F1005" t="s">
        <v>43</v>
      </c>
      <c r="G1005" t="s">
        <v>43</v>
      </c>
      <c r="H1005" t="s">
        <v>43</v>
      </c>
      <c r="I1005" t="s">
        <v>428</v>
      </c>
      <c r="J1005" t="s">
        <v>43</v>
      </c>
      <c r="K1005" t="s">
        <v>43</v>
      </c>
      <c r="L1005" t="s">
        <v>43</v>
      </c>
      <c r="M1005" t="s">
        <v>43</v>
      </c>
      <c r="N1005" t="s">
        <v>45</v>
      </c>
      <c r="O1005" t="s">
        <v>43</v>
      </c>
      <c r="P1005" t="s">
        <v>43</v>
      </c>
      <c r="Q1005" t="s">
        <v>43</v>
      </c>
      <c r="R1005" t="s">
        <v>43</v>
      </c>
      <c r="S1005" t="s">
        <v>43</v>
      </c>
      <c r="T1005" t="s">
        <v>43</v>
      </c>
      <c r="U1005" t="s">
        <v>43</v>
      </c>
      <c r="V1005" t="s">
        <v>43</v>
      </c>
      <c r="W1005" t="s">
        <v>43</v>
      </c>
      <c r="X1005" t="s">
        <v>43</v>
      </c>
      <c r="Y1005" t="s">
        <v>43</v>
      </c>
      <c r="Z1005" t="s">
        <v>43</v>
      </c>
      <c r="AA1005" t="s">
        <v>43</v>
      </c>
      <c r="AB1005" t="s">
        <v>43</v>
      </c>
      <c r="AC1005" t="s">
        <v>43</v>
      </c>
      <c r="AD1005" t="s">
        <v>43</v>
      </c>
      <c r="AE1005" t="s">
        <v>43</v>
      </c>
      <c r="AF1005" t="s">
        <v>43</v>
      </c>
      <c r="AG1005" t="s">
        <v>43</v>
      </c>
      <c r="AH1005" t="s">
        <v>43</v>
      </c>
      <c r="AI1005" t="s">
        <v>43</v>
      </c>
      <c r="AJ1005" t="s">
        <v>43</v>
      </c>
      <c r="AK1005" t="s">
        <v>43</v>
      </c>
      <c r="AL1005" t="s">
        <v>43</v>
      </c>
      <c r="AM1005" t="s">
        <v>43</v>
      </c>
      <c r="AN1005" t="str">
        <f>HYPERLINK("https://www.google.com/maps?q=11.05476093,79.06086731","Open Location")</f>
        <v>Open Location</v>
      </c>
    </row>
    <row r="1006" spans="1:40" x14ac:dyDescent="0.3">
      <c r="A1006" s="1">
        <v>46210.883333333331</v>
      </c>
      <c r="B1006" t="s">
        <v>40</v>
      </c>
      <c r="C1006" t="s">
        <v>41</v>
      </c>
      <c r="D1006" s="1">
        <v>46210.886400462965</v>
      </c>
      <c r="E1006" t="s">
        <v>42</v>
      </c>
      <c r="F1006" t="s">
        <v>43</v>
      </c>
      <c r="G1006" t="s">
        <v>43</v>
      </c>
      <c r="H1006" t="s">
        <v>43</v>
      </c>
      <c r="I1006" t="s">
        <v>276</v>
      </c>
      <c r="J1006" t="s">
        <v>43</v>
      </c>
      <c r="K1006" t="s">
        <v>43</v>
      </c>
      <c r="L1006" t="s">
        <v>43</v>
      </c>
      <c r="M1006" t="s">
        <v>43</v>
      </c>
      <c r="N1006" t="s">
        <v>45</v>
      </c>
      <c r="O1006" t="s">
        <v>43</v>
      </c>
      <c r="P1006" t="s">
        <v>43</v>
      </c>
      <c r="Q1006" t="s">
        <v>43</v>
      </c>
      <c r="R1006" t="s">
        <v>43</v>
      </c>
      <c r="S1006" t="s">
        <v>43</v>
      </c>
      <c r="T1006" t="s">
        <v>43</v>
      </c>
      <c r="U1006" t="s">
        <v>43</v>
      </c>
      <c r="V1006" t="s">
        <v>43</v>
      </c>
      <c r="W1006" t="s">
        <v>43</v>
      </c>
      <c r="X1006" t="s">
        <v>43</v>
      </c>
      <c r="Y1006" t="s">
        <v>43</v>
      </c>
      <c r="Z1006" t="s">
        <v>43</v>
      </c>
      <c r="AA1006" t="s">
        <v>43</v>
      </c>
      <c r="AB1006" t="s">
        <v>43</v>
      </c>
      <c r="AC1006" t="s">
        <v>43</v>
      </c>
      <c r="AD1006" t="s">
        <v>43</v>
      </c>
      <c r="AE1006" t="s">
        <v>43</v>
      </c>
      <c r="AF1006" t="s">
        <v>43</v>
      </c>
      <c r="AG1006" t="s">
        <v>43</v>
      </c>
      <c r="AH1006" t="s">
        <v>43</v>
      </c>
      <c r="AI1006" t="s">
        <v>43</v>
      </c>
      <c r="AJ1006" t="s">
        <v>43</v>
      </c>
      <c r="AK1006" t="s">
        <v>43</v>
      </c>
      <c r="AL1006" t="s">
        <v>43</v>
      </c>
      <c r="AM1006" t="s">
        <v>43</v>
      </c>
      <c r="AN1006" t="str">
        <f>HYPERLINK("https://www.google.com/maps?q=11.05476189,79.06085968","Open Location")</f>
        <v>Open Location</v>
      </c>
    </row>
    <row r="1007" spans="1:40" x14ac:dyDescent="0.3">
      <c r="A1007" s="1">
        <v>46210.883217592593</v>
      </c>
      <c r="B1007" t="s">
        <v>40</v>
      </c>
      <c r="C1007" t="s">
        <v>41</v>
      </c>
      <c r="D1007" s="1">
        <v>46210.886261574073</v>
      </c>
      <c r="E1007" t="s">
        <v>42</v>
      </c>
      <c r="F1007" t="s">
        <v>43</v>
      </c>
      <c r="G1007" t="s">
        <v>43</v>
      </c>
      <c r="H1007" t="s">
        <v>43</v>
      </c>
      <c r="I1007" t="s">
        <v>43</v>
      </c>
      <c r="J1007" t="s">
        <v>43</v>
      </c>
      <c r="K1007" t="s">
        <v>43</v>
      </c>
      <c r="L1007" t="s">
        <v>43</v>
      </c>
      <c r="M1007" t="s">
        <v>43</v>
      </c>
      <c r="N1007" t="s">
        <v>45</v>
      </c>
      <c r="O1007" t="s">
        <v>43</v>
      </c>
      <c r="P1007" t="s">
        <v>43</v>
      </c>
      <c r="Q1007" t="s">
        <v>43</v>
      </c>
      <c r="R1007" t="s">
        <v>43</v>
      </c>
      <c r="S1007" t="s">
        <v>43</v>
      </c>
      <c r="T1007" t="s">
        <v>43</v>
      </c>
      <c r="U1007" t="s">
        <v>43</v>
      </c>
      <c r="V1007" t="s">
        <v>43</v>
      </c>
      <c r="W1007" t="s">
        <v>43</v>
      </c>
      <c r="X1007" t="s">
        <v>43</v>
      </c>
      <c r="Y1007" t="s">
        <v>43</v>
      </c>
      <c r="Z1007" t="s">
        <v>43</v>
      </c>
      <c r="AA1007" t="s">
        <v>43</v>
      </c>
      <c r="AB1007" t="s">
        <v>43</v>
      </c>
      <c r="AC1007" t="s">
        <v>43</v>
      </c>
      <c r="AD1007" t="s">
        <v>43</v>
      </c>
      <c r="AE1007" t="s">
        <v>43</v>
      </c>
      <c r="AF1007" t="s">
        <v>43</v>
      </c>
      <c r="AG1007" t="s">
        <v>43</v>
      </c>
      <c r="AH1007" t="s">
        <v>43</v>
      </c>
      <c r="AI1007" t="s">
        <v>43</v>
      </c>
      <c r="AJ1007" t="s">
        <v>43</v>
      </c>
      <c r="AK1007" t="s">
        <v>43</v>
      </c>
      <c r="AL1007" t="s">
        <v>43</v>
      </c>
      <c r="AM1007" t="s">
        <v>43</v>
      </c>
      <c r="AN1007" t="s">
        <v>43</v>
      </c>
    </row>
    <row r="1008" spans="1:40" x14ac:dyDescent="0.3">
      <c r="A1008" s="1">
        <v>46210.883101851854</v>
      </c>
      <c r="B1008" t="s">
        <v>40</v>
      </c>
      <c r="C1008" t="s">
        <v>41</v>
      </c>
      <c r="D1008" s="1">
        <v>46210.886250000003</v>
      </c>
      <c r="E1008" t="s">
        <v>42</v>
      </c>
      <c r="F1008" t="s">
        <v>43</v>
      </c>
      <c r="G1008" t="s">
        <v>43</v>
      </c>
      <c r="H1008" t="s">
        <v>43</v>
      </c>
      <c r="I1008" t="s">
        <v>426</v>
      </c>
      <c r="J1008" t="s">
        <v>43</v>
      </c>
      <c r="K1008" t="s">
        <v>43</v>
      </c>
      <c r="L1008" t="s">
        <v>43</v>
      </c>
      <c r="M1008" t="s">
        <v>43</v>
      </c>
      <c r="N1008" t="s">
        <v>45</v>
      </c>
      <c r="O1008" t="s">
        <v>43</v>
      </c>
      <c r="P1008" t="s">
        <v>43</v>
      </c>
      <c r="Q1008" t="s">
        <v>43</v>
      </c>
      <c r="R1008" t="s">
        <v>43</v>
      </c>
      <c r="S1008" t="s">
        <v>43</v>
      </c>
      <c r="T1008" t="s">
        <v>43</v>
      </c>
      <c r="U1008" t="s">
        <v>43</v>
      </c>
      <c r="V1008" t="s">
        <v>43</v>
      </c>
      <c r="W1008" t="s">
        <v>43</v>
      </c>
      <c r="X1008" t="s">
        <v>43</v>
      </c>
      <c r="Y1008" t="s">
        <v>43</v>
      </c>
      <c r="Z1008" t="s">
        <v>43</v>
      </c>
      <c r="AA1008" t="s">
        <v>43</v>
      </c>
      <c r="AB1008" t="s">
        <v>43</v>
      </c>
      <c r="AC1008" t="s">
        <v>43</v>
      </c>
      <c r="AD1008" t="s">
        <v>43</v>
      </c>
      <c r="AE1008" t="s">
        <v>43</v>
      </c>
      <c r="AF1008" t="s">
        <v>43</v>
      </c>
      <c r="AG1008" t="s">
        <v>43</v>
      </c>
      <c r="AH1008" t="s">
        <v>43</v>
      </c>
      <c r="AI1008" t="s">
        <v>43</v>
      </c>
      <c r="AJ1008" t="s">
        <v>43</v>
      </c>
      <c r="AK1008" t="s">
        <v>43</v>
      </c>
      <c r="AL1008" t="s">
        <v>43</v>
      </c>
      <c r="AM1008" t="s">
        <v>43</v>
      </c>
      <c r="AN1008" t="str">
        <f>HYPERLINK("https://www.google.com/maps?q=11.05475998,79.06085968","Open Location")</f>
        <v>Open Location</v>
      </c>
    </row>
    <row r="1009" spans="1:40" x14ac:dyDescent="0.3">
      <c r="A1009" s="1">
        <v>46210.882986111108</v>
      </c>
      <c r="B1009" t="s">
        <v>40</v>
      </c>
      <c r="C1009" t="s">
        <v>41</v>
      </c>
      <c r="D1009" s="1">
        <v>46210.885879629626</v>
      </c>
      <c r="E1009" t="s">
        <v>42</v>
      </c>
      <c r="F1009" t="s">
        <v>43</v>
      </c>
      <c r="G1009" t="s">
        <v>43</v>
      </c>
      <c r="H1009" t="s">
        <v>43</v>
      </c>
      <c r="I1009" t="s">
        <v>340</v>
      </c>
      <c r="J1009" t="s">
        <v>43</v>
      </c>
      <c r="K1009" t="s">
        <v>43</v>
      </c>
      <c r="L1009" t="s">
        <v>43</v>
      </c>
      <c r="M1009" t="s">
        <v>43</v>
      </c>
      <c r="N1009" t="s">
        <v>45</v>
      </c>
      <c r="O1009" t="s">
        <v>43</v>
      </c>
      <c r="P1009" t="s">
        <v>43</v>
      </c>
      <c r="Q1009" t="s">
        <v>43</v>
      </c>
      <c r="R1009" t="s">
        <v>43</v>
      </c>
      <c r="S1009" t="s">
        <v>43</v>
      </c>
      <c r="T1009" t="s">
        <v>43</v>
      </c>
      <c r="U1009" t="s">
        <v>43</v>
      </c>
      <c r="V1009" t="s">
        <v>43</v>
      </c>
      <c r="W1009" t="s">
        <v>43</v>
      </c>
      <c r="X1009" t="s">
        <v>43</v>
      </c>
      <c r="Y1009" t="s">
        <v>43</v>
      </c>
      <c r="Z1009" t="s">
        <v>43</v>
      </c>
      <c r="AA1009" t="s">
        <v>43</v>
      </c>
      <c r="AB1009" t="s">
        <v>43</v>
      </c>
      <c r="AC1009" t="s">
        <v>43</v>
      </c>
      <c r="AD1009" t="s">
        <v>43</v>
      </c>
      <c r="AE1009" t="s">
        <v>43</v>
      </c>
      <c r="AF1009" t="s">
        <v>43</v>
      </c>
      <c r="AG1009" t="s">
        <v>43</v>
      </c>
      <c r="AH1009" t="s">
        <v>43</v>
      </c>
      <c r="AI1009" t="s">
        <v>43</v>
      </c>
      <c r="AJ1009" t="s">
        <v>43</v>
      </c>
      <c r="AK1009" t="s">
        <v>43</v>
      </c>
      <c r="AL1009" t="s">
        <v>43</v>
      </c>
      <c r="AM1009" t="s">
        <v>43</v>
      </c>
      <c r="AN1009" t="str">
        <f>HYPERLINK("https://www.google.com/maps?q=11.05476189,79.06084442","Open Location")</f>
        <v>Open Location</v>
      </c>
    </row>
    <row r="1010" spans="1:40" x14ac:dyDescent="0.3">
      <c r="A1010" s="1">
        <v>46210.882870370369</v>
      </c>
      <c r="B1010" t="s">
        <v>40</v>
      </c>
      <c r="C1010" t="s">
        <v>41</v>
      </c>
      <c r="D1010" s="1">
        <v>46210.885983796295</v>
      </c>
      <c r="E1010" t="s">
        <v>42</v>
      </c>
      <c r="F1010" t="s">
        <v>43</v>
      </c>
      <c r="G1010" t="s">
        <v>43</v>
      </c>
      <c r="H1010" t="s">
        <v>43</v>
      </c>
      <c r="I1010" t="s">
        <v>270</v>
      </c>
      <c r="J1010" t="s">
        <v>43</v>
      </c>
      <c r="K1010" t="s">
        <v>43</v>
      </c>
      <c r="L1010" t="s">
        <v>43</v>
      </c>
      <c r="M1010" t="s">
        <v>43</v>
      </c>
      <c r="N1010" t="s">
        <v>45</v>
      </c>
      <c r="O1010" t="s">
        <v>43</v>
      </c>
      <c r="P1010" t="s">
        <v>43</v>
      </c>
      <c r="Q1010" t="s">
        <v>43</v>
      </c>
      <c r="R1010" t="s">
        <v>43</v>
      </c>
      <c r="S1010" t="s">
        <v>43</v>
      </c>
      <c r="T1010" t="s">
        <v>43</v>
      </c>
      <c r="U1010" t="s">
        <v>43</v>
      </c>
      <c r="V1010" t="s">
        <v>43</v>
      </c>
      <c r="W1010" t="s">
        <v>43</v>
      </c>
      <c r="X1010" t="s">
        <v>43</v>
      </c>
      <c r="Y1010" t="s">
        <v>43</v>
      </c>
      <c r="Z1010" t="s">
        <v>43</v>
      </c>
      <c r="AA1010" t="s">
        <v>43</v>
      </c>
      <c r="AB1010" t="s">
        <v>43</v>
      </c>
      <c r="AC1010" t="s">
        <v>43</v>
      </c>
      <c r="AD1010" t="s">
        <v>43</v>
      </c>
      <c r="AE1010" t="s">
        <v>43</v>
      </c>
      <c r="AF1010" t="s">
        <v>43</v>
      </c>
      <c r="AG1010" t="s">
        <v>43</v>
      </c>
      <c r="AH1010" t="s">
        <v>43</v>
      </c>
      <c r="AI1010" t="s">
        <v>43</v>
      </c>
      <c r="AJ1010" t="s">
        <v>43</v>
      </c>
      <c r="AK1010" t="s">
        <v>43</v>
      </c>
      <c r="AL1010" t="s">
        <v>43</v>
      </c>
      <c r="AM1010" t="s">
        <v>43</v>
      </c>
      <c r="AN1010" t="str">
        <f>HYPERLINK("https://www.google.com/maps?q=11.0547657,79.06083679","Open Location")</f>
        <v>Open Location</v>
      </c>
    </row>
    <row r="1011" spans="1:40" x14ac:dyDescent="0.3">
      <c r="A1011" s="1">
        <v>46210.882754629631</v>
      </c>
      <c r="B1011" t="s">
        <v>40</v>
      </c>
      <c r="C1011" t="s">
        <v>41</v>
      </c>
      <c r="D1011" s="1">
        <v>46210.885810185187</v>
      </c>
      <c r="E1011" t="s">
        <v>42</v>
      </c>
      <c r="F1011" t="s">
        <v>43</v>
      </c>
      <c r="G1011" t="s">
        <v>43</v>
      </c>
      <c r="H1011" t="s">
        <v>43</v>
      </c>
      <c r="I1011" t="s">
        <v>329</v>
      </c>
      <c r="J1011" t="s">
        <v>43</v>
      </c>
      <c r="K1011" t="s">
        <v>43</v>
      </c>
      <c r="L1011" t="s">
        <v>43</v>
      </c>
      <c r="M1011" t="s">
        <v>43</v>
      </c>
      <c r="N1011" t="s">
        <v>45</v>
      </c>
      <c r="O1011" t="s">
        <v>43</v>
      </c>
      <c r="P1011" t="s">
        <v>43</v>
      </c>
      <c r="Q1011" t="s">
        <v>43</v>
      </c>
      <c r="R1011" t="s">
        <v>43</v>
      </c>
      <c r="S1011" t="s">
        <v>43</v>
      </c>
      <c r="T1011" t="s">
        <v>43</v>
      </c>
      <c r="U1011" t="s">
        <v>43</v>
      </c>
      <c r="V1011" t="s">
        <v>43</v>
      </c>
      <c r="W1011" t="s">
        <v>43</v>
      </c>
      <c r="X1011" t="s">
        <v>43</v>
      </c>
      <c r="Y1011" t="s">
        <v>43</v>
      </c>
      <c r="Z1011" t="s">
        <v>43</v>
      </c>
      <c r="AA1011" t="s">
        <v>43</v>
      </c>
      <c r="AB1011" t="s">
        <v>43</v>
      </c>
      <c r="AC1011" t="s">
        <v>43</v>
      </c>
      <c r="AD1011" t="s">
        <v>43</v>
      </c>
      <c r="AE1011" t="s">
        <v>43</v>
      </c>
      <c r="AF1011" t="s">
        <v>43</v>
      </c>
      <c r="AG1011" t="s">
        <v>43</v>
      </c>
      <c r="AH1011" t="s">
        <v>43</v>
      </c>
      <c r="AI1011" t="s">
        <v>43</v>
      </c>
      <c r="AJ1011" t="s">
        <v>43</v>
      </c>
      <c r="AK1011" t="s">
        <v>43</v>
      </c>
      <c r="AL1011" t="s">
        <v>43</v>
      </c>
      <c r="AM1011" t="s">
        <v>43</v>
      </c>
      <c r="AN1011" t="str">
        <f>HYPERLINK("https://www.google.com/maps?q=11.05477142,79.06083679","Open Location")</f>
        <v>Open Location</v>
      </c>
    </row>
    <row r="1012" spans="1:40" x14ac:dyDescent="0.3">
      <c r="A1012" s="1">
        <v>46210.882638888892</v>
      </c>
      <c r="B1012" t="s">
        <v>40</v>
      </c>
      <c r="C1012" t="s">
        <v>41</v>
      </c>
      <c r="D1012" s="1">
        <v>46210.885706018518</v>
      </c>
      <c r="E1012" t="s">
        <v>42</v>
      </c>
      <c r="F1012" t="s">
        <v>43</v>
      </c>
      <c r="G1012" t="s">
        <v>43</v>
      </c>
      <c r="H1012" t="s">
        <v>43</v>
      </c>
      <c r="I1012" t="s">
        <v>330</v>
      </c>
      <c r="J1012" t="s">
        <v>43</v>
      </c>
      <c r="K1012" t="s">
        <v>43</v>
      </c>
      <c r="L1012" t="s">
        <v>43</v>
      </c>
      <c r="M1012" t="s">
        <v>43</v>
      </c>
      <c r="N1012" t="s">
        <v>45</v>
      </c>
      <c r="O1012" t="s">
        <v>43</v>
      </c>
      <c r="P1012" t="s">
        <v>43</v>
      </c>
      <c r="Q1012" t="s">
        <v>43</v>
      </c>
      <c r="R1012" t="s">
        <v>43</v>
      </c>
      <c r="S1012" t="s">
        <v>43</v>
      </c>
      <c r="T1012" t="s">
        <v>43</v>
      </c>
      <c r="U1012" t="s">
        <v>43</v>
      </c>
      <c r="V1012" t="s">
        <v>43</v>
      </c>
      <c r="W1012" t="s">
        <v>43</v>
      </c>
      <c r="X1012" t="s">
        <v>43</v>
      </c>
      <c r="Y1012" t="s">
        <v>43</v>
      </c>
      <c r="Z1012" t="s">
        <v>43</v>
      </c>
      <c r="AA1012" t="s">
        <v>43</v>
      </c>
      <c r="AB1012" t="s">
        <v>43</v>
      </c>
      <c r="AC1012" t="s">
        <v>43</v>
      </c>
      <c r="AD1012" t="s">
        <v>43</v>
      </c>
      <c r="AE1012" t="s">
        <v>43</v>
      </c>
      <c r="AF1012" t="s">
        <v>43</v>
      </c>
      <c r="AG1012" t="s">
        <v>43</v>
      </c>
      <c r="AH1012" t="s">
        <v>43</v>
      </c>
      <c r="AI1012" t="s">
        <v>43</v>
      </c>
      <c r="AJ1012" t="s">
        <v>43</v>
      </c>
      <c r="AK1012" t="s">
        <v>43</v>
      </c>
      <c r="AL1012" t="s">
        <v>43</v>
      </c>
      <c r="AM1012" t="s">
        <v>43</v>
      </c>
      <c r="AN1012" t="str">
        <f>HYPERLINK("https://www.google.com/maps?q=11.05477333,79.06083679","Open Location")</f>
        <v>Open Location</v>
      </c>
    </row>
    <row r="1013" spans="1:40" x14ac:dyDescent="0.3">
      <c r="A1013" s="1">
        <v>46210.882523148146</v>
      </c>
      <c r="B1013" t="s">
        <v>40</v>
      </c>
      <c r="C1013" t="s">
        <v>41</v>
      </c>
      <c r="D1013" s="1">
        <v>46210.885370370372</v>
      </c>
      <c r="E1013" t="s">
        <v>42</v>
      </c>
      <c r="F1013" t="s">
        <v>43</v>
      </c>
      <c r="G1013" t="s">
        <v>43</v>
      </c>
      <c r="H1013" t="s">
        <v>43</v>
      </c>
      <c r="I1013" t="s">
        <v>43</v>
      </c>
      <c r="J1013" t="s">
        <v>43</v>
      </c>
      <c r="K1013" t="s">
        <v>43</v>
      </c>
      <c r="L1013" t="s">
        <v>43</v>
      </c>
      <c r="M1013" t="s">
        <v>43</v>
      </c>
      <c r="N1013" t="s">
        <v>45</v>
      </c>
      <c r="O1013" t="s">
        <v>43</v>
      </c>
      <c r="P1013" t="s">
        <v>43</v>
      </c>
      <c r="Q1013" t="s">
        <v>43</v>
      </c>
      <c r="R1013" t="s">
        <v>43</v>
      </c>
      <c r="S1013" t="s">
        <v>43</v>
      </c>
      <c r="T1013" t="s">
        <v>43</v>
      </c>
      <c r="U1013" t="s">
        <v>43</v>
      </c>
      <c r="V1013" t="s">
        <v>43</v>
      </c>
      <c r="W1013" t="s">
        <v>43</v>
      </c>
      <c r="X1013" t="s">
        <v>43</v>
      </c>
      <c r="Y1013" t="s">
        <v>43</v>
      </c>
      <c r="Z1013" t="s">
        <v>43</v>
      </c>
      <c r="AA1013" t="s">
        <v>43</v>
      </c>
      <c r="AB1013" t="s">
        <v>43</v>
      </c>
      <c r="AC1013" t="s">
        <v>43</v>
      </c>
      <c r="AD1013" t="s">
        <v>43</v>
      </c>
      <c r="AE1013" t="s">
        <v>43</v>
      </c>
      <c r="AF1013" t="s">
        <v>43</v>
      </c>
      <c r="AG1013" t="s">
        <v>43</v>
      </c>
      <c r="AH1013" t="s">
        <v>43</v>
      </c>
      <c r="AI1013" t="s">
        <v>43</v>
      </c>
      <c r="AJ1013" t="s">
        <v>43</v>
      </c>
      <c r="AK1013" t="s">
        <v>43</v>
      </c>
      <c r="AL1013" t="s">
        <v>43</v>
      </c>
      <c r="AM1013" t="s">
        <v>43</v>
      </c>
      <c r="AN1013" t="s">
        <v>43</v>
      </c>
    </row>
    <row r="1014" spans="1:40" x14ac:dyDescent="0.3">
      <c r="A1014" s="1">
        <v>46210.882407407407</v>
      </c>
      <c r="B1014" t="s">
        <v>40</v>
      </c>
      <c r="C1014" t="s">
        <v>41</v>
      </c>
      <c r="D1014" s="1">
        <v>46210.885474537034</v>
      </c>
      <c r="E1014" t="s">
        <v>42</v>
      </c>
      <c r="F1014" t="s">
        <v>43</v>
      </c>
      <c r="G1014" t="s">
        <v>43</v>
      </c>
      <c r="H1014" t="s">
        <v>43</v>
      </c>
      <c r="I1014" t="s">
        <v>327</v>
      </c>
      <c r="J1014" t="s">
        <v>43</v>
      </c>
      <c r="K1014" t="s">
        <v>43</v>
      </c>
      <c r="L1014" t="s">
        <v>43</v>
      </c>
      <c r="M1014" t="s">
        <v>43</v>
      </c>
      <c r="N1014" t="s">
        <v>45</v>
      </c>
      <c r="O1014" t="s">
        <v>43</v>
      </c>
      <c r="P1014" t="s">
        <v>43</v>
      </c>
      <c r="Q1014" t="s">
        <v>43</v>
      </c>
      <c r="R1014" t="s">
        <v>43</v>
      </c>
      <c r="S1014" t="s">
        <v>43</v>
      </c>
      <c r="T1014" t="s">
        <v>43</v>
      </c>
      <c r="U1014" t="s">
        <v>43</v>
      </c>
      <c r="V1014" t="s">
        <v>43</v>
      </c>
      <c r="W1014" t="s">
        <v>43</v>
      </c>
      <c r="X1014" t="s">
        <v>43</v>
      </c>
      <c r="Y1014" t="s">
        <v>43</v>
      </c>
      <c r="Z1014" t="s">
        <v>43</v>
      </c>
      <c r="AA1014" t="s">
        <v>43</v>
      </c>
      <c r="AB1014" t="s">
        <v>43</v>
      </c>
      <c r="AC1014" t="s">
        <v>43</v>
      </c>
      <c r="AD1014" t="s">
        <v>43</v>
      </c>
      <c r="AE1014" t="s">
        <v>43</v>
      </c>
      <c r="AF1014" t="s">
        <v>43</v>
      </c>
      <c r="AG1014" t="s">
        <v>43</v>
      </c>
      <c r="AH1014" t="s">
        <v>43</v>
      </c>
      <c r="AI1014" t="s">
        <v>43</v>
      </c>
      <c r="AJ1014" t="s">
        <v>43</v>
      </c>
      <c r="AK1014" t="s">
        <v>43</v>
      </c>
      <c r="AL1014" t="s">
        <v>43</v>
      </c>
      <c r="AM1014" t="s">
        <v>43</v>
      </c>
      <c r="AN1014" t="str">
        <f>HYPERLINK("https://www.google.com/maps?q=11.05477142,79.06084442","Open Location")</f>
        <v>Open Location</v>
      </c>
    </row>
    <row r="1015" spans="1:40" x14ac:dyDescent="0.3">
      <c r="A1015" s="1">
        <v>46210.882291666669</v>
      </c>
      <c r="B1015" t="s">
        <v>40</v>
      </c>
      <c r="C1015" t="s">
        <v>41</v>
      </c>
      <c r="D1015" s="1">
        <v>46210.885509259257</v>
      </c>
      <c r="E1015" t="s">
        <v>42</v>
      </c>
      <c r="F1015" t="s">
        <v>43</v>
      </c>
      <c r="G1015" t="s">
        <v>43</v>
      </c>
      <c r="H1015" t="s">
        <v>43</v>
      </c>
      <c r="I1015" t="s">
        <v>290</v>
      </c>
      <c r="J1015" t="s">
        <v>43</v>
      </c>
      <c r="K1015" t="s">
        <v>43</v>
      </c>
      <c r="L1015" t="s">
        <v>43</v>
      </c>
      <c r="M1015" t="s">
        <v>43</v>
      </c>
      <c r="N1015" t="s">
        <v>45</v>
      </c>
      <c r="O1015" t="s">
        <v>43</v>
      </c>
      <c r="P1015" t="s">
        <v>43</v>
      </c>
      <c r="Q1015" t="s">
        <v>43</v>
      </c>
      <c r="R1015" t="s">
        <v>43</v>
      </c>
      <c r="S1015" t="s">
        <v>43</v>
      </c>
      <c r="T1015" t="s">
        <v>43</v>
      </c>
      <c r="U1015" t="s">
        <v>43</v>
      </c>
      <c r="V1015" t="s">
        <v>43</v>
      </c>
      <c r="W1015" t="s">
        <v>43</v>
      </c>
      <c r="X1015" t="s">
        <v>43</v>
      </c>
      <c r="Y1015" t="s">
        <v>43</v>
      </c>
      <c r="Z1015" t="s">
        <v>43</v>
      </c>
      <c r="AA1015" t="s">
        <v>43</v>
      </c>
      <c r="AB1015" t="s">
        <v>43</v>
      </c>
      <c r="AC1015" t="s">
        <v>43</v>
      </c>
      <c r="AD1015" t="s">
        <v>43</v>
      </c>
      <c r="AE1015" t="s">
        <v>43</v>
      </c>
      <c r="AF1015" t="s">
        <v>43</v>
      </c>
      <c r="AG1015" t="s">
        <v>43</v>
      </c>
      <c r="AH1015" t="s">
        <v>43</v>
      </c>
      <c r="AI1015" t="s">
        <v>43</v>
      </c>
      <c r="AJ1015" t="s">
        <v>43</v>
      </c>
      <c r="AK1015" t="s">
        <v>43</v>
      </c>
      <c r="AL1015" t="s">
        <v>43</v>
      </c>
      <c r="AM1015" t="s">
        <v>43</v>
      </c>
      <c r="AN1015" t="str">
        <f>HYPERLINK("https://www.google.com/maps?q=11.05477333,79.06084442","Open Location")</f>
        <v>Open Location</v>
      </c>
    </row>
    <row r="1016" spans="1:40" x14ac:dyDescent="0.3">
      <c r="A1016" s="1">
        <v>46210.882175925923</v>
      </c>
      <c r="B1016" t="s">
        <v>40</v>
      </c>
      <c r="C1016" t="s">
        <v>41</v>
      </c>
      <c r="D1016" s="1">
        <v>46210.885370370372</v>
      </c>
      <c r="E1016" t="s">
        <v>42</v>
      </c>
      <c r="F1016" t="s">
        <v>43</v>
      </c>
      <c r="G1016" t="s">
        <v>43</v>
      </c>
      <c r="H1016" t="s">
        <v>43</v>
      </c>
      <c r="I1016" t="s">
        <v>328</v>
      </c>
      <c r="J1016" t="s">
        <v>43</v>
      </c>
      <c r="K1016" t="s">
        <v>43</v>
      </c>
      <c r="L1016" t="s">
        <v>43</v>
      </c>
      <c r="M1016" t="s">
        <v>43</v>
      </c>
      <c r="N1016" t="s">
        <v>45</v>
      </c>
      <c r="O1016" t="s">
        <v>43</v>
      </c>
      <c r="P1016" t="s">
        <v>43</v>
      </c>
      <c r="Q1016" t="s">
        <v>43</v>
      </c>
      <c r="R1016" t="s">
        <v>43</v>
      </c>
      <c r="S1016" t="s">
        <v>43</v>
      </c>
      <c r="T1016" t="s">
        <v>43</v>
      </c>
      <c r="U1016" t="s">
        <v>43</v>
      </c>
      <c r="V1016" t="s">
        <v>43</v>
      </c>
      <c r="W1016" t="s">
        <v>43</v>
      </c>
      <c r="X1016" t="s">
        <v>43</v>
      </c>
      <c r="Y1016" t="s">
        <v>43</v>
      </c>
      <c r="Z1016" t="s">
        <v>43</v>
      </c>
      <c r="AA1016" t="s">
        <v>43</v>
      </c>
      <c r="AB1016" t="s">
        <v>43</v>
      </c>
      <c r="AC1016" t="s">
        <v>43</v>
      </c>
      <c r="AD1016" t="s">
        <v>43</v>
      </c>
      <c r="AE1016" t="s">
        <v>43</v>
      </c>
      <c r="AF1016" t="s">
        <v>43</v>
      </c>
      <c r="AG1016" t="s">
        <v>43</v>
      </c>
      <c r="AH1016" t="s">
        <v>43</v>
      </c>
      <c r="AI1016" t="s">
        <v>43</v>
      </c>
      <c r="AJ1016" t="s">
        <v>43</v>
      </c>
      <c r="AK1016" t="s">
        <v>43</v>
      </c>
      <c r="AL1016" t="s">
        <v>43</v>
      </c>
      <c r="AM1016" t="s">
        <v>43</v>
      </c>
      <c r="AN1016" t="str">
        <f>HYPERLINK("https://www.google.com/maps?q=11.05477238,79.06084442","Open Location")</f>
        <v>Open Location</v>
      </c>
    </row>
    <row r="1017" spans="1:40" x14ac:dyDescent="0.3">
      <c r="A1017" s="1">
        <v>46210.882060185184</v>
      </c>
      <c r="B1017" t="s">
        <v>40</v>
      </c>
      <c r="C1017" t="s">
        <v>41</v>
      </c>
      <c r="D1017" s="1">
        <v>46210.885115740741</v>
      </c>
      <c r="E1017" t="s">
        <v>42</v>
      </c>
      <c r="F1017" t="s">
        <v>43</v>
      </c>
      <c r="G1017" t="s">
        <v>43</v>
      </c>
      <c r="H1017" t="s">
        <v>43</v>
      </c>
      <c r="I1017" t="s">
        <v>325</v>
      </c>
      <c r="J1017" t="s">
        <v>43</v>
      </c>
      <c r="K1017" t="s">
        <v>43</v>
      </c>
      <c r="L1017" t="s">
        <v>43</v>
      </c>
      <c r="M1017" t="s">
        <v>43</v>
      </c>
      <c r="N1017" t="s">
        <v>45</v>
      </c>
      <c r="O1017" t="s">
        <v>43</v>
      </c>
      <c r="P1017" t="s">
        <v>43</v>
      </c>
      <c r="Q1017" t="s">
        <v>43</v>
      </c>
      <c r="R1017" t="s">
        <v>43</v>
      </c>
      <c r="S1017" t="s">
        <v>43</v>
      </c>
      <c r="T1017" t="s">
        <v>43</v>
      </c>
      <c r="U1017" t="s">
        <v>43</v>
      </c>
      <c r="V1017" t="s">
        <v>43</v>
      </c>
      <c r="W1017" t="s">
        <v>43</v>
      </c>
      <c r="X1017" t="s">
        <v>43</v>
      </c>
      <c r="Y1017" t="s">
        <v>43</v>
      </c>
      <c r="Z1017" t="s">
        <v>43</v>
      </c>
      <c r="AA1017" t="s">
        <v>43</v>
      </c>
      <c r="AB1017" t="s">
        <v>43</v>
      </c>
      <c r="AC1017" t="s">
        <v>43</v>
      </c>
      <c r="AD1017" t="s">
        <v>43</v>
      </c>
      <c r="AE1017" t="s">
        <v>43</v>
      </c>
      <c r="AF1017" t="s">
        <v>43</v>
      </c>
      <c r="AG1017" t="s">
        <v>43</v>
      </c>
      <c r="AH1017" t="s">
        <v>43</v>
      </c>
      <c r="AI1017" t="s">
        <v>43</v>
      </c>
      <c r="AJ1017" t="s">
        <v>43</v>
      </c>
      <c r="AK1017" t="s">
        <v>43</v>
      </c>
      <c r="AL1017" t="s">
        <v>43</v>
      </c>
      <c r="AM1017" t="s">
        <v>43</v>
      </c>
      <c r="AN1017" t="str">
        <f>HYPERLINK("https://www.google.com/maps?q=11.05477428,79.06083679","Open Location")</f>
        <v>Open Location</v>
      </c>
    </row>
    <row r="1018" spans="1:40" x14ac:dyDescent="0.3">
      <c r="A1018" s="1">
        <v>46210.881944444445</v>
      </c>
      <c r="B1018" t="s">
        <v>40</v>
      </c>
      <c r="C1018" t="s">
        <v>41</v>
      </c>
      <c r="D1018" s="1">
        <v>46210.885243055556</v>
      </c>
      <c r="E1018" t="s">
        <v>42</v>
      </c>
      <c r="F1018" t="s">
        <v>43</v>
      </c>
      <c r="G1018" t="s">
        <v>43</v>
      </c>
      <c r="H1018" t="s">
        <v>43</v>
      </c>
      <c r="I1018" t="s">
        <v>312</v>
      </c>
      <c r="J1018" t="s">
        <v>43</v>
      </c>
      <c r="K1018" t="s">
        <v>43</v>
      </c>
      <c r="L1018" t="s">
        <v>43</v>
      </c>
      <c r="M1018" t="s">
        <v>43</v>
      </c>
      <c r="N1018" t="s">
        <v>45</v>
      </c>
      <c r="O1018" t="s">
        <v>43</v>
      </c>
      <c r="P1018" t="s">
        <v>43</v>
      </c>
      <c r="Q1018" t="s">
        <v>43</v>
      </c>
      <c r="R1018" t="s">
        <v>43</v>
      </c>
      <c r="S1018" t="s">
        <v>43</v>
      </c>
      <c r="T1018" t="s">
        <v>43</v>
      </c>
      <c r="U1018" t="s">
        <v>43</v>
      </c>
      <c r="V1018" t="s">
        <v>43</v>
      </c>
      <c r="W1018" t="s">
        <v>43</v>
      </c>
      <c r="X1018" t="s">
        <v>43</v>
      </c>
      <c r="Y1018" t="s">
        <v>43</v>
      </c>
      <c r="Z1018" t="s">
        <v>43</v>
      </c>
      <c r="AA1018" t="s">
        <v>43</v>
      </c>
      <c r="AB1018" t="s">
        <v>43</v>
      </c>
      <c r="AC1018" t="s">
        <v>43</v>
      </c>
      <c r="AD1018" t="s">
        <v>43</v>
      </c>
      <c r="AE1018" t="s">
        <v>43</v>
      </c>
      <c r="AF1018" t="s">
        <v>43</v>
      </c>
      <c r="AG1018" t="s">
        <v>43</v>
      </c>
      <c r="AH1018" t="s">
        <v>43</v>
      </c>
      <c r="AI1018" t="s">
        <v>43</v>
      </c>
      <c r="AJ1018" t="s">
        <v>43</v>
      </c>
      <c r="AK1018" t="s">
        <v>43</v>
      </c>
      <c r="AL1018" t="s">
        <v>43</v>
      </c>
      <c r="AM1018" t="s">
        <v>43</v>
      </c>
      <c r="AN1018" t="str">
        <f>HYPERLINK("https://www.google.com/maps?q=11.05477524,79.06083679","Open Location")</f>
        <v>Open Location</v>
      </c>
    </row>
    <row r="1019" spans="1:40" x14ac:dyDescent="0.3">
      <c r="A1019" s="1">
        <v>46210.881828703707</v>
      </c>
      <c r="B1019" t="s">
        <v>40</v>
      </c>
      <c r="C1019" t="s">
        <v>41</v>
      </c>
      <c r="D1019" s="1">
        <v>46210.885081018518</v>
      </c>
      <c r="E1019" t="s">
        <v>42</v>
      </c>
      <c r="F1019" t="s">
        <v>43</v>
      </c>
      <c r="G1019" t="s">
        <v>43</v>
      </c>
      <c r="H1019" t="s">
        <v>43</v>
      </c>
      <c r="I1019" t="s">
        <v>43</v>
      </c>
      <c r="J1019" t="s">
        <v>43</v>
      </c>
      <c r="K1019" t="s">
        <v>43</v>
      </c>
      <c r="L1019" t="s">
        <v>43</v>
      </c>
      <c r="M1019" t="s">
        <v>43</v>
      </c>
      <c r="N1019" t="s">
        <v>45</v>
      </c>
      <c r="O1019" t="s">
        <v>43</v>
      </c>
      <c r="P1019" t="s">
        <v>43</v>
      </c>
      <c r="Q1019" t="s">
        <v>43</v>
      </c>
      <c r="R1019" t="s">
        <v>43</v>
      </c>
      <c r="S1019" t="s">
        <v>43</v>
      </c>
      <c r="T1019" t="s">
        <v>43</v>
      </c>
      <c r="U1019" t="s">
        <v>43</v>
      </c>
      <c r="V1019" t="s">
        <v>43</v>
      </c>
      <c r="W1019" t="s">
        <v>43</v>
      </c>
      <c r="X1019" t="s">
        <v>43</v>
      </c>
      <c r="Y1019" t="s">
        <v>43</v>
      </c>
      <c r="Z1019" t="s">
        <v>43</v>
      </c>
      <c r="AA1019" t="s">
        <v>43</v>
      </c>
      <c r="AB1019" t="s">
        <v>43</v>
      </c>
      <c r="AC1019" t="s">
        <v>43</v>
      </c>
      <c r="AD1019" t="s">
        <v>43</v>
      </c>
      <c r="AE1019" t="s">
        <v>43</v>
      </c>
      <c r="AF1019" t="s">
        <v>43</v>
      </c>
      <c r="AG1019" t="s">
        <v>43</v>
      </c>
      <c r="AH1019" t="s">
        <v>43</v>
      </c>
      <c r="AI1019" t="s">
        <v>43</v>
      </c>
      <c r="AJ1019" t="s">
        <v>43</v>
      </c>
      <c r="AK1019" t="s">
        <v>43</v>
      </c>
      <c r="AL1019" t="s">
        <v>43</v>
      </c>
      <c r="AM1019" t="s">
        <v>43</v>
      </c>
      <c r="AN1019" t="s">
        <v>43</v>
      </c>
    </row>
    <row r="1020" spans="1:40" x14ac:dyDescent="0.3">
      <c r="A1020" s="1">
        <v>46210.881712962961</v>
      </c>
      <c r="B1020" t="s">
        <v>40</v>
      </c>
      <c r="C1020" t="s">
        <v>41</v>
      </c>
      <c r="D1020" s="1">
        <v>46210.885057870371</v>
      </c>
      <c r="E1020" t="s">
        <v>42</v>
      </c>
      <c r="F1020" t="s">
        <v>43</v>
      </c>
      <c r="G1020" t="s">
        <v>43</v>
      </c>
      <c r="H1020" t="s">
        <v>43</v>
      </c>
      <c r="I1020" t="s">
        <v>435</v>
      </c>
      <c r="J1020" t="s">
        <v>43</v>
      </c>
      <c r="K1020" t="s">
        <v>43</v>
      </c>
      <c r="L1020" t="s">
        <v>43</v>
      </c>
      <c r="M1020" t="s">
        <v>43</v>
      </c>
      <c r="N1020" t="s">
        <v>45</v>
      </c>
      <c r="O1020" t="s">
        <v>43</v>
      </c>
      <c r="P1020" t="s">
        <v>43</v>
      </c>
      <c r="Q1020" t="s">
        <v>43</v>
      </c>
      <c r="R1020" t="s">
        <v>43</v>
      </c>
      <c r="S1020" t="s">
        <v>43</v>
      </c>
      <c r="T1020" t="s">
        <v>43</v>
      </c>
      <c r="U1020" t="s">
        <v>43</v>
      </c>
      <c r="V1020" t="s">
        <v>43</v>
      </c>
      <c r="W1020" t="s">
        <v>43</v>
      </c>
      <c r="X1020" t="s">
        <v>43</v>
      </c>
      <c r="Y1020" t="s">
        <v>43</v>
      </c>
      <c r="Z1020" t="s">
        <v>43</v>
      </c>
      <c r="AA1020" t="s">
        <v>43</v>
      </c>
      <c r="AB1020" t="s">
        <v>43</v>
      </c>
      <c r="AC1020" t="s">
        <v>43</v>
      </c>
      <c r="AD1020" t="s">
        <v>43</v>
      </c>
      <c r="AE1020" t="s">
        <v>43</v>
      </c>
      <c r="AF1020" t="s">
        <v>43</v>
      </c>
      <c r="AG1020" t="s">
        <v>43</v>
      </c>
      <c r="AH1020" t="s">
        <v>43</v>
      </c>
      <c r="AI1020" t="s">
        <v>43</v>
      </c>
      <c r="AJ1020" t="s">
        <v>43</v>
      </c>
      <c r="AK1020" t="s">
        <v>43</v>
      </c>
      <c r="AL1020" t="s">
        <v>43</v>
      </c>
      <c r="AM1020" t="s">
        <v>43</v>
      </c>
      <c r="AN1020" t="str">
        <f>HYPERLINK("https://www.google.com/maps?q=11.05477524,79.06082916","Open Location")</f>
        <v>Open Location</v>
      </c>
    </row>
    <row r="1021" spans="1:40" x14ac:dyDescent="0.3">
      <c r="A1021" s="1">
        <v>46210.881597222222</v>
      </c>
      <c r="B1021" t="s">
        <v>40</v>
      </c>
      <c r="C1021" t="s">
        <v>41</v>
      </c>
      <c r="D1021" s="1">
        <v>46210.88453703704</v>
      </c>
      <c r="E1021" t="s">
        <v>42</v>
      </c>
      <c r="F1021" t="s">
        <v>43</v>
      </c>
      <c r="G1021" t="s">
        <v>43</v>
      </c>
      <c r="H1021" t="s">
        <v>43</v>
      </c>
      <c r="I1021" t="s">
        <v>321</v>
      </c>
      <c r="J1021" t="s">
        <v>43</v>
      </c>
      <c r="K1021" t="s">
        <v>43</v>
      </c>
      <c r="L1021" t="s">
        <v>43</v>
      </c>
      <c r="M1021" t="s">
        <v>43</v>
      </c>
      <c r="N1021" t="s">
        <v>45</v>
      </c>
      <c r="O1021" t="s">
        <v>43</v>
      </c>
      <c r="P1021" t="s">
        <v>43</v>
      </c>
      <c r="Q1021" t="s">
        <v>43</v>
      </c>
      <c r="R1021" t="s">
        <v>43</v>
      </c>
      <c r="S1021" t="s">
        <v>43</v>
      </c>
      <c r="T1021" t="s">
        <v>43</v>
      </c>
      <c r="U1021" t="s">
        <v>43</v>
      </c>
      <c r="V1021" t="s">
        <v>43</v>
      </c>
      <c r="W1021" t="s">
        <v>43</v>
      </c>
      <c r="X1021" t="s">
        <v>43</v>
      </c>
      <c r="Y1021" t="s">
        <v>43</v>
      </c>
      <c r="Z1021" t="s">
        <v>43</v>
      </c>
      <c r="AA1021" t="s">
        <v>43</v>
      </c>
      <c r="AB1021" t="s">
        <v>43</v>
      </c>
      <c r="AC1021" t="s">
        <v>43</v>
      </c>
      <c r="AD1021" t="s">
        <v>43</v>
      </c>
      <c r="AE1021" t="s">
        <v>43</v>
      </c>
      <c r="AF1021" t="s">
        <v>43</v>
      </c>
      <c r="AG1021" t="s">
        <v>43</v>
      </c>
      <c r="AH1021" t="s">
        <v>43</v>
      </c>
      <c r="AI1021" t="s">
        <v>43</v>
      </c>
      <c r="AJ1021" t="s">
        <v>43</v>
      </c>
      <c r="AK1021" t="s">
        <v>43</v>
      </c>
      <c r="AL1021" t="s">
        <v>43</v>
      </c>
      <c r="AM1021" t="s">
        <v>43</v>
      </c>
      <c r="AN1021" t="str">
        <f>HYPERLINK("https://www.google.com/maps?q=11.05477715,79.06084442","Open Location")</f>
        <v>Open Location</v>
      </c>
    </row>
    <row r="1022" spans="1:40" x14ac:dyDescent="0.3">
      <c r="A1022" s="1">
        <v>46210.881481481483</v>
      </c>
      <c r="B1022" t="s">
        <v>40</v>
      </c>
      <c r="C1022" t="s">
        <v>41</v>
      </c>
      <c r="D1022" s="1">
        <v>46210.884641203702</v>
      </c>
      <c r="E1022" t="s">
        <v>42</v>
      </c>
      <c r="F1022" t="s">
        <v>43</v>
      </c>
      <c r="G1022" t="s">
        <v>43</v>
      </c>
      <c r="H1022" t="s">
        <v>43</v>
      </c>
      <c r="I1022" t="s">
        <v>436</v>
      </c>
      <c r="J1022" t="s">
        <v>43</v>
      </c>
      <c r="K1022" t="s">
        <v>43</v>
      </c>
      <c r="L1022" t="s">
        <v>43</v>
      </c>
      <c r="M1022" t="s">
        <v>43</v>
      </c>
      <c r="N1022" t="s">
        <v>45</v>
      </c>
      <c r="O1022" t="s">
        <v>43</v>
      </c>
      <c r="P1022" t="s">
        <v>43</v>
      </c>
      <c r="Q1022" t="s">
        <v>43</v>
      </c>
      <c r="R1022" t="s">
        <v>43</v>
      </c>
      <c r="S1022" t="s">
        <v>43</v>
      </c>
      <c r="T1022" t="s">
        <v>43</v>
      </c>
      <c r="U1022" t="s">
        <v>43</v>
      </c>
      <c r="V1022" t="s">
        <v>43</v>
      </c>
      <c r="W1022" t="s">
        <v>43</v>
      </c>
      <c r="X1022" t="s">
        <v>43</v>
      </c>
      <c r="Y1022" t="s">
        <v>43</v>
      </c>
      <c r="Z1022" t="s">
        <v>43</v>
      </c>
      <c r="AA1022" t="s">
        <v>43</v>
      </c>
      <c r="AB1022" t="s">
        <v>43</v>
      </c>
      <c r="AC1022" t="s">
        <v>43</v>
      </c>
      <c r="AD1022" t="s">
        <v>43</v>
      </c>
      <c r="AE1022" t="s">
        <v>43</v>
      </c>
      <c r="AF1022" t="s">
        <v>43</v>
      </c>
      <c r="AG1022" t="s">
        <v>43</v>
      </c>
      <c r="AH1022" t="s">
        <v>43</v>
      </c>
      <c r="AI1022" t="s">
        <v>43</v>
      </c>
      <c r="AJ1022" t="s">
        <v>43</v>
      </c>
      <c r="AK1022" t="s">
        <v>43</v>
      </c>
      <c r="AL1022" t="s">
        <v>43</v>
      </c>
      <c r="AM1022" t="s">
        <v>43</v>
      </c>
      <c r="AN1022" t="str">
        <f>HYPERLINK("https://www.google.com/maps?q=11.05477428,79.06084442","Open Location")</f>
        <v>Open Location</v>
      </c>
    </row>
    <row r="1023" spans="1:40" x14ac:dyDescent="0.3">
      <c r="A1023" s="1">
        <v>46210.881365740737</v>
      </c>
      <c r="B1023" t="s">
        <v>40</v>
      </c>
      <c r="C1023" t="s">
        <v>41</v>
      </c>
      <c r="D1023" s="1">
        <v>46210.884293981479</v>
      </c>
      <c r="E1023" t="s">
        <v>42</v>
      </c>
      <c r="F1023" t="s">
        <v>43</v>
      </c>
      <c r="G1023" t="s">
        <v>43</v>
      </c>
      <c r="H1023" t="s">
        <v>43</v>
      </c>
      <c r="I1023" t="s">
        <v>290</v>
      </c>
      <c r="J1023" t="s">
        <v>43</v>
      </c>
      <c r="K1023" t="s">
        <v>43</v>
      </c>
      <c r="L1023" t="s">
        <v>43</v>
      </c>
      <c r="M1023" t="s">
        <v>43</v>
      </c>
      <c r="N1023" t="s">
        <v>45</v>
      </c>
      <c r="O1023" t="s">
        <v>43</v>
      </c>
      <c r="P1023" t="s">
        <v>43</v>
      </c>
      <c r="Q1023" t="s">
        <v>43</v>
      </c>
      <c r="R1023" t="s">
        <v>43</v>
      </c>
      <c r="S1023" t="s">
        <v>43</v>
      </c>
      <c r="T1023" t="s">
        <v>43</v>
      </c>
      <c r="U1023" t="s">
        <v>43</v>
      </c>
      <c r="V1023" t="s">
        <v>43</v>
      </c>
      <c r="W1023" t="s">
        <v>43</v>
      </c>
      <c r="X1023" t="s">
        <v>43</v>
      </c>
      <c r="Y1023" t="s">
        <v>43</v>
      </c>
      <c r="Z1023" t="s">
        <v>43</v>
      </c>
      <c r="AA1023" t="s">
        <v>43</v>
      </c>
      <c r="AB1023" t="s">
        <v>43</v>
      </c>
      <c r="AC1023" t="s">
        <v>43</v>
      </c>
      <c r="AD1023" t="s">
        <v>43</v>
      </c>
      <c r="AE1023" t="s">
        <v>43</v>
      </c>
      <c r="AF1023" t="s">
        <v>43</v>
      </c>
      <c r="AG1023" t="s">
        <v>43</v>
      </c>
      <c r="AH1023" t="s">
        <v>43</v>
      </c>
      <c r="AI1023" t="s">
        <v>43</v>
      </c>
      <c r="AJ1023" t="s">
        <v>43</v>
      </c>
      <c r="AK1023" t="s">
        <v>43</v>
      </c>
      <c r="AL1023" t="s">
        <v>43</v>
      </c>
      <c r="AM1023" t="s">
        <v>43</v>
      </c>
      <c r="AN1023" t="str">
        <f>HYPERLINK("https://www.google.com/maps?q=11.05477333,79.06084442","Open Location")</f>
        <v>Open Location</v>
      </c>
    </row>
    <row r="1024" spans="1:40" x14ac:dyDescent="0.3">
      <c r="A1024" s="1">
        <v>46210.881249999999</v>
      </c>
      <c r="B1024" t="s">
        <v>40</v>
      </c>
      <c r="C1024" t="s">
        <v>41</v>
      </c>
      <c r="D1024" s="1">
        <v>46210.884305555555</v>
      </c>
      <c r="E1024" t="s">
        <v>42</v>
      </c>
      <c r="F1024" t="s">
        <v>43</v>
      </c>
      <c r="G1024" t="s">
        <v>43</v>
      </c>
      <c r="H1024" t="s">
        <v>43</v>
      </c>
      <c r="I1024" t="s">
        <v>43</v>
      </c>
      <c r="J1024" t="s">
        <v>43</v>
      </c>
      <c r="K1024" t="s">
        <v>43</v>
      </c>
      <c r="L1024" t="s">
        <v>43</v>
      </c>
      <c r="M1024" t="s">
        <v>43</v>
      </c>
      <c r="N1024" t="s">
        <v>45</v>
      </c>
      <c r="O1024" t="s">
        <v>43</v>
      </c>
      <c r="P1024" t="s">
        <v>43</v>
      </c>
      <c r="Q1024" t="s">
        <v>43</v>
      </c>
      <c r="R1024" t="s">
        <v>43</v>
      </c>
      <c r="S1024" t="s">
        <v>43</v>
      </c>
      <c r="T1024" t="s">
        <v>43</v>
      </c>
      <c r="U1024" t="s">
        <v>43</v>
      </c>
      <c r="V1024" t="s">
        <v>43</v>
      </c>
      <c r="W1024" t="s">
        <v>43</v>
      </c>
      <c r="X1024" t="s">
        <v>43</v>
      </c>
      <c r="Y1024" t="s">
        <v>43</v>
      </c>
      <c r="Z1024" t="s">
        <v>43</v>
      </c>
      <c r="AA1024" t="s">
        <v>43</v>
      </c>
      <c r="AB1024" t="s">
        <v>43</v>
      </c>
      <c r="AC1024" t="s">
        <v>43</v>
      </c>
      <c r="AD1024" t="s">
        <v>43</v>
      </c>
      <c r="AE1024" t="s">
        <v>43</v>
      </c>
      <c r="AF1024" t="s">
        <v>43</v>
      </c>
      <c r="AG1024" t="s">
        <v>43</v>
      </c>
      <c r="AH1024" t="s">
        <v>43</v>
      </c>
      <c r="AI1024" t="s">
        <v>43</v>
      </c>
      <c r="AJ1024" t="s">
        <v>43</v>
      </c>
      <c r="AK1024" t="s">
        <v>43</v>
      </c>
      <c r="AL1024" t="s">
        <v>43</v>
      </c>
      <c r="AM1024" t="s">
        <v>43</v>
      </c>
      <c r="AN1024" t="s">
        <v>43</v>
      </c>
    </row>
    <row r="1025" spans="1:40" x14ac:dyDescent="0.3">
      <c r="A1025" s="1">
        <v>46210.88113425926</v>
      </c>
      <c r="B1025" t="s">
        <v>40</v>
      </c>
      <c r="C1025" t="s">
        <v>41</v>
      </c>
      <c r="D1025" s="1">
        <v>46210.884062500001</v>
      </c>
      <c r="E1025" t="s">
        <v>42</v>
      </c>
      <c r="F1025" t="s">
        <v>43</v>
      </c>
      <c r="G1025" t="s">
        <v>43</v>
      </c>
      <c r="H1025" t="s">
        <v>43</v>
      </c>
      <c r="I1025" t="s">
        <v>323</v>
      </c>
      <c r="J1025" t="s">
        <v>43</v>
      </c>
      <c r="K1025" t="s">
        <v>43</v>
      </c>
      <c r="L1025" t="s">
        <v>43</v>
      </c>
      <c r="M1025" t="s">
        <v>43</v>
      </c>
      <c r="N1025" t="s">
        <v>45</v>
      </c>
      <c r="O1025" t="s">
        <v>43</v>
      </c>
      <c r="P1025" t="s">
        <v>43</v>
      </c>
      <c r="Q1025" t="s">
        <v>43</v>
      </c>
      <c r="R1025" t="s">
        <v>43</v>
      </c>
      <c r="S1025" t="s">
        <v>43</v>
      </c>
      <c r="T1025" t="s">
        <v>43</v>
      </c>
      <c r="U1025" t="s">
        <v>43</v>
      </c>
      <c r="V1025" t="s">
        <v>43</v>
      </c>
      <c r="W1025" t="s">
        <v>43</v>
      </c>
      <c r="X1025" t="s">
        <v>43</v>
      </c>
      <c r="Y1025" t="s">
        <v>43</v>
      </c>
      <c r="Z1025" t="s">
        <v>43</v>
      </c>
      <c r="AA1025" t="s">
        <v>43</v>
      </c>
      <c r="AB1025" t="s">
        <v>43</v>
      </c>
      <c r="AC1025" t="s">
        <v>43</v>
      </c>
      <c r="AD1025" t="s">
        <v>43</v>
      </c>
      <c r="AE1025" t="s">
        <v>43</v>
      </c>
      <c r="AF1025" t="s">
        <v>43</v>
      </c>
      <c r="AG1025" t="s">
        <v>43</v>
      </c>
      <c r="AH1025" t="s">
        <v>43</v>
      </c>
      <c r="AI1025" t="s">
        <v>43</v>
      </c>
      <c r="AJ1025" t="s">
        <v>43</v>
      </c>
      <c r="AK1025" t="s">
        <v>43</v>
      </c>
      <c r="AL1025" t="s">
        <v>43</v>
      </c>
      <c r="AM1025" t="s">
        <v>43</v>
      </c>
      <c r="AN1025" t="str">
        <f>HYPERLINK("https://www.google.com/maps?q=11.05477524,79.06084442","Open Location")</f>
        <v>Open Location</v>
      </c>
    </row>
    <row r="1026" spans="1:40" x14ac:dyDescent="0.3">
      <c r="A1026" s="1">
        <v>46210.881018518521</v>
      </c>
      <c r="B1026" t="s">
        <v>40</v>
      </c>
      <c r="C1026" t="s">
        <v>41</v>
      </c>
      <c r="D1026" s="1">
        <v>46210.884027777778</v>
      </c>
      <c r="E1026" t="s">
        <v>42</v>
      </c>
      <c r="F1026" t="s">
        <v>43</v>
      </c>
      <c r="G1026" t="s">
        <v>43</v>
      </c>
      <c r="H1026" t="s">
        <v>43</v>
      </c>
      <c r="I1026" t="s">
        <v>436</v>
      </c>
      <c r="J1026" t="s">
        <v>43</v>
      </c>
      <c r="K1026" t="s">
        <v>43</v>
      </c>
      <c r="L1026" t="s">
        <v>43</v>
      </c>
      <c r="M1026" t="s">
        <v>43</v>
      </c>
      <c r="N1026" t="s">
        <v>45</v>
      </c>
      <c r="O1026" t="s">
        <v>43</v>
      </c>
      <c r="P1026" t="s">
        <v>43</v>
      </c>
      <c r="Q1026" t="s">
        <v>43</v>
      </c>
      <c r="R1026" t="s">
        <v>43</v>
      </c>
      <c r="S1026" t="s">
        <v>43</v>
      </c>
      <c r="T1026" t="s">
        <v>43</v>
      </c>
      <c r="U1026" t="s">
        <v>43</v>
      </c>
      <c r="V1026" t="s">
        <v>43</v>
      </c>
      <c r="W1026" t="s">
        <v>43</v>
      </c>
      <c r="X1026" t="s">
        <v>43</v>
      </c>
      <c r="Y1026" t="s">
        <v>43</v>
      </c>
      <c r="Z1026" t="s">
        <v>43</v>
      </c>
      <c r="AA1026" t="s">
        <v>43</v>
      </c>
      <c r="AB1026" t="s">
        <v>43</v>
      </c>
      <c r="AC1026" t="s">
        <v>43</v>
      </c>
      <c r="AD1026" t="s">
        <v>43</v>
      </c>
      <c r="AE1026" t="s">
        <v>43</v>
      </c>
      <c r="AF1026" t="s">
        <v>43</v>
      </c>
      <c r="AG1026" t="s">
        <v>43</v>
      </c>
      <c r="AH1026" t="s">
        <v>43</v>
      </c>
      <c r="AI1026" t="s">
        <v>43</v>
      </c>
      <c r="AJ1026" t="s">
        <v>43</v>
      </c>
      <c r="AK1026" t="s">
        <v>43</v>
      </c>
      <c r="AL1026" t="s">
        <v>43</v>
      </c>
      <c r="AM1026" t="s">
        <v>43</v>
      </c>
      <c r="AN1026" t="str">
        <f>HYPERLINK("https://www.google.com/maps?q=11.05477428,79.06084442","Open Location")</f>
        <v>Open Location</v>
      </c>
    </row>
    <row r="1027" spans="1:40" x14ac:dyDescent="0.3">
      <c r="A1027" s="1">
        <v>46210.880902777775</v>
      </c>
      <c r="B1027" t="s">
        <v>40</v>
      </c>
      <c r="C1027" t="s">
        <v>41</v>
      </c>
      <c r="D1027" s="1">
        <v>46210.88417824074</v>
      </c>
      <c r="E1027" t="s">
        <v>42</v>
      </c>
      <c r="F1027" t="s">
        <v>43</v>
      </c>
      <c r="G1027" t="s">
        <v>43</v>
      </c>
      <c r="H1027" t="s">
        <v>43</v>
      </c>
      <c r="I1027" t="s">
        <v>323</v>
      </c>
      <c r="J1027" t="s">
        <v>43</v>
      </c>
      <c r="K1027" t="s">
        <v>43</v>
      </c>
      <c r="L1027" t="s">
        <v>43</v>
      </c>
      <c r="M1027" t="s">
        <v>43</v>
      </c>
      <c r="N1027" t="s">
        <v>45</v>
      </c>
      <c r="O1027" t="s">
        <v>43</v>
      </c>
      <c r="P1027" t="s">
        <v>43</v>
      </c>
      <c r="Q1027" t="s">
        <v>43</v>
      </c>
      <c r="R1027" t="s">
        <v>43</v>
      </c>
      <c r="S1027" t="s">
        <v>43</v>
      </c>
      <c r="T1027" t="s">
        <v>43</v>
      </c>
      <c r="U1027" t="s">
        <v>43</v>
      </c>
      <c r="V1027" t="s">
        <v>43</v>
      </c>
      <c r="W1027" t="s">
        <v>43</v>
      </c>
      <c r="X1027" t="s">
        <v>43</v>
      </c>
      <c r="Y1027" t="s">
        <v>43</v>
      </c>
      <c r="Z1027" t="s">
        <v>43</v>
      </c>
      <c r="AA1027" t="s">
        <v>43</v>
      </c>
      <c r="AB1027" t="s">
        <v>43</v>
      </c>
      <c r="AC1027" t="s">
        <v>43</v>
      </c>
      <c r="AD1027" t="s">
        <v>43</v>
      </c>
      <c r="AE1027" t="s">
        <v>43</v>
      </c>
      <c r="AF1027" t="s">
        <v>43</v>
      </c>
      <c r="AG1027" t="s">
        <v>43</v>
      </c>
      <c r="AH1027" t="s">
        <v>43</v>
      </c>
      <c r="AI1027" t="s">
        <v>43</v>
      </c>
      <c r="AJ1027" t="s">
        <v>43</v>
      </c>
      <c r="AK1027" t="s">
        <v>43</v>
      </c>
      <c r="AL1027" t="s">
        <v>43</v>
      </c>
      <c r="AM1027" t="s">
        <v>43</v>
      </c>
      <c r="AN1027" t="str">
        <f>HYPERLINK("https://www.google.com/maps?q=11.05477524,79.06084442","Open Location")</f>
        <v>Open Location</v>
      </c>
    </row>
    <row r="1028" spans="1:40" x14ac:dyDescent="0.3">
      <c r="A1028" s="1">
        <v>46210.880787037036</v>
      </c>
      <c r="B1028" t="s">
        <v>40</v>
      </c>
      <c r="C1028" t="s">
        <v>41</v>
      </c>
      <c r="D1028" s="1">
        <v>46210.883611111109</v>
      </c>
      <c r="E1028" t="s">
        <v>42</v>
      </c>
      <c r="F1028" t="s">
        <v>43</v>
      </c>
      <c r="G1028" t="s">
        <v>43</v>
      </c>
      <c r="H1028" t="s">
        <v>43</v>
      </c>
      <c r="I1028" t="s">
        <v>436</v>
      </c>
      <c r="J1028" t="s">
        <v>43</v>
      </c>
      <c r="K1028" t="s">
        <v>43</v>
      </c>
      <c r="L1028" t="s">
        <v>43</v>
      </c>
      <c r="M1028" t="s">
        <v>43</v>
      </c>
      <c r="N1028" t="s">
        <v>45</v>
      </c>
      <c r="O1028" t="s">
        <v>43</v>
      </c>
      <c r="P1028" t="s">
        <v>43</v>
      </c>
      <c r="Q1028" t="s">
        <v>43</v>
      </c>
      <c r="R1028" t="s">
        <v>43</v>
      </c>
      <c r="S1028" t="s">
        <v>43</v>
      </c>
      <c r="T1028" t="s">
        <v>43</v>
      </c>
      <c r="U1028" t="s">
        <v>43</v>
      </c>
      <c r="V1028" t="s">
        <v>43</v>
      </c>
      <c r="W1028" t="s">
        <v>43</v>
      </c>
      <c r="X1028" t="s">
        <v>43</v>
      </c>
      <c r="Y1028" t="s">
        <v>43</v>
      </c>
      <c r="Z1028" t="s">
        <v>43</v>
      </c>
      <c r="AA1028" t="s">
        <v>43</v>
      </c>
      <c r="AB1028" t="s">
        <v>43</v>
      </c>
      <c r="AC1028" t="s">
        <v>43</v>
      </c>
      <c r="AD1028" t="s">
        <v>43</v>
      </c>
      <c r="AE1028" t="s">
        <v>43</v>
      </c>
      <c r="AF1028" t="s">
        <v>43</v>
      </c>
      <c r="AG1028" t="s">
        <v>43</v>
      </c>
      <c r="AH1028" t="s">
        <v>43</v>
      </c>
      <c r="AI1028" t="s">
        <v>43</v>
      </c>
      <c r="AJ1028" t="s">
        <v>43</v>
      </c>
      <c r="AK1028" t="s">
        <v>43</v>
      </c>
      <c r="AL1028" t="s">
        <v>43</v>
      </c>
      <c r="AM1028" t="s">
        <v>43</v>
      </c>
      <c r="AN1028" t="str">
        <f>HYPERLINK("https://www.google.com/maps?q=11.05477428,79.06084442","Open Location")</f>
        <v>Open Location</v>
      </c>
    </row>
    <row r="1029" spans="1:40" x14ac:dyDescent="0.3">
      <c r="A1029" s="1">
        <v>46210.880671296298</v>
      </c>
      <c r="B1029" t="s">
        <v>40</v>
      </c>
      <c r="C1029" t="s">
        <v>41</v>
      </c>
      <c r="D1029" s="1">
        <v>46210.883715277778</v>
      </c>
      <c r="E1029" t="s">
        <v>42</v>
      </c>
      <c r="F1029" t="s">
        <v>43</v>
      </c>
      <c r="G1029" t="s">
        <v>43</v>
      </c>
      <c r="H1029" t="s">
        <v>43</v>
      </c>
      <c r="I1029" t="s">
        <v>328</v>
      </c>
      <c r="J1029" t="s">
        <v>43</v>
      </c>
      <c r="K1029" t="s">
        <v>43</v>
      </c>
      <c r="L1029" t="s">
        <v>43</v>
      </c>
      <c r="M1029" t="s">
        <v>43</v>
      </c>
      <c r="N1029" t="s">
        <v>45</v>
      </c>
      <c r="O1029" t="s">
        <v>43</v>
      </c>
      <c r="P1029" t="s">
        <v>43</v>
      </c>
      <c r="Q1029" t="s">
        <v>43</v>
      </c>
      <c r="R1029" t="s">
        <v>43</v>
      </c>
      <c r="S1029" t="s">
        <v>43</v>
      </c>
      <c r="T1029" t="s">
        <v>43</v>
      </c>
      <c r="U1029" t="s">
        <v>43</v>
      </c>
      <c r="V1029" t="s">
        <v>43</v>
      </c>
      <c r="W1029" t="s">
        <v>43</v>
      </c>
      <c r="X1029" t="s">
        <v>43</v>
      </c>
      <c r="Y1029" t="s">
        <v>43</v>
      </c>
      <c r="Z1029" t="s">
        <v>43</v>
      </c>
      <c r="AA1029" t="s">
        <v>43</v>
      </c>
      <c r="AB1029" t="s">
        <v>43</v>
      </c>
      <c r="AC1029" t="s">
        <v>43</v>
      </c>
      <c r="AD1029" t="s">
        <v>43</v>
      </c>
      <c r="AE1029" t="s">
        <v>43</v>
      </c>
      <c r="AF1029" t="s">
        <v>43</v>
      </c>
      <c r="AG1029" t="s">
        <v>43</v>
      </c>
      <c r="AH1029" t="s">
        <v>43</v>
      </c>
      <c r="AI1029" t="s">
        <v>43</v>
      </c>
      <c r="AJ1029" t="s">
        <v>43</v>
      </c>
      <c r="AK1029" t="s">
        <v>43</v>
      </c>
      <c r="AL1029" t="s">
        <v>43</v>
      </c>
      <c r="AM1029" t="s">
        <v>43</v>
      </c>
      <c r="AN1029" t="str">
        <f>HYPERLINK("https://www.google.com/maps?q=11.05477238,79.06084442","Open Location")</f>
        <v>Open Location</v>
      </c>
    </row>
    <row r="1030" spans="1:40" x14ac:dyDescent="0.3">
      <c r="A1030" s="1">
        <v>46210.880555555559</v>
      </c>
      <c r="B1030" t="s">
        <v>40</v>
      </c>
      <c r="C1030" t="s">
        <v>41</v>
      </c>
      <c r="D1030" s="1">
        <v>46210.88349537037</v>
      </c>
      <c r="E1030" t="s">
        <v>42</v>
      </c>
      <c r="F1030" t="s">
        <v>43</v>
      </c>
      <c r="G1030" t="s">
        <v>43</v>
      </c>
      <c r="H1030" t="s">
        <v>43</v>
      </c>
      <c r="I1030" t="s">
        <v>43</v>
      </c>
      <c r="J1030" t="s">
        <v>43</v>
      </c>
      <c r="K1030" t="s">
        <v>43</v>
      </c>
      <c r="L1030" t="s">
        <v>43</v>
      </c>
      <c r="M1030" t="s">
        <v>43</v>
      </c>
      <c r="N1030" t="s">
        <v>45</v>
      </c>
      <c r="O1030" t="s">
        <v>43</v>
      </c>
      <c r="P1030" t="s">
        <v>43</v>
      </c>
      <c r="Q1030" t="s">
        <v>43</v>
      </c>
      <c r="R1030" t="s">
        <v>43</v>
      </c>
      <c r="S1030">
        <v>0</v>
      </c>
      <c r="T1030">
        <v>-40</v>
      </c>
      <c r="U1030">
        <v>41</v>
      </c>
      <c r="V1030">
        <v>0</v>
      </c>
      <c r="W1030" t="s">
        <v>43</v>
      </c>
      <c r="X1030" t="s">
        <v>43</v>
      </c>
      <c r="Y1030" t="s">
        <v>43</v>
      </c>
      <c r="Z1030" t="s">
        <v>43</v>
      </c>
      <c r="AA1030" t="s">
        <v>43</v>
      </c>
      <c r="AB1030" t="s">
        <v>43</v>
      </c>
      <c r="AC1030" t="s">
        <v>43</v>
      </c>
      <c r="AD1030" t="s">
        <v>43</v>
      </c>
      <c r="AE1030" t="s">
        <v>43</v>
      </c>
      <c r="AF1030" t="s">
        <v>43</v>
      </c>
      <c r="AG1030" t="s">
        <v>43</v>
      </c>
      <c r="AH1030" t="s">
        <v>43</v>
      </c>
      <c r="AI1030" t="s">
        <v>43</v>
      </c>
      <c r="AJ1030" t="s">
        <v>43</v>
      </c>
      <c r="AK1030" t="s">
        <v>43</v>
      </c>
      <c r="AL1030" t="s">
        <v>43</v>
      </c>
      <c r="AM1030" t="s">
        <v>43</v>
      </c>
      <c r="AN1030" t="s">
        <v>43</v>
      </c>
    </row>
    <row r="1031" spans="1:40" x14ac:dyDescent="0.3">
      <c r="A1031" s="1">
        <v>46210.880439814813</v>
      </c>
      <c r="B1031" t="s">
        <v>40</v>
      </c>
      <c r="C1031" t="s">
        <v>41</v>
      </c>
      <c r="D1031" s="1">
        <v>46210.883402777778</v>
      </c>
      <c r="E1031" t="s">
        <v>42</v>
      </c>
      <c r="F1031" t="s">
        <v>43</v>
      </c>
      <c r="G1031" t="s">
        <v>43</v>
      </c>
      <c r="H1031" t="s">
        <v>43</v>
      </c>
      <c r="I1031" t="s">
        <v>326</v>
      </c>
      <c r="J1031" t="s">
        <v>43</v>
      </c>
      <c r="K1031" t="s">
        <v>43</v>
      </c>
      <c r="L1031" t="s">
        <v>43</v>
      </c>
      <c r="M1031" t="s">
        <v>43</v>
      </c>
      <c r="N1031" t="s">
        <v>45</v>
      </c>
      <c r="O1031" t="s">
        <v>43</v>
      </c>
      <c r="P1031" t="s">
        <v>43</v>
      </c>
      <c r="Q1031" t="s">
        <v>43</v>
      </c>
      <c r="R1031" t="s">
        <v>43</v>
      </c>
      <c r="S1031">
        <v>0</v>
      </c>
      <c r="T1031">
        <v>-40</v>
      </c>
      <c r="U1031">
        <v>41</v>
      </c>
      <c r="V1031">
        <v>0</v>
      </c>
      <c r="W1031" t="s">
        <v>43</v>
      </c>
      <c r="X1031" t="s">
        <v>43</v>
      </c>
      <c r="Y1031" t="s">
        <v>43</v>
      </c>
      <c r="Z1031" t="s">
        <v>43</v>
      </c>
      <c r="AA1031" t="s">
        <v>43</v>
      </c>
      <c r="AB1031" t="s">
        <v>43</v>
      </c>
      <c r="AC1031" t="s">
        <v>43</v>
      </c>
      <c r="AD1031" t="s">
        <v>43</v>
      </c>
      <c r="AE1031" t="s">
        <v>43</v>
      </c>
      <c r="AF1031" t="s">
        <v>43</v>
      </c>
      <c r="AG1031" t="s">
        <v>43</v>
      </c>
      <c r="AH1031" t="s">
        <v>43</v>
      </c>
      <c r="AI1031" t="s">
        <v>43</v>
      </c>
      <c r="AJ1031" t="s">
        <v>43</v>
      </c>
      <c r="AK1031" t="s">
        <v>43</v>
      </c>
      <c r="AL1031" t="s">
        <v>43</v>
      </c>
      <c r="AM1031" t="s">
        <v>43</v>
      </c>
      <c r="AN1031" t="str">
        <f>HYPERLINK("https://www.google.com/maps?q=11.05477238,79.06083679","Open Location")</f>
        <v>Open Location</v>
      </c>
    </row>
    <row r="1032" spans="1:40" x14ac:dyDescent="0.3">
      <c r="A1032" s="1">
        <v>46210.880324074074</v>
      </c>
      <c r="B1032" t="s">
        <v>40</v>
      </c>
      <c r="C1032" t="s">
        <v>41</v>
      </c>
      <c r="D1032" s="1">
        <v>46210.883298611108</v>
      </c>
      <c r="E1032" t="s">
        <v>42</v>
      </c>
      <c r="F1032" t="s">
        <v>43</v>
      </c>
      <c r="G1032" t="s">
        <v>43</v>
      </c>
      <c r="H1032" t="s">
        <v>43</v>
      </c>
      <c r="I1032" t="s">
        <v>328</v>
      </c>
      <c r="J1032" t="s">
        <v>43</v>
      </c>
      <c r="K1032" t="s">
        <v>43</v>
      </c>
      <c r="L1032" t="s">
        <v>43</v>
      </c>
      <c r="M1032" t="s">
        <v>43</v>
      </c>
      <c r="N1032" t="s">
        <v>45</v>
      </c>
      <c r="O1032" t="s">
        <v>43</v>
      </c>
      <c r="P1032" t="s">
        <v>43</v>
      </c>
      <c r="Q1032" t="s">
        <v>43</v>
      </c>
      <c r="R1032" t="s">
        <v>43</v>
      </c>
      <c r="S1032">
        <v>0</v>
      </c>
      <c r="T1032">
        <v>-40</v>
      </c>
      <c r="U1032">
        <v>41</v>
      </c>
      <c r="V1032">
        <v>0</v>
      </c>
      <c r="W1032" t="s">
        <v>43</v>
      </c>
      <c r="X1032" t="s">
        <v>43</v>
      </c>
      <c r="Y1032" t="s">
        <v>43</v>
      </c>
      <c r="Z1032" t="s">
        <v>43</v>
      </c>
      <c r="AA1032" t="s">
        <v>43</v>
      </c>
      <c r="AB1032" t="s">
        <v>43</v>
      </c>
      <c r="AC1032" t="s">
        <v>43</v>
      </c>
      <c r="AD1032" t="s">
        <v>43</v>
      </c>
      <c r="AE1032" t="s">
        <v>43</v>
      </c>
      <c r="AF1032" t="s">
        <v>43</v>
      </c>
      <c r="AG1032" t="s">
        <v>43</v>
      </c>
      <c r="AH1032" t="s">
        <v>43</v>
      </c>
      <c r="AI1032" t="s">
        <v>43</v>
      </c>
      <c r="AJ1032" t="s">
        <v>43</v>
      </c>
      <c r="AK1032" t="s">
        <v>43</v>
      </c>
      <c r="AL1032" t="s">
        <v>43</v>
      </c>
      <c r="AM1032" t="s">
        <v>43</v>
      </c>
      <c r="AN1032" t="str">
        <f>HYPERLINK("https://www.google.com/maps?q=11.05477238,79.06084442","Open Location")</f>
        <v>Open Location</v>
      </c>
    </row>
    <row r="1033" spans="1:40" x14ac:dyDescent="0.3">
      <c r="A1033" s="1">
        <v>46210.880208333336</v>
      </c>
      <c r="B1033" t="s">
        <v>40</v>
      </c>
      <c r="C1033" t="s">
        <v>41</v>
      </c>
      <c r="D1033" s="1">
        <v>46210.883402777778</v>
      </c>
      <c r="E1033" t="s">
        <v>42</v>
      </c>
      <c r="F1033" t="s">
        <v>43</v>
      </c>
      <c r="G1033" t="s">
        <v>43</v>
      </c>
      <c r="H1033" t="s">
        <v>43</v>
      </c>
      <c r="I1033" t="s">
        <v>328</v>
      </c>
      <c r="J1033" t="s">
        <v>43</v>
      </c>
      <c r="K1033" t="s">
        <v>43</v>
      </c>
      <c r="L1033" t="s">
        <v>43</v>
      </c>
      <c r="M1033" t="s">
        <v>43</v>
      </c>
      <c r="N1033" t="s">
        <v>45</v>
      </c>
      <c r="O1033" t="s">
        <v>43</v>
      </c>
      <c r="P1033" t="s">
        <v>43</v>
      </c>
      <c r="Q1033" t="s">
        <v>43</v>
      </c>
      <c r="R1033" t="s">
        <v>43</v>
      </c>
      <c r="S1033">
        <v>0</v>
      </c>
      <c r="T1033">
        <v>-40</v>
      </c>
      <c r="U1033">
        <v>41</v>
      </c>
      <c r="V1033">
        <v>0</v>
      </c>
      <c r="W1033" t="s">
        <v>43</v>
      </c>
      <c r="X1033" t="s">
        <v>43</v>
      </c>
      <c r="Y1033" t="s">
        <v>43</v>
      </c>
      <c r="Z1033" t="s">
        <v>43</v>
      </c>
      <c r="AA1033" t="s">
        <v>43</v>
      </c>
      <c r="AB1033" t="s">
        <v>43</v>
      </c>
      <c r="AC1033" t="s">
        <v>43</v>
      </c>
      <c r="AD1033" t="s">
        <v>43</v>
      </c>
      <c r="AE1033" t="s">
        <v>43</v>
      </c>
      <c r="AF1033" t="s">
        <v>43</v>
      </c>
      <c r="AG1033" t="s">
        <v>43</v>
      </c>
      <c r="AH1033" t="s">
        <v>43</v>
      </c>
      <c r="AI1033" t="s">
        <v>43</v>
      </c>
      <c r="AJ1033" t="s">
        <v>43</v>
      </c>
      <c r="AK1033" t="s">
        <v>43</v>
      </c>
      <c r="AL1033" t="s">
        <v>43</v>
      </c>
      <c r="AM1033" t="s">
        <v>43</v>
      </c>
      <c r="AN1033" t="str">
        <f>HYPERLINK("https://www.google.com/maps?q=11.05477238,79.06084442","Open Location")</f>
        <v>Open Location</v>
      </c>
    </row>
    <row r="1034" spans="1:40" x14ac:dyDescent="0.3">
      <c r="A1034" s="1">
        <v>46210.88009259259</v>
      </c>
      <c r="B1034" t="s">
        <v>40</v>
      </c>
      <c r="C1034" t="s">
        <v>41</v>
      </c>
      <c r="D1034" s="1">
        <v>46210.883171296293</v>
      </c>
      <c r="E1034" t="s">
        <v>42</v>
      </c>
      <c r="F1034" t="s">
        <v>43</v>
      </c>
      <c r="G1034" t="s">
        <v>43</v>
      </c>
      <c r="H1034" t="s">
        <v>43</v>
      </c>
      <c r="I1034" t="s">
        <v>327</v>
      </c>
      <c r="J1034" t="s">
        <v>43</v>
      </c>
      <c r="K1034" t="s">
        <v>43</v>
      </c>
      <c r="L1034" t="s">
        <v>43</v>
      </c>
      <c r="M1034" t="s">
        <v>43</v>
      </c>
      <c r="N1034" t="s">
        <v>45</v>
      </c>
      <c r="O1034" t="s">
        <v>43</v>
      </c>
      <c r="P1034" t="s">
        <v>43</v>
      </c>
      <c r="Q1034" t="s">
        <v>43</v>
      </c>
      <c r="R1034" t="s">
        <v>43</v>
      </c>
      <c r="S1034">
        <v>0</v>
      </c>
      <c r="T1034">
        <v>-40</v>
      </c>
      <c r="U1034">
        <v>41</v>
      </c>
      <c r="V1034">
        <v>0</v>
      </c>
      <c r="W1034" t="s">
        <v>43</v>
      </c>
      <c r="X1034" t="s">
        <v>43</v>
      </c>
      <c r="Y1034" t="s">
        <v>43</v>
      </c>
      <c r="Z1034" t="s">
        <v>43</v>
      </c>
      <c r="AA1034" t="s">
        <v>43</v>
      </c>
      <c r="AB1034" t="s">
        <v>43</v>
      </c>
      <c r="AC1034" t="s">
        <v>43</v>
      </c>
      <c r="AD1034" t="s">
        <v>43</v>
      </c>
      <c r="AE1034" t="s">
        <v>43</v>
      </c>
      <c r="AF1034" t="s">
        <v>43</v>
      </c>
      <c r="AG1034" t="s">
        <v>43</v>
      </c>
      <c r="AH1034" t="s">
        <v>43</v>
      </c>
      <c r="AI1034" t="s">
        <v>43</v>
      </c>
      <c r="AJ1034" t="s">
        <v>43</v>
      </c>
      <c r="AK1034" t="s">
        <v>43</v>
      </c>
      <c r="AL1034" t="s">
        <v>43</v>
      </c>
      <c r="AM1034" t="s">
        <v>43</v>
      </c>
      <c r="AN1034" t="str">
        <f>HYPERLINK("https://www.google.com/maps?q=11.05477142,79.06084442","Open Location")</f>
        <v>Open Location</v>
      </c>
    </row>
    <row r="1035" spans="1:40" x14ac:dyDescent="0.3">
      <c r="A1035" s="1">
        <v>46210.879976851851</v>
      </c>
      <c r="B1035" t="s">
        <v>40</v>
      </c>
      <c r="C1035" t="s">
        <v>41</v>
      </c>
      <c r="D1035" s="1">
        <v>46210.882731481484</v>
      </c>
      <c r="E1035" t="s">
        <v>42</v>
      </c>
      <c r="F1035" t="s">
        <v>43</v>
      </c>
      <c r="G1035" t="s">
        <v>43</v>
      </c>
      <c r="H1035" t="s">
        <v>43</v>
      </c>
      <c r="I1035" t="s">
        <v>289</v>
      </c>
      <c r="J1035" t="s">
        <v>43</v>
      </c>
      <c r="K1035" t="s">
        <v>43</v>
      </c>
      <c r="L1035" t="s">
        <v>43</v>
      </c>
      <c r="M1035" t="s">
        <v>43</v>
      </c>
      <c r="N1035" t="s">
        <v>45</v>
      </c>
      <c r="O1035" t="s">
        <v>43</v>
      </c>
      <c r="P1035" t="s">
        <v>43</v>
      </c>
      <c r="Q1035" t="s">
        <v>43</v>
      </c>
      <c r="R1035" t="s">
        <v>43</v>
      </c>
      <c r="S1035">
        <v>0</v>
      </c>
      <c r="T1035">
        <v>-40</v>
      </c>
      <c r="U1035">
        <v>41</v>
      </c>
      <c r="V1035">
        <v>0</v>
      </c>
      <c r="W1035" t="s">
        <v>43</v>
      </c>
      <c r="X1035" t="s">
        <v>43</v>
      </c>
      <c r="Y1035" t="s">
        <v>43</v>
      </c>
      <c r="Z1035" t="s">
        <v>43</v>
      </c>
      <c r="AA1035" t="s">
        <v>43</v>
      </c>
      <c r="AB1035" t="s">
        <v>43</v>
      </c>
      <c r="AC1035" t="s">
        <v>43</v>
      </c>
      <c r="AD1035" t="s">
        <v>43</v>
      </c>
      <c r="AE1035" t="s">
        <v>43</v>
      </c>
      <c r="AF1035" t="s">
        <v>43</v>
      </c>
      <c r="AG1035" t="s">
        <v>43</v>
      </c>
      <c r="AH1035" t="s">
        <v>43</v>
      </c>
      <c r="AI1035" t="s">
        <v>43</v>
      </c>
      <c r="AJ1035" t="s">
        <v>43</v>
      </c>
      <c r="AK1035" t="s">
        <v>43</v>
      </c>
      <c r="AL1035" t="s">
        <v>43</v>
      </c>
      <c r="AM1035" t="s">
        <v>43</v>
      </c>
      <c r="AN1035" t="str">
        <f>HYPERLINK("https://www.google.com/maps?q=11.05477047,79.06084442","Open Location")</f>
        <v>Open Location</v>
      </c>
    </row>
    <row r="1036" spans="1:40" x14ac:dyDescent="0.3">
      <c r="A1036" s="1">
        <v>46210.879861111112</v>
      </c>
      <c r="B1036" t="s">
        <v>40</v>
      </c>
      <c r="C1036" t="s">
        <v>41</v>
      </c>
      <c r="D1036" s="1">
        <v>46210.882650462961</v>
      </c>
      <c r="E1036" t="s">
        <v>42</v>
      </c>
      <c r="F1036" t="s">
        <v>43</v>
      </c>
      <c r="G1036" t="s">
        <v>43</v>
      </c>
      <c r="H1036" t="s">
        <v>43</v>
      </c>
      <c r="I1036" t="s">
        <v>43</v>
      </c>
      <c r="J1036" t="s">
        <v>43</v>
      </c>
      <c r="K1036" t="s">
        <v>43</v>
      </c>
      <c r="L1036" t="s">
        <v>43</v>
      </c>
      <c r="M1036" t="s">
        <v>43</v>
      </c>
      <c r="N1036" t="s">
        <v>45</v>
      </c>
      <c r="O1036" t="s">
        <v>43</v>
      </c>
      <c r="P1036" t="s">
        <v>43</v>
      </c>
      <c r="Q1036" t="s">
        <v>43</v>
      </c>
      <c r="R1036" t="s">
        <v>43</v>
      </c>
      <c r="S1036">
        <v>0</v>
      </c>
      <c r="T1036">
        <v>-40</v>
      </c>
      <c r="U1036">
        <v>41</v>
      </c>
      <c r="V1036">
        <v>0</v>
      </c>
      <c r="W1036" t="s">
        <v>43</v>
      </c>
      <c r="X1036" t="s">
        <v>43</v>
      </c>
      <c r="Y1036" t="s">
        <v>43</v>
      </c>
      <c r="Z1036" t="s">
        <v>43</v>
      </c>
      <c r="AA1036" t="s">
        <v>43</v>
      </c>
      <c r="AB1036" t="s">
        <v>43</v>
      </c>
      <c r="AC1036" t="s">
        <v>43</v>
      </c>
      <c r="AD1036" t="s">
        <v>43</v>
      </c>
      <c r="AE1036" t="s">
        <v>43</v>
      </c>
      <c r="AF1036" t="s">
        <v>43</v>
      </c>
      <c r="AG1036" t="s">
        <v>43</v>
      </c>
      <c r="AH1036" t="s">
        <v>43</v>
      </c>
      <c r="AI1036" t="s">
        <v>43</v>
      </c>
      <c r="AJ1036" t="s">
        <v>43</v>
      </c>
      <c r="AK1036" t="s">
        <v>43</v>
      </c>
      <c r="AL1036" t="s">
        <v>43</v>
      </c>
      <c r="AM1036" t="s">
        <v>43</v>
      </c>
      <c r="AN1036" t="s">
        <v>43</v>
      </c>
    </row>
    <row r="1037" spans="1:40" x14ac:dyDescent="0.3">
      <c r="A1037" s="1">
        <v>46210.879745370374</v>
      </c>
      <c r="B1037" t="s">
        <v>40</v>
      </c>
      <c r="C1037" t="s">
        <v>41</v>
      </c>
      <c r="D1037" s="1">
        <v>46210.882604166669</v>
      </c>
      <c r="E1037" t="s">
        <v>42</v>
      </c>
      <c r="F1037" t="s">
        <v>43</v>
      </c>
      <c r="G1037" t="s">
        <v>43</v>
      </c>
      <c r="H1037" t="s">
        <v>43</v>
      </c>
      <c r="I1037" t="s">
        <v>258</v>
      </c>
      <c r="J1037" t="s">
        <v>43</v>
      </c>
      <c r="K1037" t="s">
        <v>43</v>
      </c>
      <c r="L1037" t="s">
        <v>43</v>
      </c>
      <c r="M1037" t="s">
        <v>43</v>
      </c>
      <c r="N1037" t="s">
        <v>45</v>
      </c>
      <c r="O1037" t="s">
        <v>43</v>
      </c>
      <c r="P1037" t="s">
        <v>43</v>
      </c>
      <c r="Q1037" t="s">
        <v>43</v>
      </c>
      <c r="R1037" t="s">
        <v>43</v>
      </c>
      <c r="S1037">
        <v>0</v>
      </c>
      <c r="T1037">
        <v>-40</v>
      </c>
      <c r="U1037">
        <v>41</v>
      </c>
      <c r="V1037">
        <v>0</v>
      </c>
      <c r="W1037" t="s">
        <v>43</v>
      </c>
      <c r="X1037" t="s">
        <v>43</v>
      </c>
      <c r="Y1037" t="s">
        <v>43</v>
      </c>
      <c r="Z1037" t="s">
        <v>43</v>
      </c>
      <c r="AA1037" t="s">
        <v>43</v>
      </c>
      <c r="AB1037" t="s">
        <v>43</v>
      </c>
      <c r="AC1037" t="s">
        <v>43</v>
      </c>
      <c r="AD1037" t="s">
        <v>43</v>
      </c>
      <c r="AE1037" t="s">
        <v>43</v>
      </c>
      <c r="AF1037" t="s">
        <v>43</v>
      </c>
      <c r="AG1037" t="s">
        <v>43</v>
      </c>
      <c r="AH1037" t="s">
        <v>43</v>
      </c>
      <c r="AI1037" t="s">
        <v>43</v>
      </c>
      <c r="AJ1037" t="s">
        <v>43</v>
      </c>
      <c r="AK1037" t="s">
        <v>43</v>
      </c>
      <c r="AL1037" t="s">
        <v>43</v>
      </c>
      <c r="AM1037" t="s">
        <v>43</v>
      </c>
      <c r="AN1037" t="str">
        <f>HYPERLINK("https://www.google.com/maps?q=11.05476761,79.06084442","Open Location")</f>
        <v>Open Location</v>
      </c>
    </row>
    <row r="1038" spans="1:40" x14ac:dyDescent="0.3">
      <c r="A1038" s="1">
        <v>46210.879629629628</v>
      </c>
      <c r="B1038" t="s">
        <v>40</v>
      </c>
      <c r="C1038" t="s">
        <v>41</v>
      </c>
      <c r="D1038" s="1">
        <v>46210.882638888892</v>
      </c>
      <c r="E1038" t="s">
        <v>42</v>
      </c>
      <c r="F1038" t="s">
        <v>43</v>
      </c>
      <c r="G1038" t="s">
        <v>43</v>
      </c>
      <c r="H1038" t="s">
        <v>43</v>
      </c>
      <c r="I1038" t="s">
        <v>287</v>
      </c>
      <c r="J1038" t="s">
        <v>43</v>
      </c>
      <c r="K1038" t="s">
        <v>43</v>
      </c>
      <c r="L1038" t="s">
        <v>43</v>
      </c>
      <c r="M1038" t="s">
        <v>43</v>
      </c>
      <c r="N1038" t="s">
        <v>45</v>
      </c>
      <c r="O1038" t="s">
        <v>43</v>
      </c>
      <c r="P1038" t="s">
        <v>43</v>
      </c>
      <c r="Q1038" t="s">
        <v>43</v>
      </c>
      <c r="R1038" t="s">
        <v>43</v>
      </c>
      <c r="S1038">
        <v>0</v>
      </c>
      <c r="T1038">
        <v>-40</v>
      </c>
      <c r="U1038">
        <v>41</v>
      </c>
      <c r="V1038">
        <v>0</v>
      </c>
      <c r="W1038" t="s">
        <v>43</v>
      </c>
      <c r="X1038" t="s">
        <v>43</v>
      </c>
      <c r="Y1038" t="s">
        <v>43</v>
      </c>
      <c r="Z1038" t="s">
        <v>43</v>
      </c>
      <c r="AA1038" t="s">
        <v>43</v>
      </c>
      <c r="AB1038" t="s">
        <v>43</v>
      </c>
      <c r="AC1038" t="s">
        <v>43</v>
      </c>
      <c r="AD1038" t="s">
        <v>43</v>
      </c>
      <c r="AE1038" t="s">
        <v>43</v>
      </c>
      <c r="AF1038" t="s">
        <v>43</v>
      </c>
      <c r="AG1038" t="s">
        <v>43</v>
      </c>
      <c r="AH1038" t="s">
        <v>43</v>
      </c>
      <c r="AI1038" t="s">
        <v>43</v>
      </c>
      <c r="AJ1038" t="s">
        <v>43</v>
      </c>
      <c r="AK1038" t="s">
        <v>43</v>
      </c>
      <c r="AL1038" t="s">
        <v>43</v>
      </c>
      <c r="AM1038" t="s">
        <v>43</v>
      </c>
      <c r="AN1038" t="str">
        <f>HYPERLINK("https://www.google.com/maps?q=11.05476856,79.06085968","Open Location")</f>
        <v>Open Location</v>
      </c>
    </row>
    <row r="1039" spans="1:40" x14ac:dyDescent="0.3">
      <c r="A1039" s="1">
        <v>46210.879513888889</v>
      </c>
      <c r="B1039" t="s">
        <v>40</v>
      </c>
      <c r="C1039" t="s">
        <v>41</v>
      </c>
      <c r="D1039" s="1">
        <v>46210.88244212963</v>
      </c>
      <c r="E1039" t="s">
        <v>42</v>
      </c>
      <c r="F1039" t="s">
        <v>43</v>
      </c>
      <c r="G1039">
        <v>0</v>
      </c>
      <c r="H1039" t="s">
        <v>43</v>
      </c>
      <c r="I1039" t="s">
        <v>273</v>
      </c>
      <c r="J1039">
        <v>35</v>
      </c>
      <c r="K1039">
        <v>0</v>
      </c>
      <c r="L1039">
        <v>98</v>
      </c>
      <c r="M1039">
        <v>628.79998779000005</v>
      </c>
      <c r="N1039" t="s">
        <v>81</v>
      </c>
      <c r="O1039" t="s">
        <v>43</v>
      </c>
      <c r="P1039">
        <v>125</v>
      </c>
      <c r="Q1039">
        <v>2</v>
      </c>
      <c r="R1039">
        <v>0</v>
      </c>
      <c r="S1039">
        <v>0</v>
      </c>
      <c r="T1039">
        <v>-40</v>
      </c>
      <c r="U1039">
        <v>41</v>
      </c>
      <c r="V1039">
        <v>0</v>
      </c>
      <c r="W1039">
        <v>29</v>
      </c>
      <c r="X1039">
        <v>29</v>
      </c>
      <c r="Y1039">
        <v>1</v>
      </c>
      <c r="Z1039">
        <v>1</v>
      </c>
      <c r="AA1039">
        <v>26</v>
      </c>
      <c r="AB1039">
        <v>2</v>
      </c>
      <c r="AC1039">
        <v>2</v>
      </c>
      <c r="AD1039">
        <v>3.2790000400000001</v>
      </c>
      <c r="AE1039">
        <v>1</v>
      </c>
      <c r="AF1039">
        <v>2</v>
      </c>
      <c r="AG1039">
        <v>3.2750001000000002</v>
      </c>
      <c r="AH1039">
        <v>7</v>
      </c>
      <c r="AI1039">
        <v>1</v>
      </c>
      <c r="AJ1039" t="s">
        <v>43</v>
      </c>
      <c r="AK1039" t="s">
        <v>43</v>
      </c>
      <c r="AL1039" t="s">
        <v>43</v>
      </c>
      <c r="AM1039" t="s">
        <v>43</v>
      </c>
      <c r="AN1039" t="str">
        <f>HYPERLINK("https://www.google.com/maps?q=11.05476665,79.06085968","Open Location")</f>
        <v>Open Location</v>
      </c>
    </row>
    <row r="1040" spans="1:40" x14ac:dyDescent="0.3">
      <c r="A1040" s="1">
        <v>46210.87939814815</v>
      </c>
      <c r="B1040" t="s">
        <v>40</v>
      </c>
      <c r="C1040" t="s">
        <v>41</v>
      </c>
      <c r="D1040" s="1">
        <v>46210.88244212963</v>
      </c>
      <c r="E1040" t="s">
        <v>42</v>
      </c>
      <c r="F1040" t="s">
        <v>83</v>
      </c>
      <c r="G1040">
        <v>0</v>
      </c>
      <c r="H1040">
        <v>33206</v>
      </c>
      <c r="I1040" t="s">
        <v>283</v>
      </c>
      <c r="J1040">
        <v>35</v>
      </c>
      <c r="K1040">
        <v>2</v>
      </c>
      <c r="L1040">
        <v>98</v>
      </c>
      <c r="M1040">
        <v>628.20001220999995</v>
      </c>
      <c r="N1040" t="s">
        <v>85</v>
      </c>
      <c r="O1040" t="s">
        <v>86</v>
      </c>
      <c r="P1040">
        <v>127</v>
      </c>
      <c r="Q1040">
        <v>2</v>
      </c>
      <c r="R1040">
        <v>0</v>
      </c>
      <c r="S1040">
        <v>37</v>
      </c>
      <c r="T1040">
        <v>-40</v>
      </c>
      <c r="U1040">
        <v>42</v>
      </c>
      <c r="V1040">
        <v>5</v>
      </c>
      <c r="W1040">
        <v>29</v>
      </c>
      <c r="X1040">
        <v>29</v>
      </c>
      <c r="Y1040">
        <v>1</v>
      </c>
      <c r="Z1040">
        <v>1</v>
      </c>
      <c r="AA1040">
        <v>26</v>
      </c>
      <c r="AB1040">
        <v>2</v>
      </c>
      <c r="AC1040">
        <v>2</v>
      </c>
      <c r="AD1040">
        <v>3.2780001200000002</v>
      </c>
      <c r="AE1040">
        <v>1</v>
      </c>
      <c r="AF1040">
        <v>25</v>
      </c>
      <c r="AG1040">
        <v>3.27399993</v>
      </c>
      <c r="AH1040">
        <v>4</v>
      </c>
      <c r="AI1040">
        <v>17</v>
      </c>
      <c r="AJ1040">
        <v>1</v>
      </c>
      <c r="AK1040">
        <v>26</v>
      </c>
      <c r="AL1040">
        <v>34</v>
      </c>
      <c r="AM1040" t="s">
        <v>43</v>
      </c>
      <c r="AN1040" t="str">
        <f>HYPERLINK("https://www.google.com/maps?q=11.05475903,79.06086731","Open Location")</f>
        <v>Open Location</v>
      </c>
    </row>
    <row r="1041" spans="1:40" x14ac:dyDescent="0.3">
      <c r="A1041" s="1">
        <v>46210.879282407404</v>
      </c>
      <c r="B1041" t="s">
        <v>40</v>
      </c>
      <c r="C1041" t="s">
        <v>41</v>
      </c>
      <c r="D1041" s="1">
        <v>46210.882037037038</v>
      </c>
      <c r="E1041" t="s">
        <v>42</v>
      </c>
      <c r="F1041" t="s">
        <v>83</v>
      </c>
      <c r="G1041">
        <v>2</v>
      </c>
      <c r="H1041">
        <v>33206</v>
      </c>
      <c r="I1041" t="s">
        <v>43</v>
      </c>
      <c r="J1041">
        <v>35</v>
      </c>
      <c r="K1041">
        <v>47</v>
      </c>
      <c r="L1041">
        <v>98</v>
      </c>
      <c r="M1041">
        <v>626.40002441000001</v>
      </c>
      <c r="N1041" t="s">
        <v>87</v>
      </c>
      <c r="O1041" t="s">
        <v>86</v>
      </c>
      <c r="P1041">
        <v>127</v>
      </c>
      <c r="Q1041">
        <v>2</v>
      </c>
      <c r="R1041">
        <v>22</v>
      </c>
      <c r="S1041">
        <v>536</v>
      </c>
      <c r="T1041">
        <v>-40</v>
      </c>
      <c r="U1041">
        <v>43</v>
      </c>
      <c r="V1041">
        <v>340</v>
      </c>
      <c r="W1041">
        <v>29</v>
      </c>
      <c r="X1041">
        <v>29</v>
      </c>
      <c r="Y1041">
        <v>1</v>
      </c>
      <c r="Z1041">
        <v>1</v>
      </c>
      <c r="AA1041">
        <v>26</v>
      </c>
      <c r="AB1041">
        <v>2</v>
      </c>
      <c r="AC1041">
        <v>2</v>
      </c>
      <c r="AD1041">
        <v>3.2720000699999998</v>
      </c>
      <c r="AE1041">
        <v>5</v>
      </c>
      <c r="AF1041">
        <v>3</v>
      </c>
      <c r="AG1041">
        <v>3.2660000299999998</v>
      </c>
      <c r="AH1041">
        <v>4</v>
      </c>
      <c r="AI1041">
        <v>17</v>
      </c>
      <c r="AJ1041">
        <v>1</v>
      </c>
      <c r="AK1041">
        <v>25</v>
      </c>
      <c r="AL1041">
        <v>34</v>
      </c>
      <c r="AM1041" t="s">
        <v>43</v>
      </c>
      <c r="AN1041" t="s">
        <v>43</v>
      </c>
    </row>
    <row r="1042" spans="1:40" x14ac:dyDescent="0.3">
      <c r="A1042" s="1">
        <v>46210.879166666666</v>
      </c>
      <c r="B1042" t="s">
        <v>40</v>
      </c>
      <c r="C1042" t="s">
        <v>41</v>
      </c>
      <c r="D1042" s="1">
        <v>46210.882175925923</v>
      </c>
      <c r="E1042" t="s">
        <v>42</v>
      </c>
      <c r="F1042" t="s">
        <v>83</v>
      </c>
      <c r="G1042">
        <v>4</v>
      </c>
      <c r="H1042">
        <v>33206</v>
      </c>
      <c r="I1042" t="s">
        <v>437</v>
      </c>
      <c r="J1042">
        <v>35</v>
      </c>
      <c r="K1042">
        <v>27</v>
      </c>
      <c r="L1042">
        <v>98</v>
      </c>
      <c r="M1042">
        <v>627.5</v>
      </c>
      <c r="N1042" t="s">
        <v>87</v>
      </c>
      <c r="O1042" t="s">
        <v>86</v>
      </c>
      <c r="P1042">
        <v>127</v>
      </c>
      <c r="Q1042">
        <v>2</v>
      </c>
      <c r="R1042">
        <v>7</v>
      </c>
      <c r="S1042">
        <v>967</v>
      </c>
      <c r="T1042">
        <v>-40</v>
      </c>
      <c r="U1042">
        <v>42</v>
      </c>
      <c r="V1042">
        <v>100</v>
      </c>
      <c r="W1042">
        <v>29</v>
      </c>
      <c r="X1042">
        <v>29</v>
      </c>
      <c r="Y1042">
        <v>1</v>
      </c>
      <c r="Z1042">
        <v>1</v>
      </c>
      <c r="AA1042">
        <v>26</v>
      </c>
      <c r="AB1042">
        <v>2</v>
      </c>
      <c r="AC1042">
        <v>2</v>
      </c>
      <c r="AD1042">
        <v>3.27399993</v>
      </c>
      <c r="AE1042">
        <v>1</v>
      </c>
      <c r="AF1042">
        <v>1</v>
      </c>
      <c r="AG1042">
        <v>3.2690000499999998</v>
      </c>
      <c r="AH1042">
        <v>4</v>
      </c>
      <c r="AI1042">
        <v>17</v>
      </c>
      <c r="AJ1042">
        <v>1</v>
      </c>
      <c r="AK1042">
        <v>26</v>
      </c>
      <c r="AL1042">
        <v>34</v>
      </c>
      <c r="AM1042" t="s">
        <v>43</v>
      </c>
      <c r="AN1042" t="str">
        <f>HYPERLINK("https://www.google.com/maps?q=11.05474854,79.06077576","Open Location")</f>
        <v>Open Location</v>
      </c>
    </row>
    <row r="1043" spans="1:40" x14ac:dyDescent="0.3">
      <c r="A1043" s="1">
        <v>46210.879050925927</v>
      </c>
      <c r="B1043" t="s">
        <v>40</v>
      </c>
      <c r="C1043" t="s">
        <v>41</v>
      </c>
      <c r="D1043" s="1">
        <v>46210.881990740738</v>
      </c>
      <c r="E1043" t="s">
        <v>42</v>
      </c>
      <c r="F1043" t="s">
        <v>83</v>
      </c>
      <c r="G1043">
        <v>3</v>
      </c>
      <c r="H1043">
        <v>33206</v>
      </c>
      <c r="I1043" t="s">
        <v>438</v>
      </c>
      <c r="J1043">
        <v>35</v>
      </c>
      <c r="K1043">
        <v>12</v>
      </c>
      <c r="L1043">
        <v>98</v>
      </c>
      <c r="M1043">
        <v>628.29998779000005</v>
      </c>
      <c r="N1043" t="s">
        <v>87</v>
      </c>
      <c r="O1043" t="s">
        <v>86</v>
      </c>
      <c r="P1043">
        <v>127</v>
      </c>
      <c r="Q1043">
        <v>2</v>
      </c>
      <c r="R1043">
        <v>26</v>
      </c>
      <c r="S1043">
        <v>689</v>
      </c>
      <c r="T1043">
        <v>-40</v>
      </c>
      <c r="U1043">
        <v>41</v>
      </c>
      <c r="V1043">
        <v>5</v>
      </c>
      <c r="W1043">
        <v>29</v>
      </c>
      <c r="X1043">
        <v>29</v>
      </c>
      <c r="Y1043">
        <v>1</v>
      </c>
      <c r="Z1043">
        <v>1</v>
      </c>
      <c r="AA1043">
        <v>26</v>
      </c>
      <c r="AB1043">
        <v>2</v>
      </c>
      <c r="AC1043">
        <v>2</v>
      </c>
      <c r="AD1043">
        <v>3.2720000699999998</v>
      </c>
      <c r="AE1043">
        <v>5</v>
      </c>
      <c r="AF1043">
        <v>38</v>
      </c>
      <c r="AG1043">
        <v>3.2660000299999998</v>
      </c>
      <c r="AH1043">
        <v>4</v>
      </c>
      <c r="AI1043">
        <v>17</v>
      </c>
      <c r="AJ1043">
        <v>1</v>
      </c>
      <c r="AK1043">
        <v>26</v>
      </c>
      <c r="AL1043">
        <v>34</v>
      </c>
      <c r="AM1043" t="s">
        <v>43</v>
      </c>
      <c r="AN1043" t="str">
        <f>HYPERLINK("https://www.google.com/maps?q=11.05482197,79.06065369","Open Location")</f>
        <v>Open Location</v>
      </c>
    </row>
    <row r="1044" spans="1:40" x14ac:dyDescent="0.3">
      <c r="A1044" s="1">
        <v>46210.878935185188</v>
      </c>
      <c r="B1044" t="s">
        <v>40</v>
      </c>
      <c r="C1044" t="s">
        <v>41</v>
      </c>
      <c r="D1044" s="1">
        <v>46210.881944444445</v>
      </c>
      <c r="E1044" t="s">
        <v>42</v>
      </c>
      <c r="F1044" t="s">
        <v>83</v>
      </c>
      <c r="G1044">
        <v>3</v>
      </c>
      <c r="H1044">
        <v>33206</v>
      </c>
      <c r="I1044" t="s">
        <v>439</v>
      </c>
      <c r="J1044">
        <v>35</v>
      </c>
      <c r="K1044">
        <v>24</v>
      </c>
      <c r="L1044">
        <v>98</v>
      </c>
      <c r="M1044">
        <v>628</v>
      </c>
      <c r="N1044" t="s">
        <v>87</v>
      </c>
      <c r="O1044" t="s">
        <v>86</v>
      </c>
      <c r="P1044">
        <v>127</v>
      </c>
      <c r="Q1044">
        <v>2</v>
      </c>
      <c r="R1044">
        <v>19</v>
      </c>
      <c r="S1044">
        <v>610</v>
      </c>
      <c r="T1044">
        <v>-40</v>
      </c>
      <c r="U1044">
        <v>41</v>
      </c>
      <c r="V1044">
        <v>253</v>
      </c>
      <c r="W1044">
        <v>29</v>
      </c>
      <c r="X1044">
        <v>29</v>
      </c>
      <c r="Y1044">
        <v>1</v>
      </c>
      <c r="Z1044">
        <v>1</v>
      </c>
      <c r="AA1044">
        <v>26</v>
      </c>
      <c r="AB1044">
        <v>2</v>
      </c>
      <c r="AC1044">
        <v>2</v>
      </c>
      <c r="AD1044">
        <v>3.2780001200000002</v>
      </c>
      <c r="AE1044">
        <v>1</v>
      </c>
      <c r="AF1044">
        <v>1</v>
      </c>
      <c r="AG1044">
        <v>3.2750001000000002</v>
      </c>
      <c r="AH1044">
        <v>2</v>
      </c>
      <c r="AI1044">
        <v>6</v>
      </c>
      <c r="AJ1044">
        <v>1</v>
      </c>
      <c r="AK1044">
        <v>26</v>
      </c>
      <c r="AL1044">
        <v>34</v>
      </c>
      <c r="AM1044" t="s">
        <v>43</v>
      </c>
      <c r="AN1044" t="str">
        <f>HYPERLINK("https://www.google.com/maps?q=11.05493927,79.06066895","Open Location")</f>
        <v>Open Location</v>
      </c>
    </row>
    <row r="1045" spans="1:40" x14ac:dyDescent="0.3">
      <c r="A1045" s="1">
        <v>46210.878819444442</v>
      </c>
      <c r="B1045" t="s">
        <v>40</v>
      </c>
      <c r="C1045" t="s">
        <v>41</v>
      </c>
      <c r="D1045" s="1">
        <v>46210.881504629629</v>
      </c>
      <c r="E1045" t="s">
        <v>42</v>
      </c>
      <c r="F1045" t="s">
        <v>83</v>
      </c>
      <c r="G1045">
        <v>6</v>
      </c>
      <c r="H1045">
        <v>33206</v>
      </c>
      <c r="I1045" t="s">
        <v>440</v>
      </c>
      <c r="J1045">
        <v>35</v>
      </c>
      <c r="K1045">
        <v>3</v>
      </c>
      <c r="L1045">
        <v>98</v>
      </c>
      <c r="M1045">
        <v>628.29998779000005</v>
      </c>
      <c r="N1045" t="s">
        <v>87</v>
      </c>
      <c r="O1045" t="s">
        <v>86</v>
      </c>
      <c r="P1045">
        <v>127</v>
      </c>
      <c r="Q1045">
        <v>2</v>
      </c>
      <c r="R1045">
        <v>0</v>
      </c>
      <c r="S1045">
        <v>1298</v>
      </c>
      <c r="T1045">
        <v>-40</v>
      </c>
      <c r="U1045">
        <v>41</v>
      </c>
      <c r="V1045">
        <v>5</v>
      </c>
      <c r="W1045">
        <v>29</v>
      </c>
      <c r="X1045">
        <v>29</v>
      </c>
      <c r="Y1045">
        <v>1</v>
      </c>
      <c r="Z1045">
        <v>1</v>
      </c>
      <c r="AA1045">
        <v>26</v>
      </c>
      <c r="AB1045">
        <v>2</v>
      </c>
      <c r="AC1045">
        <v>2</v>
      </c>
      <c r="AD1045">
        <v>3.2780001200000002</v>
      </c>
      <c r="AE1045">
        <v>1</v>
      </c>
      <c r="AF1045">
        <v>1</v>
      </c>
      <c r="AG1045">
        <v>3.2750001000000002</v>
      </c>
      <c r="AH1045">
        <v>4</v>
      </c>
      <c r="AI1045">
        <v>17</v>
      </c>
      <c r="AJ1045">
        <v>1</v>
      </c>
      <c r="AK1045">
        <v>26</v>
      </c>
      <c r="AL1045">
        <v>34</v>
      </c>
      <c r="AM1045" t="s">
        <v>43</v>
      </c>
      <c r="AN1045" t="str">
        <f>HYPERLINK("https://www.google.com/maps?q=11.05507278,79.06071472","Open Location")</f>
        <v>Open Location</v>
      </c>
    </row>
    <row r="1046" spans="1:40" x14ac:dyDescent="0.3">
      <c r="A1046" s="1">
        <v>46210.878703703704</v>
      </c>
      <c r="B1046" t="s">
        <v>40</v>
      </c>
      <c r="C1046" t="s">
        <v>41</v>
      </c>
      <c r="D1046" s="1">
        <v>46210.881747685184</v>
      </c>
      <c r="E1046" t="s">
        <v>42</v>
      </c>
      <c r="F1046" t="s">
        <v>83</v>
      </c>
      <c r="G1046">
        <v>4</v>
      </c>
      <c r="H1046">
        <v>33206</v>
      </c>
      <c r="I1046" t="s">
        <v>441</v>
      </c>
      <c r="J1046" t="s">
        <v>43</v>
      </c>
      <c r="K1046" t="s">
        <v>43</v>
      </c>
      <c r="L1046" t="s">
        <v>43</v>
      </c>
      <c r="M1046" t="s">
        <v>43</v>
      </c>
      <c r="N1046" t="s">
        <v>87</v>
      </c>
      <c r="O1046" t="s">
        <v>86</v>
      </c>
      <c r="P1046">
        <v>127</v>
      </c>
      <c r="Q1046">
        <v>2</v>
      </c>
      <c r="R1046">
        <v>11</v>
      </c>
      <c r="S1046">
        <v>867</v>
      </c>
      <c r="T1046">
        <v>-40</v>
      </c>
      <c r="U1046">
        <v>41</v>
      </c>
      <c r="V1046">
        <v>100</v>
      </c>
      <c r="W1046">
        <v>29</v>
      </c>
      <c r="X1046">
        <v>29</v>
      </c>
      <c r="Y1046">
        <v>1</v>
      </c>
      <c r="Z1046">
        <v>1</v>
      </c>
      <c r="AA1046">
        <v>26</v>
      </c>
      <c r="AB1046">
        <v>2</v>
      </c>
      <c r="AC1046">
        <v>2</v>
      </c>
      <c r="AD1046">
        <v>3.2750001000000002</v>
      </c>
      <c r="AE1046">
        <v>1</v>
      </c>
      <c r="AF1046">
        <v>2</v>
      </c>
      <c r="AG1046">
        <v>3.2699999800000001</v>
      </c>
      <c r="AH1046">
        <v>6</v>
      </c>
      <c r="AI1046">
        <v>24</v>
      </c>
      <c r="AJ1046">
        <v>1</v>
      </c>
      <c r="AK1046">
        <v>26</v>
      </c>
      <c r="AL1046">
        <v>34</v>
      </c>
      <c r="AM1046" t="s">
        <v>43</v>
      </c>
      <c r="AN1046" t="str">
        <f>HYPERLINK("https://www.google.com/maps?q=11.05522156,79.0607605","Open Location")</f>
        <v>Open Location</v>
      </c>
    </row>
    <row r="1047" spans="1:40" x14ac:dyDescent="0.3">
      <c r="A1047" s="1">
        <v>46210.878587962965</v>
      </c>
      <c r="B1047" t="s">
        <v>40</v>
      </c>
      <c r="C1047" t="s">
        <v>41</v>
      </c>
      <c r="D1047" s="1">
        <v>46210.881423611114</v>
      </c>
      <c r="E1047" t="s">
        <v>42</v>
      </c>
      <c r="F1047" t="s">
        <v>83</v>
      </c>
      <c r="G1047">
        <v>5</v>
      </c>
      <c r="H1047">
        <v>33206</v>
      </c>
      <c r="I1047" t="s">
        <v>43</v>
      </c>
      <c r="J1047">
        <v>35</v>
      </c>
      <c r="K1047">
        <v>3</v>
      </c>
      <c r="L1047">
        <v>98</v>
      </c>
      <c r="M1047">
        <v>628.90002441000001</v>
      </c>
      <c r="N1047" t="s">
        <v>87</v>
      </c>
      <c r="O1047" t="s">
        <v>86</v>
      </c>
      <c r="P1047">
        <v>127</v>
      </c>
      <c r="Q1047">
        <v>2</v>
      </c>
      <c r="R1047">
        <v>0</v>
      </c>
      <c r="S1047">
        <v>1118</v>
      </c>
      <c r="T1047">
        <v>-40</v>
      </c>
      <c r="U1047">
        <v>40</v>
      </c>
      <c r="V1047">
        <v>5</v>
      </c>
      <c r="W1047">
        <v>29</v>
      </c>
      <c r="X1047">
        <v>29</v>
      </c>
      <c r="Y1047">
        <v>1</v>
      </c>
      <c r="Z1047">
        <v>1</v>
      </c>
      <c r="AA1047">
        <v>26</v>
      </c>
      <c r="AB1047">
        <v>2</v>
      </c>
      <c r="AC1047">
        <v>2</v>
      </c>
      <c r="AD1047">
        <v>3.2780001200000002</v>
      </c>
      <c r="AE1047">
        <v>1</v>
      </c>
      <c r="AF1047">
        <v>1</v>
      </c>
      <c r="AG1047">
        <v>3.2750001000000002</v>
      </c>
      <c r="AH1047">
        <v>4</v>
      </c>
      <c r="AI1047">
        <v>17</v>
      </c>
      <c r="AJ1047">
        <v>1</v>
      </c>
      <c r="AK1047">
        <v>26</v>
      </c>
      <c r="AL1047">
        <v>34</v>
      </c>
      <c r="AM1047" t="s">
        <v>43</v>
      </c>
      <c r="AN1047" t="s">
        <v>43</v>
      </c>
    </row>
    <row r="1048" spans="1:40" x14ac:dyDescent="0.3">
      <c r="A1048" s="1">
        <v>46210.878472222219</v>
      </c>
      <c r="B1048" t="s">
        <v>40</v>
      </c>
      <c r="C1048" t="s">
        <v>41</v>
      </c>
      <c r="D1048" s="1">
        <v>46210.881423611114</v>
      </c>
      <c r="E1048" t="s">
        <v>42</v>
      </c>
      <c r="F1048" t="s">
        <v>83</v>
      </c>
      <c r="G1048">
        <v>7</v>
      </c>
      <c r="H1048">
        <v>33206</v>
      </c>
      <c r="I1048" t="s">
        <v>442</v>
      </c>
      <c r="J1048">
        <v>35</v>
      </c>
      <c r="K1048">
        <v>3</v>
      </c>
      <c r="L1048">
        <v>98</v>
      </c>
      <c r="M1048">
        <v>628.5</v>
      </c>
      <c r="N1048" t="s">
        <v>87</v>
      </c>
      <c r="O1048" t="s">
        <v>86</v>
      </c>
      <c r="P1048">
        <v>127</v>
      </c>
      <c r="Q1048">
        <v>2</v>
      </c>
      <c r="R1048">
        <v>0</v>
      </c>
      <c r="S1048">
        <v>1491</v>
      </c>
      <c r="T1048">
        <v>-40</v>
      </c>
      <c r="U1048">
        <v>41</v>
      </c>
      <c r="V1048">
        <v>5</v>
      </c>
      <c r="W1048">
        <v>29</v>
      </c>
      <c r="X1048">
        <v>29</v>
      </c>
      <c r="Y1048">
        <v>1</v>
      </c>
      <c r="Z1048">
        <v>1</v>
      </c>
      <c r="AA1048">
        <v>26</v>
      </c>
      <c r="AB1048">
        <v>2</v>
      </c>
      <c r="AC1048">
        <v>2</v>
      </c>
      <c r="AD1048">
        <v>3.2780001200000002</v>
      </c>
      <c r="AE1048">
        <v>1</v>
      </c>
      <c r="AF1048">
        <v>6</v>
      </c>
      <c r="AG1048">
        <v>3.27399993</v>
      </c>
      <c r="AH1048">
        <v>6</v>
      </c>
      <c r="AI1048">
        <v>24</v>
      </c>
      <c r="AJ1048">
        <v>1</v>
      </c>
      <c r="AK1048">
        <v>26</v>
      </c>
      <c r="AL1048">
        <v>34</v>
      </c>
      <c r="AM1048" t="s">
        <v>43</v>
      </c>
      <c r="AN1048" t="str">
        <f>HYPERLINK("https://www.google.com/maps?q=11.05541515,79.06075287","Open Location")</f>
        <v>Open Location</v>
      </c>
    </row>
    <row r="1049" spans="1:40" x14ac:dyDescent="0.3">
      <c r="A1049" s="1">
        <v>46210.87835648148</v>
      </c>
      <c r="B1049" t="s">
        <v>40</v>
      </c>
      <c r="C1049" t="s">
        <v>41</v>
      </c>
      <c r="D1049" s="1">
        <v>46210.881365740737</v>
      </c>
      <c r="E1049" t="s">
        <v>42</v>
      </c>
      <c r="F1049" t="s">
        <v>83</v>
      </c>
      <c r="G1049">
        <v>5</v>
      </c>
      <c r="H1049">
        <v>33206</v>
      </c>
      <c r="I1049" t="s">
        <v>443</v>
      </c>
      <c r="J1049">
        <v>35</v>
      </c>
      <c r="K1049">
        <v>7</v>
      </c>
      <c r="L1049">
        <v>98</v>
      </c>
      <c r="M1049">
        <v>627.5</v>
      </c>
      <c r="N1049" t="s">
        <v>87</v>
      </c>
      <c r="O1049" t="s">
        <v>86</v>
      </c>
      <c r="P1049">
        <v>127</v>
      </c>
      <c r="Q1049">
        <v>2</v>
      </c>
      <c r="R1049">
        <v>17</v>
      </c>
      <c r="S1049">
        <v>1202</v>
      </c>
      <c r="T1049">
        <v>-40</v>
      </c>
      <c r="U1049">
        <v>41</v>
      </c>
      <c r="V1049">
        <v>23</v>
      </c>
      <c r="W1049">
        <v>29</v>
      </c>
      <c r="X1049">
        <v>29</v>
      </c>
      <c r="Y1049">
        <v>1</v>
      </c>
      <c r="Z1049">
        <v>1</v>
      </c>
      <c r="AA1049">
        <v>26</v>
      </c>
      <c r="AB1049">
        <v>2</v>
      </c>
      <c r="AC1049">
        <v>2</v>
      </c>
      <c r="AD1049">
        <v>3.27099991</v>
      </c>
      <c r="AE1049">
        <v>1</v>
      </c>
      <c r="AF1049">
        <v>47</v>
      </c>
      <c r="AG1049">
        <v>3.2650001</v>
      </c>
      <c r="AH1049">
        <v>4</v>
      </c>
      <c r="AI1049">
        <v>24</v>
      </c>
      <c r="AJ1049">
        <v>1</v>
      </c>
      <c r="AK1049">
        <v>26</v>
      </c>
      <c r="AL1049">
        <v>34</v>
      </c>
      <c r="AM1049" t="s">
        <v>43</v>
      </c>
      <c r="AN1049" t="str">
        <f>HYPERLINK("https://www.google.com/maps?q=11.0556221,79.06072235","Open Location")</f>
        <v>Open Location</v>
      </c>
    </row>
    <row r="1050" spans="1:40" x14ac:dyDescent="0.3">
      <c r="A1050" s="1">
        <v>46210.878240740742</v>
      </c>
      <c r="B1050" t="s">
        <v>40</v>
      </c>
      <c r="C1050" t="s">
        <v>41</v>
      </c>
      <c r="D1050" s="1">
        <v>46210.881215277775</v>
      </c>
      <c r="E1050" t="s">
        <v>42</v>
      </c>
      <c r="F1050" t="s">
        <v>83</v>
      </c>
      <c r="G1050">
        <v>5</v>
      </c>
      <c r="H1050">
        <v>33206</v>
      </c>
      <c r="I1050" t="s">
        <v>444</v>
      </c>
      <c r="J1050">
        <v>35</v>
      </c>
      <c r="K1050">
        <v>27</v>
      </c>
      <c r="L1050">
        <v>98</v>
      </c>
      <c r="M1050">
        <v>627.20001220999995</v>
      </c>
      <c r="N1050" t="s">
        <v>87</v>
      </c>
      <c r="O1050" t="s">
        <v>86</v>
      </c>
      <c r="P1050">
        <v>127</v>
      </c>
      <c r="Q1050">
        <v>2</v>
      </c>
      <c r="R1050">
        <v>9</v>
      </c>
      <c r="S1050">
        <v>1316</v>
      </c>
      <c r="T1050">
        <v>-40</v>
      </c>
      <c r="U1050">
        <v>41</v>
      </c>
      <c r="V1050">
        <v>80</v>
      </c>
      <c r="W1050">
        <v>29</v>
      </c>
      <c r="X1050">
        <v>29</v>
      </c>
      <c r="Y1050">
        <v>1</v>
      </c>
      <c r="Z1050">
        <v>1</v>
      </c>
      <c r="AA1050">
        <v>26</v>
      </c>
      <c r="AB1050">
        <v>2</v>
      </c>
      <c r="AC1050">
        <v>2</v>
      </c>
      <c r="AD1050">
        <v>3.2720000699999998</v>
      </c>
      <c r="AE1050">
        <v>1</v>
      </c>
      <c r="AF1050">
        <v>2</v>
      </c>
      <c r="AG1050">
        <v>3.2669999600000001</v>
      </c>
      <c r="AH1050">
        <v>4</v>
      </c>
      <c r="AI1050">
        <v>17</v>
      </c>
      <c r="AJ1050">
        <v>1</v>
      </c>
      <c r="AK1050">
        <v>26</v>
      </c>
      <c r="AL1050">
        <v>33</v>
      </c>
      <c r="AM1050" t="s">
        <v>43</v>
      </c>
      <c r="AN1050" t="str">
        <f>HYPERLINK("https://www.google.com/maps?q=11.05581284,79.06065369","Open Location")</f>
        <v>Open Location</v>
      </c>
    </row>
    <row r="1051" spans="1:40" x14ac:dyDescent="0.3">
      <c r="A1051" s="1">
        <v>46210.878125000003</v>
      </c>
      <c r="B1051" t="s">
        <v>40</v>
      </c>
      <c r="C1051" t="s">
        <v>41</v>
      </c>
      <c r="D1051" s="1">
        <v>46210.881226851852</v>
      </c>
      <c r="E1051" t="s">
        <v>42</v>
      </c>
      <c r="F1051" t="s">
        <v>83</v>
      </c>
      <c r="G1051">
        <v>6</v>
      </c>
      <c r="H1051">
        <v>33206</v>
      </c>
      <c r="I1051" t="s">
        <v>445</v>
      </c>
      <c r="J1051">
        <v>35</v>
      </c>
      <c r="K1051">
        <v>19</v>
      </c>
      <c r="L1051">
        <v>98</v>
      </c>
      <c r="M1051">
        <v>627</v>
      </c>
      <c r="N1051" t="s">
        <v>87</v>
      </c>
      <c r="O1051" t="s">
        <v>86</v>
      </c>
      <c r="P1051">
        <v>127</v>
      </c>
      <c r="Q1051">
        <v>2</v>
      </c>
      <c r="R1051">
        <v>24</v>
      </c>
      <c r="S1051">
        <v>1358</v>
      </c>
      <c r="T1051">
        <v>-40</v>
      </c>
      <c r="U1051">
        <v>41</v>
      </c>
      <c r="V1051">
        <v>57</v>
      </c>
      <c r="W1051">
        <v>29</v>
      </c>
      <c r="X1051">
        <v>29</v>
      </c>
      <c r="Y1051">
        <v>1</v>
      </c>
      <c r="Z1051">
        <v>1</v>
      </c>
      <c r="AA1051">
        <v>26</v>
      </c>
      <c r="AB1051">
        <v>2</v>
      </c>
      <c r="AC1051">
        <v>2</v>
      </c>
      <c r="AD1051">
        <v>3.2730000000000001</v>
      </c>
      <c r="AE1051">
        <v>1</v>
      </c>
      <c r="AF1051">
        <v>47</v>
      </c>
      <c r="AG1051">
        <v>3.2669999600000001</v>
      </c>
      <c r="AH1051">
        <v>4</v>
      </c>
      <c r="AI1051">
        <v>17</v>
      </c>
      <c r="AJ1051">
        <v>1</v>
      </c>
      <c r="AK1051">
        <v>26</v>
      </c>
      <c r="AL1051">
        <v>33</v>
      </c>
      <c r="AM1051" t="s">
        <v>43</v>
      </c>
      <c r="AN1051" t="str">
        <f>HYPERLINK("https://www.google.com/maps?q=11.05601692,79.06067657","Open Location")</f>
        <v>Open Location</v>
      </c>
    </row>
    <row r="1052" spans="1:40" x14ac:dyDescent="0.3">
      <c r="A1052" s="1">
        <v>46210.878009259257</v>
      </c>
      <c r="B1052" t="s">
        <v>40</v>
      </c>
      <c r="C1052" t="s">
        <v>41</v>
      </c>
      <c r="D1052" s="1">
        <v>46210.881226851852</v>
      </c>
      <c r="E1052" t="s">
        <v>42</v>
      </c>
      <c r="F1052" t="s">
        <v>83</v>
      </c>
      <c r="G1052">
        <v>7</v>
      </c>
      <c r="H1052" t="s">
        <v>43</v>
      </c>
      <c r="I1052" t="s">
        <v>446</v>
      </c>
      <c r="J1052" t="s">
        <v>43</v>
      </c>
      <c r="K1052" t="s">
        <v>43</v>
      </c>
      <c r="L1052" t="s">
        <v>43</v>
      </c>
      <c r="M1052" t="s">
        <v>43</v>
      </c>
      <c r="N1052" t="s">
        <v>87</v>
      </c>
      <c r="O1052" t="s">
        <v>86</v>
      </c>
      <c r="P1052">
        <v>127</v>
      </c>
      <c r="Q1052">
        <v>2</v>
      </c>
      <c r="R1052">
        <v>40</v>
      </c>
      <c r="S1052">
        <v>1511</v>
      </c>
      <c r="T1052">
        <v>-40</v>
      </c>
      <c r="U1052">
        <v>42</v>
      </c>
      <c r="V1052">
        <v>280</v>
      </c>
      <c r="W1052">
        <v>29</v>
      </c>
      <c r="X1052">
        <v>29</v>
      </c>
      <c r="Y1052">
        <v>1</v>
      </c>
      <c r="Z1052">
        <v>1</v>
      </c>
      <c r="AA1052">
        <v>26</v>
      </c>
      <c r="AB1052">
        <v>2</v>
      </c>
      <c r="AC1052">
        <v>2</v>
      </c>
      <c r="AD1052">
        <v>3.2669999600000001</v>
      </c>
      <c r="AE1052">
        <v>1</v>
      </c>
      <c r="AF1052">
        <v>1</v>
      </c>
      <c r="AG1052">
        <v>3.2609999200000002</v>
      </c>
      <c r="AH1052">
        <v>4</v>
      </c>
      <c r="AI1052">
        <v>17</v>
      </c>
      <c r="AJ1052">
        <v>1</v>
      </c>
      <c r="AK1052">
        <v>26</v>
      </c>
      <c r="AL1052">
        <v>33</v>
      </c>
      <c r="AM1052" t="s">
        <v>43</v>
      </c>
      <c r="AN1052" t="str">
        <f>HYPERLINK("https://www.google.com/maps?q=11.0562191,79.06070709","Open Location")</f>
        <v>Open Location</v>
      </c>
    </row>
    <row r="1053" spans="1:40" x14ac:dyDescent="0.3">
      <c r="A1053" s="1">
        <v>46210.877893518518</v>
      </c>
      <c r="B1053" t="s">
        <v>40</v>
      </c>
      <c r="C1053" t="s">
        <v>41</v>
      </c>
      <c r="D1053" s="1">
        <v>46210.880868055552</v>
      </c>
      <c r="E1053" t="s">
        <v>42</v>
      </c>
      <c r="F1053" t="s">
        <v>83</v>
      </c>
      <c r="G1053">
        <v>6</v>
      </c>
      <c r="H1053">
        <v>33206</v>
      </c>
      <c r="I1053" t="s">
        <v>43</v>
      </c>
      <c r="J1053">
        <v>36</v>
      </c>
      <c r="K1053">
        <v>4</v>
      </c>
      <c r="L1053">
        <v>98</v>
      </c>
      <c r="M1053">
        <v>628.79998779000005</v>
      </c>
      <c r="N1053" t="s">
        <v>87</v>
      </c>
      <c r="O1053" t="s">
        <v>86</v>
      </c>
      <c r="P1053">
        <v>128</v>
      </c>
      <c r="Q1053">
        <v>2</v>
      </c>
      <c r="R1053">
        <v>1</v>
      </c>
      <c r="S1053">
        <v>994</v>
      </c>
      <c r="T1053">
        <v>-40</v>
      </c>
      <c r="U1053">
        <v>40</v>
      </c>
      <c r="V1053">
        <v>-5</v>
      </c>
      <c r="W1053">
        <v>29</v>
      </c>
      <c r="X1053">
        <v>29</v>
      </c>
      <c r="Y1053">
        <v>1</v>
      </c>
      <c r="Z1053">
        <v>1</v>
      </c>
      <c r="AA1053">
        <v>26</v>
      </c>
      <c r="AB1053">
        <v>2</v>
      </c>
      <c r="AC1053">
        <v>2</v>
      </c>
      <c r="AD1053">
        <v>3.27999997</v>
      </c>
      <c r="AE1053">
        <v>1</v>
      </c>
      <c r="AF1053">
        <v>1</v>
      </c>
      <c r="AG1053">
        <v>3.27699995</v>
      </c>
      <c r="AH1053">
        <v>6</v>
      </c>
      <c r="AI1053">
        <v>24</v>
      </c>
      <c r="AJ1053">
        <v>1</v>
      </c>
      <c r="AK1053">
        <v>28</v>
      </c>
      <c r="AL1053">
        <v>33</v>
      </c>
      <c r="AM1053" t="s">
        <v>43</v>
      </c>
      <c r="AN1053" t="s">
        <v>43</v>
      </c>
    </row>
    <row r="1054" spans="1:40" x14ac:dyDescent="0.3">
      <c r="A1054" s="1">
        <v>46210.87777777778</v>
      </c>
      <c r="B1054" t="s">
        <v>40</v>
      </c>
      <c r="C1054" t="s">
        <v>41</v>
      </c>
      <c r="D1054" s="1">
        <v>46210.880879629629</v>
      </c>
      <c r="E1054" t="s">
        <v>42</v>
      </c>
      <c r="F1054" t="s">
        <v>83</v>
      </c>
      <c r="G1054">
        <v>12</v>
      </c>
      <c r="H1054">
        <v>33206</v>
      </c>
      <c r="I1054" t="s">
        <v>447</v>
      </c>
      <c r="J1054">
        <v>36</v>
      </c>
      <c r="K1054">
        <v>-13</v>
      </c>
      <c r="L1054">
        <v>98</v>
      </c>
      <c r="M1054">
        <v>629.29998779000005</v>
      </c>
      <c r="N1054" t="s">
        <v>87</v>
      </c>
      <c r="O1054" t="s">
        <v>86</v>
      </c>
      <c r="P1054">
        <v>128</v>
      </c>
      <c r="Q1054">
        <v>3</v>
      </c>
      <c r="R1054">
        <v>-11</v>
      </c>
      <c r="S1054">
        <v>1516</v>
      </c>
      <c r="T1054">
        <v>-40</v>
      </c>
      <c r="U1054">
        <v>41</v>
      </c>
      <c r="V1054">
        <v>-68</v>
      </c>
      <c r="W1054">
        <v>29</v>
      </c>
      <c r="X1054">
        <v>29</v>
      </c>
      <c r="Y1054">
        <v>1</v>
      </c>
      <c r="Z1054">
        <v>1</v>
      </c>
      <c r="AA1054">
        <v>26</v>
      </c>
      <c r="AB1054">
        <v>2</v>
      </c>
      <c r="AC1054">
        <v>2</v>
      </c>
      <c r="AD1054">
        <v>3.2820000600000001</v>
      </c>
      <c r="AE1054">
        <v>1</v>
      </c>
      <c r="AF1054">
        <v>1</v>
      </c>
      <c r="AG1054">
        <v>3.2790000400000001</v>
      </c>
      <c r="AH1054">
        <v>7</v>
      </c>
      <c r="AI1054">
        <v>1</v>
      </c>
      <c r="AJ1054">
        <v>1</v>
      </c>
      <c r="AK1054">
        <v>26</v>
      </c>
      <c r="AL1054">
        <v>33</v>
      </c>
      <c r="AM1054" t="s">
        <v>43</v>
      </c>
      <c r="AN1054" t="str">
        <f>HYPERLINK("https://www.google.com/maps?q=11.05628586,79.06092072","Open Location")</f>
        <v>Open Location</v>
      </c>
    </row>
    <row r="1055" spans="1:40" x14ac:dyDescent="0.3">
      <c r="A1055" s="1">
        <v>46210.877662037034</v>
      </c>
      <c r="B1055" t="s">
        <v>40</v>
      </c>
      <c r="C1055" t="s">
        <v>41</v>
      </c>
      <c r="D1055" s="1">
        <v>46210.880671296298</v>
      </c>
      <c r="E1055" t="s">
        <v>42</v>
      </c>
      <c r="F1055" t="s">
        <v>83</v>
      </c>
      <c r="G1055">
        <v>13</v>
      </c>
      <c r="H1055">
        <v>33206</v>
      </c>
      <c r="I1055" t="s">
        <v>448</v>
      </c>
      <c r="J1055">
        <v>36</v>
      </c>
      <c r="K1055">
        <v>-16</v>
      </c>
      <c r="L1055">
        <v>98</v>
      </c>
      <c r="M1055">
        <v>629.29998779000005</v>
      </c>
      <c r="N1055" t="s">
        <v>87</v>
      </c>
      <c r="O1055" t="s">
        <v>86</v>
      </c>
      <c r="P1055">
        <v>128</v>
      </c>
      <c r="Q1055">
        <v>3</v>
      </c>
      <c r="R1055">
        <v>-12</v>
      </c>
      <c r="S1055">
        <v>1667</v>
      </c>
      <c r="T1055">
        <v>-40</v>
      </c>
      <c r="U1055">
        <v>41</v>
      </c>
      <c r="V1055">
        <v>-68</v>
      </c>
      <c r="W1055">
        <v>29</v>
      </c>
      <c r="X1055">
        <v>29</v>
      </c>
      <c r="Y1055">
        <v>1</v>
      </c>
      <c r="Z1055">
        <v>1</v>
      </c>
      <c r="AA1055">
        <v>26</v>
      </c>
      <c r="AB1055">
        <v>2</v>
      </c>
      <c r="AC1055">
        <v>2</v>
      </c>
      <c r="AD1055">
        <v>3.2809998999999999</v>
      </c>
      <c r="AE1055">
        <v>1</v>
      </c>
      <c r="AF1055">
        <v>2</v>
      </c>
      <c r="AG1055">
        <v>3.2780001200000002</v>
      </c>
      <c r="AH1055">
        <v>2</v>
      </c>
      <c r="AI1055">
        <v>6</v>
      </c>
      <c r="AJ1055">
        <v>1</v>
      </c>
      <c r="AK1055">
        <v>26</v>
      </c>
      <c r="AL1055">
        <v>33</v>
      </c>
      <c r="AM1055" t="s">
        <v>43</v>
      </c>
      <c r="AN1055" t="str">
        <f>HYPERLINK("https://www.google.com/maps?q=11.05629539,79.06132507","Open Location")</f>
        <v>Open Location</v>
      </c>
    </row>
    <row r="1056" spans="1:40" x14ac:dyDescent="0.3">
      <c r="A1056" s="1">
        <v>46210.877546296295</v>
      </c>
      <c r="B1056" t="s">
        <v>40</v>
      </c>
      <c r="C1056" t="s">
        <v>41</v>
      </c>
      <c r="D1056" s="1">
        <v>46210.880671296298</v>
      </c>
      <c r="E1056" t="s">
        <v>42</v>
      </c>
      <c r="F1056" t="s">
        <v>83</v>
      </c>
      <c r="G1056">
        <v>10</v>
      </c>
      <c r="H1056">
        <v>33206</v>
      </c>
      <c r="I1056" t="s">
        <v>449</v>
      </c>
      <c r="J1056">
        <v>36</v>
      </c>
      <c r="K1056">
        <v>48</v>
      </c>
      <c r="L1056">
        <v>98</v>
      </c>
      <c r="M1056">
        <v>627.20001220999995</v>
      </c>
      <c r="N1056" t="s">
        <v>87</v>
      </c>
      <c r="O1056" t="s">
        <v>86</v>
      </c>
      <c r="P1056">
        <v>128</v>
      </c>
      <c r="Q1056">
        <v>3</v>
      </c>
      <c r="R1056">
        <v>29</v>
      </c>
      <c r="S1056">
        <v>1243</v>
      </c>
      <c r="T1056">
        <v>-40</v>
      </c>
      <c r="U1056">
        <v>41</v>
      </c>
      <c r="V1056">
        <v>220</v>
      </c>
      <c r="W1056">
        <v>29</v>
      </c>
      <c r="X1056">
        <v>29</v>
      </c>
      <c r="Y1056">
        <v>1</v>
      </c>
      <c r="Z1056">
        <v>1</v>
      </c>
      <c r="AA1056">
        <v>26</v>
      </c>
      <c r="AB1056">
        <v>2</v>
      </c>
      <c r="AC1056">
        <v>2</v>
      </c>
      <c r="AD1056">
        <v>3.2690000499999998</v>
      </c>
      <c r="AE1056">
        <v>1</v>
      </c>
      <c r="AF1056">
        <v>1</v>
      </c>
      <c r="AG1056">
        <v>3.2630000099999998</v>
      </c>
      <c r="AH1056">
        <v>4</v>
      </c>
      <c r="AI1056">
        <v>24</v>
      </c>
      <c r="AJ1056">
        <v>1</v>
      </c>
      <c r="AK1056">
        <v>26</v>
      </c>
      <c r="AL1056">
        <v>33</v>
      </c>
      <c r="AM1056" t="s">
        <v>43</v>
      </c>
      <c r="AN1056" t="str">
        <f>HYPERLINK("https://www.google.com/maps?q=11.05629921,79.06169128","Open Location")</f>
        <v>Open Location</v>
      </c>
    </row>
    <row r="1057" spans="1:40" x14ac:dyDescent="0.3">
      <c r="A1057" s="1">
        <v>46210.877430555556</v>
      </c>
      <c r="B1057" t="s">
        <v>40</v>
      </c>
      <c r="C1057" t="s">
        <v>41</v>
      </c>
      <c r="D1057" s="1">
        <v>46210.880497685182</v>
      </c>
      <c r="E1057" t="s">
        <v>42</v>
      </c>
      <c r="F1057" t="s">
        <v>83</v>
      </c>
      <c r="G1057">
        <v>7</v>
      </c>
      <c r="H1057">
        <v>33206</v>
      </c>
      <c r="I1057" t="s">
        <v>450</v>
      </c>
      <c r="J1057">
        <v>36</v>
      </c>
      <c r="K1057">
        <v>24</v>
      </c>
      <c r="L1057">
        <v>98</v>
      </c>
      <c r="M1057">
        <v>627.70001220999995</v>
      </c>
      <c r="N1057" t="s">
        <v>87</v>
      </c>
      <c r="O1057" t="s">
        <v>86</v>
      </c>
      <c r="P1057">
        <v>127</v>
      </c>
      <c r="Q1057">
        <v>2</v>
      </c>
      <c r="R1057">
        <v>16</v>
      </c>
      <c r="S1057">
        <v>1297</v>
      </c>
      <c r="T1057">
        <v>-40</v>
      </c>
      <c r="U1057">
        <v>41</v>
      </c>
      <c r="V1057">
        <v>100</v>
      </c>
      <c r="W1057">
        <v>29</v>
      </c>
      <c r="X1057">
        <v>29</v>
      </c>
      <c r="Y1057">
        <v>1</v>
      </c>
      <c r="Z1057">
        <v>1</v>
      </c>
      <c r="AA1057">
        <v>26</v>
      </c>
      <c r="AB1057">
        <v>2</v>
      </c>
      <c r="AC1057">
        <v>2</v>
      </c>
      <c r="AD1057">
        <v>3.27399993</v>
      </c>
      <c r="AE1057">
        <v>1</v>
      </c>
      <c r="AF1057">
        <v>1</v>
      </c>
      <c r="AG1057">
        <v>3.2690000499999998</v>
      </c>
      <c r="AH1057">
        <v>7</v>
      </c>
      <c r="AI1057">
        <v>1</v>
      </c>
      <c r="AJ1057">
        <v>1</v>
      </c>
      <c r="AK1057">
        <v>27</v>
      </c>
      <c r="AL1057">
        <v>33</v>
      </c>
      <c r="AM1057" t="s">
        <v>43</v>
      </c>
      <c r="AN1057" t="str">
        <f>HYPERLINK("https://www.google.com/maps?q=11.05631542,79.06191254","Open Location")</f>
        <v>Open Location</v>
      </c>
    </row>
    <row r="1058" spans="1:40" x14ac:dyDescent="0.3">
      <c r="A1058" s="1">
        <v>46210.877314814818</v>
      </c>
      <c r="B1058" t="s">
        <v>40</v>
      </c>
      <c r="C1058" t="s">
        <v>41</v>
      </c>
      <c r="D1058" s="1">
        <v>46210.880509259259</v>
      </c>
      <c r="E1058" t="s">
        <v>42</v>
      </c>
      <c r="F1058" t="s">
        <v>83</v>
      </c>
      <c r="G1058">
        <v>10</v>
      </c>
      <c r="H1058">
        <v>33206</v>
      </c>
      <c r="I1058" t="s">
        <v>43</v>
      </c>
      <c r="J1058">
        <v>36</v>
      </c>
      <c r="K1058">
        <v>-11</v>
      </c>
      <c r="L1058">
        <v>98</v>
      </c>
      <c r="M1058">
        <v>629.70001220999995</v>
      </c>
      <c r="N1058" t="s">
        <v>87</v>
      </c>
      <c r="O1058" t="s">
        <v>86</v>
      </c>
      <c r="P1058">
        <v>128</v>
      </c>
      <c r="Q1058">
        <v>3</v>
      </c>
      <c r="R1058">
        <v>-10</v>
      </c>
      <c r="S1058">
        <v>1259</v>
      </c>
      <c r="T1058">
        <v>-40</v>
      </c>
      <c r="U1058">
        <v>40</v>
      </c>
      <c r="V1058">
        <v>-68</v>
      </c>
      <c r="W1058">
        <v>29</v>
      </c>
      <c r="X1058">
        <v>29</v>
      </c>
      <c r="Y1058">
        <v>1</v>
      </c>
      <c r="Z1058">
        <v>1</v>
      </c>
      <c r="AA1058">
        <v>26</v>
      </c>
      <c r="AB1058">
        <v>2</v>
      </c>
      <c r="AC1058">
        <v>2</v>
      </c>
      <c r="AD1058">
        <v>3.28299999</v>
      </c>
      <c r="AE1058">
        <v>1</v>
      </c>
      <c r="AF1058">
        <v>1</v>
      </c>
      <c r="AG1058">
        <v>3.27999997</v>
      </c>
      <c r="AH1058">
        <v>4</v>
      </c>
      <c r="AI1058">
        <v>17</v>
      </c>
      <c r="AJ1058">
        <v>1</v>
      </c>
      <c r="AK1058">
        <v>27</v>
      </c>
      <c r="AL1058">
        <v>33</v>
      </c>
      <c r="AM1058" t="s">
        <v>43</v>
      </c>
      <c r="AN1058" t="s">
        <v>43</v>
      </c>
    </row>
    <row r="1059" spans="1:40" x14ac:dyDescent="0.3">
      <c r="A1059" s="1">
        <v>46210.877199074072</v>
      </c>
      <c r="B1059" t="s">
        <v>40</v>
      </c>
      <c r="C1059" t="s">
        <v>41</v>
      </c>
      <c r="D1059" s="1">
        <v>46210.880335648151</v>
      </c>
      <c r="E1059" t="s">
        <v>42</v>
      </c>
      <c r="F1059" t="s">
        <v>83</v>
      </c>
      <c r="G1059">
        <v>13</v>
      </c>
      <c r="H1059">
        <v>33206</v>
      </c>
      <c r="I1059" t="s">
        <v>451</v>
      </c>
      <c r="J1059">
        <v>36</v>
      </c>
      <c r="K1059">
        <v>-13</v>
      </c>
      <c r="L1059">
        <v>98</v>
      </c>
      <c r="M1059">
        <v>629</v>
      </c>
      <c r="N1059" t="s">
        <v>87</v>
      </c>
      <c r="O1059" t="s">
        <v>86</v>
      </c>
      <c r="P1059">
        <v>128</v>
      </c>
      <c r="Q1059">
        <v>3</v>
      </c>
      <c r="R1059">
        <v>-12</v>
      </c>
      <c r="S1059">
        <v>1660</v>
      </c>
      <c r="T1059">
        <v>-40</v>
      </c>
      <c r="U1059">
        <v>40</v>
      </c>
      <c r="V1059">
        <v>-68</v>
      </c>
      <c r="W1059">
        <v>29</v>
      </c>
      <c r="X1059">
        <v>29</v>
      </c>
      <c r="Y1059">
        <v>1</v>
      </c>
      <c r="Z1059">
        <v>1</v>
      </c>
      <c r="AA1059">
        <v>26</v>
      </c>
      <c r="AB1059">
        <v>2</v>
      </c>
      <c r="AC1059">
        <v>2</v>
      </c>
      <c r="AD1059">
        <v>3.2809998999999999</v>
      </c>
      <c r="AE1059">
        <v>1</v>
      </c>
      <c r="AF1059">
        <v>28</v>
      </c>
      <c r="AG1059">
        <v>3.2780001200000002</v>
      </c>
      <c r="AH1059">
        <v>2</v>
      </c>
      <c r="AI1059">
        <v>6</v>
      </c>
      <c r="AJ1059">
        <v>1</v>
      </c>
      <c r="AK1059">
        <v>27</v>
      </c>
      <c r="AL1059">
        <v>33</v>
      </c>
      <c r="AM1059" t="s">
        <v>43</v>
      </c>
      <c r="AN1059" t="str">
        <f>HYPERLINK("https://www.google.com/maps?q=11.05631542,79.06221771","Open Location")</f>
        <v>Open Location</v>
      </c>
    </row>
    <row r="1060" spans="1:40" x14ac:dyDescent="0.3">
      <c r="A1060" s="1">
        <v>46210.877083333333</v>
      </c>
      <c r="B1060" t="s">
        <v>40</v>
      </c>
      <c r="C1060" t="s">
        <v>41</v>
      </c>
      <c r="D1060" s="1">
        <v>46210.880439814813</v>
      </c>
      <c r="E1060" t="s">
        <v>42</v>
      </c>
      <c r="F1060" t="s">
        <v>83</v>
      </c>
      <c r="G1060">
        <v>13</v>
      </c>
      <c r="H1060">
        <v>33206</v>
      </c>
      <c r="I1060" t="s">
        <v>452</v>
      </c>
      <c r="J1060">
        <v>36</v>
      </c>
      <c r="K1060">
        <v>42</v>
      </c>
      <c r="L1060">
        <v>98</v>
      </c>
      <c r="M1060">
        <v>627.09997558999999</v>
      </c>
      <c r="N1060" t="s">
        <v>87</v>
      </c>
      <c r="O1060" t="s">
        <v>86</v>
      </c>
      <c r="P1060">
        <v>128</v>
      </c>
      <c r="Q1060">
        <v>3</v>
      </c>
      <c r="R1060">
        <v>20</v>
      </c>
      <c r="S1060">
        <v>1607</v>
      </c>
      <c r="T1060">
        <v>-40</v>
      </c>
      <c r="U1060">
        <v>41</v>
      </c>
      <c r="V1060">
        <v>120</v>
      </c>
      <c r="W1060">
        <v>29</v>
      </c>
      <c r="X1060">
        <v>29</v>
      </c>
      <c r="Y1060">
        <v>1</v>
      </c>
      <c r="Z1060">
        <v>1</v>
      </c>
      <c r="AA1060">
        <v>26</v>
      </c>
      <c r="AB1060">
        <v>2</v>
      </c>
      <c r="AC1060">
        <v>2</v>
      </c>
      <c r="AD1060">
        <v>3.2699999800000001</v>
      </c>
      <c r="AE1060">
        <v>1</v>
      </c>
      <c r="AF1060">
        <v>47</v>
      </c>
      <c r="AG1060">
        <v>3.2639999400000002</v>
      </c>
      <c r="AH1060">
        <v>4</v>
      </c>
      <c r="AI1060">
        <v>24</v>
      </c>
      <c r="AJ1060">
        <v>1</v>
      </c>
      <c r="AK1060">
        <v>27</v>
      </c>
      <c r="AL1060">
        <v>33</v>
      </c>
      <c r="AM1060" t="s">
        <v>43</v>
      </c>
      <c r="AN1060" t="str">
        <f>HYPERLINK("https://www.google.com/maps?q=11.05633163,79.06261444","Open Location")</f>
        <v>Open Location</v>
      </c>
    </row>
    <row r="1061" spans="1:40" x14ac:dyDescent="0.3">
      <c r="A1061" s="1">
        <v>46210.876967592594</v>
      </c>
      <c r="B1061" t="s">
        <v>40</v>
      </c>
      <c r="C1061" t="s">
        <v>41</v>
      </c>
      <c r="D1061" s="1">
        <v>46210.880150462966</v>
      </c>
      <c r="E1061" t="s">
        <v>42</v>
      </c>
      <c r="F1061" t="s">
        <v>83</v>
      </c>
      <c r="G1061">
        <v>12</v>
      </c>
      <c r="H1061">
        <v>33206</v>
      </c>
      <c r="I1061" t="s">
        <v>453</v>
      </c>
      <c r="J1061">
        <v>36</v>
      </c>
      <c r="K1061">
        <v>35</v>
      </c>
      <c r="L1061">
        <v>98</v>
      </c>
      <c r="M1061">
        <v>627.40002441000001</v>
      </c>
      <c r="N1061" t="s">
        <v>87</v>
      </c>
      <c r="O1061" t="s">
        <v>86</v>
      </c>
      <c r="P1061">
        <v>128</v>
      </c>
      <c r="Q1061">
        <v>3</v>
      </c>
      <c r="R1061">
        <v>13</v>
      </c>
      <c r="S1061">
        <v>1623</v>
      </c>
      <c r="T1061">
        <v>-40</v>
      </c>
      <c r="U1061">
        <v>41</v>
      </c>
      <c r="V1061">
        <v>100</v>
      </c>
      <c r="W1061">
        <v>29</v>
      </c>
      <c r="X1061">
        <v>29</v>
      </c>
      <c r="Y1061">
        <v>1</v>
      </c>
      <c r="Z1061">
        <v>1</v>
      </c>
      <c r="AA1061">
        <v>26</v>
      </c>
      <c r="AB1061">
        <v>2</v>
      </c>
      <c r="AC1061">
        <v>2</v>
      </c>
      <c r="AD1061">
        <v>3.2790000400000001</v>
      </c>
      <c r="AE1061">
        <v>1</v>
      </c>
      <c r="AF1061">
        <v>47</v>
      </c>
      <c r="AG1061">
        <v>3.27399993</v>
      </c>
      <c r="AH1061">
        <v>4</v>
      </c>
      <c r="AI1061">
        <v>17</v>
      </c>
      <c r="AJ1061">
        <v>1</v>
      </c>
      <c r="AK1061">
        <v>27</v>
      </c>
      <c r="AL1061">
        <v>33</v>
      </c>
      <c r="AM1061" t="s">
        <v>43</v>
      </c>
      <c r="AN1061" t="str">
        <f>HYPERLINK("https://www.google.com/maps?q=11.05632782,79.06300354","Open Location")</f>
        <v>Open Location</v>
      </c>
    </row>
    <row r="1062" spans="1:40" x14ac:dyDescent="0.3">
      <c r="A1062" s="1">
        <v>46210.876851851855</v>
      </c>
      <c r="B1062" t="s">
        <v>40</v>
      </c>
      <c r="C1062" t="s">
        <v>41</v>
      </c>
      <c r="D1062" s="1">
        <v>46210.88013888889</v>
      </c>
      <c r="E1062" t="s">
        <v>42</v>
      </c>
      <c r="F1062" t="s">
        <v>83</v>
      </c>
      <c r="G1062">
        <v>11</v>
      </c>
      <c r="H1062">
        <v>33206</v>
      </c>
      <c r="I1062" t="s">
        <v>454</v>
      </c>
      <c r="J1062">
        <v>36</v>
      </c>
      <c r="K1062">
        <v>33</v>
      </c>
      <c r="L1062">
        <v>98</v>
      </c>
      <c r="M1062">
        <v>627.29998779000005</v>
      </c>
      <c r="N1062" t="s">
        <v>87</v>
      </c>
      <c r="O1062" t="s">
        <v>86</v>
      </c>
      <c r="P1062">
        <v>128</v>
      </c>
      <c r="Q1062">
        <v>3</v>
      </c>
      <c r="R1062">
        <v>17</v>
      </c>
      <c r="S1062">
        <v>1411</v>
      </c>
      <c r="T1062">
        <v>-40</v>
      </c>
      <c r="U1062">
        <v>41</v>
      </c>
      <c r="V1062">
        <v>120</v>
      </c>
      <c r="W1062">
        <v>29</v>
      </c>
      <c r="X1062">
        <v>29</v>
      </c>
      <c r="Y1062">
        <v>1</v>
      </c>
      <c r="Z1062">
        <v>1</v>
      </c>
      <c r="AA1062">
        <v>26</v>
      </c>
      <c r="AB1062">
        <v>2</v>
      </c>
      <c r="AC1062">
        <v>2</v>
      </c>
      <c r="AD1062">
        <v>3.2720000699999998</v>
      </c>
      <c r="AE1062">
        <v>1</v>
      </c>
      <c r="AF1062">
        <v>1</v>
      </c>
      <c r="AG1062">
        <v>3.2669999600000001</v>
      </c>
      <c r="AH1062">
        <v>4</v>
      </c>
      <c r="AI1062">
        <v>24</v>
      </c>
      <c r="AJ1062">
        <v>1</v>
      </c>
      <c r="AK1062">
        <v>27</v>
      </c>
      <c r="AL1062">
        <v>32</v>
      </c>
      <c r="AM1062" t="s">
        <v>43</v>
      </c>
      <c r="AN1062" t="str">
        <f>HYPERLINK("https://www.google.com/maps?q=11.05633736,79.06338501","Open Location")</f>
        <v>Open Location</v>
      </c>
    </row>
    <row r="1063" spans="1:40" x14ac:dyDescent="0.3">
      <c r="A1063" s="1">
        <v>46210.876736111109</v>
      </c>
      <c r="B1063" t="s">
        <v>40</v>
      </c>
      <c r="C1063" t="s">
        <v>41</v>
      </c>
      <c r="D1063" s="1">
        <v>46210.880150462966</v>
      </c>
      <c r="E1063" t="s">
        <v>42</v>
      </c>
      <c r="F1063" t="s">
        <v>83</v>
      </c>
      <c r="G1063">
        <v>7</v>
      </c>
      <c r="H1063">
        <v>33206</v>
      </c>
      <c r="I1063" t="s">
        <v>455</v>
      </c>
      <c r="J1063">
        <v>36</v>
      </c>
      <c r="K1063">
        <v>48</v>
      </c>
      <c r="L1063">
        <v>98</v>
      </c>
      <c r="M1063">
        <v>626.59997558999999</v>
      </c>
      <c r="N1063" t="s">
        <v>87</v>
      </c>
      <c r="O1063" t="s">
        <v>86</v>
      </c>
      <c r="P1063">
        <v>127</v>
      </c>
      <c r="Q1063">
        <v>2</v>
      </c>
      <c r="R1063">
        <v>31</v>
      </c>
      <c r="S1063">
        <v>1458</v>
      </c>
      <c r="T1063">
        <v>-40</v>
      </c>
      <c r="U1063">
        <v>41</v>
      </c>
      <c r="V1063">
        <v>200</v>
      </c>
      <c r="W1063">
        <v>29</v>
      </c>
      <c r="X1063">
        <v>29</v>
      </c>
      <c r="Y1063">
        <v>1</v>
      </c>
      <c r="Z1063">
        <v>1</v>
      </c>
      <c r="AA1063">
        <v>26</v>
      </c>
      <c r="AB1063">
        <v>2</v>
      </c>
      <c r="AC1063">
        <v>2</v>
      </c>
      <c r="AD1063">
        <v>3.26799989</v>
      </c>
      <c r="AE1063">
        <v>1</v>
      </c>
      <c r="AF1063">
        <v>1</v>
      </c>
      <c r="AG1063">
        <v>3.2609999200000002</v>
      </c>
      <c r="AH1063">
        <v>6</v>
      </c>
      <c r="AI1063">
        <v>24</v>
      </c>
      <c r="AJ1063">
        <v>1</v>
      </c>
      <c r="AK1063">
        <v>27</v>
      </c>
      <c r="AL1063">
        <v>32</v>
      </c>
      <c r="AM1063" t="s">
        <v>43</v>
      </c>
      <c r="AN1063" t="str">
        <f>HYPERLINK("https://www.google.com/maps?q=11.05634594,79.06358337","Open Location")</f>
        <v>Open Location</v>
      </c>
    </row>
    <row r="1064" spans="1:40" x14ac:dyDescent="0.3">
      <c r="A1064" s="1">
        <v>46210.876620370371</v>
      </c>
      <c r="B1064" t="s">
        <v>40</v>
      </c>
      <c r="C1064" t="s">
        <v>41</v>
      </c>
      <c r="D1064" s="1">
        <v>46210.880069444444</v>
      </c>
      <c r="E1064" t="s">
        <v>42</v>
      </c>
      <c r="F1064" t="s">
        <v>83</v>
      </c>
      <c r="G1064">
        <v>4</v>
      </c>
      <c r="H1064">
        <v>33206</v>
      </c>
      <c r="I1064" t="s">
        <v>43</v>
      </c>
      <c r="J1064">
        <v>36</v>
      </c>
      <c r="K1064">
        <v>25</v>
      </c>
      <c r="L1064">
        <v>98</v>
      </c>
      <c r="M1064">
        <v>627.79998779000005</v>
      </c>
      <c r="N1064" t="s">
        <v>87</v>
      </c>
      <c r="O1064" t="s">
        <v>86</v>
      </c>
      <c r="P1064">
        <v>127</v>
      </c>
      <c r="Q1064">
        <v>2</v>
      </c>
      <c r="R1064">
        <v>9</v>
      </c>
      <c r="S1064">
        <v>1103</v>
      </c>
      <c r="T1064">
        <v>-40</v>
      </c>
      <c r="U1064">
        <v>42</v>
      </c>
      <c r="V1064">
        <v>80</v>
      </c>
      <c r="W1064">
        <v>29</v>
      </c>
      <c r="X1064">
        <v>29</v>
      </c>
      <c r="Y1064">
        <v>1</v>
      </c>
      <c r="Z1064">
        <v>1</v>
      </c>
      <c r="AA1064">
        <v>26</v>
      </c>
      <c r="AB1064">
        <v>2</v>
      </c>
      <c r="AC1064">
        <v>2</v>
      </c>
      <c r="AD1064">
        <v>3.2699999800000001</v>
      </c>
      <c r="AE1064">
        <v>1</v>
      </c>
      <c r="AF1064">
        <v>47</v>
      </c>
      <c r="AG1064">
        <v>3.2630000099999998</v>
      </c>
      <c r="AH1064">
        <v>4</v>
      </c>
      <c r="AI1064">
        <v>24</v>
      </c>
      <c r="AJ1064">
        <v>1</v>
      </c>
      <c r="AK1064">
        <v>27</v>
      </c>
      <c r="AL1064">
        <v>32</v>
      </c>
      <c r="AM1064" t="s">
        <v>43</v>
      </c>
      <c r="AN1064" t="s">
        <v>43</v>
      </c>
    </row>
    <row r="1065" spans="1:40" x14ac:dyDescent="0.3">
      <c r="A1065" s="1">
        <v>46210.876504629632</v>
      </c>
      <c r="B1065" t="s">
        <v>40</v>
      </c>
      <c r="C1065" t="s">
        <v>41</v>
      </c>
      <c r="D1065" s="1">
        <v>46210.879861111112</v>
      </c>
      <c r="E1065" t="s">
        <v>42</v>
      </c>
      <c r="F1065" t="s">
        <v>83</v>
      </c>
      <c r="G1065">
        <v>5</v>
      </c>
      <c r="H1065">
        <v>33206</v>
      </c>
      <c r="I1065" t="s">
        <v>456</v>
      </c>
      <c r="J1065">
        <v>36</v>
      </c>
      <c r="K1065">
        <v>74</v>
      </c>
      <c r="L1065">
        <v>98</v>
      </c>
      <c r="M1065">
        <v>626.09997558999999</v>
      </c>
      <c r="N1065" t="s">
        <v>87</v>
      </c>
      <c r="O1065" t="s">
        <v>86</v>
      </c>
      <c r="P1065">
        <v>127</v>
      </c>
      <c r="Q1065">
        <v>2</v>
      </c>
      <c r="R1065">
        <v>40</v>
      </c>
      <c r="S1065">
        <v>1014</v>
      </c>
      <c r="T1065">
        <v>-40</v>
      </c>
      <c r="U1065">
        <v>41</v>
      </c>
      <c r="V1065">
        <v>420</v>
      </c>
      <c r="W1065">
        <v>29</v>
      </c>
      <c r="X1065">
        <v>29</v>
      </c>
      <c r="Y1065">
        <v>1</v>
      </c>
      <c r="Z1065">
        <v>1</v>
      </c>
      <c r="AA1065">
        <v>26</v>
      </c>
      <c r="AB1065">
        <v>2</v>
      </c>
      <c r="AC1065">
        <v>2</v>
      </c>
      <c r="AD1065">
        <v>3.2690000499999998</v>
      </c>
      <c r="AE1065">
        <v>1</v>
      </c>
      <c r="AF1065">
        <v>1</v>
      </c>
      <c r="AG1065">
        <v>3.26200008</v>
      </c>
      <c r="AH1065">
        <v>6</v>
      </c>
      <c r="AI1065">
        <v>24</v>
      </c>
      <c r="AJ1065">
        <v>1</v>
      </c>
      <c r="AK1065">
        <v>27</v>
      </c>
      <c r="AL1065">
        <v>32</v>
      </c>
      <c r="AM1065" t="s">
        <v>43</v>
      </c>
      <c r="AN1065" t="str">
        <f>HYPERLINK("https://www.google.com/maps?q=11.05630493,79.06374359","Open Location")</f>
        <v>Open Location</v>
      </c>
    </row>
    <row r="1066" spans="1:40" x14ac:dyDescent="0.3">
      <c r="A1066" s="1">
        <v>46210.876388888886</v>
      </c>
      <c r="B1066" t="s">
        <v>40</v>
      </c>
      <c r="C1066" t="s">
        <v>41</v>
      </c>
      <c r="D1066" s="1">
        <v>46210.879976851851</v>
      </c>
      <c r="E1066" t="s">
        <v>42</v>
      </c>
      <c r="F1066" t="s">
        <v>83</v>
      </c>
      <c r="G1066">
        <v>0</v>
      </c>
      <c r="H1066" t="s">
        <v>43</v>
      </c>
      <c r="I1066" t="s">
        <v>457</v>
      </c>
      <c r="J1066">
        <v>36</v>
      </c>
      <c r="K1066">
        <v>2</v>
      </c>
      <c r="L1066">
        <v>98</v>
      </c>
      <c r="M1066">
        <v>629.70001220999995</v>
      </c>
      <c r="N1066" t="s">
        <v>85</v>
      </c>
      <c r="O1066" t="s">
        <v>86</v>
      </c>
      <c r="P1066">
        <v>127</v>
      </c>
      <c r="Q1066">
        <v>2</v>
      </c>
      <c r="R1066">
        <v>0</v>
      </c>
      <c r="S1066">
        <v>0</v>
      </c>
      <c r="T1066">
        <v>-40</v>
      </c>
      <c r="U1066">
        <v>40</v>
      </c>
      <c r="V1066">
        <v>5</v>
      </c>
      <c r="W1066">
        <v>29</v>
      </c>
      <c r="X1066">
        <v>29</v>
      </c>
      <c r="Y1066">
        <v>1</v>
      </c>
      <c r="Z1066">
        <v>1</v>
      </c>
      <c r="AA1066">
        <v>26</v>
      </c>
      <c r="AB1066">
        <v>2</v>
      </c>
      <c r="AC1066">
        <v>2</v>
      </c>
      <c r="AD1066">
        <v>3.2820000600000001</v>
      </c>
      <c r="AE1066">
        <v>1</v>
      </c>
      <c r="AF1066">
        <v>47</v>
      </c>
      <c r="AG1066">
        <v>3.2780001200000002</v>
      </c>
      <c r="AH1066">
        <v>7</v>
      </c>
      <c r="AI1066">
        <v>1</v>
      </c>
      <c r="AJ1066">
        <v>1</v>
      </c>
      <c r="AK1066">
        <v>28</v>
      </c>
      <c r="AL1066">
        <v>32</v>
      </c>
      <c r="AM1066" t="s">
        <v>43</v>
      </c>
      <c r="AN1066" t="str">
        <f>HYPERLINK("https://www.google.com/maps?q=11.05624104,79.06374359","Open Location")</f>
        <v>Open Location</v>
      </c>
    </row>
    <row r="1067" spans="1:40" x14ac:dyDescent="0.3">
      <c r="A1067" s="1">
        <v>46210.876273148147</v>
      </c>
      <c r="B1067" t="s">
        <v>40</v>
      </c>
      <c r="C1067" t="s">
        <v>41</v>
      </c>
      <c r="D1067" s="1">
        <v>46210.879641203705</v>
      </c>
      <c r="E1067" t="s">
        <v>42</v>
      </c>
      <c r="F1067" t="s">
        <v>83</v>
      </c>
      <c r="G1067">
        <v>0</v>
      </c>
      <c r="H1067">
        <v>33206</v>
      </c>
      <c r="I1067" t="s">
        <v>458</v>
      </c>
      <c r="J1067">
        <v>36</v>
      </c>
      <c r="K1067">
        <v>6</v>
      </c>
      <c r="L1067">
        <v>98</v>
      </c>
      <c r="M1067">
        <v>629.59997558999999</v>
      </c>
      <c r="N1067" t="s">
        <v>85</v>
      </c>
      <c r="O1067" t="s">
        <v>86</v>
      </c>
      <c r="P1067">
        <v>127</v>
      </c>
      <c r="Q1067">
        <v>2</v>
      </c>
      <c r="R1067">
        <v>0</v>
      </c>
      <c r="S1067">
        <v>0</v>
      </c>
      <c r="T1067">
        <v>-40</v>
      </c>
      <c r="U1067">
        <v>40</v>
      </c>
      <c r="V1067">
        <v>5</v>
      </c>
      <c r="W1067">
        <v>29</v>
      </c>
      <c r="X1067">
        <v>29</v>
      </c>
      <c r="Y1067">
        <v>1</v>
      </c>
      <c r="Z1067">
        <v>1</v>
      </c>
      <c r="AA1067">
        <v>26</v>
      </c>
      <c r="AB1067">
        <v>2</v>
      </c>
      <c r="AC1067">
        <v>2</v>
      </c>
      <c r="AD1067">
        <v>3.2809998999999999</v>
      </c>
      <c r="AE1067">
        <v>1</v>
      </c>
      <c r="AF1067">
        <v>16</v>
      </c>
      <c r="AG1067">
        <v>3.27699995</v>
      </c>
      <c r="AH1067">
        <v>4</v>
      </c>
      <c r="AI1067">
        <v>17</v>
      </c>
      <c r="AJ1067">
        <v>1</v>
      </c>
      <c r="AK1067">
        <v>28</v>
      </c>
      <c r="AL1067">
        <v>32</v>
      </c>
      <c r="AM1067" t="s">
        <v>43</v>
      </c>
      <c r="AN1067" t="str">
        <f>HYPERLINK("https://www.google.com/maps?q=11.05624008,79.06375122","Open Location")</f>
        <v>Open Location</v>
      </c>
    </row>
    <row r="1068" spans="1:40" x14ac:dyDescent="0.3">
      <c r="A1068" s="1">
        <v>46210.876157407409</v>
      </c>
      <c r="B1068" t="s">
        <v>40</v>
      </c>
      <c r="C1068" t="s">
        <v>41</v>
      </c>
      <c r="D1068" s="1">
        <v>46210.879155092596</v>
      </c>
      <c r="E1068" t="s">
        <v>42</v>
      </c>
      <c r="F1068" t="s">
        <v>83</v>
      </c>
      <c r="G1068">
        <v>0</v>
      </c>
      <c r="H1068">
        <v>33206</v>
      </c>
      <c r="I1068" t="s">
        <v>459</v>
      </c>
      <c r="J1068">
        <v>36</v>
      </c>
      <c r="K1068">
        <v>10</v>
      </c>
      <c r="L1068">
        <v>98</v>
      </c>
      <c r="M1068">
        <v>628.5</v>
      </c>
      <c r="N1068" t="s">
        <v>85</v>
      </c>
      <c r="O1068" t="s">
        <v>86</v>
      </c>
      <c r="P1068">
        <v>127</v>
      </c>
      <c r="Q1068">
        <v>2</v>
      </c>
      <c r="R1068">
        <v>0</v>
      </c>
      <c r="S1068">
        <v>0</v>
      </c>
      <c r="T1068">
        <v>-40</v>
      </c>
      <c r="U1068">
        <v>40</v>
      </c>
      <c r="V1068">
        <v>5</v>
      </c>
      <c r="W1068">
        <v>29</v>
      </c>
      <c r="X1068">
        <v>29</v>
      </c>
      <c r="Y1068">
        <v>1</v>
      </c>
      <c r="Z1068">
        <v>1</v>
      </c>
      <c r="AA1068">
        <v>26</v>
      </c>
      <c r="AB1068">
        <v>2</v>
      </c>
      <c r="AC1068">
        <v>2</v>
      </c>
      <c r="AD1068">
        <v>3.2790000400000001</v>
      </c>
      <c r="AE1068">
        <v>1</v>
      </c>
      <c r="AF1068">
        <v>6</v>
      </c>
      <c r="AG1068">
        <v>3.2750001000000002</v>
      </c>
      <c r="AH1068">
        <v>4</v>
      </c>
      <c r="AI1068">
        <v>17</v>
      </c>
      <c r="AJ1068">
        <v>1</v>
      </c>
      <c r="AK1068">
        <v>29</v>
      </c>
      <c r="AL1068">
        <v>32</v>
      </c>
      <c r="AM1068" t="s">
        <v>43</v>
      </c>
      <c r="AN1068" t="str">
        <f>HYPERLINK("https://www.google.com/maps?q=11.05623817,79.06375885","Open Location")</f>
        <v>Open Location</v>
      </c>
    </row>
    <row r="1069" spans="1:40" x14ac:dyDescent="0.3">
      <c r="A1069" s="1">
        <v>46210.87604166667</v>
      </c>
      <c r="B1069" t="s">
        <v>40</v>
      </c>
      <c r="C1069" t="s">
        <v>41</v>
      </c>
      <c r="D1069" s="1">
        <v>46210.878981481481</v>
      </c>
      <c r="E1069" t="s">
        <v>42</v>
      </c>
      <c r="F1069" t="s">
        <v>83</v>
      </c>
      <c r="G1069">
        <v>5</v>
      </c>
      <c r="H1069">
        <v>33206</v>
      </c>
      <c r="I1069" t="s">
        <v>460</v>
      </c>
      <c r="J1069">
        <v>36</v>
      </c>
      <c r="K1069">
        <v>94</v>
      </c>
      <c r="L1069">
        <v>98</v>
      </c>
      <c r="M1069">
        <v>622.20001220999995</v>
      </c>
      <c r="N1069" t="s">
        <v>87</v>
      </c>
      <c r="O1069" t="s">
        <v>86</v>
      </c>
      <c r="P1069">
        <v>127</v>
      </c>
      <c r="Q1069">
        <v>2</v>
      </c>
      <c r="R1069">
        <v>80</v>
      </c>
      <c r="S1069">
        <v>795</v>
      </c>
      <c r="T1069">
        <v>-40</v>
      </c>
      <c r="U1069">
        <v>41</v>
      </c>
      <c r="V1069">
        <v>660</v>
      </c>
      <c r="W1069">
        <v>29</v>
      </c>
      <c r="X1069">
        <v>29</v>
      </c>
      <c r="Y1069">
        <v>1</v>
      </c>
      <c r="Z1069">
        <v>1</v>
      </c>
      <c r="AA1069">
        <v>26</v>
      </c>
      <c r="AB1069">
        <v>2</v>
      </c>
      <c r="AC1069">
        <v>2</v>
      </c>
      <c r="AD1069">
        <v>3.2730000000000001</v>
      </c>
      <c r="AE1069">
        <v>1</v>
      </c>
      <c r="AF1069">
        <v>47</v>
      </c>
      <c r="AG1069">
        <v>3.2669999600000001</v>
      </c>
      <c r="AH1069">
        <v>4</v>
      </c>
      <c r="AI1069">
        <v>17</v>
      </c>
      <c r="AJ1069">
        <v>1</v>
      </c>
      <c r="AK1069">
        <v>28</v>
      </c>
      <c r="AL1069">
        <v>32</v>
      </c>
      <c r="AM1069" t="s">
        <v>43</v>
      </c>
      <c r="AN1069" t="str">
        <f>HYPERLINK("https://www.google.com/maps?q=11.05614662,79.06372833","Open Location")</f>
        <v>Open Location</v>
      </c>
    </row>
    <row r="1070" spans="1:40" x14ac:dyDescent="0.3">
      <c r="A1070" s="1">
        <v>46210.875925925924</v>
      </c>
      <c r="B1070" t="s">
        <v>40</v>
      </c>
      <c r="C1070" t="s">
        <v>41</v>
      </c>
      <c r="D1070" s="1">
        <v>46210.878946759258</v>
      </c>
      <c r="E1070" t="s">
        <v>42</v>
      </c>
      <c r="F1070" t="s">
        <v>83</v>
      </c>
      <c r="G1070">
        <v>6</v>
      </c>
      <c r="H1070">
        <v>33206</v>
      </c>
      <c r="I1070" t="s">
        <v>43</v>
      </c>
      <c r="J1070">
        <v>36</v>
      </c>
      <c r="K1070">
        <v>15</v>
      </c>
      <c r="L1070">
        <v>98</v>
      </c>
      <c r="M1070">
        <v>629.29998779000005</v>
      </c>
      <c r="N1070" t="s">
        <v>87</v>
      </c>
      <c r="O1070" t="s">
        <v>86</v>
      </c>
      <c r="P1070">
        <v>128</v>
      </c>
      <c r="Q1070">
        <v>3</v>
      </c>
      <c r="R1070">
        <v>0</v>
      </c>
      <c r="S1070">
        <v>873</v>
      </c>
      <c r="T1070">
        <v>-40</v>
      </c>
      <c r="U1070">
        <v>41</v>
      </c>
      <c r="V1070">
        <v>5</v>
      </c>
      <c r="W1070">
        <v>29</v>
      </c>
      <c r="X1070">
        <v>29</v>
      </c>
      <c r="Y1070">
        <v>1</v>
      </c>
      <c r="Z1070">
        <v>1</v>
      </c>
      <c r="AA1070">
        <v>26</v>
      </c>
      <c r="AB1070">
        <v>2</v>
      </c>
      <c r="AC1070">
        <v>2</v>
      </c>
      <c r="AD1070">
        <v>3.2790000400000001</v>
      </c>
      <c r="AE1070">
        <v>1</v>
      </c>
      <c r="AF1070">
        <v>1</v>
      </c>
      <c r="AG1070">
        <v>3.2750001000000002</v>
      </c>
      <c r="AH1070">
        <v>4</v>
      </c>
      <c r="AI1070">
        <v>17</v>
      </c>
      <c r="AJ1070">
        <v>1</v>
      </c>
      <c r="AK1070">
        <v>29</v>
      </c>
      <c r="AL1070">
        <v>32</v>
      </c>
      <c r="AM1070" t="s">
        <v>43</v>
      </c>
      <c r="AN1070" t="s">
        <v>43</v>
      </c>
    </row>
    <row r="1071" spans="1:40" x14ac:dyDescent="0.3">
      <c r="A1071" s="1">
        <v>46210.875810185185</v>
      </c>
      <c r="B1071" t="s">
        <v>40</v>
      </c>
      <c r="C1071" t="s">
        <v>41</v>
      </c>
      <c r="D1071" s="1">
        <v>46210.878935185188</v>
      </c>
      <c r="E1071" t="s">
        <v>42</v>
      </c>
      <c r="F1071" t="s">
        <v>83</v>
      </c>
      <c r="G1071">
        <v>7</v>
      </c>
      <c r="H1071">
        <v>33206</v>
      </c>
      <c r="I1071" t="s">
        <v>461</v>
      </c>
      <c r="J1071">
        <v>36</v>
      </c>
      <c r="K1071">
        <v>10</v>
      </c>
      <c r="L1071">
        <v>98</v>
      </c>
      <c r="M1071">
        <v>628.59997558999999</v>
      </c>
      <c r="N1071" t="s">
        <v>87</v>
      </c>
      <c r="O1071" t="s">
        <v>86</v>
      </c>
      <c r="P1071">
        <v>128</v>
      </c>
      <c r="Q1071">
        <v>3</v>
      </c>
      <c r="R1071">
        <v>17</v>
      </c>
      <c r="S1071">
        <v>960</v>
      </c>
      <c r="T1071">
        <v>-40</v>
      </c>
      <c r="U1071">
        <v>40</v>
      </c>
      <c r="V1071">
        <v>55</v>
      </c>
      <c r="W1071">
        <v>29</v>
      </c>
      <c r="X1071">
        <v>29</v>
      </c>
      <c r="Y1071">
        <v>1</v>
      </c>
      <c r="Z1071">
        <v>1</v>
      </c>
      <c r="AA1071">
        <v>26</v>
      </c>
      <c r="AB1071">
        <v>2</v>
      </c>
      <c r="AC1071">
        <v>2</v>
      </c>
      <c r="AD1071">
        <v>3.27399993</v>
      </c>
      <c r="AE1071">
        <v>1</v>
      </c>
      <c r="AF1071">
        <v>1</v>
      </c>
      <c r="AG1071">
        <v>3.2690000499999998</v>
      </c>
      <c r="AH1071">
        <v>4</v>
      </c>
      <c r="AI1071">
        <v>24</v>
      </c>
      <c r="AJ1071">
        <v>1</v>
      </c>
      <c r="AK1071">
        <v>29</v>
      </c>
      <c r="AL1071">
        <v>32</v>
      </c>
      <c r="AM1071" t="s">
        <v>43</v>
      </c>
      <c r="AN1071" t="str">
        <f>HYPERLINK("https://www.google.com/maps?q=11.05597496,79.06363678","Open Location")</f>
        <v>Open Location</v>
      </c>
    </row>
    <row r="1072" spans="1:40" x14ac:dyDescent="0.3">
      <c r="A1072" s="1">
        <v>46210.875694444447</v>
      </c>
      <c r="B1072" t="s">
        <v>40</v>
      </c>
      <c r="C1072" t="s">
        <v>41</v>
      </c>
      <c r="D1072" s="1">
        <v>46210.878738425927</v>
      </c>
      <c r="E1072" t="s">
        <v>42</v>
      </c>
      <c r="F1072" t="s">
        <v>83</v>
      </c>
      <c r="G1072">
        <v>6</v>
      </c>
      <c r="H1072">
        <v>33206</v>
      </c>
      <c r="I1072" t="s">
        <v>462</v>
      </c>
      <c r="J1072">
        <v>36</v>
      </c>
      <c r="K1072">
        <v>75</v>
      </c>
      <c r="L1072">
        <v>98</v>
      </c>
      <c r="M1072">
        <v>628</v>
      </c>
      <c r="N1072" t="s">
        <v>87</v>
      </c>
      <c r="O1072" t="s">
        <v>86</v>
      </c>
      <c r="P1072">
        <v>127</v>
      </c>
      <c r="Q1072">
        <v>2</v>
      </c>
      <c r="R1072">
        <v>20</v>
      </c>
      <c r="S1072">
        <v>1222</v>
      </c>
      <c r="T1072">
        <v>-40</v>
      </c>
      <c r="U1072">
        <v>41</v>
      </c>
      <c r="V1072">
        <v>247</v>
      </c>
      <c r="W1072">
        <v>29</v>
      </c>
      <c r="X1072">
        <v>29</v>
      </c>
      <c r="Y1072">
        <v>1</v>
      </c>
      <c r="Z1072">
        <v>1</v>
      </c>
      <c r="AA1072">
        <v>26</v>
      </c>
      <c r="AB1072">
        <v>2</v>
      </c>
      <c r="AC1072">
        <v>2</v>
      </c>
      <c r="AD1072">
        <v>3.2660000299999998</v>
      </c>
      <c r="AE1072">
        <v>1</v>
      </c>
      <c r="AF1072">
        <v>1</v>
      </c>
      <c r="AG1072">
        <v>3.2579999000000002</v>
      </c>
      <c r="AH1072">
        <v>4</v>
      </c>
      <c r="AI1072">
        <v>24</v>
      </c>
      <c r="AJ1072">
        <v>1</v>
      </c>
      <c r="AK1072">
        <v>29</v>
      </c>
      <c r="AL1072">
        <v>32</v>
      </c>
      <c r="AM1072" t="s">
        <v>43</v>
      </c>
      <c r="AN1072" t="str">
        <f>HYPERLINK("https://www.google.com/maps?q=11.05577183,79.0635376","Open Location")</f>
        <v>Open Location</v>
      </c>
    </row>
    <row r="1073" spans="1:40" x14ac:dyDescent="0.3">
      <c r="A1073" s="1">
        <v>46210.875578703701</v>
      </c>
      <c r="B1073" t="s">
        <v>40</v>
      </c>
      <c r="C1073" t="s">
        <v>41</v>
      </c>
      <c r="D1073" s="1">
        <v>46210.87872685185</v>
      </c>
      <c r="E1073" t="s">
        <v>42</v>
      </c>
      <c r="F1073" t="s">
        <v>83</v>
      </c>
      <c r="G1073">
        <v>11</v>
      </c>
      <c r="H1073">
        <v>33206</v>
      </c>
      <c r="I1073" t="s">
        <v>463</v>
      </c>
      <c r="J1073">
        <v>36</v>
      </c>
      <c r="K1073">
        <v>-13</v>
      </c>
      <c r="L1073">
        <v>98</v>
      </c>
      <c r="M1073">
        <v>629.59997558999999</v>
      </c>
      <c r="N1073" t="s">
        <v>87</v>
      </c>
      <c r="O1073" t="s">
        <v>86</v>
      </c>
      <c r="P1073">
        <v>128</v>
      </c>
      <c r="Q1073">
        <v>3</v>
      </c>
      <c r="R1073">
        <v>10</v>
      </c>
      <c r="S1073">
        <v>1416</v>
      </c>
      <c r="T1073">
        <v>-40</v>
      </c>
      <c r="U1073">
        <v>40</v>
      </c>
      <c r="V1073">
        <v>-68</v>
      </c>
      <c r="W1073">
        <v>29</v>
      </c>
      <c r="X1073">
        <v>29</v>
      </c>
      <c r="Y1073">
        <v>1</v>
      </c>
      <c r="Z1073">
        <v>1</v>
      </c>
      <c r="AA1073">
        <v>26</v>
      </c>
      <c r="AB1073">
        <v>2</v>
      </c>
      <c r="AC1073">
        <v>2</v>
      </c>
      <c r="AD1073">
        <v>3.2750001000000002</v>
      </c>
      <c r="AE1073">
        <v>5</v>
      </c>
      <c r="AF1073">
        <v>3</v>
      </c>
      <c r="AG1073">
        <v>3.2690000499999998</v>
      </c>
      <c r="AH1073">
        <v>6</v>
      </c>
      <c r="AI1073">
        <v>24</v>
      </c>
      <c r="AJ1073">
        <v>1</v>
      </c>
      <c r="AK1073">
        <v>30</v>
      </c>
      <c r="AL1073">
        <v>32</v>
      </c>
      <c r="AM1073" t="s">
        <v>43</v>
      </c>
      <c r="AN1073" t="str">
        <f>HYPERLINK("https://www.google.com/maps?q=11.05556393,79.06340027","Open Location")</f>
        <v>Open Location</v>
      </c>
    </row>
    <row r="1074" spans="1:40" x14ac:dyDescent="0.3">
      <c r="A1074" s="1">
        <v>46210.875462962962</v>
      </c>
      <c r="B1074" t="s">
        <v>40</v>
      </c>
      <c r="C1074" t="s">
        <v>41</v>
      </c>
      <c r="D1074" s="1">
        <v>46210.878703703704</v>
      </c>
      <c r="E1074" t="s">
        <v>42</v>
      </c>
      <c r="F1074" t="s">
        <v>83</v>
      </c>
      <c r="G1074">
        <v>11</v>
      </c>
      <c r="H1074">
        <v>33206</v>
      </c>
      <c r="I1074" t="s">
        <v>464</v>
      </c>
      <c r="J1074">
        <v>36</v>
      </c>
      <c r="K1074">
        <v>67</v>
      </c>
      <c r="L1074">
        <v>98</v>
      </c>
      <c r="M1074">
        <v>626.5</v>
      </c>
      <c r="N1074" t="s">
        <v>87</v>
      </c>
      <c r="O1074" t="s">
        <v>86</v>
      </c>
      <c r="P1074">
        <v>128</v>
      </c>
      <c r="Q1074">
        <v>3</v>
      </c>
      <c r="R1074">
        <v>37</v>
      </c>
      <c r="S1074">
        <v>1339</v>
      </c>
      <c r="T1074">
        <v>-40</v>
      </c>
      <c r="U1074">
        <v>41</v>
      </c>
      <c r="V1074">
        <v>280</v>
      </c>
      <c r="W1074">
        <v>29</v>
      </c>
      <c r="X1074">
        <v>29</v>
      </c>
      <c r="Y1074">
        <v>1</v>
      </c>
      <c r="Z1074">
        <v>1</v>
      </c>
      <c r="AA1074">
        <v>26</v>
      </c>
      <c r="AB1074">
        <v>2</v>
      </c>
      <c r="AC1074">
        <v>2</v>
      </c>
      <c r="AD1074">
        <v>3.26799989</v>
      </c>
      <c r="AE1074">
        <v>1</v>
      </c>
      <c r="AF1074">
        <v>1</v>
      </c>
      <c r="AG1074">
        <v>3.2609999200000002</v>
      </c>
      <c r="AH1074">
        <v>6</v>
      </c>
      <c r="AI1074">
        <v>24</v>
      </c>
      <c r="AJ1074">
        <v>1</v>
      </c>
      <c r="AK1074">
        <v>31</v>
      </c>
      <c r="AL1074">
        <v>32</v>
      </c>
      <c r="AM1074" t="s">
        <v>43</v>
      </c>
      <c r="AN1074" t="str">
        <f>HYPERLINK("https://www.google.com/maps?q=11.05527782,79.0632019","Open Location")</f>
        <v>Open Location</v>
      </c>
    </row>
    <row r="1075" spans="1:40" x14ac:dyDescent="0.3">
      <c r="A1075" s="1">
        <v>46210.875347222223</v>
      </c>
      <c r="B1075" t="s">
        <v>40</v>
      </c>
      <c r="C1075" t="s">
        <v>41</v>
      </c>
      <c r="D1075" s="1">
        <v>46210.878738425927</v>
      </c>
      <c r="E1075" t="s">
        <v>42</v>
      </c>
      <c r="F1075" t="s">
        <v>83</v>
      </c>
      <c r="G1075">
        <v>9</v>
      </c>
      <c r="H1075">
        <v>33206</v>
      </c>
      <c r="I1075" t="s">
        <v>43</v>
      </c>
      <c r="J1075">
        <v>36</v>
      </c>
      <c r="K1075">
        <v>50</v>
      </c>
      <c r="L1075">
        <v>98</v>
      </c>
      <c r="M1075">
        <v>627.59997558999999</v>
      </c>
      <c r="N1075" t="s">
        <v>87</v>
      </c>
      <c r="O1075" t="s">
        <v>86</v>
      </c>
      <c r="P1075">
        <v>128</v>
      </c>
      <c r="Q1075">
        <v>3</v>
      </c>
      <c r="R1075">
        <v>9</v>
      </c>
      <c r="S1075">
        <v>1271</v>
      </c>
      <c r="T1075">
        <v>-40</v>
      </c>
      <c r="U1075">
        <v>41</v>
      </c>
      <c r="V1075">
        <v>160</v>
      </c>
      <c r="W1075">
        <v>29</v>
      </c>
      <c r="X1075">
        <v>29</v>
      </c>
      <c r="Y1075">
        <v>1</v>
      </c>
      <c r="Z1075">
        <v>1</v>
      </c>
      <c r="AA1075">
        <v>26</v>
      </c>
      <c r="AB1075">
        <v>2</v>
      </c>
      <c r="AC1075">
        <v>2</v>
      </c>
      <c r="AD1075">
        <v>3.2750001000000002</v>
      </c>
      <c r="AE1075">
        <v>1</v>
      </c>
      <c r="AF1075">
        <v>47</v>
      </c>
      <c r="AG1075">
        <v>3.2690000499999998</v>
      </c>
      <c r="AH1075">
        <v>6</v>
      </c>
      <c r="AI1075">
        <v>24</v>
      </c>
      <c r="AJ1075">
        <v>2</v>
      </c>
      <c r="AK1075">
        <v>32</v>
      </c>
      <c r="AL1075">
        <v>32</v>
      </c>
      <c r="AM1075" t="s">
        <v>43</v>
      </c>
      <c r="AN1075" t="s">
        <v>43</v>
      </c>
    </row>
    <row r="1076" spans="1:40" x14ac:dyDescent="0.3">
      <c r="A1076" s="1">
        <v>46210.875231481485</v>
      </c>
      <c r="B1076" t="s">
        <v>40</v>
      </c>
      <c r="C1076" t="s">
        <v>41</v>
      </c>
      <c r="D1076" s="1">
        <v>46210.878935185188</v>
      </c>
      <c r="E1076" t="s">
        <v>42</v>
      </c>
      <c r="F1076" t="s">
        <v>83</v>
      </c>
      <c r="G1076">
        <v>5</v>
      </c>
      <c r="H1076">
        <v>33206</v>
      </c>
      <c r="I1076" t="s">
        <v>465</v>
      </c>
      <c r="J1076">
        <v>36</v>
      </c>
      <c r="K1076">
        <v>38</v>
      </c>
      <c r="L1076">
        <v>98</v>
      </c>
      <c r="M1076">
        <v>628.29998779000005</v>
      </c>
      <c r="N1076" t="s">
        <v>87</v>
      </c>
      <c r="O1076" t="s">
        <v>86</v>
      </c>
      <c r="P1076">
        <v>127</v>
      </c>
      <c r="Q1076">
        <v>2</v>
      </c>
      <c r="R1076">
        <v>27</v>
      </c>
      <c r="S1076">
        <v>987</v>
      </c>
      <c r="T1076">
        <v>-40</v>
      </c>
      <c r="U1076">
        <v>39</v>
      </c>
      <c r="V1076">
        <v>180</v>
      </c>
      <c r="W1076">
        <v>29</v>
      </c>
      <c r="X1076">
        <v>29</v>
      </c>
      <c r="Y1076">
        <v>1</v>
      </c>
      <c r="Z1076">
        <v>1</v>
      </c>
      <c r="AA1076">
        <v>25</v>
      </c>
      <c r="AB1076">
        <v>7</v>
      </c>
      <c r="AC1076">
        <v>5</v>
      </c>
      <c r="AD1076">
        <v>3.2699999800000001</v>
      </c>
      <c r="AE1076">
        <v>1</v>
      </c>
      <c r="AF1076">
        <v>1</v>
      </c>
      <c r="AG1076">
        <v>3.2630000099999998</v>
      </c>
      <c r="AH1076">
        <v>6</v>
      </c>
      <c r="AI1076">
        <v>24</v>
      </c>
      <c r="AJ1076">
        <v>2</v>
      </c>
      <c r="AK1076">
        <v>34</v>
      </c>
      <c r="AL1076">
        <v>32</v>
      </c>
      <c r="AM1076" t="s">
        <v>43</v>
      </c>
      <c r="AN1076" t="str">
        <f>HYPERLINK("https://www.google.com/maps?q=11.05508137,79.06302643","Open Location")</f>
        <v>Open Location</v>
      </c>
    </row>
    <row r="1077" spans="1:40" x14ac:dyDescent="0.3">
      <c r="A1077" s="1">
        <v>46210.875115740739</v>
      </c>
      <c r="B1077" t="s">
        <v>40</v>
      </c>
      <c r="C1077" t="s">
        <v>41</v>
      </c>
      <c r="D1077" s="1">
        <v>46210.878229166665</v>
      </c>
      <c r="E1077" t="s">
        <v>42</v>
      </c>
      <c r="F1077" t="s">
        <v>83</v>
      </c>
      <c r="G1077">
        <v>5</v>
      </c>
      <c r="H1077">
        <v>33206</v>
      </c>
      <c r="I1077" t="s">
        <v>466</v>
      </c>
      <c r="J1077">
        <v>36</v>
      </c>
      <c r="K1077">
        <v>89</v>
      </c>
      <c r="L1077">
        <v>98</v>
      </c>
      <c r="M1077">
        <v>626.5</v>
      </c>
      <c r="N1077" t="s">
        <v>87</v>
      </c>
      <c r="O1077" t="s">
        <v>86</v>
      </c>
      <c r="P1077">
        <v>127</v>
      </c>
      <c r="Q1077">
        <v>2</v>
      </c>
      <c r="R1077">
        <v>48</v>
      </c>
      <c r="S1077">
        <v>974</v>
      </c>
      <c r="T1077">
        <v>-40</v>
      </c>
      <c r="U1077">
        <v>40</v>
      </c>
      <c r="V1077">
        <v>460</v>
      </c>
      <c r="W1077">
        <v>29</v>
      </c>
      <c r="X1077">
        <v>29</v>
      </c>
      <c r="Y1077">
        <v>1</v>
      </c>
      <c r="Z1077">
        <v>1</v>
      </c>
      <c r="AA1077">
        <v>25</v>
      </c>
      <c r="AB1077">
        <v>7</v>
      </c>
      <c r="AC1077">
        <v>5</v>
      </c>
      <c r="AD1077">
        <v>3.2750001000000002</v>
      </c>
      <c r="AE1077">
        <v>1</v>
      </c>
      <c r="AF1077">
        <v>1</v>
      </c>
      <c r="AG1077">
        <v>3.2690000499999998</v>
      </c>
      <c r="AH1077">
        <v>4</v>
      </c>
      <c r="AI1077">
        <v>17</v>
      </c>
      <c r="AJ1077">
        <v>2</v>
      </c>
      <c r="AK1077">
        <v>37</v>
      </c>
      <c r="AL1077">
        <v>32</v>
      </c>
      <c r="AM1077" t="s">
        <v>43</v>
      </c>
      <c r="AN1077" t="str">
        <f>HYPERLINK("https://www.google.com/maps?q=11.05506992,79.0628891","Open Location")</f>
        <v>Open Location</v>
      </c>
    </row>
    <row r="1078" spans="1:40" x14ac:dyDescent="0.3">
      <c r="A1078" s="1">
        <v>46210.875</v>
      </c>
      <c r="B1078" t="s">
        <v>40</v>
      </c>
      <c r="C1078" t="s">
        <v>41</v>
      </c>
      <c r="D1078" s="1">
        <v>46210.877928240741</v>
      </c>
      <c r="E1078" t="s">
        <v>42</v>
      </c>
      <c r="F1078" t="s">
        <v>83</v>
      </c>
      <c r="G1078">
        <v>6</v>
      </c>
      <c r="H1078">
        <v>33206</v>
      </c>
      <c r="I1078" t="s">
        <v>467</v>
      </c>
      <c r="J1078">
        <v>36</v>
      </c>
      <c r="K1078">
        <v>65</v>
      </c>
      <c r="L1078">
        <v>98</v>
      </c>
      <c r="M1078">
        <v>628.29998779000005</v>
      </c>
      <c r="N1078" t="s">
        <v>87</v>
      </c>
      <c r="O1078" t="s">
        <v>86</v>
      </c>
      <c r="P1078">
        <v>127</v>
      </c>
      <c r="Q1078">
        <v>2</v>
      </c>
      <c r="R1078">
        <v>25</v>
      </c>
      <c r="S1078">
        <v>1309</v>
      </c>
      <c r="T1078">
        <v>-40</v>
      </c>
      <c r="U1078">
        <v>39</v>
      </c>
      <c r="V1078">
        <v>240</v>
      </c>
      <c r="W1078">
        <v>29</v>
      </c>
      <c r="X1078">
        <v>29</v>
      </c>
      <c r="Y1078">
        <v>1</v>
      </c>
      <c r="Z1078">
        <v>1</v>
      </c>
      <c r="AA1078">
        <v>25</v>
      </c>
      <c r="AB1078">
        <v>7</v>
      </c>
      <c r="AC1078">
        <v>5</v>
      </c>
      <c r="AD1078">
        <v>3.27999997</v>
      </c>
      <c r="AE1078">
        <v>1</v>
      </c>
      <c r="AF1078">
        <v>1</v>
      </c>
      <c r="AG1078">
        <v>3.2750001000000002</v>
      </c>
      <c r="AH1078">
        <v>4</v>
      </c>
      <c r="AI1078">
        <v>17</v>
      </c>
      <c r="AJ1078">
        <v>2</v>
      </c>
      <c r="AK1078">
        <v>33</v>
      </c>
      <c r="AL1078">
        <v>32</v>
      </c>
      <c r="AM1078" t="s">
        <v>43</v>
      </c>
      <c r="AN1078" t="str">
        <f>HYPERLINK("https://www.google.com/maps?q=11.05494976,79.06281281","Open Location")</f>
        <v>Open Location</v>
      </c>
    </row>
    <row r="1079" spans="1:40" x14ac:dyDescent="0.3">
      <c r="A1079" s="1">
        <v>46210.874884259261</v>
      </c>
      <c r="B1079" t="s">
        <v>40</v>
      </c>
      <c r="C1079" t="s">
        <v>41</v>
      </c>
      <c r="D1079" s="1">
        <v>46210.877928240741</v>
      </c>
      <c r="E1079" t="s">
        <v>42</v>
      </c>
      <c r="F1079" t="s">
        <v>83</v>
      </c>
      <c r="G1079">
        <v>0</v>
      </c>
      <c r="H1079" t="s">
        <v>43</v>
      </c>
      <c r="I1079" t="s">
        <v>468</v>
      </c>
      <c r="J1079">
        <v>36</v>
      </c>
      <c r="K1079">
        <v>7</v>
      </c>
      <c r="L1079">
        <v>98</v>
      </c>
      <c r="M1079">
        <v>630.79998779000005</v>
      </c>
      <c r="N1079" t="s">
        <v>81</v>
      </c>
      <c r="O1079" t="s">
        <v>82</v>
      </c>
      <c r="P1079">
        <v>125</v>
      </c>
      <c r="Q1079">
        <v>2</v>
      </c>
      <c r="R1079">
        <v>0</v>
      </c>
      <c r="S1079">
        <v>0</v>
      </c>
      <c r="T1079">
        <v>-40</v>
      </c>
      <c r="U1079">
        <v>36</v>
      </c>
      <c r="V1079">
        <v>0</v>
      </c>
      <c r="W1079">
        <v>29</v>
      </c>
      <c r="X1079">
        <v>29</v>
      </c>
      <c r="Y1079">
        <v>1</v>
      </c>
      <c r="Z1079">
        <v>1</v>
      </c>
      <c r="AA1079">
        <v>25</v>
      </c>
      <c r="AB1079">
        <v>7</v>
      </c>
      <c r="AC1079">
        <v>5</v>
      </c>
      <c r="AD1079">
        <v>3.2869999399999998</v>
      </c>
      <c r="AE1079">
        <v>1</v>
      </c>
      <c r="AF1079">
        <v>1</v>
      </c>
      <c r="AG1079">
        <v>3.28299999</v>
      </c>
      <c r="AH1079">
        <v>4</v>
      </c>
      <c r="AI1079">
        <v>17</v>
      </c>
      <c r="AJ1079">
        <v>2</v>
      </c>
      <c r="AK1079">
        <v>41</v>
      </c>
      <c r="AL1079">
        <v>32</v>
      </c>
      <c r="AM1079" t="s">
        <v>43</v>
      </c>
      <c r="AN1079" t="str">
        <f>HYPERLINK("https://www.google.com/maps?q=11.05491161,79.06286621","Open Location")</f>
        <v>Open Location</v>
      </c>
    </row>
    <row r="1080" spans="1:40" x14ac:dyDescent="0.3">
      <c r="A1080" s="1">
        <v>46210.874768518515</v>
      </c>
      <c r="B1080" t="s">
        <v>40</v>
      </c>
      <c r="C1080" t="s">
        <v>41</v>
      </c>
      <c r="D1080" s="1">
        <v>46210.877615740741</v>
      </c>
      <c r="E1080" t="s">
        <v>42</v>
      </c>
      <c r="F1080" t="s">
        <v>83</v>
      </c>
      <c r="G1080">
        <v>0</v>
      </c>
      <c r="H1080">
        <v>33206</v>
      </c>
      <c r="I1080" t="s">
        <v>469</v>
      </c>
      <c r="J1080">
        <v>0</v>
      </c>
      <c r="K1080">
        <v>-3200</v>
      </c>
      <c r="L1080">
        <v>0</v>
      </c>
      <c r="M1080">
        <v>0</v>
      </c>
      <c r="N1080" t="s">
        <v>81</v>
      </c>
      <c r="O1080" t="s">
        <v>82</v>
      </c>
      <c r="P1080">
        <v>125</v>
      </c>
      <c r="Q1080" t="s">
        <v>43</v>
      </c>
      <c r="R1080">
        <v>0</v>
      </c>
      <c r="S1080">
        <v>0</v>
      </c>
      <c r="T1080">
        <v>-40</v>
      </c>
      <c r="U1080">
        <v>36</v>
      </c>
      <c r="V1080">
        <v>0</v>
      </c>
      <c r="W1080">
        <v>29</v>
      </c>
      <c r="X1080">
        <v>29</v>
      </c>
      <c r="Y1080">
        <v>1</v>
      </c>
      <c r="Z1080">
        <v>1</v>
      </c>
      <c r="AA1080">
        <v>25</v>
      </c>
      <c r="AB1080">
        <v>7</v>
      </c>
      <c r="AC1080">
        <v>5</v>
      </c>
      <c r="AD1080">
        <v>3.2899999599999998</v>
      </c>
      <c r="AE1080">
        <v>1</v>
      </c>
      <c r="AF1080">
        <v>29</v>
      </c>
      <c r="AG1080">
        <v>3.2869999399999998</v>
      </c>
      <c r="AH1080">
        <v>2</v>
      </c>
      <c r="AI1080">
        <v>3</v>
      </c>
      <c r="AJ1080">
        <v>0</v>
      </c>
      <c r="AK1080">
        <v>0</v>
      </c>
      <c r="AL1080">
        <v>32</v>
      </c>
      <c r="AM1080" t="s">
        <v>43</v>
      </c>
      <c r="AN1080" t="str">
        <f>HYPERLINK("https://www.google.com/maps?q=11.05491924,79.06285858","Open Location")</f>
        <v>Open Location</v>
      </c>
    </row>
    <row r="1081" spans="1:40" x14ac:dyDescent="0.3">
      <c r="A1081" s="1">
        <v>46210.874652777777</v>
      </c>
      <c r="B1081" t="s">
        <v>40</v>
      </c>
      <c r="C1081" t="s">
        <v>41</v>
      </c>
      <c r="D1081" s="1">
        <v>46210.877384259256</v>
      </c>
      <c r="E1081" t="s">
        <v>42</v>
      </c>
      <c r="F1081" t="s">
        <v>43</v>
      </c>
      <c r="G1081" t="s">
        <v>43</v>
      </c>
      <c r="H1081" t="s">
        <v>43</v>
      </c>
      <c r="I1081" t="s">
        <v>43</v>
      </c>
      <c r="J1081" t="s">
        <v>43</v>
      </c>
      <c r="K1081" t="s">
        <v>43</v>
      </c>
      <c r="L1081" t="s">
        <v>43</v>
      </c>
      <c r="M1081" t="s">
        <v>43</v>
      </c>
      <c r="N1081" t="s">
        <v>45</v>
      </c>
      <c r="O1081" t="s">
        <v>43</v>
      </c>
      <c r="P1081" t="s">
        <v>43</v>
      </c>
      <c r="Q1081" t="s">
        <v>43</v>
      </c>
      <c r="R1081" t="s">
        <v>43</v>
      </c>
      <c r="S1081" t="s">
        <v>43</v>
      </c>
      <c r="T1081" t="s">
        <v>43</v>
      </c>
      <c r="U1081" t="s">
        <v>43</v>
      </c>
      <c r="V1081" t="s">
        <v>43</v>
      </c>
      <c r="W1081" t="s">
        <v>43</v>
      </c>
      <c r="X1081" t="s">
        <v>43</v>
      </c>
      <c r="Y1081" t="s">
        <v>43</v>
      </c>
      <c r="Z1081" t="s">
        <v>43</v>
      </c>
      <c r="AA1081" t="s">
        <v>43</v>
      </c>
      <c r="AB1081" t="s">
        <v>43</v>
      </c>
      <c r="AC1081" t="s">
        <v>43</v>
      </c>
      <c r="AD1081" t="s">
        <v>43</v>
      </c>
      <c r="AE1081" t="s">
        <v>43</v>
      </c>
      <c r="AF1081" t="s">
        <v>43</v>
      </c>
      <c r="AG1081" t="s">
        <v>43</v>
      </c>
      <c r="AH1081" t="s">
        <v>43</v>
      </c>
      <c r="AI1081" t="s">
        <v>43</v>
      </c>
      <c r="AJ1081" t="s">
        <v>43</v>
      </c>
      <c r="AK1081" t="s">
        <v>43</v>
      </c>
      <c r="AL1081" t="s">
        <v>43</v>
      </c>
      <c r="AM1081" t="s">
        <v>43</v>
      </c>
      <c r="AN1081" t="s">
        <v>43</v>
      </c>
    </row>
    <row r="1082" spans="1:40" x14ac:dyDescent="0.3">
      <c r="A1082" s="1">
        <v>46210.874537037038</v>
      </c>
      <c r="B1082" t="s">
        <v>40</v>
      </c>
      <c r="C1082" t="s">
        <v>41</v>
      </c>
      <c r="D1082" s="1">
        <v>46210.877557870372</v>
      </c>
      <c r="E1082" t="s">
        <v>42</v>
      </c>
      <c r="F1082" t="s">
        <v>43</v>
      </c>
      <c r="G1082" t="s">
        <v>43</v>
      </c>
      <c r="H1082" t="s">
        <v>43</v>
      </c>
      <c r="I1082" t="s">
        <v>470</v>
      </c>
      <c r="J1082" t="s">
        <v>43</v>
      </c>
      <c r="K1082" t="s">
        <v>43</v>
      </c>
      <c r="L1082" t="s">
        <v>43</v>
      </c>
      <c r="M1082" t="s">
        <v>43</v>
      </c>
      <c r="N1082" t="s">
        <v>45</v>
      </c>
      <c r="O1082" t="s">
        <v>43</v>
      </c>
      <c r="P1082" t="s">
        <v>43</v>
      </c>
      <c r="Q1082" t="s">
        <v>43</v>
      </c>
      <c r="R1082" t="s">
        <v>43</v>
      </c>
      <c r="S1082" t="s">
        <v>43</v>
      </c>
      <c r="T1082" t="s">
        <v>43</v>
      </c>
      <c r="U1082" t="s">
        <v>43</v>
      </c>
      <c r="V1082" t="s">
        <v>43</v>
      </c>
      <c r="W1082" t="s">
        <v>43</v>
      </c>
      <c r="X1082" t="s">
        <v>43</v>
      </c>
      <c r="Y1082" t="s">
        <v>43</v>
      </c>
      <c r="Z1082" t="s">
        <v>43</v>
      </c>
      <c r="AA1082" t="s">
        <v>43</v>
      </c>
      <c r="AB1082" t="s">
        <v>43</v>
      </c>
      <c r="AC1082" t="s">
        <v>43</v>
      </c>
      <c r="AD1082" t="s">
        <v>43</v>
      </c>
      <c r="AE1082" t="s">
        <v>43</v>
      </c>
      <c r="AF1082" t="s">
        <v>43</v>
      </c>
      <c r="AG1082" t="s">
        <v>43</v>
      </c>
      <c r="AH1082" t="s">
        <v>43</v>
      </c>
      <c r="AI1082" t="s">
        <v>43</v>
      </c>
      <c r="AJ1082" t="s">
        <v>43</v>
      </c>
      <c r="AK1082" t="s">
        <v>43</v>
      </c>
      <c r="AL1082" t="s">
        <v>43</v>
      </c>
      <c r="AM1082" t="s">
        <v>43</v>
      </c>
      <c r="AN1082" t="str">
        <f>HYPERLINK("https://www.google.com/maps?q=11.05492306,79.06285095","Open Location")</f>
        <v>Open Location</v>
      </c>
    </row>
    <row r="1083" spans="1:40" x14ac:dyDescent="0.3">
      <c r="A1083" s="1">
        <v>46210.874421296299</v>
      </c>
      <c r="B1083" t="s">
        <v>40</v>
      </c>
      <c r="C1083" t="s">
        <v>41</v>
      </c>
      <c r="D1083" s="1">
        <v>46210.877233796295</v>
      </c>
      <c r="E1083" t="s">
        <v>42</v>
      </c>
      <c r="F1083" t="s">
        <v>43</v>
      </c>
      <c r="G1083" t="s">
        <v>43</v>
      </c>
      <c r="H1083" t="s">
        <v>43</v>
      </c>
      <c r="I1083" t="s">
        <v>471</v>
      </c>
      <c r="J1083" t="s">
        <v>43</v>
      </c>
      <c r="K1083" t="s">
        <v>43</v>
      </c>
      <c r="L1083" t="s">
        <v>43</v>
      </c>
      <c r="M1083" t="s">
        <v>43</v>
      </c>
      <c r="N1083" t="s">
        <v>45</v>
      </c>
      <c r="O1083" t="s">
        <v>43</v>
      </c>
      <c r="P1083" t="s">
        <v>43</v>
      </c>
      <c r="Q1083" t="s">
        <v>43</v>
      </c>
      <c r="R1083" t="s">
        <v>43</v>
      </c>
      <c r="S1083" t="s">
        <v>43</v>
      </c>
      <c r="T1083" t="s">
        <v>43</v>
      </c>
      <c r="U1083" t="s">
        <v>43</v>
      </c>
      <c r="V1083" t="s">
        <v>43</v>
      </c>
      <c r="W1083" t="s">
        <v>43</v>
      </c>
      <c r="X1083" t="s">
        <v>43</v>
      </c>
      <c r="Y1083" t="s">
        <v>43</v>
      </c>
      <c r="Z1083" t="s">
        <v>43</v>
      </c>
      <c r="AA1083" t="s">
        <v>43</v>
      </c>
      <c r="AB1083" t="s">
        <v>43</v>
      </c>
      <c r="AC1083" t="s">
        <v>43</v>
      </c>
      <c r="AD1083" t="s">
        <v>43</v>
      </c>
      <c r="AE1083" t="s">
        <v>43</v>
      </c>
      <c r="AF1083" t="s">
        <v>43</v>
      </c>
      <c r="AG1083" t="s">
        <v>43</v>
      </c>
      <c r="AH1083" t="s">
        <v>43</v>
      </c>
      <c r="AI1083" t="s">
        <v>43</v>
      </c>
      <c r="AJ1083" t="s">
        <v>43</v>
      </c>
      <c r="AK1083" t="s">
        <v>43</v>
      </c>
      <c r="AL1083" t="s">
        <v>43</v>
      </c>
      <c r="AM1083" t="s">
        <v>43</v>
      </c>
      <c r="AN1083" t="str">
        <f>HYPERLINK("https://www.google.com/maps?q=11.05492115,79.06285095","Open Location")</f>
        <v>Open Location</v>
      </c>
    </row>
    <row r="1084" spans="1:40" x14ac:dyDescent="0.3">
      <c r="A1084" s="1">
        <v>46210.874305555553</v>
      </c>
      <c r="B1084" t="s">
        <v>40</v>
      </c>
      <c r="C1084" t="s">
        <v>41</v>
      </c>
      <c r="D1084" s="1">
        <v>46210.877557870372</v>
      </c>
      <c r="E1084" t="s">
        <v>42</v>
      </c>
      <c r="F1084" t="s">
        <v>43</v>
      </c>
      <c r="G1084" t="s">
        <v>43</v>
      </c>
      <c r="H1084" t="s">
        <v>43</v>
      </c>
      <c r="I1084" t="s">
        <v>472</v>
      </c>
      <c r="J1084" t="s">
        <v>43</v>
      </c>
      <c r="K1084" t="s">
        <v>43</v>
      </c>
      <c r="L1084" t="s">
        <v>43</v>
      </c>
      <c r="M1084" t="s">
        <v>43</v>
      </c>
      <c r="N1084" t="s">
        <v>45</v>
      </c>
      <c r="O1084" t="s">
        <v>43</v>
      </c>
      <c r="P1084" t="s">
        <v>43</v>
      </c>
      <c r="Q1084" t="s">
        <v>43</v>
      </c>
      <c r="R1084" t="s">
        <v>43</v>
      </c>
      <c r="S1084" t="s">
        <v>43</v>
      </c>
      <c r="T1084" t="s">
        <v>43</v>
      </c>
      <c r="U1084" t="s">
        <v>43</v>
      </c>
      <c r="V1084" t="s">
        <v>43</v>
      </c>
      <c r="W1084" t="s">
        <v>43</v>
      </c>
      <c r="X1084" t="s">
        <v>43</v>
      </c>
      <c r="Y1084" t="s">
        <v>43</v>
      </c>
      <c r="Z1084" t="s">
        <v>43</v>
      </c>
      <c r="AA1084" t="s">
        <v>43</v>
      </c>
      <c r="AB1084" t="s">
        <v>43</v>
      </c>
      <c r="AC1084" t="s">
        <v>43</v>
      </c>
      <c r="AD1084" t="s">
        <v>43</v>
      </c>
      <c r="AE1084" t="s">
        <v>43</v>
      </c>
      <c r="AF1084" t="s">
        <v>43</v>
      </c>
      <c r="AG1084" t="s">
        <v>43</v>
      </c>
      <c r="AH1084" t="s">
        <v>43</v>
      </c>
      <c r="AI1084" t="s">
        <v>43</v>
      </c>
      <c r="AJ1084" t="s">
        <v>43</v>
      </c>
      <c r="AK1084" t="s">
        <v>43</v>
      </c>
      <c r="AL1084" t="s">
        <v>43</v>
      </c>
      <c r="AM1084" t="s">
        <v>43</v>
      </c>
      <c r="AN1084" t="str">
        <f>HYPERLINK("https://www.google.com/maps?q=11.05492496,79.06285095","Open Location")</f>
        <v>Open Location</v>
      </c>
    </row>
    <row r="1085" spans="1:40" x14ac:dyDescent="0.3">
      <c r="A1085" s="1">
        <v>46210.874189814815</v>
      </c>
      <c r="B1085" t="s">
        <v>40</v>
      </c>
      <c r="C1085" t="s">
        <v>41</v>
      </c>
      <c r="D1085" s="1">
        <v>46210.877303240741</v>
      </c>
      <c r="E1085" t="s">
        <v>42</v>
      </c>
      <c r="F1085" t="s">
        <v>43</v>
      </c>
      <c r="G1085" t="s">
        <v>43</v>
      </c>
      <c r="H1085" t="s">
        <v>43</v>
      </c>
      <c r="I1085" t="s">
        <v>473</v>
      </c>
      <c r="J1085" t="s">
        <v>43</v>
      </c>
      <c r="K1085" t="s">
        <v>43</v>
      </c>
      <c r="L1085" t="s">
        <v>43</v>
      </c>
      <c r="M1085" t="s">
        <v>43</v>
      </c>
      <c r="N1085" t="s">
        <v>45</v>
      </c>
      <c r="O1085" t="s">
        <v>43</v>
      </c>
      <c r="P1085" t="s">
        <v>43</v>
      </c>
      <c r="Q1085" t="s">
        <v>43</v>
      </c>
      <c r="R1085" t="s">
        <v>43</v>
      </c>
      <c r="S1085" t="s">
        <v>43</v>
      </c>
      <c r="T1085" t="s">
        <v>43</v>
      </c>
      <c r="U1085" t="s">
        <v>43</v>
      </c>
      <c r="V1085" t="s">
        <v>43</v>
      </c>
      <c r="W1085" t="s">
        <v>43</v>
      </c>
      <c r="X1085" t="s">
        <v>43</v>
      </c>
      <c r="Y1085" t="s">
        <v>43</v>
      </c>
      <c r="Z1085" t="s">
        <v>43</v>
      </c>
      <c r="AA1085" t="s">
        <v>43</v>
      </c>
      <c r="AB1085" t="s">
        <v>43</v>
      </c>
      <c r="AC1085" t="s">
        <v>43</v>
      </c>
      <c r="AD1085" t="s">
        <v>43</v>
      </c>
      <c r="AE1085" t="s">
        <v>43</v>
      </c>
      <c r="AF1085" t="s">
        <v>43</v>
      </c>
      <c r="AG1085" t="s">
        <v>43</v>
      </c>
      <c r="AH1085" t="s">
        <v>43</v>
      </c>
      <c r="AI1085" t="s">
        <v>43</v>
      </c>
      <c r="AJ1085" t="s">
        <v>43</v>
      </c>
      <c r="AK1085" t="s">
        <v>43</v>
      </c>
      <c r="AL1085" t="s">
        <v>43</v>
      </c>
      <c r="AM1085" t="s">
        <v>43</v>
      </c>
      <c r="AN1085" t="str">
        <f>HYPERLINK("https://www.google.com/maps?q=11.05492401,79.06285095","Open Location")</f>
        <v>Open Location</v>
      </c>
    </row>
    <row r="1086" spans="1:40" x14ac:dyDescent="0.3">
      <c r="A1086" s="1">
        <v>46210.874074074076</v>
      </c>
      <c r="B1086" t="s">
        <v>40</v>
      </c>
      <c r="C1086" t="s">
        <v>41</v>
      </c>
      <c r="D1086" s="1">
        <v>46210.877557870372</v>
      </c>
      <c r="E1086" t="s">
        <v>42</v>
      </c>
      <c r="F1086" t="s">
        <v>43</v>
      </c>
      <c r="G1086" t="s">
        <v>43</v>
      </c>
      <c r="H1086" t="s">
        <v>43</v>
      </c>
      <c r="I1086" t="s">
        <v>474</v>
      </c>
      <c r="J1086" t="s">
        <v>43</v>
      </c>
      <c r="K1086" t="s">
        <v>43</v>
      </c>
      <c r="L1086" t="s">
        <v>43</v>
      </c>
      <c r="M1086" t="s">
        <v>43</v>
      </c>
      <c r="N1086" t="s">
        <v>45</v>
      </c>
      <c r="O1086" t="s">
        <v>43</v>
      </c>
      <c r="P1086" t="s">
        <v>43</v>
      </c>
      <c r="Q1086" t="s">
        <v>43</v>
      </c>
      <c r="R1086" t="s">
        <v>43</v>
      </c>
      <c r="S1086" t="s">
        <v>43</v>
      </c>
      <c r="T1086" t="s">
        <v>43</v>
      </c>
      <c r="U1086" t="s">
        <v>43</v>
      </c>
      <c r="V1086" t="s">
        <v>43</v>
      </c>
      <c r="W1086" t="s">
        <v>43</v>
      </c>
      <c r="X1086" t="s">
        <v>43</v>
      </c>
      <c r="Y1086" t="s">
        <v>43</v>
      </c>
      <c r="Z1086" t="s">
        <v>43</v>
      </c>
      <c r="AA1086" t="s">
        <v>43</v>
      </c>
      <c r="AB1086" t="s">
        <v>43</v>
      </c>
      <c r="AC1086" t="s">
        <v>43</v>
      </c>
      <c r="AD1086" t="s">
        <v>43</v>
      </c>
      <c r="AE1086" t="s">
        <v>43</v>
      </c>
      <c r="AF1086" t="s">
        <v>43</v>
      </c>
      <c r="AG1086" t="s">
        <v>43</v>
      </c>
      <c r="AH1086" t="s">
        <v>43</v>
      </c>
      <c r="AI1086" t="s">
        <v>43</v>
      </c>
      <c r="AJ1086" t="s">
        <v>43</v>
      </c>
      <c r="AK1086" t="s">
        <v>43</v>
      </c>
      <c r="AL1086" t="s">
        <v>43</v>
      </c>
      <c r="AM1086" t="s">
        <v>43</v>
      </c>
      <c r="AN1086" t="str">
        <f>HYPERLINK("https://www.google.com/maps?q=11.05492783,79.06285095","Open Location")</f>
        <v>Open Location</v>
      </c>
    </row>
    <row r="1087" spans="1:40" x14ac:dyDescent="0.3">
      <c r="A1087" s="1">
        <v>46210.87395833333</v>
      </c>
      <c r="B1087" t="s">
        <v>40</v>
      </c>
      <c r="C1087" t="s">
        <v>41</v>
      </c>
      <c r="D1087" s="1">
        <v>46210.877233796295</v>
      </c>
      <c r="E1087" t="s">
        <v>42</v>
      </c>
      <c r="F1087" t="s">
        <v>43</v>
      </c>
      <c r="G1087" t="s">
        <v>43</v>
      </c>
      <c r="H1087" t="s">
        <v>43</v>
      </c>
      <c r="I1087" t="s">
        <v>43</v>
      </c>
      <c r="J1087" t="s">
        <v>43</v>
      </c>
      <c r="K1087" t="s">
        <v>43</v>
      </c>
      <c r="L1087" t="s">
        <v>43</v>
      </c>
      <c r="M1087" t="s">
        <v>43</v>
      </c>
      <c r="N1087" t="s">
        <v>45</v>
      </c>
      <c r="O1087" t="s">
        <v>43</v>
      </c>
      <c r="P1087" t="s">
        <v>43</v>
      </c>
      <c r="Q1087" t="s">
        <v>43</v>
      </c>
      <c r="R1087" t="s">
        <v>43</v>
      </c>
      <c r="S1087" t="s">
        <v>43</v>
      </c>
      <c r="T1087" t="s">
        <v>43</v>
      </c>
      <c r="U1087" t="s">
        <v>43</v>
      </c>
      <c r="V1087" t="s">
        <v>43</v>
      </c>
      <c r="W1087" t="s">
        <v>43</v>
      </c>
      <c r="X1087" t="s">
        <v>43</v>
      </c>
      <c r="Y1087" t="s">
        <v>43</v>
      </c>
      <c r="Z1087" t="s">
        <v>43</v>
      </c>
      <c r="AA1087" t="s">
        <v>43</v>
      </c>
      <c r="AB1087" t="s">
        <v>43</v>
      </c>
      <c r="AC1087" t="s">
        <v>43</v>
      </c>
      <c r="AD1087" t="s">
        <v>43</v>
      </c>
      <c r="AE1087" t="s">
        <v>43</v>
      </c>
      <c r="AF1087" t="s">
        <v>43</v>
      </c>
      <c r="AG1087" t="s">
        <v>43</v>
      </c>
      <c r="AH1087" t="s">
        <v>43</v>
      </c>
      <c r="AI1087" t="s">
        <v>43</v>
      </c>
      <c r="AJ1087" t="s">
        <v>43</v>
      </c>
      <c r="AK1087" t="s">
        <v>43</v>
      </c>
      <c r="AL1087" t="s">
        <v>43</v>
      </c>
      <c r="AM1087" t="s">
        <v>43</v>
      </c>
      <c r="AN1087" t="s">
        <v>43</v>
      </c>
    </row>
    <row r="1088" spans="1:40" x14ac:dyDescent="0.3">
      <c r="A1088" s="1">
        <v>46210.873842592591</v>
      </c>
      <c r="B1088" t="s">
        <v>40</v>
      </c>
      <c r="C1088" t="s">
        <v>41</v>
      </c>
      <c r="D1088" s="1">
        <v>46210.877233796295</v>
      </c>
      <c r="E1088" t="s">
        <v>42</v>
      </c>
      <c r="F1088" t="s">
        <v>43</v>
      </c>
      <c r="G1088" t="s">
        <v>43</v>
      </c>
      <c r="H1088" t="s">
        <v>43</v>
      </c>
      <c r="I1088" t="s">
        <v>474</v>
      </c>
      <c r="J1088" t="s">
        <v>43</v>
      </c>
      <c r="K1088" t="s">
        <v>43</v>
      </c>
      <c r="L1088" t="s">
        <v>43</v>
      </c>
      <c r="M1088" t="s">
        <v>43</v>
      </c>
      <c r="N1088" t="s">
        <v>45</v>
      </c>
      <c r="O1088" t="s">
        <v>43</v>
      </c>
      <c r="P1088" t="s">
        <v>43</v>
      </c>
      <c r="Q1088" t="s">
        <v>43</v>
      </c>
      <c r="R1088" t="s">
        <v>43</v>
      </c>
      <c r="S1088" t="s">
        <v>43</v>
      </c>
      <c r="T1088" t="s">
        <v>43</v>
      </c>
      <c r="U1088" t="s">
        <v>43</v>
      </c>
      <c r="V1088" t="s">
        <v>43</v>
      </c>
      <c r="W1088" t="s">
        <v>43</v>
      </c>
      <c r="X1088" t="s">
        <v>43</v>
      </c>
      <c r="Y1088" t="s">
        <v>43</v>
      </c>
      <c r="Z1088" t="s">
        <v>43</v>
      </c>
      <c r="AA1088" t="s">
        <v>43</v>
      </c>
      <c r="AB1088" t="s">
        <v>43</v>
      </c>
      <c r="AC1088" t="s">
        <v>43</v>
      </c>
      <c r="AD1088" t="s">
        <v>43</v>
      </c>
      <c r="AE1088" t="s">
        <v>43</v>
      </c>
      <c r="AF1088" t="s">
        <v>43</v>
      </c>
      <c r="AG1088" t="s">
        <v>43</v>
      </c>
      <c r="AH1088" t="s">
        <v>43</v>
      </c>
      <c r="AI1088" t="s">
        <v>43</v>
      </c>
      <c r="AJ1088" t="s">
        <v>43</v>
      </c>
      <c r="AK1088" t="s">
        <v>43</v>
      </c>
      <c r="AL1088" t="s">
        <v>43</v>
      </c>
      <c r="AM1088" t="s">
        <v>43</v>
      </c>
      <c r="AN1088" t="str">
        <f>HYPERLINK("https://www.google.com/maps?q=11.05492783,79.06285095","Open Location")</f>
        <v>Open Location</v>
      </c>
    </row>
    <row r="1089" spans="1:40" x14ac:dyDescent="0.3">
      <c r="A1089" s="1">
        <v>46210.873726851853</v>
      </c>
      <c r="B1089" t="s">
        <v>40</v>
      </c>
      <c r="C1089" t="s">
        <v>41</v>
      </c>
      <c r="D1089" s="1">
        <v>46210.876527777778</v>
      </c>
      <c r="E1089" t="s">
        <v>42</v>
      </c>
      <c r="F1089" t="s">
        <v>43</v>
      </c>
      <c r="G1089" t="s">
        <v>43</v>
      </c>
      <c r="H1089" t="s">
        <v>43</v>
      </c>
      <c r="I1089" t="s">
        <v>475</v>
      </c>
      <c r="J1089" t="s">
        <v>43</v>
      </c>
      <c r="K1089" t="s">
        <v>43</v>
      </c>
      <c r="L1089" t="s">
        <v>43</v>
      </c>
      <c r="M1089" t="s">
        <v>43</v>
      </c>
      <c r="N1089" t="s">
        <v>45</v>
      </c>
      <c r="O1089" t="s">
        <v>43</v>
      </c>
      <c r="P1089" t="s">
        <v>43</v>
      </c>
      <c r="Q1089" t="s">
        <v>43</v>
      </c>
      <c r="R1089" t="s">
        <v>43</v>
      </c>
      <c r="S1089" t="s">
        <v>43</v>
      </c>
      <c r="T1089" t="s">
        <v>43</v>
      </c>
      <c r="U1089" t="s">
        <v>43</v>
      </c>
      <c r="V1089" t="s">
        <v>43</v>
      </c>
      <c r="W1089" t="s">
        <v>43</v>
      </c>
      <c r="X1089" t="s">
        <v>43</v>
      </c>
      <c r="Y1089" t="s">
        <v>43</v>
      </c>
      <c r="Z1089" t="s">
        <v>43</v>
      </c>
      <c r="AA1089" t="s">
        <v>43</v>
      </c>
      <c r="AB1089" t="s">
        <v>43</v>
      </c>
      <c r="AC1089" t="s">
        <v>43</v>
      </c>
      <c r="AD1089" t="s">
        <v>43</v>
      </c>
      <c r="AE1089" t="s">
        <v>43</v>
      </c>
      <c r="AF1089" t="s">
        <v>43</v>
      </c>
      <c r="AG1089" t="s">
        <v>43</v>
      </c>
      <c r="AH1089" t="s">
        <v>43</v>
      </c>
      <c r="AI1089" t="s">
        <v>43</v>
      </c>
      <c r="AJ1089" t="s">
        <v>43</v>
      </c>
      <c r="AK1089" t="s">
        <v>43</v>
      </c>
      <c r="AL1089" t="s">
        <v>43</v>
      </c>
      <c r="AM1089" t="s">
        <v>43</v>
      </c>
      <c r="AN1089" t="str">
        <f>HYPERLINK("https://www.google.com/maps?q=11.05492592,79.06285095","Open Location")</f>
        <v>Open Location</v>
      </c>
    </row>
    <row r="1090" spans="1:40" x14ac:dyDescent="0.3">
      <c r="A1090" s="1">
        <v>46210.873611111114</v>
      </c>
      <c r="B1090" t="s">
        <v>40</v>
      </c>
      <c r="C1090" t="s">
        <v>41</v>
      </c>
      <c r="D1090" s="1">
        <v>46210.876539351855</v>
      </c>
      <c r="E1090" t="s">
        <v>42</v>
      </c>
      <c r="F1090" t="s">
        <v>43</v>
      </c>
      <c r="G1090" t="s">
        <v>43</v>
      </c>
      <c r="H1090" t="s">
        <v>43</v>
      </c>
      <c r="I1090" t="s">
        <v>470</v>
      </c>
      <c r="J1090" t="s">
        <v>43</v>
      </c>
      <c r="K1090" t="s">
        <v>43</v>
      </c>
      <c r="L1090" t="s">
        <v>43</v>
      </c>
      <c r="M1090" t="s">
        <v>43</v>
      </c>
      <c r="N1090" t="s">
        <v>45</v>
      </c>
      <c r="O1090" t="s">
        <v>43</v>
      </c>
      <c r="P1090" t="s">
        <v>43</v>
      </c>
      <c r="Q1090" t="s">
        <v>43</v>
      </c>
      <c r="R1090" t="s">
        <v>43</v>
      </c>
      <c r="S1090" t="s">
        <v>43</v>
      </c>
      <c r="T1090" t="s">
        <v>43</v>
      </c>
      <c r="U1090" t="s">
        <v>43</v>
      </c>
      <c r="V1090" t="s">
        <v>43</v>
      </c>
      <c r="W1090" t="s">
        <v>43</v>
      </c>
      <c r="X1090" t="s">
        <v>43</v>
      </c>
      <c r="Y1090" t="s">
        <v>43</v>
      </c>
      <c r="Z1090" t="s">
        <v>43</v>
      </c>
      <c r="AA1090" t="s">
        <v>43</v>
      </c>
      <c r="AB1090" t="s">
        <v>43</v>
      </c>
      <c r="AC1090" t="s">
        <v>43</v>
      </c>
      <c r="AD1090" t="s">
        <v>43</v>
      </c>
      <c r="AE1090" t="s">
        <v>43</v>
      </c>
      <c r="AF1090" t="s">
        <v>43</v>
      </c>
      <c r="AG1090" t="s">
        <v>43</v>
      </c>
      <c r="AH1090" t="s">
        <v>43</v>
      </c>
      <c r="AI1090" t="s">
        <v>43</v>
      </c>
      <c r="AJ1090" t="s">
        <v>43</v>
      </c>
      <c r="AK1090" t="s">
        <v>43</v>
      </c>
      <c r="AL1090" t="s">
        <v>43</v>
      </c>
      <c r="AM1090" t="s">
        <v>43</v>
      </c>
      <c r="AN1090" t="str">
        <f>HYPERLINK("https://www.google.com/maps?q=11.05492306,79.06285095","Open Location")</f>
        <v>Open Location</v>
      </c>
    </row>
    <row r="1091" spans="1:40" x14ac:dyDescent="0.3">
      <c r="A1091" s="1">
        <v>46210.873495370368</v>
      </c>
      <c r="B1091" t="s">
        <v>40</v>
      </c>
      <c r="C1091" t="s">
        <v>41</v>
      </c>
      <c r="D1091" s="1">
        <v>46210.876226851855</v>
      </c>
      <c r="E1091" t="s">
        <v>42</v>
      </c>
      <c r="F1091" t="s">
        <v>43</v>
      </c>
      <c r="G1091" t="s">
        <v>43</v>
      </c>
      <c r="H1091" t="s">
        <v>43</v>
      </c>
      <c r="I1091" t="s">
        <v>476</v>
      </c>
      <c r="J1091" t="s">
        <v>43</v>
      </c>
      <c r="K1091" t="s">
        <v>43</v>
      </c>
      <c r="L1091" t="s">
        <v>43</v>
      </c>
      <c r="M1091" t="s">
        <v>43</v>
      </c>
      <c r="N1091" t="s">
        <v>45</v>
      </c>
      <c r="O1091" t="s">
        <v>43</v>
      </c>
      <c r="P1091" t="s">
        <v>43</v>
      </c>
      <c r="Q1091" t="s">
        <v>43</v>
      </c>
      <c r="R1091" t="s">
        <v>43</v>
      </c>
      <c r="S1091" t="s">
        <v>43</v>
      </c>
      <c r="T1091" t="s">
        <v>43</v>
      </c>
      <c r="U1091" t="s">
        <v>43</v>
      </c>
      <c r="V1091" t="s">
        <v>43</v>
      </c>
      <c r="W1091" t="s">
        <v>43</v>
      </c>
      <c r="X1091" t="s">
        <v>43</v>
      </c>
      <c r="Y1091" t="s">
        <v>43</v>
      </c>
      <c r="Z1091" t="s">
        <v>43</v>
      </c>
      <c r="AA1091" t="s">
        <v>43</v>
      </c>
      <c r="AB1091" t="s">
        <v>43</v>
      </c>
      <c r="AC1091" t="s">
        <v>43</v>
      </c>
      <c r="AD1091" t="s">
        <v>43</v>
      </c>
      <c r="AE1091" t="s">
        <v>43</v>
      </c>
      <c r="AF1091" t="s">
        <v>43</v>
      </c>
      <c r="AG1091" t="s">
        <v>43</v>
      </c>
      <c r="AH1091" t="s">
        <v>43</v>
      </c>
      <c r="AI1091" t="s">
        <v>43</v>
      </c>
      <c r="AJ1091" t="s">
        <v>43</v>
      </c>
      <c r="AK1091" t="s">
        <v>43</v>
      </c>
      <c r="AL1091" t="s">
        <v>43</v>
      </c>
      <c r="AM1091" t="s">
        <v>43</v>
      </c>
      <c r="AN1091" t="str">
        <f>HYPERLINK("https://www.google.com/maps?q=11.05492973,79.06285095","Open Location")</f>
        <v>Open Location</v>
      </c>
    </row>
    <row r="1092" spans="1:40" x14ac:dyDescent="0.3">
      <c r="A1092" s="1">
        <v>46210.873379629629</v>
      </c>
      <c r="B1092" t="s">
        <v>40</v>
      </c>
      <c r="C1092" t="s">
        <v>41</v>
      </c>
      <c r="D1092" s="1">
        <v>46210.876226851855</v>
      </c>
      <c r="E1092" t="s">
        <v>42</v>
      </c>
      <c r="F1092" t="s">
        <v>43</v>
      </c>
      <c r="G1092" t="s">
        <v>43</v>
      </c>
      <c r="H1092" t="s">
        <v>43</v>
      </c>
      <c r="I1092" t="s">
        <v>43</v>
      </c>
      <c r="J1092" t="s">
        <v>43</v>
      </c>
      <c r="K1092" t="s">
        <v>43</v>
      </c>
      <c r="L1092" t="s">
        <v>43</v>
      </c>
      <c r="M1092" t="s">
        <v>43</v>
      </c>
      <c r="N1092" t="s">
        <v>45</v>
      </c>
      <c r="O1092" t="s">
        <v>43</v>
      </c>
      <c r="P1092" t="s">
        <v>43</v>
      </c>
      <c r="Q1092" t="s">
        <v>43</v>
      </c>
      <c r="R1092" t="s">
        <v>43</v>
      </c>
      <c r="S1092" t="s">
        <v>43</v>
      </c>
      <c r="T1092" t="s">
        <v>43</v>
      </c>
      <c r="U1092" t="s">
        <v>43</v>
      </c>
      <c r="V1092" t="s">
        <v>43</v>
      </c>
      <c r="W1092" t="s">
        <v>43</v>
      </c>
      <c r="X1092" t="s">
        <v>43</v>
      </c>
      <c r="Y1092" t="s">
        <v>43</v>
      </c>
      <c r="Z1092" t="s">
        <v>43</v>
      </c>
      <c r="AA1092" t="s">
        <v>43</v>
      </c>
      <c r="AB1092" t="s">
        <v>43</v>
      </c>
      <c r="AC1092" t="s">
        <v>43</v>
      </c>
      <c r="AD1092" t="s">
        <v>43</v>
      </c>
      <c r="AE1092" t="s">
        <v>43</v>
      </c>
      <c r="AF1092" t="s">
        <v>43</v>
      </c>
      <c r="AG1092" t="s">
        <v>43</v>
      </c>
      <c r="AH1092" t="s">
        <v>43</v>
      </c>
      <c r="AI1092" t="s">
        <v>43</v>
      </c>
      <c r="AJ1092" t="s">
        <v>43</v>
      </c>
      <c r="AK1092" t="s">
        <v>43</v>
      </c>
      <c r="AL1092" t="s">
        <v>43</v>
      </c>
      <c r="AM1092" t="s">
        <v>43</v>
      </c>
      <c r="AN1092" t="s">
        <v>43</v>
      </c>
    </row>
    <row r="1093" spans="1:40" x14ac:dyDescent="0.3">
      <c r="A1093" s="1">
        <v>46210.873263888891</v>
      </c>
      <c r="B1093" t="s">
        <v>40</v>
      </c>
      <c r="C1093" t="s">
        <v>41</v>
      </c>
      <c r="D1093" s="1">
        <v>46210.875937500001</v>
      </c>
      <c r="E1093" t="s">
        <v>42</v>
      </c>
      <c r="F1093" t="s">
        <v>43</v>
      </c>
      <c r="G1093" t="s">
        <v>43</v>
      </c>
      <c r="H1093" t="s">
        <v>43</v>
      </c>
      <c r="I1093" t="s">
        <v>477</v>
      </c>
      <c r="J1093" t="s">
        <v>43</v>
      </c>
      <c r="K1093" t="s">
        <v>43</v>
      </c>
      <c r="L1093" t="s">
        <v>43</v>
      </c>
      <c r="M1093" t="s">
        <v>43</v>
      </c>
      <c r="N1093" t="s">
        <v>45</v>
      </c>
      <c r="O1093" t="s">
        <v>43</v>
      </c>
      <c r="P1093" t="s">
        <v>43</v>
      </c>
      <c r="Q1093" t="s">
        <v>43</v>
      </c>
      <c r="R1093" t="s">
        <v>43</v>
      </c>
      <c r="S1093" t="s">
        <v>43</v>
      </c>
      <c r="T1093" t="s">
        <v>43</v>
      </c>
      <c r="U1093" t="s">
        <v>43</v>
      </c>
      <c r="V1093" t="s">
        <v>43</v>
      </c>
      <c r="W1093" t="s">
        <v>43</v>
      </c>
      <c r="X1093" t="s">
        <v>43</v>
      </c>
      <c r="Y1093" t="s">
        <v>43</v>
      </c>
      <c r="Z1093" t="s">
        <v>43</v>
      </c>
      <c r="AA1093" t="s">
        <v>43</v>
      </c>
      <c r="AB1093" t="s">
        <v>43</v>
      </c>
      <c r="AC1093" t="s">
        <v>43</v>
      </c>
      <c r="AD1093" t="s">
        <v>43</v>
      </c>
      <c r="AE1093" t="s">
        <v>43</v>
      </c>
      <c r="AF1093" t="s">
        <v>43</v>
      </c>
      <c r="AG1093" t="s">
        <v>43</v>
      </c>
      <c r="AH1093" t="s">
        <v>43</v>
      </c>
      <c r="AI1093" t="s">
        <v>43</v>
      </c>
      <c r="AJ1093" t="s">
        <v>43</v>
      </c>
      <c r="AK1093" t="s">
        <v>43</v>
      </c>
      <c r="AL1093" t="s">
        <v>43</v>
      </c>
      <c r="AM1093" t="s">
        <v>43</v>
      </c>
      <c r="AN1093" t="str">
        <f>HYPERLINK("https://www.google.com/maps?q=11.05493355,79.06285095","Open Location")</f>
        <v>Open Location</v>
      </c>
    </row>
    <row r="1094" spans="1:40" x14ac:dyDescent="0.3">
      <c r="A1094" s="1">
        <v>46210.873148148145</v>
      </c>
      <c r="B1094" t="s">
        <v>40</v>
      </c>
      <c r="C1094" t="s">
        <v>41</v>
      </c>
      <c r="D1094" s="1">
        <v>46210.876342592594</v>
      </c>
      <c r="E1094" t="s">
        <v>42</v>
      </c>
      <c r="F1094" t="s">
        <v>43</v>
      </c>
      <c r="G1094" t="s">
        <v>43</v>
      </c>
      <c r="H1094" t="s">
        <v>43</v>
      </c>
      <c r="I1094" t="s">
        <v>478</v>
      </c>
      <c r="J1094" t="s">
        <v>43</v>
      </c>
      <c r="K1094" t="s">
        <v>43</v>
      </c>
      <c r="L1094" t="s">
        <v>43</v>
      </c>
      <c r="M1094" t="s">
        <v>43</v>
      </c>
      <c r="N1094" t="s">
        <v>45</v>
      </c>
      <c r="O1094" t="s">
        <v>43</v>
      </c>
      <c r="P1094" t="s">
        <v>43</v>
      </c>
      <c r="Q1094" t="s">
        <v>43</v>
      </c>
      <c r="R1094" t="s">
        <v>43</v>
      </c>
      <c r="S1094" t="s">
        <v>43</v>
      </c>
      <c r="T1094" t="s">
        <v>43</v>
      </c>
      <c r="U1094" t="s">
        <v>43</v>
      </c>
      <c r="V1094" t="s">
        <v>43</v>
      </c>
      <c r="W1094" t="s">
        <v>43</v>
      </c>
      <c r="X1094" t="s">
        <v>43</v>
      </c>
      <c r="Y1094" t="s">
        <v>43</v>
      </c>
      <c r="Z1094" t="s">
        <v>43</v>
      </c>
      <c r="AA1094" t="s">
        <v>43</v>
      </c>
      <c r="AB1094" t="s">
        <v>43</v>
      </c>
      <c r="AC1094" t="s">
        <v>43</v>
      </c>
      <c r="AD1094" t="s">
        <v>43</v>
      </c>
      <c r="AE1094" t="s">
        <v>43</v>
      </c>
      <c r="AF1094" t="s">
        <v>43</v>
      </c>
      <c r="AG1094" t="s">
        <v>43</v>
      </c>
      <c r="AH1094" t="s">
        <v>43</v>
      </c>
      <c r="AI1094" t="s">
        <v>43</v>
      </c>
      <c r="AJ1094" t="s">
        <v>43</v>
      </c>
      <c r="AK1094" t="s">
        <v>43</v>
      </c>
      <c r="AL1094" t="s">
        <v>43</v>
      </c>
      <c r="AM1094" t="s">
        <v>43</v>
      </c>
      <c r="AN1094" t="str">
        <f>HYPERLINK("https://www.google.com/maps?q=11.05493736,79.06285095","Open Location")</f>
        <v>Open Location</v>
      </c>
    </row>
    <row r="1095" spans="1:40" x14ac:dyDescent="0.3">
      <c r="A1095" s="1">
        <v>46210.873032407406</v>
      </c>
      <c r="B1095" t="s">
        <v>40</v>
      </c>
      <c r="C1095" t="s">
        <v>41</v>
      </c>
      <c r="D1095" s="1">
        <v>46210.875856481478</v>
      </c>
      <c r="E1095" t="s">
        <v>42</v>
      </c>
      <c r="F1095" t="s">
        <v>43</v>
      </c>
      <c r="G1095" t="s">
        <v>43</v>
      </c>
      <c r="H1095" t="s">
        <v>43</v>
      </c>
      <c r="I1095" t="s">
        <v>479</v>
      </c>
      <c r="J1095" t="s">
        <v>43</v>
      </c>
      <c r="K1095" t="s">
        <v>43</v>
      </c>
      <c r="L1095" t="s">
        <v>43</v>
      </c>
      <c r="M1095" t="s">
        <v>43</v>
      </c>
      <c r="N1095" t="s">
        <v>45</v>
      </c>
      <c r="O1095" t="s">
        <v>43</v>
      </c>
      <c r="P1095" t="s">
        <v>43</v>
      </c>
      <c r="Q1095" t="s">
        <v>43</v>
      </c>
      <c r="R1095" t="s">
        <v>43</v>
      </c>
      <c r="S1095" t="s">
        <v>43</v>
      </c>
      <c r="T1095" t="s">
        <v>43</v>
      </c>
      <c r="U1095" t="s">
        <v>43</v>
      </c>
      <c r="V1095" t="s">
        <v>43</v>
      </c>
      <c r="W1095" t="s">
        <v>43</v>
      </c>
      <c r="X1095" t="s">
        <v>43</v>
      </c>
      <c r="Y1095" t="s">
        <v>43</v>
      </c>
      <c r="Z1095" t="s">
        <v>43</v>
      </c>
      <c r="AA1095" t="s">
        <v>43</v>
      </c>
      <c r="AB1095" t="s">
        <v>43</v>
      </c>
      <c r="AC1095" t="s">
        <v>43</v>
      </c>
      <c r="AD1095" t="s">
        <v>43</v>
      </c>
      <c r="AE1095" t="s">
        <v>43</v>
      </c>
      <c r="AF1095" t="s">
        <v>43</v>
      </c>
      <c r="AG1095" t="s">
        <v>43</v>
      </c>
      <c r="AH1095" t="s">
        <v>43</v>
      </c>
      <c r="AI1095" t="s">
        <v>43</v>
      </c>
      <c r="AJ1095" t="s">
        <v>43</v>
      </c>
      <c r="AK1095" t="s">
        <v>43</v>
      </c>
      <c r="AL1095" t="s">
        <v>43</v>
      </c>
      <c r="AM1095" t="s">
        <v>43</v>
      </c>
      <c r="AN1095" t="str">
        <f>HYPERLINK("https://www.google.com/maps?q=11.05493927,79.06284332","Open Location")</f>
        <v>Open Location</v>
      </c>
    </row>
    <row r="1096" spans="1:40" x14ac:dyDescent="0.3">
      <c r="A1096" s="1">
        <v>46210.872916666667</v>
      </c>
      <c r="B1096" t="s">
        <v>40</v>
      </c>
      <c r="C1096" t="s">
        <v>41</v>
      </c>
      <c r="D1096" s="1">
        <v>46210.875914351855</v>
      </c>
      <c r="E1096" t="s">
        <v>42</v>
      </c>
      <c r="F1096" t="s">
        <v>43</v>
      </c>
      <c r="G1096" t="s">
        <v>43</v>
      </c>
      <c r="H1096" t="s">
        <v>43</v>
      </c>
      <c r="I1096" t="s">
        <v>477</v>
      </c>
      <c r="J1096" t="s">
        <v>43</v>
      </c>
      <c r="K1096" t="s">
        <v>43</v>
      </c>
      <c r="L1096" t="s">
        <v>43</v>
      </c>
      <c r="M1096" t="s">
        <v>43</v>
      </c>
      <c r="N1096" t="s">
        <v>45</v>
      </c>
      <c r="O1096" t="s">
        <v>43</v>
      </c>
      <c r="P1096" t="s">
        <v>43</v>
      </c>
      <c r="Q1096" t="s">
        <v>43</v>
      </c>
      <c r="R1096" t="s">
        <v>43</v>
      </c>
      <c r="S1096" t="s">
        <v>43</v>
      </c>
      <c r="T1096" t="s">
        <v>43</v>
      </c>
      <c r="U1096" t="s">
        <v>43</v>
      </c>
      <c r="V1096" t="s">
        <v>43</v>
      </c>
      <c r="W1096" t="s">
        <v>43</v>
      </c>
      <c r="X1096" t="s">
        <v>43</v>
      </c>
      <c r="Y1096" t="s">
        <v>43</v>
      </c>
      <c r="Z1096" t="s">
        <v>43</v>
      </c>
      <c r="AA1096" t="s">
        <v>43</v>
      </c>
      <c r="AB1096" t="s">
        <v>43</v>
      </c>
      <c r="AC1096" t="s">
        <v>43</v>
      </c>
      <c r="AD1096" t="s">
        <v>43</v>
      </c>
      <c r="AE1096" t="s">
        <v>43</v>
      </c>
      <c r="AF1096" t="s">
        <v>43</v>
      </c>
      <c r="AG1096" t="s">
        <v>43</v>
      </c>
      <c r="AH1096" t="s">
        <v>43</v>
      </c>
      <c r="AI1096" t="s">
        <v>43</v>
      </c>
      <c r="AJ1096" t="s">
        <v>43</v>
      </c>
      <c r="AK1096" t="s">
        <v>43</v>
      </c>
      <c r="AL1096" t="s">
        <v>43</v>
      </c>
      <c r="AM1096" t="s">
        <v>43</v>
      </c>
      <c r="AN1096" t="str">
        <f>HYPERLINK("https://www.google.com/maps?q=11.05493355,79.06285095","Open Location")</f>
        <v>Open Location</v>
      </c>
    </row>
    <row r="1097" spans="1:40" x14ac:dyDescent="0.3">
      <c r="A1097" s="1">
        <v>46210.872800925928</v>
      </c>
      <c r="B1097" t="s">
        <v>40</v>
      </c>
      <c r="C1097" t="s">
        <v>41</v>
      </c>
      <c r="D1097" s="1">
        <v>46210.875474537039</v>
      </c>
      <c r="E1097" t="s">
        <v>42</v>
      </c>
      <c r="F1097" t="s">
        <v>43</v>
      </c>
      <c r="G1097" t="s">
        <v>43</v>
      </c>
      <c r="H1097" t="s">
        <v>43</v>
      </c>
      <c r="I1097" t="s">
        <v>480</v>
      </c>
      <c r="J1097" t="s">
        <v>43</v>
      </c>
      <c r="K1097" t="s">
        <v>43</v>
      </c>
      <c r="L1097" t="s">
        <v>43</v>
      </c>
      <c r="M1097" t="s">
        <v>43</v>
      </c>
      <c r="N1097" t="s">
        <v>45</v>
      </c>
      <c r="O1097" t="s">
        <v>43</v>
      </c>
      <c r="P1097" t="s">
        <v>43</v>
      </c>
      <c r="Q1097" t="s">
        <v>43</v>
      </c>
      <c r="R1097" t="s">
        <v>43</v>
      </c>
      <c r="S1097" t="s">
        <v>43</v>
      </c>
      <c r="T1097" t="s">
        <v>43</v>
      </c>
      <c r="U1097" t="s">
        <v>43</v>
      </c>
      <c r="V1097" t="s">
        <v>43</v>
      </c>
      <c r="W1097" t="s">
        <v>43</v>
      </c>
      <c r="X1097" t="s">
        <v>43</v>
      </c>
      <c r="Y1097" t="s">
        <v>43</v>
      </c>
      <c r="Z1097" t="s">
        <v>43</v>
      </c>
      <c r="AA1097" t="s">
        <v>43</v>
      </c>
      <c r="AB1097" t="s">
        <v>43</v>
      </c>
      <c r="AC1097" t="s">
        <v>43</v>
      </c>
      <c r="AD1097" t="s">
        <v>43</v>
      </c>
      <c r="AE1097" t="s">
        <v>43</v>
      </c>
      <c r="AF1097" t="s">
        <v>43</v>
      </c>
      <c r="AG1097" t="s">
        <v>43</v>
      </c>
      <c r="AH1097" t="s">
        <v>43</v>
      </c>
      <c r="AI1097" t="s">
        <v>43</v>
      </c>
      <c r="AJ1097" t="s">
        <v>43</v>
      </c>
      <c r="AK1097" t="s">
        <v>43</v>
      </c>
      <c r="AL1097" t="s">
        <v>43</v>
      </c>
      <c r="AM1097" t="s">
        <v>43</v>
      </c>
      <c r="AN1097" t="str">
        <f>HYPERLINK("https://www.google.com/maps?q=11.05493546,79.06285095","Open Location")</f>
        <v>Open Location</v>
      </c>
    </row>
    <row r="1098" spans="1:40" x14ac:dyDescent="0.3">
      <c r="A1098" s="1">
        <v>46210.872685185182</v>
      </c>
      <c r="B1098" t="s">
        <v>40</v>
      </c>
      <c r="C1098" t="s">
        <v>41</v>
      </c>
      <c r="D1098" s="1">
        <v>46210.875289351854</v>
      </c>
      <c r="E1098" t="s">
        <v>42</v>
      </c>
      <c r="F1098" t="s">
        <v>43</v>
      </c>
      <c r="G1098" t="s">
        <v>43</v>
      </c>
      <c r="H1098" t="s">
        <v>43</v>
      </c>
      <c r="I1098" t="s">
        <v>43</v>
      </c>
      <c r="J1098" t="s">
        <v>43</v>
      </c>
      <c r="K1098" t="s">
        <v>43</v>
      </c>
      <c r="L1098" t="s">
        <v>43</v>
      </c>
      <c r="M1098" t="s">
        <v>43</v>
      </c>
      <c r="N1098" t="s">
        <v>45</v>
      </c>
      <c r="O1098" t="s">
        <v>43</v>
      </c>
      <c r="P1098" t="s">
        <v>43</v>
      </c>
      <c r="Q1098" t="s">
        <v>43</v>
      </c>
      <c r="R1098" t="s">
        <v>43</v>
      </c>
      <c r="S1098" t="s">
        <v>43</v>
      </c>
      <c r="T1098" t="s">
        <v>43</v>
      </c>
      <c r="U1098" t="s">
        <v>43</v>
      </c>
      <c r="V1098" t="s">
        <v>43</v>
      </c>
      <c r="W1098" t="s">
        <v>43</v>
      </c>
      <c r="X1098" t="s">
        <v>43</v>
      </c>
      <c r="Y1098" t="s">
        <v>43</v>
      </c>
      <c r="Z1098" t="s">
        <v>43</v>
      </c>
      <c r="AA1098" t="s">
        <v>43</v>
      </c>
      <c r="AB1098" t="s">
        <v>43</v>
      </c>
      <c r="AC1098" t="s">
        <v>43</v>
      </c>
      <c r="AD1098" t="s">
        <v>43</v>
      </c>
      <c r="AE1098" t="s">
        <v>43</v>
      </c>
      <c r="AF1098" t="s">
        <v>43</v>
      </c>
      <c r="AG1098" t="s">
        <v>43</v>
      </c>
      <c r="AH1098" t="s">
        <v>43</v>
      </c>
      <c r="AI1098" t="s">
        <v>43</v>
      </c>
      <c r="AJ1098" t="s">
        <v>43</v>
      </c>
      <c r="AK1098" t="s">
        <v>43</v>
      </c>
      <c r="AL1098" t="s">
        <v>43</v>
      </c>
      <c r="AM1098" t="s">
        <v>43</v>
      </c>
      <c r="AN1098" t="s">
        <v>43</v>
      </c>
    </row>
    <row r="1099" spans="1:40" x14ac:dyDescent="0.3">
      <c r="A1099" s="1">
        <v>46210.872569444444</v>
      </c>
      <c r="B1099" t="s">
        <v>40</v>
      </c>
      <c r="C1099" t="s">
        <v>41</v>
      </c>
      <c r="D1099" s="1">
        <v>46210.875358796293</v>
      </c>
      <c r="E1099" t="s">
        <v>42</v>
      </c>
      <c r="F1099" t="s">
        <v>43</v>
      </c>
      <c r="G1099" t="s">
        <v>43</v>
      </c>
      <c r="H1099" t="s">
        <v>43</v>
      </c>
      <c r="I1099" t="s">
        <v>477</v>
      </c>
      <c r="J1099" t="s">
        <v>43</v>
      </c>
      <c r="K1099" t="s">
        <v>43</v>
      </c>
      <c r="L1099" t="s">
        <v>43</v>
      </c>
      <c r="M1099" t="s">
        <v>43</v>
      </c>
      <c r="N1099" t="s">
        <v>45</v>
      </c>
      <c r="O1099" t="s">
        <v>43</v>
      </c>
      <c r="P1099" t="s">
        <v>43</v>
      </c>
      <c r="Q1099" t="s">
        <v>43</v>
      </c>
      <c r="R1099" t="s">
        <v>43</v>
      </c>
      <c r="S1099" t="s">
        <v>43</v>
      </c>
      <c r="T1099" t="s">
        <v>43</v>
      </c>
      <c r="U1099" t="s">
        <v>43</v>
      </c>
      <c r="V1099" t="s">
        <v>43</v>
      </c>
      <c r="W1099" t="s">
        <v>43</v>
      </c>
      <c r="X1099" t="s">
        <v>43</v>
      </c>
      <c r="Y1099" t="s">
        <v>43</v>
      </c>
      <c r="Z1099" t="s">
        <v>43</v>
      </c>
      <c r="AA1099" t="s">
        <v>43</v>
      </c>
      <c r="AB1099" t="s">
        <v>43</v>
      </c>
      <c r="AC1099" t="s">
        <v>43</v>
      </c>
      <c r="AD1099" t="s">
        <v>43</v>
      </c>
      <c r="AE1099" t="s">
        <v>43</v>
      </c>
      <c r="AF1099" t="s">
        <v>43</v>
      </c>
      <c r="AG1099" t="s">
        <v>43</v>
      </c>
      <c r="AH1099" t="s">
        <v>43</v>
      </c>
      <c r="AI1099" t="s">
        <v>43</v>
      </c>
      <c r="AJ1099" t="s">
        <v>43</v>
      </c>
      <c r="AK1099" t="s">
        <v>43</v>
      </c>
      <c r="AL1099" t="s">
        <v>43</v>
      </c>
      <c r="AM1099" t="s">
        <v>43</v>
      </c>
      <c r="AN1099" t="str">
        <f>HYPERLINK("https://www.google.com/maps?q=11.05493355,79.06285095","Open Location")</f>
        <v>Open Location</v>
      </c>
    </row>
    <row r="1100" spans="1:40" x14ac:dyDescent="0.3">
      <c r="A1100" s="1">
        <v>46210.872453703705</v>
      </c>
      <c r="B1100" t="s">
        <v>40</v>
      </c>
      <c r="C1100" t="s">
        <v>41</v>
      </c>
      <c r="D1100" s="1">
        <v>46210.875509259262</v>
      </c>
      <c r="E1100" t="s">
        <v>42</v>
      </c>
      <c r="F1100" t="s">
        <v>43</v>
      </c>
      <c r="G1100" t="s">
        <v>43</v>
      </c>
      <c r="H1100" t="s">
        <v>43</v>
      </c>
      <c r="I1100" t="s">
        <v>480</v>
      </c>
      <c r="J1100" t="s">
        <v>43</v>
      </c>
      <c r="K1100" t="s">
        <v>43</v>
      </c>
      <c r="L1100" t="s">
        <v>43</v>
      </c>
      <c r="M1100" t="s">
        <v>43</v>
      </c>
      <c r="N1100" t="s">
        <v>45</v>
      </c>
      <c r="O1100" t="s">
        <v>43</v>
      </c>
      <c r="P1100" t="s">
        <v>43</v>
      </c>
      <c r="Q1100" t="s">
        <v>43</v>
      </c>
      <c r="R1100" t="s">
        <v>43</v>
      </c>
      <c r="S1100" t="s">
        <v>43</v>
      </c>
      <c r="T1100" t="s">
        <v>43</v>
      </c>
      <c r="U1100" t="s">
        <v>43</v>
      </c>
      <c r="V1100" t="s">
        <v>43</v>
      </c>
      <c r="W1100" t="s">
        <v>43</v>
      </c>
      <c r="X1100" t="s">
        <v>43</v>
      </c>
      <c r="Y1100" t="s">
        <v>43</v>
      </c>
      <c r="Z1100" t="s">
        <v>43</v>
      </c>
      <c r="AA1100" t="s">
        <v>43</v>
      </c>
      <c r="AB1100" t="s">
        <v>43</v>
      </c>
      <c r="AC1100" t="s">
        <v>43</v>
      </c>
      <c r="AD1100" t="s">
        <v>43</v>
      </c>
      <c r="AE1100" t="s">
        <v>43</v>
      </c>
      <c r="AF1100" t="s">
        <v>43</v>
      </c>
      <c r="AG1100" t="s">
        <v>43</v>
      </c>
      <c r="AH1100" t="s">
        <v>43</v>
      </c>
      <c r="AI1100" t="s">
        <v>43</v>
      </c>
      <c r="AJ1100" t="s">
        <v>43</v>
      </c>
      <c r="AK1100" t="s">
        <v>43</v>
      </c>
      <c r="AL1100" t="s">
        <v>43</v>
      </c>
      <c r="AM1100" t="s">
        <v>43</v>
      </c>
      <c r="AN1100" t="str">
        <f>HYPERLINK("https://www.google.com/maps?q=11.05493546,79.06285095","Open Location")</f>
        <v>Open Location</v>
      </c>
    </row>
    <row r="1101" spans="1:40" x14ac:dyDescent="0.3">
      <c r="A1101" s="1">
        <v>46210.872337962966</v>
      </c>
      <c r="B1101" t="s">
        <v>40</v>
      </c>
      <c r="C1101" t="s">
        <v>41</v>
      </c>
      <c r="D1101" s="1">
        <v>46210.874976851854</v>
      </c>
      <c r="E1101" t="s">
        <v>42</v>
      </c>
      <c r="F1101" t="s">
        <v>43</v>
      </c>
      <c r="G1101" t="s">
        <v>43</v>
      </c>
      <c r="H1101" t="s">
        <v>43</v>
      </c>
      <c r="I1101" t="s">
        <v>477</v>
      </c>
      <c r="J1101" t="s">
        <v>43</v>
      </c>
      <c r="K1101" t="s">
        <v>43</v>
      </c>
      <c r="L1101" t="s">
        <v>43</v>
      </c>
      <c r="M1101" t="s">
        <v>43</v>
      </c>
      <c r="N1101" t="s">
        <v>45</v>
      </c>
      <c r="O1101" t="s">
        <v>43</v>
      </c>
      <c r="P1101" t="s">
        <v>43</v>
      </c>
      <c r="Q1101" t="s">
        <v>43</v>
      </c>
      <c r="R1101" t="s">
        <v>43</v>
      </c>
      <c r="S1101" t="s">
        <v>43</v>
      </c>
      <c r="T1101" t="s">
        <v>43</v>
      </c>
      <c r="U1101" t="s">
        <v>43</v>
      </c>
      <c r="V1101" t="s">
        <v>43</v>
      </c>
      <c r="W1101" t="s">
        <v>43</v>
      </c>
      <c r="X1101" t="s">
        <v>43</v>
      </c>
      <c r="Y1101" t="s">
        <v>43</v>
      </c>
      <c r="Z1101" t="s">
        <v>43</v>
      </c>
      <c r="AA1101" t="s">
        <v>43</v>
      </c>
      <c r="AB1101" t="s">
        <v>43</v>
      </c>
      <c r="AC1101" t="s">
        <v>43</v>
      </c>
      <c r="AD1101" t="s">
        <v>43</v>
      </c>
      <c r="AE1101" t="s">
        <v>43</v>
      </c>
      <c r="AF1101" t="s">
        <v>43</v>
      </c>
      <c r="AG1101" t="s">
        <v>43</v>
      </c>
      <c r="AH1101" t="s">
        <v>43</v>
      </c>
      <c r="AI1101" t="s">
        <v>43</v>
      </c>
      <c r="AJ1101" t="s">
        <v>43</v>
      </c>
      <c r="AK1101" t="s">
        <v>43</v>
      </c>
      <c r="AL1101" t="s">
        <v>43</v>
      </c>
      <c r="AM1101" t="s">
        <v>43</v>
      </c>
      <c r="AN1101" t="str">
        <f>HYPERLINK("https://www.google.com/maps?q=11.05493355,79.06285095","Open Location")</f>
        <v>Open Location</v>
      </c>
    </row>
    <row r="1102" spans="1:40" x14ac:dyDescent="0.3">
      <c r="A1102" s="1">
        <v>46210.87222222222</v>
      </c>
      <c r="B1102" t="s">
        <v>40</v>
      </c>
      <c r="C1102" t="s">
        <v>41</v>
      </c>
      <c r="D1102" s="1">
        <v>46210.875034722223</v>
      </c>
      <c r="E1102" t="s">
        <v>42</v>
      </c>
      <c r="F1102" t="s">
        <v>43</v>
      </c>
      <c r="G1102" t="s">
        <v>43</v>
      </c>
      <c r="H1102" t="s">
        <v>43</v>
      </c>
      <c r="I1102" t="s">
        <v>481</v>
      </c>
      <c r="J1102" t="s">
        <v>43</v>
      </c>
      <c r="K1102" t="s">
        <v>43</v>
      </c>
      <c r="L1102" t="s">
        <v>43</v>
      </c>
      <c r="M1102" t="s">
        <v>43</v>
      </c>
      <c r="N1102" t="s">
        <v>45</v>
      </c>
      <c r="O1102" t="s">
        <v>43</v>
      </c>
      <c r="P1102" t="s">
        <v>43</v>
      </c>
      <c r="Q1102" t="s">
        <v>43</v>
      </c>
      <c r="R1102" t="s">
        <v>43</v>
      </c>
      <c r="S1102" t="s">
        <v>43</v>
      </c>
      <c r="T1102" t="s">
        <v>43</v>
      </c>
      <c r="U1102" t="s">
        <v>43</v>
      </c>
      <c r="V1102" t="s">
        <v>43</v>
      </c>
      <c r="W1102" t="s">
        <v>43</v>
      </c>
      <c r="X1102" t="s">
        <v>43</v>
      </c>
      <c r="Y1102" t="s">
        <v>43</v>
      </c>
      <c r="Z1102" t="s">
        <v>43</v>
      </c>
      <c r="AA1102" t="s">
        <v>43</v>
      </c>
      <c r="AB1102" t="s">
        <v>43</v>
      </c>
      <c r="AC1102" t="s">
        <v>43</v>
      </c>
      <c r="AD1102" t="s">
        <v>43</v>
      </c>
      <c r="AE1102" t="s">
        <v>43</v>
      </c>
      <c r="AF1102" t="s">
        <v>43</v>
      </c>
      <c r="AG1102" t="s">
        <v>43</v>
      </c>
      <c r="AH1102" t="s">
        <v>43</v>
      </c>
      <c r="AI1102" t="s">
        <v>43</v>
      </c>
      <c r="AJ1102" t="s">
        <v>43</v>
      </c>
      <c r="AK1102" t="s">
        <v>43</v>
      </c>
      <c r="AL1102" t="s">
        <v>43</v>
      </c>
      <c r="AM1102" t="s">
        <v>43</v>
      </c>
      <c r="AN1102" t="str">
        <f>HYPERLINK("https://www.google.com/maps?q=11.05492306,79.06284332","Open Location")</f>
        <v>Open Location</v>
      </c>
    </row>
    <row r="1103" spans="1:40" x14ac:dyDescent="0.3">
      <c r="A1103" s="1">
        <v>46210.872106481482</v>
      </c>
      <c r="B1103" t="s">
        <v>40</v>
      </c>
      <c r="C1103" t="s">
        <v>41</v>
      </c>
      <c r="D1103" s="1">
        <v>46210.874976851854</v>
      </c>
      <c r="E1103" t="s">
        <v>42</v>
      </c>
      <c r="F1103" t="s">
        <v>43</v>
      </c>
      <c r="G1103" t="s">
        <v>43</v>
      </c>
      <c r="H1103" t="s">
        <v>43</v>
      </c>
      <c r="I1103" t="s">
        <v>482</v>
      </c>
      <c r="J1103" t="s">
        <v>43</v>
      </c>
      <c r="K1103" t="s">
        <v>43</v>
      </c>
      <c r="L1103" t="s">
        <v>43</v>
      </c>
      <c r="M1103" t="s">
        <v>43</v>
      </c>
      <c r="N1103" t="s">
        <v>45</v>
      </c>
      <c r="O1103" t="s">
        <v>43</v>
      </c>
      <c r="P1103" t="s">
        <v>43</v>
      </c>
      <c r="Q1103" t="s">
        <v>43</v>
      </c>
      <c r="R1103" t="s">
        <v>43</v>
      </c>
      <c r="S1103" t="s">
        <v>43</v>
      </c>
      <c r="T1103" t="s">
        <v>43</v>
      </c>
      <c r="U1103" t="s">
        <v>43</v>
      </c>
      <c r="V1103" t="s">
        <v>43</v>
      </c>
      <c r="W1103" t="s">
        <v>43</v>
      </c>
      <c r="X1103" t="s">
        <v>43</v>
      </c>
      <c r="Y1103" t="s">
        <v>43</v>
      </c>
      <c r="Z1103" t="s">
        <v>43</v>
      </c>
      <c r="AA1103" t="s">
        <v>43</v>
      </c>
      <c r="AB1103" t="s">
        <v>43</v>
      </c>
      <c r="AC1103" t="s">
        <v>43</v>
      </c>
      <c r="AD1103" t="s">
        <v>43</v>
      </c>
      <c r="AE1103" t="s">
        <v>43</v>
      </c>
      <c r="AF1103" t="s">
        <v>43</v>
      </c>
      <c r="AG1103" t="s">
        <v>43</v>
      </c>
      <c r="AH1103" t="s">
        <v>43</v>
      </c>
      <c r="AI1103" t="s">
        <v>43</v>
      </c>
      <c r="AJ1103" t="s">
        <v>43</v>
      </c>
      <c r="AK1103" t="s">
        <v>43</v>
      </c>
      <c r="AL1103" t="s">
        <v>43</v>
      </c>
      <c r="AM1103" t="s">
        <v>43</v>
      </c>
      <c r="AN1103" t="str">
        <f>HYPERLINK("https://www.google.com/maps?q=11.05492687,79.06285095","Open Location")</f>
        <v>Open Location</v>
      </c>
    </row>
    <row r="1104" spans="1:40" x14ac:dyDescent="0.3">
      <c r="A1104" s="1">
        <v>46210.871990740743</v>
      </c>
      <c r="B1104" t="s">
        <v>40</v>
      </c>
      <c r="C1104" t="s">
        <v>41</v>
      </c>
      <c r="D1104" s="1">
        <v>46210.874537037038</v>
      </c>
      <c r="E1104" t="s">
        <v>42</v>
      </c>
      <c r="F1104" t="s">
        <v>43</v>
      </c>
      <c r="G1104" t="s">
        <v>43</v>
      </c>
      <c r="H1104" t="s">
        <v>43</v>
      </c>
      <c r="I1104" t="s">
        <v>43</v>
      </c>
      <c r="J1104" t="s">
        <v>43</v>
      </c>
      <c r="K1104" t="s">
        <v>43</v>
      </c>
      <c r="L1104" t="s">
        <v>43</v>
      </c>
      <c r="M1104" t="s">
        <v>43</v>
      </c>
      <c r="N1104" t="s">
        <v>45</v>
      </c>
      <c r="O1104" t="s">
        <v>43</v>
      </c>
      <c r="P1104" t="s">
        <v>43</v>
      </c>
      <c r="Q1104" t="s">
        <v>43</v>
      </c>
      <c r="R1104" t="s">
        <v>43</v>
      </c>
      <c r="S1104" t="s">
        <v>43</v>
      </c>
      <c r="T1104" t="s">
        <v>43</v>
      </c>
      <c r="U1104" t="s">
        <v>43</v>
      </c>
      <c r="V1104" t="s">
        <v>43</v>
      </c>
      <c r="W1104" t="s">
        <v>43</v>
      </c>
      <c r="X1104" t="s">
        <v>43</v>
      </c>
      <c r="Y1104" t="s">
        <v>43</v>
      </c>
      <c r="Z1104" t="s">
        <v>43</v>
      </c>
      <c r="AA1104" t="s">
        <v>43</v>
      </c>
      <c r="AB1104" t="s">
        <v>43</v>
      </c>
      <c r="AC1104" t="s">
        <v>43</v>
      </c>
      <c r="AD1104" t="s">
        <v>43</v>
      </c>
      <c r="AE1104" t="s">
        <v>43</v>
      </c>
      <c r="AF1104" t="s">
        <v>43</v>
      </c>
      <c r="AG1104" t="s">
        <v>43</v>
      </c>
      <c r="AH1104" t="s">
        <v>43</v>
      </c>
      <c r="AI1104" t="s">
        <v>43</v>
      </c>
      <c r="AJ1104" t="s">
        <v>43</v>
      </c>
      <c r="AK1104" t="s">
        <v>43</v>
      </c>
      <c r="AL1104" t="s">
        <v>43</v>
      </c>
      <c r="AM1104" t="s">
        <v>43</v>
      </c>
      <c r="AN1104" t="s">
        <v>43</v>
      </c>
    </row>
    <row r="1105" spans="1:40" x14ac:dyDescent="0.3">
      <c r="A1105" s="1">
        <v>46210.871874999997</v>
      </c>
      <c r="B1105" t="s">
        <v>40</v>
      </c>
      <c r="C1105" t="s">
        <v>41</v>
      </c>
      <c r="D1105" s="1">
        <v>46210.874652777777</v>
      </c>
      <c r="E1105" t="s">
        <v>42</v>
      </c>
      <c r="F1105" t="s">
        <v>43</v>
      </c>
      <c r="G1105" t="s">
        <v>43</v>
      </c>
      <c r="H1105" t="s">
        <v>43</v>
      </c>
      <c r="I1105" t="s">
        <v>482</v>
      </c>
      <c r="J1105" t="s">
        <v>43</v>
      </c>
      <c r="K1105" t="s">
        <v>43</v>
      </c>
      <c r="L1105" t="s">
        <v>43</v>
      </c>
      <c r="M1105" t="s">
        <v>43</v>
      </c>
      <c r="N1105" t="s">
        <v>45</v>
      </c>
      <c r="O1105" t="s">
        <v>43</v>
      </c>
      <c r="P1105" t="s">
        <v>43</v>
      </c>
      <c r="Q1105" t="s">
        <v>43</v>
      </c>
      <c r="R1105" t="s">
        <v>43</v>
      </c>
      <c r="S1105" t="s">
        <v>43</v>
      </c>
      <c r="T1105" t="s">
        <v>43</v>
      </c>
      <c r="U1105" t="s">
        <v>43</v>
      </c>
      <c r="V1105" t="s">
        <v>43</v>
      </c>
      <c r="W1105" t="s">
        <v>43</v>
      </c>
      <c r="X1105" t="s">
        <v>43</v>
      </c>
      <c r="Y1105" t="s">
        <v>43</v>
      </c>
      <c r="Z1105" t="s">
        <v>43</v>
      </c>
      <c r="AA1105" t="s">
        <v>43</v>
      </c>
      <c r="AB1105" t="s">
        <v>43</v>
      </c>
      <c r="AC1105" t="s">
        <v>43</v>
      </c>
      <c r="AD1105" t="s">
        <v>43</v>
      </c>
      <c r="AE1105" t="s">
        <v>43</v>
      </c>
      <c r="AF1105" t="s">
        <v>43</v>
      </c>
      <c r="AG1105" t="s">
        <v>43</v>
      </c>
      <c r="AH1105" t="s">
        <v>43</v>
      </c>
      <c r="AI1105" t="s">
        <v>43</v>
      </c>
      <c r="AJ1105" t="s">
        <v>43</v>
      </c>
      <c r="AK1105" t="s">
        <v>43</v>
      </c>
      <c r="AL1105" t="s">
        <v>43</v>
      </c>
      <c r="AM1105" t="s">
        <v>43</v>
      </c>
      <c r="AN1105" t="str">
        <f>HYPERLINK("https://www.google.com/maps?q=11.05492687,79.06285095","Open Location")</f>
        <v>Open Location</v>
      </c>
    </row>
    <row r="1106" spans="1:40" x14ac:dyDescent="0.3">
      <c r="A1106" s="1">
        <v>46210.871759259258</v>
      </c>
      <c r="B1106" t="s">
        <v>40</v>
      </c>
      <c r="C1106" t="s">
        <v>41</v>
      </c>
      <c r="D1106" s="1">
        <v>46210.874675925923</v>
      </c>
      <c r="E1106" t="s">
        <v>42</v>
      </c>
      <c r="F1106" t="s">
        <v>43</v>
      </c>
      <c r="G1106" t="s">
        <v>43</v>
      </c>
      <c r="H1106" t="s">
        <v>43</v>
      </c>
      <c r="I1106" t="s">
        <v>483</v>
      </c>
      <c r="J1106" t="s">
        <v>43</v>
      </c>
      <c r="K1106" t="s">
        <v>43</v>
      </c>
      <c r="L1106" t="s">
        <v>43</v>
      </c>
      <c r="M1106" t="s">
        <v>43</v>
      </c>
      <c r="N1106" t="s">
        <v>45</v>
      </c>
      <c r="O1106" t="s">
        <v>43</v>
      </c>
      <c r="P1106" t="s">
        <v>43</v>
      </c>
      <c r="Q1106" t="s">
        <v>43</v>
      </c>
      <c r="R1106" t="s">
        <v>43</v>
      </c>
      <c r="S1106" t="s">
        <v>43</v>
      </c>
      <c r="T1106" t="s">
        <v>43</v>
      </c>
      <c r="U1106" t="s">
        <v>43</v>
      </c>
      <c r="V1106" t="s">
        <v>43</v>
      </c>
      <c r="W1106" t="s">
        <v>43</v>
      </c>
      <c r="X1106" t="s">
        <v>43</v>
      </c>
      <c r="Y1106" t="s">
        <v>43</v>
      </c>
      <c r="Z1106" t="s">
        <v>43</v>
      </c>
      <c r="AA1106" t="s">
        <v>43</v>
      </c>
      <c r="AB1106" t="s">
        <v>43</v>
      </c>
      <c r="AC1106" t="s">
        <v>43</v>
      </c>
      <c r="AD1106" t="s">
        <v>43</v>
      </c>
      <c r="AE1106" t="s">
        <v>43</v>
      </c>
      <c r="AF1106" t="s">
        <v>43</v>
      </c>
      <c r="AG1106" t="s">
        <v>43</v>
      </c>
      <c r="AH1106" t="s">
        <v>43</v>
      </c>
      <c r="AI1106" t="s">
        <v>43</v>
      </c>
      <c r="AJ1106" t="s">
        <v>43</v>
      </c>
      <c r="AK1106" t="s">
        <v>43</v>
      </c>
      <c r="AL1106" t="s">
        <v>43</v>
      </c>
      <c r="AM1106" t="s">
        <v>43</v>
      </c>
      <c r="AN1106" t="str">
        <f>HYPERLINK("https://www.google.com/maps?q=11.05493164,79.06285095","Open Location")</f>
        <v>Open Location</v>
      </c>
    </row>
    <row r="1107" spans="1:40" x14ac:dyDescent="0.3">
      <c r="A1107" s="1">
        <v>46210.87164351852</v>
      </c>
      <c r="B1107" t="s">
        <v>40</v>
      </c>
      <c r="C1107" t="s">
        <v>41</v>
      </c>
      <c r="D1107" s="1">
        <v>46210.87431712963</v>
      </c>
      <c r="E1107" t="s">
        <v>42</v>
      </c>
      <c r="F1107" t="s">
        <v>43</v>
      </c>
      <c r="G1107" t="s">
        <v>43</v>
      </c>
      <c r="H1107" t="s">
        <v>43</v>
      </c>
      <c r="I1107" t="s">
        <v>477</v>
      </c>
      <c r="J1107" t="s">
        <v>43</v>
      </c>
      <c r="K1107" t="s">
        <v>43</v>
      </c>
      <c r="L1107" t="s">
        <v>43</v>
      </c>
      <c r="M1107" t="s">
        <v>43</v>
      </c>
      <c r="N1107" t="s">
        <v>45</v>
      </c>
      <c r="O1107" t="s">
        <v>43</v>
      </c>
      <c r="P1107" t="s">
        <v>43</v>
      </c>
      <c r="Q1107" t="s">
        <v>43</v>
      </c>
      <c r="R1107" t="s">
        <v>43</v>
      </c>
      <c r="S1107" t="s">
        <v>43</v>
      </c>
      <c r="T1107" t="s">
        <v>43</v>
      </c>
      <c r="U1107" t="s">
        <v>43</v>
      </c>
      <c r="V1107" t="s">
        <v>43</v>
      </c>
      <c r="W1107" t="s">
        <v>43</v>
      </c>
      <c r="X1107" t="s">
        <v>43</v>
      </c>
      <c r="Y1107" t="s">
        <v>43</v>
      </c>
      <c r="Z1107" t="s">
        <v>43</v>
      </c>
      <c r="AA1107" t="s">
        <v>43</v>
      </c>
      <c r="AB1107" t="s">
        <v>43</v>
      </c>
      <c r="AC1107" t="s">
        <v>43</v>
      </c>
      <c r="AD1107" t="s">
        <v>43</v>
      </c>
      <c r="AE1107" t="s">
        <v>43</v>
      </c>
      <c r="AF1107" t="s">
        <v>43</v>
      </c>
      <c r="AG1107" t="s">
        <v>43</v>
      </c>
      <c r="AH1107" t="s">
        <v>43</v>
      </c>
      <c r="AI1107" t="s">
        <v>43</v>
      </c>
      <c r="AJ1107" t="s">
        <v>43</v>
      </c>
      <c r="AK1107" t="s">
        <v>43</v>
      </c>
      <c r="AL1107" t="s">
        <v>43</v>
      </c>
      <c r="AM1107" t="s">
        <v>43</v>
      </c>
      <c r="AN1107" t="str">
        <f>HYPERLINK("https://www.google.com/maps?q=11.05493355,79.06285095","Open Location")</f>
        <v>Open Location</v>
      </c>
    </row>
    <row r="1108" spans="1:40" x14ac:dyDescent="0.3">
      <c r="A1108" s="1">
        <v>46210.871527777781</v>
      </c>
      <c r="B1108" t="s">
        <v>40</v>
      </c>
      <c r="C1108" t="s">
        <v>41</v>
      </c>
      <c r="D1108" s="1">
        <v>46210.87431712963</v>
      </c>
      <c r="E1108" t="s">
        <v>42</v>
      </c>
      <c r="F1108" t="s">
        <v>43</v>
      </c>
      <c r="G1108" t="s">
        <v>43</v>
      </c>
      <c r="H1108" t="s">
        <v>43</v>
      </c>
      <c r="I1108" t="s">
        <v>484</v>
      </c>
      <c r="J1108" t="s">
        <v>43</v>
      </c>
      <c r="K1108" t="s">
        <v>43</v>
      </c>
      <c r="L1108" t="s">
        <v>43</v>
      </c>
      <c r="M1108" t="s">
        <v>43</v>
      </c>
      <c r="N1108" t="s">
        <v>45</v>
      </c>
      <c r="O1108" t="s">
        <v>43</v>
      </c>
      <c r="P1108" t="s">
        <v>43</v>
      </c>
      <c r="Q1108" t="s">
        <v>43</v>
      </c>
      <c r="R1108" t="s">
        <v>43</v>
      </c>
      <c r="S1108" t="s">
        <v>43</v>
      </c>
      <c r="T1108" t="s">
        <v>43</v>
      </c>
      <c r="U1108" t="s">
        <v>43</v>
      </c>
      <c r="V1108" t="s">
        <v>43</v>
      </c>
      <c r="W1108" t="s">
        <v>43</v>
      </c>
      <c r="X1108" t="s">
        <v>43</v>
      </c>
      <c r="Y1108" t="s">
        <v>43</v>
      </c>
      <c r="Z1108" t="s">
        <v>43</v>
      </c>
      <c r="AA1108" t="s">
        <v>43</v>
      </c>
      <c r="AB1108" t="s">
        <v>43</v>
      </c>
      <c r="AC1108" t="s">
        <v>43</v>
      </c>
      <c r="AD1108" t="s">
        <v>43</v>
      </c>
      <c r="AE1108" t="s">
        <v>43</v>
      </c>
      <c r="AF1108" t="s">
        <v>43</v>
      </c>
      <c r="AG1108" t="s">
        <v>43</v>
      </c>
      <c r="AH1108" t="s">
        <v>43</v>
      </c>
      <c r="AI1108" t="s">
        <v>43</v>
      </c>
      <c r="AJ1108" t="s">
        <v>43</v>
      </c>
      <c r="AK1108" t="s">
        <v>43</v>
      </c>
      <c r="AL1108" t="s">
        <v>43</v>
      </c>
      <c r="AM1108" t="s">
        <v>43</v>
      </c>
      <c r="AN1108" t="str">
        <f>HYPERLINK("https://www.google.com/maps?q=11.05493259,79.06285095","Open Location")</f>
        <v>Open Location</v>
      </c>
    </row>
    <row r="1109" spans="1:40" x14ac:dyDescent="0.3">
      <c r="A1109" s="1">
        <v>46210.871412037035</v>
      </c>
      <c r="B1109" t="s">
        <v>40</v>
      </c>
      <c r="C1109" t="s">
        <v>41</v>
      </c>
      <c r="D1109" s="1">
        <v>46210.87427083333</v>
      </c>
      <c r="E1109" t="s">
        <v>42</v>
      </c>
      <c r="F1109" t="s">
        <v>43</v>
      </c>
      <c r="G1109" t="s">
        <v>43</v>
      </c>
      <c r="H1109" t="s">
        <v>43</v>
      </c>
      <c r="I1109" t="s">
        <v>43</v>
      </c>
      <c r="J1109" t="s">
        <v>43</v>
      </c>
      <c r="K1109" t="s">
        <v>43</v>
      </c>
      <c r="L1109" t="s">
        <v>43</v>
      </c>
      <c r="M1109" t="s">
        <v>43</v>
      </c>
      <c r="N1109" t="s">
        <v>45</v>
      </c>
      <c r="O1109" t="s">
        <v>43</v>
      </c>
      <c r="P1109" t="s">
        <v>43</v>
      </c>
      <c r="Q1109" t="s">
        <v>43</v>
      </c>
      <c r="R1109" t="s">
        <v>43</v>
      </c>
      <c r="S1109" t="s">
        <v>43</v>
      </c>
      <c r="T1109" t="s">
        <v>43</v>
      </c>
      <c r="U1109" t="s">
        <v>43</v>
      </c>
      <c r="V1109" t="s">
        <v>43</v>
      </c>
      <c r="W1109" t="s">
        <v>43</v>
      </c>
      <c r="X1109" t="s">
        <v>43</v>
      </c>
      <c r="Y1109" t="s">
        <v>43</v>
      </c>
      <c r="Z1109" t="s">
        <v>43</v>
      </c>
      <c r="AA1109" t="s">
        <v>43</v>
      </c>
      <c r="AB1109" t="s">
        <v>43</v>
      </c>
      <c r="AC1109" t="s">
        <v>43</v>
      </c>
      <c r="AD1109" t="s">
        <v>43</v>
      </c>
      <c r="AE1109" t="s">
        <v>43</v>
      </c>
      <c r="AF1109" t="s">
        <v>43</v>
      </c>
      <c r="AG1109" t="s">
        <v>43</v>
      </c>
      <c r="AH1109" t="s">
        <v>43</v>
      </c>
      <c r="AI1109" t="s">
        <v>43</v>
      </c>
      <c r="AJ1109" t="s">
        <v>43</v>
      </c>
      <c r="AK1109" t="s">
        <v>43</v>
      </c>
      <c r="AL1109" t="s">
        <v>43</v>
      </c>
      <c r="AM1109" t="s">
        <v>43</v>
      </c>
      <c r="AN1109" t="s">
        <v>43</v>
      </c>
    </row>
    <row r="1110" spans="1:40" x14ac:dyDescent="0.3">
      <c r="A1110" s="1">
        <v>46210.871296296296</v>
      </c>
      <c r="B1110" t="s">
        <v>40</v>
      </c>
      <c r="C1110" t="s">
        <v>41</v>
      </c>
      <c r="D1110" s="1">
        <v>46210.874340277776</v>
      </c>
      <c r="E1110" t="s">
        <v>42</v>
      </c>
      <c r="F1110" t="s">
        <v>43</v>
      </c>
      <c r="G1110" t="s">
        <v>43</v>
      </c>
      <c r="H1110" t="s">
        <v>43</v>
      </c>
      <c r="I1110" t="s">
        <v>485</v>
      </c>
      <c r="J1110" t="s">
        <v>43</v>
      </c>
      <c r="K1110" t="s">
        <v>43</v>
      </c>
      <c r="L1110" t="s">
        <v>43</v>
      </c>
      <c r="M1110" t="s">
        <v>43</v>
      </c>
      <c r="N1110" t="s">
        <v>45</v>
      </c>
      <c r="O1110" t="s">
        <v>43</v>
      </c>
      <c r="P1110" t="s">
        <v>43</v>
      </c>
      <c r="Q1110" t="s">
        <v>43</v>
      </c>
      <c r="R1110" t="s">
        <v>43</v>
      </c>
      <c r="S1110" t="s">
        <v>43</v>
      </c>
      <c r="T1110" t="s">
        <v>43</v>
      </c>
      <c r="U1110" t="s">
        <v>43</v>
      </c>
      <c r="V1110" t="s">
        <v>43</v>
      </c>
      <c r="W1110" t="s">
        <v>43</v>
      </c>
      <c r="X1110" t="s">
        <v>43</v>
      </c>
      <c r="Y1110" t="s">
        <v>43</v>
      </c>
      <c r="Z1110" t="s">
        <v>43</v>
      </c>
      <c r="AA1110" t="s">
        <v>43</v>
      </c>
      <c r="AB1110" t="s">
        <v>43</v>
      </c>
      <c r="AC1110" t="s">
        <v>43</v>
      </c>
      <c r="AD1110" t="s">
        <v>43</v>
      </c>
      <c r="AE1110" t="s">
        <v>43</v>
      </c>
      <c r="AF1110" t="s">
        <v>43</v>
      </c>
      <c r="AG1110" t="s">
        <v>43</v>
      </c>
      <c r="AH1110" t="s">
        <v>43</v>
      </c>
      <c r="AI1110" t="s">
        <v>43</v>
      </c>
      <c r="AJ1110" t="s">
        <v>43</v>
      </c>
      <c r="AK1110" t="s">
        <v>43</v>
      </c>
      <c r="AL1110" t="s">
        <v>43</v>
      </c>
      <c r="AM1110" t="s">
        <v>43</v>
      </c>
      <c r="AN1110" t="str">
        <f>HYPERLINK("https://www.google.com/maps?q=11.05494404,79.06285095","Open Location")</f>
        <v>Open Location</v>
      </c>
    </row>
    <row r="1111" spans="1:40" x14ac:dyDescent="0.3">
      <c r="A1111" s="1">
        <v>46210.871180555558</v>
      </c>
      <c r="B1111" t="s">
        <v>40</v>
      </c>
      <c r="C1111" t="s">
        <v>41</v>
      </c>
      <c r="D1111" s="1">
        <v>46210.87395833333</v>
      </c>
      <c r="E1111" t="s">
        <v>42</v>
      </c>
      <c r="F1111" t="s">
        <v>43</v>
      </c>
      <c r="G1111" t="s">
        <v>43</v>
      </c>
      <c r="H1111" t="s">
        <v>43</v>
      </c>
      <c r="I1111" t="s">
        <v>486</v>
      </c>
      <c r="J1111" t="s">
        <v>43</v>
      </c>
      <c r="K1111" t="s">
        <v>43</v>
      </c>
      <c r="L1111" t="s">
        <v>43</v>
      </c>
      <c r="M1111" t="s">
        <v>43</v>
      </c>
      <c r="N1111" t="s">
        <v>45</v>
      </c>
      <c r="O1111" t="s">
        <v>43</v>
      </c>
      <c r="P1111" t="s">
        <v>43</v>
      </c>
      <c r="Q1111" t="s">
        <v>43</v>
      </c>
      <c r="R1111" t="s">
        <v>43</v>
      </c>
      <c r="S1111" t="s">
        <v>43</v>
      </c>
      <c r="T1111" t="s">
        <v>43</v>
      </c>
      <c r="U1111" t="s">
        <v>43</v>
      </c>
      <c r="V1111" t="s">
        <v>43</v>
      </c>
      <c r="W1111" t="s">
        <v>43</v>
      </c>
      <c r="X1111" t="s">
        <v>43</v>
      </c>
      <c r="Y1111" t="s">
        <v>43</v>
      </c>
      <c r="Z1111" t="s">
        <v>43</v>
      </c>
      <c r="AA1111" t="s">
        <v>43</v>
      </c>
      <c r="AB1111" t="s">
        <v>43</v>
      </c>
      <c r="AC1111" t="s">
        <v>43</v>
      </c>
      <c r="AD1111" t="s">
        <v>43</v>
      </c>
      <c r="AE1111" t="s">
        <v>43</v>
      </c>
      <c r="AF1111" t="s">
        <v>43</v>
      </c>
      <c r="AG1111" t="s">
        <v>43</v>
      </c>
      <c r="AH1111" t="s">
        <v>43</v>
      </c>
      <c r="AI1111" t="s">
        <v>43</v>
      </c>
      <c r="AJ1111" t="s">
        <v>43</v>
      </c>
      <c r="AK1111" t="s">
        <v>43</v>
      </c>
      <c r="AL1111" t="s">
        <v>43</v>
      </c>
      <c r="AM1111" t="s">
        <v>43</v>
      </c>
      <c r="AN1111" t="str">
        <f>HYPERLINK("https://www.google.com/maps?q=11.05495453,79.06285095","Open Location")</f>
        <v>Open Location</v>
      </c>
    </row>
    <row r="1112" spans="1:40" x14ac:dyDescent="0.3">
      <c r="A1112" s="1">
        <v>46210.871064814812</v>
      </c>
      <c r="B1112" t="s">
        <v>40</v>
      </c>
      <c r="C1112" t="s">
        <v>41</v>
      </c>
      <c r="D1112" s="1">
        <v>46210.874062499999</v>
      </c>
      <c r="E1112" t="s">
        <v>42</v>
      </c>
      <c r="F1112" t="s">
        <v>43</v>
      </c>
      <c r="G1112" t="s">
        <v>43</v>
      </c>
      <c r="H1112" t="s">
        <v>43</v>
      </c>
      <c r="I1112" t="s">
        <v>487</v>
      </c>
      <c r="J1112" t="s">
        <v>43</v>
      </c>
      <c r="K1112" t="s">
        <v>43</v>
      </c>
      <c r="L1112" t="s">
        <v>43</v>
      </c>
      <c r="M1112" t="s">
        <v>43</v>
      </c>
      <c r="N1112" t="s">
        <v>45</v>
      </c>
      <c r="O1112" t="s">
        <v>43</v>
      </c>
      <c r="P1112" t="s">
        <v>43</v>
      </c>
      <c r="Q1112" t="s">
        <v>43</v>
      </c>
      <c r="R1112" t="s">
        <v>43</v>
      </c>
      <c r="S1112" t="s">
        <v>43</v>
      </c>
      <c r="T1112" t="s">
        <v>43</v>
      </c>
      <c r="U1112" t="s">
        <v>43</v>
      </c>
      <c r="V1112" t="s">
        <v>43</v>
      </c>
      <c r="W1112" t="s">
        <v>43</v>
      </c>
      <c r="X1112" t="s">
        <v>43</v>
      </c>
      <c r="Y1112" t="s">
        <v>43</v>
      </c>
      <c r="Z1112" t="s">
        <v>43</v>
      </c>
      <c r="AA1112" t="s">
        <v>43</v>
      </c>
      <c r="AB1112" t="s">
        <v>43</v>
      </c>
      <c r="AC1112" t="s">
        <v>43</v>
      </c>
      <c r="AD1112" t="s">
        <v>43</v>
      </c>
      <c r="AE1112" t="s">
        <v>43</v>
      </c>
      <c r="AF1112" t="s">
        <v>43</v>
      </c>
      <c r="AG1112" t="s">
        <v>43</v>
      </c>
      <c r="AH1112" t="s">
        <v>43</v>
      </c>
      <c r="AI1112" t="s">
        <v>43</v>
      </c>
      <c r="AJ1112" t="s">
        <v>43</v>
      </c>
      <c r="AK1112" t="s">
        <v>43</v>
      </c>
      <c r="AL1112" t="s">
        <v>43</v>
      </c>
      <c r="AM1112" t="s">
        <v>43</v>
      </c>
      <c r="AN1112" t="str">
        <f>HYPERLINK("https://www.google.com/maps?q=11.05495739,79.06285095","Open Location")</f>
        <v>Open Location</v>
      </c>
    </row>
    <row r="1113" spans="1:40" x14ac:dyDescent="0.3">
      <c r="A1113" s="1">
        <v>46210.870949074073</v>
      </c>
      <c r="B1113" t="s">
        <v>40</v>
      </c>
      <c r="C1113" t="s">
        <v>41</v>
      </c>
      <c r="D1113" s="1">
        <v>46210.873923611114</v>
      </c>
      <c r="E1113" t="s">
        <v>42</v>
      </c>
      <c r="F1113" t="s">
        <v>43</v>
      </c>
      <c r="G1113" t="s">
        <v>43</v>
      </c>
      <c r="H1113" t="s">
        <v>43</v>
      </c>
      <c r="I1113" t="s">
        <v>488</v>
      </c>
      <c r="J1113" t="s">
        <v>43</v>
      </c>
      <c r="K1113" t="s">
        <v>43</v>
      </c>
      <c r="L1113" t="s">
        <v>43</v>
      </c>
      <c r="M1113" t="s">
        <v>43</v>
      </c>
      <c r="N1113" t="s">
        <v>45</v>
      </c>
      <c r="O1113" t="s">
        <v>43</v>
      </c>
      <c r="P1113" t="s">
        <v>43</v>
      </c>
      <c r="Q1113" t="s">
        <v>43</v>
      </c>
      <c r="R1113" t="s">
        <v>43</v>
      </c>
      <c r="S1113" t="s">
        <v>43</v>
      </c>
      <c r="T1113" t="s">
        <v>43</v>
      </c>
      <c r="U1113" t="s">
        <v>43</v>
      </c>
      <c r="V1113" t="s">
        <v>43</v>
      </c>
      <c r="W1113" t="s">
        <v>43</v>
      </c>
      <c r="X1113" t="s">
        <v>43</v>
      </c>
      <c r="Y1113" t="s">
        <v>43</v>
      </c>
      <c r="Z1113" t="s">
        <v>43</v>
      </c>
      <c r="AA1113" t="s">
        <v>43</v>
      </c>
      <c r="AB1113" t="s">
        <v>43</v>
      </c>
      <c r="AC1113" t="s">
        <v>43</v>
      </c>
      <c r="AD1113" t="s">
        <v>43</v>
      </c>
      <c r="AE1113" t="s">
        <v>43</v>
      </c>
      <c r="AF1113" t="s">
        <v>43</v>
      </c>
      <c r="AG1113" t="s">
        <v>43</v>
      </c>
      <c r="AH1113" t="s">
        <v>43</v>
      </c>
      <c r="AI1113" t="s">
        <v>43</v>
      </c>
      <c r="AJ1113" t="s">
        <v>43</v>
      </c>
      <c r="AK1113" t="s">
        <v>43</v>
      </c>
      <c r="AL1113" t="s">
        <v>43</v>
      </c>
      <c r="AM1113" t="s">
        <v>43</v>
      </c>
      <c r="AN1113" t="str">
        <f>HYPERLINK("https://www.google.com/maps?q=11.05495071,79.06285095","Open Location")</f>
        <v>Open Location</v>
      </c>
    </row>
    <row r="1114" spans="1:40" x14ac:dyDescent="0.3">
      <c r="A1114" s="1">
        <v>46210.870833333334</v>
      </c>
      <c r="B1114" t="s">
        <v>40</v>
      </c>
      <c r="C1114" t="s">
        <v>41</v>
      </c>
      <c r="D1114" s="1">
        <v>46210.87358796296</v>
      </c>
      <c r="E1114" t="s">
        <v>42</v>
      </c>
      <c r="F1114" t="s">
        <v>43</v>
      </c>
      <c r="G1114" t="s">
        <v>43</v>
      </c>
      <c r="H1114" t="s">
        <v>43</v>
      </c>
      <c r="I1114" t="s">
        <v>489</v>
      </c>
      <c r="J1114" t="s">
        <v>43</v>
      </c>
      <c r="K1114" t="s">
        <v>43</v>
      </c>
      <c r="L1114" t="s">
        <v>43</v>
      </c>
      <c r="M1114" t="s">
        <v>43</v>
      </c>
      <c r="N1114" t="s">
        <v>45</v>
      </c>
      <c r="O1114" t="s">
        <v>43</v>
      </c>
      <c r="P1114" t="s">
        <v>43</v>
      </c>
      <c r="Q1114" t="s">
        <v>43</v>
      </c>
      <c r="R1114" t="s">
        <v>43</v>
      </c>
      <c r="S1114" t="s">
        <v>43</v>
      </c>
      <c r="T1114" t="s">
        <v>43</v>
      </c>
      <c r="U1114" t="s">
        <v>43</v>
      </c>
      <c r="V1114" t="s">
        <v>43</v>
      </c>
      <c r="W1114" t="s">
        <v>43</v>
      </c>
      <c r="X1114" t="s">
        <v>43</v>
      </c>
      <c r="Y1114" t="s">
        <v>43</v>
      </c>
      <c r="Z1114" t="s">
        <v>43</v>
      </c>
      <c r="AA1114" t="s">
        <v>43</v>
      </c>
      <c r="AB1114" t="s">
        <v>43</v>
      </c>
      <c r="AC1114" t="s">
        <v>43</v>
      </c>
      <c r="AD1114" t="s">
        <v>43</v>
      </c>
      <c r="AE1114" t="s">
        <v>43</v>
      </c>
      <c r="AF1114" t="s">
        <v>43</v>
      </c>
      <c r="AG1114" t="s">
        <v>43</v>
      </c>
      <c r="AH1114" t="s">
        <v>43</v>
      </c>
      <c r="AI1114" t="s">
        <v>43</v>
      </c>
      <c r="AJ1114" t="s">
        <v>43</v>
      </c>
      <c r="AK1114" t="s">
        <v>43</v>
      </c>
      <c r="AL1114" t="s">
        <v>43</v>
      </c>
      <c r="AM1114" t="s">
        <v>43</v>
      </c>
      <c r="AN1114" t="str">
        <f>HYPERLINK("https://www.google.com/maps?q=11.05495262,79.06284332","Open Location")</f>
        <v>Open Location</v>
      </c>
    </row>
    <row r="1115" spans="1:40" x14ac:dyDescent="0.3">
      <c r="A1115" s="1">
        <v>46210.870717592596</v>
      </c>
      <c r="B1115" t="s">
        <v>40</v>
      </c>
      <c r="C1115" t="s">
        <v>41</v>
      </c>
      <c r="D1115" s="1">
        <v>46210.873564814814</v>
      </c>
      <c r="E1115" t="s">
        <v>42</v>
      </c>
      <c r="F1115" t="s">
        <v>43</v>
      </c>
      <c r="G1115" t="s">
        <v>43</v>
      </c>
      <c r="H1115" t="s">
        <v>43</v>
      </c>
      <c r="I1115" t="s">
        <v>43</v>
      </c>
      <c r="J1115" t="s">
        <v>43</v>
      </c>
      <c r="K1115" t="s">
        <v>43</v>
      </c>
      <c r="L1115" t="s">
        <v>43</v>
      </c>
      <c r="M1115" t="s">
        <v>43</v>
      </c>
      <c r="N1115" t="s">
        <v>45</v>
      </c>
      <c r="O1115" t="s">
        <v>43</v>
      </c>
      <c r="P1115" t="s">
        <v>43</v>
      </c>
      <c r="Q1115" t="s">
        <v>43</v>
      </c>
      <c r="R1115" t="s">
        <v>43</v>
      </c>
      <c r="S1115" t="s">
        <v>43</v>
      </c>
      <c r="T1115" t="s">
        <v>43</v>
      </c>
      <c r="U1115" t="s">
        <v>43</v>
      </c>
      <c r="V1115" t="s">
        <v>43</v>
      </c>
      <c r="W1115" t="s">
        <v>43</v>
      </c>
      <c r="X1115" t="s">
        <v>43</v>
      </c>
      <c r="Y1115" t="s">
        <v>43</v>
      </c>
      <c r="Z1115" t="s">
        <v>43</v>
      </c>
      <c r="AA1115" t="s">
        <v>43</v>
      </c>
      <c r="AB1115" t="s">
        <v>43</v>
      </c>
      <c r="AC1115" t="s">
        <v>43</v>
      </c>
      <c r="AD1115" t="s">
        <v>43</v>
      </c>
      <c r="AE1115" t="s">
        <v>43</v>
      </c>
      <c r="AF1115" t="s">
        <v>43</v>
      </c>
      <c r="AG1115" t="s">
        <v>43</v>
      </c>
      <c r="AH1115" t="s">
        <v>43</v>
      </c>
      <c r="AI1115" t="s">
        <v>43</v>
      </c>
      <c r="AJ1115" t="s">
        <v>43</v>
      </c>
      <c r="AK1115" t="s">
        <v>43</v>
      </c>
      <c r="AL1115" t="s">
        <v>43</v>
      </c>
      <c r="AM1115" t="s">
        <v>43</v>
      </c>
      <c r="AN1115" t="s">
        <v>43</v>
      </c>
    </row>
    <row r="1116" spans="1:40" x14ac:dyDescent="0.3">
      <c r="A1116" s="1">
        <v>46210.87060185185</v>
      </c>
      <c r="B1116" t="s">
        <v>40</v>
      </c>
      <c r="C1116" t="s">
        <v>41</v>
      </c>
      <c r="D1116" s="1">
        <v>46210.873506944445</v>
      </c>
      <c r="E1116" t="s">
        <v>42</v>
      </c>
      <c r="F1116" t="s">
        <v>43</v>
      </c>
      <c r="G1116" t="s">
        <v>43</v>
      </c>
      <c r="H1116" t="s">
        <v>43</v>
      </c>
      <c r="I1116" t="s">
        <v>490</v>
      </c>
      <c r="J1116" t="s">
        <v>43</v>
      </c>
      <c r="K1116" t="s">
        <v>43</v>
      </c>
      <c r="L1116" t="s">
        <v>43</v>
      </c>
      <c r="M1116" t="s">
        <v>43</v>
      </c>
      <c r="N1116" t="s">
        <v>45</v>
      </c>
      <c r="O1116" t="s">
        <v>43</v>
      </c>
      <c r="P1116" t="s">
        <v>43</v>
      </c>
      <c r="Q1116" t="s">
        <v>43</v>
      </c>
      <c r="R1116" t="s">
        <v>43</v>
      </c>
      <c r="S1116" t="s">
        <v>43</v>
      </c>
      <c r="T1116" t="s">
        <v>43</v>
      </c>
      <c r="U1116" t="s">
        <v>43</v>
      </c>
      <c r="V1116" t="s">
        <v>43</v>
      </c>
      <c r="W1116" t="s">
        <v>43</v>
      </c>
      <c r="X1116" t="s">
        <v>43</v>
      </c>
      <c r="Y1116" t="s">
        <v>43</v>
      </c>
      <c r="Z1116" t="s">
        <v>43</v>
      </c>
      <c r="AA1116" t="s">
        <v>43</v>
      </c>
      <c r="AB1116" t="s">
        <v>43</v>
      </c>
      <c r="AC1116" t="s">
        <v>43</v>
      </c>
      <c r="AD1116" t="s">
        <v>43</v>
      </c>
      <c r="AE1116" t="s">
        <v>43</v>
      </c>
      <c r="AF1116" t="s">
        <v>43</v>
      </c>
      <c r="AG1116" t="s">
        <v>43</v>
      </c>
      <c r="AH1116" t="s">
        <v>43</v>
      </c>
      <c r="AI1116" t="s">
        <v>43</v>
      </c>
      <c r="AJ1116" t="s">
        <v>43</v>
      </c>
      <c r="AK1116" t="s">
        <v>43</v>
      </c>
      <c r="AL1116" t="s">
        <v>43</v>
      </c>
      <c r="AM1116" t="s">
        <v>43</v>
      </c>
      <c r="AN1116" t="str">
        <f>HYPERLINK("https://www.google.com/maps?q=11.05495453,79.06283569","Open Location")</f>
        <v>Open Location</v>
      </c>
    </row>
    <row r="1117" spans="1:40" x14ac:dyDescent="0.3">
      <c r="A1117" s="1">
        <v>46210.870486111111</v>
      </c>
      <c r="B1117" t="s">
        <v>40</v>
      </c>
      <c r="C1117" t="s">
        <v>41</v>
      </c>
      <c r="D1117" s="1">
        <v>46210.873240740744</v>
      </c>
      <c r="E1117" t="s">
        <v>42</v>
      </c>
      <c r="F1117" t="s">
        <v>43</v>
      </c>
      <c r="G1117" t="s">
        <v>43</v>
      </c>
      <c r="H1117" t="s">
        <v>43</v>
      </c>
      <c r="I1117" t="s">
        <v>491</v>
      </c>
      <c r="J1117" t="s">
        <v>43</v>
      </c>
      <c r="K1117" t="s">
        <v>43</v>
      </c>
      <c r="L1117" t="s">
        <v>43</v>
      </c>
      <c r="M1117" t="s">
        <v>43</v>
      </c>
      <c r="N1117" t="s">
        <v>45</v>
      </c>
      <c r="O1117" t="s">
        <v>43</v>
      </c>
      <c r="P1117" t="s">
        <v>43</v>
      </c>
      <c r="Q1117" t="s">
        <v>43</v>
      </c>
      <c r="R1117" t="s">
        <v>43</v>
      </c>
      <c r="S1117" t="s">
        <v>43</v>
      </c>
      <c r="T1117" t="s">
        <v>43</v>
      </c>
      <c r="U1117" t="s">
        <v>43</v>
      </c>
      <c r="V1117" t="s">
        <v>43</v>
      </c>
      <c r="W1117" t="s">
        <v>43</v>
      </c>
      <c r="X1117" t="s">
        <v>43</v>
      </c>
      <c r="Y1117" t="s">
        <v>43</v>
      </c>
      <c r="Z1117" t="s">
        <v>43</v>
      </c>
      <c r="AA1117" t="s">
        <v>43</v>
      </c>
      <c r="AB1117" t="s">
        <v>43</v>
      </c>
      <c r="AC1117" t="s">
        <v>43</v>
      </c>
      <c r="AD1117" t="s">
        <v>43</v>
      </c>
      <c r="AE1117" t="s">
        <v>43</v>
      </c>
      <c r="AF1117" t="s">
        <v>43</v>
      </c>
      <c r="AG1117" t="s">
        <v>43</v>
      </c>
      <c r="AH1117" t="s">
        <v>43</v>
      </c>
      <c r="AI1117" t="s">
        <v>43</v>
      </c>
      <c r="AJ1117" t="s">
        <v>43</v>
      </c>
      <c r="AK1117" t="s">
        <v>43</v>
      </c>
      <c r="AL1117" t="s">
        <v>43</v>
      </c>
      <c r="AM1117" t="s">
        <v>43</v>
      </c>
      <c r="AN1117" t="str">
        <f>HYPERLINK("https://www.google.com/maps?q=11.0549612,79.06283569","Open Location")</f>
        <v>Open Location</v>
      </c>
    </row>
    <row r="1118" spans="1:40" x14ac:dyDescent="0.3">
      <c r="A1118" s="1">
        <v>46210.870370370372</v>
      </c>
      <c r="B1118" t="s">
        <v>40</v>
      </c>
      <c r="C1118" t="s">
        <v>41</v>
      </c>
      <c r="D1118" s="1">
        <v>46210.873229166667</v>
      </c>
      <c r="E1118" t="s">
        <v>42</v>
      </c>
      <c r="F1118" t="s">
        <v>43</v>
      </c>
      <c r="G1118" t="s">
        <v>43</v>
      </c>
      <c r="H1118" t="s">
        <v>43</v>
      </c>
      <c r="I1118" t="s">
        <v>492</v>
      </c>
      <c r="J1118" t="s">
        <v>43</v>
      </c>
      <c r="K1118" t="s">
        <v>43</v>
      </c>
      <c r="L1118" t="s">
        <v>43</v>
      </c>
      <c r="M1118" t="s">
        <v>43</v>
      </c>
      <c r="N1118" t="s">
        <v>45</v>
      </c>
      <c r="O1118" t="s">
        <v>43</v>
      </c>
      <c r="P1118" t="s">
        <v>43</v>
      </c>
      <c r="Q1118" t="s">
        <v>43</v>
      </c>
      <c r="R1118" t="s">
        <v>43</v>
      </c>
      <c r="S1118" t="s">
        <v>43</v>
      </c>
      <c r="T1118" t="s">
        <v>43</v>
      </c>
      <c r="U1118" t="s">
        <v>43</v>
      </c>
      <c r="V1118" t="s">
        <v>43</v>
      </c>
      <c r="W1118" t="s">
        <v>43</v>
      </c>
      <c r="X1118" t="s">
        <v>43</v>
      </c>
      <c r="Y1118" t="s">
        <v>43</v>
      </c>
      <c r="Z1118" t="s">
        <v>43</v>
      </c>
      <c r="AA1118" t="s">
        <v>43</v>
      </c>
      <c r="AB1118" t="s">
        <v>43</v>
      </c>
      <c r="AC1118" t="s">
        <v>43</v>
      </c>
      <c r="AD1118" t="s">
        <v>43</v>
      </c>
      <c r="AE1118" t="s">
        <v>43</v>
      </c>
      <c r="AF1118" t="s">
        <v>43</v>
      </c>
      <c r="AG1118" t="s">
        <v>43</v>
      </c>
      <c r="AH1118" t="s">
        <v>43</v>
      </c>
      <c r="AI1118" t="s">
        <v>43</v>
      </c>
      <c r="AJ1118" t="s">
        <v>43</v>
      </c>
      <c r="AK1118" t="s">
        <v>43</v>
      </c>
      <c r="AL1118" t="s">
        <v>43</v>
      </c>
      <c r="AM1118" t="s">
        <v>43</v>
      </c>
      <c r="AN1118" t="str">
        <f>HYPERLINK("https://www.google.com/maps?q=11.05495167,79.06281281","Open Location")</f>
        <v>Open Location</v>
      </c>
    </row>
    <row r="1119" spans="1:40" x14ac:dyDescent="0.3">
      <c r="A1119" s="1">
        <v>46210.870254629626</v>
      </c>
      <c r="B1119" t="s">
        <v>40</v>
      </c>
      <c r="C1119" t="s">
        <v>41</v>
      </c>
      <c r="D1119" s="1">
        <v>46210.873043981483</v>
      </c>
      <c r="E1119" t="s">
        <v>42</v>
      </c>
      <c r="F1119" t="s">
        <v>43</v>
      </c>
      <c r="G1119" t="s">
        <v>43</v>
      </c>
      <c r="H1119" t="s">
        <v>43</v>
      </c>
      <c r="I1119" t="s">
        <v>493</v>
      </c>
      <c r="J1119" t="s">
        <v>43</v>
      </c>
      <c r="K1119" t="s">
        <v>43</v>
      </c>
      <c r="L1119" t="s">
        <v>43</v>
      </c>
      <c r="M1119" t="s">
        <v>43</v>
      </c>
      <c r="N1119" t="s">
        <v>45</v>
      </c>
      <c r="O1119" t="s">
        <v>43</v>
      </c>
      <c r="P1119" t="s">
        <v>43</v>
      </c>
      <c r="Q1119" t="s">
        <v>43</v>
      </c>
      <c r="R1119" t="s">
        <v>43</v>
      </c>
      <c r="S1119" t="s">
        <v>43</v>
      </c>
      <c r="T1119" t="s">
        <v>43</v>
      </c>
      <c r="U1119" t="s">
        <v>43</v>
      </c>
      <c r="V1119" t="s">
        <v>43</v>
      </c>
      <c r="W1119" t="s">
        <v>43</v>
      </c>
      <c r="X1119" t="s">
        <v>43</v>
      </c>
      <c r="Y1119" t="s">
        <v>43</v>
      </c>
      <c r="Z1119" t="s">
        <v>43</v>
      </c>
      <c r="AA1119" t="s">
        <v>43</v>
      </c>
      <c r="AB1119" t="s">
        <v>43</v>
      </c>
      <c r="AC1119" t="s">
        <v>43</v>
      </c>
      <c r="AD1119" t="s">
        <v>43</v>
      </c>
      <c r="AE1119" t="s">
        <v>43</v>
      </c>
      <c r="AF1119" t="s">
        <v>43</v>
      </c>
      <c r="AG1119" t="s">
        <v>43</v>
      </c>
      <c r="AH1119" t="s">
        <v>43</v>
      </c>
      <c r="AI1119" t="s">
        <v>43</v>
      </c>
      <c r="AJ1119" t="s">
        <v>43</v>
      </c>
      <c r="AK1119" t="s">
        <v>43</v>
      </c>
      <c r="AL1119" t="s">
        <v>43</v>
      </c>
      <c r="AM1119" t="s">
        <v>43</v>
      </c>
      <c r="AN1119" t="str">
        <f>HYPERLINK("https://www.google.com/maps?q=11.05495358,79.06282043","Open Location")</f>
        <v>Open Location</v>
      </c>
    </row>
    <row r="1120" spans="1:40" x14ac:dyDescent="0.3">
      <c r="A1120" s="1">
        <v>46210.870138888888</v>
      </c>
      <c r="B1120" t="s">
        <v>40</v>
      </c>
      <c r="C1120" t="s">
        <v>41</v>
      </c>
      <c r="D1120" s="1">
        <v>46210.873101851852</v>
      </c>
      <c r="E1120" t="s">
        <v>42</v>
      </c>
      <c r="F1120" t="s">
        <v>43</v>
      </c>
      <c r="G1120" t="s">
        <v>43</v>
      </c>
      <c r="H1120" t="s">
        <v>43</v>
      </c>
      <c r="I1120" t="s">
        <v>494</v>
      </c>
      <c r="J1120" t="s">
        <v>43</v>
      </c>
      <c r="K1120" t="s">
        <v>43</v>
      </c>
      <c r="L1120" t="s">
        <v>43</v>
      </c>
      <c r="M1120" t="s">
        <v>43</v>
      </c>
      <c r="N1120" t="s">
        <v>45</v>
      </c>
      <c r="O1120" t="s">
        <v>43</v>
      </c>
      <c r="P1120" t="s">
        <v>43</v>
      </c>
      <c r="Q1120" t="s">
        <v>43</v>
      </c>
      <c r="R1120" t="s">
        <v>43</v>
      </c>
      <c r="S1120" t="s">
        <v>43</v>
      </c>
      <c r="T1120" t="s">
        <v>43</v>
      </c>
      <c r="U1120" t="s">
        <v>43</v>
      </c>
      <c r="V1120" t="s">
        <v>43</v>
      </c>
      <c r="W1120" t="s">
        <v>43</v>
      </c>
      <c r="X1120" t="s">
        <v>43</v>
      </c>
      <c r="Y1120" t="s">
        <v>43</v>
      </c>
      <c r="Z1120" t="s">
        <v>43</v>
      </c>
      <c r="AA1120" t="s">
        <v>43</v>
      </c>
      <c r="AB1120" t="s">
        <v>43</v>
      </c>
      <c r="AC1120" t="s">
        <v>43</v>
      </c>
      <c r="AD1120" t="s">
        <v>43</v>
      </c>
      <c r="AE1120" t="s">
        <v>43</v>
      </c>
      <c r="AF1120" t="s">
        <v>43</v>
      </c>
      <c r="AG1120" t="s">
        <v>43</v>
      </c>
      <c r="AH1120" t="s">
        <v>43</v>
      </c>
      <c r="AI1120" t="s">
        <v>43</v>
      </c>
      <c r="AJ1120" t="s">
        <v>43</v>
      </c>
      <c r="AK1120" t="s">
        <v>43</v>
      </c>
      <c r="AL1120" t="s">
        <v>43</v>
      </c>
      <c r="AM1120" t="s">
        <v>43</v>
      </c>
      <c r="AN1120" t="str">
        <f>HYPERLINK("https://www.google.com/maps?q=11.0549593,79.06283569","Open Location")</f>
        <v>Open Location</v>
      </c>
    </row>
    <row r="1121" spans="1:40" x14ac:dyDescent="0.3">
      <c r="A1121" s="1">
        <v>46210.870023148149</v>
      </c>
      <c r="B1121" t="s">
        <v>40</v>
      </c>
      <c r="C1121" t="s">
        <v>41</v>
      </c>
      <c r="D1121" s="1">
        <v>46210.872881944444</v>
      </c>
      <c r="E1121" t="s">
        <v>42</v>
      </c>
      <c r="F1121" t="s">
        <v>43</v>
      </c>
      <c r="G1121" t="s">
        <v>43</v>
      </c>
      <c r="H1121" t="s">
        <v>43</v>
      </c>
      <c r="I1121" t="s">
        <v>43</v>
      </c>
      <c r="J1121" t="s">
        <v>43</v>
      </c>
      <c r="K1121" t="s">
        <v>43</v>
      </c>
      <c r="L1121" t="s">
        <v>43</v>
      </c>
      <c r="M1121" t="s">
        <v>43</v>
      </c>
      <c r="N1121" t="s">
        <v>45</v>
      </c>
      <c r="O1121" t="s">
        <v>43</v>
      </c>
      <c r="P1121" t="s">
        <v>43</v>
      </c>
      <c r="Q1121" t="s">
        <v>43</v>
      </c>
      <c r="R1121" t="s">
        <v>43</v>
      </c>
      <c r="S1121" t="s">
        <v>43</v>
      </c>
      <c r="T1121" t="s">
        <v>43</v>
      </c>
      <c r="U1121" t="s">
        <v>43</v>
      </c>
      <c r="V1121" t="s">
        <v>43</v>
      </c>
      <c r="W1121" t="s">
        <v>43</v>
      </c>
      <c r="X1121" t="s">
        <v>43</v>
      </c>
      <c r="Y1121" t="s">
        <v>43</v>
      </c>
      <c r="Z1121" t="s">
        <v>43</v>
      </c>
      <c r="AA1121" t="s">
        <v>43</v>
      </c>
      <c r="AB1121" t="s">
        <v>43</v>
      </c>
      <c r="AC1121" t="s">
        <v>43</v>
      </c>
      <c r="AD1121" t="s">
        <v>43</v>
      </c>
      <c r="AE1121" t="s">
        <v>43</v>
      </c>
      <c r="AF1121" t="s">
        <v>43</v>
      </c>
      <c r="AG1121" t="s">
        <v>43</v>
      </c>
      <c r="AH1121" t="s">
        <v>43</v>
      </c>
      <c r="AI1121" t="s">
        <v>43</v>
      </c>
      <c r="AJ1121" t="s">
        <v>43</v>
      </c>
      <c r="AK1121" t="s">
        <v>43</v>
      </c>
      <c r="AL1121" t="s">
        <v>43</v>
      </c>
      <c r="AM1121" t="s">
        <v>43</v>
      </c>
      <c r="AN1121" t="s">
        <v>43</v>
      </c>
    </row>
    <row r="1122" spans="1:40" x14ac:dyDescent="0.3">
      <c r="A1122" s="1">
        <v>46210.86990740741</v>
      </c>
      <c r="B1122" t="s">
        <v>40</v>
      </c>
      <c r="C1122" t="s">
        <v>41</v>
      </c>
      <c r="D1122" s="1">
        <v>46210.873182870368</v>
      </c>
      <c r="E1122" t="s">
        <v>42</v>
      </c>
      <c r="F1122" t="s">
        <v>43</v>
      </c>
      <c r="G1122" t="s">
        <v>43</v>
      </c>
      <c r="H1122" t="s">
        <v>43</v>
      </c>
      <c r="I1122" t="s">
        <v>495</v>
      </c>
      <c r="J1122" t="s">
        <v>43</v>
      </c>
      <c r="K1122" t="s">
        <v>43</v>
      </c>
      <c r="L1122" t="s">
        <v>43</v>
      </c>
      <c r="M1122" t="s">
        <v>43</v>
      </c>
      <c r="N1122" t="s">
        <v>45</v>
      </c>
      <c r="O1122" t="s">
        <v>43</v>
      </c>
      <c r="P1122" t="s">
        <v>43</v>
      </c>
      <c r="Q1122" t="s">
        <v>43</v>
      </c>
      <c r="R1122" t="s">
        <v>43</v>
      </c>
      <c r="S1122" t="s">
        <v>43</v>
      </c>
      <c r="T1122" t="s">
        <v>43</v>
      </c>
      <c r="U1122" t="s">
        <v>43</v>
      </c>
      <c r="V1122" t="s">
        <v>43</v>
      </c>
      <c r="W1122" t="s">
        <v>43</v>
      </c>
      <c r="X1122" t="s">
        <v>43</v>
      </c>
      <c r="Y1122" t="s">
        <v>43</v>
      </c>
      <c r="Z1122" t="s">
        <v>43</v>
      </c>
      <c r="AA1122" t="s">
        <v>43</v>
      </c>
      <c r="AB1122" t="s">
        <v>43</v>
      </c>
      <c r="AC1122" t="s">
        <v>43</v>
      </c>
      <c r="AD1122" t="s">
        <v>43</v>
      </c>
      <c r="AE1122" t="s">
        <v>43</v>
      </c>
      <c r="AF1122" t="s">
        <v>43</v>
      </c>
      <c r="AG1122" t="s">
        <v>43</v>
      </c>
      <c r="AH1122" t="s">
        <v>43</v>
      </c>
      <c r="AI1122" t="s">
        <v>43</v>
      </c>
      <c r="AJ1122" t="s">
        <v>43</v>
      </c>
      <c r="AK1122" t="s">
        <v>43</v>
      </c>
      <c r="AL1122" t="s">
        <v>43</v>
      </c>
      <c r="AM1122" t="s">
        <v>43</v>
      </c>
      <c r="AN1122" t="str">
        <f>HYPERLINK("https://www.google.com/maps?q=11.05496025,79.06282043","Open Location")</f>
        <v>Open Location</v>
      </c>
    </row>
    <row r="1123" spans="1:40" x14ac:dyDescent="0.3">
      <c r="A1123" s="1">
        <v>46210.869791666664</v>
      </c>
      <c r="B1123" t="s">
        <v>40</v>
      </c>
      <c r="C1123" t="s">
        <v>41</v>
      </c>
      <c r="D1123" s="1">
        <v>46210.872523148151</v>
      </c>
      <c r="E1123" t="s">
        <v>42</v>
      </c>
      <c r="F1123" t="s">
        <v>43</v>
      </c>
      <c r="G1123" t="s">
        <v>43</v>
      </c>
      <c r="H1123" t="s">
        <v>43</v>
      </c>
      <c r="I1123" t="s">
        <v>496</v>
      </c>
      <c r="J1123" t="s">
        <v>43</v>
      </c>
      <c r="K1123" t="s">
        <v>43</v>
      </c>
      <c r="L1123" t="s">
        <v>43</v>
      </c>
      <c r="M1123" t="s">
        <v>43</v>
      </c>
      <c r="N1123" t="s">
        <v>45</v>
      </c>
      <c r="O1123" t="s">
        <v>43</v>
      </c>
      <c r="P1123" t="s">
        <v>43</v>
      </c>
      <c r="Q1123" t="s">
        <v>43</v>
      </c>
      <c r="R1123" t="s">
        <v>43</v>
      </c>
      <c r="S1123" t="s">
        <v>43</v>
      </c>
      <c r="T1123" t="s">
        <v>43</v>
      </c>
      <c r="U1123" t="s">
        <v>43</v>
      </c>
      <c r="V1123" t="s">
        <v>43</v>
      </c>
      <c r="W1123" t="s">
        <v>43</v>
      </c>
      <c r="X1123" t="s">
        <v>43</v>
      </c>
      <c r="Y1123" t="s">
        <v>43</v>
      </c>
      <c r="Z1123" t="s">
        <v>43</v>
      </c>
      <c r="AA1123" t="s">
        <v>43</v>
      </c>
      <c r="AB1123" t="s">
        <v>43</v>
      </c>
      <c r="AC1123" t="s">
        <v>43</v>
      </c>
      <c r="AD1123" t="s">
        <v>43</v>
      </c>
      <c r="AE1123" t="s">
        <v>43</v>
      </c>
      <c r="AF1123" t="s">
        <v>43</v>
      </c>
      <c r="AG1123" t="s">
        <v>43</v>
      </c>
      <c r="AH1123" t="s">
        <v>43</v>
      </c>
      <c r="AI1123" t="s">
        <v>43</v>
      </c>
      <c r="AJ1123" t="s">
        <v>43</v>
      </c>
      <c r="AK1123" t="s">
        <v>43</v>
      </c>
      <c r="AL1123" t="s">
        <v>43</v>
      </c>
      <c r="AM1123" t="s">
        <v>43</v>
      </c>
      <c r="AN1123" t="str">
        <f>HYPERLINK("https://www.google.com/maps?q=11.05496025,79.06283569","Open Location")</f>
        <v>Open Location</v>
      </c>
    </row>
    <row r="1124" spans="1:40" x14ac:dyDescent="0.3">
      <c r="A1124" s="1">
        <v>46210.869675925926</v>
      </c>
      <c r="B1124" t="s">
        <v>40</v>
      </c>
      <c r="C1124" t="s">
        <v>41</v>
      </c>
      <c r="D1124" s="1">
        <v>46210.872465277775</v>
      </c>
      <c r="E1124" t="s">
        <v>42</v>
      </c>
      <c r="F1124" t="s">
        <v>43</v>
      </c>
      <c r="G1124" t="s">
        <v>43</v>
      </c>
      <c r="H1124" t="s">
        <v>43</v>
      </c>
      <c r="I1124" t="s">
        <v>497</v>
      </c>
      <c r="J1124" t="s">
        <v>43</v>
      </c>
      <c r="K1124" t="s">
        <v>43</v>
      </c>
      <c r="L1124" t="s">
        <v>43</v>
      </c>
      <c r="M1124" t="s">
        <v>43</v>
      </c>
      <c r="N1124" t="s">
        <v>45</v>
      </c>
      <c r="O1124" t="s">
        <v>43</v>
      </c>
      <c r="P1124" t="s">
        <v>43</v>
      </c>
      <c r="Q1124" t="s">
        <v>43</v>
      </c>
      <c r="R1124" t="s">
        <v>43</v>
      </c>
      <c r="S1124" t="s">
        <v>43</v>
      </c>
      <c r="T1124" t="s">
        <v>43</v>
      </c>
      <c r="U1124" t="s">
        <v>43</v>
      </c>
      <c r="V1124" t="s">
        <v>43</v>
      </c>
      <c r="W1124" t="s">
        <v>43</v>
      </c>
      <c r="X1124" t="s">
        <v>43</v>
      </c>
      <c r="Y1124" t="s">
        <v>43</v>
      </c>
      <c r="Z1124" t="s">
        <v>43</v>
      </c>
      <c r="AA1124" t="s">
        <v>43</v>
      </c>
      <c r="AB1124" t="s">
        <v>43</v>
      </c>
      <c r="AC1124" t="s">
        <v>43</v>
      </c>
      <c r="AD1124" t="s">
        <v>43</v>
      </c>
      <c r="AE1124" t="s">
        <v>43</v>
      </c>
      <c r="AF1124" t="s">
        <v>43</v>
      </c>
      <c r="AG1124" t="s">
        <v>43</v>
      </c>
      <c r="AH1124" t="s">
        <v>43</v>
      </c>
      <c r="AI1124" t="s">
        <v>43</v>
      </c>
      <c r="AJ1124" t="s">
        <v>43</v>
      </c>
      <c r="AK1124" t="s">
        <v>43</v>
      </c>
      <c r="AL1124" t="s">
        <v>43</v>
      </c>
      <c r="AM1124" t="s">
        <v>43</v>
      </c>
      <c r="AN1124" t="str">
        <f>HYPERLINK("https://www.google.com/maps?q=11.05496788,79.06284332","Open Location")</f>
        <v>Open Location</v>
      </c>
    </row>
    <row r="1125" spans="1:40" x14ac:dyDescent="0.3">
      <c r="A1125" s="1">
        <v>46210.869560185187</v>
      </c>
      <c r="B1125" t="s">
        <v>40</v>
      </c>
      <c r="C1125" t="s">
        <v>41</v>
      </c>
      <c r="D1125" s="1">
        <v>46210.872499999998</v>
      </c>
      <c r="E1125" t="s">
        <v>42</v>
      </c>
      <c r="F1125" t="s">
        <v>43</v>
      </c>
      <c r="G1125" t="s">
        <v>43</v>
      </c>
      <c r="H1125" t="s">
        <v>43</v>
      </c>
      <c r="I1125" t="s">
        <v>497</v>
      </c>
      <c r="J1125" t="s">
        <v>43</v>
      </c>
      <c r="K1125" t="s">
        <v>43</v>
      </c>
      <c r="L1125" t="s">
        <v>43</v>
      </c>
      <c r="M1125" t="s">
        <v>43</v>
      </c>
      <c r="N1125" t="s">
        <v>45</v>
      </c>
      <c r="O1125" t="s">
        <v>43</v>
      </c>
      <c r="P1125" t="s">
        <v>43</v>
      </c>
      <c r="Q1125" t="s">
        <v>43</v>
      </c>
      <c r="R1125" t="s">
        <v>43</v>
      </c>
      <c r="S1125" t="s">
        <v>43</v>
      </c>
      <c r="T1125" t="s">
        <v>43</v>
      </c>
      <c r="U1125" t="s">
        <v>43</v>
      </c>
      <c r="V1125" t="s">
        <v>43</v>
      </c>
      <c r="W1125" t="s">
        <v>43</v>
      </c>
      <c r="X1125" t="s">
        <v>43</v>
      </c>
      <c r="Y1125" t="s">
        <v>43</v>
      </c>
      <c r="Z1125" t="s">
        <v>43</v>
      </c>
      <c r="AA1125" t="s">
        <v>43</v>
      </c>
      <c r="AB1125" t="s">
        <v>43</v>
      </c>
      <c r="AC1125" t="s">
        <v>43</v>
      </c>
      <c r="AD1125" t="s">
        <v>43</v>
      </c>
      <c r="AE1125" t="s">
        <v>43</v>
      </c>
      <c r="AF1125" t="s">
        <v>43</v>
      </c>
      <c r="AG1125" t="s">
        <v>43</v>
      </c>
      <c r="AH1125" t="s">
        <v>43</v>
      </c>
      <c r="AI1125" t="s">
        <v>43</v>
      </c>
      <c r="AJ1125" t="s">
        <v>43</v>
      </c>
      <c r="AK1125" t="s">
        <v>43</v>
      </c>
      <c r="AL1125" t="s">
        <v>43</v>
      </c>
      <c r="AM1125" t="s">
        <v>43</v>
      </c>
      <c r="AN1125" t="str">
        <f>HYPERLINK("https://www.google.com/maps?q=11.05496788,79.06284332","Open Location")</f>
        <v>Open Location</v>
      </c>
    </row>
    <row r="1126" spans="1:40" x14ac:dyDescent="0.3">
      <c r="A1126" s="1">
        <v>46210.869444444441</v>
      </c>
      <c r="B1126" t="s">
        <v>40</v>
      </c>
      <c r="C1126" t="s">
        <v>41</v>
      </c>
      <c r="D1126" s="1">
        <v>46210.872523148151</v>
      </c>
      <c r="E1126" t="s">
        <v>42</v>
      </c>
      <c r="F1126" t="s">
        <v>43</v>
      </c>
      <c r="G1126" t="s">
        <v>43</v>
      </c>
      <c r="H1126" t="s">
        <v>43</v>
      </c>
      <c r="I1126" t="s">
        <v>43</v>
      </c>
      <c r="J1126" t="s">
        <v>43</v>
      </c>
      <c r="K1126" t="s">
        <v>43</v>
      </c>
      <c r="L1126" t="s">
        <v>43</v>
      </c>
      <c r="M1126" t="s">
        <v>43</v>
      </c>
      <c r="N1126" t="s">
        <v>45</v>
      </c>
      <c r="O1126" t="s">
        <v>43</v>
      </c>
      <c r="P1126" t="s">
        <v>43</v>
      </c>
      <c r="Q1126" t="s">
        <v>43</v>
      </c>
      <c r="R1126" t="s">
        <v>43</v>
      </c>
      <c r="S1126" t="s">
        <v>43</v>
      </c>
      <c r="T1126" t="s">
        <v>43</v>
      </c>
      <c r="U1126" t="s">
        <v>43</v>
      </c>
      <c r="V1126" t="s">
        <v>43</v>
      </c>
      <c r="W1126" t="s">
        <v>43</v>
      </c>
      <c r="X1126" t="s">
        <v>43</v>
      </c>
      <c r="Y1126" t="s">
        <v>43</v>
      </c>
      <c r="Z1126" t="s">
        <v>43</v>
      </c>
      <c r="AA1126" t="s">
        <v>43</v>
      </c>
      <c r="AB1126" t="s">
        <v>43</v>
      </c>
      <c r="AC1126" t="s">
        <v>43</v>
      </c>
      <c r="AD1126" t="s">
        <v>43</v>
      </c>
      <c r="AE1126" t="s">
        <v>43</v>
      </c>
      <c r="AF1126" t="s">
        <v>43</v>
      </c>
      <c r="AG1126" t="s">
        <v>43</v>
      </c>
      <c r="AH1126" t="s">
        <v>43</v>
      </c>
      <c r="AI1126" t="s">
        <v>43</v>
      </c>
      <c r="AJ1126" t="s">
        <v>43</v>
      </c>
      <c r="AK1126" t="s">
        <v>43</v>
      </c>
      <c r="AL1126" t="s">
        <v>43</v>
      </c>
      <c r="AM1126" t="s">
        <v>43</v>
      </c>
      <c r="AN1126" t="s">
        <v>43</v>
      </c>
    </row>
    <row r="1127" spans="1:40" x14ac:dyDescent="0.3">
      <c r="A1127" s="1">
        <v>46210.869328703702</v>
      </c>
      <c r="B1127" t="s">
        <v>40</v>
      </c>
      <c r="C1127" t="s">
        <v>41</v>
      </c>
      <c r="D1127" s="1">
        <v>46210.872499999998</v>
      </c>
      <c r="E1127" t="s">
        <v>42</v>
      </c>
      <c r="F1127" t="s">
        <v>43</v>
      </c>
      <c r="G1127" t="s">
        <v>43</v>
      </c>
      <c r="H1127" t="s">
        <v>43</v>
      </c>
      <c r="I1127" t="s">
        <v>498</v>
      </c>
      <c r="J1127" t="s">
        <v>43</v>
      </c>
      <c r="K1127" t="s">
        <v>43</v>
      </c>
      <c r="L1127" t="s">
        <v>43</v>
      </c>
      <c r="M1127" t="s">
        <v>43</v>
      </c>
      <c r="N1127" t="s">
        <v>45</v>
      </c>
      <c r="O1127" t="s">
        <v>43</v>
      </c>
      <c r="P1127" t="s">
        <v>43</v>
      </c>
      <c r="Q1127" t="s">
        <v>43</v>
      </c>
      <c r="R1127" t="s">
        <v>43</v>
      </c>
      <c r="S1127" t="s">
        <v>43</v>
      </c>
      <c r="T1127" t="s">
        <v>43</v>
      </c>
      <c r="U1127" t="s">
        <v>43</v>
      </c>
      <c r="V1127" t="s">
        <v>43</v>
      </c>
      <c r="W1127" t="s">
        <v>43</v>
      </c>
      <c r="X1127" t="s">
        <v>43</v>
      </c>
      <c r="Y1127" t="s">
        <v>43</v>
      </c>
      <c r="Z1127" t="s">
        <v>43</v>
      </c>
      <c r="AA1127" t="s">
        <v>43</v>
      </c>
      <c r="AB1127" t="s">
        <v>43</v>
      </c>
      <c r="AC1127" t="s">
        <v>43</v>
      </c>
      <c r="AD1127" t="s">
        <v>43</v>
      </c>
      <c r="AE1127" t="s">
        <v>43</v>
      </c>
      <c r="AF1127" t="s">
        <v>43</v>
      </c>
      <c r="AG1127" t="s">
        <v>43</v>
      </c>
      <c r="AH1127" t="s">
        <v>43</v>
      </c>
      <c r="AI1127" t="s">
        <v>43</v>
      </c>
      <c r="AJ1127" t="s">
        <v>43</v>
      </c>
      <c r="AK1127" t="s">
        <v>43</v>
      </c>
      <c r="AL1127" t="s">
        <v>43</v>
      </c>
      <c r="AM1127" t="s">
        <v>43</v>
      </c>
      <c r="AN1127" t="str">
        <f>HYPERLINK("https://www.google.com/maps?q=11.0549736,79.06284332","Open Location")</f>
        <v>Open Location</v>
      </c>
    </row>
    <row r="1128" spans="1:40" x14ac:dyDescent="0.3">
      <c r="A1128" s="1">
        <v>46210.869212962964</v>
      </c>
      <c r="B1128" t="s">
        <v>40</v>
      </c>
      <c r="C1128" t="s">
        <v>41</v>
      </c>
      <c r="D1128" s="1">
        <v>46210.872233796297</v>
      </c>
      <c r="E1128" t="s">
        <v>42</v>
      </c>
      <c r="F1128" t="s">
        <v>43</v>
      </c>
      <c r="G1128" t="s">
        <v>43</v>
      </c>
      <c r="H1128" t="s">
        <v>43</v>
      </c>
      <c r="I1128" t="s">
        <v>499</v>
      </c>
      <c r="J1128" t="s">
        <v>43</v>
      </c>
      <c r="K1128" t="s">
        <v>43</v>
      </c>
      <c r="L1128" t="s">
        <v>43</v>
      </c>
      <c r="M1128" t="s">
        <v>43</v>
      </c>
      <c r="N1128" t="s">
        <v>45</v>
      </c>
      <c r="O1128" t="s">
        <v>43</v>
      </c>
      <c r="P1128" t="s">
        <v>43</v>
      </c>
      <c r="Q1128" t="s">
        <v>43</v>
      </c>
      <c r="R1128" t="s">
        <v>43</v>
      </c>
      <c r="S1128" t="s">
        <v>43</v>
      </c>
      <c r="T1128" t="s">
        <v>43</v>
      </c>
      <c r="U1128" t="s">
        <v>43</v>
      </c>
      <c r="V1128" t="s">
        <v>43</v>
      </c>
      <c r="W1128" t="s">
        <v>43</v>
      </c>
      <c r="X1128" t="s">
        <v>43</v>
      </c>
      <c r="Y1128" t="s">
        <v>43</v>
      </c>
      <c r="Z1128" t="s">
        <v>43</v>
      </c>
      <c r="AA1128" t="s">
        <v>43</v>
      </c>
      <c r="AB1128" t="s">
        <v>43</v>
      </c>
      <c r="AC1128" t="s">
        <v>43</v>
      </c>
      <c r="AD1128" t="s">
        <v>43</v>
      </c>
      <c r="AE1128" t="s">
        <v>43</v>
      </c>
      <c r="AF1128" t="s">
        <v>43</v>
      </c>
      <c r="AG1128" t="s">
        <v>43</v>
      </c>
      <c r="AH1128" t="s">
        <v>43</v>
      </c>
      <c r="AI1128" t="s">
        <v>43</v>
      </c>
      <c r="AJ1128" t="s">
        <v>43</v>
      </c>
      <c r="AK1128" t="s">
        <v>43</v>
      </c>
      <c r="AL1128" t="s">
        <v>43</v>
      </c>
      <c r="AM1128" t="s">
        <v>43</v>
      </c>
      <c r="AN1128" t="str">
        <f>HYPERLINK("https://www.google.com/maps?q=11.05497646,79.06284332","Open Location")</f>
        <v>Open Location</v>
      </c>
    </row>
    <row r="1129" spans="1:40" x14ac:dyDescent="0.3">
      <c r="A1129" s="1">
        <v>46210.869097222225</v>
      </c>
      <c r="B1129" t="s">
        <v>40</v>
      </c>
      <c r="C1129" t="s">
        <v>41</v>
      </c>
      <c r="D1129" s="1">
        <v>46210.872083333335</v>
      </c>
      <c r="E1129" t="s">
        <v>42</v>
      </c>
      <c r="F1129" t="s">
        <v>43</v>
      </c>
      <c r="G1129" t="s">
        <v>43</v>
      </c>
      <c r="H1129" t="s">
        <v>43</v>
      </c>
      <c r="I1129" t="s">
        <v>500</v>
      </c>
      <c r="J1129" t="s">
        <v>43</v>
      </c>
      <c r="K1129" t="s">
        <v>43</v>
      </c>
      <c r="L1129" t="s">
        <v>43</v>
      </c>
      <c r="M1129" t="s">
        <v>43</v>
      </c>
      <c r="N1129" t="s">
        <v>45</v>
      </c>
      <c r="O1129" t="s">
        <v>43</v>
      </c>
      <c r="P1129" t="s">
        <v>43</v>
      </c>
      <c r="Q1129" t="s">
        <v>43</v>
      </c>
      <c r="R1129" t="s">
        <v>43</v>
      </c>
      <c r="S1129" t="s">
        <v>43</v>
      </c>
      <c r="T1129" t="s">
        <v>43</v>
      </c>
      <c r="U1129" t="s">
        <v>43</v>
      </c>
      <c r="V1129" t="s">
        <v>43</v>
      </c>
      <c r="W1129" t="s">
        <v>43</v>
      </c>
      <c r="X1129" t="s">
        <v>43</v>
      </c>
      <c r="Y1129" t="s">
        <v>43</v>
      </c>
      <c r="Z1129" t="s">
        <v>43</v>
      </c>
      <c r="AA1129" t="s">
        <v>43</v>
      </c>
      <c r="AB1129" t="s">
        <v>43</v>
      </c>
      <c r="AC1129" t="s">
        <v>43</v>
      </c>
      <c r="AD1129" t="s">
        <v>43</v>
      </c>
      <c r="AE1129" t="s">
        <v>43</v>
      </c>
      <c r="AF1129" t="s">
        <v>43</v>
      </c>
      <c r="AG1129" t="s">
        <v>43</v>
      </c>
      <c r="AH1129" t="s">
        <v>43</v>
      </c>
      <c r="AI1129" t="s">
        <v>43</v>
      </c>
      <c r="AJ1129" t="s">
        <v>43</v>
      </c>
      <c r="AK1129" t="s">
        <v>43</v>
      </c>
      <c r="AL1129" t="s">
        <v>43</v>
      </c>
      <c r="AM1129" t="s">
        <v>43</v>
      </c>
      <c r="AN1129" t="str">
        <f>HYPERLINK("https://www.google.com/maps?q=11.05497742,79.06283569","Open Location")</f>
        <v>Open Location</v>
      </c>
    </row>
    <row r="1130" spans="1:40" x14ac:dyDescent="0.3">
      <c r="A1130" s="1">
        <v>46210.868981481479</v>
      </c>
      <c r="B1130" t="s">
        <v>40</v>
      </c>
      <c r="C1130" t="s">
        <v>41</v>
      </c>
      <c r="D1130" s="1">
        <v>46210.871747685182</v>
      </c>
      <c r="E1130" t="s">
        <v>42</v>
      </c>
      <c r="F1130" t="s">
        <v>43</v>
      </c>
      <c r="G1130" t="s">
        <v>43</v>
      </c>
      <c r="H1130" t="s">
        <v>43</v>
      </c>
      <c r="I1130" t="s">
        <v>501</v>
      </c>
      <c r="J1130" t="s">
        <v>43</v>
      </c>
      <c r="K1130" t="s">
        <v>43</v>
      </c>
      <c r="L1130" t="s">
        <v>43</v>
      </c>
      <c r="M1130" t="s">
        <v>43</v>
      </c>
      <c r="N1130" t="s">
        <v>45</v>
      </c>
      <c r="O1130" t="s">
        <v>43</v>
      </c>
      <c r="P1130" t="s">
        <v>43</v>
      </c>
      <c r="Q1130" t="s">
        <v>43</v>
      </c>
      <c r="R1130" t="s">
        <v>43</v>
      </c>
      <c r="S1130" t="s">
        <v>43</v>
      </c>
      <c r="T1130" t="s">
        <v>43</v>
      </c>
      <c r="U1130" t="s">
        <v>43</v>
      </c>
      <c r="V1130" t="s">
        <v>43</v>
      </c>
      <c r="W1130" t="s">
        <v>43</v>
      </c>
      <c r="X1130" t="s">
        <v>43</v>
      </c>
      <c r="Y1130" t="s">
        <v>43</v>
      </c>
      <c r="Z1130" t="s">
        <v>43</v>
      </c>
      <c r="AA1130" t="s">
        <v>43</v>
      </c>
      <c r="AB1130" t="s">
        <v>43</v>
      </c>
      <c r="AC1130" t="s">
        <v>43</v>
      </c>
      <c r="AD1130" t="s">
        <v>43</v>
      </c>
      <c r="AE1130" t="s">
        <v>43</v>
      </c>
      <c r="AF1130" t="s">
        <v>43</v>
      </c>
      <c r="AG1130" t="s">
        <v>43</v>
      </c>
      <c r="AH1130" t="s">
        <v>43</v>
      </c>
      <c r="AI1130" t="s">
        <v>43</v>
      </c>
      <c r="AJ1130" t="s">
        <v>43</v>
      </c>
      <c r="AK1130" t="s">
        <v>43</v>
      </c>
      <c r="AL1130" t="s">
        <v>43</v>
      </c>
      <c r="AM1130" t="s">
        <v>43</v>
      </c>
      <c r="AN1130" t="str">
        <f>HYPERLINK("https://www.google.com/maps?q=11.05496979,79.06283569","Open Location")</f>
        <v>Open Location</v>
      </c>
    </row>
    <row r="1131" spans="1:40" x14ac:dyDescent="0.3">
      <c r="A1131" s="1">
        <v>46210.86886574074</v>
      </c>
      <c r="B1131" t="s">
        <v>40</v>
      </c>
      <c r="C1131" t="s">
        <v>41</v>
      </c>
      <c r="D1131" s="1">
        <v>46210.871759259258</v>
      </c>
      <c r="E1131" t="s">
        <v>42</v>
      </c>
      <c r="F1131" t="s">
        <v>43</v>
      </c>
      <c r="G1131" t="s">
        <v>43</v>
      </c>
      <c r="H1131" t="s">
        <v>43</v>
      </c>
      <c r="I1131" t="s">
        <v>502</v>
      </c>
      <c r="J1131" t="s">
        <v>43</v>
      </c>
      <c r="K1131" t="s">
        <v>43</v>
      </c>
      <c r="L1131" t="s">
        <v>43</v>
      </c>
      <c r="M1131" t="s">
        <v>43</v>
      </c>
      <c r="N1131" t="s">
        <v>45</v>
      </c>
      <c r="O1131" t="s">
        <v>43</v>
      </c>
      <c r="P1131" t="s">
        <v>43</v>
      </c>
      <c r="Q1131" t="s">
        <v>43</v>
      </c>
      <c r="R1131" t="s">
        <v>43</v>
      </c>
      <c r="S1131" t="s">
        <v>43</v>
      </c>
      <c r="T1131" t="s">
        <v>43</v>
      </c>
      <c r="U1131" t="s">
        <v>43</v>
      </c>
      <c r="V1131" t="s">
        <v>43</v>
      </c>
      <c r="W1131" t="s">
        <v>43</v>
      </c>
      <c r="X1131" t="s">
        <v>43</v>
      </c>
      <c r="Y1131" t="s">
        <v>43</v>
      </c>
      <c r="Z1131" t="s">
        <v>43</v>
      </c>
      <c r="AA1131" t="s">
        <v>43</v>
      </c>
      <c r="AB1131" t="s">
        <v>43</v>
      </c>
      <c r="AC1131" t="s">
        <v>43</v>
      </c>
      <c r="AD1131" t="s">
        <v>43</v>
      </c>
      <c r="AE1131" t="s">
        <v>43</v>
      </c>
      <c r="AF1131" t="s">
        <v>43</v>
      </c>
      <c r="AG1131" t="s">
        <v>43</v>
      </c>
      <c r="AH1131" t="s">
        <v>43</v>
      </c>
      <c r="AI1131" t="s">
        <v>43</v>
      </c>
      <c r="AJ1131" t="s">
        <v>43</v>
      </c>
      <c r="AK1131" t="s">
        <v>43</v>
      </c>
      <c r="AL1131" t="s">
        <v>43</v>
      </c>
      <c r="AM1131" t="s">
        <v>43</v>
      </c>
      <c r="AN1131" t="str">
        <f>HYPERLINK("https://www.google.com/maps?q=11.05496979,79.06284332","Open Location")</f>
        <v>Open Location</v>
      </c>
    </row>
    <row r="1132" spans="1:40" x14ac:dyDescent="0.3">
      <c r="A1132" s="1">
        <v>46210.868750000001</v>
      </c>
      <c r="B1132" t="s">
        <v>40</v>
      </c>
      <c r="C1132" t="s">
        <v>41</v>
      </c>
      <c r="D1132" s="1">
        <v>46210.871481481481</v>
      </c>
      <c r="E1132" t="s">
        <v>42</v>
      </c>
      <c r="F1132" t="s">
        <v>43</v>
      </c>
      <c r="G1132" t="s">
        <v>43</v>
      </c>
      <c r="H1132" t="s">
        <v>43</v>
      </c>
      <c r="I1132" t="s">
        <v>43</v>
      </c>
      <c r="J1132" t="s">
        <v>43</v>
      </c>
      <c r="K1132" t="s">
        <v>43</v>
      </c>
      <c r="L1132" t="s">
        <v>43</v>
      </c>
      <c r="M1132" t="s">
        <v>43</v>
      </c>
      <c r="N1132" t="s">
        <v>45</v>
      </c>
      <c r="O1132" t="s">
        <v>43</v>
      </c>
      <c r="P1132" t="s">
        <v>43</v>
      </c>
      <c r="Q1132" t="s">
        <v>43</v>
      </c>
      <c r="R1132" t="s">
        <v>43</v>
      </c>
      <c r="S1132" t="s">
        <v>43</v>
      </c>
      <c r="T1132" t="s">
        <v>43</v>
      </c>
      <c r="U1132" t="s">
        <v>43</v>
      </c>
      <c r="V1132" t="s">
        <v>43</v>
      </c>
      <c r="W1132" t="s">
        <v>43</v>
      </c>
      <c r="X1132" t="s">
        <v>43</v>
      </c>
      <c r="Y1132" t="s">
        <v>43</v>
      </c>
      <c r="Z1132" t="s">
        <v>43</v>
      </c>
      <c r="AA1132" t="s">
        <v>43</v>
      </c>
      <c r="AB1132" t="s">
        <v>43</v>
      </c>
      <c r="AC1132" t="s">
        <v>43</v>
      </c>
      <c r="AD1132" t="s">
        <v>43</v>
      </c>
      <c r="AE1132" t="s">
        <v>43</v>
      </c>
      <c r="AF1132" t="s">
        <v>43</v>
      </c>
      <c r="AG1132" t="s">
        <v>43</v>
      </c>
      <c r="AH1132" t="s">
        <v>43</v>
      </c>
      <c r="AI1132" t="s">
        <v>43</v>
      </c>
      <c r="AJ1132" t="s">
        <v>43</v>
      </c>
      <c r="AK1132" t="s">
        <v>43</v>
      </c>
      <c r="AL1132" t="s">
        <v>43</v>
      </c>
      <c r="AM1132" t="s">
        <v>43</v>
      </c>
      <c r="AN1132" t="s">
        <v>43</v>
      </c>
    </row>
    <row r="1133" spans="1:40" x14ac:dyDescent="0.3">
      <c r="A1133" s="1">
        <v>46210.868634259263</v>
      </c>
      <c r="B1133" t="s">
        <v>40</v>
      </c>
      <c r="C1133" t="s">
        <v>41</v>
      </c>
      <c r="D1133" s="1">
        <v>46210.871851851851</v>
      </c>
      <c r="E1133" t="s">
        <v>42</v>
      </c>
      <c r="F1133" t="s">
        <v>43</v>
      </c>
      <c r="G1133" t="s">
        <v>43</v>
      </c>
      <c r="H1133" t="s">
        <v>43</v>
      </c>
      <c r="I1133" t="s">
        <v>503</v>
      </c>
      <c r="J1133" t="s">
        <v>43</v>
      </c>
      <c r="K1133" t="s">
        <v>43</v>
      </c>
      <c r="L1133" t="s">
        <v>43</v>
      </c>
      <c r="M1133" t="s">
        <v>43</v>
      </c>
      <c r="N1133" t="s">
        <v>45</v>
      </c>
      <c r="O1133" t="s">
        <v>43</v>
      </c>
      <c r="P1133" t="s">
        <v>43</v>
      </c>
      <c r="Q1133" t="s">
        <v>43</v>
      </c>
      <c r="R1133" t="s">
        <v>43</v>
      </c>
      <c r="S1133" t="s">
        <v>43</v>
      </c>
      <c r="T1133" t="s">
        <v>43</v>
      </c>
      <c r="U1133" t="s">
        <v>43</v>
      </c>
      <c r="V1133" t="s">
        <v>43</v>
      </c>
      <c r="W1133" t="s">
        <v>43</v>
      </c>
      <c r="X1133" t="s">
        <v>43</v>
      </c>
      <c r="Y1133" t="s">
        <v>43</v>
      </c>
      <c r="Z1133" t="s">
        <v>43</v>
      </c>
      <c r="AA1133" t="s">
        <v>43</v>
      </c>
      <c r="AB1133" t="s">
        <v>43</v>
      </c>
      <c r="AC1133" t="s">
        <v>43</v>
      </c>
      <c r="AD1133" t="s">
        <v>43</v>
      </c>
      <c r="AE1133" t="s">
        <v>43</v>
      </c>
      <c r="AF1133" t="s">
        <v>43</v>
      </c>
      <c r="AG1133" t="s">
        <v>43</v>
      </c>
      <c r="AH1133" t="s">
        <v>43</v>
      </c>
      <c r="AI1133" t="s">
        <v>43</v>
      </c>
      <c r="AJ1133" t="s">
        <v>43</v>
      </c>
      <c r="AK1133" t="s">
        <v>43</v>
      </c>
      <c r="AL1133" t="s">
        <v>43</v>
      </c>
      <c r="AM1133" t="s">
        <v>43</v>
      </c>
      <c r="AN1133" t="str">
        <f>HYPERLINK("https://www.google.com/maps?q=11.05496883,79.06283569","Open Location")</f>
        <v>Open Location</v>
      </c>
    </row>
    <row r="1134" spans="1:40" x14ac:dyDescent="0.3">
      <c r="A1134" s="1">
        <v>46210.868518518517</v>
      </c>
      <c r="B1134" t="s">
        <v>40</v>
      </c>
      <c r="C1134" t="s">
        <v>41</v>
      </c>
      <c r="D1134" s="1">
        <v>46210.871701388889</v>
      </c>
      <c r="E1134" t="s">
        <v>42</v>
      </c>
      <c r="F1134" t="s">
        <v>43</v>
      </c>
      <c r="G1134" t="s">
        <v>43</v>
      </c>
      <c r="H1134" t="s">
        <v>43</v>
      </c>
      <c r="I1134" t="s">
        <v>497</v>
      </c>
      <c r="J1134" t="s">
        <v>43</v>
      </c>
      <c r="K1134" t="s">
        <v>43</v>
      </c>
      <c r="L1134" t="s">
        <v>43</v>
      </c>
      <c r="M1134" t="s">
        <v>43</v>
      </c>
      <c r="N1134" t="s">
        <v>45</v>
      </c>
      <c r="O1134" t="s">
        <v>43</v>
      </c>
      <c r="P1134" t="s">
        <v>43</v>
      </c>
      <c r="Q1134" t="s">
        <v>43</v>
      </c>
      <c r="R1134" t="s">
        <v>43</v>
      </c>
      <c r="S1134" t="s">
        <v>43</v>
      </c>
      <c r="T1134" t="s">
        <v>43</v>
      </c>
      <c r="U1134" t="s">
        <v>43</v>
      </c>
      <c r="V1134" t="s">
        <v>43</v>
      </c>
      <c r="W1134" t="s">
        <v>43</v>
      </c>
      <c r="X1134" t="s">
        <v>43</v>
      </c>
      <c r="Y1134" t="s">
        <v>43</v>
      </c>
      <c r="Z1134" t="s">
        <v>43</v>
      </c>
      <c r="AA1134" t="s">
        <v>43</v>
      </c>
      <c r="AB1134" t="s">
        <v>43</v>
      </c>
      <c r="AC1134" t="s">
        <v>43</v>
      </c>
      <c r="AD1134" t="s">
        <v>43</v>
      </c>
      <c r="AE1134" t="s">
        <v>43</v>
      </c>
      <c r="AF1134" t="s">
        <v>43</v>
      </c>
      <c r="AG1134" t="s">
        <v>43</v>
      </c>
      <c r="AH1134" t="s">
        <v>43</v>
      </c>
      <c r="AI1134" t="s">
        <v>43</v>
      </c>
      <c r="AJ1134" t="s">
        <v>43</v>
      </c>
      <c r="AK1134" t="s">
        <v>43</v>
      </c>
      <c r="AL1134" t="s">
        <v>43</v>
      </c>
      <c r="AM1134" t="s">
        <v>43</v>
      </c>
      <c r="AN1134" t="str">
        <f>HYPERLINK("https://www.google.com/maps?q=11.05496788,79.06284332","Open Location")</f>
        <v>Open Location</v>
      </c>
    </row>
    <row r="1135" spans="1:40" x14ac:dyDescent="0.3">
      <c r="A1135" s="1">
        <v>46210.868402777778</v>
      </c>
      <c r="B1135" t="s">
        <v>40</v>
      </c>
      <c r="C1135" t="s">
        <v>41</v>
      </c>
      <c r="D1135" s="1">
        <v>46210.871087962965</v>
      </c>
      <c r="E1135" t="s">
        <v>42</v>
      </c>
      <c r="F1135" t="s">
        <v>43</v>
      </c>
      <c r="G1135" t="s">
        <v>43</v>
      </c>
      <c r="H1135" t="s">
        <v>43</v>
      </c>
      <c r="I1135" t="s">
        <v>504</v>
      </c>
      <c r="J1135" t="s">
        <v>43</v>
      </c>
      <c r="K1135" t="s">
        <v>43</v>
      </c>
      <c r="L1135" t="s">
        <v>43</v>
      </c>
      <c r="M1135" t="s">
        <v>43</v>
      </c>
      <c r="N1135" t="s">
        <v>45</v>
      </c>
      <c r="O1135" t="s">
        <v>43</v>
      </c>
      <c r="P1135" t="s">
        <v>43</v>
      </c>
      <c r="Q1135" t="s">
        <v>43</v>
      </c>
      <c r="R1135" t="s">
        <v>43</v>
      </c>
      <c r="S1135" t="s">
        <v>43</v>
      </c>
      <c r="T1135" t="s">
        <v>43</v>
      </c>
      <c r="U1135" t="s">
        <v>43</v>
      </c>
      <c r="V1135" t="s">
        <v>43</v>
      </c>
      <c r="W1135" t="s">
        <v>43</v>
      </c>
      <c r="X1135" t="s">
        <v>43</v>
      </c>
      <c r="Y1135" t="s">
        <v>43</v>
      </c>
      <c r="Z1135" t="s">
        <v>43</v>
      </c>
      <c r="AA1135" t="s">
        <v>43</v>
      </c>
      <c r="AB1135" t="s">
        <v>43</v>
      </c>
      <c r="AC1135" t="s">
        <v>43</v>
      </c>
      <c r="AD1135" t="s">
        <v>43</v>
      </c>
      <c r="AE1135" t="s">
        <v>43</v>
      </c>
      <c r="AF1135" t="s">
        <v>43</v>
      </c>
      <c r="AG1135" t="s">
        <v>43</v>
      </c>
      <c r="AH1135" t="s">
        <v>43</v>
      </c>
      <c r="AI1135" t="s">
        <v>43</v>
      </c>
      <c r="AJ1135" t="s">
        <v>43</v>
      </c>
      <c r="AK1135" t="s">
        <v>43</v>
      </c>
      <c r="AL1135" t="s">
        <v>43</v>
      </c>
      <c r="AM1135" t="s">
        <v>43</v>
      </c>
      <c r="AN1135" t="str">
        <f>HYPERLINK("https://www.google.com/maps?q=11.05497169,79.06285095","Open Location")</f>
        <v>Open Location</v>
      </c>
    </row>
    <row r="1136" spans="1:40" x14ac:dyDescent="0.3">
      <c r="A1136" s="1">
        <v>46210.868287037039</v>
      </c>
      <c r="B1136" t="s">
        <v>40</v>
      </c>
      <c r="C1136" t="s">
        <v>41</v>
      </c>
      <c r="D1136" s="1">
        <v>46210.871412037035</v>
      </c>
      <c r="E1136" t="s">
        <v>42</v>
      </c>
      <c r="F1136" t="s">
        <v>43</v>
      </c>
      <c r="G1136" t="s">
        <v>43</v>
      </c>
      <c r="H1136" t="s">
        <v>43</v>
      </c>
      <c r="I1136" t="s">
        <v>505</v>
      </c>
      <c r="J1136" t="s">
        <v>43</v>
      </c>
      <c r="K1136" t="s">
        <v>43</v>
      </c>
      <c r="L1136" t="s">
        <v>43</v>
      </c>
      <c r="M1136" t="s">
        <v>43</v>
      </c>
      <c r="N1136" t="s">
        <v>45</v>
      </c>
      <c r="O1136" t="s">
        <v>43</v>
      </c>
      <c r="P1136" t="s">
        <v>43</v>
      </c>
      <c r="Q1136" t="s">
        <v>43</v>
      </c>
      <c r="R1136" t="s">
        <v>43</v>
      </c>
      <c r="S1136" t="s">
        <v>43</v>
      </c>
      <c r="T1136" t="s">
        <v>43</v>
      </c>
      <c r="U1136" t="s">
        <v>43</v>
      </c>
      <c r="V1136" t="s">
        <v>43</v>
      </c>
      <c r="W1136" t="s">
        <v>43</v>
      </c>
      <c r="X1136" t="s">
        <v>43</v>
      </c>
      <c r="Y1136" t="s">
        <v>43</v>
      </c>
      <c r="Z1136" t="s">
        <v>43</v>
      </c>
      <c r="AA1136" t="s">
        <v>43</v>
      </c>
      <c r="AB1136" t="s">
        <v>43</v>
      </c>
      <c r="AC1136" t="s">
        <v>43</v>
      </c>
      <c r="AD1136" t="s">
        <v>43</v>
      </c>
      <c r="AE1136" t="s">
        <v>43</v>
      </c>
      <c r="AF1136" t="s">
        <v>43</v>
      </c>
      <c r="AG1136" t="s">
        <v>43</v>
      </c>
      <c r="AH1136" t="s">
        <v>43</v>
      </c>
      <c r="AI1136" t="s">
        <v>43</v>
      </c>
      <c r="AJ1136" t="s">
        <v>43</v>
      </c>
      <c r="AK1136" t="s">
        <v>43</v>
      </c>
      <c r="AL1136" t="s">
        <v>43</v>
      </c>
      <c r="AM1136" t="s">
        <v>43</v>
      </c>
      <c r="AN1136" t="str">
        <f>HYPERLINK("https://www.google.com/maps?q=11.05497169,79.06285858","Open Location")</f>
        <v>Open Location</v>
      </c>
    </row>
    <row r="1137" spans="1:40" x14ac:dyDescent="0.3">
      <c r="A1137" s="1">
        <v>46210.868171296293</v>
      </c>
      <c r="B1137" t="s">
        <v>40</v>
      </c>
      <c r="C1137" t="s">
        <v>41</v>
      </c>
      <c r="D1137" s="1">
        <v>46210.871053240742</v>
      </c>
      <c r="E1137" t="s">
        <v>42</v>
      </c>
      <c r="F1137" t="s">
        <v>43</v>
      </c>
      <c r="G1137" t="s">
        <v>43</v>
      </c>
      <c r="H1137" t="s">
        <v>43</v>
      </c>
      <c r="I1137" t="s">
        <v>504</v>
      </c>
      <c r="J1137" t="s">
        <v>43</v>
      </c>
      <c r="K1137" t="s">
        <v>43</v>
      </c>
      <c r="L1137" t="s">
        <v>43</v>
      </c>
      <c r="M1137" t="s">
        <v>43</v>
      </c>
      <c r="N1137" t="s">
        <v>45</v>
      </c>
      <c r="O1137" t="s">
        <v>43</v>
      </c>
      <c r="P1137" t="s">
        <v>43</v>
      </c>
      <c r="Q1137" t="s">
        <v>43</v>
      </c>
      <c r="R1137" t="s">
        <v>43</v>
      </c>
      <c r="S1137" t="s">
        <v>43</v>
      </c>
      <c r="T1137" t="s">
        <v>43</v>
      </c>
      <c r="U1137" t="s">
        <v>43</v>
      </c>
      <c r="V1137" t="s">
        <v>43</v>
      </c>
      <c r="W1137" t="s">
        <v>43</v>
      </c>
      <c r="X1137" t="s">
        <v>43</v>
      </c>
      <c r="Y1137" t="s">
        <v>43</v>
      </c>
      <c r="Z1137" t="s">
        <v>43</v>
      </c>
      <c r="AA1137" t="s">
        <v>43</v>
      </c>
      <c r="AB1137" t="s">
        <v>43</v>
      </c>
      <c r="AC1137" t="s">
        <v>43</v>
      </c>
      <c r="AD1137" t="s">
        <v>43</v>
      </c>
      <c r="AE1137" t="s">
        <v>43</v>
      </c>
      <c r="AF1137" t="s">
        <v>43</v>
      </c>
      <c r="AG1137" t="s">
        <v>43</v>
      </c>
      <c r="AH1137" t="s">
        <v>43</v>
      </c>
      <c r="AI1137" t="s">
        <v>43</v>
      </c>
      <c r="AJ1137" t="s">
        <v>43</v>
      </c>
      <c r="AK1137" t="s">
        <v>43</v>
      </c>
      <c r="AL1137" t="s">
        <v>43</v>
      </c>
      <c r="AM1137" t="s">
        <v>43</v>
      </c>
      <c r="AN1137" t="str">
        <f>HYPERLINK("https://www.google.com/maps?q=11.05497169,79.06285095","Open Location")</f>
        <v>Open Location</v>
      </c>
    </row>
    <row r="1138" spans="1:40" x14ac:dyDescent="0.3">
      <c r="A1138" s="1">
        <v>46210.868055555555</v>
      </c>
      <c r="B1138" t="s">
        <v>40</v>
      </c>
      <c r="C1138" t="s">
        <v>41</v>
      </c>
      <c r="D1138" s="1">
        <v>46210.871261574073</v>
      </c>
      <c r="E1138" t="s">
        <v>42</v>
      </c>
      <c r="F1138" t="s">
        <v>43</v>
      </c>
      <c r="G1138" t="s">
        <v>43</v>
      </c>
      <c r="H1138" t="s">
        <v>43</v>
      </c>
      <c r="I1138" t="s">
        <v>43</v>
      </c>
      <c r="J1138" t="s">
        <v>43</v>
      </c>
      <c r="K1138" t="s">
        <v>43</v>
      </c>
      <c r="L1138" t="s">
        <v>43</v>
      </c>
      <c r="M1138" t="s">
        <v>43</v>
      </c>
      <c r="N1138" t="s">
        <v>45</v>
      </c>
      <c r="O1138" t="s">
        <v>43</v>
      </c>
      <c r="P1138" t="s">
        <v>43</v>
      </c>
      <c r="Q1138" t="s">
        <v>43</v>
      </c>
      <c r="R1138" t="s">
        <v>43</v>
      </c>
      <c r="S1138" t="s">
        <v>43</v>
      </c>
      <c r="T1138" t="s">
        <v>43</v>
      </c>
      <c r="U1138" t="s">
        <v>43</v>
      </c>
      <c r="V1138" t="s">
        <v>43</v>
      </c>
      <c r="W1138" t="s">
        <v>43</v>
      </c>
      <c r="X1138" t="s">
        <v>43</v>
      </c>
      <c r="Y1138" t="s">
        <v>43</v>
      </c>
      <c r="Z1138" t="s">
        <v>43</v>
      </c>
      <c r="AA1138" t="s">
        <v>43</v>
      </c>
      <c r="AB1138" t="s">
        <v>43</v>
      </c>
      <c r="AC1138" t="s">
        <v>43</v>
      </c>
      <c r="AD1138" t="s">
        <v>43</v>
      </c>
      <c r="AE1138" t="s">
        <v>43</v>
      </c>
      <c r="AF1138" t="s">
        <v>43</v>
      </c>
      <c r="AG1138" t="s">
        <v>43</v>
      </c>
      <c r="AH1138" t="s">
        <v>43</v>
      </c>
      <c r="AI1138" t="s">
        <v>43</v>
      </c>
      <c r="AJ1138" t="s">
        <v>43</v>
      </c>
      <c r="AK1138" t="s">
        <v>43</v>
      </c>
      <c r="AL1138" t="s">
        <v>43</v>
      </c>
      <c r="AM1138" t="s">
        <v>43</v>
      </c>
      <c r="AN1138" t="s">
        <v>43</v>
      </c>
    </row>
    <row r="1139" spans="1:40" x14ac:dyDescent="0.3">
      <c r="A1139" s="1">
        <v>46210.867939814816</v>
      </c>
      <c r="B1139" t="s">
        <v>40</v>
      </c>
      <c r="C1139" t="s">
        <v>41</v>
      </c>
      <c r="D1139" s="1">
        <v>46210.870671296296</v>
      </c>
      <c r="E1139" t="s">
        <v>42</v>
      </c>
      <c r="F1139" t="s">
        <v>43</v>
      </c>
      <c r="G1139" t="s">
        <v>43</v>
      </c>
      <c r="H1139" t="s">
        <v>43</v>
      </c>
      <c r="I1139" t="s">
        <v>500</v>
      </c>
      <c r="J1139" t="s">
        <v>43</v>
      </c>
      <c r="K1139" t="s">
        <v>43</v>
      </c>
      <c r="L1139" t="s">
        <v>43</v>
      </c>
      <c r="M1139" t="s">
        <v>43</v>
      </c>
      <c r="N1139" t="s">
        <v>45</v>
      </c>
      <c r="O1139" t="s">
        <v>43</v>
      </c>
      <c r="P1139" t="s">
        <v>43</v>
      </c>
      <c r="Q1139" t="s">
        <v>43</v>
      </c>
      <c r="R1139" t="s">
        <v>43</v>
      </c>
      <c r="S1139" t="s">
        <v>43</v>
      </c>
      <c r="T1139" t="s">
        <v>43</v>
      </c>
      <c r="U1139" t="s">
        <v>43</v>
      </c>
      <c r="V1139" t="s">
        <v>43</v>
      </c>
      <c r="W1139" t="s">
        <v>43</v>
      </c>
      <c r="X1139" t="s">
        <v>43</v>
      </c>
      <c r="Y1139" t="s">
        <v>43</v>
      </c>
      <c r="Z1139" t="s">
        <v>43</v>
      </c>
      <c r="AA1139" t="s">
        <v>43</v>
      </c>
      <c r="AB1139" t="s">
        <v>43</v>
      </c>
      <c r="AC1139" t="s">
        <v>43</v>
      </c>
      <c r="AD1139" t="s">
        <v>43</v>
      </c>
      <c r="AE1139" t="s">
        <v>43</v>
      </c>
      <c r="AF1139" t="s">
        <v>43</v>
      </c>
      <c r="AG1139" t="s">
        <v>43</v>
      </c>
      <c r="AH1139" t="s">
        <v>43</v>
      </c>
      <c r="AI1139" t="s">
        <v>43</v>
      </c>
      <c r="AJ1139" t="s">
        <v>43</v>
      </c>
      <c r="AK1139" t="s">
        <v>43</v>
      </c>
      <c r="AL1139" t="s">
        <v>43</v>
      </c>
      <c r="AM1139" t="s">
        <v>43</v>
      </c>
      <c r="AN1139" t="str">
        <f>HYPERLINK("https://www.google.com/maps?q=11.05497742,79.06283569","Open Location")</f>
        <v>Open Location</v>
      </c>
    </row>
    <row r="1140" spans="1:40" x14ac:dyDescent="0.3">
      <c r="A1140" s="1">
        <v>46210.867824074077</v>
      </c>
      <c r="B1140" t="s">
        <v>40</v>
      </c>
      <c r="C1140" t="s">
        <v>41</v>
      </c>
      <c r="D1140" s="1">
        <v>46210.870694444442</v>
      </c>
      <c r="E1140" t="s">
        <v>42</v>
      </c>
      <c r="F1140" t="s">
        <v>43</v>
      </c>
      <c r="G1140" t="s">
        <v>43</v>
      </c>
      <c r="H1140" t="s">
        <v>43</v>
      </c>
      <c r="I1140" t="s">
        <v>506</v>
      </c>
      <c r="J1140" t="s">
        <v>43</v>
      </c>
      <c r="K1140" t="s">
        <v>43</v>
      </c>
      <c r="L1140" t="s">
        <v>43</v>
      </c>
      <c r="M1140" t="s">
        <v>43</v>
      </c>
      <c r="N1140" t="s">
        <v>45</v>
      </c>
      <c r="O1140" t="s">
        <v>43</v>
      </c>
      <c r="P1140" t="s">
        <v>43</v>
      </c>
      <c r="Q1140" t="s">
        <v>43</v>
      </c>
      <c r="R1140" t="s">
        <v>43</v>
      </c>
      <c r="S1140" t="s">
        <v>43</v>
      </c>
      <c r="T1140" t="s">
        <v>43</v>
      </c>
      <c r="U1140" t="s">
        <v>43</v>
      </c>
      <c r="V1140" t="s">
        <v>43</v>
      </c>
      <c r="W1140" t="s">
        <v>43</v>
      </c>
      <c r="X1140" t="s">
        <v>43</v>
      </c>
      <c r="Y1140" t="s">
        <v>43</v>
      </c>
      <c r="Z1140" t="s">
        <v>43</v>
      </c>
      <c r="AA1140" t="s">
        <v>43</v>
      </c>
      <c r="AB1140" t="s">
        <v>43</v>
      </c>
      <c r="AC1140" t="s">
        <v>43</v>
      </c>
      <c r="AD1140" t="s">
        <v>43</v>
      </c>
      <c r="AE1140" t="s">
        <v>43</v>
      </c>
      <c r="AF1140" t="s">
        <v>43</v>
      </c>
      <c r="AG1140" t="s">
        <v>43</v>
      </c>
      <c r="AH1140" t="s">
        <v>43</v>
      </c>
      <c r="AI1140" t="s">
        <v>43</v>
      </c>
      <c r="AJ1140" t="s">
        <v>43</v>
      </c>
      <c r="AK1140" t="s">
        <v>43</v>
      </c>
      <c r="AL1140" t="s">
        <v>43</v>
      </c>
      <c r="AM1140" t="s">
        <v>43</v>
      </c>
      <c r="AN1140" t="str">
        <f>HYPERLINK("https://www.google.com/maps?q=11.05496502,79.06283569","Open Location")</f>
        <v>Open Location</v>
      </c>
    </row>
    <row r="1141" spans="1:40" x14ac:dyDescent="0.3">
      <c r="A1141" s="1">
        <v>46210.867708333331</v>
      </c>
      <c r="B1141" t="s">
        <v>40</v>
      </c>
      <c r="C1141" t="s">
        <v>41</v>
      </c>
      <c r="D1141" s="1">
        <v>46210.87096064815</v>
      </c>
      <c r="E1141" t="s">
        <v>42</v>
      </c>
      <c r="F1141" t="s">
        <v>43</v>
      </c>
      <c r="G1141" t="s">
        <v>43</v>
      </c>
      <c r="H1141" t="s">
        <v>43</v>
      </c>
      <c r="I1141" t="s">
        <v>507</v>
      </c>
      <c r="J1141" t="s">
        <v>43</v>
      </c>
      <c r="K1141" t="s">
        <v>43</v>
      </c>
      <c r="L1141" t="s">
        <v>43</v>
      </c>
      <c r="M1141" t="s">
        <v>43</v>
      </c>
      <c r="N1141" t="s">
        <v>45</v>
      </c>
      <c r="O1141" t="s">
        <v>43</v>
      </c>
      <c r="P1141" t="s">
        <v>43</v>
      </c>
      <c r="Q1141" t="s">
        <v>43</v>
      </c>
      <c r="R1141" t="s">
        <v>43</v>
      </c>
      <c r="S1141" t="s">
        <v>43</v>
      </c>
      <c r="T1141" t="s">
        <v>43</v>
      </c>
      <c r="U1141" t="s">
        <v>43</v>
      </c>
      <c r="V1141" t="s">
        <v>43</v>
      </c>
      <c r="W1141" t="s">
        <v>43</v>
      </c>
      <c r="X1141" t="s">
        <v>43</v>
      </c>
      <c r="Y1141" t="s">
        <v>43</v>
      </c>
      <c r="Z1141" t="s">
        <v>43</v>
      </c>
      <c r="AA1141" t="s">
        <v>43</v>
      </c>
      <c r="AB1141" t="s">
        <v>43</v>
      </c>
      <c r="AC1141" t="s">
        <v>43</v>
      </c>
      <c r="AD1141" t="s">
        <v>43</v>
      </c>
      <c r="AE1141" t="s">
        <v>43</v>
      </c>
      <c r="AF1141" t="s">
        <v>43</v>
      </c>
      <c r="AG1141" t="s">
        <v>43</v>
      </c>
      <c r="AH1141" t="s">
        <v>43</v>
      </c>
      <c r="AI1141" t="s">
        <v>43</v>
      </c>
      <c r="AJ1141" t="s">
        <v>43</v>
      </c>
      <c r="AK1141" t="s">
        <v>43</v>
      </c>
      <c r="AL1141" t="s">
        <v>43</v>
      </c>
      <c r="AM1141" t="s">
        <v>43</v>
      </c>
      <c r="AN1141" t="str">
        <f>HYPERLINK("https://www.google.com/maps?q=11.05496407,79.06283569","Open Location")</f>
        <v>Open Location</v>
      </c>
    </row>
    <row r="1142" spans="1:40" x14ac:dyDescent="0.3">
      <c r="A1142" s="1">
        <v>46210.867592592593</v>
      </c>
      <c r="B1142" t="s">
        <v>40</v>
      </c>
      <c r="C1142" t="s">
        <v>41</v>
      </c>
      <c r="D1142" s="1">
        <v>46210.870671296296</v>
      </c>
      <c r="E1142" t="s">
        <v>42</v>
      </c>
      <c r="F1142" t="s">
        <v>43</v>
      </c>
      <c r="G1142" t="s">
        <v>43</v>
      </c>
      <c r="H1142" t="s">
        <v>43</v>
      </c>
      <c r="I1142" t="s">
        <v>494</v>
      </c>
      <c r="J1142" t="s">
        <v>43</v>
      </c>
      <c r="K1142" t="s">
        <v>43</v>
      </c>
      <c r="L1142" t="s">
        <v>43</v>
      </c>
      <c r="M1142" t="s">
        <v>43</v>
      </c>
      <c r="N1142" t="s">
        <v>45</v>
      </c>
      <c r="O1142" t="s">
        <v>43</v>
      </c>
      <c r="P1142" t="s">
        <v>43</v>
      </c>
      <c r="Q1142" t="s">
        <v>43</v>
      </c>
      <c r="R1142" t="s">
        <v>43</v>
      </c>
      <c r="S1142" t="s">
        <v>43</v>
      </c>
      <c r="T1142" t="s">
        <v>43</v>
      </c>
      <c r="U1142" t="s">
        <v>43</v>
      </c>
      <c r="V1142" t="s">
        <v>43</v>
      </c>
      <c r="W1142" t="s">
        <v>43</v>
      </c>
      <c r="X1142" t="s">
        <v>43</v>
      </c>
      <c r="Y1142" t="s">
        <v>43</v>
      </c>
      <c r="Z1142" t="s">
        <v>43</v>
      </c>
      <c r="AA1142" t="s">
        <v>43</v>
      </c>
      <c r="AB1142" t="s">
        <v>43</v>
      </c>
      <c r="AC1142" t="s">
        <v>43</v>
      </c>
      <c r="AD1142" t="s">
        <v>43</v>
      </c>
      <c r="AE1142" t="s">
        <v>43</v>
      </c>
      <c r="AF1142" t="s">
        <v>43</v>
      </c>
      <c r="AG1142" t="s">
        <v>43</v>
      </c>
      <c r="AH1142" t="s">
        <v>43</v>
      </c>
      <c r="AI1142" t="s">
        <v>43</v>
      </c>
      <c r="AJ1142" t="s">
        <v>43</v>
      </c>
      <c r="AK1142" t="s">
        <v>43</v>
      </c>
      <c r="AL1142" t="s">
        <v>43</v>
      </c>
      <c r="AM1142" t="s">
        <v>43</v>
      </c>
      <c r="AN1142" t="str">
        <f>HYPERLINK("https://www.google.com/maps?q=11.0549593,79.06283569","Open Location")</f>
        <v>Open Location</v>
      </c>
    </row>
    <row r="1143" spans="1:40" x14ac:dyDescent="0.3">
      <c r="A1143" s="1">
        <v>46210.867476851854</v>
      </c>
      <c r="B1143" t="s">
        <v>40</v>
      </c>
      <c r="C1143" t="s">
        <v>41</v>
      </c>
      <c r="D1143" s="1">
        <v>46210.87054398148</v>
      </c>
      <c r="E1143" t="s">
        <v>42</v>
      </c>
      <c r="F1143" t="s">
        <v>43</v>
      </c>
      <c r="G1143" t="s">
        <v>43</v>
      </c>
      <c r="H1143" t="s">
        <v>43</v>
      </c>
      <c r="I1143" t="s">
        <v>43</v>
      </c>
      <c r="J1143" t="s">
        <v>43</v>
      </c>
      <c r="K1143" t="s">
        <v>43</v>
      </c>
      <c r="L1143" t="s">
        <v>43</v>
      </c>
      <c r="M1143" t="s">
        <v>43</v>
      </c>
      <c r="N1143" t="s">
        <v>45</v>
      </c>
      <c r="O1143" t="s">
        <v>43</v>
      </c>
      <c r="P1143" t="s">
        <v>43</v>
      </c>
      <c r="Q1143" t="s">
        <v>43</v>
      </c>
      <c r="R1143" t="s">
        <v>43</v>
      </c>
      <c r="S1143" t="s">
        <v>43</v>
      </c>
      <c r="T1143" t="s">
        <v>43</v>
      </c>
      <c r="U1143" t="s">
        <v>43</v>
      </c>
      <c r="V1143" t="s">
        <v>43</v>
      </c>
      <c r="W1143" t="s">
        <v>43</v>
      </c>
      <c r="X1143" t="s">
        <v>43</v>
      </c>
      <c r="Y1143" t="s">
        <v>43</v>
      </c>
      <c r="Z1143" t="s">
        <v>43</v>
      </c>
      <c r="AA1143" t="s">
        <v>43</v>
      </c>
      <c r="AB1143" t="s">
        <v>43</v>
      </c>
      <c r="AC1143" t="s">
        <v>43</v>
      </c>
      <c r="AD1143" t="s">
        <v>43</v>
      </c>
      <c r="AE1143" t="s">
        <v>43</v>
      </c>
      <c r="AF1143" t="s">
        <v>43</v>
      </c>
      <c r="AG1143" t="s">
        <v>43</v>
      </c>
      <c r="AH1143" t="s">
        <v>43</v>
      </c>
      <c r="AI1143" t="s">
        <v>43</v>
      </c>
      <c r="AJ1143" t="s">
        <v>43</v>
      </c>
      <c r="AK1143" t="s">
        <v>43</v>
      </c>
      <c r="AL1143" t="s">
        <v>43</v>
      </c>
      <c r="AM1143" t="s">
        <v>43</v>
      </c>
      <c r="AN1143" t="s">
        <v>43</v>
      </c>
    </row>
    <row r="1144" spans="1:40" x14ac:dyDescent="0.3">
      <c r="A1144" s="1">
        <v>46210.867361111108</v>
      </c>
      <c r="B1144" t="s">
        <v>40</v>
      </c>
      <c r="C1144" t="s">
        <v>41</v>
      </c>
      <c r="D1144" s="1">
        <v>46210.870312500003</v>
      </c>
      <c r="E1144" t="s">
        <v>42</v>
      </c>
      <c r="F1144" t="s">
        <v>43</v>
      </c>
      <c r="G1144" t="s">
        <v>43</v>
      </c>
      <c r="H1144" t="s">
        <v>43</v>
      </c>
      <c r="I1144" t="s">
        <v>490</v>
      </c>
      <c r="J1144" t="s">
        <v>43</v>
      </c>
      <c r="K1144" t="s">
        <v>43</v>
      </c>
      <c r="L1144" t="s">
        <v>43</v>
      </c>
      <c r="M1144" t="s">
        <v>43</v>
      </c>
      <c r="N1144" t="s">
        <v>45</v>
      </c>
      <c r="O1144" t="s">
        <v>43</v>
      </c>
      <c r="P1144" t="s">
        <v>43</v>
      </c>
      <c r="Q1144" t="s">
        <v>43</v>
      </c>
      <c r="R1144" t="s">
        <v>43</v>
      </c>
      <c r="S1144" t="s">
        <v>43</v>
      </c>
      <c r="T1144" t="s">
        <v>43</v>
      </c>
      <c r="U1144" t="s">
        <v>43</v>
      </c>
      <c r="V1144" t="s">
        <v>43</v>
      </c>
      <c r="W1144" t="s">
        <v>43</v>
      </c>
      <c r="X1144" t="s">
        <v>43</v>
      </c>
      <c r="Y1144" t="s">
        <v>43</v>
      </c>
      <c r="Z1144" t="s">
        <v>43</v>
      </c>
      <c r="AA1144" t="s">
        <v>43</v>
      </c>
      <c r="AB1144" t="s">
        <v>43</v>
      </c>
      <c r="AC1144" t="s">
        <v>43</v>
      </c>
      <c r="AD1144" t="s">
        <v>43</v>
      </c>
      <c r="AE1144" t="s">
        <v>43</v>
      </c>
      <c r="AF1144" t="s">
        <v>43</v>
      </c>
      <c r="AG1144" t="s">
        <v>43</v>
      </c>
      <c r="AH1144" t="s">
        <v>43</v>
      </c>
      <c r="AI1144" t="s">
        <v>43</v>
      </c>
      <c r="AJ1144" t="s">
        <v>43</v>
      </c>
      <c r="AK1144" t="s">
        <v>43</v>
      </c>
      <c r="AL1144" t="s">
        <v>43</v>
      </c>
      <c r="AM1144" t="s">
        <v>43</v>
      </c>
      <c r="AN1144" t="str">
        <f>HYPERLINK("https://www.google.com/maps?q=11.05495453,79.06283569","Open Location")</f>
        <v>Open Location</v>
      </c>
    </row>
    <row r="1145" spans="1:40" x14ac:dyDescent="0.3">
      <c r="A1145" s="1">
        <v>46210.867245370369</v>
      </c>
      <c r="B1145" t="s">
        <v>40</v>
      </c>
      <c r="C1145" t="s">
        <v>41</v>
      </c>
      <c r="D1145" s="1">
        <v>46210.87</v>
      </c>
      <c r="E1145" t="s">
        <v>42</v>
      </c>
      <c r="F1145" t="s">
        <v>43</v>
      </c>
      <c r="G1145" t="s">
        <v>43</v>
      </c>
      <c r="H1145" t="s">
        <v>43</v>
      </c>
      <c r="I1145" t="s">
        <v>508</v>
      </c>
      <c r="J1145" t="s">
        <v>43</v>
      </c>
      <c r="K1145" t="s">
        <v>43</v>
      </c>
      <c r="L1145" t="s">
        <v>43</v>
      </c>
      <c r="M1145" t="s">
        <v>43</v>
      </c>
      <c r="N1145" t="s">
        <v>45</v>
      </c>
      <c r="O1145" t="s">
        <v>43</v>
      </c>
      <c r="P1145" t="s">
        <v>43</v>
      </c>
      <c r="Q1145" t="s">
        <v>43</v>
      </c>
      <c r="R1145" t="s">
        <v>43</v>
      </c>
      <c r="S1145" t="s">
        <v>43</v>
      </c>
      <c r="T1145" t="s">
        <v>43</v>
      </c>
      <c r="U1145" t="s">
        <v>43</v>
      </c>
      <c r="V1145" t="s">
        <v>43</v>
      </c>
      <c r="W1145" t="s">
        <v>43</v>
      </c>
      <c r="X1145" t="s">
        <v>43</v>
      </c>
      <c r="Y1145" t="s">
        <v>43</v>
      </c>
      <c r="Z1145" t="s">
        <v>43</v>
      </c>
      <c r="AA1145" t="s">
        <v>43</v>
      </c>
      <c r="AB1145" t="s">
        <v>43</v>
      </c>
      <c r="AC1145" t="s">
        <v>43</v>
      </c>
      <c r="AD1145" t="s">
        <v>43</v>
      </c>
      <c r="AE1145" t="s">
        <v>43</v>
      </c>
      <c r="AF1145" t="s">
        <v>43</v>
      </c>
      <c r="AG1145" t="s">
        <v>43</v>
      </c>
      <c r="AH1145" t="s">
        <v>43</v>
      </c>
      <c r="AI1145" t="s">
        <v>43</v>
      </c>
      <c r="AJ1145" t="s">
        <v>43</v>
      </c>
      <c r="AK1145" t="s">
        <v>43</v>
      </c>
      <c r="AL1145" t="s">
        <v>43</v>
      </c>
      <c r="AM1145" t="s">
        <v>43</v>
      </c>
      <c r="AN1145" t="str">
        <f>HYPERLINK("https://www.google.com/maps?q=11.05495739,79.06283569","Open Location")</f>
        <v>Open Location</v>
      </c>
    </row>
    <row r="1146" spans="1:40" x14ac:dyDescent="0.3">
      <c r="A1146" s="1">
        <v>46210.867129629631</v>
      </c>
      <c r="B1146" t="s">
        <v>40</v>
      </c>
      <c r="C1146" t="s">
        <v>41</v>
      </c>
      <c r="D1146" s="1">
        <v>46210.870081018518</v>
      </c>
      <c r="E1146" t="s">
        <v>42</v>
      </c>
      <c r="F1146" t="s">
        <v>43</v>
      </c>
      <c r="G1146" t="s">
        <v>43</v>
      </c>
      <c r="H1146" t="s">
        <v>43</v>
      </c>
      <c r="I1146" t="s">
        <v>508</v>
      </c>
      <c r="J1146" t="s">
        <v>43</v>
      </c>
      <c r="K1146" t="s">
        <v>43</v>
      </c>
      <c r="L1146" t="s">
        <v>43</v>
      </c>
      <c r="M1146" t="s">
        <v>43</v>
      </c>
      <c r="N1146" t="s">
        <v>45</v>
      </c>
      <c r="O1146" t="s">
        <v>43</v>
      </c>
      <c r="P1146" t="s">
        <v>43</v>
      </c>
      <c r="Q1146" t="s">
        <v>43</v>
      </c>
      <c r="R1146" t="s">
        <v>43</v>
      </c>
      <c r="S1146" t="s">
        <v>43</v>
      </c>
      <c r="T1146" t="s">
        <v>43</v>
      </c>
      <c r="U1146" t="s">
        <v>43</v>
      </c>
      <c r="V1146" t="s">
        <v>43</v>
      </c>
      <c r="W1146" t="s">
        <v>43</v>
      </c>
      <c r="X1146" t="s">
        <v>43</v>
      </c>
      <c r="Y1146" t="s">
        <v>43</v>
      </c>
      <c r="Z1146" t="s">
        <v>43</v>
      </c>
      <c r="AA1146" t="s">
        <v>43</v>
      </c>
      <c r="AB1146" t="s">
        <v>43</v>
      </c>
      <c r="AC1146" t="s">
        <v>43</v>
      </c>
      <c r="AD1146" t="s">
        <v>43</v>
      </c>
      <c r="AE1146" t="s">
        <v>43</v>
      </c>
      <c r="AF1146" t="s">
        <v>43</v>
      </c>
      <c r="AG1146" t="s">
        <v>43</v>
      </c>
      <c r="AH1146" t="s">
        <v>43</v>
      </c>
      <c r="AI1146" t="s">
        <v>43</v>
      </c>
      <c r="AJ1146" t="s">
        <v>43</v>
      </c>
      <c r="AK1146" t="s">
        <v>43</v>
      </c>
      <c r="AL1146" t="s">
        <v>43</v>
      </c>
      <c r="AM1146" t="s">
        <v>43</v>
      </c>
      <c r="AN1146" t="str">
        <f>HYPERLINK("https://www.google.com/maps?q=11.05495739,79.06283569","Open Location")</f>
        <v>Open Location</v>
      </c>
    </row>
    <row r="1147" spans="1:40" x14ac:dyDescent="0.3">
      <c r="A1147" s="1">
        <v>46210.867013888892</v>
      </c>
      <c r="B1147" t="s">
        <v>40</v>
      </c>
      <c r="C1147" t="s">
        <v>41</v>
      </c>
      <c r="D1147" s="1">
        <v>46210.869675925926</v>
      </c>
      <c r="E1147" t="s">
        <v>42</v>
      </c>
      <c r="F1147" t="s">
        <v>43</v>
      </c>
      <c r="G1147" t="s">
        <v>43</v>
      </c>
      <c r="H1147" t="s">
        <v>43</v>
      </c>
      <c r="I1147" t="s">
        <v>509</v>
      </c>
      <c r="J1147" t="s">
        <v>43</v>
      </c>
      <c r="K1147" t="s">
        <v>43</v>
      </c>
      <c r="L1147" t="s">
        <v>43</v>
      </c>
      <c r="M1147" t="s">
        <v>43</v>
      </c>
      <c r="N1147" t="s">
        <v>45</v>
      </c>
      <c r="O1147" t="s">
        <v>43</v>
      </c>
      <c r="P1147" t="s">
        <v>43</v>
      </c>
      <c r="Q1147" t="s">
        <v>43</v>
      </c>
      <c r="R1147" t="s">
        <v>43</v>
      </c>
      <c r="S1147" t="s">
        <v>43</v>
      </c>
      <c r="T1147" t="s">
        <v>43</v>
      </c>
      <c r="U1147" t="s">
        <v>43</v>
      </c>
      <c r="V1147" t="s">
        <v>43</v>
      </c>
      <c r="W1147" t="s">
        <v>43</v>
      </c>
      <c r="X1147" t="s">
        <v>43</v>
      </c>
      <c r="Y1147" t="s">
        <v>43</v>
      </c>
      <c r="Z1147" t="s">
        <v>43</v>
      </c>
      <c r="AA1147" t="s">
        <v>43</v>
      </c>
      <c r="AB1147" t="s">
        <v>43</v>
      </c>
      <c r="AC1147" t="s">
        <v>43</v>
      </c>
      <c r="AD1147" t="s">
        <v>43</v>
      </c>
      <c r="AE1147" t="s">
        <v>43</v>
      </c>
      <c r="AF1147" t="s">
        <v>43</v>
      </c>
      <c r="AG1147" t="s">
        <v>43</v>
      </c>
      <c r="AH1147" t="s">
        <v>43</v>
      </c>
      <c r="AI1147" t="s">
        <v>43</v>
      </c>
      <c r="AJ1147" t="s">
        <v>43</v>
      </c>
      <c r="AK1147" t="s">
        <v>43</v>
      </c>
      <c r="AL1147" t="s">
        <v>43</v>
      </c>
      <c r="AM1147" t="s">
        <v>43</v>
      </c>
      <c r="AN1147" t="str">
        <f>HYPERLINK("https://www.google.com/maps?q=11.05495262,79.06282043","Open Location")</f>
        <v>Open Location</v>
      </c>
    </row>
    <row r="1148" spans="1:40" x14ac:dyDescent="0.3">
      <c r="A1148" s="1">
        <v>46210.866898148146</v>
      </c>
      <c r="B1148" t="s">
        <v>40</v>
      </c>
      <c r="C1148" t="s">
        <v>41</v>
      </c>
      <c r="D1148" s="1">
        <v>46210.869942129626</v>
      </c>
      <c r="E1148" t="s">
        <v>42</v>
      </c>
      <c r="F1148" t="s">
        <v>43</v>
      </c>
      <c r="G1148" t="s">
        <v>43</v>
      </c>
      <c r="H1148" t="s">
        <v>43</v>
      </c>
      <c r="I1148" t="s">
        <v>508</v>
      </c>
      <c r="J1148" t="s">
        <v>43</v>
      </c>
      <c r="K1148" t="s">
        <v>43</v>
      </c>
      <c r="L1148" t="s">
        <v>43</v>
      </c>
      <c r="M1148" t="s">
        <v>43</v>
      </c>
      <c r="N1148" t="s">
        <v>45</v>
      </c>
      <c r="O1148" t="s">
        <v>43</v>
      </c>
      <c r="P1148" t="s">
        <v>43</v>
      </c>
      <c r="Q1148" t="s">
        <v>43</v>
      </c>
      <c r="R1148" t="s">
        <v>43</v>
      </c>
      <c r="S1148" t="s">
        <v>43</v>
      </c>
      <c r="T1148" t="s">
        <v>43</v>
      </c>
      <c r="U1148" t="s">
        <v>43</v>
      </c>
      <c r="V1148" t="s">
        <v>43</v>
      </c>
      <c r="W1148" t="s">
        <v>43</v>
      </c>
      <c r="X1148" t="s">
        <v>43</v>
      </c>
      <c r="Y1148" t="s">
        <v>43</v>
      </c>
      <c r="Z1148" t="s">
        <v>43</v>
      </c>
      <c r="AA1148" t="s">
        <v>43</v>
      </c>
      <c r="AB1148" t="s">
        <v>43</v>
      </c>
      <c r="AC1148" t="s">
        <v>43</v>
      </c>
      <c r="AD1148" t="s">
        <v>43</v>
      </c>
      <c r="AE1148" t="s">
        <v>43</v>
      </c>
      <c r="AF1148" t="s">
        <v>43</v>
      </c>
      <c r="AG1148" t="s">
        <v>43</v>
      </c>
      <c r="AH1148" t="s">
        <v>43</v>
      </c>
      <c r="AI1148" t="s">
        <v>43</v>
      </c>
      <c r="AJ1148" t="s">
        <v>43</v>
      </c>
      <c r="AK1148" t="s">
        <v>43</v>
      </c>
      <c r="AL1148" t="s">
        <v>43</v>
      </c>
      <c r="AM1148" t="s">
        <v>43</v>
      </c>
      <c r="AN1148" t="str">
        <f>HYPERLINK("https://www.google.com/maps?q=11.05495739,79.06283569","Open Location")</f>
        <v>Open Location</v>
      </c>
    </row>
    <row r="1149" spans="1:40" x14ac:dyDescent="0.3">
      <c r="A1149" s="1">
        <v>46210.866782407407</v>
      </c>
      <c r="B1149" t="s">
        <v>40</v>
      </c>
      <c r="C1149" t="s">
        <v>41</v>
      </c>
      <c r="D1149" s="1">
        <v>46210.869942129626</v>
      </c>
      <c r="E1149" t="s">
        <v>42</v>
      </c>
      <c r="F1149" t="s">
        <v>43</v>
      </c>
      <c r="G1149" t="s">
        <v>43</v>
      </c>
      <c r="H1149" t="s">
        <v>43</v>
      </c>
      <c r="I1149" t="s">
        <v>43</v>
      </c>
      <c r="J1149" t="s">
        <v>43</v>
      </c>
      <c r="K1149" t="s">
        <v>43</v>
      </c>
      <c r="L1149" t="s">
        <v>43</v>
      </c>
      <c r="M1149" t="s">
        <v>43</v>
      </c>
      <c r="N1149" t="s">
        <v>45</v>
      </c>
      <c r="O1149" t="s">
        <v>43</v>
      </c>
      <c r="P1149" t="s">
        <v>43</v>
      </c>
      <c r="Q1149" t="s">
        <v>43</v>
      </c>
      <c r="R1149" t="s">
        <v>43</v>
      </c>
      <c r="S1149" t="s">
        <v>43</v>
      </c>
      <c r="T1149" t="s">
        <v>43</v>
      </c>
      <c r="U1149" t="s">
        <v>43</v>
      </c>
      <c r="V1149" t="s">
        <v>43</v>
      </c>
      <c r="W1149" t="s">
        <v>43</v>
      </c>
      <c r="X1149" t="s">
        <v>43</v>
      </c>
      <c r="Y1149" t="s">
        <v>43</v>
      </c>
      <c r="Z1149" t="s">
        <v>43</v>
      </c>
      <c r="AA1149" t="s">
        <v>43</v>
      </c>
      <c r="AB1149" t="s">
        <v>43</v>
      </c>
      <c r="AC1149" t="s">
        <v>43</v>
      </c>
      <c r="AD1149" t="s">
        <v>43</v>
      </c>
      <c r="AE1149" t="s">
        <v>43</v>
      </c>
      <c r="AF1149" t="s">
        <v>43</v>
      </c>
      <c r="AG1149" t="s">
        <v>43</v>
      </c>
      <c r="AH1149" t="s">
        <v>43</v>
      </c>
      <c r="AI1149" t="s">
        <v>43</v>
      </c>
      <c r="AJ1149" t="s">
        <v>43</v>
      </c>
      <c r="AK1149" t="s">
        <v>43</v>
      </c>
      <c r="AL1149" t="s">
        <v>43</v>
      </c>
      <c r="AM1149" t="s">
        <v>43</v>
      </c>
      <c r="AN1149" t="s">
        <v>43</v>
      </c>
    </row>
    <row r="1150" spans="1:40" x14ac:dyDescent="0.3">
      <c r="A1150" s="1">
        <v>46210.866666666669</v>
      </c>
      <c r="B1150" t="s">
        <v>40</v>
      </c>
      <c r="C1150" t="s">
        <v>41</v>
      </c>
      <c r="D1150" s="1">
        <v>46210.869942129626</v>
      </c>
      <c r="E1150" t="s">
        <v>42</v>
      </c>
      <c r="F1150" t="s">
        <v>43</v>
      </c>
      <c r="G1150" t="s">
        <v>43</v>
      </c>
      <c r="H1150" t="s">
        <v>43</v>
      </c>
      <c r="I1150" t="s">
        <v>510</v>
      </c>
      <c r="J1150" t="s">
        <v>43</v>
      </c>
      <c r="K1150" t="s">
        <v>43</v>
      </c>
      <c r="L1150" t="s">
        <v>43</v>
      </c>
      <c r="M1150" t="s">
        <v>43</v>
      </c>
      <c r="N1150" t="s">
        <v>45</v>
      </c>
      <c r="O1150" t="s">
        <v>43</v>
      </c>
      <c r="P1150" t="s">
        <v>43</v>
      </c>
      <c r="Q1150" t="s">
        <v>43</v>
      </c>
      <c r="R1150" t="s">
        <v>43</v>
      </c>
      <c r="S1150" t="s">
        <v>43</v>
      </c>
      <c r="T1150" t="s">
        <v>43</v>
      </c>
      <c r="U1150" t="s">
        <v>43</v>
      </c>
      <c r="V1150" t="s">
        <v>43</v>
      </c>
      <c r="W1150" t="s">
        <v>43</v>
      </c>
      <c r="X1150" t="s">
        <v>43</v>
      </c>
      <c r="Y1150" t="s">
        <v>43</v>
      </c>
      <c r="Z1150" t="s">
        <v>43</v>
      </c>
      <c r="AA1150" t="s">
        <v>43</v>
      </c>
      <c r="AB1150" t="s">
        <v>43</v>
      </c>
      <c r="AC1150" t="s">
        <v>43</v>
      </c>
      <c r="AD1150" t="s">
        <v>43</v>
      </c>
      <c r="AE1150" t="s">
        <v>43</v>
      </c>
      <c r="AF1150" t="s">
        <v>43</v>
      </c>
      <c r="AG1150" t="s">
        <v>43</v>
      </c>
      <c r="AH1150" t="s">
        <v>43</v>
      </c>
      <c r="AI1150" t="s">
        <v>43</v>
      </c>
      <c r="AJ1150" t="s">
        <v>43</v>
      </c>
      <c r="AK1150" t="s">
        <v>43</v>
      </c>
      <c r="AL1150" t="s">
        <v>43</v>
      </c>
      <c r="AM1150" t="s">
        <v>43</v>
      </c>
      <c r="AN1150" t="str">
        <f>HYPERLINK("https://www.google.com/maps?q=11.05495262,79.06283569","Open Location")</f>
        <v>Open Location</v>
      </c>
    </row>
    <row r="1151" spans="1:40" x14ac:dyDescent="0.3">
      <c r="A1151" s="1">
        <v>46210.866550925923</v>
      </c>
      <c r="B1151" t="s">
        <v>40</v>
      </c>
      <c r="C1151" t="s">
        <v>41</v>
      </c>
      <c r="D1151" s="1">
        <v>46210.869502314818</v>
      </c>
      <c r="E1151" t="s">
        <v>42</v>
      </c>
      <c r="F1151" t="s">
        <v>43</v>
      </c>
      <c r="G1151" t="s">
        <v>43</v>
      </c>
      <c r="H1151" t="s">
        <v>43</v>
      </c>
      <c r="I1151" t="s">
        <v>511</v>
      </c>
      <c r="J1151" t="s">
        <v>43</v>
      </c>
      <c r="K1151" t="s">
        <v>43</v>
      </c>
      <c r="L1151" t="s">
        <v>43</v>
      </c>
      <c r="M1151" t="s">
        <v>43</v>
      </c>
      <c r="N1151" t="s">
        <v>45</v>
      </c>
      <c r="O1151" t="s">
        <v>43</v>
      </c>
      <c r="P1151" t="s">
        <v>43</v>
      </c>
      <c r="Q1151" t="s">
        <v>43</v>
      </c>
      <c r="R1151" t="s">
        <v>43</v>
      </c>
      <c r="S1151" t="s">
        <v>43</v>
      </c>
      <c r="T1151" t="s">
        <v>43</v>
      </c>
      <c r="U1151" t="s">
        <v>43</v>
      </c>
      <c r="V1151" t="s">
        <v>43</v>
      </c>
      <c r="W1151" t="s">
        <v>43</v>
      </c>
      <c r="X1151" t="s">
        <v>43</v>
      </c>
      <c r="Y1151" t="s">
        <v>43</v>
      </c>
      <c r="Z1151" t="s">
        <v>43</v>
      </c>
      <c r="AA1151" t="s">
        <v>43</v>
      </c>
      <c r="AB1151" t="s">
        <v>43</v>
      </c>
      <c r="AC1151" t="s">
        <v>43</v>
      </c>
      <c r="AD1151" t="s">
        <v>43</v>
      </c>
      <c r="AE1151" t="s">
        <v>43</v>
      </c>
      <c r="AF1151" t="s">
        <v>43</v>
      </c>
      <c r="AG1151" t="s">
        <v>43</v>
      </c>
      <c r="AH1151" t="s">
        <v>43</v>
      </c>
      <c r="AI1151" t="s">
        <v>43</v>
      </c>
      <c r="AJ1151" t="s">
        <v>43</v>
      </c>
      <c r="AK1151" t="s">
        <v>43</v>
      </c>
      <c r="AL1151" t="s">
        <v>43</v>
      </c>
      <c r="AM1151" t="s">
        <v>43</v>
      </c>
      <c r="AN1151" t="str">
        <f>HYPERLINK("https://www.google.com/maps?q=11.05494976,79.06282043","Open Location")</f>
        <v>Open Location</v>
      </c>
    </row>
    <row r="1152" spans="1:40" x14ac:dyDescent="0.3">
      <c r="A1152" s="1">
        <v>46210.866435185184</v>
      </c>
      <c r="B1152" t="s">
        <v>40</v>
      </c>
      <c r="C1152" t="s">
        <v>41</v>
      </c>
      <c r="D1152" s="1">
        <v>46210.86954861111</v>
      </c>
      <c r="E1152" t="s">
        <v>42</v>
      </c>
      <c r="F1152" t="s">
        <v>43</v>
      </c>
      <c r="G1152" t="s">
        <v>43</v>
      </c>
      <c r="H1152" t="s">
        <v>43</v>
      </c>
      <c r="I1152" t="s">
        <v>512</v>
      </c>
      <c r="J1152" t="s">
        <v>43</v>
      </c>
      <c r="K1152" t="s">
        <v>43</v>
      </c>
      <c r="L1152" t="s">
        <v>43</v>
      </c>
      <c r="M1152" t="s">
        <v>43</v>
      </c>
      <c r="N1152" t="s">
        <v>45</v>
      </c>
      <c r="O1152" t="s">
        <v>43</v>
      </c>
      <c r="P1152" t="s">
        <v>43</v>
      </c>
      <c r="Q1152" t="s">
        <v>43</v>
      </c>
      <c r="R1152" t="s">
        <v>43</v>
      </c>
      <c r="S1152" t="s">
        <v>43</v>
      </c>
      <c r="T1152" t="s">
        <v>43</v>
      </c>
      <c r="U1152" t="s">
        <v>43</v>
      </c>
      <c r="V1152" t="s">
        <v>43</v>
      </c>
      <c r="W1152" t="s">
        <v>43</v>
      </c>
      <c r="X1152" t="s">
        <v>43</v>
      </c>
      <c r="Y1152" t="s">
        <v>43</v>
      </c>
      <c r="Z1152" t="s">
        <v>43</v>
      </c>
      <c r="AA1152" t="s">
        <v>43</v>
      </c>
      <c r="AB1152" t="s">
        <v>43</v>
      </c>
      <c r="AC1152" t="s">
        <v>43</v>
      </c>
      <c r="AD1152" t="s">
        <v>43</v>
      </c>
      <c r="AE1152" t="s">
        <v>43</v>
      </c>
      <c r="AF1152" t="s">
        <v>43</v>
      </c>
      <c r="AG1152" t="s">
        <v>43</v>
      </c>
      <c r="AH1152" t="s">
        <v>43</v>
      </c>
      <c r="AI1152" t="s">
        <v>43</v>
      </c>
      <c r="AJ1152" t="s">
        <v>43</v>
      </c>
      <c r="AK1152" t="s">
        <v>43</v>
      </c>
      <c r="AL1152" t="s">
        <v>43</v>
      </c>
      <c r="AM1152" t="s">
        <v>43</v>
      </c>
      <c r="AN1152" t="str">
        <f>HYPERLINK("https://www.google.com/maps?q=11.05495739,79.06281281","Open Location")</f>
        <v>Open Location</v>
      </c>
    </row>
    <row r="1153" spans="1:40" x14ac:dyDescent="0.3">
      <c r="A1153" s="1">
        <v>46210.866319444445</v>
      </c>
      <c r="B1153" t="s">
        <v>40</v>
      </c>
      <c r="C1153" t="s">
        <v>41</v>
      </c>
      <c r="D1153" s="1">
        <v>46210.869166666664</v>
      </c>
      <c r="E1153" t="s">
        <v>42</v>
      </c>
      <c r="F1153" t="s">
        <v>43</v>
      </c>
      <c r="G1153" t="s">
        <v>43</v>
      </c>
      <c r="H1153" t="s">
        <v>43</v>
      </c>
      <c r="I1153" t="s">
        <v>513</v>
      </c>
      <c r="J1153" t="s">
        <v>43</v>
      </c>
      <c r="K1153" t="s">
        <v>43</v>
      </c>
      <c r="L1153" t="s">
        <v>43</v>
      </c>
      <c r="M1153" t="s">
        <v>43</v>
      </c>
      <c r="N1153" t="s">
        <v>45</v>
      </c>
      <c r="O1153" t="s">
        <v>43</v>
      </c>
      <c r="P1153" t="s">
        <v>43</v>
      </c>
      <c r="Q1153" t="s">
        <v>43</v>
      </c>
      <c r="R1153" t="s">
        <v>43</v>
      </c>
      <c r="S1153" t="s">
        <v>43</v>
      </c>
      <c r="T1153" t="s">
        <v>43</v>
      </c>
      <c r="U1153" t="s">
        <v>43</v>
      </c>
      <c r="V1153" t="s">
        <v>43</v>
      </c>
      <c r="W1153" t="s">
        <v>43</v>
      </c>
      <c r="X1153" t="s">
        <v>43</v>
      </c>
      <c r="Y1153" t="s">
        <v>43</v>
      </c>
      <c r="Z1153" t="s">
        <v>43</v>
      </c>
      <c r="AA1153" t="s">
        <v>43</v>
      </c>
      <c r="AB1153" t="s">
        <v>43</v>
      </c>
      <c r="AC1153" t="s">
        <v>43</v>
      </c>
      <c r="AD1153" t="s">
        <v>43</v>
      </c>
      <c r="AE1153" t="s">
        <v>43</v>
      </c>
      <c r="AF1153" t="s">
        <v>43</v>
      </c>
      <c r="AG1153" t="s">
        <v>43</v>
      </c>
      <c r="AH1153" t="s">
        <v>43</v>
      </c>
      <c r="AI1153" t="s">
        <v>43</v>
      </c>
      <c r="AJ1153" t="s">
        <v>43</v>
      </c>
      <c r="AK1153" t="s">
        <v>43</v>
      </c>
      <c r="AL1153" t="s">
        <v>43</v>
      </c>
      <c r="AM1153" t="s">
        <v>43</v>
      </c>
      <c r="AN1153" t="str">
        <f>HYPERLINK("https://www.google.com/maps?q=11.05495739,79.06280518","Open Location")</f>
        <v>Open Location</v>
      </c>
    </row>
    <row r="1154" spans="1:40" x14ac:dyDescent="0.3">
      <c r="A1154" s="1">
        <v>46210.866203703707</v>
      </c>
      <c r="B1154" t="s">
        <v>40</v>
      </c>
      <c r="C1154" t="s">
        <v>41</v>
      </c>
      <c r="D1154" s="1">
        <v>46210.868981481479</v>
      </c>
      <c r="E1154" t="s">
        <v>42</v>
      </c>
      <c r="F1154" t="s">
        <v>43</v>
      </c>
      <c r="G1154" t="s">
        <v>43</v>
      </c>
      <c r="H1154" t="s">
        <v>43</v>
      </c>
      <c r="I1154" t="s">
        <v>514</v>
      </c>
      <c r="J1154" t="s">
        <v>43</v>
      </c>
      <c r="K1154" t="s">
        <v>43</v>
      </c>
      <c r="L1154" t="s">
        <v>43</v>
      </c>
      <c r="M1154" t="s">
        <v>43</v>
      </c>
      <c r="N1154" t="s">
        <v>45</v>
      </c>
      <c r="O1154" t="s">
        <v>43</v>
      </c>
      <c r="P1154" t="s">
        <v>43</v>
      </c>
      <c r="Q1154" t="s">
        <v>43</v>
      </c>
      <c r="R1154" t="s">
        <v>43</v>
      </c>
      <c r="S1154" t="s">
        <v>43</v>
      </c>
      <c r="T1154" t="s">
        <v>43</v>
      </c>
      <c r="U1154" t="s">
        <v>43</v>
      </c>
      <c r="V1154" t="s">
        <v>43</v>
      </c>
      <c r="W1154" t="s">
        <v>43</v>
      </c>
      <c r="X1154" t="s">
        <v>43</v>
      </c>
      <c r="Y1154" t="s">
        <v>43</v>
      </c>
      <c r="Z1154" t="s">
        <v>43</v>
      </c>
      <c r="AA1154" t="s">
        <v>43</v>
      </c>
      <c r="AB1154" t="s">
        <v>43</v>
      </c>
      <c r="AC1154" t="s">
        <v>43</v>
      </c>
      <c r="AD1154" t="s">
        <v>43</v>
      </c>
      <c r="AE1154" t="s">
        <v>43</v>
      </c>
      <c r="AF1154" t="s">
        <v>43</v>
      </c>
      <c r="AG1154" t="s">
        <v>43</v>
      </c>
      <c r="AH1154" t="s">
        <v>43</v>
      </c>
      <c r="AI1154" t="s">
        <v>43</v>
      </c>
      <c r="AJ1154" t="s">
        <v>43</v>
      </c>
      <c r="AK1154" t="s">
        <v>43</v>
      </c>
      <c r="AL1154" t="s">
        <v>43</v>
      </c>
      <c r="AM1154" t="s">
        <v>43</v>
      </c>
      <c r="AN1154" t="str">
        <f>HYPERLINK("https://www.google.com/maps?q=11.05495453,79.06279755","Open Location")</f>
        <v>Open Location</v>
      </c>
    </row>
    <row r="1155" spans="1:40" x14ac:dyDescent="0.3">
      <c r="A1155" s="1">
        <v>46210.866087962961</v>
      </c>
      <c r="B1155" t="s">
        <v>40</v>
      </c>
      <c r="C1155" t="s">
        <v>41</v>
      </c>
      <c r="D1155" s="1">
        <v>46210.868888888886</v>
      </c>
      <c r="E1155" t="s">
        <v>42</v>
      </c>
      <c r="F1155" t="s">
        <v>43</v>
      </c>
      <c r="G1155" t="s">
        <v>43</v>
      </c>
      <c r="H1155" t="s">
        <v>43</v>
      </c>
      <c r="I1155" t="s">
        <v>43</v>
      </c>
      <c r="J1155" t="s">
        <v>43</v>
      </c>
      <c r="K1155" t="s">
        <v>43</v>
      </c>
      <c r="L1155" t="s">
        <v>43</v>
      </c>
      <c r="M1155" t="s">
        <v>43</v>
      </c>
      <c r="N1155" t="s">
        <v>45</v>
      </c>
      <c r="O1155" t="s">
        <v>43</v>
      </c>
      <c r="P1155" t="s">
        <v>43</v>
      </c>
      <c r="Q1155" t="s">
        <v>43</v>
      </c>
      <c r="R1155" t="s">
        <v>43</v>
      </c>
      <c r="S1155" t="s">
        <v>43</v>
      </c>
      <c r="T1155" t="s">
        <v>43</v>
      </c>
      <c r="U1155" t="s">
        <v>43</v>
      </c>
      <c r="V1155" t="s">
        <v>43</v>
      </c>
      <c r="W1155" t="s">
        <v>43</v>
      </c>
      <c r="X1155" t="s">
        <v>43</v>
      </c>
      <c r="Y1155" t="s">
        <v>43</v>
      </c>
      <c r="Z1155" t="s">
        <v>43</v>
      </c>
      <c r="AA1155" t="s">
        <v>43</v>
      </c>
      <c r="AB1155" t="s">
        <v>43</v>
      </c>
      <c r="AC1155" t="s">
        <v>43</v>
      </c>
      <c r="AD1155" t="s">
        <v>43</v>
      </c>
      <c r="AE1155" t="s">
        <v>43</v>
      </c>
      <c r="AF1155" t="s">
        <v>43</v>
      </c>
      <c r="AG1155" t="s">
        <v>43</v>
      </c>
      <c r="AH1155" t="s">
        <v>43</v>
      </c>
      <c r="AI1155" t="s">
        <v>43</v>
      </c>
      <c r="AJ1155" t="s">
        <v>43</v>
      </c>
      <c r="AK1155" t="s">
        <v>43</v>
      </c>
      <c r="AL1155" t="s">
        <v>43</v>
      </c>
      <c r="AM1155" t="s">
        <v>43</v>
      </c>
      <c r="AN1155" t="s">
        <v>43</v>
      </c>
    </row>
    <row r="1156" spans="1:40" x14ac:dyDescent="0.3">
      <c r="A1156" s="1">
        <v>46210.865972222222</v>
      </c>
      <c r="B1156" t="s">
        <v>40</v>
      </c>
      <c r="C1156" t="s">
        <v>41</v>
      </c>
      <c r="D1156" s="1">
        <v>46210.86886574074</v>
      </c>
      <c r="E1156" t="s">
        <v>42</v>
      </c>
      <c r="F1156" t="s">
        <v>43</v>
      </c>
      <c r="G1156" t="s">
        <v>43</v>
      </c>
      <c r="H1156" t="s">
        <v>43</v>
      </c>
      <c r="I1156" t="s">
        <v>515</v>
      </c>
      <c r="J1156" t="s">
        <v>43</v>
      </c>
      <c r="K1156" t="s">
        <v>43</v>
      </c>
      <c r="L1156" t="s">
        <v>43</v>
      </c>
      <c r="M1156" t="s">
        <v>43</v>
      </c>
      <c r="N1156" t="s">
        <v>45</v>
      </c>
      <c r="O1156" t="s">
        <v>43</v>
      </c>
      <c r="P1156" t="s">
        <v>43</v>
      </c>
      <c r="Q1156" t="s">
        <v>43</v>
      </c>
      <c r="R1156" t="s">
        <v>43</v>
      </c>
      <c r="S1156" t="s">
        <v>43</v>
      </c>
      <c r="T1156" t="s">
        <v>43</v>
      </c>
      <c r="U1156" t="s">
        <v>43</v>
      </c>
      <c r="V1156" t="s">
        <v>43</v>
      </c>
      <c r="W1156" t="s">
        <v>43</v>
      </c>
      <c r="X1156" t="s">
        <v>43</v>
      </c>
      <c r="Y1156" t="s">
        <v>43</v>
      </c>
      <c r="Z1156" t="s">
        <v>43</v>
      </c>
      <c r="AA1156" t="s">
        <v>43</v>
      </c>
      <c r="AB1156" t="s">
        <v>43</v>
      </c>
      <c r="AC1156" t="s">
        <v>43</v>
      </c>
      <c r="AD1156" t="s">
        <v>43</v>
      </c>
      <c r="AE1156" t="s">
        <v>43</v>
      </c>
      <c r="AF1156" t="s">
        <v>43</v>
      </c>
      <c r="AG1156" t="s">
        <v>43</v>
      </c>
      <c r="AH1156" t="s">
        <v>43</v>
      </c>
      <c r="AI1156" t="s">
        <v>43</v>
      </c>
      <c r="AJ1156" t="s">
        <v>43</v>
      </c>
      <c r="AK1156" t="s">
        <v>43</v>
      </c>
      <c r="AL1156" t="s">
        <v>43</v>
      </c>
      <c r="AM1156" t="s">
        <v>43</v>
      </c>
      <c r="AN1156" t="str">
        <f>HYPERLINK("https://www.google.com/maps?q=11.0549469,79.06280518","Open Location")</f>
        <v>Open Location</v>
      </c>
    </row>
    <row r="1157" spans="1:40" x14ac:dyDescent="0.3">
      <c r="A1157" s="1">
        <v>46210.865856481483</v>
      </c>
      <c r="B1157" t="s">
        <v>40</v>
      </c>
      <c r="C1157" t="s">
        <v>41</v>
      </c>
      <c r="D1157" s="1">
        <v>46210.868576388886</v>
      </c>
      <c r="E1157" t="s">
        <v>42</v>
      </c>
      <c r="F1157" t="s">
        <v>43</v>
      </c>
      <c r="G1157" t="s">
        <v>43</v>
      </c>
      <c r="H1157" t="s">
        <v>43</v>
      </c>
      <c r="I1157" t="s">
        <v>516</v>
      </c>
      <c r="J1157" t="s">
        <v>43</v>
      </c>
      <c r="K1157" t="s">
        <v>43</v>
      </c>
      <c r="L1157" t="s">
        <v>43</v>
      </c>
      <c r="M1157" t="s">
        <v>43</v>
      </c>
      <c r="N1157" t="s">
        <v>45</v>
      </c>
      <c r="O1157" t="s">
        <v>43</v>
      </c>
      <c r="P1157" t="s">
        <v>43</v>
      </c>
      <c r="Q1157" t="s">
        <v>43</v>
      </c>
      <c r="R1157" t="s">
        <v>43</v>
      </c>
      <c r="S1157" t="s">
        <v>43</v>
      </c>
      <c r="T1157" t="s">
        <v>43</v>
      </c>
      <c r="U1157" t="s">
        <v>43</v>
      </c>
      <c r="V1157" t="s">
        <v>43</v>
      </c>
      <c r="W1157" t="s">
        <v>43</v>
      </c>
      <c r="X1157" t="s">
        <v>43</v>
      </c>
      <c r="Y1157" t="s">
        <v>43</v>
      </c>
      <c r="Z1157" t="s">
        <v>43</v>
      </c>
      <c r="AA1157" t="s">
        <v>43</v>
      </c>
      <c r="AB1157" t="s">
        <v>43</v>
      </c>
      <c r="AC1157" t="s">
        <v>43</v>
      </c>
      <c r="AD1157" t="s">
        <v>43</v>
      </c>
      <c r="AE1157" t="s">
        <v>43</v>
      </c>
      <c r="AF1157" t="s">
        <v>43</v>
      </c>
      <c r="AG1157" t="s">
        <v>43</v>
      </c>
      <c r="AH1157" t="s">
        <v>43</v>
      </c>
      <c r="AI1157" t="s">
        <v>43</v>
      </c>
      <c r="AJ1157" t="s">
        <v>43</v>
      </c>
      <c r="AK1157" t="s">
        <v>43</v>
      </c>
      <c r="AL1157" t="s">
        <v>43</v>
      </c>
      <c r="AM1157" t="s">
        <v>43</v>
      </c>
      <c r="AN1157" t="str">
        <f>HYPERLINK("https://www.google.com/maps?q=11.05493832,79.06279755","Open Location")</f>
        <v>Open Location</v>
      </c>
    </row>
    <row r="1158" spans="1:40" x14ac:dyDescent="0.3">
      <c r="A1158" s="1">
        <v>46210.865740740737</v>
      </c>
      <c r="B1158" t="s">
        <v>40</v>
      </c>
      <c r="C1158" t="s">
        <v>41</v>
      </c>
      <c r="D1158" s="1">
        <v>46210.868587962963</v>
      </c>
      <c r="E1158" t="s">
        <v>42</v>
      </c>
      <c r="F1158" t="s">
        <v>43</v>
      </c>
      <c r="G1158" t="s">
        <v>43</v>
      </c>
      <c r="H1158" t="s">
        <v>43</v>
      </c>
      <c r="I1158" t="s">
        <v>517</v>
      </c>
      <c r="J1158" t="s">
        <v>43</v>
      </c>
      <c r="K1158" t="s">
        <v>43</v>
      </c>
      <c r="L1158" t="s">
        <v>43</v>
      </c>
      <c r="M1158" t="s">
        <v>43</v>
      </c>
      <c r="N1158" t="s">
        <v>45</v>
      </c>
      <c r="O1158" t="s">
        <v>43</v>
      </c>
      <c r="P1158" t="s">
        <v>43</v>
      </c>
      <c r="Q1158" t="s">
        <v>43</v>
      </c>
      <c r="R1158" t="s">
        <v>43</v>
      </c>
      <c r="S1158" t="s">
        <v>43</v>
      </c>
      <c r="T1158" t="s">
        <v>43</v>
      </c>
      <c r="U1158" t="s">
        <v>43</v>
      </c>
      <c r="V1158" t="s">
        <v>43</v>
      </c>
      <c r="W1158" t="s">
        <v>43</v>
      </c>
      <c r="X1158" t="s">
        <v>43</v>
      </c>
      <c r="Y1158" t="s">
        <v>43</v>
      </c>
      <c r="Z1158" t="s">
        <v>43</v>
      </c>
      <c r="AA1158" t="s">
        <v>43</v>
      </c>
      <c r="AB1158" t="s">
        <v>43</v>
      </c>
      <c r="AC1158" t="s">
        <v>43</v>
      </c>
      <c r="AD1158" t="s">
        <v>43</v>
      </c>
      <c r="AE1158" t="s">
        <v>43</v>
      </c>
      <c r="AF1158" t="s">
        <v>43</v>
      </c>
      <c r="AG1158" t="s">
        <v>43</v>
      </c>
      <c r="AH1158" t="s">
        <v>43</v>
      </c>
      <c r="AI1158" t="s">
        <v>43</v>
      </c>
      <c r="AJ1158" t="s">
        <v>43</v>
      </c>
      <c r="AK1158" t="s">
        <v>43</v>
      </c>
      <c r="AL1158" t="s">
        <v>43</v>
      </c>
      <c r="AM1158" t="s">
        <v>43</v>
      </c>
      <c r="AN1158" t="str">
        <f>HYPERLINK("https://www.google.com/maps?q=11.05493259,79.06282043","Open Location")</f>
        <v>Open Location</v>
      </c>
    </row>
    <row r="1159" spans="1:40" x14ac:dyDescent="0.3">
      <c r="A1159" s="1">
        <v>46210.865624999999</v>
      </c>
      <c r="B1159" t="s">
        <v>40</v>
      </c>
      <c r="C1159" t="s">
        <v>41</v>
      </c>
      <c r="D1159" s="1">
        <v>46210.868391203701</v>
      </c>
      <c r="E1159" t="s">
        <v>42</v>
      </c>
      <c r="F1159" t="s">
        <v>43</v>
      </c>
      <c r="G1159" t="s">
        <v>43</v>
      </c>
      <c r="H1159" t="s">
        <v>43</v>
      </c>
      <c r="I1159" t="s">
        <v>518</v>
      </c>
      <c r="J1159" t="s">
        <v>43</v>
      </c>
      <c r="K1159" t="s">
        <v>43</v>
      </c>
      <c r="L1159" t="s">
        <v>43</v>
      </c>
      <c r="M1159" t="s">
        <v>43</v>
      </c>
      <c r="N1159" t="s">
        <v>45</v>
      </c>
      <c r="O1159" t="s">
        <v>43</v>
      </c>
      <c r="P1159" t="s">
        <v>43</v>
      </c>
      <c r="Q1159" t="s">
        <v>43</v>
      </c>
      <c r="R1159" t="s">
        <v>43</v>
      </c>
      <c r="S1159" t="s">
        <v>43</v>
      </c>
      <c r="T1159" t="s">
        <v>43</v>
      </c>
      <c r="U1159" t="s">
        <v>43</v>
      </c>
      <c r="V1159" t="s">
        <v>43</v>
      </c>
      <c r="W1159" t="s">
        <v>43</v>
      </c>
      <c r="X1159" t="s">
        <v>43</v>
      </c>
      <c r="Y1159" t="s">
        <v>43</v>
      </c>
      <c r="Z1159" t="s">
        <v>43</v>
      </c>
      <c r="AA1159" t="s">
        <v>43</v>
      </c>
      <c r="AB1159" t="s">
        <v>43</v>
      </c>
      <c r="AC1159" t="s">
        <v>43</v>
      </c>
      <c r="AD1159" t="s">
        <v>43</v>
      </c>
      <c r="AE1159" t="s">
        <v>43</v>
      </c>
      <c r="AF1159" t="s">
        <v>43</v>
      </c>
      <c r="AG1159" t="s">
        <v>43</v>
      </c>
      <c r="AH1159" t="s">
        <v>43</v>
      </c>
      <c r="AI1159" t="s">
        <v>43</v>
      </c>
      <c r="AJ1159" t="s">
        <v>43</v>
      </c>
      <c r="AK1159" t="s">
        <v>43</v>
      </c>
      <c r="AL1159" t="s">
        <v>43</v>
      </c>
      <c r="AM1159" t="s">
        <v>43</v>
      </c>
      <c r="AN1159" t="str">
        <f>HYPERLINK("https://www.google.com/maps?q=11.05493259,79.06283569","Open Location")</f>
        <v>Open Location</v>
      </c>
    </row>
    <row r="1160" spans="1:40" x14ac:dyDescent="0.3">
      <c r="A1160" s="1">
        <v>46210.86550925926</v>
      </c>
      <c r="B1160" t="s">
        <v>40</v>
      </c>
      <c r="C1160" t="s">
        <v>41</v>
      </c>
      <c r="D1160" s="1">
        <v>46210.868761574071</v>
      </c>
      <c r="E1160" t="s">
        <v>42</v>
      </c>
      <c r="F1160" t="s">
        <v>43</v>
      </c>
      <c r="G1160" t="s">
        <v>43</v>
      </c>
      <c r="H1160" t="s">
        <v>43</v>
      </c>
      <c r="I1160" t="s">
        <v>519</v>
      </c>
      <c r="J1160" t="s">
        <v>43</v>
      </c>
      <c r="K1160" t="s">
        <v>43</v>
      </c>
      <c r="L1160" t="s">
        <v>43</v>
      </c>
      <c r="M1160" t="s">
        <v>43</v>
      </c>
      <c r="N1160" t="s">
        <v>45</v>
      </c>
      <c r="O1160" t="s">
        <v>43</v>
      </c>
      <c r="P1160" t="s">
        <v>43</v>
      </c>
      <c r="Q1160" t="s">
        <v>43</v>
      </c>
      <c r="R1160" t="s">
        <v>43</v>
      </c>
      <c r="S1160" t="s">
        <v>43</v>
      </c>
      <c r="T1160" t="s">
        <v>43</v>
      </c>
      <c r="U1160" t="s">
        <v>43</v>
      </c>
      <c r="V1160" t="s">
        <v>43</v>
      </c>
      <c r="W1160" t="s">
        <v>43</v>
      </c>
      <c r="X1160" t="s">
        <v>43</v>
      </c>
      <c r="Y1160" t="s">
        <v>43</v>
      </c>
      <c r="Z1160" t="s">
        <v>43</v>
      </c>
      <c r="AA1160" t="s">
        <v>43</v>
      </c>
      <c r="AB1160" t="s">
        <v>43</v>
      </c>
      <c r="AC1160" t="s">
        <v>43</v>
      </c>
      <c r="AD1160" t="s">
        <v>43</v>
      </c>
      <c r="AE1160" t="s">
        <v>43</v>
      </c>
      <c r="AF1160" t="s">
        <v>43</v>
      </c>
      <c r="AG1160" t="s">
        <v>43</v>
      </c>
      <c r="AH1160" t="s">
        <v>43</v>
      </c>
      <c r="AI1160" t="s">
        <v>43</v>
      </c>
      <c r="AJ1160" t="s">
        <v>43</v>
      </c>
      <c r="AK1160" t="s">
        <v>43</v>
      </c>
      <c r="AL1160" t="s">
        <v>43</v>
      </c>
      <c r="AM1160" t="s">
        <v>43</v>
      </c>
      <c r="AN1160" t="str">
        <f>HYPERLINK("https://www.google.com/maps?q=11.05492973,79.06283569","Open Location")</f>
        <v>Open Location</v>
      </c>
    </row>
    <row r="1161" spans="1:40" x14ac:dyDescent="0.3">
      <c r="A1161" s="1">
        <v>46210.865393518521</v>
      </c>
      <c r="B1161" t="s">
        <v>40</v>
      </c>
      <c r="C1161" t="s">
        <v>41</v>
      </c>
      <c r="D1161" s="1">
        <v>46210.868194444447</v>
      </c>
      <c r="E1161" t="s">
        <v>42</v>
      </c>
      <c r="F1161" t="s">
        <v>43</v>
      </c>
      <c r="G1161" t="s">
        <v>43</v>
      </c>
      <c r="H1161" t="s">
        <v>43</v>
      </c>
      <c r="I1161" t="s">
        <v>43</v>
      </c>
      <c r="J1161" t="s">
        <v>43</v>
      </c>
      <c r="K1161" t="s">
        <v>43</v>
      </c>
      <c r="L1161" t="s">
        <v>43</v>
      </c>
      <c r="M1161" t="s">
        <v>43</v>
      </c>
      <c r="N1161" t="s">
        <v>45</v>
      </c>
      <c r="O1161" t="s">
        <v>43</v>
      </c>
      <c r="P1161" t="s">
        <v>43</v>
      </c>
      <c r="Q1161" t="s">
        <v>43</v>
      </c>
      <c r="R1161" t="s">
        <v>43</v>
      </c>
      <c r="S1161" t="s">
        <v>43</v>
      </c>
      <c r="T1161" t="s">
        <v>43</v>
      </c>
      <c r="U1161" t="s">
        <v>43</v>
      </c>
      <c r="V1161" t="s">
        <v>43</v>
      </c>
      <c r="W1161" t="s">
        <v>43</v>
      </c>
      <c r="X1161" t="s">
        <v>43</v>
      </c>
      <c r="Y1161" t="s">
        <v>43</v>
      </c>
      <c r="Z1161" t="s">
        <v>43</v>
      </c>
      <c r="AA1161" t="s">
        <v>43</v>
      </c>
      <c r="AB1161" t="s">
        <v>43</v>
      </c>
      <c r="AC1161" t="s">
        <v>43</v>
      </c>
      <c r="AD1161" t="s">
        <v>43</v>
      </c>
      <c r="AE1161" t="s">
        <v>43</v>
      </c>
      <c r="AF1161" t="s">
        <v>43</v>
      </c>
      <c r="AG1161" t="s">
        <v>43</v>
      </c>
      <c r="AH1161" t="s">
        <v>43</v>
      </c>
      <c r="AI1161" t="s">
        <v>43</v>
      </c>
      <c r="AJ1161" t="s">
        <v>43</v>
      </c>
      <c r="AK1161" t="s">
        <v>43</v>
      </c>
      <c r="AL1161" t="s">
        <v>43</v>
      </c>
      <c r="AM1161" t="s">
        <v>43</v>
      </c>
      <c r="AN1161" t="s">
        <v>43</v>
      </c>
    </row>
    <row r="1162" spans="1:40" x14ac:dyDescent="0.3">
      <c r="A1162" s="1">
        <v>46210.865277777775</v>
      </c>
      <c r="B1162" t="s">
        <v>40</v>
      </c>
      <c r="C1162" t="s">
        <v>41</v>
      </c>
      <c r="D1162" s="1">
        <v>46210.868217592593</v>
      </c>
      <c r="E1162" t="s">
        <v>42</v>
      </c>
      <c r="F1162" t="s">
        <v>43</v>
      </c>
      <c r="G1162" t="s">
        <v>43</v>
      </c>
      <c r="H1162" t="s">
        <v>43</v>
      </c>
      <c r="I1162" t="s">
        <v>518</v>
      </c>
      <c r="J1162" t="s">
        <v>43</v>
      </c>
      <c r="K1162" t="s">
        <v>43</v>
      </c>
      <c r="L1162" t="s">
        <v>43</v>
      </c>
      <c r="M1162" t="s">
        <v>43</v>
      </c>
      <c r="N1162" t="s">
        <v>45</v>
      </c>
      <c r="O1162" t="s">
        <v>43</v>
      </c>
      <c r="P1162" t="s">
        <v>43</v>
      </c>
      <c r="Q1162" t="s">
        <v>43</v>
      </c>
      <c r="R1162" t="s">
        <v>43</v>
      </c>
      <c r="S1162" t="s">
        <v>43</v>
      </c>
      <c r="T1162" t="s">
        <v>43</v>
      </c>
      <c r="U1162" t="s">
        <v>43</v>
      </c>
      <c r="V1162" t="s">
        <v>43</v>
      </c>
      <c r="W1162" t="s">
        <v>43</v>
      </c>
      <c r="X1162" t="s">
        <v>43</v>
      </c>
      <c r="Y1162" t="s">
        <v>43</v>
      </c>
      <c r="Z1162" t="s">
        <v>43</v>
      </c>
      <c r="AA1162" t="s">
        <v>43</v>
      </c>
      <c r="AB1162" t="s">
        <v>43</v>
      </c>
      <c r="AC1162" t="s">
        <v>43</v>
      </c>
      <c r="AD1162" t="s">
        <v>43</v>
      </c>
      <c r="AE1162" t="s">
        <v>43</v>
      </c>
      <c r="AF1162" t="s">
        <v>43</v>
      </c>
      <c r="AG1162" t="s">
        <v>43</v>
      </c>
      <c r="AH1162" t="s">
        <v>43</v>
      </c>
      <c r="AI1162" t="s">
        <v>43</v>
      </c>
      <c r="AJ1162" t="s">
        <v>43</v>
      </c>
      <c r="AK1162" t="s">
        <v>43</v>
      </c>
      <c r="AL1162" t="s">
        <v>43</v>
      </c>
      <c r="AM1162" t="s">
        <v>43</v>
      </c>
      <c r="AN1162" t="str">
        <f>HYPERLINK("https://www.google.com/maps?q=11.05493259,79.06283569","Open Location")</f>
        <v>Open Location</v>
      </c>
    </row>
    <row r="1163" spans="1:40" x14ac:dyDescent="0.3">
      <c r="A1163" s="1">
        <v>46210.865162037036</v>
      </c>
      <c r="B1163" t="s">
        <v>40</v>
      </c>
      <c r="C1163" t="s">
        <v>41</v>
      </c>
      <c r="D1163" s="1">
        <v>46210.868009259262</v>
      </c>
      <c r="E1163" t="s">
        <v>42</v>
      </c>
      <c r="F1163" t="s">
        <v>43</v>
      </c>
      <c r="G1163" t="s">
        <v>43</v>
      </c>
      <c r="H1163" t="s">
        <v>43</v>
      </c>
      <c r="I1163" t="s">
        <v>518</v>
      </c>
      <c r="J1163" t="s">
        <v>43</v>
      </c>
      <c r="K1163" t="s">
        <v>43</v>
      </c>
      <c r="L1163" t="s">
        <v>43</v>
      </c>
      <c r="M1163" t="s">
        <v>43</v>
      </c>
      <c r="N1163" t="s">
        <v>45</v>
      </c>
      <c r="O1163" t="s">
        <v>43</v>
      </c>
      <c r="P1163" t="s">
        <v>43</v>
      </c>
      <c r="Q1163" t="s">
        <v>43</v>
      </c>
      <c r="R1163" t="s">
        <v>43</v>
      </c>
      <c r="S1163" t="s">
        <v>43</v>
      </c>
      <c r="T1163" t="s">
        <v>43</v>
      </c>
      <c r="U1163" t="s">
        <v>43</v>
      </c>
      <c r="V1163" t="s">
        <v>43</v>
      </c>
      <c r="W1163" t="s">
        <v>43</v>
      </c>
      <c r="X1163" t="s">
        <v>43</v>
      </c>
      <c r="Y1163" t="s">
        <v>43</v>
      </c>
      <c r="Z1163" t="s">
        <v>43</v>
      </c>
      <c r="AA1163" t="s">
        <v>43</v>
      </c>
      <c r="AB1163" t="s">
        <v>43</v>
      </c>
      <c r="AC1163" t="s">
        <v>43</v>
      </c>
      <c r="AD1163" t="s">
        <v>43</v>
      </c>
      <c r="AE1163" t="s">
        <v>43</v>
      </c>
      <c r="AF1163" t="s">
        <v>43</v>
      </c>
      <c r="AG1163" t="s">
        <v>43</v>
      </c>
      <c r="AH1163" t="s">
        <v>43</v>
      </c>
      <c r="AI1163" t="s">
        <v>43</v>
      </c>
      <c r="AJ1163" t="s">
        <v>43</v>
      </c>
      <c r="AK1163" t="s">
        <v>43</v>
      </c>
      <c r="AL1163" t="s">
        <v>43</v>
      </c>
      <c r="AM1163" t="s">
        <v>43</v>
      </c>
      <c r="AN1163" t="str">
        <f>HYPERLINK("https://www.google.com/maps?q=11.05493259,79.06283569","Open Location")</f>
        <v>Open Location</v>
      </c>
    </row>
    <row r="1164" spans="1:40" x14ac:dyDescent="0.3">
      <c r="A1164" s="1">
        <v>46210.865046296298</v>
      </c>
      <c r="B1164" t="s">
        <v>40</v>
      </c>
      <c r="C1164" t="s">
        <v>41</v>
      </c>
      <c r="D1164" s="1">
        <v>46210.868067129632</v>
      </c>
      <c r="E1164" t="s">
        <v>42</v>
      </c>
      <c r="F1164" t="s">
        <v>43</v>
      </c>
      <c r="G1164" t="s">
        <v>43</v>
      </c>
      <c r="H1164" t="s">
        <v>43</v>
      </c>
      <c r="I1164" t="s">
        <v>517</v>
      </c>
      <c r="J1164" t="s">
        <v>43</v>
      </c>
      <c r="K1164" t="s">
        <v>43</v>
      </c>
      <c r="L1164" t="s">
        <v>43</v>
      </c>
      <c r="M1164" t="s">
        <v>43</v>
      </c>
      <c r="N1164" t="s">
        <v>45</v>
      </c>
      <c r="O1164" t="s">
        <v>43</v>
      </c>
      <c r="P1164" t="s">
        <v>43</v>
      </c>
      <c r="Q1164" t="s">
        <v>43</v>
      </c>
      <c r="R1164" t="s">
        <v>43</v>
      </c>
      <c r="S1164" t="s">
        <v>43</v>
      </c>
      <c r="T1164" t="s">
        <v>43</v>
      </c>
      <c r="U1164" t="s">
        <v>43</v>
      </c>
      <c r="V1164" t="s">
        <v>43</v>
      </c>
      <c r="W1164" t="s">
        <v>43</v>
      </c>
      <c r="X1164" t="s">
        <v>43</v>
      </c>
      <c r="Y1164" t="s">
        <v>43</v>
      </c>
      <c r="Z1164" t="s">
        <v>43</v>
      </c>
      <c r="AA1164" t="s">
        <v>43</v>
      </c>
      <c r="AB1164" t="s">
        <v>43</v>
      </c>
      <c r="AC1164" t="s">
        <v>43</v>
      </c>
      <c r="AD1164" t="s">
        <v>43</v>
      </c>
      <c r="AE1164" t="s">
        <v>43</v>
      </c>
      <c r="AF1164" t="s">
        <v>43</v>
      </c>
      <c r="AG1164" t="s">
        <v>43</v>
      </c>
      <c r="AH1164" t="s">
        <v>43</v>
      </c>
      <c r="AI1164" t="s">
        <v>43</v>
      </c>
      <c r="AJ1164" t="s">
        <v>43</v>
      </c>
      <c r="AK1164" t="s">
        <v>43</v>
      </c>
      <c r="AL1164" t="s">
        <v>43</v>
      </c>
      <c r="AM1164" t="s">
        <v>43</v>
      </c>
      <c r="AN1164" t="str">
        <f>HYPERLINK("https://www.google.com/maps?q=11.05493259,79.06282043","Open Location")</f>
        <v>Open Location</v>
      </c>
    </row>
    <row r="1165" spans="1:40" x14ac:dyDescent="0.3">
      <c r="A1165" s="1">
        <v>46210.864930555559</v>
      </c>
      <c r="B1165" t="s">
        <v>40</v>
      </c>
      <c r="C1165" t="s">
        <v>41</v>
      </c>
      <c r="D1165" s="1">
        <v>46210.867777777778</v>
      </c>
      <c r="E1165" t="s">
        <v>42</v>
      </c>
      <c r="F1165" t="s">
        <v>43</v>
      </c>
      <c r="G1165" t="s">
        <v>43</v>
      </c>
      <c r="H1165" t="s">
        <v>43</v>
      </c>
      <c r="I1165" t="s">
        <v>520</v>
      </c>
      <c r="J1165" t="s">
        <v>43</v>
      </c>
      <c r="K1165" t="s">
        <v>43</v>
      </c>
      <c r="L1165" t="s">
        <v>43</v>
      </c>
      <c r="M1165" t="s">
        <v>43</v>
      </c>
      <c r="N1165" t="s">
        <v>45</v>
      </c>
      <c r="O1165" t="s">
        <v>43</v>
      </c>
      <c r="P1165" t="s">
        <v>43</v>
      </c>
      <c r="Q1165" t="s">
        <v>43</v>
      </c>
      <c r="R1165" t="s">
        <v>43</v>
      </c>
      <c r="S1165" t="s">
        <v>43</v>
      </c>
      <c r="T1165" t="s">
        <v>43</v>
      </c>
      <c r="U1165" t="s">
        <v>43</v>
      </c>
      <c r="V1165" t="s">
        <v>43</v>
      </c>
      <c r="W1165" t="s">
        <v>43</v>
      </c>
      <c r="X1165" t="s">
        <v>43</v>
      </c>
      <c r="Y1165" t="s">
        <v>43</v>
      </c>
      <c r="Z1165" t="s">
        <v>43</v>
      </c>
      <c r="AA1165" t="s">
        <v>43</v>
      </c>
      <c r="AB1165" t="s">
        <v>43</v>
      </c>
      <c r="AC1165" t="s">
        <v>43</v>
      </c>
      <c r="AD1165" t="s">
        <v>43</v>
      </c>
      <c r="AE1165" t="s">
        <v>43</v>
      </c>
      <c r="AF1165" t="s">
        <v>43</v>
      </c>
      <c r="AG1165" t="s">
        <v>43</v>
      </c>
      <c r="AH1165" t="s">
        <v>43</v>
      </c>
      <c r="AI1165" t="s">
        <v>43</v>
      </c>
      <c r="AJ1165" t="s">
        <v>43</v>
      </c>
      <c r="AK1165" t="s">
        <v>43</v>
      </c>
      <c r="AL1165" t="s">
        <v>43</v>
      </c>
      <c r="AM1165" t="s">
        <v>43</v>
      </c>
      <c r="AN1165" t="str">
        <f>HYPERLINK("https://www.google.com/maps?q=11.05493832,79.06282043","Open Location")</f>
        <v>Open Location</v>
      </c>
    </row>
    <row r="1166" spans="1:40" x14ac:dyDescent="0.3">
      <c r="A1166" s="1">
        <v>46210.864814814813</v>
      </c>
      <c r="B1166" t="s">
        <v>40</v>
      </c>
      <c r="C1166" t="s">
        <v>41</v>
      </c>
      <c r="D1166" s="1">
        <v>46210.867511574077</v>
      </c>
      <c r="E1166" t="s">
        <v>42</v>
      </c>
      <c r="F1166" t="s">
        <v>43</v>
      </c>
      <c r="G1166" t="s">
        <v>43</v>
      </c>
      <c r="H1166" t="s">
        <v>43</v>
      </c>
      <c r="I1166" t="s">
        <v>43</v>
      </c>
      <c r="J1166" t="s">
        <v>43</v>
      </c>
      <c r="K1166" t="s">
        <v>43</v>
      </c>
      <c r="L1166" t="s">
        <v>43</v>
      </c>
      <c r="M1166" t="s">
        <v>43</v>
      </c>
      <c r="N1166" t="s">
        <v>45</v>
      </c>
      <c r="O1166" t="s">
        <v>43</v>
      </c>
      <c r="P1166" t="s">
        <v>43</v>
      </c>
      <c r="Q1166" t="s">
        <v>43</v>
      </c>
      <c r="R1166" t="s">
        <v>43</v>
      </c>
      <c r="S1166" t="s">
        <v>43</v>
      </c>
      <c r="T1166" t="s">
        <v>43</v>
      </c>
      <c r="U1166" t="s">
        <v>43</v>
      </c>
      <c r="V1166" t="s">
        <v>43</v>
      </c>
      <c r="W1166" t="s">
        <v>43</v>
      </c>
      <c r="X1166" t="s">
        <v>43</v>
      </c>
      <c r="Y1166" t="s">
        <v>43</v>
      </c>
      <c r="Z1166" t="s">
        <v>43</v>
      </c>
      <c r="AA1166" t="s">
        <v>43</v>
      </c>
      <c r="AB1166" t="s">
        <v>43</v>
      </c>
      <c r="AC1166" t="s">
        <v>43</v>
      </c>
      <c r="AD1166" t="s">
        <v>43</v>
      </c>
      <c r="AE1166" t="s">
        <v>43</v>
      </c>
      <c r="AF1166" t="s">
        <v>43</v>
      </c>
      <c r="AG1166" t="s">
        <v>43</v>
      </c>
      <c r="AH1166" t="s">
        <v>43</v>
      </c>
      <c r="AI1166" t="s">
        <v>43</v>
      </c>
      <c r="AJ1166" t="s">
        <v>43</v>
      </c>
      <c r="AK1166" t="s">
        <v>43</v>
      </c>
      <c r="AL1166" t="s">
        <v>43</v>
      </c>
      <c r="AM1166" t="s">
        <v>43</v>
      </c>
      <c r="AN1166" t="s">
        <v>43</v>
      </c>
    </row>
    <row r="1167" spans="1:40" x14ac:dyDescent="0.3">
      <c r="A1167" s="1">
        <v>46210.864699074074</v>
      </c>
      <c r="B1167" t="s">
        <v>40</v>
      </c>
      <c r="C1167" t="s">
        <v>41</v>
      </c>
      <c r="D1167" s="1">
        <v>46210.867696759262</v>
      </c>
      <c r="E1167" t="s">
        <v>42</v>
      </c>
      <c r="F1167" t="s">
        <v>43</v>
      </c>
      <c r="G1167" t="s">
        <v>43</v>
      </c>
      <c r="H1167" t="s">
        <v>43</v>
      </c>
      <c r="I1167" t="s">
        <v>521</v>
      </c>
      <c r="J1167" t="s">
        <v>43</v>
      </c>
      <c r="K1167" t="s">
        <v>43</v>
      </c>
      <c r="L1167" t="s">
        <v>43</v>
      </c>
      <c r="M1167" t="s">
        <v>43</v>
      </c>
      <c r="N1167" t="s">
        <v>45</v>
      </c>
      <c r="O1167" t="s">
        <v>43</v>
      </c>
      <c r="P1167" t="s">
        <v>43</v>
      </c>
      <c r="Q1167" t="s">
        <v>43</v>
      </c>
      <c r="R1167" t="s">
        <v>43</v>
      </c>
      <c r="S1167" t="s">
        <v>43</v>
      </c>
      <c r="T1167" t="s">
        <v>43</v>
      </c>
      <c r="U1167" t="s">
        <v>43</v>
      </c>
      <c r="V1167" t="s">
        <v>43</v>
      </c>
      <c r="W1167" t="s">
        <v>43</v>
      </c>
      <c r="X1167" t="s">
        <v>43</v>
      </c>
      <c r="Y1167" t="s">
        <v>43</v>
      </c>
      <c r="Z1167" t="s">
        <v>43</v>
      </c>
      <c r="AA1167" t="s">
        <v>43</v>
      </c>
      <c r="AB1167" t="s">
        <v>43</v>
      </c>
      <c r="AC1167" t="s">
        <v>43</v>
      </c>
      <c r="AD1167" t="s">
        <v>43</v>
      </c>
      <c r="AE1167" t="s">
        <v>43</v>
      </c>
      <c r="AF1167" t="s">
        <v>43</v>
      </c>
      <c r="AG1167" t="s">
        <v>43</v>
      </c>
      <c r="AH1167" t="s">
        <v>43</v>
      </c>
      <c r="AI1167" t="s">
        <v>43</v>
      </c>
      <c r="AJ1167" t="s">
        <v>43</v>
      </c>
      <c r="AK1167" t="s">
        <v>43</v>
      </c>
      <c r="AL1167" t="s">
        <v>43</v>
      </c>
      <c r="AM1167" t="s">
        <v>43</v>
      </c>
      <c r="AN1167" t="str">
        <f>HYPERLINK("https://www.google.com/maps?q=11.05494118,79.06282043","Open Location")</f>
        <v>Open Location</v>
      </c>
    </row>
    <row r="1168" spans="1:40" x14ac:dyDescent="0.3">
      <c r="A1168" s="1">
        <v>46210.864583333336</v>
      </c>
      <c r="B1168" t="s">
        <v>40</v>
      </c>
      <c r="C1168" t="s">
        <v>41</v>
      </c>
      <c r="D1168" s="1">
        <v>46210.867696759262</v>
      </c>
      <c r="E1168" t="s">
        <v>42</v>
      </c>
      <c r="F1168" t="s">
        <v>43</v>
      </c>
      <c r="G1168" t="s">
        <v>43</v>
      </c>
      <c r="H1168" t="s">
        <v>43</v>
      </c>
      <c r="I1168" t="s">
        <v>522</v>
      </c>
      <c r="J1168" t="s">
        <v>43</v>
      </c>
      <c r="K1168" t="s">
        <v>43</v>
      </c>
      <c r="L1168" t="s">
        <v>43</v>
      </c>
      <c r="M1168" t="s">
        <v>43</v>
      </c>
      <c r="N1168" t="s">
        <v>45</v>
      </c>
      <c r="O1168" t="s">
        <v>43</v>
      </c>
      <c r="P1168" t="s">
        <v>43</v>
      </c>
      <c r="Q1168" t="s">
        <v>43</v>
      </c>
      <c r="R1168" t="s">
        <v>43</v>
      </c>
      <c r="S1168" t="s">
        <v>43</v>
      </c>
      <c r="T1168" t="s">
        <v>43</v>
      </c>
      <c r="U1168" t="s">
        <v>43</v>
      </c>
      <c r="V1168" t="s">
        <v>43</v>
      </c>
      <c r="W1168" t="s">
        <v>43</v>
      </c>
      <c r="X1168" t="s">
        <v>43</v>
      </c>
      <c r="Y1168" t="s">
        <v>43</v>
      </c>
      <c r="Z1168" t="s">
        <v>43</v>
      </c>
      <c r="AA1168" t="s">
        <v>43</v>
      </c>
      <c r="AB1168" t="s">
        <v>43</v>
      </c>
      <c r="AC1168" t="s">
        <v>43</v>
      </c>
      <c r="AD1168" t="s">
        <v>43</v>
      </c>
      <c r="AE1168" t="s">
        <v>43</v>
      </c>
      <c r="AF1168" t="s">
        <v>43</v>
      </c>
      <c r="AG1168" t="s">
        <v>43</v>
      </c>
      <c r="AH1168" t="s">
        <v>43</v>
      </c>
      <c r="AI1168" t="s">
        <v>43</v>
      </c>
      <c r="AJ1168" t="s">
        <v>43</v>
      </c>
      <c r="AK1168" t="s">
        <v>43</v>
      </c>
      <c r="AL1168" t="s">
        <v>43</v>
      </c>
      <c r="AM1168" t="s">
        <v>43</v>
      </c>
      <c r="AN1168" t="str">
        <f>HYPERLINK("https://www.google.com/maps?q=11.05494022,79.06281281","Open Location")</f>
        <v>Open Location</v>
      </c>
    </row>
    <row r="1169" spans="1:40" x14ac:dyDescent="0.3">
      <c r="A1169" s="1">
        <v>46210.86446759259</v>
      </c>
      <c r="B1169" t="s">
        <v>40</v>
      </c>
      <c r="C1169" t="s">
        <v>41</v>
      </c>
      <c r="D1169" s="1">
        <v>46210.867199074077</v>
      </c>
      <c r="E1169" t="s">
        <v>42</v>
      </c>
      <c r="F1169" t="s">
        <v>43</v>
      </c>
      <c r="G1169" t="s">
        <v>43</v>
      </c>
      <c r="H1169" t="s">
        <v>43</v>
      </c>
      <c r="I1169" t="s">
        <v>523</v>
      </c>
      <c r="J1169" t="s">
        <v>43</v>
      </c>
      <c r="K1169" t="s">
        <v>43</v>
      </c>
      <c r="L1169" t="s">
        <v>43</v>
      </c>
      <c r="M1169" t="s">
        <v>43</v>
      </c>
      <c r="N1169" t="s">
        <v>45</v>
      </c>
      <c r="O1169" t="s">
        <v>43</v>
      </c>
      <c r="P1169" t="s">
        <v>43</v>
      </c>
      <c r="Q1169" t="s">
        <v>43</v>
      </c>
      <c r="R1169" t="s">
        <v>43</v>
      </c>
      <c r="S1169" t="s">
        <v>43</v>
      </c>
      <c r="T1169" t="s">
        <v>43</v>
      </c>
      <c r="U1169" t="s">
        <v>43</v>
      </c>
      <c r="V1169" t="s">
        <v>43</v>
      </c>
      <c r="W1169" t="s">
        <v>43</v>
      </c>
      <c r="X1169" t="s">
        <v>43</v>
      </c>
      <c r="Y1169" t="s">
        <v>43</v>
      </c>
      <c r="Z1169" t="s">
        <v>43</v>
      </c>
      <c r="AA1169" t="s">
        <v>43</v>
      </c>
      <c r="AB1169" t="s">
        <v>43</v>
      </c>
      <c r="AC1169" t="s">
        <v>43</v>
      </c>
      <c r="AD1169" t="s">
        <v>43</v>
      </c>
      <c r="AE1169" t="s">
        <v>43</v>
      </c>
      <c r="AF1169" t="s">
        <v>43</v>
      </c>
      <c r="AG1169" t="s">
        <v>43</v>
      </c>
      <c r="AH1169" t="s">
        <v>43</v>
      </c>
      <c r="AI1169" t="s">
        <v>43</v>
      </c>
      <c r="AJ1169" t="s">
        <v>43</v>
      </c>
      <c r="AK1169" t="s">
        <v>43</v>
      </c>
      <c r="AL1169" t="s">
        <v>43</v>
      </c>
      <c r="AM1169" t="s">
        <v>43</v>
      </c>
      <c r="AN1169" t="str">
        <f>HYPERLINK("https://www.google.com/maps?q=11.05494499,79.06281281","Open Location")</f>
        <v>Open Location</v>
      </c>
    </row>
    <row r="1170" spans="1:40" x14ac:dyDescent="0.3">
      <c r="A1170" s="1">
        <v>46210.864351851851</v>
      </c>
      <c r="B1170" t="s">
        <v>40</v>
      </c>
      <c r="C1170" t="s">
        <v>41</v>
      </c>
      <c r="D1170" s="1">
        <v>46210.867384259262</v>
      </c>
      <c r="E1170" t="s">
        <v>42</v>
      </c>
      <c r="F1170" t="s">
        <v>43</v>
      </c>
      <c r="G1170" t="s">
        <v>43</v>
      </c>
      <c r="H1170" t="s">
        <v>43</v>
      </c>
      <c r="I1170" t="s">
        <v>524</v>
      </c>
      <c r="J1170" t="s">
        <v>43</v>
      </c>
      <c r="K1170" t="s">
        <v>43</v>
      </c>
      <c r="L1170" t="s">
        <v>43</v>
      </c>
      <c r="M1170" t="s">
        <v>43</v>
      </c>
      <c r="N1170" t="s">
        <v>45</v>
      </c>
      <c r="O1170" t="s">
        <v>43</v>
      </c>
      <c r="P1170" t="s">
        <v>43</v>
      </c>
      <c r="Q1170" t="s">
        <v>43</v>
      </c>
      <c r="R1170" t="s">
        <v>43</v>
      </c>
      <c r="S1170" t="s">
        <v>43</v>
      </c>
      <c r="T1170" t="s">
        <v>43</v>
      </c>
      <c r="U1170" t="s">
        <v>43</v>
      </c>
      <c r="V1170" t="s">
        <v>43</v>
      </c>
      <c r="W1170" t="s">
        <v>43</v>
      </c>
      <c r="X1170" t="s">
        <v>43</v>
      </c>
      <c r="Y1170" t="s">
        <v>43</v>
      </c>
      <c r="Z1170" t="s">
        <v>43</v>
      </c>
      <c r="AA1170" t="s">
        <v>43</v>
      </c>
      <c r="AB1170" t="s">
        <v>43</v>
      </c>
      <c r="AC1170" t="s">
        <v>43</v>
      </c>
      <c r="AD1170" t="s">
        <v>43</v>
      </c>
      <c r="AE1170" t="s">
        <v>43</v>
      </c>
      <c r="AF1170" t="s">
        <v>43</v>
      </c>
      <c r="AG1170" t="s">
        <v>43</v>
      </c>
      <c r="AH1170" t="s">
        <v>43</v>
      </c>
      <c r="AI1170" t="s">
        <v>43</v>
      </c>
      <c r="AJ1170" t="s">
        <v>43</v>
      </c>
      <c r="AK1170" t="s">
        <v>43</v>
      </c>
      <c r="AL1170" t="s">
        <v>43</v>
      </c>
      <c r="AM1170" t="s">
        <v>43</v>
      </c>
      <c r="AN1170" t="str">
        <f>HYPERLINK("https://www.google.com/maps?q=11.05494308,79.06281281","Open Location")</f>
        <v>Open Location</v>
      </c>
    </row>
    <row r="1171" spans="1:40" x14ac:dyDescent="0.3">
      <c r="A1171" s="1">
        <v>46210.864236111112</v>
      </c>
      <c r="B1171" t="s">
        <v>40</v>
      </c>
      <c r="C1171" t="s">
        <v>41</v>
      </c>
      <c r="D1171" s="1">
        <v>46210.867013888892</v>
      </c>
      <c r="E1171" t="s">
        <v>42</v>
      </c>
      <c r="F1171" t="s">
        <v>43</v>
      </c>
      <c r="G1171" t="s">
        <v>43</v>
      </c>
      <c r="H1171" t="s">
        <v>43</v>
      </c>
      <c r="I1171" t="s">
        <v>524</v>
      </c>
      <c r="J1171" t="s">
        <v>43</v>
      </c>
      <c r="K1171" t="s">
        <v>43</v>
      </c>
      <c r="L1171" t="s">
        <v>43</v>
      </c>
      <c r="M1171" t="s">
        <v>43</v>
      </c>
      <c r="N1171" t="s">
        <v>45</v>
      </c>
      <c r="O1171" t="s">
        <v>43</v>
      </c>
      <c r="P1171" t="s">
        <v>43</v>
      </c>
      <c r="Q1171" t="s">
        <v>43</v>
      </c>
      <c r="R1171" t="s">
        <v>43</v>
      </c>
      <c r="S1171" t="s">
        <v>43</v>
      </c>
      <c r="T1171" t="s">
        <v>43</v>
      </c>
      <c r="U1171" t="s">
        <v>43</v>
      </c>
      <c r="V1171" t="s">
        <v>43</v>
      </c>
      <c r="W1171" t="s">
        <v>43</v>
      </c>
      <c r="X1171" t="s">
        <v>43</v>
      </c>
      <c r="Y1171" t="s">
        <v>43</v>
      </c>
      <c r="Z1171" t="s">
        <v>43</v>
      </c>
      <c r="AA1171" t="s">
        <v>43</v>
      </c>
      <c r="AB1171" t="s">
        <v>43</v>
      </c>
      <c r="AC1171" t="s">
        <v>43</v>
      </c>
      <c r="AD1171" t="s">
        <v>43</v>
      </c>
      <c r="AE1171" t="s">
        <v>43</v>
      </c>
      <c r="AF1171" t="s">
        <v>43</v>
      </c>
      <c r="AG1171" t="s">
        <v>43</v>
      </c>
      <c r="AH1171" t="s">
        <v>43</v>
      </c>
      <c r="AI1171" t="s">
        <v>43</v>
      </c>
      <c r="AJ1171" t="s">
        <v>43</v>
      </c>
      <c r="AK1171" t="s">
        <v>43</v>
      </c>
      <c r="AL1171" t="s">
        <v>43</v>
      </c>
      <c r="AM1171" t="s">
        <v>43</v>
      </c>
      <c r="AN1171" t="str">
        <f>HYPERLINK("https://www.google.com/maps?q=11.05494308,79.06281281","Open Location")</f>
        <v>Open Location</v>
      </c>
    </row>
    <row r="1172" spans="1:40" x14ac:dyDescent="0.3">
      <c r="A1172" s="1">
        <v>46210.864120370374</v>
      </c>
      <c r="B1172" t="s">
        <v>40</v>
      </c>
      <c r="C1172" t="s">
        <v>41</v>
      </c>
      <c r="D1172" s="1">
        <v>46210.867083333331</v>
      </c>
      <c r="E1172" t="s">
        <v>42</v>
      </c>
      <c r="F1172" t="s">
        <v>43</v>
      </c>
      <c r="G1172" t="s">
        <v>43</v>
      </c>
      <c r="H1172" t="s">
        <v>43</v>
      </c>
      <c r="I1172" t="s">
        <v>43</v>
      </c>
      <c r="J1172" t="s">
        <v>43</v>
      </c>
      <c r="K1172" t="s">
        <v>43</v>
      </c>
      <c r="L1172" t="s">
        <v>43</v>
      </c>
      <c r="M1172" t="s">
        <v>43</v>
      </c>
      <c r="N1172" t="s">
        <v>45</v>
      </c>
      <c r="O1172" t="s">
        <v>43</v>
      </c>
      <c r="P1172" t="s">
        <v>43</v>
      </c>
      <c r="Q1172" t="s">
        <v>43</v>
      </c>
      <c r="R1172" t="s">
        <v>43</v>
      </c>
      <c r="S1172" t="s">
        <v>43</v>
      </c>
      <c r="T1172" t="s">
        <v>43</v>
      </c>
      <c r="U1172" t="s">
        <v>43</v>
      </c>
      <c r="V1172" t="s">
        <v>43</v>
      </c>
      <c r="W1172" t="s">
        <v>43</v>
      </c>
      <c r="X1172" t="s">
        <v>43</v>
      </c>
      <c r="Y1172" t="s">
        <v>43</v>
      </c>
      <c r="Z1172" t="s">
        <v>43</v>
      </c>
      <c r="AA1172" t="s">
        <v>43</v>
      </c>
      <c r="AB1172" t="s">
        <v>43</v>
      </c>
      <c r="AC1172" t="s">
        <v>43</v>
      </c>
      <c r="AD1172" t="s">
        <v>43</v>
      </c>
      <c r="AE1172" t="s">
        <v>43</v>
      </c>
      <c r="AF1172" t="s">
        <v>43</v>
      </c>
      <c r="AG1172" t="s">
        <v>43</v>
      </c>
      <c r="AH1172" t="s">
        <v>43</v>
      </c>
      <c r="AI1172" t="s">
        <v>43</v>
      </c>
      <c r="AJ1172" t="s">
        <v>43</v>
      </c>
      <c r="AK1172" t="s">
        <v>43</v>
      </c>
      <c r="AL1172" t="s">
        <v>43</v>
      </c>
      <c r="AM1172" t="s">
        <v>43</v>
      </c>
      <c r="AN1172" t="s">
        <v>43</v>
      </c>
    </row>
    <row r="1173" spans="1:40" x14ac:dyDescent="0.3">
      <c r="A1173" s="1">
        <v>46210.864004629628</v>
      </c>
      <c r="B1173" t="s">
        <v>40</v>
      </c>
      <c r="C1173" t="s">
        <v>41</v>
      </c>
      <c r="D1173" s="1">
        <v>46210.866793981484</v>
      </c>
      <c r="E1173" t="s">
        <v>42</v>
      </c>
      <c r="F1173" t="s">
        <v>43</v>
      </c>
      <c r="G1173" t="s">
        <v>43</v>
      </c>
      <c r="H1173" t="s">
        <v>43</v>
      </c>
      <c r="I1173" t="s">
        <v>492</v>
      </c>
      <c r="J1173" t="s">
        <v>43</v>
      </c>
      <c r="K1173" t="s">
        <v>43</v>
      </c>
      <c r="L1173" t="s">
        <v>43</v>
      </c>
      <c r="M1173" t="s">
        <v>43</v>
      </c>
      <c r="N1173" t="s">
        <v>45</v>
      </c>
      <c r="O1173" t="s">
        <v>43</v>
      </c>
      <c r="P1173" t="s">
        <v>43</v>
      </c>
      <c r="Q1173" t="s">
        <v>43</v>
      </c>
      <c r="R1173" t="s">
        <v>43</v>
      </c>
      <c r="S1173" t="s">
        <v>43</v>
      </c>
      <c r="T1173" t="s">
        <v>43</v>
      </c>
      <c r="U1173" t="s">
        <v>43</v>
      </c>
      <c r="V1173" t="s">
        <v>43</v>
      </c>
      <c r="W1173" t="s">
        <v>43</v>
      </c>
      <c r="X1173" t="s">
        <v>43</v>
      </c>
      <c r="Y1173" t="s">
        <v>43</v>
      </c>
      <c r="Z1173" t="s">
        <v>43</v>
      </c>
      <c r="AA1173" t="s">
        <v>43</v>
      </c>
      <c r="AB1173" t="s">
        <v>43</v>
      </c>
      <c r="AC1173" t="s">
        <v>43</v>
      </c>
      <c r="AD1173" t="s">
        <v>43</v>
      </c>
      <c r="AE1173" t="s">
        <v>43</v>
      </c>
      <c r="AF1173" t="s">
        <v>43</v>
      </c>
      <c r="AG1173" t="s">
        <v>43</v>
      </c>
      <c r="AH1173" t="s">
        <v>43</v>
      </c>
      <c r="AI1173" t="s">
        <v>43</v>
      </c>
      <c r="AJ1173" t="s">
        <v>43</v>
      </c>
      <c r="AK1173" t="s">
        <v>43</v>
      </c>
      <c r="AL1173" t="s">
        <v>43</v>
      </c>
      <c r="AM1173" t="s">
        <v>43</v>
      </c>
      <c r="AN1173" t="str">
        <f>HYPERLINK("https://www.google.com/maps?q=11.05495167,79.06281281","Open Location")</f>
        <v>Open Location</v>
      </c>
    </row>
    <row r="1174" spans="1:40" x14ac:dyDescent="0.3">
      <c r="A1174" s="1">
        <v>46210.863888888889</v>
      </c>
      <c r="B1174" t="s">
        <v>40</v>
      </c>
      <c r="C1174" t="s">
        <v>41</v>
      </c>
      <c r="D1174" s="1">
        <v>46210.86681712963</v>
      </c>
      <c r="E1174" t="s">
        <v>42</v>
      </c>
      <c r="F1174" t="s">
        <v>43</v>
      </c>
      <c r="G1174" t="s">
        <v>43</v>
      </c>
      <c r="H1174" t="s">
        <v>43</v>
      </c>
      <c r="I1174" t="s">
        <v>525</v>
      </c>
      <c r="J1174" t="s">
        <v>43</v>
      </c>
      <c r="K1174" t="s">
        <v>43</v>
      </c>
      <c r="L1174" t="s">
        <v>43</v>
      </c>
      <c r="M1174" t="s">
        <v>43</v>
      </c>
      <c r="N1174" t="s">
        <v>45</v>
      </c>
      <c r="O1174" t="s">
        <v>43</v>
      </c>
      <c r="P1174" t="s">
        <v>43</v>
      </c>
      <c r="Q1174" t="s">
        <v>43</v>
      </c>
      <c r="R1174" t="s">
        <v>43</v>
      </c>
      <c r="S1174" t="s">
        <v>43</v>
      </c>
      <c r="T1174" t="s">
        <v>43</v>
      </c>
      <c r="U1174" t="s">
        <v>43</v>
      </c>
      <c r="V1174" t="s">
        <v>43</v>
      </c>
      <c r="W1174" t="s">
        <v>43</v>
      </c>
      <c r="X1174" t="s">
        <v>43</v>
      </c>
      <c r="Y1174" t="s">
        <v>43</v>
      </c>
      <c r="Z1174" t="s">
        <v>43</v>
      </c>
      <c r="AA1174" t="s">
        <v>43</v>
      </c>
      <c r="AB1174" t="s">
        <v>43</v>
      </c>
      <c r="AC1174" t="s">
        <v>43</v>
      </c>
      <c r="AD1174" t="s">
        <v>43</v>
      </c>
      <c r="AE1174" t="s">
        <v>43</v>
      </c>
      <c r="AF1174" t="s">
        <v>43</v>
      </c>
      <c r="AG1174" t="s">
        <v>43</v>
      </c>
      <c r="AH1174" t="s">
        <v>43</v>
      </c>
      <c r="AI1174" t="s">
        <v>43</v>
      </c>
      <c r="AJ1174" t="s">
        <v>43</v>
      </c>
      <c r="AK1174" t="s">
        <v>43</v>
      </c>
      <c r="AL1174" t="s">
        <v>43</v>
      </c>
      <c r="AM1174" t="s">
        <v>43</v>
      </c>
      <c r="AN1174" t="str">
        <f>HYPERLINK("https://www.google.com/maps?q=11.05496693,79.06280518","Open Location")</f>
        <v>Open Location</v>
      </c>
    </row>
    <row r="1175" spans="1:40" x14ac:dyDescent="0.3">
      <c r="A1175" s="1">
        <v>46210.86377314815</v>
      </c>
      <c r="B1175" t="s">
        <v>40</v>
      </c>
      <c r="C1175" t="s">
        <v>41</v>
      </c>
      <c r="D1175" s="1">
        <v>46210.866643518515</v>
      </c>
      <c r="E1175" t="s">
        <v>42</v>
      </c>
      <c r="F1175" t="s">
        <v>43</v>
      </c>
      <c r="G1175" t="s">
        <v>43</v>
      </c>
      <c r="H1175" t="s">
        <v>43</v>
      </c>
      <c r="I1175" t="s">
        <v>526</v>
      </c>
      <c r="J1175" t="s">
        <v>43</v>
      </c>
      <c r="K1175" t="s">
        <v>43</v>
      </c>
      <c r="L1175" t="s">
        <v>43</v>
      </c>
      <c r="M1175" t="s">
        <v>43</v>
      </c>
      <c r="N1175" t="s">
        <v>45</v>
      </c>
      <c r="O1175" t="s">
        <v>43</v>
      </c>
      <c r="P1175" t="s">
        <v>43</v>
      </c>
      <c r="Q1175" t="s">
        <v>43</v>
      </c>
      <c r="R1175" t="s">
        <v>43</v>
      </c>
      <c r="S1175" t="s">
        <v>43</v>
      </c>
      <c r="T1175" t="s">
        <v>43</v>
      </c>
      <c r="U1175" t="s">
        <v>43</v>
      </c>
      <c r="V1175" t="s">
        <v>43</v>
      </c>
      <c r="W1175" t="s">
        <v>43</v>
      </c>
      <c r="X1175" t="s">
        <v>43</v>
      </c>
      <c r="Y1175" t="s">
        <v>43</v>
      </c>
      <c r="Z1175" t="s">
        <v>43</v>
      </c>
      <c r="AA1175" t="s">
        <v>43</v>
      </c>
      <c r="AB1175" t="s">
        <v>43</v>
      </c>
      <c r="AC1175" t="s">
        <v>43</v>
      </c>
      <c r="AD1175" t="s">
        <v>43</v>
      </c>
      <c r="AE1175" t="s">
        <v>43</v>
      </c>
      <c r="AF1175" t="s">
        <v>43</v>
      </c>
      <c r="AG1175" t="s">
        <v>43</v>
      </c>
      <c r="AH1175" t="s">
        <v>43</v>
      </c>
      <c r="AI1175" t="s">
        <v>43</v>
      </c>
      <c r="AJ1175" t="s">
        <v>43</v>
      </c>
      <c r="AK1175" t="s">
        <v>43</v>
      </c>
      <c r="AL1175" t="s">
        <v>43</v>
      </c>
      <c r="AM1175" t="s">
        <v>43</v>
      </c>
      <c r="AN1175" t="str">
        <f>HYPERLINK("https://www.google.com/maps?q=11.05496788,79.06280518","Open Location")</f>
        <v>Open Location</v>
      </c>
    </row>
    <row r="1176" spans="1:40" x14ac:dyDescent="0.3">
      <c r="A1176" s="1">
        <v>46210.863657407404</v>
      </c>
      <c r="B1176" t="s">
        <v>40</v>
      </c>
      <c r="C1176" t="s">
        <v>41</v>
      </c>
      <c r="D1176" s="1">
        <v>46210.866666666669</v>
      </c>
      <c r="E1176" t="s">
        <v>42</v>
      </c>
      <c r="F1176" t="s">
        <v>43</v>
      </c>
      <c r="G1176" t="s">
        <v>43</v>
      </c>
      <c r="H1176" t="s">
        <v>43</v>
      </c>
      <c r="I1176" t="s">
        <v>527</v>
      </c>
      <c r="J1176" t="s">
        <v>43</v>
      </c>
      <c r="K1176" t="s">
        <v>43</v>
      </c>
      <c r="L1176" t="s">
        <v>43</v>
      </c>
      <c r="M1176" t="s">
        <v>43</v>
      </c>
      <c r="N1176" t="s">
        <v>45</v>
      </c>
      <c r="O1176" t="s">
        <v>43</v>
      </c>
      <c r="P1176" t="s">
        <v>43</v>
      </c>
      <c r="Q1176" t="s">
        <v>43</v>
      </c>
      <c r="R1176" t="s">
        <v>43</v>
      </c>
      <c r="S1176" t="s">
        <v>43</v>
      </c>
      <c r="T1176" t="s">
        <v>43</v>
      </c>
      <c r="U1176" t="s">
        <v>43</v>
      </c>
      <c r="V1176" t="s">
        <v>43</v>
      </c>
      <c r="W1176" t="s">
        <v>43</v>
      </c>
      <c r="X1176" t="s">
        <v>43</v>
      </c>
      <c r="Y1176" t="s">
        <v>43</v>
      </c>
      <c r="Z1176" t="s">
        <v>43</v>
      </c>
      <c r="AA1176" t="s">
        <v>43</v>
      </c>
      <c r="AB1176" t="s">
        <v>43</v>
      </c>
      <c r="AC1176" t="s">
        <v>43</v>
      </c>
      <c r="AD1176" t="s">
        <v>43</v>
      </c>
      <c r="AE1176" t="s">
        <v>43</v>
      </c>
      <c r="AF1176" t="s">
        <v>43</v>
      </c>
      <c r="AG1176" t="s">
        <v>43</v>
      </c>
      <c r="AH1176" t="s">
        <v>43</v>
      </c>
      <c r="AI1176" t="s">
        <v>43</v>
      </c>
      <c r="AJ1176" t="s">
        <v>43</v>
      </c>
      <c r="AK1176" t="s">
        <v>43</v>
      </c>
      <c r="AL1176" t="s">
        <v>43</v>
      </c>
      <c r="AM1176" t="s">
        <v>43</v>
      </c>
      <c r="AN1176" t="str">
        <f>HYPERLINK("https://www.google.com/maps?q=11.05496788,79.06279755","Open Location")</f>
        <v>Open Location</v>
      </c>
    </row>
    <row r="1177" spans="1:40" x14ac:dyDescent="0.3">
      <c r="A1177" s="1">
        <v>46210.863541666666</v>
      </c>
      <c r="B1177" t="s">
        <v>40</v>
      </c>
      <c r="C1177" t="s">
        <v>41</v>
      </c>
      <c r="D1177" s="1">
        <v>46210.866342592592</v>
      </c>
      <c r="E1177" t="s">
        <v>42</v>
      </c>
      <c r="F1177" t="s">
        <v>43</v>
      </c>
      <c r="G1177" t="s">
        <v>43</v>
      </c>
      <c r="H1177" t="s">
        <v>43</v>
      </c>
      <c r="I1177" t="s">
        <v>528</v>
      </c>
      <c r="J1177" t="s">
        <v>43</v>
      </c>
      <c r="K1177" t="s">
        <v>43</v>
      </c>
      <c r="L1177" t="s">
        <v>43</v>
      </c>
      <c r="M1177" t="s">
        <v>43</v>
      </c>
      <c r="N1177" t="s">
        <v>45</v>
      </c>
      <c r="O1177" t="s">
        <v>43</v>
      </c>
      <c r="P1177" t="s">
        <v>43</v>
      </c>
      <c r="Q1177" t="s">
        <v>43</v>
      </c>
      <c r="R1177" t="s">
        <v>43</v>
      </c>
      <c r="S1177" t="s">
        <v>43</v>
      </c>
      <c r="T1177" t="s">
        <v>43</v>
      </c>
      <c r="U1177" t="s">
        <v>43</v>
      </c>
      <c r="V1177" t="s">
        <v>43</v>
      </c>
      <c r="W1177" t="s">
        <v>43</v>
      </c>
      <c r="X1177" t="s">
        <v>43</v>
      </c>
      <c r="Y1177" t="s">
        <v>43</v>
      </c>
      <c r="Z1177" t="s">
        <v>43</v>
      </c>
      <c r="AA1177" t="s">
        <v>43</v>
      </c>
      <c r="AB1177" t="s">
        <v>43</v>
      </c>
      <c r="AC1177" t="s">
        <v>43</v>
      </c>
      <c r="AD1177" t="s">
        <v>43</v>
      </c>
      <c r="AE1177" t="s">
        <v>43</v>
      </c>
      <c r="AF1177" t="s">
        <v>43</v>
      </c>
      <c r="AG1177" t="s">
        <v>43</v>
      </c>
      <c r="AH1177" t="s">
        <v>43</v>
      </c>
      <c r="AI1177" t="s">
        <v>43</v>
      </c>
      <c r="AJ1177" t="s">
        <v>43</v>
      </c>
      <c r="AK1177" t="s">
        <v>43</v>
      </c>
      <c r="AL1177" t="s">
        <v>43</v>
      </c>
      <c r="AM1177" t="s">
        <v>43</v>
      </c>
      <c r="AN1177" t="str">
        <f>HYPERLINK("https://www.google.com/maps?q=11.05497646,79.06279755","Open Location")</f>
        <v>Open Location</v>
      </c>
    </row>
    <row r="1178" spans="1:40" x14ac:dyDescent="0.3">
      <c r="A1178" s="1">
        <v>46210.863425925927</v>
      </c>
      <c r="B1178" t="s">
        <v>40</v>
      </c>
      <c r="C1178" t="s">
        <v>41</v>
      </c>
      <c r="D1178" s="1">
        <v>46210.866550925923</v>
      </c>
      <c r="E1178" t="s">
        <v>42</v>
      </c>
      <c r="F1178" t="s">
        <v>43</v>
      </c>
      <c r="G1178" t="s">
        <v>43</v>
      </c>
      <c r="H1178" t="s">
        <v>43</v>
      </c>
      <c r="I1178" t="s">
        <v>43</v>
      </c>
      <c r="J1178" t="s">
        <v>43</v>
      </c>
      <c r="K1178" t="s">
        <v>43</v>
      </c>
      <c r="L1178" t="s">
        <v>43</v>
      </c>
      <c r="M1178" t="s">
        <v>43</v>
      </c>
      <c r="N1178" t="s">
        <v>45</v>
      </c>
      <c r="O1178" t="s">
        <v>43</v>
      </c>
      <c r="P1178" t="s">
        <v>43</v>
      </c>
      <c r="Q1178" t="s">
        <v>43</v>
      </c>
      <c r="R1178" t="s">
        <v>43</v>
      </c>
      <c r="S1178" t="s">
        <v>43</v>
      </c>
      <c r="T1178" t="s">
        <v>43</v>
      </c>
      <c r="U1178" t="s">
        <v>43</v>
      </c>
      <c r="V1178" t="s">
        <v>43</v>
      </c>
      <c r="W1178" t="s">
        <v>43</v>
      </c>
      <c r="X1178" t="s">
        <v>43</v>
      </c>
      <c r="Y1178" t="s">
        <v>43</v>
      </c>
      <c r="Z1178" t="s">
        <v>43</v>
      </c>
      <c r="AA1178" t="s">
        <v>43</v>
      </c>
      <c r="AB1178" t="s">
        <v>43</v>
      </c>
      <c r="AC1178" t="s">
        <v>43</v>
      </c>
      <c r="AD1178" t="s">
        <v>43</v>
      </c>
      <c r="AE1178" t="s">
        <v>43</v>
      </c>
      <c r="AF1178" t="s">
        <v>43</v>
      </c>
      <c r="AG1178" t="s">
        <v>43</v>
      </c>
      <c r="AH1178" t="s">
        <v>43</v>
      </c>
      <c r="AI1178" t="s">
        <v>43</v>
      </c>
      <c r="AJ1178" t="s">
        <v>43</v>
      </c>
      <c r="AK1178" t="s">
        <v>43</v>
      </c>
      <c r="AL1178" t="s">
        <v>43</v>
      </c>
      <c r="AM1178" t="s">
        <v>43</v>
      </c>
      <c r="AN1178" t="s">
        <v>43</v>
      </c>
    </row>
    <row r="1179" spans="1:40" x14ac:dyDescent="0.3">
      <c r="A1179" s="1">
        <v>46210.863310185188</v>
      </c>
      <c r="B1179" t="s">
        <v>40</v>
      </c>
      <c r="C1179" t="s">
        <v>41</v>
      </c>
      <c r="D1179" s="1">
        <v>46210.866284722222</v>
      </c>
      <c r="E1179" t="s">
        <v>42</v>
      </c>
      <c r="F1179" t="s">
        <v>43</v>
      </c>
      <c r="G1179" t="s">
        <v>43</v>
      </c>
      <c r="H1179" t="s">
        <v>43</v>
      </c>
      <c r="I1179" t="s">
        <v>529</v>
      </c>
      <c r="J1179" t="s">
        <v>43</v>
      </c>
      <c r="K1179" t="s">
        <v>43</v>
      </c>
      <c r="L1179" t="s">
        <v>43</v>
      </c>
      <c r="M1179" t="s">
        <v>43</v>
      </c>
      <c r="N1179" t="s">
        <v>45</v>
      </c>
      <c r="O1179" t="s">
        <v>43</v>
      </c>
      <c r="P1179" t="s">
        <v>43</v>
      </c>
      <c r="Q1179" t="s">
        <v>43</v>
      </c>
      <c r="R1179" t="s">
        <v>43</v>
      </c>
      <c r="S1179" t="s">
        <v>43</v>
      </c>
      <c r="T1179" t="s">
        <v>43</v>
      </c>
      <c r="U1179" t="s">
        <v>43</v>
      </c>
      <c r="V1179" t="s">
        <v>43</v>
      </c>
      <c r="W1179" t="s">
        <v>43</v>
      </c>
      <c r="X1179" t="s">
        <v>43</v>
      </c>
      <c r="Y1179" t="s">
        <v>43</v>
      </c>
      <c r="Z1179" t="s">
        <v>43</v>
      </c>
      <c r="AA1179" t="s">
        <v>43</v>
      </c>
      <c r="AB1179" t="s">
        <v>43</v>
      </c>
      <c r="AC1179" t="s">
        <v>43</v>
      </c>
      <c r="AD1179" t="s">
        <v>43</v>
      </c>
      <c r="AE1179" t="s">
        <v>43</v>
      </c>
      <c r="AF1179" t="s">
        <v>43</v>
      </c>
      <c r="AG1179" t="s">
        <v>43</v>
      </c>
      <c r="AH1179" t="s">
        <v>43</v>
      </c>
      <c r="AI1179" t="s">
        <v>43</v>
      </c>
      <c r="AJ1179" t="s">
        <v>43</v>
      </c>
      <c r="AK1179" t="s">
        <v>43</v>
      </c>
      <c r="AL1179" t="s">
        <v>43</v>
      </c>
      <c r="AM1179" t="s">
        <v>43</v>
      </c>
      <c r="AN1179" t="str">
        <f>HYPERLINK("https://www.google.com/maps?q=11.05497932,79.06280518","Open Location")</f>
        <v>Open Location</v>
      </c>
    </row>
    <row r="1180" spans="1:40" x14ac:dyDescent="0.3">
      <c r="A1180" s="1">
        <v>46210.863194444442</v>
      </c>
      <c r="B1180" t="s">
        <v>40</v>
      </c>
      <c r="C1180" t="s">
        <v>41</v>
      </c>
      <c r="D1180" s="1">
        <v>46210.866284722222</v>
      </c>
      <c r="E1180" t="s">
        <v>42</v>
      </c>
      <c r="F1180" t="s">
        <v>43</v>
      </c>
      <c r="G1180" t="s">
        <v>43</v>
      </c>
      <c r="H1180" t="s">
        <v>43</v>
      </c>
      <c r="I1180" t="s">
        <v>530</v>
      </c>
      <c r="J1180" t="s">
        <v>43</v>
      </c>
      <c r="K1180" t="s">
        <v>43</v>
      </c>
      <c r="L1180" t="s">
        <v>43</v>
      </c>
      <c r="M1180" t="s">
        <v>43</v>
      </c>
      <c r="N1180" t="s">
        <v>45</v>
      </c>
      <c r="O1180" t="s">
        <v>43</v>
      </c>
      <c r="P1180" t="s">
        <v>43</v>
      </c>
      <c r="Q1180" t="s">
        <v>43</v>
      </c>
      <c r="R1180" t="s">
        <v>43</v>
      </c>
      <c r="S1180" t="s">
        <v>43</v>
      </c>
      <c r="T1180" t="s">
        <v>43</v>
      </c>
      <c r="U1180" t="s">
        <v>43</v>
      </c>
      <c r="V1180" t="s">
        <v>43</v>
      </c>
      <c r="W1180" t="s">
        <v>43</v>
      </c>
      <c r="X1180" t="s">
        <v>43</v>
      </c>
      <c r="Y1180" t="s">
        <v>43</v>
      </c>
      <c r="Z1180" t="s">
        <v>43</v>
      </c>
      <c r="AA1180" t="s">
        <v>43</v>
      </c>
      <c r="AB1180" t="s">
        <v>43</v>
      </c>
      <c r="AC1180" t="s">
        <v>43</v>
      </c>
      <c r="AD1180" t="s">
        <v>43</v>
      </c>
      <c r="AE1180" t="s">
        <v>43</v>
      </c>
      <c r="AF1180" t="s">
        <v>43</v>
      </c>
      <c r="AG1180" t="s">
        <v>43</v>
      </c>
      <c r="AH1180" t="s">
        <v>43</v>
      </c>
      <c r="AI1180" t="s">
        <v>43</v>
      </c>
      <c r="AJ1180" t="s">
        <v>43</v>
      </c>
      <c r="AK1180" t="s">
        <v>43</v>
      </c>
      <c r="AL1180" t="s">
        <v>43</v>
      </c>
      <c r="AM1180" t="s">
        <v>43</v>
      </c>
      <c r="AN1180" t="str">
        <f>HYPERLINK("https://www.google.com/maps?q=11.05497742,79.06282043","Open Location")</f>
        <v>Open Location</v>
      </c>
    </row>
    <row r="1181" spans="1:40" x14ac:dyDescent="0.3">
      <c r="A1181" s="1">
        <v>46210.863078703704</v>
      </c>
      <c r="B1181" t="s">
        <v>40</v>
      </c>
      <c r="C1181" t="s">
        <v>41</v>
      </c>
      <c r="D1181" s="1">
        <v>46210.866180555553</v>
      </c>
      <c r="E1181" t="s">
        <v>42</v>
      </c>
      <c r="F1181" t="s">
        <v>43</v>
      </c>
      <c r="G1181" t="s">
        <v>43</v>
      </c>
      <c r="H1181" t="s">
        <v>43</v>
      </c>
      <c r="I1181" t="s">
        <v>531</v>
      </c>
      <c r="J1181" t="s">
        <v>43</v>
      </c>
      <c r="K1181" t="s">
        <v>43</v>
      </c>
      <c r="L1181" t="s">
        <v>43</v>
      </c>
      <c r="M1181" t="s">
        <v>43</v>
      </c>
      <c r="N1181" t="s">
        <v>45</v>
      </c>
      <c r="O1181" t="s">
        <v>43</v>
      </c>
      <c r="P1181" t="s">
        <v>43</v>
      </c>
      <c r="Q1181" t="s">
        <v>43</v>
      </c>
      <c r="R1181" t="s">
        <v>43</v>
      </c>
      <c r="S1181" t="s">
        <v>43</v>
      </c>
      <c r="T1181" t="s">
        <v>43</v>
      </c>
      <c r="U1181" t="s">
        <v>43</v>
      </c>
      <c r="V1181" t="s">
        <v>43</v>
      </c>
      <c r="W1181" t="s">
        <v>43</v>
      </c>
      <c r="X1181" t="s">
        <v>43</v>
      </c>
      <c r="Y1181" t="s">
        <v>43</v>
      </c>
      <c r="Z1181" t="s">
        <v>43</v>
      </c>
      <c r="AA1181" t="s">
        <v>43</v>
      </c>
      <c r="AB1181" t="s">
        <v>43</v>
      </c>
      <c r="AC1181" t="s">
        <v>43</v>
      </c>
      <c r="AD1181" t="s">
        <v>43</v>
      </c>
      <c r="AE1181" t="s">
        <v>43</v>
      </c>
      <c r="AF1181" t="s">
        <v>43</v>
      </c>
      <c r="AG1181" t="s">
        <v>43</v>
      </c>
      <c r="AH1181" t="s">
        <v>43</v>
      </c>
      <c r="AI1181" t="s">
        <v>43</v>
      </c>
      <c r="AJ1181" t="s">
        <v>43</v>
      </c>
      <c r="AK1181" t="s">
        <v>43</v>
      </c>
      <c r="AL1181" t="s">
        <v>43</v>
      </c>
      <c r="AM1181" t="s">
        <v>43</v>
      </c>
      <c r="AN1181" t="str">
        <f>HYPERLINK("https://www.google.com/maps?q=11.05497646,79.06282043","Open Location")</f>
        <v>Open Location</v>
      </c>
    </row>
    <row r="1182" spans="1:40" x14ac:dyDescent="0.3">
      <c r="A1182" s="1">
        <v>46210.862962962965</v>
      </c>
      <c r="B1182" t="s">
        <v>40</v>
      </c>
      <c r="C1182" t="s">
        <v>41</v>
      </c>
      <c r="D1182" s="1">
        <v>46210.865983796299</v>
      </c>
      <c r="E1182" t="s">
        <v>42</v>
      </c>
      <c r="F1182" t="s">
        <v>43</v>
      </c>
      <c r="G1182" t="s">
        <v>43</v>
      </c>
      <c r="H1182" t="s">
        <v>43</v>
      </c>
      <c r="I1182" t="s">
        <v>532</v>
      </c>
      <c r="J1182" t="s">
        <v>43</v>
      </c>
      <c r="K1182" t="s">
        <v>43</v>
      </c>
      <c r="L1182" t="s">
        <v>43</v>
      </c>
      <c r="M1182" t="s">
        <v>43</v>
      </c>
      <c r="N1182" t="s">
        <v>45</v>
      </c>
      <c r="O1182" t="s">
        <v>43</v>
      </c>
      <c r="P1182" t="s">
        <v>43</v>
      </c>
      <c r="Q1182" t="s">
        <v>43</v>
      </c>
      <c r="R1182" t="s">
        <v>43</v>
      </c>
      <c r="S1182" t="s">
        <v>43</v>
      </c>
      <c r="T1182" t="s">
        <v>43</v>
      </c>
      <c r="U1182" t="s">
        <v>43</v>
      </c>
      <c r="V1182" t="s">
        <v>43</v>
      </c>
      <c r="W1182" t="s">
        <v>43</v>
      </c>
      <c r="X1182" t="s">
        <v>43</v>
      </c>
      <c r="Y1182" t="s">
        <v>43</v>
      </c>
      <c r="Z1182" t="s">
        <v>43</v>
      </c>
      <c r="AA1182" t="s">
        <v>43</v>
      </c>
      <c r="AB1182" t="s">
        <v>43</v>
      </c>
      <c r="AC1182" t="s">
        <v>43</v>
      </c>
      <c r="AD1182" t="s">
        <v>43</v>
      </c>
      <c r="AE1182" t="s">
        <v>43</v>
      </c>
      <c r="AF1182" t="s">
        <v>43</v>
      </c>
      <c r="AG1182" t="s">
        <v>43</v>
      </c>
      <c r="AH1182" t="s">
        <v>43</v>
      </c>
      <c r="AI1182" t="s">
        <v>43</v>
      </c>
      <c r="AJ1182" t="s">
        <v>43</v>
      </c>
      <c r="AK1182" t="s">
        <v>43</v>
      </c>
      <c r="AL1182" t="s">
        <v>43</v>
      </c>
      <c r="AM1182" t="s">
        <v>43</v>
      </c>
      <c r="AN1182" t="str">
        <f>HYPERLINK("https://www.google.com/maps?q=11.05496788,79.06282043","Open Location")</f>
        <v>Open Location</v>
      </c>
    </row>
    <row r="1183" spans="1:40" x14ac:dyDescent="0.3">
      <c r="A1183" s="1">
        <v>46210.862847222219</v>
      </c>
      <c r="B1183" t="s">
        <v>40</v>
      </c>
      <c r="C1183" t="s">
        <v>41</v>
      </c>
      <c r="D1183" s="1">
        <v>46210.865624999999</v>
      </c>
      <c r="E1183" t="s">
        <v>42</v>
      </c>
      <c r="F1183" t="s">
        <v>43</v>
      </c>
      <c r="G1183" t="s">
        <v>43</v>
      </c>
      <c r="H1183" t="s">
        <v>43</v>
      </c>
      <c r="I1183" t="s">
        <v>43</v>
      </c>
      <c r="J1183" t="s">
        <v>43</v>
      </c>
      <c r="K1183" t="s">
        <v>43</v>
      </c>
      <c r="L1183" t="s">
        <v>43</v>
      </c>
      <c r="M1183" t="s">
        <v>43</v>
      </c>
      <c r="N1183" t="s">
        <v>45</v>
      </c>
      <c r="O1183" t="s">
        <v>43</v>
      </c>
      <c r="P1183" t="s">
        <v>43</v>
      </c>
      <c r="Q1183" t="s">
        <v>43</v>
      </c>
      <c r="R1183" t="s">
        <v>43</v>
      </c>
      <c r="S1183" t="s">
        <v>43</v>
      </c>
      <c r="T1183" t="s">
        <v>43</v>
      </c>
      <c r="U1183" t="s">
        <v>43</v>
      </c>
      <c r="V1183" t="s">
        <v>43</v>
      </c>
      <c r="W1183" t="s">
        <v>43</v>
      </c>
      <c r="X1183" t="s">
        <v>43</v>
      </c>
      <c r="Y1183" t="s">
        <v>43</v>
      </c>
      <c r="Z1183" t="s">
        <v>43</v>
      </c>
      <c r="AA1183" t="s">
        <v>43</v>
      </c>
      <c r="AB1183" t="s">
        <v>43</v>
      </c>
      <c r="AC1183" t="s">
        <v>43</v>
      </c>
      <c r="AD1183" t="s">
        <v>43</v>
      </c>
      <c r="AE1183" t="s">
        <v>43</v>
      </c>
      <c r="AF1183" t="s">
        <v>43</v>
      </c>
      <c r="AG1183" t="s">
        <v>43</v>
      </c>
      <c r="AH1183" t="s">
        <v>43</v>
      </c>
      <c r="AI1183" t="s">
        <v>43</v>
      </c>
      <c r="AJ1183" t="s">
        <v>43</v>
      </c>
      <c r="AK1183" t="s">
        <v>43</v>
      </c>
      <c r="AL1183" t="s">
        <v>43</v>
      </c>
      <c r="AM1183" t="s">
        <v>43</v>
      </c>
      <c r="AN1183" t="s">
        <v>43</v>
      </c>
    </row>
    <row r="1184" spans="1:40" x14ac:dyDescent="0.3">
      <c r="A1184" s="1">
        <v>46210.86273148148</v>
      </c>
      <c r="B1184" t="s">
        <v>40</v>
      </c>
      <c r="C1184" t="s">
        <v>41</v>
      </c>
      <c r="D1184" s="1">
        <v>46210.865868055553</v>
      </c>
      <c r="E1184" t="s">
        <v>42</v>
      </c>
      <c r="F1184" t="s">
        <v>43</v>
      </c>
      <c r="G1184" t="s">
        <v>43</v>
      </c>
      <c r="H1184" t="s">
        <v>43</v>
      </c>
      <c r="I1184" t="s">
        <v>533</v>
      </c>
      <c r="J1184" t="s">
        <v>43</v>
      </c>
      <c r="K1184" t="s">
        <v>43</v>
      </c>
      <c r="L1184" t="s">
        <v>43</v>
      </c>
      <c r="M1184" t="s">
        <v>43</v>
      </c>
      <c r="N1184" t="s">
        <v>45</v>
      </c>
      <c r="O1184" t="s">
        <v>43</v>
      </c>
      <c r="P1184" t="s">
        <v>43</v>
      </c>
      <c r="Q1184" t="s">
        <v>43</v>
      </c>
      <c r="R1184" t="s">
        <v>43</v>
      </c>
      <c r="S1184" t="s">
        <v>43</v>
      </c>
      <c r="T1184" t="s">
        <v>43</v>
      </c>
      <c r="U1184" t="s">
        <v>43</v>
      </c>
      <c r="V1184" t="s">
        <v>43</v>
      </c>
      <c r="W1184" t="s">
        <v>43</v>
      </c>
      <c r="X1184" t="s">
        <v>43</v>
      </c>
      <c r="Y1184" t="s">
        <v>43</v>
      </c>
      <c r="Z1184" t="s">
        <v>43</v>
      </c>
      <c r="AA1184" t="s">
        <v>43</v>
      </c>
      <c r="AB1184" t="s">
        <v>43</v>
      </c>
      <c r="AC1184" t="s">
        <v>43</v>
      </c>
      <c r="AD1184" t="s">
        <v>43</v>
      </c>
      <c r="AE1184" t="s">
        <v>43</v>
      </c>
      <c r="AF1184" t="s">
        <v>43</v>
      </c>
      <c r="AG1184" t="s">
        <v>43</v>
      </c>
      <c r="AH1184" t="s">
        <v>43</v>
      </c>
      <c r="AI1184" t="s">
        <v>43</v>
      </c>
      <c r="AJ1184" t="s">
        <v>43</v>
      </c>
      <c r="AK1184" t="s">
        <v>43</v>
      </c>
      <c r="AL1184" t="s">
        <v>43</v>
      </c>
      <c r="AM1184" t="s">
        <v>43</v>
      </c>
      <c r="AN1184" t="str">
        <f>HYPERLINK("https://www.google.com/maps?q=11.05497932,79.06283569","Open Location")</f>
        <v>Open Location</v>
      </c>
    </row>
    <row r="1185" spans="1:40" x14ac:dyDescent="0.3">
      <c r="A1185" s="1">
        <v>46210.862615740742</v>
      </c>
      <c r="B1185" t="s">
        <v>40</v>
      </c>
      <c r="C1185" t="s">
        <v>41</v>
      </c>
      <c r="D1185" s="1">
        <v>46210.865300925929</v>
      </c>
      <c r="E1185" t="s">
        <v>42</v>
      </c>
      <c r="F1185" t="s">
        <v>43</v>
      </c>
      <c r="G1185" t="s">
        <v>43</v>
      </c>
      <c r="H1185" t="s">
        <v>43</v>
      </c>
      <c r="I1185" t="s">
        <v>534</v>
      </c>
      <c r="J1185" t="s">
        <v>43</v>
      </c>
      <c r="K1185" t="s">
        <v>43</v>
      </c>
      <c r="L1185" t="s">
        <v>43</v>
      </c>
      <c r="M1185" t="s">
        <v>43</v>
      </c>
      <c r="N1185" t="s">
        <v>45</v>
      </c>
      <c r="O1185" t="s">
        <v>43</v>
      </c>
      <c r="P1185" t="s">
        <v>43</v>
      </c>
      <c r="Q1185" t="s">
        <v>43</v>
      </c>
      <c r="R1185" t="s">
        <v>43</v>
      </c>
      <c r="S1185" t="s">
        <v>43</v>
      </c>
      <c r="T1185" t="s">
        <v>43</v>
      </c>
      <c r="U1185" t="s">
        <v>43</v>
      </c>
      <c r="V1185" t="s">
        <v>43</v>
      </c>
      <c r="W1185" t="s">
        <v>43</v>
      </c>
      <c r="X1185" t="s">
        <v>43</v>
      </c>
      <c r="Y1185" t="s">
        <v>43</v>
      </c>
      <c r="Z1185" t="s">
        <v>43</v>
      </c>
      <c r="AA1185" t="s">
        <v>43</v>
      </c>
      <c r="AB1185" t="s">
        <v>43</v>
      </c>
      <c r="AC1185" t="s">
        <v>43</v>
      </c>
      <c r="AD1185" t="s">
        <v>43</v>
      </c>
      <c r="AE1185" t="s">
        <v>43</v>
      </c>
      <c r="AF1185" t="s">
        <v>43</v>
      </c>
      <c r="AG1185" t="s">
        <v>43</v>
      </c>
      <c r="AH1185" t="s">
        <v>43</v>
      </c>
      <c r="AI1185" t="s">
        <v>43</v>
      </c>
      <c r="AJ1185" t="s">
        <v>43</v>
      </c>
      <c r="AK1185" t="s">
        <v>43</v>
      </c>
      <c r="AL1185" t="s">
        <v>43</v>
      </c>
      <c r="AM1185" t="s">
        <v>43</v>
      </c>
      <c r="AN1185" t="str">
        <f>HYPERLINK("https://www.google.com/maps?q=11.05498505,79.06284332","Open Location")</f>
        <v>Open Location</v>
      </c>
    </row>
    <row r="1186" spans="1:40" x14ac:dyDescent="0.3">
      <c r="A1186" s="1">
        <v>46210.862500000003</v>
      </c>
      <c r="B1186" t="s">
        <v>40</v>
      </c>
      <c r="C1186" t="s">
        <v>41</v>
      </c>
      <c r="D1186" s="1">
        <v>46210.865231481483</v>
      </c>
      <c r="E1186" t="s">
        <v>42</v>
      </c>
      <c r="F1186" t="s">
        <v>43</v>
      </c>
      <c r="G1186" t="s">
        <v>43</v>
      </c>
      <c r="H1186" t="s">
        <v>43</v>
      </c>
      <c r="I1186" t="s">
        <v>535</v>
      </c>
      <c r="J1186" t="s">
        <v>43</v>
      </c>
      <c r="K1186" t="s">
        <v>43</v>
      </c>
      <c r="L1186" t="s">
        <v>43</v>
      </c>
      <c r="M1186" t="s">
        <v>43</v>
      </c>
      <c r="N1186" t="s">
        <v>45</v>
      </c>
      <c r="O1186" t="s">
        <v>43</v>
      </c>
      <c r="P1186" t="s">
        <v>43</v>
      </c>
      <c r="Q1186" t="s">
        <v>43</v>
      </c>
      <c r="R1186" t="s">
        <v>43</v>
      </c>
      <c r="S1186" t="s">
        <v>43</v>
      </c>
      <c r="T1186" t="s">
        <v>43</v>
      </c>
      <c r="U1186" t="s">
        <v>43</v>
      </c>
      <c r="V1186" t="s">
        <v>43</v>
      </c>
      <c r="W1186" t="s">
        <v>43</v>
      </c>
      <c r="X1186" t="s">
        <v>43</v>
      </c>
      <c r="Y1186" t="s">
        <v>43</v>
      </c>
      <c r="Z1186" t="s">
        <v>43</v>
      </c>
      <c r="AA1186" t="s">
        <v>43</v>
      </c>
      <c r="AB1186" t="s">
        <v>43</v>
      </c>
      <c r="AC1186" t="s">
        <v>43</v>
      </c>
      <c r="AD1186" t="s">
        <v>43</v>
      </c>
      <c r="AE1186" t="s">
        <v>43</v>
      </c>
      <c r="AF1186" t="s">
        <v>43</v>
      </c>
      <c r="AG1186" t="s">
        <v>43</v>
      </c>
      <c r="AH1186" t="s">
        <v>43</v>
      </c>
      <c r="AI1186" t="s">
        <v>43</v>
      </c>
      <c r="AJ1186" t="s">
        <v>43</v>
      </c>
      <c r="AK1186" t="s">
        <v>43</v>
      </c>
      <c r="AL1186" t="s">
        <v>43</v>
      </c>
      <c r="AM1186" t="s">
        <v>43</v>
      </c>
      <c r="AN1186" t="str">
        <f>HYPERLINK("https://www.google.com/maps?q=11.05498886,79.06285095","Open Location")</f>
        <v>Open Location</v>
      </c>
    </row>
    <row r="1187" spans="1:40" x14ac:dyDescent="0.3">
      <c r="A1187" s="1">
        <v>46210.862384259257</v>
      </c>
      <c r="B1187" t="s">
        <v>40</v>
      </c>
      <c r="C1187" t="s">
        <v>41</v>
      </c>
      <c r="D1187" s="1">
        <v>46210.865162037036</v>
      </c>
      <c r="E1187" t="s">
        <v>42</v>
      </c>
      <c r="F1187" t="s">
        <v>43</v>
      </c>
      <c r="G1187" t="s">
        <v>43</v>
      </c>
      <c r="H1187" t="s">
        <v>43</v>
      </c>
      <c r="I1187" t="s">
        <v>536</v>
      </c>
      <c r="J1187" t="s">
        <v>43</v>
      </c>
      <c r="K1187" t="s">
        <v>43</v>
      </c>
      <c r="L1187" t="s">
        <v>43</v>
      </c>
      <c r="M1187" t="s">
        <v>43</v>
      </c>
      <c r="N1187" t="s">
        <v>45</v>
      </c>
      <c r="O1187" t="s">
        <v>43</v>
      </c>
      <c r="P1187" t="s">
        <v>43</v>
      </c>
      <c r="Q1187" t="s">
        <v>43</v>
      </c>
      <c r="R1187" t="s">
        <v>43</v>
      </c>
      <c r="S1187" t="s">
        <v>43</v>
      </c>
      <c r="T1187" t="s">
        <v>43</v>
      </c>
      <c r="U1187" t="s">
        <v>43</v>
      </c>
      <c r="V1187" t="s">
        <v>43</v>
      </c>
      <c r="W1187" t="s">
        <v>43</v>
      </c>
      <c r="X1187" t="s">
        <v>43</v>
      </c>
      <c r="Y1187" t="s">
        <v>43</v>
      </c>
      <c r="Z1187" t="s">
        <v>43</v>
      </c>
      <c r="AA1187" t="s">
        <v>43</v>
      </c>
      <c r="AB1187" t="s">
        <v>43</v>
      </c>
      <c r="AC1187" t="s">
        <v>43</v>
      </c>
      <c r="AD1187" t="s">
        <v>43</v>
      </c>
      <c r="AE1187" t="s">
        <v>43</v>
      </c>
      <c r="AF1187" t="s">
        <v>43</v>
      </c>
      <c r="AG1187" t="s">
        <v>43</v>
      </c>
      <c r="AH1187" t="s">
        <v>43</v>
      </c>
      <c r="AI1187" t="s">
        <v>43</v>
      </c>
      <c r="AJ1187" t="s">
        <v>43</v>
      </c>
      <c r="AK1187" t="s">
        <v>43</v>
      </c>
      <c r="AL1187" t="s">
        <v>43</v>
      </c>
      <c r="AM1187" t="s">
        <v>43</v>
      </c>
      <c r="AN1187" t="str">
        <f>HYPERLINK("https://www.google.com/maps?q=11.05499172,79.06285095","Open Location")</f>
        <v>Open Location</v>
      </c>
    </row>
    <row r="1188" spans="1:40" x14ac:dyDescent="0.3">
      <c r="A1188" s="1">
        <v>46210.862268518518</v>
      </c>
      <c r="B1188" t="s">
        <v>40</v>
      </c>
      <c r="C1188" t="s">
        <v>41</v>
      </c>
      <c r="D1188" s="1">
        <v>46210.86519675926</v>
      </c>
      <c r="E1188" t="s">
        <v>42</v>
      </c>
      <c r="F1188" t="s">
        <v>43</v>
      </c>
      <c r="G1188" t="s">
        <v>43</v>
      </c>
      <c r="H1188" t="s">
        <v>43</v>
      </c>
      <c r="I1188" t="s">
        <v>537</v>
      </c>
      <c r="J1188" t="s">
        <v>43</v>
      </c>
      <c r="K1188" t="s">
        <v>43</v>
      </c>
      <c r="L1188" t="s">
        <v>43</v>
      </c>
      <c r="M1188" t="s">
        <v>43</v>
      </c>
      <c r="N1188" t="s">
        <v>45</v>
      </c>
      <c r="O1188" t="s">
        <v>43</v>
      </c>
      <c r="P1188" t="s">
        <v>43</v>
      </c>
      <c r="Q1188" t="s">
        <v>43</v>
      </c>
      <c r="R1188" t="s">
        <v>43</v>
      </c>
      <c r="S1188" t="s">
        <v>43</v>
      </c>
      <c r="T1188" t="s">
        <v>43</v>
      </c>
      <c r="U1188" t="s">
        <v>43</v>
      </c>
      <c r="V1188" t="s">
        <v>43</v>
      </c>
      <c r="W1188" t="s">
        <v>43</v>
      </c>
      <c r="X1188" t="s">
        <v>43</v>
      </c>
      <c r="Y1188" t="s">
        <v>43</v>
      </c>
      <c r="Z1188" t="s">
        <v>43</v>
      </c>
      <c r="AA1188" t="s">
        <v>43</v>
      </c>
      <c r="AB1188" t="s">
        <v>43</v>
      </c>
      <c r="AC1188" t="s">
        <v>43</v>
      </c>
      <c r="AD1188" t="s">
        <v>43</v>
      </c>
      <c r="AE1188" t="s">
        <v>43</v>
      </c>
      <c r="AF1188" t="s">
        <v>43</v>
      </c>
      <c r="AG1188" t="s">
        <v>43</v>
      </c>
      <c r="AH1188" t="s">
        <v>43</v>
      </c>
      <c r="AI1188" t="s">
        <v>43</v>
      </c>
      <c r="AJ1188" t="s">
        <v>43</v>
      </c>
      <c r="AK1188" t="s">
        <v>43</v>
      </c>
      <c r="AL1188" t="s">
        <v>43</v>
      </c>
      <c r="AM1188" t="s">
        <v>43</v>
      </c>
      <c r="AN1188" t="str">
        <f>HYPERLINK("https://www.google.com/maps?q=11.054986,79.06285858","Open Location")</f>
        <v>Open Location</v>
      </c>
    </row>
    <row r="1189" spans="1:40" x14ac:dyDescent="0.3">
      <c r="A1189" s="1">
        <v>46210.86215277778</v>
      </c>
      <c r="B1189" t="s">
        <v>40</v>
      </c>
      <c r="C1189" t="s">
        <v>41</v>
      </c>
      <c r="D1189" s="1">
        <v>46210.865162037036</v>
      </c>
      <c r="E1189" t="s">
        <v>42</v>
      </c>
      <c r="F1189" t="s">
        <v>43</v>
      </c>
      <c r="G1189" t="s">
        <v>43</v>
      </c>
      <c r="H1189" t="s">
        <v>43</v>
      </c>
      <c r="I1189" t="s">
        <v>43</v>
      </c>
      <c r="J1189" t="s">
        <v>43</v>
      </c>
      <c r="K1189" t="s">
        <v>43</v>
      </c>
      <c r="L1189" t="s">
        <v>43</v>
      </c>
      <c r="M1189" t="s">
        <v>43</v>
      </c>
      <c r="N1189" t="s">
        <v>45</v>
      </c>
      <c r="O1189" t="s">
        <v>43</v>
      </c>
      <c r="P1189" t="s">
        <v>43</v>
      </c>
      <c r="Q1189" t="s">
        <v>43</v>
      </c>
      <c r="R1189" t="s">
        <v>43</v>
      </c>
      <c r="S1189" t="s">
        <v>43</v>
      </c>
      <c r="T1189" t="s">
        <v>43</v>
      </c>
      <c r="U1189" t="s">
        <v>43</v>
      </c>
      <c r="V1189" t="s">
        <v>43</v>
      </c>
      <c r="W1189" t="s">
        <v>43</v>
      </c>
      <c r="X1189" t="s">
        <v>43</v>
      </c>
      <c r="Y1189" t="s">
        <v>43</v>
      </c>
      <c r="Z1189" t="s">
        <v>43</v>
      </c>
      <c r="AA1189" t="s">
        <v>43</v>
      </c>
      <c r="AB1189" t="s">
        <v>43</v>
      </c>
      <c r="AC1189" t="s">
        <v>43</v>
      </c>
      <c r="AD1189" t="s">
        <v>43</v>
      </c>
      <c r="AE1189" t="s">
        <v>43</v>
      </c>
      <c r="AF1189" t="s">
        <v>43</v>
      </c>
      <c r="AG1189" t="s">
        <v>43</v>
      </c>
      <c r="AH1189" t="s">
        <v>43</v>
      </c>
      <c r="AI1189" t="s">
        <v>43</v>
      </c>
      <c r="AJ1189" t="s">
        <v>43</v>
      </c>
      <c r="AK1189" t="s">
        <v>43</v>
      </c>
      <c r="AL1189" t="s">
        <v>43</v>
      </c>
      <c r="AM1189" t="s">
        <v>43</v>
      </c>
      <c r="AN1189" t="s">
        <v>43</v>
      </c>
    </row>
    <row r="1190" spans="1:40" x14ac:dyDescent="0.3">
      <c r="A1190" s="1">
        <v>46210.862037037034</v>
      </c>
      <c r="B1190" t="s">
        <v>40</v>
      </c>
      <c r="C1190" t="s">
        <v>41</v>
      </c>
      <c r="D1190" s="1">
        <v>46210.865312499998</v>
      </c>
      <c r="E1190" t="s">
        <v>42</v>
      </c>
      <c r="F1190" t="s">
        <v>43</v>
      </c>
      <c r="G1190" t="s">
        <v>43</v>
      </c>
      <c r="H1190" t="s">
        <v>43</v>
      </c>
      <c r="I1190" t="s">
        <v>538</v>
      </c>
      <c r="J1190" t="s">
        <v>43</v>
      </c>
      <c r="K1190" t="s">
        <v>43</v>
      </c>
      <c r="L1190" t="s">
        <v>43</v>
      </c>
      <c r="M1190" t="s">
        <v>43</v>
      </c>
      <c r="N1190" t="s">
        <v>45</v>
      </c>
      <c r="O1190" t="s">
        <v>43</v>
      </c>
      <c r="P1190" t="s">
        <v>43</v>
      </c>
      <c r="Q1190" t="s">
        <v>43</v>
      </c>
      <c r="R1190" t="s">
        <v>43</v>
      </c>
      <c r="S1190" t="s">
        <v>43</v>
      </c>
      <c r="T1190" t="s">
        <v>43</v>
      </c>
      <c r="U1190" t="s">
        <v>43</v>
      </c>
      <c r="V1190" t="s">
        <v>43</v>
      </c>
      <c r="W1190" t="s">
        <v>43</v>
      </c>
      <c r="X1190" t="s">
        <v>43</v>
      </c>
      <c r="Y1190" t="s">
        <v>43</v>
      </c>
      <c r="Z1190" t="s">
        <v>43</v>
      </c>
      <c r="AA1190" t="s">
        <v>43</v>
      </c>
      <c r="AB1190" t="s">
        <v>43</v>
      </c>
      <c r="AC1190" t="s">
        <v>43</v>
      </c>
      <c r="AD1190" t="s">
        <v>43</v>
      </c>
      <c r="AE1190" t="s">
        <v>43</v>
      </c>
      <c r="AF1190" t="s">
        <v>43</v>
      </c>
      <c r="AG1190" t="s">
        <v>43</v>
      </c>
      <c r="AH1190" t="s">
        <v>43</v>
      </c>
      <c r="AI1190" t="s">
        <v>43</v>
      </c>
      <c r="AJ1190" t="s">
        <v>43</v>
      </c>
      <c r="AK1190" t="s">
        <v>43</v>
      </c>
      <c r="AL1190" t="s">
        <v>43</v>
      </c>
      <c r="AM1190" t="s">
        <v>43</v>
      </c>
      <c r="AN1190" t="str">
        <f>HYPERLINK("https://www.google.com/maps?q=11.054986,79.06285095","Open Location")</f>
        <v>Open Location</v>
      </c>
    </row>
    <row r="1191" spans="1:40" x14ac:dyDescent="0.3">
      <c r="A1191" s="1">
        <v>46210.861921296295</v>
      </c>
      <c r="B1191" t="s">
        <v>40</v>
      </c>
      <c r="C1191" t="s">
        <v>41</v>
      </c>
      <c r="D1191" s="1">
        <v>46210.86482638889</v>
      </c>
      <c r="E1191" t="s">
        <v>42</v>
      </c>
      <c r="F1191" t="s">
        <v>43</v>
      </c>
      <c r="G1191" t="s">
        <v>43</v>
      </c>
      <c r="H1191" t="s">
        <v>43</v>
      </c>
      <c r="I1191" t="s">
        <v>534</v>
      </c>
      <c r="J1191" t="s">
        <v>43</v>
      </c>
      <c r="K1191" t="s">
        <v>43</v>
      </c>
      <c r="L1191" t="s">
        <v>43</v>
      </c>
      <c r="M1191" t="s">
        <v>43</v>
      </c>
      <c r="N1191" t="s">
        <v>45</v>
      </c>
      <c r="O1191" t="s">
        <v>43</v>
      </c>
      <c r="P1191" t="s">
        <v>43</v>
      </c>
      <c r="Q1191" t="s">
        <v>43</v>
      </c>
      <c r="R1191" t="s">
        <v>43</v>
      </c>
      <c r="S1191" t="s">
        <v>43</v>
      </c>
      <c r="T1191" t="s">
        <v>43</v>
      </c>
      <c r="U1191" t="s">
        <v>43</v>
      </c>
      <c r="V1191" t="s">
        <v>43</v>
      </c>
      <c r="W1191" t="s">
        <v>43</v>
      </c>
      <c r="X1191" t="s">
        <v>43</v>
      </c>
      <c r="Y1191" t="s">
        <v>43</v>
      </c>
      <c r="Z1191" t="s">
        <v>43</v>
      </c>
      <c r="AA1191" t="s">
        <v>43</v>
      </c>
      <c r="AB1191" t="s">
        <v>43</v>
      </c>
      <c r="AC1191" t="s">
        <v>43</v>
      </c>
      <c r="AD1191" t="s">
        <v>43</v>
      </c>
      <c r="AE1191" t="s">
        <v>43</v>
      </c>
      <c r="AF1191" t="s">
        <v>43</v>
      </c>
      <c r="AG1191" t="s">
        <v>43</v>
      </c>
      <c r="AH1191" t="s">
        <v>43</v>
      </c>
      <c r="AI1191" t="s">
        <v>43</v>
      </c>
      <c r="AJ1191" t="s">
        <v>43</v>
      </c>
      <c r="AK1191" t="s">
        <v>43</v>
      </c>
      <c r="AL1191" t="s">
        <v>43</v>
      </c>
      <c r="AM1191" t="s">
        <v>43</v>
      </c>
      <c r="AN1191" t="str">
        <f>HYPERLINK("https://www.google.com/maps?q=11.05498505,79.06284332","Open Location")</f>
        <v>Open Location</v>
      </c>
    </row>
    <row r="1192" spans="1:40" x14ac:dyDescent="0.3">
      <c r="A1192" s="1">
        <v>46210.861805555556</v>
      </c>
      <c r="B1192" t="s">
        <v>40</v>
      </c>
      <c r="C1192" t="s">
        <v>41</v>
      </c>
      <c r="D1192" s="1">
        <v>46210.864849537036</v>
      </c>
      <c r="E1192" t="s">
        <v>42</v>
      </c>
      <c r="F1192" t="s">
        <v>43</v>
      </c>
      <c r="G1192" t="s">
        <v>43</v>
      </c>
      <c r="H1192" t="s">
        <v>43</v>
      </c>
      <c r="I1192" t="s">
        <v>499</v>
      </c>
      <c r="J1192" t="s">
        <v>43</v>
      </c>
      <c r="K1192" t="s">
        <v>43</v>
      </c>
      <c r="L1192" t="s">
        <v>43</v>
      </c>
      <c r="M1192" t="s">
        <v>43</v>
      </c>
      <c r="N1192" t="s">
        <v>45</v>
      </c>
      <c r="O1192" t="s">
        <v>43</v>
      </c>
      <c r="P1192" t="s">
        <v>43</v>
      </c>
      <c r="Q1192" t="s">
        <v>43</v>
      </c>
      <c r="R1192" t="s">
        <v>43</v>
      </c>
      <c r="S1192" t="s">
        <v>43</v>
      </c>
      <c r="T1192" t="s">
        <v>43</v>
      </c>
      <c r="U1192" t="s">
        <v>43</v>
      </c>
      <c r="V1192" t="s">
        <v>43</v>
      </c>
      <c r="W1192" t="s">
        <v>43</v>
      </c>
      <c r="X1192" t="s">
        <v>43</v>
      </c>
      <c r="Y1192" t="s">
        <v>43</v>
      </c>
      <c r="Z1192" t="s">
        <v>43</v>
      </c>
      <c r="AA1192" t="s">
        <v>43</v>
      </c>
      <c r="AB1192" t="s">
        <v>43</v>
      </c>
      <c r="AC1192" t="s">
        <v>43</v>
      </c>
      <c r="AD1192" t="s">
        <v>43</v>
      </c>
      <c r="AE1192" t="s">
        <v>43</v>
      </c>
      <c r="AF1192" t="s">
        <v>43</v>
      </c>
      <c r="AG1192" t="s">
        <v>43</v>
      </c>
      <c r="AH1192" t="s">
        <v>43</v>
      </c>
      <c r="AI1192" t="s">
        <v>43</v>
      </c>
      <c r="AJ1192" t="s">
        <v>43</v>
      </c>
      <c r="AK1192" t="s">
        <v>43</v>
      </c>
      <c r="AL1192" t="s">
        <v>43</v>
      </c>
      <c r="AM1192" t="s">
        <v>43</v>
      </c>
      <c r="AN1192" t="str">
        <f>HYPERLINK("https://www.google.com/maps?q=11.05497646,79.06284332","Open Location")</f>
        <v>Open Location</v>
      </c>
    </row>
    <row r="1193" spans="1:40" x14ac:dyDescent="0.3">
      <c r="A1193" s="1">
        <v>46210.861689814818</v>
      </c>
      <c r="B1193" t="s">
        <v>40</v>
      </c>
      <c r="C1193" t="s">
        <v>41</v>
      </c>
      <c r="D1193" s="1">
        <v>46210.864733796298</v>
      </c>
      <c r="E1193" t="s">
        <v>42</v>
      </c>
      <c r="F1193" t="s">
        <v>43</v>
      </c>
      <c r="G1193" t="s">
        <v>43</v>
      </c>
      <c r="H1193" t="s">
        <v>43</v>
      </c>
      <c r="I1193" t="s">
        <v>507</v>
      </c>
      <c r="J1193" t="s">
        <v>43</v>
      </c>
      <c r="K1193" t="s">
        <v>43</v>
      </c>
      <c r="L1193" t="s">
        <v>43</v>
      </c>
      <c r="M1193" t="s">
        <v>43</v>
      </c>
      <c r="N1193" t="s">
        <v>45</v>
      </c>
      <c r="O1193" t="s">
        <v>43</v>
      </c>
      <c r="P1193" t="s">
        <v>43</v>
      </c>
      <c r="Q1193" t="s">
        <v>43</v>
      </c>
      <c r="R1193" t="s">
        <v>43</v>
      </c>
      <c r="S1193" t="s">
        <v>43</v>
      </c>
      <c r="T1193" t="s">
        <v>43</v>
      </c>
      <c r="U1193" t="s">
        <v>43</v>
      </c>
      <c r="V1193" t="s">
        <v>43</v>
      </c>
      <c r="W1193" t="s">
        <v>43</v>
      </c>
      <c r="X1193" t="s">
        <v>43</v>
      </c>
      <c r="Y1193" t="s">
        <v>43</v>
      </c>
      <c r="Z1193" t="s">
        <v>43</v>
      </c>
      <c r="AA1193" t="s">
        <v>43</v>
      </c>
      <c r="AB1193" t="s">
        <v>43</v>
      </c>
      <c r="AC1193" t="s">
        <v>43</v>
      </c>
      <c r="AD1193" t="s">
        <v>43</v>
      </c>
      <c r="AE1193" t="s">
        <v>43</v>
      </c>
      <c r="AF1193" t="s">
        <v>43</v>
      </c>
      <c r="AG1193" t="s">
        <v>43</v>
      </c>
      <c r="AH1193" t="s">
        <v>43</v>
      </c>
      <c r="AI1193" t="s">
        <v>43</v>
      </c>
      <c r="AJ1193" t="s">
        <v>43</v>
      </c>
      <c r="AK1193" t="s">
        <v>43</v>
      </c>
      <c r="AL1193" t="s">
        <v>43</v>
      </c>
      <c r="AM1193" t="s">
        <v>43</v>
      </c>
      <c r="AN1193" t="str">
        <f>HYPERLINK("https://www.google.com/maps?q=11.05496407,79.06283569","Open Location")</f>
        <v>Open Location</v>
      </c>
    </row>
    <row r="1194" spans="1:40" x14ac:dyDescent="0.3">
      <c r="A1194" s="1">
        <v>46210.861574074072</v>
      </c>
      <c r="B1194" t="s">
        <v>40</v>
      </c>
      <c r="C1194" t="s">
        <v>41</v>
      </c>
      <c r="D1194" s="1">
        <v>46210.86445601852</v>
      </c>
      <c r="E1194" t="s">
        <v>42</v>
      </c>
      <c r="F1194" t="s">
        <v>43</v>
      </c>
      <c r="G1194" t="s">
        <v>43</v>
      </c>
      <c r="H1194" t="s">
        <v>43</v>
      </c>
      <c r="I1194" t="s">
        <v>508</v>
      </c>
      <c r="J1194" t="s">
        <v>43</v>
      </c>
      <c r="K1194" t="s">
        <v>43</v>
      </c>
      <c r="L1194" t="s">
        <v>43</v>
      </c>
      <c r="M1194" t="s">
        <v>43</v>
      </c>
      <c r="N1194" t="s">
        <v>45</v>
      </c>
      <c r="O1194" t="s">
        <v>43</v>
      </c>
      <c r="P1194" t="s">
        <v>43</v>
      </c>
      <c r="Q1194" t="s">
        <v>43</v>
      </c>
      <c r="R1194" t="s">
        <v>43</v>
      </c>
      <c r="S1194" t="s">
        <v>43</v>
      </c>
      <c r="T1194" t="s">
        <v>43</v>
      </c>
      <c r="U1194" t="s">
        <v>43</v>
      </c>
      <c r="V1194" t="s">
        <v>43</v>
      </c>
      <c r="W1194" t="s">
        <v>43</v>
      </c>
      <c r="X1194" t="s">
        <v>43</v>
      </c>
      <c r="Y1194" t="s">
        <v>43</v>
      </c>
      <c r="Z1194" t="s">
        <v>43</v>
      </c>
      <c r="AA1194" t="s">
        <v>43</v>
      </c>
      <c r="AB1194" t="s">
        <v>43</v>
      </c>
      <c r="AC1194" t="s">
        <v>43</v>
      </c>
      <c r="AD1194" t="s">
        <v>43</v>
      </c>
      <c r="AE1194" t="s">
        <v>43</v>
      </c>
      <c r="AF1194" t="s">
        <v>43</v>
      </c>
      <c r="AG1194" t="s">
        <v>43</v>
      </c>
      <c r="AH1194" t="s">
        <v>43</v>
      </c>
      <c r="AI1194" t="s">
        <v>43</v>
      </c>
      <c r="AJ1194" t="s">
        <v>43</v>
      </c>
      <c r="AK1194" t="s">
        <v>43</v>
      </c>
      <c r="AL1194" t="s">
        <v>43</v>
      </c>
      <c r="AM1194" t="s">
        <v>43</v>
      </c>
      <c r="AN1194" t="str">
        <f>HYPERLINK("https://www.google.com/maps?q=11.05495739,79.06283569","Open Location")</f>
        <v>Open Location</v>
      </c>
    </row>
    <row r="1195" spans="1:40" x14ac:dyDescent="0.3">
      <c r="A1195" s="1">
        <v>46210.861458333333</v>
      </c>
      <c r="B1195" t="s">
        <v>40</v>
      </c>
      <c r="C1195" t="s">
        <v>41</v>
      </c>
      <c r="D1195" s="1">
        <v>46210.86446759259</v>
      </c>
      <c r="E1195" t="s">
        <v>42</v>
      </c>
      <c r="F1195" t="s">
        <v>43</v>
      </c>
      <c r="G1195" t="s">
        <v>43</v>
      </c>
      <c r="H1195" t="s">
        <v>43</v>
      </c>
      <c r="I1195" t="s">
        <v>43</v>
      </c>
      <c r="J1195" t="s">
        <v>43</v>
      </c>
      <c r="K1195" t="s">
        <v>43</v>
      </c>
      <c r="L1195" t="s">
        <v>43</v>
      </c>
      <c r="M1195" t="s">
        <v>43</v>
      </c>
      <c r="N1195" t="s">
        <v>45</v>
      </c>
      <c r="O1195" t="s">
        <v>43</v>
      </c>
      <c r="P1195" t="s">
        <v>43</v>
      </c>
      <c r="Q1195" t="s">
        <v>43</v>
      </c>
      <c r="R1195" t="s">
        <v>43</v>
      </c>
      <c r="S1195" t="s">
        <v>43</v>
      </c>
      <c r="T1195" t="s">
        <v>43</v>
      </c>
      <c r="U1195" t="s">
        <v>43</v>
      </c>
      <c r="V1195" t="s">
        <v>43</v>
      </c>
      <c r="W1195" t="s">
        <v>43</v>
      </c>
      <c r="X1195" t="s">
        <v>43</v>
      </c>
      <c r="Y1195" t="s">
        <v>43</v>
      </c>
      <c r="Z1195" t="s">
        <v>43</v>
      </c>
      <c r="AA1195" t="s">
        <v>43</v>
      </c>
      <c r="AB1195" t="s">
        <v>43</v>
      </c>
      <c r="AC1195" t="s">
        <v>43</v>
      </c>
      <c r="AD1195" t="s">
        <v>43</v>
      </c>
      <c r="AE1195" t="s">
        <v>43</v>
      </c>
      <c r="AF1195" t="s">
        <v>43</v>
      </c>
      <c r="AG1195" t="s">
        <v>43</v>
      </c>
      <c r="AH1195" t="s">
        <v>43</v>
      </c>
      <c r="AI1195" t="s">
        <v>43</v>
      </c>
      <c r="AJ1195" t="s">
        <v>43</v>
      </c>
      <c r="AK1195" t="s">
        <v>43</v>
      </c>
      <c r="AL1195" t="s">
        <v>43</v>
      </c>
      <c r="AM1195" t="s">
        <v>43</v>
      </c>
      <c r="AN1195" t="s">
        <v>43</v>
      </c>
    </row>
    <row r="1196" spans="1:40" x14ac:dyDescent="0.3">
      <c r="A1196" s="1">
        <v>46210.861342592594</v>
      </c>
      <c r="B1196" t="s">
        <v>40</v>
      </c>
      <c r="C1196" t="s">
        <v>41</v>
      </c>
      <c r="D1196" s="1">
        <v>46210.864236111112</v>
      </c>
      <c r="E1196" t="s">
        <v>42</v>
      </c>
      <c r="F1196" t="s">
        <v>43</v>
      </c>
      <c r="G1196" t="s">
        <v>43</v>
      </c>
      <c r="H1196" t="s">
        <v>43</v>
      </c>
      <c r="I1196" t="s">
        <v>508</v>
      </c>
      <c r="J1196" t="s">
        <v>43</v>
      </c>
      <c r="K1196" t="s">
        <v>43</v>
      </c>
      <c r="L1196" t="s">
        <v>43</v>
      </c>
      <c r="M1196" t="s">
        <v>43</v>
      </c>
      <c r="N1196" t="s">
        <v>45</v>
      </c>
      <c r="O1196" t="s">
        <v>43</v>
      </c>
      <c r="P1196" t="s">
        <v>43</v>
      </c>
      <c r="Q1196" t="s">
        <v>43</v>
      </c>
      <c r="R1196" t="s">
        <v>43</v>
      </c>
      <c r="S1196" t="s">
        <v>43</v>
      </c>
      <c r="T1196" t="s">
        <v>43</v>
      </c>
      <c r="U1196" t="s">
        <v>43</v>
      </c>
      <c r="V1196" t="s">
        <v>43</v>
      </c>
      <c r="W1196" t="s">
        <v>43</v>
      </c>
      <c r="X1196" t="s">
        <v>43</v>
      </c>
      <c r="Y1196" t="s">
        <v>43</v>
      </c>
      <c r="Z1196" t="s">
        <v>43</v>
      </c>
      <c r="AA1196" t="s">
        <v>43</v>
      </c>
      <c r="AB1196" t="s">
        <v>43</v>
      </c>
      <c r="AC1196" t="s">
        <v>43</v>
      </c>
      <c r="AD1196" t="s">
        <v>43</v>
      </c>
      <c r="AE1196" t="s">
        <v>43</v>
      </c>
      <c r="AF1196" t="s">
        <v>43</v>
      </c>
      <c r="AG1196" t="s">
        <v>43</v>
      </c>
      <c r="AH1196" t="s">
        <v>43</v>
      </c>
      <c r="AI1196" t="s">
        <v>43</v>
      </c>
      <c r="AJ1196" t="s">
        <v>43</v>
      </c>
      <c r="AK1196" t="s">
        <v>43</v>
      </c>
      <c r="AL1196" t="s">
        <v>43</v>
      </c>
      <c r="AM1196" t="s">
        <v>43</v>
      </c>
      <c r="AN1196" t="str">
        <f>HYPERLINK("https://www.google.com/maps?q=11.05495739,79.06283569","Open Location")</f>
        <v>Open Location</v>
      </c>
    </row>
    <row r="1197" spans="1:40" x14ac:dyDescent="0.3">
      <c r="A1197" s="1">
        <v>46210.861226851855</v>
      </c>
      <c r="B1197" t="s">
        <v>40</v>
      </c>
      <c r="C1197" t="s">
        <v>41</v>
      </c>
      <c r="D1197" s="1">
        <v>46210.863958333335</v>
      </c>
      <c r="E1197" t="s">
        <v>42</v>
      </c>
      <c r="F1197" t="s">
        <v>43</v>
      </c>
      <c r="G1197" t="s">
        <v>43</v>
      </c>
      <c r="H1197" t="s">
        <v>43</v>
      </c>
      <c r="I1197" t="s">
        <v>490</v>
      </c>
      <c r="J1197" t="s">
        <v>43</v>
      </c>
      <c r="K1197" t="s">
        <v>43</v>
      </c>
      <c r="L1197" t="s">
        <v>43</v>
      </c>
      <c r="M1197" t="s">
        <v>43</v>
      </c>
      <c r="N1197" t="s">
        <v>45</v>
      </c>
      <c r="O1197" t="s">
        <v>43</v>
      </c>
      <c r="P1197" t="s">
        <v>43</v>
      </c>
      <c r="Q1197" t="s">
        <v>43</v>
      </c>
      <c r="R1197" t="s">
        <v>43</v>
      </c>
      <c r="S1197" t="s">
        <v>43</v>
      </c>
      <c r="T1197" t="s">
        <v>43</v>
      </c>
      <c r="U1197" t="s">
        <v>43</v>
      </c>
      <c r="V1197" t="s">
        <v>43</v>
      </c>
      <c r="W1197" t="s">
        <v>43</v>
      </c>
      <c r="X1197" t="s">
        <v>43</v>
      </c>
      <c r="Y1197" t="s">
        <v>43</v>
      </c>
      <c r="Z1197" t="s">
        <v>43</v>
      </c>
      <c r="AA1197" t="s">
        <v>43</v>
      </c>
      <c r="AB1197" t="s">
        <v>43</v>
      </c>
      <c r="AC1197" t="s">
        <v>43</v>
      </c>
      <c r="AD1197" t="s">
        <v>43</v>
      </c>
      <c r="AE1197" t="s">
        <v>43</v>
      </c>
      <c r="AF1197" t="s">
        <v>43</v>
      </c>
      <c r="AG1197" t="s">
        <v>43</v>
      </c>
      <c r="AH1197" t="s">
        <v>43</v>
      </c>
      <c r="AI1197" t="s">
        <v>43</v>
      </c>
      <c r="AJ1197" t="s">
        <v>43</v>
      </c>
      <c r="AK1197" t="s">
        <v>43</v>
      </c>
      <c r="AL1197" t="s">
        <v>43</v>
      </c>
      <c r="AM1197" t="s">
        <v>43</v>
      </c>
      <c r="AN1197" t="str">
        <f>HYPERLINK("https://www.google.com/maps?q=11.05495453,79.06283569","Open Location")</f>
        <v>Open Location</v>
      </c>
    </row>
    <row r="1198" spans="1:40" x14ac:dyDescent="0.3">
      <c r="A1198" s="1">
        <v>46210.861111111109</v>
      </c>
      <c r="B1198" t="s">
        <v>40</v>
      </c>
      <c r="C1198" t="s">
        <v>41</v>
      </c>
      <c r="D1198" s="1">
        <v>46210.864212962966</v>
      </c>
      <c r="E1198" t="s">
        <v>42</v>
      </c>
      <c r="F1198" t="s">
        <v>43</v>
      </c>
      <c r="G1198" t="s">
        <v>43</v>
      </c>
      <c r="H1198" t="s">
        <v>43</v>
      </c>
      <c r="I1198" t="s">
        <v>510</v>
      </c>
      <c r="J1198" t="s">
        <v>43</v>
      </c>
      <c r="K1198" t="s">
        <v>43</v>
      </c>
      <c r="L1198" t="s">
        <v>43</v>
      </c>
      <c r="M1198" t="s">
        <v>43</v>
      </c>
      <c r="N1198" t="s">
        <v>45</v>
      </c>
      <c r="O1198" t="s">
        <v>43</v>
      </c>
      <c r="P1198" t="s">
        <v>43</v>
      </c>
      <c r="Q1198" t="s">
        <v>43</v>
      </c>
      <c r="R1198" t="s">
        <v>43</v>
      </c>
      <c r="S1198" t="s">
        <v>43</v>
      </c>
      <c r="T1198" t="s">
        <v>43</v>
      </c>
      <c r="U1198" t="s">
        <v>43</v>
      </c>
      <c r="V1198" t="s">
        <v>43</v>
      </c>
      <c r="W1198" t="s">
        <v>43</v>
      </c>
      <c r="X1198" t="s">
        <v>43</v>
      </c>
      <c r="Y1198" t="s">
        <v>43</v>
      </c>
      <c r="Z1198" t="s">
        <v>43</v>
      </c>
      <c r="AA1198" t="s">
        <v>43</v>
      </c>
      <c r="AB1198" t="s">
        <v>43</v>
      </c>
      <c r="AC1198" t="s">
        <v>43</v>
      </c>
      <c r="AD1198" t="s">
        <v>43</v>
      </c>
      <c r="AE1198" t="s">
        <v>43</v>
      </c>
      <c r="AF1198" t="s">
        <v>43</v>
      </c>
      <c r="AG1198" t="s">
        <v>43</v>
      </c>
      <c r="AH1198" t="s">
        <v>43</v>
      </c>
      <c r="AI1198" t="s">
        <v>43</v>
      </c>
      <c r="AJ1198" t="s">
        <v>43</v>
      </c>
      <c r="AK1198" t="s">
        <v>43</v>
      </c>
      <c r="AL1198" t="s">
        <v>43</v>
      </c>
      <c r="AM1198" t="s">
        <v>43</v>
      </c>
      <c r="AN1198" t="str">
        <f>HYPERLINK("https://www.google.com/maps?q=11.05495262,79.06283569","Open Location")</f>
        <v>Open Location</v>
      </c>
    </row>
    <row r="1199" spans="1:40" x14ac:dyDescent="0.3">
      <c r="A1199" s="1">
        <v>46210.860995370371</v>
      </c>
      <c r="B1199" t="s">
        <v>40</v>
      </c>
      <c r="C1199" t="s">
        <v>41</v>
      </c>
      <c r="D1199" s="1">
        <v>46210.863807870373</v>
      </c>
      <c r="E1199" t="s">
        <v>42</v>
      </c>
      <c r="F1199" t="s">
        <v>43</v>
      </c>
      <c r="G1199" t="s">
        <v>43</v>
      </c>
      <c r="H1199" t="s">
        <v>43</v>
      </c>
      <c r="I1199" t="s">
        <v>539</v>
      </c>
      <c r="J1199" t="s">
        <v>43</v>
      </c>
      <c r="K1199" t="s">
        <v>43</v>
      </c>
      <c r="L1199" t="s">
        <v>43</v>
      </c>
      <c r="M1199" t="s">
        <v>43</v>
      </c>
      <c r="N1199" t="s">
        <v>45</v>
      </c>
      <c r="O1199" t="s">
        <v>43</v>
      </c>
      <c r="P1199" t="s">
        <v>43</v>
      </c>
      <c r="Q1199" t="s">
        <v>43</v>
      </c>
      <c r="R1199" t="s">
        <v>43</v>
      </c>
      <c r="S1199" t="s">
        <v>43</v>
      </c>
      <c r="T1199" t="s">
        <v>43</v>
      </c>
      <c r="U1199" t="s">
        <v>43</v>
      </c>
      <c r="V1199" t="s">
        <v>43</v>
      </c>
      <c r="W1199" t="s">
        <v>43</v>
      </c>
      <c r="X1199" t="s">
        <v>43</v>
      </c>
      <c r="Y1199" t="s">
        <v>43</v>
      </c>
      <c r="Z1199" t="s">
        <v>43</v>
      </c>
      <c r="AA1199" t="s">
        <v>43</v>
      </c>
      <c r="AB1199" t="s">
        <v>43</v>
      </c>
      <c r="AC1199" t="s">
        <v>43</v>
      </c>
      <c r="AD1199" t="s">
        <v>43</v>
      </c>
      <c r="AE1199" t="s">
        <v>43</v>
      </c>
      <c r="AF1199" t="s">
        <v>43</v>
      </c>
      <c r="AG1199" t="s">
        <v>43</v>
      </c>
      <c r="AH1199" t="s">
        <v>43</v>
      </c>
      <c r="AI1199" t="s">
        <v>43</v>
      </c>
      <c r="AJ1199" t="s">
        <v>43</v>
      </c>
      <c r="AK1199" t="s">
        <v>43</v>
      </c>
      <c r="AL1199" t="s">
        <v>43</v>
      </c>
      <c r="AM1199" t="s">
        <v>43</v>
      </c>
      <c r="AN1199" t="str">
        <f>HYPERLINK("https://www.google.com/maps?q=11.05494785,79.06282043","Open Location")</f>
        <v>Open Location</v>
      </c>
    </row>
    <row r="1200" spans="1:40" x14ac:dyDescent="0.3">
      <c r="A1200" s="1">
        <v>46210.860879629632</v>
      </c>
      <c r="B1200" t="s">
        <v>40</v>
      </c>
      <c r="C1200" t="s">
        <v>41</v>
      </c>
      <c r="D1200" s="1">
        <v>46210.863726851851</v>
      </c>
      <c r="E1200" t="s">
        <v>42</v>
      </c>
      <c r="F1200" t="s">
        <v>43</v>
      </c>
      <c r="G1200" t="s">
        <v>43</v>
      </c>
      <c r="H1200" t="s">
        <v>43</v>
      </c>
      <c r="I1200" t="s">
        <v>43</v>
      </c>
      <c r="J1200" t="s">
        <v>43</v>
      </c>
      <c r="K1200" t="s">
        <v>43</v>
      </c>
      <c r="L1200" t="s">
        <v>43</v>
      </c>
      <c r="M1200" t="s">
        <v>43</v>
      </c>
      <c r="N1200" t="s">
        <v>45</v>
      </c>
      <c r="O1200" t="s">
        <v>43</v>
      </c>
      <c r="P1200" t="s">
        <v>43</v>
      </c>
      <c r="Q1200" t="s">
        <v>43</v>
      </c>
      <c r="R1200" t="s">
        <v>43</v>
      </c>
      <c r="S1200" t="s">
        <v>43</v>
      </c>
      <c r="T1200" t="s">
        <v>43</v>
      </c>
      <c r="U1200" t="s">
        <v>43</v>
      </c>
      <c r="V1200" t="s">
        <v>43</v>
      </c>
      <c r="W1200" t="s">
        <v>43</v>
      </c>
      <c r="X1200" t="s">
        <v>43</v>
      </c>
      <c r="Y1200" t="s">
        <v>43</v>
      </c>
      <c r="Z1200" t="s">
        <v>43</v>
      </c>
      <c r="AA1200" t="s">
        <v>43</v>
      </c>
      <c r="AB1200" t="s">
        <v>43</v>
      </c>
      <c r="AC1200" t="s">
        <v>43</v>
      </c>
      <c r="AD1200" t="s">
        <v>43</v>
      </c>
      <c r="AE1200" t="s">
        <v>43</v>
      </c>
      <c r="AF1200" t="s">
        <v>43</v>
      </c>
      <c r="AG1200" t="s">
        <v>43</v>
      </c>
      <c r="AH1200" t="s">
        <v>43</v>
      </c>
      <c r="AI1200" t="s">
        <v>43</v>
      </c>
      <c r="AJ1200" t="s">
        <v>43</v>
      </c>
      <c r="AK1200" t="s">
        <v>43</v>
      </c>
      <c r="AL1200" t="s">
        <v>43</v>
      </c>
      <c r="AM1200" t="s">
        <v>43</v>
      </c>
      <c r="AN1200" t="s">
        <v>43</v>
      </c>
    </row>
    <row r="1201" spans="1:40" x14ac:dyDescent="0.3">
      <c r="A1201" s="1">
        <v>46210.860763888886</v>
      </c>
      <c r="B1201" t="s">
        <v>40</v>
      </c>
      <c r="C1201" t="s">
        <v>41</v>
      </c>
      <c r="D1201" s="1">
        <v>46210.863483796296</v>
      </c>
      <c r="E1201" t="s">
        <v>42</v>
      </c>
      <c r="F1201" t="s">
        <v>43</v>
      </c>
      <c r="G1201" t="s">
        <v>43</v>
      </c>
      <c r="H1201" t="s">
        <v>43</v>
      </c>
      <c r="I1201" t="s">
        <v>539</v>
      </c>
      <c r="J1201" t="s">
        <v>43</v>
      </c>
      <c r="K1201" t="s">
        <v>43</v>
      </c>
      <c r="L1201" t="s">
        <v>43</v>
      </c>
      <c r="M1201" t="s">
        <v>43</v>
      </c>
      <c r="N1201" t="s">
        <v>45</v>
      </c>
      <c r="O1201" t="s">
        <v>43</v>
      </c>
      <c r="P1201" t="s">
        <v>43</v>
      </c>
      <c r="Q1201" t="s">
        <v>43</v>
      </c>
      <c r="R1201" t="s">
        <v>43</v>
      </c>
      <c r="S1201" t="s">
        <v>43</v>
      </c>
      <c r="T1201" t="s">
        <v>43</v>
      </c>
      <c r="U1201" t="s">
        <v>43</v>
      </c>
      <c r="V1201" t="s">
        <v>43</v>
      </c>
      <c r="W1201" t="s">
        <v>43</v>
      </c>
      <c r="X1201" t="s">
        <v>43</v>
      </c>
      <c r="Y1201" t="s">
        <v>43</v>
      </c>
      <c r="Z1201" t="s">
        <v>43</v>
      </c>
      <c r="AA1201" t="s">
        <v>43</v>
      </c>
      <c r="AB1201" t="s">
        <v>43</v>
      </c>
      <c r="AC1201" t="s">
        <v>43</v>
      </c>
      <c r="AD1201" t="s">
        <v>43</v>
      </c>
      <c r="AE1201" t="s">
        <v>43</v>
      </c>
      <c r="AF1201" t="s">
        <v>43</v>
      </c>
      <c r="AG1201" t="s">
        <v>43</v>
      </c>
      <c r="AH1201" t="s">
        <v>43</v>
      </c>
      <c r="AI1201" t="s">
        <v>43</v>
      </c>
      <c r="AJ1201" t="s">
        <v>43</v>
      </c>
      <c r="AK1201" t="s">
        <v>43</v>
      </c>
      <c r="AL1201" t="s">
        <v>43</v>
      </c>
      <c r="AM1201" t="s">
        <v>43</v>
      </c>
      <c r="AN1201" t="str">
        <f>HYPERLINK("https://www.google.com/maps?q=11.05494785,79.06282043","Open Location")</f>
        <v>Open Location</v>
      </c>
    </row>
    <row r="1202" spans="1:40" x14ac:dyDescent="0.3">
      <c r="A1202" s="1">
        <v>46210.860648148147</v>
      </c>
      <c r="B1202" t="s">
        <v>40</v>
      </c>
      <c r="C1202" t="s">
        <v>41</v>
      </c>
      <c r="D1202" s="1">
        <v>46210.86347222222</v>
      </c>
      <c r="E1202" t="s">
        <v>42</v>
      </c>
      <c r="F1202" t="s">
        <v>43</v>
      </c>
      <c r="G1202" t="s">
        <v>43</v>
      </c>
      <c r="H1202" t="s">
        <v>43</v>
      </c>
      <c r="I1202" t="s">
        <v>540</v>
      </c>
      <c r="J1202" t="s">
        <v>43</v>
      </c>
      <c r="K1202" t="s">
        <v>43</v>
      </c>
      <c r="L1202" t="s">
        <v>43</v>
      </c>
      <c r="M1202" t="s">
        <v>43</v>
      </c>
      <c r="N1202" t="s">
        <v>45</v>
      </c>
      <c r="O1202" t="s">
        <v>43</v>
      </c>
      <c r="P1202" t="s">
        <v>43</v>
      </c>
      <c r="Q1202" t="s">
        <v>43</v>
      </c>
      <c r="R1202" t="s">
        <v>43</v>
      </c>
      <c r="S1202" t="s">
        <v>43</v>
      </c>
      <c r="T1202" t="s">
        <v>43</v>
      </c>
      <c r="U1202" t="s">
        <v>43</v>
      </c>
      <c r="V1202" t="s">
        <v>43</v>
      </c>
      <c r="W1202" t="s">
        <v>43</v>
      </c>
      <c r="X1202" t="s">
        <v>43</v>
      </c>
      <c r="Y1202" t="s">
        <v>43</v>
      </c>
      <c r="Z1202" t="s">
        <v>43</v>
      </c>
      <c r="AA1202" t="s">
        <v>43</v>
      </c>
      <c r="AB1202" t="s">
        <v>43</v>
      </c>
      <c r="AC1202" t="s">
        <v>43</v>
      </c>
      <c r="AD1202" t="s">
        <v>43</v>
      </c>
      <c r="AE1202" t="s">
        <v>43</v>
      </c>
      <c r="AF1202" t="s">
        <v>43</v>
      </c>
      <c r="AG1202" t="s">
        <v>43</v>
      </c>
      <c r="AH1202" t="s">
        <v>43</v>
      </c>
      <c r="AI1202" t="s">
        <v>43</v>
      </c>
      <c r="AJ1202" t="s">
        <v>43</v>
      </c>
      <c r="AK1202" t="s">
        <v>43</v>
      </c>
      <c r="AL1202" t="s">
        <v>43</v>
      </c>
      <c r="AM1202" t="s">
        <v>43</v>
      </c>
      <c r="AN1202" t="str">
        <f>HYPERLINK("https://www.google.com/maps?q=11.05494881,79.06282043","Open Location")</f>
        <v>Open Location</v>
      </c>
    </row>
    <row r="1203" spans="1:40" x14ac:dyDescent="0.3">
      <c r="A1203" s="1">
        <v>46210.860532407409</v>
      </c>
      <c r="B1203" t="s">
        <v>40</v>
      </c>
      <c r="C1203" t="s">
        <v>41</v>
      </c>
      <c r="D1203" s="1">
        <v>46210.863483796296</v>
      </c>
      <c r="E1203" t="s">
        <v>42</v>
      </c>
      <c r="F1203" t="s">
        <v>43</v>
      </c>
      <c r="G1203" t="s">
        <v>43</v>
      </c>
      <c r="H1203" t="s">
        <v>43</v>
      </c>
      <c r="I1203" t="s">
        <v>541</v>
      </c>
      <c r="J1203" t="s">
        <v>43</v>
      </c>
      <c r="K1203" t="s">
        <v>43</v>
      </c>
      <c r="L1203" t="s">
        <v>43</v>
      </c>
      <c r="M1203" t="s">
        <v>43</v>
      </c>
      <c r="N1203" t="s">
        <v>45</v>
      </c>
      <c r="O1203" t="s">
        <v>43</v>
      </c>
      <c r="P1203" t="s">
        <v>43</v>
      </c>
      <c r="Q1203" t="s">
        <v>43</v>
      </c>
      <c r="R1203" t="s">
        <v>43</v>
      </c>
      <c r="S1203" t="s">
        <v>43</v>
      </c>
      <c r="T1203" t="s">
        <v>43</v>
      </c>
      <c r="U1203" t="s">
        <v>43</v>
      </c>
      <c r="V1203" t="s">
        <v>43</v>
      </c>
      <c r="W1203" t="s">
        <v>43</v>
      </c>
      <c r="X1203" t="s">
        <v>43</v>
      </c>
      <c r="Y1203" t="s">
        <v>43</v>
      </c>
      <c r="Z1203" t="s">
        <v>43</v>
      </c>
      <c r="AA1203" t="s">
        <v>43</v>
      </c>
      <c r="AB1203" t="s">
        <v>43</v>
      </c>
      <c r="AC1203" t="s">
        <v>43</v>
      </c>
      <c r="AD1203" t="s">
        <v>43</v>
      </c>
      <c r="AE1203" t="s">
        <v>43</v>
      </c>
      <c r="AF1203" t="s">
        <v>43</v>
      </c>
      <c r="AG1203" t="s">
        <v>43</v>
      </c>
      <c r="AH1203" t="s">
        <v>43</v>
      </c>
      <c r="AI1203" t="s">
        <v>43</v>
      </c>
      <c r="AJ1203" t="s">
        <v>43</v>
      </c>
      <c r="AK1203" t="s">
        <v>43</v>
      </c>
      <c r="AL1203" t="s">
        <v>43</v>
      </c>
      <c r="AM1203" t="s">
        <v>43</v>
      </c>
      <c r="AN1203" t="str">
        <f>HYPERLINK("https://www.google.com/maps?q=11.05495358,79.06281281","Open Location")</f>
        <v>Open Location</v>
      </c>
    </row>
    <row r="1204" spans="1:40" x14ac:dyDescent="0.3">
      <c r="A1204" s="1">
        <v>46210.86041666667</v>
      </c>
      <c r="B1204" t="s">
        <v>40</v>
      </c>
      <c r="C1204" t="s">
        <v>41</v>
      </c>
      <c r="D1204" s="1">
        <v>46210.863356481481</v>
      </c>
      <c r="E1204" t="s">
        <v>42</v>
      </c>
      <c r="F1204" t="s">
        <v>43</v>
      </c>
      <c r="G1204" t="s">
        <v>43</v>
      </c>
      <c r="H1204" t="s">
        <v>43</v>
      </c>
      <c r="I1204" t="s">
        <v>539</v>
      </c>
      <c r="J1204" t="s">
        <v>43</v>
      </c>
      <c r="K1204" t="s">
        <v>43</v>
      </c>
      <c r="L1204" t="s">
        <v>43</v>
      </c>
      <c r="M1204" t="s">
        <v>43</v>
      </c>
      <c r="N1204" t="s">
        <v>45</v>
      </c>
      <c r="O1204" t="s">
        <v>43</v>
      </c>
      <c r="P1204" t="s">
        <v>43</v>
      </c>
      <c r="Q1204" t="s">
        <v>43</v>
      </c>
      <c r="R1204" t="s">
        <v>43</v>
      </c>
      <c r="S1204" t="s">
        <v>43</v>
      </c>
      <c r="T1204" t="s">
        <v>43</v>
      </c>
      <c r="U1204" t="s">
        <v>43</v>
      </c>
      <c r="V1204" t="s">
        <v>43</v>
      </c>
      <c r="W1204" t="s">
        <v>43</v>
      </c>
      <c r="X1204" t="s">
        <v>43</v>
      </c>
      <c r="Y1204" t="s">
        <v>43</v>
      </c>
      <c r="Z1204" t="s">
        <v>43</v>
      </c>
      <c r="AA1204" t="s">
        <v>43</v>
      </c>
      <c r="AB1204" t="s">
        <v>43</v>
      </c>
      <c r="AC1204" t="s">
        <v>43</v>
      </c>
      <c r="AD1204" t="s">
        <v>43</v>
      </c>
      <c r="AE1204" t="s">
        <v>43</v>
      </c>
      <c r="AF1204" t="s">
        <v>43</v>
      </c>
      <c r="AG1204" t="s">
        <v>43</v>
      </c>
      <c r="AH1204" t="s">
        <v>43</v>
      </c>
      <c r="AI1204" t="s">
        <v>43</v>
      </c>
      <c r="AJ1204" t="s">
        <v>43</v>
      </c>
      <c r="AK1204" t="s">
        <v>43</v>
      </c>
      <c r="AL1204" t="s">
        <v>43</v>
      </c>
      <c r="AM1204" t="s">
        <v>43</v>
      </c>
      <c r="AN1204" t="str">
        <f>HYPERLINK("https://www.google.com/maps?q=11.05494785,79.06282043","Open Location")</f>
        <v>Open Location</v>
      </c>
    </row>
    <row r="1205" spans="1:40" x14ac:dyDescent="0.3">
      <c r="A1205" s="1">
        <v>46210.860300925924</v>
      </c>
      <c r="B1205" t="s">
        <v>40</v>
      </c>
      <c r="C1205" t="s">
        <v>41</v>
      </c>
      <c r="D1205" s="1">
        <v>46210.863113425927</v>
      </c>
      <c r="E1205" t="s">
        <v>42</v>
      </c>
      <c r="F1205" t="s">
        <v>43</v>
      </c>
      <c r="G1205" t="s">
        <v>43</v>
      </c>
      <c r="H1205" t="s">
        <v>43</v>
      </c>
      <c r="I1205" t="s">
        <v>542</v>
      </c>
      <c r="J1205" t="s">
        <v>43</v>
      </c>
      <c r="K1205" t="s">
        <v>43</v>
      </c>
      <c r="L1205" t="s">
        <v>43</v>
      </c>
      <c r="M1205" t="s">
        <v>43</v>
      </c>
      <c r="N1205" t="s">
        <v>45</v>
      </c>
      <c r="O1205" t="s">
        <v>43</v>
      </c>
      <c r="P1205" t="s">
        <v>43</v>
      </c>
      <c r="Q1205" t="s">
        <v>43</v>
      </c>
      <c r="R1205" t="s">
        <v>43</v>
      </c>
      <c r="S1205" t="s">
        <v>43</v>
      </c>
      <c r="T1205" t="s">
        <v>43</v>
      </c>
      <c r="U1205" t="s">
        <v>43</v>
      </c>
      <c r="V1205" t="s">
        <v>43</v>
      </c>
      <c r="W1205" t="s">
        <v>43</v>
      </c>
      <c r="X1205" t="s">
        <v>43</v>
      </c>
      <c r="Y1205" t="s">
        <v>43</v>
      </c>
      <c r="Z1205" t="s">
        <v>43</v>
      </c>
      <c r="AA1205" t="s">
        <v>43</v>
      </c>
      <c r="AB1205" t="s">
        <v>43</v>
      </c>
      <c r="AC1205" t="s">
        <v>43</v>
      </c>
      <c r="AD1205" t="s">
        <v>43</v>
      </c>
      <c r="AE1205" t="s">
        <v>43</v>
      </c>
      <c r="AF1205" t="s">
        <v>43</v>
      </c>
      <c r="AG1205" t="s">
        <v>43</v>
      </c>
      <c r="AH1205" t="s">
        <v>43</v>
      </c>
      <c r="AI1205" t="s">
        <v>43</v>
      </c>
      <c r="AJ1205" t="s">
        <v>43</v>
      </c>
      <c r="AK1205" t="s">
        <v>43</v>
      </c>
      <c r="AL1205" t="s">
        <v>43</v>
      </c>
      <c r="AM1205" t="s">
        <v>43</v>
      </c>
      <c r="AN1205" t="str">
        <f>HYPERLINK("https://www.google.com/maps?q=11.05493832,79.06284332","Open Location")</f>
        <v>Open Location</v>
      </c>
    </row>
    <row r="1206" spans="1:40" x14ac:dyDescent="0.3">
      <c r="A1206" s="1">
        <v>46210.860185185185</v>
      </c>
      <c r="B1206" t="s">
        <v>40</v>
      </c>
      <c r="C1206" t="s">
        <v>41</v>
      </c>
      <c r="D1206" s="1">
        <v>46210.863113425927</v>
      </c>
      <c r="E1206" t="s">
        <v>42</v>
      </c>
      <c r="F1206" t="s">
        <v>43</v>
      </c>
      <c r="G1206" t="s">
        <v>43</v>
      </c>
      <c r="H1206" t="s">
        <v>43</v>
      </c>
      <c r="I1206" t="s">
        <v>43</v>
      </c>
      <c r="J1206" t="s">
        <v>43</v>
      </c>
      <c r="K1206" t="s">
        <v>43</v>
      </c>
      <c r="L1206" t="s">
        <v>43</v>
      </c>
      <c r="M1206" t="s">
        <v>43</v>
      </c>
      <c r="N1206" t="s">
        <v>45</v>
      </c>
      <c r="O1206" t="s">
        <v>43</v>
      </c>
      <c r="P1206" t="s">
        <v>43</v>
      </c>
      <c r="Q1206" t="s">
        <v>43</v>
      </c>
      <c r="R1206" t="s">
        <v>43</v>
      </c>
      <c r="S1206" t="s">
        <v>43</v>
      </c>
      <c r="T1206" t="s">
        <v>43</v>
      </c>
      <c r="U1206" t="s">
        <v>43</v>
      </c>
      <c r="V1206" t="s">
        <v>43</v>
      </c>
      <c r="W1206" t="s">
        <v>43</v>
      </c>
      <c r="X1206" t="s">
        <v>43</v>
      </c>
      <c r="Y1206" t="s">
        <v>43</v>
      </c>
      <c r="Z1206" t="s">
        <v>43</v>
      </c>
      <c r="AA1206" t="s">
        <v>43</v>
      </c>
      <c r="AB1206" t="s">
        <v>43</v>
      </c>
      <c r="AC1206" t="s">
        <v>43</v>
      </c>
      <c r="AD1206" t="s">
        <v>43</v>
      </c>
      <c r="AE1206" t="s">
        <v>43</v>
      </c>
      <c r="AF1206" t="s">
        <v>43</v>
      </c>
      <c r="AG1206" t="s">
        <v>43</v>
      </c>
      <c r="AH1206" t="s">
        <v>43</v>
      </c>
      <c r="AI1206" t="s">
        <v>43</v>
      </c>
      <c r="AJ1206" t="s">
        <v>43</v>
      </c>
      <c r="AK1206" t="s">
        <v>43</v>
      </c>
      <c r="AL1206" t="s">
        <v>43</v>
      </c>
      <c r="AM1206" t="s">
        <v>43</v>
      </c>
      <c r="AN1206" t="s">
        <v>43</v>
      </c>
    </row>
    <row r="1207" spans="1:40" x14ac:dyDescent="0.3">
      <c r="A1207" s="1">
        <v>46210.860069444447</v>
      </c>
      <c r="B1207" t="s">
        <v>40</v>
      </c>
      <c r="C1207" t="s">
        <v>41</v>
      </c>
      <c r="D1207" s="1">
        <v>46210.86309027778</v>
      </c>
      <c r="E1207" t="s">
        <v>42</v>
      </c>
      <c r="F1207" t="s">
        <v>43</v>
      </c>
      <c r="G1207" t="s">
        <v>43</v>
      </c>
      <c r="H1207" t="s">
        <v>43</v>
      </c>
      <c r="I1207" t="s">
        <v>543</v>
      </c>
      <c r="J1207" t="s">
        <v>43</v>
      </c>
      <c r="K1207" t="s">
        <v>43</v>
      </c>
      <c r="L1207" t="s">
        <v>43</v>
      </c>
      <c r="M1207" t="s">
        <v>43</v>
      </c>
      <c r="N1207" t="s">
        <v>45</v>
      </c>
      <c r="O1207" t="s">
        <v>43</v>
      </c>
      <c r="P1207" t="s">
        <v>43</v>
      </c>
      <c r="Q1207" t="s">
        <v>43</v>
      </c>
      <c r="R1207" t="s">
        <v>43</v>
      </c>
      <c r="S1207" t="s">
        <v>43</v>
      </c>
      <c r="T1207" t="s">
        <v>43</v>
      </c>
      <c r="U1207" t="s">
        <v>43</v>
      </c>
      <c r="V1207" t="s">
        <v>43</v>
      </c>
      <c r="W1207" t="s">
        <v>43</v>
      </c>
      <c r="X1207" t="s">
        <v>43</v>
      </c>
      <c r="Y1207" t="s">
        <v>43</v>
      </c>
      <c r="Z1207" t="s">
        <v>43</v>
      </c>
      <c r="AA1207" t="s">
        <v>43</v>
      </c>
      <c r="AB1207" t="s">
        <v>43</v>
      </c>
      <c r="AC1207" t="s">
        <v>43</v>
      </c>
      <c r="AD1207" t="s">
        <v>43</v>
      </c>
      <c r="AE1207" t="s">
        <v>43</v>
      </c>
      <c r="AF1207" t="s">
        <v>43</v>
      </c>
      <c r="AG1207" t="s">
        <v>43</v>
      </c>
      <c r="AH1207" t="s">
        <v>43</v>
      </c>
      <c r="AI1207" t="s">
        <v>43</v>
      </c>
      <c r="AJ1207" t="s">
        <v>43</v>
      </c>
      <c r="AK1207" t="s">
        <v>43</v>
      </c>
      <c r="AL1207" t="s">
        <v>43</v>
      </c>
      <c r="AM1207" t="s">
        <v>43</v>
      </c>
      <c r="AN1207" t="str">
        <f>HYPERLINK("https://www.google.com/maps?q=11.05492592,79.06285858","Open Location")</f>
        <v>Open Location</v>
      </c>
    </row>
    <row r="1208" spans="1:40" x14ac:dyDescent="0.3">
      <c r="A1208" s="1">
        <v>46210.859953703701</v>
      </c>
      <c r="B1208" t="s">
        <v>40</v>
      </c>
      <c r="C1208" t="s">
        <v>41</v>
      </c>
      <c r="D1208" s="1">
        <v>46210.86309027778</v>
      </c>
      <c r="E1208" t="s">
        <v>42</v>
      </c>
      <c r="F1208" t="s">
        <v>43</v>
      </c>
      <c r="G1208" t="s">
        <v>43</v>
      </c>
      <c r="H1208" t="s">
        <v>43</v>
      </c>
      <c r="I1208" t="s">
        <v>544</v>
      </c>
      <c r="J1208" t="s">
        <v>43</v>
      </c>
      <c r="K1208" t="s">
        <v>43</v>
      </c>
      <c r="L1208" t="s">
        <v>43</v>
      </c>
      <c r="M1208" t="s">
        <v>43</v>
      </c>
      <c r="N1208" t="s">
        <v>45</v>
      </c>
      <c r="O1208" t="s">
        <v>43</v>
      </c>
      <c r="P1208" t="s">
        <v>43</v>
      </c>
      <c r="Q1208" t="s">
        <v>43</v>
      </c>
      <c r="R1208" t="s">
        <v>43</v>
      </c>
      <c r="S1208" t="s">
        <v>43</v>
      </c>
      <c r="T1208" t="s">
        <v>43</v>
      </c>
      <c r="U1208" t="s">
        <v>43</v>
      </c>
      <c r="V1208" t="s">
        <v>43</v>
      </c>
      <c r="W1208" t="s">
        <v>43</v>
      </c>
      <c r="X1208" t="s">
        <v>43</v>
      </c>
      <c r="Y1208" t="s">
        <v>43</v>
      </c>
      <c r="Z1208" t="s">
        <v>43</v>
      </c>
      <c r="AA1208" t="s">
        <v>43</v>
      </c>
      <c r="AB1208" t="s">
        <v>43</v>
      </c>
      <c r="AC1208" t="s">
        <v>43</v>
      </c>
      <c r="AD1208" t="s">
        <v>43</v>
      </c>
      <c r="AE1208" t="s">
        <v>43</v>
      </c>
      <c r="AF1208" t="s">
        <v>43</v>
      </c>
      <c r="AG1208" t="s">
        <v>43</v>
      </c>
      <c r="AH1208" t="s">
        <v>43</v>
      </c>
      <c r="AI1208" t="s">
        <v>43</v>
      </c>
      <c r="AJ1208" t="s">
        <v>43</v>
      </c>
      <c r="AK1208" t="s">
        <v>43</v>
      </c>
      <c r="AL1208" t="s">
        <v>43</v>
      </c>
      <c r="AM1208" t="s">
        <v>43</v>
      </c>
      <c r="AN1208" t="str">
        <f>HYPERLINK("https://www.google.com/maps?q=11.05492496,79.06287384","Open Location")</f>
        <v>Open Location</v>
      </c>
    </row>
    <row r="1209" spans="1:40" x14ac:dyDescent="0.3">
      <c r="A1209" s="1">
        <v>46210.859837962962</v>
      </c>
      <c r="B1209" t="s">
        <v>40</v>
      </c>
      <c r="C1209" t="s">
        <v>41</v>
      </c>
      <c r="D1209" s="1">
        <v>46210.862662037034</v>
      </c>
      <c r="E1209" t="s">
        <v>42</v>
      </c>
      <c r="F1209" t="s">
        <v>43</v>
      </c>
      <c r="G1209" t="s">
        <v>43</v>
      </c>
      <c r="H1209" t="s">
        <v>43</v>
      </c>
      <c r="I1209" t="s">
        <v>544</v>
      </c>
      <c r="J1209" t="s">
        <v>43</v>
      </c>
      <c r="K1209" t="s">
        <v>43</v>
      </c>
      <c r="L1209" t="s">
        <v>43</v>
      </c>
      <c r="M1209" t="s">
        <v>43</v>
      </c>
      <c r="N1209" t="s">
        <v>45</v>
      </c>
      <c r="O1209" t="s">
        <v>43</v>
      </c>
      <c r="P1209" t="s">
        <v>43</v>
      </c>
      <c r="Q1209" t="s">
        <v>43</v>
      </c>
      <c r="R1209" t="s">
        <v>43</v>
      </c>
      <c r="S1209" t="s">
        <v>43</v>
      </c>
      <c r="T1209" t="s">
        <v>43</v>
      </c>
      <c r="U1209" t="s">
        <v>43</v>
      </c>
      <c r="V1209" t="s">
        <v>43</v>
      </c>
      <c r="W1209" t="s">
        <v>43</v>
      </c>
      <c r="X1209" t="s">
        <v>43</v>
      </c>
      <c r="Y1209" t="s">
        <v>43</v>
      </c>
      <c r="Z1209" t="s">
        <v>43</v>
      </c>
      <c r="AA1209" t="s">
        <v>43</v>
      </c>
      <c r="AB1209" t="s">
        <v>43</v>
      </c>
      <c r="AC1209" t="s">
        <v>43</v>
      </c>
      <c r="AD1209" t="s">
        <v>43</v>
      </c>
      <c r="AE1209" t="s">
        <v>43</v>
      </c>
      <c r="AF1209" t="s">
        <v>43</v>
      </c>
      <c r="AG1209" t="s">
        <v>43</v>
      </c>
      <c r="AH1209" t="s">
        <v>43</v>
      </c>
      <c r="AI1209" t="s">
        <v>43</v>
      </c>
      <c r="AJ1209" t="s">
        <v>43</v>
      </c>
      <c r="AK1209" t="s">
        <v>43</v>
      </c>
      <c r="AL1209" t="s">
        <v>43</v>
      </c>
      <c r="AM1209" t="s">
        <v>43</v>
      </c>
      <c r="AN1209" t="str">
        <f>HYPERLINK("https://www.google.com/maps?q=11.05492496,79.06287384","Open Location")</f>
        <v>Open Location</v>
      </c>
    </row>
    <row r="1210" spans="1:40" x14ac:dyDescent="0.3">
      <c r="A1210" s="1">
        <v>46210.859722222223</v>
      </c>
      <c r="B1210" t="s">
        <v>40</v>
      </c>
      <c r="C1210" t="s">
        <v>41</v>
      </c>
      <c r="D1210" s="1">
        <v>46210.862673611111</v>
      </c>
      <c r="E1210" t="s">
        <v>42</v>
      </c>
      <c r="F1210" t="s">
        <v>43</v>
      </c>
      <c r="G1210" t="s">
        <v>43</v>
      </c>
      <c r="H1210" t="s">
        <v>43</v>
      </c>
      <c r="I1210" t="s">
        <v>545</v>
      </c>
      <c r="J1210" t="s">
        <v>43</v>
      </c>
      <c r="K1210" t="s">
        <v>43</v>
      </c>
      <c r="L1210" t="s">
        <v>43</v>
      </c>
      <c r="M1210" t="s">
        <v>43</v>
      </c>
      <c r="N1210" t="s">
        <v>45</v>
      </c>
      <c r="O1210" t="s">
        <v>43</v>
      </c>
      <c r="P1210" t="s">
        <v>43</v>
      </c>
      <c r="Q1210" t="s">
        <v>43</v>
      </c>
      <c r="R1210" t="s">
        <v>43</v>
      </c>
      <c r="S1210" t="s">
        <v>43</v>
      </c>
      <c r="T1210" t="s">
        <v>43</v>
      </c>
      <c r="U1210" t="s">
        <v>43</v>
      </c>
      <c r="V1210" t="s">
        <v>43</v>
      </c>
      <c r="W1210" t="s">
        <v>43</v>
      </c>
      <c r="X1210" t="s">
        <v>43</v>
      </c>
      <c r="Y1210" t="s">
        <v>43</v>
      </c>
      <c r="Z1210" t="s">
        <v>43</v>
      </c>
      <c r="AA1210" t="s">
        <v>43</v>
      </c>
      <c r="AB1210" t="s">
        <v>43</v>
      </c>
      <c r="AC1210" t="s">
        <v>43</v>
      </c>
      <c r="AD1210" t="s">
        <v>43</v>
      </c>
      <c r="AE1210" t="s">
        <v>43</v>
      </c>
      <c r="AF1210" t="s">
        <v>43</v>
      </c>
      <c r="AG1210" t="s">
        <v>43</v>
      </c>
      <c r="AH1210" t="s">
        <v>43</v>
      </c>
      <c r="AI1210" t="s">
        <v>43</v>
      </c>
      <c r="AJ1210" t="s">
        <v>43</v>
      </c>
      <c r="AK1210" t="s">
        <v>43</v>
      </c>
      <c r="AL1210" t="s">
        <v>43</v>
      </c>
      <c r="AM1210" t="s">
        <v>43</v>
      </c>
      <c r="AN1210" t="str">
        <f>HYPERLINK("https://www.google.com/maps?q=11.05493259,79.06287384","Open Location")</f>
        <v>Open Location</v>
      </c>
    </row>
    <row r="1211" spans="1:40" x14ac:dyDescent="0.3">
      <c r="A1211" s="1">
        <v>46210.859606481485</v>
      </c>
      <c r="B1211" t="s">
        <v>40</v>
      </c>
      <c r="C1211" t="s">
        <v>41</v>
      </c>
      <c r="D1211" s="1">
        <v>46210.862511574072</v>
      </c>
      <c r="E1211" t="s">
        <v>42</v>
      </c>
      <c r="F1211" t="s">
        <v>43</v>
      </c>
      <c r="G1211" t="s">
        <v>43</v>
      </c>
      <c r="H1211" t="s">
        <v>43</v>
      </c>
      <c r="I1211" t="s">
        <v>546</v>
      </c>
      <c r="J1211" t="s">
        <v>43</v>
      </c>
      <c r="K1211" t="s">
        <v>43</v>
      </c>
      <c r="L1211" t="s">
        <v>43</v>
      </c>
      <c r="M1211" t="s">
        <v>43</v>
      </c>
      <c r="N1211" t="s">
        <v>45</v>
      </c>
      <c r="O1211" t="s">
        <v>43</v>
      </c>
      <c r="P1211" t="s">
        <v>43</v>
      </c>
      <c r="Q1211" t="s">
        <v>43</v>
      </c>
      <c r="R1211" t="s">
        <v>43</v>
      </c>
      <c r="S1211" t="s">
        <v>43</v>
      </c>
      <c r="T1211" t="s">
        <v>43</v>
      </c>
      <c r="U1211" t="s">
        <v>43</v>
      </c>
      <c r="V1211" t="s">
        <v>43</v>
      </c>
      <c r="W1211" t="s">
        <v>43</v>
      </c>
      <c r="X1211" t="s">
        <v>43</v>
      </c>
      <c r="Y1211" t="s">
        <v>43</v>
      </c>
      <c r="Z1211" t="s">
        <v>43</v>
      </c>
      <c r="AA1211" t="s">
        <v>43</v>
      </c>
      <c r="AB1211" t="s">
        <v>43</v>
      </c>
      <c r="AC1211" t="s">
        <v>43</v>
      </c>
      <c r="AD1211" t="s">
        <v>43</v>
      </c>
      <c r="AE1211" t="s">
        <v>43</v>
      </c>
      <c r="AF1211" t="s">
        <v>43</v>
      </c>
      <c r="AG1211" t="s">
        <v>43</v>
      </c>
      <c r="AH1211" t="s">
        <v>43</v>
      </c>
      <c r="AI1211" t="s">
        <v>43</v>
      </c>
      <c r="AJ1211" t="s">
        <v>43</v>
      </c>
      <c r="AK1211" t="s">
        <v>43</v>
      </c>
      <c r="AL1211" t="s">
        <v>43</v>
      </c>
      <c r="AM1211" t="s">
        <v>43</v>
      </c>
      <c r="AN1211" t="str">
        <f>HYPERLINK("https://www.google.com/maps?q=11.05493069,79.06286621","Open Location")</f>
        <v>Open Location</v>
      </c>
    </row>
    <row r="1212" spans="1:40" x14ac:dyDescent="0.3">
      <c r="A1212" s="1">
        <v>46210.859490740739</v>
      </c>
      <c r="B1212" t="s">
        <v>40</v>
      </c>
      <c r="C1212" t="s">
        <v>41</v>
      </c>
      <c r="D1212" s="1">
        <v>46210.862511574072</v>
      </c>
      <c r="E1212" t="s">
        <v>42</v>
      </c>
      <c r="F1212" t="s">
        <v>43</v>
      </c>
      <c r="G1212" t="s">
        <v>43</v>
      </c>
      <c r="H1212" t="s">
        <v>43</v>
      </c>
      <c r="I1212" t="s">
        <v>43</v>
      </c>
      <c r="J1212" t="s">
        <v>43</v>
      </c>
      <c r="K1212" t="s">
        <v>43</v>
      </c>
      <c r="L1212" t="s">
        <v>43</v>
      </c>
      <c r="M1212" t="s">
        <v>43</v>
      </c>
      <c r="N1212" t="s">
        <v>45</v>
      </c>
      <c r="O1212" t="s">
        <v>43</v>
      </c>
      <c r="P1212" t="s">
        <v>43</v>
      </c>
      <c r="Q1212" t="s">
        <v>43</v>
      </c>
      <c r="R1212" t="s">
        <v>43</v>
      </c>
      <c r="S1212" t="s">
        <v>43</v>
      </c>
      <c r="T1212" t="s">
        <v>43</v>
      </c>
      <c r="U1212" t="s">
        <v>43</v>
      </c>
      <c r="V1212" t="s">
        <v>43</v>
      </c>
      <c r="W1212" t="s">
        <v>43</v>
      </c>
      <c r="X1212" t="s">
        <v>43</v>
      </c>
      <c r="Y1212" t="s">
        <v>43</v>
      </c>
      <c r="Z1212" t="s">
        <v>43</v>
      </c>
      <c r="AA1212" t="s">
        <v>43</v>
      </c>
      <c r="AB1212" t="s">
        <v>43</v>
      </c>
      <c r="AC1212" t="s">
        <v>43</v>
      </c>
      <c r="AD1212" t="s">
        <v>43</v>
      </c>
      <c r="AE1212" t="s">
        <v>43</v>
      </c>
      <c r="AF1212" t="s">
        <v>43</v>
      </c>
      <c r="AG1212" t="s">
        <v>43</v>
      </c>
      <c r="AH1212" t="s">
        <v>43</v>
      </c>
      <c r="AI1212" t="s">
        <v>43</v>
      </c>
      <c r="AJ1212" t="s">
        <v>43</v>
      </c>
      <c r="AK1212" t="s">
        <v>43</v>
      </c>
      <c r="AL1212" t="s">
        <v>43</v>
      </c>
      <c r="AM1212" t="s">
        <v>43</v>
      </c>
      <c r="AN1212" t="s">
        <v>43</v>
      </c>
    </row>
    <row r="1213" spans="1:40" x14ac:dyDescent="0.3">
      <c r="A1213" s="1">
        <v>46210.859375</v>
      </c>
      <c r="B1213" t="s">
        <v>40</v>
      </c>
      <c r="C1213" t="s">
        <v>41</v>
      </c>
      <c r="D1213" s="1">
        <v>46210.862141203703</v>
      </c>
      <c r="E1213" t="s">
        <v>42</v>
      </c>
      <c r="F1213" t="s">
        <v>43</v>
      </c>
      <c r="G1213" t="s">
        <v>43</v>
      </c>
      <c r="H1213" t="s">
        <v>43</v>
      </c>
      <c r="I1213" t="s">
        <v>547</v>
      </c>
      <c r="J1213" t="s">
        <v>43</v>
      </c>
      <c r="K1213" t="s">
        <v>43</v>
      </c>
      <c r="L1213" t="s">
        <v>43</v>
      </c>
      <c r="M1213" t="s">
        <v>43</v>
      </c>
      <c r="N1213" t="s">
        <v>45</v>
      </c>
      <c r="O1213" t="s">
        <v>43</v>
      </c>
      <c r="P1213" t="s">
        <v>43</v>
      </c>
      <c r="Q1213" t="s">
        <v>43</v>
      </c>
      <c r="R1213" t="s">
        <v>43</v>
      </c>
      <c r="S1213" t="s">
        <v>43</v>
      </c>
      <c r="T1213" t="s">
        <v>43</v>
      </c>
      <c r="U1213" t="s">
        <v>43</v>
      </c>
      <c r="V1213" t="s">
        <v>43</v>
      </c>
      <c r="W1213" t="s">
        <v>43</v>
      </c>
      <c r="X1213" t="s">
        <v>43</v>
      </c>
      <c r="Y1213" t="s">
        <v>43</v>
      </c>
      <c r="Z1213" t="s">
        <v>43</v>
      </c>
      <c r="AA1213" t="s">
        <v>43</v>
      </c>
      <c r="AB1213" t="s">
        <v>43</v>
      </c>
      <c r="AC1213" t="s">
        <v>43</v>
      </c>
      <c r="AD1213" t="s">
        <v>43</v>
      </c>
      <c r="AE1213" t="s">
        <v>43</v>
      </c>
      <c r="AF1213" t="s">
        <v>43</v>
      </c>
      <c r="AG1213" t="s">
        <v>43</v>
      </c>
      <c r="AH1213" t="s">
        <v>43</v>
      </c>
      <c r="AI1213" t="s">
        <v>43</v>
      </c>
      <c r="AJ1213" t="s">
        <v>43</v>
      </c>
      <c r="AK1213" t="s">
        <v>43</v>
      </c>
      <c r="AL1213" t="s">
        <v>43</v>
      </c>
      <c r="AM1213" t="s">
        <v>43</v>
      </c>
      <c r="AN1213" t="str">
        <f>HYPERLINK("https://www.google.com/maps?q=11.05493832,79.06285858","Open Location")</f>
        <v>Open Location</v>
      </c>
    </row>
    <row r="1214" spans="1:40" x14ac:dyDescent="0.3">
      <c r="A1214" s="1">
        <v>46210.859259259261</v>
      </c>
      <c r="B1214" t="s">
        <v>40</v>
      </c>
      <c r="C1214" t="s">
        <v>41</v>
      </c>
      <c r="D1214" s="1">
        <v>46210.862141203703</v>
      </c>
      <c r="E1214" t="s">
        <v>42</v>
      </c>
      <c r="F1214" t="s">
        <v>43</v>
      </c>
      <c r="G1214" t="s">
        <v>43</v>
      </c>
      <c r="H1214" t="s">
        <v>43</v>
      </c>
      <c r="I1214" t="s">
        <v>477</v>
      </c>
      <c r="J1214" t="s">
        <v>43</v>
      </c>
      <c r="K1214" t="s">
        <v>43</v>
      </c>
      <c r="L1214" t="s">
        <v>43</v>
      </c>
      <c r="M1214" t="s">
        <v>43</v>
      </c>
      <c r="N1214" t="s">
        <v>45</v>
      </c>
      <c r="O1214" t="s">
        <v>43</v>
      </c>
      <c r="P1214" t="s">
        <v>43</v>
      </c>
      <c r="Q1214" t="s">
        <v>43</v>
      </c>
      <c r="R1214" t="s">
        <v>43</v>
      </c>
      <c r="S1214" t="s">
        <v>43</v>
      </c>
      <c r="T1214" t="s">
        <v>43</v>
      </c>
      <c r="U1214" t="s">
        <v>43</v>
      </c>
      <c r="V1214" t="s">
        <v>43</v>
      </c>
      <c r="W1214" t="s">
        <v>43</v>
      </c>
      <c r="X1214" t="s">
        <v>43</v>
      </c>
      <c r="Y1214" t="s">
        <v>43</v>
      </c>
      <c r="Z1214" t="s">
        <v>43</v>
      </c>
      <c r="AA1214" t="s">
        <v>43</v>
      </c>
      <c r="AB1214" t="s">
        <v>43</v>
      </c>
      <c r="AC1214" t="s">
        <v>43</v>
      </c>
      <c r="AD1214" t="s">
        <v>43</v>
      </c>
      <c r="AE1214" t="s">
        <v>43</v>
      </c>
      <c r="AF1214" t="s">
        <v>43</v>
      </c>
      <c r="AG1214" t="s">
        <v>43</v>
      </c>
      <c r="AH1214" t="s">
        <v>43</v>
      </c>
      <c r="AI1214" t="s">
        <v>43</v>
      </c>
      <c r="AJ1214" t="s">
        <v>43</v>
      </c>
      <c r="AK1214" t="s">
        <v>43</v>
      </c>
      <c r="AL1214" t="s">
        <v>43</v>
      </c>
      <c r="AM1214" t="s">
        <v>43</v>
      </c>
      <c r="AN1214" t="str">
        <f>HYPERLINK("https://www.google.com/maps?q=11.05493355,79.06285095","Open Location")</f>
        <v>Open Location</v>
      </c>
    </row>
    <row r="1215" spans="1:40" x14ac:dyDescent="0.3">
      <c r="A1215" s="1">
        <v>46210.859143518515</v>
      </c>
      <c r="B1215" t="s">
        <v>40</v>
      </c>
      <c r="C1215" t="s">
        <v>41</v>
      </c>
      <c r="D1215" s="1">
        <v>46210.86209490741</v>
      </c>
      <c r="E1215" t="s">
        <v>42</v>
      </c>
      <c r="F1215" t="s">
        <v>43</v>
      </c>
      <c r="G1215" t="s">
        <v>43</v>
      </c>
      <c r="H1215" t="s">
        <v>43</v>
      </c>
      <c r="I1215" t="s">
        <v>548</v>
      </c>
      <c r="J1215" t="s">
        <v>43</v>
      </c>
      <c r="K1215" t="s">
        <v>43</v>
      </c>
      <c r="L1215" t="s">
        <v>43</v>
      </c>
      <c r="M1215" t="s">
        <v>43</v>
      </c>
      <c r="N1215" t="s">
        <v>45</v>
      </c>
      <c r="O1215" t="s">
        <v>43</v>
      </c>
      <c r="P1215" t="s">
        <v>43</v>
      </c>
      <c r="Q1215" t="s">
        <v>43</v>
      </c>
      <c r="R1215" t="s">
        <v>43</v>
      </c>
      <c r="S1215" t="s">
        <v>43</v>
      </c>
      <c r="T1215" t="s">
        <v>43</v>
      </c>
      <c r="U1215" t="s">
        <v>43</v>
      </c>
      <c r="V1215" t="s">
        <v>43</v>
      </c>
      <c r="W1215" t="s">
        <v>43</v>
      </c>
      <c r="X1215" t="s">
        <v>43</v>
      </c>
      <c r="Y1215" t="s">
        <v>43</v>
      </c>
      <c r="Z1215" t="s">
        <v>43</v>
      </c>
      <c r="AA1215" t="s">
        <v>43</v>
      </c>
      <c r="AB1215" t="s">
        <v>43</v>
      </c>
      <c r="AC1215" t="s">
        <v>43</v>
      </c>
      <c r="AD1215" t="s">
        <v>43</v>
      </c>
      <c r="AE1215" t="s">
        <v>43</v>
      </c>
      <c r="AF1215" t="s">
        <v>43</v>
      </c>
      <c r="AG1215" t="s">
        <v>43</v>
      </c>
      <c r="AH1215" t="s">
        <v>43</v>
      </c>
      <c r="AI1215" t="s">
        <v>43</v>
      </c>
      <c r="AJ1215" t="s">
        <v>43</v>
      </c>
      <c r="AK1215" t="s">
        <v>43</v>
      </c>
      <c r="AL1215" t="s">
        <v>43</v>
      </c>
      <c r="AM1215" t="s">
        <v>43</v>
      </c>
      <c r="AN1215" t="str">
        <f>HYPERLINK("https://www.google.com/maps?q=11.05493069,79.06285095","Open Location")</f>
        <v>Open Location</v>
      </c>
    </row>
    <row r="1216" spans="1:40" x14ac:dyDescent="0.3">
      <c r="A1216" s="1">
        <v>46210.859027777777</v>
      </c>
      <c r="B1216" t="s">
        <v>40</v>
      </c>
      <c r="C1216" t="s">
        <v>41</v>
      </c>
      <c r="D1216" s="1">
        <v>46210.862233796295</v>
      </c>
      <c r="E1216" t="s">
        <v>42</v>
      </c>
      <c r="F1216" t="s">
        <v>43</v>
      </c>
      <c r="G1216" t="s">
        <v>43</v>
      </c>
      <c r="H1216" t="s">
        <v>43</v>
      </c>
      <c r="I1216" t="s">
        <v>549</v>
      </c>
      <c r="J1216" t="s">
        <v>43</v>
      </c>
      <c r="K1216" t="s">
        <v>43</v>
      </c>
      <c r="L1216" t="s">
        <v>43</v>
      </c>
      <c r="M1216" t="s">
        <v>43</v>
      </c>
      <c r="N1216" t="s">
        <v>45</v>
      </c>
      <c r="O1216" t="s">
        <v>43</v>
      </c>
      <c r="P1216" t="s">
        <v>43</v>
      </c>
      <c r="Q1216" t="s">
        <v>43</v>
      </c>
      <c r="R1216" t="s">
        <v>43</v>
      </c>
      <c r="S1216" t="s">
        <v>43</v>
      </c>
      <c r="T1216" t="s">
        <v>43</v>
      </c>
      <c r="U1216" t="s">
        <v>43</v>
      </c>
      <c r="V1216" t="s">
        <v>43</v>
      </c>
      <c r="W1216" t="s">
        <v>43</v>
      </c>
      <c r="X1216" t="s">
        <v>43</v>
      </c>
      <c r="Y1216" t="s">
        <v>43</v>
      </c>
      <c r="Z1216" t="s">
        <v>43</v>
      </c>
      <c r="AA1216" t="s">
        <v>43</v>
      </c>
      <c r="AB1216" t="s">
        <v>43</v>
      </c>
      <c r="AC1216" t="s">
        <v>43</v>
      </c>
      <c r="AD1216" t="s">
        <v>43</v>
      </c>
      <c r="AE1216" t="s">
        <v>43</v>
      </c>
      <c r="AF1216" t="s">
        <v>43</v>
      </c>
      <c r="AG1216" t="s">
        <v>43</v>
      </c>
      <c r="AH1216" t="s">
        <v>43</v>
      </c>
      <c r="AI1216" t="s">
        <v>43</v>
      </c>
      <c r="AJ1216" t="s">
        <v>43</v>
      </c>
      <c r="AK1216" t="s">
        <v>43</v>
      </c>
      <c r="AL1216" t="s">
        <v>43</v>
      </c>
      <c r="AM1216" t="s">
        <v>43</v>
      </c>
      <c r="AN1216" t="str">
        <f>HYPERLINK("https://www.google.com/maps?q=11.05494022,79.06284332","Open Location")</f>
        <v>Open Location</v>
      </c>
    </row>
    <row r="1217" spans="1:40" x14ac:dyDescent="0.3">
      <c r="A1217" s="1">
        <v>46210.858912037038</v>
      </c>
      <c r="B1217" t="s">
        <v>40</v>
      </c>
      <c r="C1217" t="s">
        <v>41</v>
      </c>
      <c r="D1217" s="1">
        <v>46210.861666666664</v>
      </c>
      <c r="E1217" t="s">
        <v>42</v>
      </c>
      <c r="F1217" t="s">
        <v>43</v>
      </c>
      <c r="G1217" t="s">
        <v>43</v>
      </c>
      <c r="H1217" t="s">
        <v>43</v>
      </c>
      <c r="I1217" t="s">
        <v>43</v>
      </c>
      <c r="J1217" t="s">
        <v>43</v>
      </c>
      <c r="K1217" t="s">
        <v>43</v>
      </c>
      <c r="L1217" t="s">
        <v>43</v>
      </c>
      <c r="M1217" t="s">
        <v>43</v>
      </c>
      <c r="N1217" t="s">
        <v>45</v>
      </c>
      <c r="O1217" t="s">
        <v>43</v>
      </c>
      <c r="P1217" t="s">
        <v>43</v>
      </c>
      <c r="Q1217" t="s">
        <v>43</v>
      </c>
      <c r="R1217" t="s">
        <v>43</v>
      </c>
      <c r="S1217" t="s">
        <v>43</v>
      </c>
      <c r="T1217" t="s">
        <v>43</v>
      </c>
      <c r="U1217" t="s">
        <v>43</v>
      </c>
      <c r="V1217" t="s">
        <v>43</v>
      </c>
      <c r="W1217" t="s">
        <v>43</v>
      </c>
      <c r="X1217" t="s">
        <v>43</v>
      </c>
      <c r="Y1217" t="s">
        <v>43</v>
      </c>
      <c r="Z1217" t="s">
        <v>43</v>
      </c>
      <c r="AA1217" t="s">
        <v>43</v>
      </c>
      <c r="AB1217" t="s">
        <v>43</v>
      </c>
      <c r="AC1217" t="s">
        <v>43</v>
      </c>
      <c r="AD1217" t="s">
        <v>43</v>
      </c>
      <c r="AE1217" t="s">
        <v>43</v>
      </c>
      <c r="AF1217" t="s">
        <v>43</v>
      </c>
      <c r="AG1217" t="s">
        <v>43</v>
      </c>
      <c r="AH1217" t="s">
        <v>43</v>
      </c>
      <c r="AI1217" t="s">
        <v>43</v>
      </c>
      <c r="AJ1217" t="s">
        <v>43</v>
      </c>
      <c r="AK1217" t="s">
        <v>43</v>
      </c>
      <c r="AL1217" t="s">
        <v>43</v>
      </c>
      <c r="AM1217" t="s">
        <v>43</v>
      </c>
      <c r="AN1217" t="s">
        <v>43</v>
      </c>
    </row>
    <row r="1218" spans="1:40" x14ac:dyDescent="0.3">
      <c r="A1218" s="1">
        <v>46210.858796296299</v>
      </c>
      <c r="B1218" t="s">
        <v>40</v>
      </c>
      <c r="C1218" t="s">
        <v>41</v>
      </c>
      <c r="D1218" s="1">
        <v>46210.861851851849</v>
      </c>
      <c r="E1218" t="s">
        <v>42</v>
      </c>
      <c r="F1218" t="s">
        <v>43</v>
      </c>
      <c r="G1218" t="s">
        <v>43</v>
      </c>
      <c r="H1218" t="s">
        <v>43</v>
      </c>
      <c r="I1218" t="s">
        <v>550</v>
      </c>
      <c r="J1218" t="s">
        <v>43</v>
      </c>
      <c r="K1218" t="s">
        <v>43</v>
      </c>
      <c r="L1218" t="s">
        <v>43</v>
      </c>
      <c r="M1218" t="s">
        <v>43</v>
      </c>
      <c r="N1218" t="s">
        <v>45</v>
      </c>
      <c r="O1218" t="s">
        <v>43</v>
      </c>
      <c r="P1218" t="s">
        <v>43</v>
      </c>
      <c r="Q1218" t="s">
        <v>43</v>
      </c>
      <c r="R1218" t="s">
        <v>43</v>
      </c>
      <c r="S1218" t="s">
        <v>43</v>
      </c>
      <c r="T1218" t="s">
        <v>43</v>
      </c>
      <c r="U1218" t="s">
        <v>43</v>
      </c>
      <c r="V1218" t="s">
        <v>43</v>
      </c>
      <c r="W1218" t="s">
        <v>43</v>
      </c>
      <c r="X1218" t="s">
        <v>43</v>
      </c>
      <c r="Y1218" t="s">
        <v>43</v>
      </c>
      <c r="Z1218" t="s">
        <v>43</v>
      </c>
      <c r="AA1218" t="s">
        <v>43</v>
      </c>
      <c r="AB1218" t="s">
        <v>43</v>
      </c>
      <c r="AC1218" t="s">
        <v>43</v>
      </c>
      <c r="AD1218" t="s">
        <v>43</v>
      </c>
      <c r="AE1218" t="s">
        <v>43</v>
      </c>
      <c r="AF1218" t="s">
        <v>43</v>
      </c>
      <c r="AG1218" t="s">
        <v>43</v>
      </c>
      <c r="AH1218" t="s">
        <v>43</v>
      </c>
      <c r="AI1218" t="s">
        <v>43</v>
      </c>
      <c r="AJ1218" t="s">
        <v>43</v>
      </c>
      <c r="AK1218" t="s">
        <v>43</v>
      </c>
      <c r="AL1218" t="s">
        <v>43</v>
      </c>
      <c r="AM1218" t="s">
        <v>43</v>
      </c>
      <c r="AN1218" t="str">
        <f>HYPERLINK("https://www.google.com/maps?q=11.05494785,79.06284332","Open Location")</f>
        <v>Open Location</v>
      </c>
    </row>
    <row r="1219" spans="1:40" x14ac:dyDescent="0.3">
      <c r="A1219" s="1">
        <v>46210.858680555553</v>
      </c>
      <c r="B1219" t="s">
        <v>40</v>
      </c>
      <c r="C1219" t="s">
        <v>41</v>
      </c>
      <c r="D1219" s="1">
        <v>46210.861539351848</v>
      </c>
      <c r="E1219" t="s">
        <v>42</v>
      </c>
      <c r="F1219" t="s">
        <v>43</v>
      </c>
      <c r="G1219" t="s">
        <v>43</v>
      </c>
      <c r="H1219" t="s">
        <v>43</v>
      </c>
      <c r="I1219" t="s">
        <v>551</v>
      </c>
      <c r="J1219" t="s">
        <v>43</v>
      </c>
      <c r="K1219" t="s">
        <v>43</v>
      </c>
      <c r="L1219" t="s">
        <v>43</v>
      </c>
      <c r="M1219" t="s">
        <v>43</v>
      </c>
      <c r="N1219" t="s">
        <v>45</v>
      </c>
      <c r="O1219" t="s">
        <v>43</v>
      </c>
      <c r="P1219" t="s">
        <v>43</v>
      </c>
      <c r="Q1219" t="s">
        <v>43</v>
      </c>
      <c r="R1219" t="s">
        <v>43</v>
      </c>
      <c r="S1219" t="s">
        <v>43</v>
      </c>
      <c r="T1219" t="s">
        <v>43</v>
      </c>
      <c r="U1219" t="s">
        <v>43</v>
      </c>
      <c r="V1219" t="s">
        <v>43</v>
      </c>
      <c r="W1219" t="s">
        <v>43</v>
      </c>
      <c r="X1219" t="s">
        <v>43</v>
      </c>
      <c r="Y1219" t="s">
        <v>43</v>
      </c>
      <c r="Z1219" t="s">
        <v>43</v>
      </c>
      <c r="AA1219" t="s">
        <v>43</v>
      </c>
      <c r="AB1219" t="s">
        <v>43</v>
      </c>
      <c r="AC1219" t="s">
        <v>43</v>
      </c>
      <c r="AD1219" t="s">
        <v>43</v>
      </c>
      <c r="AE1219" t="s">
        <v>43</v>
      </c>
      <c r="AF1219" t="s">
        <v>43</v>
      </c>
      <c r="AG1219" t="s">
        <v>43</v>
      </c>
      <c r="AH1219" t="s">
        <v>43</v>
      </c>
      <c r="AI1219" t="s">
        <v>43</v>
      </c>
      <c r="AJ1219" t="s">
        <v>43</v>
      </c>
      <c r="AK1219" t="s">
        <v>43</v>
      </c>
      <c r="AL1219" t="s">
        <v>43</v>
      </c>
      <c r="AM1219" t="s">
        <v>43</v>
      </c>
      <c r="AN1219" t="str">
        <f>HYPERLINK("https://www.google.com/maps?q=11.05494595,79.06284332","Open Location")</f>
        <v>Open Location</v>
      </c>
    </row>
    <row r="1220" spans="1:40" x14ac:dyDescent="0.3">
      <c r="A1220" s="1">
        <v>46210.858564814815</v>
      </c>
      <c r="B1220" t="s">
        <v>40</v>
      </c>
      <c r="C1220" t="s">
        <v>41</v>
      </c>
      <c r="D1220" s="1">
        <v>46210.861851851849</v>
      </c>
      <c r="E1220" t="s">
        <v>42</v>
      </c>
      <c r="F1220" t="s">
        <v>43</v>
      </c>
      <c r="G1220" t="s">
        <v>43</v>
      </c>
      <c r="H1220" t="s">
        <v>43</v>
      </c>
      <c r="I1220" t="s">
        <v>552</v>
      </c>
      <c r="J1220" t="s">
        <v>43</v>
      </c>
      <c r="K1220" t="s">
        <v>43</v>
      </c>
      <c r="L1220" t="s">
        <v>43</v>
      </c>
      <c r="M1220" t="s">
        <v>43</v>
      </c>
      <c r="N1220" t="s">
        <v>45</v>
      </c>
      <c r="O1220" t="s">
        <v>43</v>
      </c>
      <c r="P1220" t="s">
        <v>43</v>
      </c>
      <c r="Q1220" t="s">
        <v>43</v>
      </c>
      <c r="R1220" t="s">
        <v>43</v>
      </c>
      <c r="S1220" t="s">
        <v>43</v>
      </c>
      <c r="T1220" t="s">
        <v>43</v>
      </c>
      <c r="U1220" t="s">
        <v>43</v>
      </c>
      <c r="V1220" t="s">
        <v>43</v>
      </c>
      <c r="W1220" t="s">
        <v>43</v>
      </c>
      <c r="X1220" t="s">
        <v>43</v>
      </c>
      <c r="Y1220" t="s">
        <v>43</v>
      </c>
      <c r="Z1220" t="s">
        <v>43</v>
      </c>
      <c r="AA1220" t="s">
        <v>43</v>
      </c>
      <c r="AB1220" t="s">
        <v>43</v>
      </c>
      <c r="AC1220" t="s">
        <v>43</v>
      </c>
      <c r="AD1220" t="s">
        <v>43</v>
      </c>
      <c r="AE1220" t="s">
        <v>43</v>
      </c>
      <c r="AF1220" t="s">
        <v>43</v>
      </c>
      <c r="AG1220" t="s">
        <v>43</v>
      </c>
      <c r="AH1220" t="s">
        <v>43</v>
      </c>
      <c r="AI1220" t="s">
        <v>43</v>
      </c>
      <c r="AJ1220" t="s">
        <v>43</v>
      </c>
      <c r="AK1220" t="s">
        <v>43</v>
      </c>
      <c r="AL1220" t="s">
        <v>43</v>
      </c>
      <c r="AM1220" t="s">
        <v>43</v>
      </c>
      <c r="AN1220" t="str">
        <f>HYPERLINK("https://www.google.com/maps?q=11.05493927,79.06283569","Open Location")</f>
        <v>Open Location</v>
      </c>
    </row>
    <row r="1221" spans="1:40" x14ac:dyDescent="0.3">
      <c r="A1221" s="1">
        <v>46210.858449074076</v>
      </c>
      <c r="B1221" t="s">
        <v>40</v>
      </c>
      <c r="C1221" t="s">
        <v>41</v>
      </c>
      <c r="D1221" s="1">
        <v>46210.861250000002</v>
      </c>
      <c r="E1221" t="s">
        <v>42</v>
      </c>
      <c r="F1221" t="s">
        <v>43</v>
      </c>
      <c r="G1221" t="s">
        <v>43</v>
      </c>
      <c r="H1221" t="s">
        <v>43</v>
      </c>
      <c r="I1221" t="s">
        <v>519</v>
      </c>
      <c r="J1221" t="s">
        <v>43</v>
      </c>
      <c r="K1221" t="s">
        <v>43</v>
      </c>
      <c r="L1221" t="s">
        <v>43</v>
      </c>
      <c r="M1221" t="s">
        <v>43</v>
      </c>
      <c r="N1221" t="s">
        <v>45</v>
      </c>
      <c r="O1221" t="s">
        <v>43</v>
      </c>
      <c r="P1221" t="s">
        <v>43</v>
      </c>
      <c r="Q1221" t="s">
        <v>43</v>
      </c>
      <c r="R1221" t="s">
        <v>43</v>
      </c>
      <c r="S1221" t="s">
        <v>43</v>
      </c>
      <c r="T1221" t="s">
        <v>43</v>
      </c>
      <c r="U1221" t="s">
        <v>43</v>
      </c>
      <c r="V1221" t="s">
        <v>43</v>
      </c>
      <c r="W1221" t="s">
        <v>43</v>
      </c>
      <c r="X1221" t="s">
        <v>43</v>
      </c>
      <c r="Y1221" t="s">
        <v>43</v>
      </c>
      <c r="Z1221" t="s">
        <v>43</v>
      </c>
      <c r="AA1221" t="s">
        <v>43</v>
      </c>
      <c r="AB1221" t="s">
        <v>43</v>
      </c>
      <c r="AC1221" t="s">
        <v>43</v>
      </c>
      <c r="AD1221" t="s">
        <v>43</v>
      </c>
      <c r="AE1221" t="s">
        <v>43</v>
      </c>
      <c r="AF1221" t="s">
        <v>43</v>
      </c>
      <c r="AG1221" t="s">
        <v>43</v>
      </c>
      <c r="AH1221" t="s">
        <v>43</v>
      </c>
      <c r="AI1221" t="s">
        <v>43</v>
      </c>
      <c r="AJ1221" t="s">
        <v>43</v>
      </c>
      <c r="AK1221" t="s">
        <v>43</v>
      </c>
      <c r="AL1221" t="s">
        <v>43</v>
      </c>
      <c r="AM1221" t="s">
        <v>43</v>
      </c>
      <c r="AN1221" t="str">
        <f>HYPERLINK("https://www.google.com/maps?q=11.05492973,79.06283569","Open Location")</f>
        <v>Open Location</v>
      </c>
    </row>
    <row r="1222" spans="1:40" x14ac:dyDescent="0.3">
      <c r="A1222" s="1">
        <v>46210.85833333333</v>
      </c>
      <c r="B1222" t="s">
        <v>40</v>
      </c>
      <c r="C1222" t="s">
        <v>41</v>
      </c>
      <c r="D1222" s="1">
        <v>46210.861215277779</v>
      </c>
      <c r="E1222" t="s">
        <v>42</v>
      </c>
      <c r="F1222" t="s">
        <v>43</v>
      </c>
      <c r="G1222" t="s">
        <v>43</v>
      </c>
      <c r="H1222" t="s">
        <v>43</v>
      </c>
      <c r="I1222" t="s">
        <v>553</v>
      </c>
      <c r="J1222" t="s">
        <v>43</v>
      </c>
      <c r="K1222" t="s">
        <v>43</v>
      </c>
      <c r="L1222" t="s">
        <v>43</v>
      </c>
      <c r="M1222" t="s">
        <v>43</v>
      </c>
      <c r="N1222" t="s">
        <v>45</v>
      </c>
      <c r="O1222" t="s">
        <v>43</v>
      </c>
      <c r="P1222" t="s">
        <v>43</v>
      </c>
      <c r="Q1222" t="s">
        <v>43</v>
      </c>
      <c r="R1222" t="s">
        <v>43</v>
      </c>
      <c r="S1222" t="s">
        <v>43</v>
      </c>
      <c r="T1222" t="s">
        <v>43</v>
      </c>
      <c r="U1222" t="s">
        <v>43</v>
      </c>
      <c r="V1222" t="s">
        <v>43</v>
      </c>
      <c r="W1222" t="s">
        <v>43</v>
      </c>
      <c r="X1222" t="s">
        <v>43</v>
      </c>
      <c r="Y1222" t="s">
        <v>43</v>
      </c>
      <c r="Z1222" t="s">
        <v>43</v>
      </c>
      <c r="AA1222" t="s">
        <v>43</v>
      </c>
      <c r="AB1222" t="s">
        <v>43</v>
      </c>
      <c r="AC1222" t="s">
        <v>43</v>
      </c>
      <c r="AD1222" t="s">
        <v>43</v>
      </c>
      <c r="AE1222" t="s">
        <v>43</v>
      </c>
      <c r="AF1222" t="s">
        <v>43</v>
      </c>
      <c r="AG1222" t="s">
        <v>43</v>
      </c>
      <c r="AH1222" t="s">
        <v>43</v>
      </c>
      <c r="AI1222" t="s">
        <v>43</v>
      </c>
      <c r="AJ1222" t="s">
        <v>43</v>
      </c>
      <c r="AK1222" t="s">
        <v>43</v>
      </c>
      <c r="AL1222" t="s">
        <v>43</v>
      </c>
      <c r="AM1222" t="s">
        <v>43</v>
      </c>
      <c r="AN1222" t="str">
        <f>HYPERLINK("https://www.google.com/maps?q=11.05492973,79.06282043","Open Location")</f>
        <v>Open Location</v>
      </c>
    </row>
    <row r="1223" spans="1:40" x14ac:dyDescent="0.3">
      <c r="A1223" s="1">
        <v>46210.858217592591</v>
      </c>
      <c r="B1223" t="s">
        <v>40</v>
      </c>
      <c r="C1223" t="s">
        <v>41</v>
      </c>
      <c r="D1223" s="1">
        <v>46210.86109953704</v>
      </c>
      <c r="E1223" t="s">
        <v>42</v>
      </c>
      <c r="F1223" t="s">
        <v>43</v>
      </c>
      <c r="G1223" t="s">
        <v>43</v>
      </c>
      <c r="H1223" t="s">
        <v>43</v>
      </c>
      <c r="I1223" t="s">
        <v>43</v>
      </c>
      <c r="J1223" t="s">
        <v>43</v>
      </c>
      <c r="K1223" t="s">
        <v>43</v>
      </c>
      <c r="L1223" t="s">
        <v>43</v>
      </c>
      <c r="M1223" t="s">
        <v>43</v>
      </c>
      <c r="N1223" t="s">
        <v>45</v>
      </c>
      <c r="O1223" t="s">
        <v>43</v>
      </c>
      <c r="P1223" t="s">
        <v>43</v>
      </c>
      <c r="Q1223" t="s">
        <v>43</v>
      </c>
      <c r="R1223" t="s">
        <v>43</v>
      </c>
      <c r="S1223" t="s">
        <v>43</v>
      </c>
      <c r="T1223" t="s">
        <v>43</v>
      </c>
      <c r="U1223" t="s">
        <v>43</v>
      </c>
      <c r="V1223" t="s">
        <v>43</v>
      </c>
      <c r="W1223" t="s">
        <v>43</v>
      </c>
      <c r="X1223" t="s">
        <v>43</v>
      </c>
      <c r="Y1223" t="s">
        <v>43</v>
      </c>
      <c r="Z1223" t="s">
        <v>43</v>
      </c>
      <c r="AA1223" t="s">
        <v>43</v>
      </c>
      <c r="AB1223" t="s">
        <v>43</v>
      </c>
      <c r="AC1223" t="s">
        <v>43</v>
      </c>
      <c r="AD1223" t="s">
        <v>43</v>
      </c>
      <c r="AE1223" t="s">
        <v>43</v>
      </c>
      <c r="AF1223" t="s">
        <v>43</v>
      </c>
      <c r="AG1223" t="s">
        <v>43</v>
      </c>
      <c r="AH1223" t="s">
        <v>43</v>
      </c>
      <c r="AI1223" t="s">
        <v>43</v>
      </c>
      <c r="AJ1223" t="s">
        <v>43</v>
      </c>
      <c r="AK1223" t="s">
        <v>43</v>
      </c>
      <c r="AL1223" t="s">
        <v>43</v>
      </c>
      <c r="AM1223" t="s">
        <v>43</v>
      </c>
      <c r="AN1223" t="s">
        <v>43</v>
      </c>
    </row>
    <row r="1224" spans="1:40" x14ac:dyDescent="0.3">
      <c r="A1224" s="1">
        <v>46210.858101851853</v>
      </c>
      <c r="B1224" t="s">
        <v>40</v>
      </c>
      <c r="C1224" t="s">
        <v>41</v>
      </c>
      <c r="D1224" s="1">
        <v>46210.860995370371</v>
      </c>
      <c r="E1224" t="s">
        <v>42</v>
      </c>
      <c r="F1224" t="s">
        <v>43</v>
      </c>
      <c r="G1224" t="s">
        <v>43</v>
      </c>
      <c r="H1224" t="s">
        <v>43</v>
      </c>
      <c r="I1224" t="s">
        <v>554</v>
      </c>
      <c r="J1224" t="s">
        <v>43</v>
      </c>
      <c r="K1224" t="s">
        <v>43</v>
      </c>
      <c r="L1224" t="s">
        <v>43</v>
      </c>
      <c r="M1224" t="s">
        <v>43</v>
      </c>
      <c r="N1224" t="s">
        <v>45</v>
      </c>
      <c r="O1224" t="s">
        <v>43</v>
      </c>
      <c r="P1224" t="s">
        <v>43</v>
      </c>
      <c r="Q1224" t="s">
        <v>43</v>
      </c>
      <c r="R1224" t="s">
        <v>43</v>
      </c>
      <c r="S1224" t="s">
        <v>43</v>
      </c>
      <c r="T1224" t="s">
        <v>43</v>
      </c>
      <c r="U1224" t="s">
        <v>43</v>
      </c>
      <c r="V1224" t="s">
        <v>43</v>
      </c>
      <c r="W1224" t="s">
        <v>43</v>
      </c>
      <c r="X1224" t="s">
        <v>43</v>
      </c>
      <c r="Y1224" t="s">
        <v>43</v>
      </c>
      <c r="Z1224" t="s">
        <v>43</v>
      </c>
      <c r="AA1224" t="s">
        <v>43</v>
      </c>
      <c r="AB1224" t="s">
        <v>43</v>
      </c>
      <c r="AC1224" t="s">
        <v>43</v>
      </c>
      <c r="AD1224" t="s">
        <v>43</v>
      </c>
      <c r="AE1224" t="s">
        <v>43</v>
      </c>
      <c r="AF1224" t="s">
        <v>43</v>
      </c>
      <c r="AG1224" t="s">
        <v>43</v>
      </c>
      <c r="AH1224" t="s">
        <v>43</v>
      </c>
      <c r="AI1224" t="s">
        <v>43</v>
      </c>
      <c r="AJ1224" t="s">
        <v>43</v>
      </c>
      <c r="AK1224" t="s">
        <v>43</v>
      </c>
      <c r="AL1224" t="s">
        <v>43</v>
      </c>
      <c r="AM1224" t="s">
        <v>43</v>
      </c>
      <c r="AN1224" t="str">
        <f>HYPERLINK("https://www.google.com/maps?q=11.05492496,79.06282043","Open Location")</f>
        <v>Open Location</v>
      </c>
    </row>
    <row r="1225" spans="1:40" x14ac:dyDescent="0.3">
      <c r="A1225" s="1">
        <v>46210.857986111114</v>
      </c>
      <c r="B1225" t="s">
        <v>40</v>
      </c>
      <c r="C1225" t="s">
        <v>41</v>
      </c>
      <c r="D1225" s="1">
        <v>46210.860717592594</v>
      </c>
      <c r="E1225" t="s">
        <v>42</v>
      </c>
      <c r="F1225" t="s">
        <v>43</v>
      </c>
      <c r="G1225" t="s">
        <v>43</v>
      </c>
      <c r="H1225" t="s">
        <v>43</v>
      </c>
      <c r="I1225" t="s">
        <v>555</v>
      </c>
      <c r="J1225" t="s">
        <v>43</v>
      </c>
      <c r="K1225" t="s">
        <v>43</v>
      </c>
      <c r="L1225" t="s">
        <v>43</v>
      </c>
      <c r="M1225" t="s">
        <v>43</v>
      </c>
      <c r="N1225" t="s">
        <v>45</v>
      </c>
      <c r="O1225" t="s">
        <v>43</v>
      </c>
      <c r="P1225" t="s">
        <v>43</v>
      </c>
      <c r="Q1225" t="s">
        <v>43</v>
      </c>
      <c r="R1225" t="s">
        <v>43</v>
      </c>
      <c r="S1225" t="s">
        <v>43</v>
      </c>
      <c r="T1225" t="s">
        <v>43</v>
      </c>
      <c r="U1225" t="s">
        <v>43</v>
      </c>
      <c r="V1225" t="s">
        <v>43</v>
      </c>
      <c r="W1225" t="s">
        <v>43</v>
      </c>
      <c r="X1225" t="s">
        <v>43</v>
      </c>
      <c r="Y1225" t="s">
        <v>43</v>
      </c>
      <c r="Z1225" t="s">
        <v>43</v>
      </c>
      <c r="AA1225" t="s">
        <v>43</v>
      </c>
      <c r="AB1225" t="s">
        <v>43</v>
      </c>
      <c r="AC1225" t="s">
        <v>43</v>
      </c>
      <c r="AD1225" t="s">
        <v>43</v>
      </c>
      <c r="AE1225" t="s">
        <v>43</v>
      </c>
      <c r="AF1225" t="s">
        <v>43</v>
      </c>
      <c r="AG1225" t="s">
        <v>43</v>
      </c>
      <c r="AH1225" t="s">
        <v>43</v>
      </c>
      <c r="AI1225" t="s">
        <v>43</v>
      </c>
      <c r="AJ1225" t="s">
        <v>43</v>
      </c>
      <c r="AK1225" t="s">
        <v>43</v>
      </c>
      <c r="AL1225" t="s">
        <v>43</v>
      </c>
      <c r="AM1225" t="s">
        <v>43</v>
      </c>
      <c r="AN1225" t="str">
        <f>HYPERLINK("https://www.google.com/maps?q=11.05493164,79.06281281","Open Location")</f>
        <v>Open Location</v>
      </c>
    </row>
    <row r="1226" spans="1:40" x14ac:dyDescent="0.3">
      <c r="A1226" s="1">
        <v>46210.857870370368</v>
      </c>
      <c r="B1226" t="s">
        <v>40</v>
      </c>
      <c r="C1226" t="s">
        <v>41</v>
      </c>
      <c r="D1226" s="1">
        <v>46210.860636574071</v>
      </c>
      <c r="E1226" t="s">
        <v>42</v>
      </c>
      <c r="F1226" t="s">
        <v>43</v>
      </c>
      <c r="G1226" t="s">
        <v>43</v>
      </c>
      <c r="H1226" t="s">
        <v>43</v>
      </c>
      <c r="I1226" t="s">
        <v>556</v>
      </c>
      <c r="J1226" t="s">
        <v>43</v>
      </c>
      <c r="K1226" t="s">
        <v>43</v>
      </c>
      <c r="L1226" t="s">
        <v>43</v>
      </c>
      <c r="M1226" t="s">
        <v>43</v>
      </c>
      <c r="N1226" t="s">
        <v>45</v>
      </c>
      <c r="O1226" t="s">
        <v>43</v>
      </c>
      <c r="P1226" t="s">
        <v>43</v>
      </c>
      <c r="Q1226" t="s">
        <v>43</v>
      </c>
      <c r="R1226" t="s">
        <v>43</v>
      </c>
      <c r="S1226" t="s">
        <v>43</v>
      </c>
      <c r="T1226" t="s">
        <v>43</v>
      </c>
      <c r="U1226" t="s">
        <v>43</v>
      </c>
      <c r="V1226" t="s">
        <v>43</v>
      </c>
      <c r="W1226" t="s">
        <v>43</v>
      </c>
      <c r="X1226" t="s">
        <v>43</v>
      </c>
      <c r="Y1226" t="s">
        <v>43</v>
      </c>
      <c r="Z1226" t="s">
        <v>43</v>
      </c>
      <c r="AA1226" t="s">
        <v>43</v>
      </c>
      <c r="AB1226" t="s">
        <v>43</v>
      </c>
      <c r="AC1226" t="s">
        <v>43</v>
      </c>
      <c r="AD1226" t="s">
        <v>43</v>
      </c>
      <c r="AE1226" t="s">
        <v>43</v>
      </c>
      <c r="AF1226" t="s">
        <v>43</v>
      </c>
      <c r="AG1226" t="s">
        <v>43</v>
      </c>
      <c r="AH1226" t="s">
        <v>43</v>
      </c>
      <c r="AI1226" t="s">
        <v>43</v>
      </c>
      <c r="AJ1226" t="s">
        <v>43</v>
      </c>
      <c r="AK1226" t="s">
        <v>43</v>
      </c>
      <c r="AL1226" t="s">
        <v>43</v>
      </c>
      <c r="AM1226" t="s">
        <v>43</v>
      </c>
      <c r="AN1226" t="str">
        <f>HYPERLINK("https://www.google.com/maps?q=11.05492687,79.06281281","Open Location")</f>
        <v>Open Location</v>
      </c>
    </row>
    <row r="1227" spans="1:40" x14ac:dyDescent="0.3">
      <c r="A1227" s="1">
        <v>46210.857754629629</v>
      </c>
      <c r="B1227" t="s">
        <v>40</v>
      </c>
      <c r="C1227" t="s">
        <v>41</v>
      </c>
      <c r="D1227" s="1">
        <v>46210.860543981478</v>
      </c>
      <c r="E1227" t="s">
        <v>42</v>
      </c>
      <c r="F1227" t="s">
        <v>43</v>
      </c>
      <c r="G1227" t="s">
        <v>43</v>
      </c>
      <c r="H1227" t="s">
        <v>43</v>
      </c>
      <c r="I1227" t="s">
        <v>557</v>
      </c>
      <c r="J1227" t="s">
        <v>43</v>
      </c>
      <c r="K1227" t="s">
        <v>43</v>
      </c>
      <c r="L1227" t="s">
        <v>43</v>
      </c>
      <c r="M1227" t="s">
        <v>43</v>
      </c>
      <c r="N1227" t="s">
        <v>45</v>
      </c>
      <c r="O1227" t="s">
        <v>43</v>
      </c>
      <c r="P1227" t="s">
        <v>43</v>
      </c>
      <c r="Q1227" t="s">
        <v>43</v>
      </c>
      <c r="R1227" t="s">
        <v>43</v>
      </c>
      <c r="S1227" t="s">
        <v>43</v>
      </c>
      <c r="T1227" t="s">
        <v>43</v>
      </c>
      <c r="U1227" t="s">
        <v>43</v>
      </c>
      <c r="V1227" t="s">
        <v>43</v>
      </c>
      <c r="W1227" t="s">
        <v>43</v>
      </c>
      <c r="X1227" t="s">
        <v>43</v>
      </c>
      <c r="Y1227" t="s">
        <v>43</v>
      </c>
      <c r="Z1227" t="s">
        <v>43</v>
      </c>
      <c r="AA1227" t="s">
        <v>43</v>
      </c>
      <c r="AB1227" t="s">
        <v>43</v>
      </c>
      <c r="AC1227" t="s">
        <v>43</v>
      </c>
      <c r="AD1227" t="s">
        <v>43</v>
      </c>
      <c r="AE1227" t="s">
        <v>43</v>
      </c>
      <c r="AF1227" t="s">
        <v>43</v>
      </c>
      <c r="AG1227" t="s">
        <v>43</v>
      </c>
      <c r="AH1227" t="s">
        <v>43</v>
      </c>
      <c r="AI1227" t="s">
        <v>43</v>
      </c>
      <c r="AJ1227" t="s">
        <v>43</v>
      </c>
      <c r="AK1227" t="s">
        <v>43</v>
      </c>
      <c r="AL1227" t="s">
        <v>43</v>
      </c>
      <c r="AM1227" t="s">
        <v>43</v>
      </c>
      <c r="AN1227" t="str">
        <f>HYPERLINK("https://www.google.com/maps?q=11.05492496,79.06281281","Open Location")</f>
        <v>Open Location</v>
      </c>
    </row>
    <row r="1228" spans="1:40" x14ac:dyDescent="0.3">
      <c r="A1228" s="1">
        <v>46210.857638888891</v>
      </c>
      <c r="B1228" t="s">
        <v>40</v>
      </c>
      <c r="C1228" t="s">
        <v>41</v>
      </c>
      <c r="D1228" s="1">
        <v>46210.860717592594</v>
      </c>
      <c r="E1228" t="s">
        <v>42</v>
      </c>
      <c r="F1228" t="s">
        <v>43</v>
      </c>
      <c r="G1228" t="s">
        <v>43</v>
      </c>
      <c r="H1228" t="s">
        <v>43</v>
      </c>
      <c r="I1228" t="s">
        <v>558</v>
      </c>
      <c r="J1228" t="s">
        <v>43</v>
      </c>
      <c r="K1228" t="s">
        <v>43</v>
      </c>
      <c r="L1228" t="s">
        <v>43</v>
      </c>
      <c r="M1228" t="s">
        <v>43</v>
      </c>
      <c r="N1228" t="s">
        <v>45</v>
      </c>
      <c r="O1228" t="s">
        <v>43</v>
      </c>
      <c r="P1228" t="s">
        <v>43</v>
      </c>
      <c r="Q1228" t="s">
        <v>43</v>
      </c>
      <c r="R1228" t="s">
        <v>43</v>
      </c>
      <c r="S1228" t="s">
        <v>43</v>
      </c>
      <c r="T1228" t="s">
        <v>43</v>
      </c>
      <c r="U1228" t="s">
        <v>43</v>
      </c>
      <c r="V1228" t="s">
        <v>43</v>
      </c>
      <c r="W1228" t="s">
        <v>43</v>
      </c>
      <c r="X1228" t="s">
        <v>43</v>
      </c>
      <c r="Y1228" t="s">
        <v>43</v>
      </c>
      <c r="Z1228" t="s">
        <v>43</v>
      </c>
      <c r="AA1228" t="s">
        <v>43</v>
      </c>
      <c r="AB1228" t="s">
        <v>43</v>
      </c>
      <c r="AC1228" t="s">
        <v>43</v>
      </c>
      <c r="AD1228" t="s">
        <v>43</v>
      </c>
      <c r="AE1228" t="s">
        <v>43</v>
      </c>
      <c r="AF1228" t="s">
        <v>43</v>
      </c>
      <c r="AG1228" t="s">
        <v>43</v>
      </c>
      <c r="AH1228" t="s">
        <v>43</v>
      </c>
      <c r="AI1228" t="s">
        <v>43</v>
      </c>
      <c r="AJ1228" t="s">
        <v>43</v>
      </c>
      <c r="AK1228" t="s">
        <v>43</v>
      </c>
      <c r="AL1228" t="s">
        <v>43</v>
      </c>
      <c r="AM1228" t="s">
        <v>43</v>
      </c>
      <c r="AN1228" t="str">
        <f>HYPERLINK("https://www.google.com/maps?q=11.05493164,79.06280518","Open Location")</f>
        <v>Open Location</v>
      </c>
    </row>
    <row r="1229" spans="1:40" x14ac:dyDescent="0.3">
      <c r="A1229" s="1">
        <v>46210.857523148145</v>
      </c>
      <c r="B1229" t="s">
        <v>40</v>
      </c>
      <c r="C1229" t="s">
        <v>41</v>
      </c>
      <c r="D1229" s="1">
        <v>46210.860266203701</v>
      </c>
      <c r="E1229" t="s">
        <v>42</v>
      </c>
      <c r="F1229" t="s">
        <v>43</v>
      </c>
      <c r="G1229" t="s">
        <v>43</v>
      </c>
      <c r="H1229" t="s">
        <v>43</v>
      </c>
      <c r="I1229" t="s">
        <v>43</v>
      </c>
      <c r="J1229" t="s">
        <v>43</v>
      </c>
      <c r="K1229" t="s">
        <v>43</v>
      </c>
      <c r="L1229" t="s">
        <v>43</v>
      </c>
      <c r="M1229" t="s">
        <v>43</v>
      </c>
      <c r="N1229" t="s">
        <v>45</v>
      </c>
      <c r="O1229" t="s">
        <v>43</v>
      </c>
      <c r="P1229" t="s">
        <v>43</v>
      </c>
      <c r="Q1229" t="s">
        <v>43</v>
      </c>
      <c r="R1229" t="s">
        <v>43</v>
      </c>
      <c r="S1229" t="s">
        <v>43</v>
      </c>
      <c r="T1229" t="s">
        <v>43</v>
      </c>
      <c r="U1229" t="s">
        <v>43</v>
      </c>
      <c r="V1229" t="s">
        <v>43</v>
      </c>
      <c r="W1229" t="s">
        <v>43</v>
      </c>
      <c r="X1229" t="s">
        <v>43</v>
      </c>
      <c r="Y1229" t="s">
        <v>43</v>
      </c>
      <c r="Z1229" t="s">
        <v>43</v>
      </c>
      <c r="AA1229" t="s">
        <v>43</v>
      </c>
      <c r="AB1229" t="s">
        <v>43</v>
      </c>
      <c r="AC1229" t="s">
        <v>43</v>
      </c>
      <c r="AD1229" t="s">
        <v>43</v>
      </c>
      <c r="AE1229" t="s">
        <v>43</v>
      </c>
      <c r="AF1229" t="s">
        <v>43</v>
      </c>
      <c r="AG1229" t="s">
        <v>43</v>
      </c>
      <c r="AH1229" t="s">
        <v>43</v>
      </c>
      <c r="AI1229" t="s">
        <v>43</v>
      </c>
      <c r="AJ1229" t="s">
        <v>43</v>
      </c>
      <c r="AK1229" t="s">
        <v>43</v>
      </c>
      <c r="AL1229" t="s">
        <v>43</v>
      </c>
      <c r="AM1229" t="s">
        <v>43</v>
      </c>
      <c r="AN1229" t="s">
        <v>43</v>
      </c>
    </row>
    <row r="1230" spans="1:40" x14ac:dyDescent="0.3">
      <c r="A1230" s="1">
        <v>46210.857407407406</v>
      </c>
      <c r="B1230" t="s">
        <v>40</v>
      </c>
      <c r="C1230" t="s">
        <v>41</v>
      </c>
      <c r="D1230" s="1">
        <v>46210.860277777778</v>
      </c>
      <c r="E1230" t="s">
        <v>42</v>
      </c>
      <c r="F1230" t="s">
        <v>43</v>
      </c>
      <c r="G1230" t="s">
        <v>43</v>
      </c>
      <c r="H1230" t="s">
        <v>43</v>
      </c>
      <c r="I1230" t="s">
        <v>559</v>
      </c>
      <c r="J1230" t="s">
        <v>43</v>
      </c>
      <c r="K1230" t="s">
        <v>43</v>
      </c>
      <c r="L1230" t="s">
        <v>43</v>
      </c>
      <c r="M1230" t="s">
        <v>43</v>
      </c>
      <c r="N1230" t="s">
        <v>45</v>
      </c>
      <c r="O1230" t="s">
        <v>43</v>
      </c>
      <c r="P1230" t="s">
        <v>43</v>
      </c>
      <c r="Q1230" t="s">
        <v>43</v>
      </c>
      <c r="R1230" t="s">
        <v>43</v>
      </c>
      <c r="S1230" t="s">
        <v>43</v>
      </c>
      <c r="T1230" t="s">
        <v>43</v>
      </c>
      <c r="U1230" t="s">
        <v>43</v>
      </c>
      <c r="V1230" t="s">
        <v>43</v>
      </c>
      <c r="W1230" t="s">
        <v>43</v>
      </c>
      <c r="X1230" t="s">
        <v>43</v>
      </c>
      <c r="Y1230" t="s">
        <v>43</v>
      </c>
      <c r="Z1230" t="s">
        <v>43</v>
      </c>
      <c r="AA1230" t="s">
        <v>43</v>
      </c>
      <c r="AB1230" t="s">
        <v>43</v>
      </c>
      <c r="AC1230" t="s">
        <v>43</v>
      </c>
      <c r="AD1230" t="s">
        <v>43</v>
      </c>
      <c r="AE1230" t="s">
        <v>43</v>
      </c>
      <c r="AF1230" t="s">
        <v>43</v>
      </c>
      <c r="AG1230" t="s">
        <v>43</v>
      </c>
      <c r="AH1230" t="s">
        <v>43</v>
      </c>
      <c r="AI1230" t="s">
        <v>43</v>
      </c>
      <c r="AJ1230" t="s">
        <v>43</v>
      </c>
      <c r="AK1230" t="s">
        <v>43</v>
      </c>
      <c r="AL1230" t="s">
        <v>43</v>
      </c>
      <c r="AM1230" t="s">
        <v>43</v>
      </c>
      <c r="AN1230" t="str">
        <f>HYPERLINK("https://www.google.com/maps?q=11.05493259,79.06279755","Open Location")</f>
        <v>Open Location</v>
      </c>
    </row>
    <row r="1231" spans="1:40" x14ac:dyDescent="0.3">
      <c r="A1231" s="1">
        <v>46210.857291666667</v>
      </c>
      <c r="B1231" t="s">
        <v>40</v>
      </c>
      <c r="C1231" t="s">
        <v>41</v>
      </c>
      <c r="D1231" s="1">
        <v>46210.860069444447</v>
      </c>
      <c r="E1231" t="s">
        <v>42</v>
      </c>
      <c r="F1231" t="s">
        <v>43</v>
      </c>
      <c r="G1231" t="s">
        <v>43</v>
      </c>
      <c r="H1231" t="s">
        <v>43</v>
      </c>
      <c r="I1231" t="s">
        <v>558</v>
      </c>
      <c r="J1231" t="s">
        <v>43</v>
      </c>
      <c r="K1231" t="s">
        <v>43</v>
      </c>
      <c r="L1231" t="s">
        <v>43</v>
      </c>
      <c r="M1231" t="s">
        <v>43</v>
      </c>
      <c r="N1231" t="s">
        <v>45</v>
      </c>
      <c r="O1231" t="s">
        <v>43</v>
      </c>
      <c r="P1231" t="s">
        <v>43</v>
      </c>
      <c r="Q1231" t="s">
        <v>43</v>
      </c>
      <c r="R1231" t="s">
        <v>43</v>
      </c>
      <c r="S1231" t="s">
        <v>43</v>
      </c>
      <c r="T1231" t="s">
        <v>43</v>
      </c>
      <c r="U1231" t="s">
        <v>43</v>
      </c>
      <c r="V1231" t="s">
        <v>43</v>
      </c>
      <c r="W1231" t="s">
        <v>43</v>
      </c>
      <c r="X1231" t="s">
        <v>43</v>
      </c>
      <c r="Y1231" t="s">
        <v>43</v>
      </c>
      <c r="Z1231" t="s">
        <v>43</v>
      </c>
      <c r="AA1231" t="s">
        <v>43</v>
      </c>
      <c r="AB1231" t="s">
        <v>43</v>
      </c>
      <c r="AC1231" t="s">
        <v>43</v>
      </c>
      <c r="AD1231" t="s">
        <v>43</v>
      </c>
      <c r="AE1231" t="s">
        <v>43</v>
      </c>
      <c r="AF1231" t="s">
        <v>43</v>
      </c>
      <c r="AG1231" t="s">
        <v>43</v>
      </c>
      <c r="AH1231" t="s">
        <v>43</v>
      </c>
      <c r="AI1231" t="s">
        <v>43</v>
      </c>
      <c r="AJ1231" t="s">
        <v>43</v>
      </c>
      <c r="AK1231" t="s">
        <v>43</v>
      </c>
      <c r="AL1231" t="s">
        <v>43</v>
      </c>
      <c r="AM1231" t="s">
        <v>43</v>
      </c>
      <c r="AN1231" t="str">
        <f>HYPERLINK("https://www.google.com/maps?q=11.05493164,79.06280518","Open Location")</f>
        <v>Open Location</v>
      </c>
    </row>
    <row r="1232" spans="1:40" x14ac:dyDescent="0.3">
      <c r="A1232" s="1">
        <v>46210.857175925928</v>
      </c>
      <c r="B1232" t="s">
        <v>40</v>
      </c>
      <c r="C1232" t="s">
        <v>41</v>
      </c>
      <c r="D1232" s="1">
        <v>46210.860046296293</v>
      </c>
      <c r="E1232" t="s">
        <v>42</v>
      </c>
      <c r="F1232" t="s">
        <v>43</v>
      </c>
      <c r="G1232" t="s">
        <v>43</v>
      </c>
      <c r="H1232" t="s">
        <v>43</v>
      </c>
      <c r="I1232" t="s">
        <v>560</v>
      </c>
      <c r="J1232" t="s">
        <v>43</v>
      </c>
      <c r="K1232" t="s">
        <v>43</v>
      </c>
      <c r="L1232" t="s">
        <v>43</v>
      </c>
      <c r="M1232" t="s">
        <v>43</v>
      </c>
      <c r="N1232" t="s">
        <v>45</v>
      </c>
      <c r="O1232" t="s">
        <v>43</v>
      </c>
      <c r="P1232" t="s">
        <v>43</v>
      </c>
      <c r="Q1232" t="s">
        <v>43</v>
      </c>
      <c r="R1232" t="s">
        <v>43</v>
      </c>
      <c r="S1232" t="s">
        <v>43</v>
      </c>
      <c r="T1232" t="s">
        <v>43</v>
      </c>
      <c r="U1232" t="s">
        <v>43</v>
      </c>
      <c r="V1232" t="s">
        <v>43</v>
      </c>
      <c r="W1232" t="s">
        <v>43</v>
      </c>
      <c r="X1232" t="s">
        <v>43</v>
      </c>
      <c r="Y1232" t="s">
        <v>43</v>
      </c>
      <c r="Z1232" t="s">
        <v>43</v>
      </c>
      <c r="AA1232" t="s">
        <v>43</v>
      </c>
      <c r="AB1232" t="s">
        <v>43</v>
      </c>
      <c r="AC1232" t="s">
        <v>43</v>
      </c>
      <c r="AD1232" t="s">
        <v>43</v>
      </c>
      <c r="AE1232" t="s">
        <v>43</v>
      </c>
      <c r="AF1232" t="s">
        <v>43</v>
      </c>
      <c r="AG1232" t="s">
        <v>43</v>
      </c>
      <c r="AH1232" t="s">
        <v>43</v>
      </c>
      <c r="AI1232" t="s">
        <v>43</v>
      </c>
      <c r="AJ1232" t="s">
        <v>43</v>
      </c>
      <c r="AK1232" t="s">
        <v>43</v>
      </c>
      <c r="AL1232" t="s">
        <v>43</v>
      </c>
      <c r="AM1232" t="s">
        <v>43</v>
      </c>
      <c r="AN1232" t="str">
        <f>HYPERLINK("https://www.google.com/maps?q=11.05492401,79.06281281","Open Location")</f>
        <v>Open Location</v>
      </c>
    </row>
    <row r="1233" spans="1:40" x14ac:dyDescent="0.3">
      <c r="A1233" s="1">
        <v>46210.857060185182</v>
      </c>
      <c r="B1233" t="s">
        <v>40</v>
      </c>
      <c r="C1233" t="s">
        <v>41</v>
      </c>
      <c r="D1233" s="1">
        <v>46210.859837962962</v>
      </c>
      <c r="E1233" t="s">
        <v>42</v>
      </c>
      <c r="F1233" t="s">
        <v>43</v>
      </c>
      <c r="G1233" t="s">
        <v>43</v>
      </c>
      <c r="H1233" t="s">
        <v>43</v>
      </c>
      <c r="I1233" t="s">
        <v>561</v>
      </c>
      <c r="J1233" t="s">
        <v>43</v>
      </c>
      <c r="K1233" t="s">
        <v>43</v>
      </c>
      <c r="L1233" t="s">
        <v>43</v>
      </c>
      <c r="M1233" t="s">
        <v>43</v>
      </c>
      <c r="N1233" t="s">
        <v>45</v>
      </c>
      <c r="O1233" t="s">
        <v>43</v>
      </c>
      <c r="P1233" t="s">
        <v>43</v>
      </c>
      <c r="Q1233" t="s">
        <v>43</v>
      </c>
      <c r="R1233" t="s">
        <v>43</v>
      </c>
      <c r="S1233" t="s">
        <v>43</v>
      </c>
      <c r="T1233" t="s">
        <v>43</v>
      </c>
      <c r="U1233" t="s">
        <v>43</v>
      </c>
      <c r="V1233" t="s">
        <v>43</v>
      </c>
      <c r="W1233" t="s">
        <v>43</v>
      </c>
      <c r="X1233" t="s">
        <v>43</v>
      </c>
      <c r="Y1233" t="s">
        <v>43</v>
      </c>
      <c r="Z1233" t="s">
        <v>43</v>
      </c>
      <c r="AA1233" t="s">
        <v>43</v>
      </c>
      <c r="AB1233" t="s">
        <v>43</v>
      </c>
      <c r="AC1233" t="s">
        <v>43</v>
      </c>
      <c r="AD1233" t="s">
        <v>43</v>
      </c>
      <c r="AE1233" t="s">
        <v>43</v>
      </c>
      <c r="AF1233" t="s">
        <v>43</v>
      </c>
      <c r="AG1233" t="s">
        <v>43</v>
      </c>
      <c r="AH1233" t="s">
        <v>43</v>
      </c>
      <c r="AI1233" t="s">
        <v>43</v>
      </c>
      <c r="AJ1233" t="s">
        <v>43</v>
      </c>
      <c r="AK1233" t="s">
        <v>43</v>
      </c>
      <c r="AL1233" t="s">
        <v>43</v>
      </c>
      <c r="AM1233" t="s">
        <v>43</v>
      </c>
      <c r="AN1233" t="str">
        <f>HYPERLINK("https://www.google.com/maps?q=11.05491638,79.06282043","Open Location")</f>
        <v>Open Location</v>
      </c>
    </row>
    <row r="1234" spans="1:40" x14ac:dyDescent="0.3">
      <c r="A1234" s="1">
        <v>46210.856944444444</v>
      </c>
      <c r="B1234" t="s">
        <v>40</v>
      </c>
      <c r="C1234" t="s">
        <v>41</v>
      </c>
      <c r="D1234" s="1">
        <v>46210.859814814816</v>
      </c>
      <c r="E1234" t="s">
        <v>42</v>
      </c>
      <c r="F1234" t="s">
        <v>43</v>
      </c>
      <c r="G1234" t="s">
        <v>43</v>
      </c>
      <c r="H1234" t="s">
        <v>43</v>
      </c>
      <c r="I1234" t="s">
        <v>43</v>
      </c>
      <c r="J1234" t="s">
        <v>43</v>
      </c>
      <c r="K1234" t="s">
        <v>43</v>
      </c>
      <c r="L1234" t="s">
        <v>43</v>
      </c>
      <c r="M1234" t="s">
        <v>43</v>
      </c>
      <c r="N1234" t="s">
        <v>45</v>
      </c>
      <c r="O1234" t="s">
        <v>43</v>
      </c>
      <c r="P1234" t="s">
        <v>43</v>
      </c>
      <c r="Q1234" t="s">
        <v>43</v>
      </c>
      <c r="R1234" t="s">
        <v>43</v>
      </c>
      <c r="S1234" t="s">
        <v>43</v>
      </c>
      <c r="T1234" t="s">
        <v>43</v>
      </c>
      <c r="U1234" t="s">
        <v>43</v>
      </c>
      <c r="V1234" t="s">
        <v>43</v>
      </c>
      <c r="W1234" t="s">
        <v>43</v>
      </c>
      <c r="X1234" t="s">
        <v>43</v>
      </c>
      <c r="Y1234" t="s">
        <v>43</v>
      </c>
      <c r="Z1234" t="s">
        <v>43</v>
      </c>
      <c r="AA1234" t="s">
        <v>43</v>
      </c>
      <c r="AB1234" t="s">
        <v>43</v>
      </c>
      <c r="AC1234" t="s">
        <v>43</v>
      </c>
      <c r="AD1234" t="s">
        <v>43</v>
      </c>
      <c r="AE1234" t="s">
        <v>43</v>
      </c>
      <c r="AF1234" t="s">
        <v>43</v>
      </c>
      <c r="AG1234" t="s">
        <v>43</v>
      </c>
      <c r="AH1234" t="s">
        <v>43</v>
      </c>
      <c r="AI1234" t="s">
        <v>43</v>
      </c>
      <c r="AJ1234" t="s">
        <v>43</v>
      </c>
      <c r="AK1234" t="s">
        <v>43</v>
      </c>
      <c r="AL1234" t="s">
        <v>43</v>
      </c>
      <c r="AM1234" t="s">
        <v>43</v>
      </c>
      <c r="AN1234" t="s">
        <v>43</v>
      </c>
    </row>
    <row r="1235" spans="1:40" x14ac:dyDescent="0.3">
      <c r="A1235" s="1">
        <v>46210.856828703705</v>
      </c>
      <c r="B1235" t="s">
        <v>40</v>
      </c>
      <c r="C1235" t="s">
        <v>41</v>
      </c>
      <c r="D1235" s="1">
        <v>46210.859548611108</v>
      </c>
      <c r="E1235" t="s">
        <v>42</v>
      </c>
      <c r="F1235" t="s">
        <v>43</v>
      </c>
      <c r="G1235" t="s">
        <v>43</v>
      </c>
      <c r="H1235" t="s">
        <v>43</v>
      </c>
      <c r="I1235" t="s">
        <v>562</v>
      </c>
      <c r="J1235" t="s">
        <v>43</v>
      </c>
      <c r="K1235" t="s">
        <v>43</v>
      </c>
      <c r="L1235" t="s">
        <v>43</v>
      </c>
      <c r="M1235" t="s">
        <v>43</v>
      </c>
      <c r="N1235" t="s">
        <v>45</v>
      </c>
      <c r="O1235" t="s">
        <v>43</v>
      </c>
      <c r="P1235" t="s">
        <v>43</v>
      </c>
      <c r="Q1235" t="s">
        <v>43</v>
      </c>
      <c r="R1235" t="s">
        <v>43</v>
      </c>
      <c r="S1235" t="s">
        <v>43</v>
      </c>
      <c r="T1235" t="s">
        <v>43</v>
      </c>
      <c r="U1235" t="s">
        <v>43</v>
      </c>
      <c r="V1235" t="s">
        <v>43</v>
      </c>
      <c r="W1235" t="s">
        <v>43</v>
      </c>
      <c r="X1235" t="s">
        <v>43</v>
      </c>
      <c r="Y1235" t="s">
        <v>43</v>
      </c>
      <c r="Z1235" t="s">
        <v>43</v>
      </c>
      <c r="AA1235" t="s">
        <v>43</v>
      </c>
      <c r="AB1235" t="s">
        <v>43</v>
      </c>
      <c r="AC1235" t="s">
        <v>43</v>
      </c>
      <c r="AD1235" t="s">
        <v>43</v>
      </c>
      <c r="AE1235" t="s">
        <v>43</v>
      </c>
      <c r="AF1235" t="s">
        <v>43</v>
      </c>
      <c r="AG1235" t="s">
        <v>43</v>
      </c>
      <c r="AH1235" t="s">
        <v>43</v>
      </c>
      <c r="AI1235" t="s">
        <v>43</v>
      </c>
      <c r="AJ1235" t="s">
        <v>43</v>
      </c>
      <c r="AK1235" t="s">
        <v>43</v>
      </c>
      <c r="AL1235" t="s">
        <v>43</v>
      </c>
      <c r="AM1235" t="s">
        <v>43</v>
      </c>
      <c r="AN1235" t="str">
        <f>HYPERLINK("https://www.google.com/maps?q=11.05490494,79.06283569","Open Location")</f>
        <v>Open Location</v>
      </c>
    </row>
    <row r="1236" spans="1:40" x14ac:dyDescent="0.3">
      <c r="A1236" s="1">
        <v>46210.856712962966</v>
      </c>
      <c r="B1236" t="s">
        <v>40</v>
      </c>
      <c r="C1236" t="s">
        <v>41</v>
      </c>
      <c r="D1236" s="1">
        <v>46210.859618055554</v>
      </c>
      <c r="E1236" t="s">
        <v>42</v>
      </c>
      <c r="F1236" t="s">
        <v>43</v>
      </c>
      <c r="G1236" t="s">
        <v>43</v>
      </c>
      <c r="H1236" t="s">
        <v>43</v>
      </c>
      <c r="I1236" t="s">
        <v>563</v>
      </c>
      <c r="J1236" t="s">
        <v>43</v>
      </c>
      <c r="K1236" t="s">
        <v>43</v>
      </c>
      <c r="L1236" t="s">
        <v>43</v>
      </c>
      <c r="M1236" t="s">
        <v>43</v>
      </c>
      <c r="N1236" t="s">
        <v>45</v>
      </c>
      <c r="O1236" t="s">
        <v>43</v>
      </c>
      <c r="P1236" t="s">
        <v>43</v>
      </c>
      <c r="Q1236" t="s">
        <v>43</v>
      </c>
      <c r="R1236" t="s">
        <v>43</v>
      </c>
      <c r="S1236" t="s">
        <v>43</v>
      </c>
      <c r="T1236" t="s">
        <v>43</v>
      </c>
      <c r="U1236" t="s">
        <v>43</v>
      </c>
      <c r="V1236" t="s">
        <v>43</v>
      </c>
      <c r="W1236" t="s">
        <v>43</v>
      </c>
      <c r="X1236" t="s">
        <v>43</v>
      </c>
      <c r="Y1236" t="s">
        <v>43</v>
      </c>
      <c r="Z1236" t="s">
        <v>43</v>
      </c>
      <c r="AA1236" t="s">
        <v>43</v>
      </c>
      <c r="AB1236" t="s">
        <v>43</v>
      </c>
      <c r="AC1236" t="s">
        <v>43</v>
      </c>
      <c r="AD1236" t="s">
        <v>43</v>
      </c>
      <c r="AE1236" t="s">
        <v>43</v>
      </c>
      <c r="AF1236" t="s">
        <v>43</v>
      </c>
      <c r="AG1236" t="s">
        <v>43</v>
      </c>
      <c r="AH1236" t="s">
        <v>43</v>
      </c>
      <c r="AI1236" t="s">
        <v>43</v>
      </c>
      <c r="AJ1236" t="s">
        <v>43</v>
      </c>
      <c r="AK1236" t="s">
        <v>43</v>
      </c>
      <c r="AL1236" t="s">
        <v>43</v>
      </c>
      <c r="AM1236" t="s">
        <v>43</v>
      </c>
      <c r="AN1236" t="str">
        <f>HYPERLINK("https://www.google.com/maps?q=11.05489635,79.06283569","Open Location")</f>
        <v>Open Location</v>
      </c>
    </row>
    <row r="1237" spans="1:40" x14ac:dyDescent="0.3">
      <c r="A1237" s="1">
        <v>46210.85659722222</v>
      </c>
      <c r="B1237" t="s">
        <v>40</v>
      </c>
      <c r="C1237" t="s">
        <v>41</v>
      </c>
      <c r="D1237" s="1">
        <v>46210.859456018516</v>
      </c>
      <c r="E1237" t="s">
        <v>42</v>
      </c>
      <c r="F1237" t="s">
        <v>43</v>
      </c>
      <c r="G1237" t="s">
        <v>43</v>
      </c>
      <c r="H1237" t="s">
        <v>43</v>
      </c>
      <c r="I1237" t="s">
        <v>564</v>
      </c>
      <c r="J1237" t="s">
        <v>43</v>
      </c>
      <c r="K1237" t="s">
        <v>43</v>
      </c>
      <c r="L1237" t="s">
        <v>43</v>
      </c>
      <c r="M1237" t="s">
        <v>43</v>
      </c>
      <c r="N1237" t="s">
        <v>45</v>
      </c>
      <c r="O1237" t="s">
        <v>43</v>
      </c>
      <c r="P1237" t="s">
        <v>43</v>
      </c>
      <c r="Q1237" t="s">
        <v>43</v>
      </c>
      <c r="R1237" t="s">
        <v>43</v>
      </c>
      <c r="S1237" t="s">
        <v>43</v>
      </c>
      <c r="T1237" t="s">
        <v>43</v>
      </c>
      <c r="U1237" t="s">
        <v>43</v>
      </c>
      <c r="V1237" t="s">
        <v>43</v>
      </c>
      <c r="W1237" t="s">
        <v>43</v>
      </c>
      <c r="X1237" t="s">
        <v>43</v>
      </c>
      <c r="Y1237" t="s">
        <v>43</v>
      </c>
      <c r="Z1237" t="s">
        <v>43</v>
      </c>
      <c r="AA1237" t="s">
        <v>43</v>
      </c>
      <c r="AB1237" t="s">
        <v>43</v>
      </c>
      <c r="AC1237" t="s">
        <v>43</v>
      </c>
      <c r="AD1237" t="s">
        <v>43</v>
      </c>
      <c r="AE1237" t="s">
        <v>43</v>
      </c>
      <c r="AF1237" t="s">
        <v>43</v>
      </c>
      <c r="AG1237" t="s">
        <v>43</v>
      </c>
      <c r="AH1237" t="s">
        <v>43</v>
      </c>
      <c r="AI1237" t="s">
        <v>43</v>
      </c>
      <c r="AJ1237" t="s">
        <v>43</v>
      </c>
      <c r="AK1237" t="s">
        <v>43</v>
      </c>
      <c r="AL1237" t="s">
        <v>43</v>
      </c>
      <c r="AM1237" t="s">
        <v>43</v>
      </c>
      <c r="AN1237" t="str">
        <f>HYPERLINK("https://www.google.com/maps?q=11.05489159,79.06283569","Open Location")</f>
        <v>Open Location</v>
      </c>
    </row>
    <row r="1238" spans="1:40" x14ac:dyDescent="0.3">
      <c r="A1238" s="1">
        <v>46210.856481481482</v>
      </c>
      <c r="B1238" t="s">
        <v>40</v>
      </c>
      <c r="C1238" t="s">
        <v>41</v>
      </c>
      <c r="D1238" s="1">
        <v>46210.859594907408</v>
      </c>
      <c r="E1238" t="s">
        <v>42</v>
      </c>
      <c r="F1238" t="s">
        <v>43</v>
      </c>
      <c r="G1238" t="s">
        <v>43</v>
      </c>
      <c r="H1238" t="s">
        <v>43</v>
      </c>
      <c r="I1238" t="s">
        <v>565</v>
      </c>
      <c r="J1238" t="s">
        <v>43</v>
      </c>
      <c r="K1238" t="s">
        <v>43</v>
      </c>
      <c r="L1238" t="s">
        <v>43</v>
      </c>
      <c r="M1238" t="s">
        <v>43</v>
      </c>
      <c r="N1238" t="s">
        <v>45</v>
      </c>
      <c r="O1238" t="s">
        <v>43</v>
      </c>
      <c r="P1238" t="s">
        <v>43</v>
      </c>
      <c r="Q1238" t="s">
        <v>43</v>
      </c>
      <c r="R1238" t="s">
        <v>43</v>
      </c>
      <c r="S1238" t="s">
        <v>43</v>
      </c>
      <c r="T1238" t="s">
        <v>43</v>
      </c>
      <c r="U1238" t="s">
        <v>43</v>
      </c>
      <c r="V1238" t="s">
        <v>43</v>
      </c>
      <c r="W1238" t="s">
        <v>43</v>
      </c>
      <c r="X1238" t="s">
        <v>43</v>
      </c>
      <c r="Y1238" t="s">
        <v>43</v>
      </c>
      <c r="Z1238" t="s">
        <v>43</v>
      </c>
      <c r="AA1238" t="s">
        <v>43</v>
      </c>
      <c r="AB1238" t="s">
        <v>43</v>
      </c>
      <c r="AC1238" t="s">
        <v>43</v>
      </c>
      <c r="AD1238" t="s">
        <v>43</v>
      </c>
      <c r="AE1238" t="s">
        <v>43</v>
      </c>
      <c r="AF1238" t="s">
        <v>43</v>
      </c>
      <c r="AG1238" t="s">
        <v>43</v>
      </c>
      <c r="AH1238" t="s">
        <v>43</v>
      </c>
      <c r="AI1238" t="s">
        <v>43</v>
      </c>
      <c r="AJ1238" t="s">
        <v>43</v>
      </c>
      <c r="AK1238" t="s">
        <v>43</v>
      </c>
      <c r="AL1238" t="s">
        <v>43</v>
      </c>
      <c r="AM1238" t="s">
        <v>43</v>
      </c>
      <c r="AN1238" t="str">
        <f>HYPERLINK("https://www.google.com/maps?q=11.05489254,79.06283569","Open Location")</f>
        <v>Open Location</v>
      </c>
    </row>
    <row r="1239" spans="1:40" x14ac:dyDescent="0.3">
      <c r="A1239" s="1">
        <v>46210.856365740743</v>
      </c>
      <c r="B1239" t="s">
        <v>40</v>
      </c>
      <c r="C1239" t="s">
        <v>41</v>
      </c>
      <c r="D1239" s="1">
        <v>46210.859178240738</v>
      </c>
      <c r="E1239" t="s">
        <v>42</v>
      </c>
      <c r="F1239" t="s">
        <v>43</v>
      </c>
      <c r="G1239" t="s">
        <v>43</v>
      </c>
      <c r="H1239" t="s">
        <v>43</v>
      </c>
      <c r="I1239" t="s">
        <v>564</v>
      </c>
      <c r="J1239" t="s">
        <v>43</v>
      </c>
      <c r="K1239" t="s">
        <v>43</v>
      </c>
      <c r="L1239" t="s">
        <v>43</v>
      </c>
      <c r="M1239" t="s">
        <v>43</v>
      </c>
      <c r="N1239" t="s">
        <v>45</v>
      </c>
      <c r="O1239" t="s">
        <v>43</v>
      </c>
      <c r="P1239" t="s">
        <v>43</v>
      </c>
      <c r="Q1239" t="s">
        <v>43</v>
      </c>
      <c r="R1239" t="s">
        <v>43</v>
      </c>
      <c r="S1239">
        <v>0</v>
      </c>
      <c r="T1239">
        <v>-40</v>
      </c>
      <c r="U1239">
        <v>40</v>
      </c>
      <c r="V1239">
        <v>0</v>
      </c>
      <c r="W1239" t="s">
        <v>43</v>
      </c>
      <c r="X1239" t="s">
        <v>43</v>
      </c>
      <c r="Y1239" t="s">
        <v>43</v>
      </c>
      <c r="Z1239" t="s">
        <v>43</v>
      </c>
      <c r="AA1239" t="s">
        <v>43</v>
      </c>
      <c r="AB1239" t="s">
        <v>43</v>
      </c>
      <c r="AC1239" t="s">
        <v>43</v>
      </c>
      <c r="AD1239" t="s">
        <v>43</v>
      </c>
      <c r="AE1239" t="s">
        <v>43</v>
      </c>
      <c r="AF1239" t="s">
        <v>43</v>
      </c>
      <c r="AG1239" t="s">
        <v>43</v>
      </c>
      <c r="AH1239" t="s">
        <v>43</v>
      </c>
      <c r="AI1239" t="s">
        <v>43</v>
      </c>
      <c r="AJ1239" t="s">
        <v>43</v>
      </c>
      <c r="AK1239" t="s">
        <v>43</v>
      </c>
      <c r="AL1239" t="s">
        <v>43</v>
      </c>
      <c r="AM1239" t="s">
        <v>43</v>
      </c>
      <c r="AN1239" t="str">
        <f>HYPERLINK("https://www.google.com/maps?q=11.05489159,79.06283569","Open Location")</f>
        <v>Open Location</v>
      </c>
    </row>
    <row r="1240" spans="1:40" x14ac:dyDescent="0.3">
      <c r="A1240" s="1">
        <v>46210.856249999997</v>
      </c>
      <c r="B1240" t="s">
        <v>40</v>
      </c>
      <c r="C1240" t="s">
        <v>41</v>
      </c>
      <c r="D1240" s="1">
        <v>46210.859178240738</v>
      </c>
      <c r="E1240" t="s">
        <v>42</v>
      </c>
      <c r="F1240" t="s">
        <v>43</v>
      </c>
      <c r="G1240" t="s">
        <v>43</v>
      </c>
      <c r="H1240" t="s">
        <v>43</v>
      </c>
      <c r="I1240" t="s">
        <v>43</v>
      </c>
      <c r="J1240" t="s">
        <v>43</v>
      </c>
      <c r="K1240" t="s">
        <v>43</v>
      </c>
      <c r="L1240" t="s">
        <v>43</v>
      </c>
      <c r="M1240" t="s">
        <v>43</v>
      </c>
      <c r="N1240" t="s">
        <v>45</v>
      </c>
      <c r="O1240" t="s">
        <v>43</v>
      </c>
      <c r="P1240" t="s">
        <v>43</v>
      </c>
      <c r="Q1240" t="s">
        <v>43</v>
      </c>
      <c r="R1240" t="s">
        <v>43</v>
      </c>
      <c r="S1240">
        <v>0</v>
      </c>
      <c r="T1240">
        <v>-40</v>
      </c>
      <c r="U1240">
        <v>40</v>
      </c>
      <c r="V1240">
        <v>0</v>
      </c>
      <c r="W1240" t="s">
        <v>43</v>
      </c>
      <c r="X1240" t="s">
        <v>43</v>
      </c>
      <c r="Y1240" t="s">
        <v>43</v>
      </c>
      <c r="Z1240" t="s">
        <v>43</v>
      </c>
      <c r="AA1240" t="s">
        <v>43</v>
      </c>
      <c r="AB1240" t="s">
        <v>43</v>
      </c>
      <c r="AC1240" t="s">
        <v>43</v>
      </c>
      <c r="AD1240" t="s">
        <v>43</v>
      </c>
      <c r="AE1240" t="s">
        <v>43</v>
      </c>
      <c r="AF1240" t="s">
        <v>43</v>
      </c>
      <c r="AG1240" t="s">
        <v>43</v>
      </c>
      <c r="AH1240" t="s">
        <v>43</v>
      </c>
      <c r="AI1240" t="s">
        <v>43</v>
      </c>
      <c r="AJ1240" t="s">
        <v>43</v>
      </c>
      <c r="AK1240" t="s">
        <v>43</v>
      </c>
      <c r="AL1240" t="s">
        <v>43</v>
      </c>
      <c r="AM1240" t="s">
        <v>43</v>
      </c>
      <c r="AN1240" t="s">
        <v>43</v>
      </c>
    </row>
    <row r="1241" spans="1:40" x14ac:dyDescent="0.3">
      <c r="A1241" s="1">
        <v>46210.856134259258</v>
      </c>
      <c r="B1241" t="s">
        <v>40</v>
      </c>
      <c r="C1241" t="s">
        <v>41</v>
      </c>
      <c r="D1241" s="1">
        <v>46210.859097222223</v>
      </c>
      <c r="E1241" t="s">
        <v>42</v>
      </c>
      <c r="F1241" t="s">
        <v>43</v>
      </c>
      <c r="G1241" t="s">
        <v>43</v>
      </c>
      <c r="H1241" t="s">
        <v>43</v>
      </c>
      <c r="I1241" t="s">
        <v>566</v>
      </c>
      <c r="J1241" t="s">
        <v>43</v>
      </c>
      <c r="K1241" t="s">
        <v>43</v>
      </c>
      <c r="L1241" t="s">
        <v>43</v>
      </c>
      <c r="M1241" t="s">
        <v>43</v>
      </c>
      <c r="N1241" t="s">
        <v>45</v>
      </c>
      <c r="O1241" t="s">
        <v>43</v>
      </c>
      <c r="P1241" t="s">
        <v>43</v>
      </c>
      <c r="Q1241" t="s">
        <v>43</v>
      </c>
      <c r="R1241" t="s">
        <v>43</v>
      </c>
      <c r="S1241">
        <v>0</v>
      </c>
      <c r="T1241">
        <v>-40</v>
      </c>
      <c r="U1241">
        <v>40</v>
      </c>
      <c r="V1241">
        <v>0</v>
      </c>
      <c r="W1241" t="s">
        <v>43</v>
      </c>
      <c r="X1241" t="s">
        <v>43</v>
      </c>
      <c r="Y1241" t="s">
        <v>43</v>
      </c>
      <c r="Z1241" t="s">
        <v>43</v>
      </c>
      <c r="AA1241" t="s">
        <v>43</v>
      </c>
      <c r="AB1241" t="s">
        <v>43</v>
      </c>
      <c r="AC1241" t="s">
        <v>43</v>
      </c>
      <c r="AD1241" t="s">
        <v>43</v>
      </c>
      <c r="AE1241" t="s">
        <v>43</v>
      </c>
      <c r="AF1241" t="s">
        <v>43</v>
      </c>
      <c r="AG1241" t="s">
        <v>43</v>
      </c>
      <c r="AH1241" t="s">
        <v>43</v>
      </c>
      <c r="AI1241" t="s">
        <v>43</v>
      </c>
      <c r="AJ1241" t="s">
        <v>43</v>
      </c>
      <c r="AK1241" t="s">
        <v>43</v>
      </c>
      <c r="AL1241" t="s">
        <v>43</v>
      </c>
      <c r="AM1241" t="s">
        <v>43</v>
      </c>
      <c r="AN1241" t="str">
        <f>HYPERLINK("https://www.google.com/maps?q=11.05488682,79.06284332","Open Location")</f>
        <v>Open Location</v>
      </c>
    </row>
    <row r="1242" spans="1:40" x14ac:dyDescent="0.3">
      <c r="A1242" s="1">
        <v>46210.85601851852</v>
      </c>
      <c r="B1242" t="s">
        <v>40</v>
      </c>
      <c r="C1242" t="s">
        <v>41</v>
      </c>
      <c r="D1242" s="1">
        <v>46210.859178240738</v>
      </c>
      <c r="E1242" t="s">
        <v>42</v>
      </c>
      <c r="F1242" t="s">
        <v>43</v>
      </c>
      <c r="G1242" t="s">
        <v>43</v>
      </c>
      <c r="H1242" t="s">
        <v>43</v>
      </c>
      <c r="I1242" t="s">
        <v>567</v>
      </c>
      <c r="J1242" t="s">
        <v>43</v>
      </c>
      <c r="K1242" t="s">
        <v>43</v>
      </c>
      <c r="L1242" t="s">
        <v>43</v>
      </c>
      <c r="M1242" t="s">
        <v>43</v>
      </c>
      <c r="N1242" t="s">
        <v>45</v>
      </c>
      <c r="O1242" t="s">
        <v>43</v>
      </c>
      <c r="P1242" t="s">
        <v>43</v>
      </c>
      <c r="Q1242" t="s">
        <v>43</v>
      </c>
      <c r="R1242" t="s">
        <v>43</v>
      </c>
      <c r="S1242">
        <v>0</v>
      </c>
      <c r="T1242">
        <v>-40</v>
      </c>
      <c r="U1242">
        <v>40</v>
      </c>
      <c r="V1242">
        <v>0</v>
      </c>
      <c r="W1242" t="s">
        <v>43</v>
      </c>
      <c r="X1242" t="s">
        <v>43</v>
      </c>
      <c r="Y1242" t="s">
        <v>43</v>
      </c>
      <c r="Z1242" t="s">
        <v>43</v>
      </c>
      <c r="AA1242" t="s">
        <v>43</v>
      </c>
      <c r="AB1242" t="s">
        <v>43</v>
      </c>
      <c r="AC1242" t="s">
        <v>43</v>
      </c>
      <c r="AD1242" t="s">
        <v>43</v>
      </c>
      <c r="AE1242" t="s">
        <v>43</v>
      </c>
      <c r="AF1242" t="s">
        <v>43</v>
      </c>
      <c r="AG1242" t="s">
        <v>43</v>
      </c>
      <c r="AH1242" t="s">
        <v>43</v>
      </c>
      <c r="AI1242" t="s">
        <v>43</v>
      </c>
      <c r="AJ1242" t="s">
        <v>43</v>
      </c>
      <c r="AK1242" t="s">
        <v>43</v>
      </c>
      <c r="AL1242" t="s">
        <v>43</v>
      </c>
      <c r="AM1242" t="s">
        <v>43</v>
      </c>
      <c r="AN1242" t="str">
        <f>HYPERLINK("https://www.google.com/maps?q=11.0548811,79.06284332","Open Location")</f>
        <v>Open Location</v>
      </c>
    </row>
    <row r="1243" spans="1:40" x14ac:dyDescent="0.3">
      <c r="A1243" s="1">
        <v>46210.855902777781</v>
      </c>
      <c r="B1243" t="s">
        <v>40</v>
      </c>
      <c r="C1243" t="s">
        <v>41</v>
      </c>
      <c r="D1243" s="1">
        <v>46210.858749999999</v>
      </c>
      <c r="E1243" t="s">
        <v>42</v>
      </c>
      <c r="F1243" t="s">
        <v>43</v>
      </c>
      <c r="G1243" t="s">
        <v>43</v>
      </c>
      <c r="H1243" t="s">
        <v>43</v>
      </c>
      <c r="I1243" t="s">
        <v>568</v>
      </c>
      <c r="J1243" t="s">
        <v>43</v>
      </c>
      <c r="K1243" t="s">
        <v>43</v>
      </c>
      <c r="L1243" t="s">
        <v>43</v>
      </c>
      <c r="M1243" t="s">
        <v>43</v>
      </c>
      <c r="N1243" t="s">
        <v>45</v>
      </c>
      <c r="O1243" t="s">
        <v>43</v>
      </c>
      <c r="P1243" t="s">
        <v>43</v>
      </c>
      <c r="Q1243" t="s">
        <v>43</v>
      </c>
      <c r="R1243" t="s">
        <v>43</v>
      </c>
      <c r="S1243">
        <v>0</v>
      </c>
      <c r="T1243">
        <v>-40</v>
      </c>
      <c r="U1243">
        <v>40</v>
      </c>
      <c r="V1243">
        <v>0</v>
      </c>
      <c r="W1243" t="s">
        <v>43</v>
      </c>
      <c r="X1243" t="s">
        <v>43</v>
      </c>
      <c r="Y1243" t="s">
        <v>43</v>
      </c>
      <c r="Z1243" t="s">
        <v>43</v>
      </c>
      <c r="AA1243" t="s">
        <v>43</v>
      </c>
      <c r="AB1243" t="s">
        <v>43</v>
      </c>
      <c r="AC1243" t="s">
        <v>43</v>
      </c>
      <c r="AD1243" t="s">
        <v>43</v>
      </c>
      <c r="AE1243" t="s">
        <v>43</v>
      </c>
      <c r="AF1243" t="s">
        <v>43</v>
      </c>
      <c r="AG1243" t="s">
        <v>43</v>
      </c>
      <c r="AH1243" t="s">
        <v>43</v>
      </c>
      <c r="AI1243" t="s">
        <v>43</v>
      </c>
      <c r="AJ1243" t="s">
        <v>43</v>
      </c>
      <c r="AK1243" t="s">
        <v>43</v>
      </c>
      <c r="AL1243" t="s">
        <v>43</v>
      </c>
      <c r="AM1243" t="s">
        <v>43</v>
      </c>
      <c r="AN1243" t="str">
        <f>HYPERLINK("https://www.google.com/maps?q=11.05487347,79.06283569","Open Location")</f>
        <v>Open Location</v>
      </c>
    </row>
    <row r="1244" spans="1:40" x14ac:dyDescent="0.3">
      <c r="A1244" s="1">
        <v>46210.855787037035</v>
      </c>
      <c r="B1244" t="s">
        <v>40</v>
      </c>
      <c r="C1244" t="s">
        <v>41</v>
      </c>
      <c r="D1244" s="1">
        <v>46210.858761574076</v>
      </c>
      <c r="E1244" t="s">
        <v>42</v>
      </c>
      <c r="F1244" t="s">
        <v>43</v>
      </c>
      <c r="G1244" t="s">
        <v>43</v>
      </c>
      <c r="H1244" t="s">
        <v>43</v>
      </c>
      <c r="I1244" t="s">
        <v>569</v>
      </c>
      <c r="J1244" t="s">
        <v>43</v>
      </c>
      <c r="K1244" t="s">
        <v>43</v>
      </c>
      <c r="L1244" t="s">
        <v>43</v>
      </c>
      <c r="M1244" t="s">
        <v>43</v>
      </c>
      <c r="N1244" t="s">
        <v>45</v>
      </c>
      <c r="O1244" t="s">
        <v>43</v>
      </c>
      <c r="P1244" t="s">
        <v>43</v>
      </c>
      <c r="Q1244" t="s">
        <v>43</v>
      </c>
      <c r="R1244" t="s">
        <v>43</v>
      </c>
      <c r="S1244">
        <v>0</v>
      </c>
      <c r="T1244">
        <v>-40</v>
      </c>
      <c r="U1244">
        <v>40</v>
      </c>
      <c r="V1244">
        <v>0</v>
      </c>
      <c r="W1244" t="s">
        <v>43</v>
      </c>
      <c r="X1244" t="s">
        <v>43</v>
      </c>
      <c r="Y1244" t="s">
        <v>43</v>
      </c>
      <c r="Z1244" t="s">
        <v>43</v>
      </c>
      <c r="AA1244" t="s">
        <v>43</v>
      </c>
      <c r="AB1244" t="s">
        <v>43</v>
      </c>
      <c r="AC1244" t="s">
        <v>43</v>
      </c>
      <c r="AD1244" t="s">
        <v>43</v>
      </c>
      <c r="AE1244" t="s">
        <v>43</v>
      </c>
      <c r="AF1244" t="s">
        <v>43</v>
      </c>
      <c r="AG1244" t="s">
        <v>43</v>
      </c>
      <c r="AH1244" t="s">
        <v>43</v>
      </c>
      <c r="AI1244" t="s">
        <v>43</v>
      </c>
      <c r="AJ1244" t="s">
        <v>43</v>
      </c>
      <c r="AK1244" t="s">
        <v>43</v>
      </c>
      <c r="AL1244" t="s">
        <v>43</v>
      </c>
      <c r="AM1244" t="s">
        <v>43</v>
      </c>
      <c r="AN1244" t="str">
        <f>HYPERLINK("https://www.google.com/maps?q=11.05487442,79.06283569","Open Location")</f>
        <v>Open Location</v>
      </c>
    </row>
    <row r="1245" spans="1:40" x14ac:dyDescent="0.3">
      <c r="A1245" s="1">
        <v>46210.855671296296</v>
      </c>
      <c r="B1245" t="s">
        <v>40</v>
      </c>
      <c r="C1245" t="s">
        <v>41</v>
      </c>
      <c r="D1245" s="1">
        <v>46210.858460648145</v>
      </c>
      <c r="E1245" t="s">
        <v>42</v>
      </c>
      <c r="F1245" t="s">
        <v>43</v>
      </c>
      <c r="G1245" t="s">
        <v>43</v>
      </c>
      <c r="H1245" t="s">
        <v>43</v>
      </c>
      <c r="I1245" t="s">
        <v>570</v>
      </c>
      <c r="J1245" t="s">
        <v>43</v>
      </c>
      <c r="K1245" t="s">
        <v>43</v>
      </c>
      <c r="L1245" t="s">
        <v>43</v>
      </c>
      <c r="M1245" t="s">
        <v>43</v>
      </c>
      <c r="N1245" t="s">
        <v>45</v>
      </c>
      <c r="O1245" t="s">
        <v>43</v>
      </c>
      <c r="P1245" t="s">
        <v>43</v>
      </c>
      <c r="Q1245" t="s">
        <v>43</v>
      </c>
      <c r="R1245" t="s">
        <v>43</v>
      </c>
      <c r="S1245">
        <v>0</v>
      </c>
      <c r="T1245">
        <v>-40</v>
      </c>
      <c r="U1245">
        <v>40</v>
      </c>
      <c r="V1245">
        <v>0</v>
      </c>
      <c r="W1245" t="s">
        <v>43</v>
      </c>
      <c r="X1245" t="s">
        <v>43</v>
      </c>
      <c r="Y1245" t="s">
        <v>43</v>
      </c>
      <c r="Z1245" t="s">
        <v>43</v>
      </c>
      <c r="AA1245" t="s">
        <v>43</v>
      </c>
      <c r="AB1245" t="s">
        <v>43</v>
      </c>
      <c r="AC1245" t="s">
        <v>43</v>
      </c>
      <c r="AD1245" t="s">
        <v>43</v>
      </c>
      <c r="AE1245" t="s">
        <v>43</v>
      </c>
      <c r="AF1245" t="s">
        <v>43</v>
      </c>
      <c r="AG1245" t="s">
        <v>43</v>
      </c>
      <c r="AH1245" t="s">
        <v>43</v>
      </c>
      <c r="AI1245" t="s">
        <v>43</v>
      </c>
      <c r="AJ1245" t="s">
        <v>43</v>
      </c>
      <c r="AK1245" t="s">
        <v>43</v>
      </c>
      <c r="AL1245" t="s">
        <v>43</v>
      </c>
      <c r="AM1245" t="s">
        <v>43</v>
      </c>
      <c r="AN1245" t="str">
        <f>HYPERLINK("https://www.google.com/maps?q=11.05487061,79.06283569","Open Location")</f>
        <v>Open Location</v>
      </c>
    </row>
    <row r="1246" spans="1:40" x14ac:dyDescent="0.3">
      <c r="A1246" s="1">
        <v>46210.855555555558</v>
      </c>
      <c r="B1246" t="s">
        <v>40</v>
      </c>
      <c r="C1246" t="s">
        <v>41</v>
      </c>
      <c r="D1246" s="1">
        <v>46210.858611111114</v>
      </c>
      <c r="E1246" t="s">
        <v>42</v>
      </c>
      <c r="F1246" t="s">
        <v>43</v>
      </c>
      <c r="G1246" t="s">
        <v>43</v>
      </c>
      <c r="H1246" t="s">
        <v>43</v>
      </c>
      <c r="I1246" t="s">
        <v>43</v>
      </c>
      <c r="J1246" t="s">
        <v>43</v>
      </c>
      <c r="K1246" t="s">
        <v>43</v>
      </c>
      <c r="L1246" t="s">
        <v>43</v>
      </c>
      <c r="M1246" t="s">
        <v>43</v>
      </c>
      <c r="N1246" t="s">
        <v>45</v>
      </c>
      <c r="O1246" t="s">
        <v>43</v>
      </c>
      <c r="P1246" t="s">
        <v>43</v>
      </c>
      <c r="Q1246" t="s">
        <v>43</v>
      </c>
      <c r="R1246" t="s">
        <v>43</v>
      </c>
      <c r="S1246">
        <v>0</v>
      </c>
      <c r="T1246">
        <v>-40</v>
      </c>
      <c r="U1246">
        <v>40</v>
      </c>
      <c r="V1246">
        <v>0</v>
      </c>
      <c r="W1246" t="s">
        <v>43</v>
      </c>
      <c r="X1246" t="s">
        <v>43</v>
      </c>
      <c r="Y1246" t="s">
        <v>43</v>
      </c>
      <c r="Z1246" t="s">
        <v>43</v>
      </c>
      <c r="AA1246" t="s">
        <v>43</v>
      </c>
      <c r="AB1246" t="s">
        <v>43</v>
      </c>
      <c r="AC1246" t="s">
        <v>43</v>
      </c>
      <c r="AD1246" t="s">
        <v>43</v>
      </c>
      <c r="AE1246" t="s">
        <v>43</v>
      </c>
      <c r="AF1246" t="s">
        <v>43</v>
      </c>
      <c r="AG1246" t="s">
        <v>43</v>
      </c>
      <c r="AH1246" t="s">
        <v>43</v>
      </c>
      <c r="AI1246" t="s">
        <v>43</v>
      </c>
      <c r="AJ1246" t="s">
        <v>43</v>
      </c>
      <c r="AK1246" t="s">
        <v>43</v>
      </c>
      <c r="AL1246" t="s">
        <v>43</v>
      </c>
      <c r="AM1246" t="s">
        <v>43</v>
      </c>
      <c r="AN1246" t="s">
        <v>43</v>
      </c>
    </row>
    <row r="1247" spans="1:40" x14ac:dyDescent="0.3">
      <c r="A1247" s="1">
        <v>46210.855439814812</v>
      </c>
      <c r="B1247" t="s">
        <v>40</v>
      </c>
      <c r="C1247" t="s">
        <v>41</v>
      </c>
      <c r="D1247" s="1">
        <v>46210.858402777776</v>
      </c>
      <c r="E1247" t="s">
        <v>42</v>
      </c>
      <c r="F1247" t="s">
        <v>43</v>
      </c>
      <c r="G1247" t="s">
        <v>43</v>
      </c>
      <c r="H1247" t="s">
        <v>43</v>
      </c>
      <c r="I1247" t="s">
        <v>571</v>
      </c>
      <c r="J1247" t="s">
        <v>43</v>
      </c>
      <c r="K1247" t="s">
        <v>43</v>
      </c>
      <c r="L1247" t="s">
        <v>43</v>
      </c>
      <c r="M1247" t="s">
        <v>43</v>
      </c>
      <c r="N1247" t="s">
        <v>45</v>
      </c>
      <c r="O1247" t="s">
        <v>43</v>
      </c>
      <c r="P1247" t="s">
        <v>43</v>
      </c>
      <c r="Q1247" t="s">
        <v>43</v>
      </c>
      <c r="R1247" t="s">
        <v>43</v>
      </c>
      <c r="S1247">
        <v>0</v>
      </c>
      <c r="T1247">
        <v>-40</v>
      </c>
      <c r="U1247">
        <v>40</v>
      </c>
      <c r="V1247">
        <v>0</v>
      </c>
      <c r="W1247" t="s">
        <v>43</v>
      </c>
      <c r="X1247" t="s">
        <v>43</v>
      </c>
      <c r="Y1247" t="s">
        <v>43</v>
      </c>
      <c r="Z1247" t="s">
        <v>43</v>
      </c>
      <c r="AA1247" t="s">
        <v>43</v>
      </c>
      <c r="AB1247" t="s">
        <v>43</v>
      </c>
      <c r="AC1247" t="s">
        <v>43</v>
      </c>
      <c r="AD1247" t="s">
        <v>43</v>
      </c>
      <c r="AE1247" t="s">
        <v>43</v>
      </c>
      <c r="AF1247" t="s">
        <v>43</v>
      </c>
      <c r="AG1247" t="s">
        <v>43</v>
      </c>
      <c r="AH1247" t="s">
        <v>43</v>
      </c>
      <c r="AI1247" t="s">
        <v>43</v>
      </c>
      <c r="AJ1247" t="s">
        <v>43</v>
      </c>
      <c r="AK1247" t="s">
        <v>43</v>
      </c>
      <c r="AL1247" t="s">
        <v>43</v>
      </c>
      <c r="AM1247" t="s">
        <v>43</v>
      </c>
      <c r="AN1247" t="str">
        <f>HYPERLINK("https://www.google.com/maps?q=11.05486774,79.06282043","Open Location")</f>
        <v>Open Location</v>
      </c>
    </row>
    <row r="1248" spans="1:40" x14ac:dyDescent="0.3">
      <c r="A1248" s="1">
        <v>46210.855324074073</v>
      </c>
      <c r="B1248" t="s">
        <v>40</v>
      </c>
      <c r="C1248" t="s">
        <v>41</v>
      </c>
      <c r="D1248" s="1">
        <v>46210.858402777776</v>
      </c>
      <c r="E1248" t="s">
        <v>42</v>
      </c>
      <c r="F1248" t="s">
        <v>43</v>
      </c>
      <c r="G1248">
        <v>0</v>
      </c>
      <c r="H1248">
        <v>33206</v>
      </c>
      <c r="I1248" t="s">
        <v>571</v>
      </c>
      <c r="J1248">
        <v>36</v>
      </c>
      <c r="K1248">
        <v>1</v>
      </c>
      <c r="L1248">
        <v>98</v>
      </c>
      <c r="M1248">
        <v>629</v>
      </c>
      <c r="N1248" t="s">
        <v>81</v>
      </c>
      <c r="O1248" t="s">
        <v>43</v>
      </c>
      <c r="P1248">
        <v>125</v>
      </c>
      <c r="Q1248" t="s">
        <v>82</v>
      </c>
      <c r="R1248">
        <v>0</v>
      </c>
      <c r="S1248">
        <v>0</v>
      </c>
      <c r="T1248">
        <v>-40</v>
      </c>
      <c r="U1248">
        <v>40</v>
      </c>
      <c r="V1248">
        <v>0</v>
      </c>
      <c r="W1248" t="s">
        <v>43</v>
      </c>
      <c r="X1248" t="s">
        <v>43</v>
      </c>
      <c r="Y1248" t="s">
        <v>43</v>
      </c>
      <c r="Z1248" t="s">
        <v>43</v>
      </c>
      <c r="AA1248" t="s">
        <v>43</v>
      </c>
      <c r="AB1248" t="s">
        <v>43</v>
      </c>
      <c r="AC1248" t="s">
        <v>43</v>
      </c>
      <c r="AD1248" t="s">
        <v>43</v>
      </c>
      <c r="AE1248" t="s">
        <v>43</v>
      </c>
      <c r="AF1248" t="s">
        <v>43</v>
      </c>
      <c r="AG1248" t="s">
        <v>43</v>
      </c>
      <c r="AH1248" t="s">
        <v>43</v>
      </c>
      <c r="AI1248" t="s">
        <v>43</v>
      </c>
      <c r="AJ1248" t="s">
        <v>43</v>
      </c>
      <c r="AK1248" t="s">
        <v>43</v>
      </c>
      <c r="AL1248" t="s">
        <v>43</v>
      </c>
      <c r="AM1248" t="s">
        <v>43</v>
      </c>
      <c r="AN1248" t="str">
        <f>HYPERLINK("https://www.google.com/maps?q=11.05486774,79.06282043","Open Location")</f>
        <v>Open Location</v>
      </c>
    </row>
    <row r="1249" spans="1:40" x14ac:dyDescent="0.3">
      <c r="A1249" s="1">
        <v>46210.855208333334</v>
      </c>
      <c r="B1249" t="s">
        <v>40</v>
      </c>
      <c r="C1249" t="s">
        <v>41</v>
      </c>
      <c r="D1249" s="1">
        <v>46210.858090277776</v>
      </c>
      <c r="E1249" t="s">
        <v>42</v>
      </c>
      <c r="F1249" t="s">
        <v>83</v>
      </c>
      <c r="G1249">
        <v>0</v>
      </c>
      <c r="H1249">
        <v>33206</v>
      </c>
      <c r="I1249" t="s">
        <v>572</v>
      </c>
      <c r="J1249">
        <v>36</v>
      </c>
      <c r="K1249">
        <v>4</v>
      </c>
      <c r="L1249">
        <v>98</v>
      </c>
      <c r="M1249">
        <v>629.09997558999999</v>
      </c>
      <c r="N1249" t="s">
        <v>85</v>
      </c>
      <c r="O1249" t="s">
        <v>86</v>
      </c>
      <c r="P1249">
        <v>127</v>
      </c>
      <c r="Q1249">
        <v>2</v>
      </c>
      <c r="R1249">
        <v>0</v>
      </c>
      <c r="S1249">
        <v>0</v>
      </c>
      <c r="T1249">
        <v>-40</v>
      </c>
      <c r="U1249">
        <v>41</v>
      </c>
      <c r="V1249">
        <v>5</v>
      </c>
      <c r="W1249">
        <v>30</v>
      </c>
      <c r="X1249">
        <v>30</v>
      </c>
      <c r="Y1249">
        <v>1</v>
      </c>
      <c r="Z1249">
        <v>3</v>
      </c>
      <c r="AA1249">
        <v>25</v>
      </c>
      <c r="AB1249">
        <v>7</v>
      </c>
      <c r="AC1249">
        <v>5</v>
      </c>
      <c r="AD1249">
        <v>3.2790000400000001</v>
      </c>
      <c r="AE1249">
        <v>1</v>
      </c>
      <c r="AF1249">
        <v>47</v>
      </c>
      <c r="AG1249">
        <v>3.2750001000000002</v>
      </c>
      <c r="AH1249">
        <v>4</v>
      </c>
      <c r="AI1249">
        <v>24</v>
      </c>
      <c r="AJ1249">
        <v>1</v>
      </c>
      <c r="AK1249">
        <v>28</v>
      </c>
      <c r="AL1249">
        <v>33</v>
      </c>
      <c r="AM1249" t="s">
        <v>43</v>
      </c>
      <c r="AN1249" t="str">
        <f>HYPERLINK("https://www.google.com/maps?q=11.05486393,79.06282043","Open Location")</f>
        <v>Open Location</v>
      </c>
    </row>
    <row r="1250" spans="1:40" x14ac:dyDescent="0.3">
      <c r="A1250" s="1">
        <v>46210.855092592596</v>
      </c>
      <c r="B1250" t="s">
        <v>40</v>
      </c>
      <c r="C1250" t="s">
        <v>41</v>
      </c>
      <c r="D1250" s="1">
        <v>46210.857928240737</v>
      </c>
      <c r="E1250" t="s">
        <v>42</v>
      </c>
      <c r="F1250" t="s">
        <v>83</v>
      </c>
      <c r="G1250">
        <v>0</v>
      </c>
      <c r="H1250">
        <v>33206</v>
      </c>
      <c r="I1250" t="s">
        <v>573</v>
      </c>
      <c r="J1250">
        <v>36</v>
      </c>
      <c r="K1250">
        <v>5</v>
      </c>
      <c r="L1250">
        <v>98</v>
      </c>
      <c r="M1250">
        <v>628.59997558999999</v>
      </c>
      <c r="N1250" t="s">
        <v>85</v>
      </c>
      <c r="O1250" t="s">
        <v>86</v>
      </c>
      <c r="P1250">
        <v>127</v>
      </c>
      <c r="Q1250">
        <v>2</v>
      </c>
      <c r="R1250">
        <v>0</v>
      </c>
      <c r="S1250">
        <v>36</v>
      </c>
      <c r="T1250">
        <v>-40</v>
      </c>
      <c r="U1250">
        <v>41</v>
      </c>
      <c r="V1250">
        <v>-5</v>
      </c>
      <c r="W1250">
        <v>30</v>
      </c>
      <c r="X1250">
        <v>30</v>
      </c>
      <c r="Y1250">
        <v>1</v>
      </c>
      <c r="Z1250">
        <v>3</v>
      </c>
      <c r="AA1250">
        <v>25</v>
      </c>
      <c r="AB1250">
        <v>7</v>
      </c>
      <c r="AC1250">
        <v>5</v>
      </c>
      <c r="AD1250">
        <v>3.27699995</v>
      </c>
      <c r="AE1250">
        <v>1</v>
      </c>
      <c r="AF1250">
        <v>1</v>
      </c>
      <c r="AG1250">
        <v>3.2730000000000001</v>
      </c>
      <c r="AH1250">
        <v>4</v>
      </c>
      <c r="AI1250">
        <v>24</v>
      </c>
      <c r="AJ1250">
        <v>1</v>
      </c>
      <c r="AK1250">
        <v>28</v>
      </c>
      <c r="AL1250">
        <v>33</v>
      </c>
      <c r="AM1250" t="s">
        <v>43</v>
      </c>
      <c r="AN1250" t="str">
        <f>HYPERLINK("https://www.google.com/maps?q=11.05482197,79.06283569","Open Location")</f>
        <v>Open Location</v>
      </c>
    </row>
    <row r="1251" spans="1:40" x14ac:dyDescent="0.3">
      <c r="A1251" s="1">
        <v>46210.85497685185</v>
      </c>
      <c r="B1251" t="s">
        <v>40</v>
      </c>
      <c r="C1251" t="s">
        <v>41</v>
      </c>
      <c r="D1251" s="1">
        <v>46210.857905092591</v>
      </c>
      <c r="E1251" t="s">
        <v>42</v>
      </c>
      <c r="F1251" t="s">
        <v>83</v>
      </c>
      <c r="G1251">
        <v>2</v>
      </c>
      <c r="H1251" t="s">
        <v>43</v>
      </c>
      <c r="I1251" t="s">
        <v>43</v>
      </c>
      <c r="J1251">
        <v>36</v>
      </c>
      <c r="K1251">
        <v>21</v>
      </c>
      <c r="L1251">
        <v>98</v>
      </c>
      <c r="M1251">
        <v>628.09997558999999</v>
      </c>
      <c r="N1251" t="s">
        <v>87</v>
      </c>
      <c r="O1251" t="s">
        <v>86</v>
      </c>
      <c r="P1251">
        <v>127</v>
      </c>
      <c r="Q1251">
        <v>2</v>
      </c>
      <c r="R1251">
        <v>2</v>
      </c>
      <c r="S1251">
        <v>461</v>
      </c>
      <c r="T1251">
        <v>-40</v>
      </c>
      <c r="U1251">
        <v>42</v>
      </c>
      <c r="V1251">
        <v>180</v>
      </c>
      <c r="W1251">
        <v>30</v>
      </c>
      <c r="X1251">
        <v>30</v>
      </c>
      <c r="Y1251">
        <v>1</v>
      </c>
      <c r="Z1251">
        <v>3</v>
      </c>
      <c r="AA1251">
        <v>25</v>
      </c>
      <c r="AB1251">
        <v>7</v>
      </c>
      <c r="AC1251">
        <v>5</v>
      </c>
      <c r="AD1251">
        <v>3.2760000200000001</v>
      </c>
      <c r="AE1251">
        <v>1</v>
      </c>
      <c r="AF1251">
        <v>47</v>
      </c>
      <c r="AG1251">
        <v>3.27099991</v>
      </c>
      <c r="AH1251">
        <v>4</v>
      </c>
      <c r="AI1251">
        <v>24</v>
      </c>
      <c r="AJ1251">
        <v>1</v>
      </c>
      <c r="AK1251">
        <v>27</v>
      </c>
      <c r="AL1251">
        <v>33</v>
      </c>
      <c r="AM1251" t="s">
        <v>43</v>
      </c>
      <c r="AN1251" t="s">
        <v>43</v>
      </c>
    </row>
    <row r="1252" spans="1:40" x14ac:dyDescent="0.3">
      <c r="A1252" s="1">
        <v>46210.854861111111</v>
      </c>
      <c r="B1252" t="s">
        <v>40</v>
      </c>
      <c r="C1252" t="s">
        <v>41</v>
      </c>
      <c r="D1252" s="1">
        <v>46210.857928240737</v>
      </c>
      <c r="E1252" t="s">
        <v>42</v>
      </c>
      <c r="F1252" t="s">
        <v>83</v>
      </c>
      <c r="G1252">
        <v>3</v>
      </c>
      <c r="H1252">
        <v>33206</v>
      </c>
      <c r="I1252" t="s">
        <v>574</v>
      </c>
      <c r="J1252">
        <v>36</v>
      </c>
      <c r="K1252">
        <v>48</v>
      </c>
      <c r="L1252">
        <v>98</v>
      </c>
      <c r="M1252">
        <v>625.5</v>
      </c>
      <c r="N1252" t="s">
        <v>87</v>
      </c>
      <c r="O1252" t="s">
        <v>86</v>
      </c>
      <c r="P1252">
        <v>127</v>
      </c>
      <c r="Q1252">
        <v>2</v>
      </c>
      <c r="R1252">
        <v>23</v>
      </c>
      <c r="S1252">
        <v>829</v>
      </c>
      <c r="T1252">
        <v>-40</v>
      </c>
      <c r="U1252">
        <v>42</v>
      </c>
      <c r="V1252">
        <v>500</v>
      </c>
      <c r="W1252">
        <v>30</v>
      </c>
      <c r="X1252">
        <v>30</v>
      </c>
      <c r="Y1252">
        <v>1</v>
      </c>
      <c r="Z1252">
        <v>3</v>
      </c>
      <c r="AA1252">
        <v>25</v>
      </c>
      <c r="AB1252">
        <v>7</v>
      </c>
      <c r="AC1252">
        <v>5</v>
      </c>
      <c r="AD1252">
        <v>3.2699999800000001</v>
      </c>
      <c r="AE1252">
        <v>1</v>
      </c>
      <c r="AF1252">
        <v>1</v>
      </c>
      <c r="AG1252">
        <v>3.2639999400000002</v>
      </c>
      <c r="AH1252">
        <v>6</v>
      </c>
      <c r="AI1252">
        <v>24</v>
      </c>
      <c r="AJ1252">
        <v>1</v>
      </c>
      <c r="AK1252">
        <v>27</v>
      </c>
      <c r="AL1252">
        <v>33</v>
      </c>
      <c r="AM1252" t="s">
        <v>43</v>
      </c>
      <c r="AN1252" t="str">
        <f>HYPERLINK("https://www.google.com/maps?q=11.05473328,79.06284332","Open Location")</f>
        <v>Open Location</v>
      </c>
    </row>
    <row r="1253" spans="1:40" x14ac:dyDescent="0.3">
      <c r="A1253" s="1">
        <v>46210.854745370372</v>
      </c>
      <c r="B1253" t="s">
        <v>40</v>
      </c>
      <c r="C1253" t="s">
        <v>41</v>
      </c>
      <c r="D1253" s="1">
        <v>46210.857546296298</v>
      </c>
      <c r="E1253" t="s">
        <v>42</v>
      </c>
      <c r="F1253" t="s">
        <v>83</v>
      </c>
      <c r="G1253">
        <v>5</v>
      </c>
      <c r="H1253">
        <v>33206</v>
      </c>
      <c r="I1253" t="s">
        <v>575</v>
      </c>
      <c r="J1253">
        <v>36</v>
      </c>
      <c r="K1253">
        <v>45</v>
      </c>
      <c r="L1253">
        <v>98</v>
      </c>
      <c r="M1253">
        <v>626.79998779000005</v>
      </c>
      <c r="N1253" t="s">
        <v>87</v>
      </c>
      <c r="O1253" t="s">
        <v>86</v>
      </c>
      <c r="P1253">
        <v>128</v>
      </c>
      <c r="Q1253">
        <v>3</v>
      </c>
      <c r="R1253">
        <v>20</v>
      </c>
      <c r="S1253">
        <v>731</v>
      </c>
      <c r="T1253">
        <v>-40</v>
      </c>
      <c r="U1253">
        <v>42</v>
      </c>
      <c r="V1253">
        <v>280</v>
      </c>
      <c r="W1253">
        <v>30</v>
      </c>
      <c r="X1253">
        <v>30</v>
      </c>
      <c r="Y1253">
        <v>1</v>
      </c>
      <c r="Z1253">
        <v>3</v>
      </c>
      <c r="AA1253">
        <v>25</v>
      </c>
      <c r="AB1253">
        <v>7</v>
      </c>
      <c r="AC1253">
        <v>5</v>
      </c>
      <c r="AD1253">
        <v>3.2669999600000001</v>
      </c>
      <c r="AE1253">
        <v>1</v>
      </c>
      <c r="AF1253">
        <v>47</v>
      </c>
      <c r="AG1253">
        <v>3.25900006</v>
      </c>
      <c r="AH1253">
        <v>6</v>
      </c>
      <c r="AI1253">
        <v>24</v>
      </c>
      <c r="AJ1253">
        <v>1</v>
      </c>
      <c r="AK1253">
        <v>27</v>
      </c>
      <c r="AL1253">
        <v>33</v>
      </c>
      <c r="AM1253" t="s">
        <v>43</v>
      </c>
      <c r="AN1253" t="str">
        <f>HYPERLINK("https://www.google.com/maps?q=11.05461502,79.06278229","Open Location")</f>
        <v>Open Location</v>
      </c>
    </row>
    <row r="1254" spans="1:40" x14ac:dyDescent="0.3">
      <c r="A1254" s="1">
        <v>46210.854629629626</v>
      </c>
      <c r="B1254" t="s">
        <v>40</v>
      </c>
      <c r="C1254" t="s">
        <v>41</v>
      </c>
      <c r="D1254" s="1">
        <v>46210.857546296298</v>
      </c>
      <c r="E1254" t="s">
        <v>42</v>
      </c>
      <c r="F1254" t="s">
        <v>83</v>
      </c>
      <c r="G1254">
        <v>8</v>
      </c>
      <c r="H1254">
        <v>33206</v>
      </c>
      <c r="I1254" t="s">
        <v>576</v>
      </c>
      <c r="J1254">
        <v>36</v>
      </c>
      <c r="K1254">
        <v>27</v>
      </c>
      <c r="L1254">
        <v>98</v>
      </c>
      <c r="M1254">
        <v>627.29998779000005</v>
      </c>
      <c r="N1254" t="s">
        <v>87</v>
      </c>
      <c r="O1254" t="s">
        <v>86</v>
      </c>
      <c r="P1254">
        <v>128</v>
      </c>
      <c r="Q1254">
        <v>3</v>
      </c>
      <c r="R1254">
        <v>10</v>
      </c>
      <c r="S1254">
        <v>1080</v>
      </c>
      <c r="T1254">
        <v>-40</v>
      </c>
      <c r="U1254">
        <v>41</v>
      </c>
      <c r="V1254">
        <v>100</v>
      </c>
      <c r="W1254">
        <v>30</v>
      </c>
      <c r="X1254">
        <v>30</v>
      </c>
      <c r="Y1254">
        <v>1</v>
      </c>
      <c r="Z1254">
        <v>3</v>
      </c>
      <c r="AA1254">
        <v>25</v>
      </c>
      <c r="AB1254">
        <v>7</v>
      </c>
      <c r="AC1254">
        <v>5</v>
      </c>
      <c r="AD1254">
        <v>3.2730000000000001</v>
      </c>
      <c r="AE1254">
        <v>1</v>
      </c>
      <c r="AF1254">
        <v>47</v>
      </c>
      <c r="AG1254">
        <v>3.2669999600000001</v>
      </c>
      <c r="AH1254">
        <v>4</v>
      </c>
      <c r="AI1254">
        <v>24</v>
      </c>
      <c r="AJ1254">
        <v>1</v>
      </c>
      <c r="AK1254">
        <v>27</v>
      </c>
      <c r="AL1254">
        <v>33</v>
      </c>
      <c r="AM1254" t="s">
        <v>43</v>
      </c>
      <c r="AN1254" t="str">
        <f>HYPERLINK("https://www.google.com/maps?q=11.05466175,79.06256104","Open Location")</f>
        <v>Open Location</v>
      </c>
    </row>
    <row r="1255" spans="1:40" x14ac:dyDescent="0.3">
      <c r="A1255" s="1">
        <v>46210.854513888888</v>
      </c>
      <c r="B1255" t="s">
        <v>40</v>
      </c>
      <c r="C1255" t="s">
        <v>41</v>
      </c>
      <c r="D1255" s="1">
        <v>46210.857546296298</v>
      </c>
      <c r="E1255" t="s">
        <v>42</v>
      </c>
      <c r="F1255" t="s">
        <v>83</v>
      </c>
      <c r="G1255">
        <v>9</v>
      </c>
      <c r="H1255">
        <v>33205</v>
      </c>
      <c r="I1255" t="s">
        <v>577</v>
      </c>
      <c r="J1255">
        <v>36</v>
      </c>
      <c r="K1255">
        <v>67</v>
      </c>
      <c r="L1255">
        <v>98</v>
      </c>
      <c r="M1255">
        <v>625.79998779000005</v>
      </c>
      <c r="N1255" t="s">
        <v>87</v>
      </c>
      <c r="O1255" t="s">
        <v>86</v>
      </c>
      <c r="P1255">
        <v>128</v>
      </c>
      <c r="Q1255">
        <v>3</v>
      </c>
      <c r="R1255">
        <v>35</v>
      </c>
      <c r="S1255">
        <v>1124</v>
      </c>
      <c r="T1255">
        <v>-40</v>
      </c>
      <c r="U1255">
        <v>42</v>
      </c>
      <c r="V1255">
        <v>300</v>
      </c>
      <c r="W1255">
        <v>30</v>
      </c>
      <c r="X1255">
        <v>30</v>
      </c>
      <c r="Y1255">
        <v>1</v>
      </c>
      <c r="Z1255">
        <v>3</v>
      </c>
      <c r="AA1255">
        <v>25</v>
      </c>
      <c r="AB1255">
        <v>7</v>
      </c>
      <c r="AC1255">
        <v>5</v>
      </c>
      <c r="AD1255">
        <v>3.2650001</v>
      </c>
      <c r="AE1255">
        <v>1</v>
      </c>
      <c r="AF1255">
        <v>1</v>
      </c>
      <c r="AG1255">
        <v>3.2569999699999999</v>
      </c>
      <c r="AH1255">
        <v>6</v>
      </c>
      <c r="AI1255">
        <v>24</v>
      </c>
      <c r="AJ1255">
        <v>1</v>
      </c>
      <c r="AK1255">
        <v>27</v>
      </c>
      <c r="AL1255">
        <v>33</v>
      </c>
      <c r="AM1255" t="s">
        <v>43</v>
      </c>
      <c r="AN1255" t="str">
        <f>HYPERLINK("https://www.google.com/maps?q=11.05491638,79.06259155","Open Location")</f>
        <v>Open Location</v>
      </c>
    </row>
    <row r="1256" spans="1:40" x14ac:dyDescent="0.3">
      <c r="A1256" s="1">
        <v>46210.854398148149</v>
      </c>
      <c r="B1256" t="s">
        <v>40</v>
      </c>
      <c r="C1256" t="s">
        <v>41</v>
      </c>
      <c r="D1256" s="1">
        <v>46210.857523148145</v>
      </c>
      <c r="E1256" t="s">
        <v>42</v>
      </c>
      <c r="F1256" t="s">
        <v>83</v>
      </c>
      <c r="G1256">
        <v>8</v>
      </c>
      <c r="H1256" t="s">
        <v>43</v>
      </c>
      <c r="I1256" t="s">
        <v>578</v>
      </c>
      <c r="J1256">
        <v>36</v>
      </c>
      <c r="K1256">
        <v>55</v>
      </c>
      <c r="L1256">
        <v>98</v>
      </c>
      <c r="M1256">
        <v>626.79998779000005</v>
      </c>
      <c r="N1256" t="s">
        <v>87</v>
      </c>
      <c r="O1256" t="s">
        <v>86</v>
      </c>
      <c r="P1256">
        <v>128</v>
      </c>
      <c r="Q1256">
        <v>3</v>
      </c>
      <c r="R1256">
        <v>25</v>
      </c>
      <c r="S1256">
        <v>985</v>
      </c>
      <c r="T1256">
        <v>-40</v>
      </c>
      <c r="U1256">
        <v>41</v>
      </c>
      <c r="V1256">
        <v>260</v>
      </c>
      <c r="W1256">
        <v>30</v>
      </c>
      <c r="X1256">
        <v>30</v>
      </c>
      <c r="Y1256">
        <v>1</v>
      </c>
      <c r="Z1256">
        <v>3</v>
      </c>
      <c r="AA1256">
        <v>25</v>
      </c>
      <c r="AB1256">
        <v>7</v>
      </c>
      <c r="AC1256">
        <v>5</v>
      </c>
      <c r="AD1256">
        <v>3.27099991</v>
      </c>
      <c r="AE1256">
        <v>5</v>
      </c>
      <c r="AF1256">
        <v>16</v>
      </c>
      <c r="AG1256">
        <v>3.2639999400000002</v>
      </c>
      <c r="AH1256">
        <v>4</v>
      </c>
      <c r="AI1256">
        <v>24</v>
      </c>
      <c r="AJ1256">
        <v>1</v>
      </c>
      <c r="AK1256">
        <v>27</v>
      </c>
      <c r="AL1256">
        <v>33</v>
      </c>
      <c r="AM1256" t="s">
        <v>43</v>
      </c>
      <c r="AN1256" t="str">
        <f>HYPERLINK("https://www.google.com/maps?q=11.0550127,79.06280518","Open Location")</f>
        <v>Open Location</v>
      </c>
    </row>
    <row r="1257" spans="1:40" x14ac:dyDescent="0.3">
      <c r="A1257" s="1">
        <v>46210.85428240741</v>
      </c>
      <c r="B1257" t="s">
        <v>40</v>
      </c>
      <c r="C1257" t="s">
        <v>41</v>
      </c>
      <c r="D1257" s="1">
        <v>46210.857002314813</v>
      </c>
      <c r="E1257" t="s">
        <v>42</v>
      </c>
      <c r="F1257" t="s">
        <v>83</v>
      </c>
      <c r="G1257">
        <v>7</v>
      </c>
      <c r="H1257">
        <v>33205</v>
      </c>
      <c r="I1257" t="s">
        <v>43</v>
      </c>
      <c r="J1257">
        <v>36</v>
      </c>
      <c r="K1257">
        <v>9</v>
      </c>
      <c r="L1257">
        <v>98</v>
      </c>
      <c r="M1257">
        <v>629.20001220999995</v>
      </c>
      <c r="N1257" t="s">
        <v>87</v>
      </c>
      <c r="O1257" t="s">
        <v>86</v>
      </c>
      <c r="P1257">
        <v>128</v>
      </c>
      <c r="Q1257">
        <v>3</v>
      </c>
      <c r="R1257">
        <v>0</v>
      </c>
      <c r="S1257">
        <v>952</v>
      </c>
      <c r="T1257">
        <v>-40</v>
      </c>
      <c r="U1257">
        <v>39</v>
      </c>
      <c r="V1257">
        <v>5</v>
      </c>
      <c r="W1257">
        <v>30</v>
      </c>
      <c r="X1257">
        <v>30</v>
      </c>
      <c r="Y1257">
        <v>1</v>
      </c>
      <c r="Z1257">
        <v>3</v>
      </c>
      <c r="AA1257">
        <v>25</v>
      </c>
      <c r="AB1257">
        <v>7</v>
      </c>
      <c r="AC1257">
        <v>5</v>
      </c>
      <c r="AD1257">
        <v>3.2760000200000001</v>
      </c>
      <c r="AE1257">
        <v>1</v>
      </c>
      <c r="AF1257">
        <v>1</v>
      </c>
      <c r="AG1257">
        <v>3.27099991</v>
      </c>
      <c r="AH1257">
        <v>4</v>
      </c>
      <c r="AI1257">
        <v>24</v>
      </c>
      <c r="AJ1257">
        <v>1</v>
      </c>
      <c r="AK1257">
        <v>28</v>
      </c>
      <c r="AL1257">
        <v>33</v>
      </c>
      <c r="AM1257" t="s">
        <v>43</v>
      </c>
      <c r="AN1257" t="s">
        <v>43</v>
      </c>
    </row>
    <row r="1258" spans="1:40" x14ac:dyDescent="0.3">
      <c r="A1258" s="1">
        <v>46210.854166666664</v>
      </c>
      <c r="B1258" t="s">
        <v>40</v>
      </c>
      <c r="C1258" t="s">
        <v>41</v>
      </c>
      <c r="D1258" s="1">
        <v>46210.857175925928</v>
      </c>
      <c r="E1258" t="s">
        <v>42</v>
      </c>
      <c r="F1258" t="s">
        <v>83</v>
      </c>
      <c r="G1258">
        <v>10</v>
      </c>
      <c r="H1258">
        <v>33205</v>
      </c>
      <c r="I1258" t="s">
        <v>579</v>
      </c>
      <c r="J1258">
        <v>36</v>
      </c>
      <c r="K1258">
        <v>-8</v>
      </c>
      <c r="L1258">
        <v>98</v>
      </c>
      <c r="M1258">
        <v>629.5</v>
      </c>
      <c r="N1258" t="s">
        <v>87</v>
      </c>
      <c r="O1258" t="s">
        <v>86</v>
      </c>
      <c r="P1258">
        <v>128</v>
      </c>
      <c r="Q1258">
        <v>3</v>
      </c>
      <c r="R1258">
        <v>-10</v>
      </c>
      <c r="S1258">
        <v>1332</v>
      </c>
      <c r="T1258">
        <v>-40</v>
      </c>
      <c r="U1258">
        <v>40</v>
      </c>
      <c r="V1258">
        <v>-68</v>
      </c>
      <c r="W1258">
        <v>30</v>
      </c>
      <c r="X1258">
        <v>30</v>
      </c>
      <c r="Y1258">
        <v>1</v>
      </c>
      <c r="Z1258">
        <v>3</v>
      </c>
      <c r="AA1258">
        <v>25</v>
      </c>
      <c r="AB1258">
        <v>7</v>
      </c>
      <c r="AC1258">
        <v>5</v>
      </c>
      <c r="AD1258">
        <v>3.2809998999999999</v>
      </c>
      <c r="AE1258">
        <v>1</v>
      </c>
      <c r="AF1258">
        <v>1</v>
      </c>
      <c r="AG1258">
        <v>3.2780001200000002</v>
      </c>
      <c r="AH1258">
        <v>4</v>
      </c>
      <c r="AI1258">
        <v>24</v>
      </c>
      <c r="AJ1258">
        <v>1</v>
      </c>
      <c r="AK1258">
        <v>28</v>
      </c>
      <c r="AL1258">
        <v>33</v>
      </c>
      <c r="AM1258" t="s">
        <v>43</v>
      </c>
      <c r="AN1258" t="str">
        <f>HYPERLINK("https://www.google.com/maps?q=11.05506134,79.06306458","Open Location")</f>
        <v>Open Location</v>
      </c>
    </row>
    <row r="1259" spans="1:40" x14ac:dyDescent="0.3">
      <c r="A1259" s="1">
        <v>46210.854050925926</v>
      </c>
      <c r="B1259" t="s">
        <v>40</v>
      </c>
      <c r="C1259" t="s">
        <v>41</v>
      </c>
      <c r="D1259" s="1">
        <v>46210.856944444444</v>
      </c>
      <c r="E1259" t="s">
        <v>42</v>
      </c>
      <c r="F1259" t="s">
        <v>83</v>
      </c>
      <c r="G1259">
        <v>13</v>
      </c>
      <c r="H1259">
        <v>33205</v>
      </c>
      <c r="I1259" t="s">
        <v>580</v>
      </c>
      <c r="J1259">
        <v>36</v>
      </c>
      <c r="K1259">
        <v>42</v>
      </c>
      <c r="L1259">
        <v>98</v>
      </c>
      <c r="M1259">
        <v>626.79998779000005</v>
      </c>
      <c r="N1259" t="s">
        <v>87</v>
      </c>
      <c r="O1259" t="s">
        <v>86</v>
      </c>
      <c r="P1259">
        <v>128</v>
      </c>
      <c r="Q1259">
        <v>3</v>
      </c>
      <c r="R1259">
        <v>21</v>
      </c>
      <c r="S1259">
        <v>1703</v>
      </c>
      <c r="T1259">
        <v>-40</v>
      </c>
      <c r="U1259">
        <v>40</v>
      </c>
      <c r="V1259">
        <v>120</v>
      </c>
      <c r="W1259">
        <v>30</v>
      </c>
      <c r="X1259">
        <v>30</v>
      </c>
      <c r="Y1259">
        <v>1</v>
      </c>
      <c r="Z1259">
        <v>3</v>
      </c>
      <c r="AA1259">
        <v>25</v>
      </c>
      <c r="AB1259">
        <v>7</v>
      </c>
      <c r="AC1259">
        <v>5</v>
      </c>
      <c r="AD1259">
        <v>3.2760000200000001</v>
      </c>
      <c r="AE1259">
        <v>1</v>
      </c>
      <c r="AF1259">
        <v>1</v>
      </c>
      <c r="AG1259">
        <v>3.27099991</v>
      </c>
      <c r="AH1259">
        <v>4</v>
      </c>
      <c r="AI1259">
        <v>24</v>
      </c>
      <c r="AJ1259">
        <v>1</v>
      </c>
      <c r="AK1259">
        <v>28</v>
      </c>
      <c r="AL1259">
        <v>32</v>
      </c>
      <c r="AM1259" t="s">
        <v>43</v>
      </c>
      <c r="AN1259" t="str">
        <f>HYPERLINK("https://www.google.com/maps?q=11.05537319,79.06331635","Open Location")</f>
        <v>Open Location</v>
      </c>
    </row>
    <row r="1260" spans="1:40" x14ac:dyDescent="0.3">
      <c r="A1260" s="1">
        <v>46210.853935185187</v>
      </c>
      <c r="B1260" t="s">
        <v>40</v>
      </c>
      <c r="C1260" t="s">
        <v>41</v>
      </c>
      <c r="D1260" s="1">
        <v>46210.856805555559</v>
      </c>
      <c r="E1260" t="s">
        <v>42</v>
      </c>
      <c r="F1260" t="s">
        <v>83</v>
      </c>
      <c r="G1260">
        <v>13</v>
      </c>
      <c r="H1260">
        <v>33205</v>
      </c>
      <c r="I1260" t="s">
        <v>581</v>
      </c>
      <c r="J1260">
        <v>36</v>
      </c>
      <c r="K1260">
        <v>25</v>
      </c>
      <c r="L1260">
        <v>98</v>
      </c>
      <c r="M1260">
        <v>628.79998779000005</v>
      </c>
      <c r="N1260" t="s">
        <v>87</v>
      </c>
      <c r="O1260" t="s">
        <v>86</v>
      </c>
      <c r="P1260">
        <v>128</v>
      </c>
      <c r="Q1260">
        <v>3</v>
      </c>
      <c r="R1260">
        <v>-13</v>
      </c>
      <c r="S1260">
        <v>1708</v>
      </c>
      <c r="T1260">
        <v>-40</v>
      </c>
      <c r="U1260">
        <v>41</v>
      </c>
      <c r="V1260">
        <v>44</v>
      </c>
      <c r="W1260">
        <v>30</v>
      </c>
      <c r="X1260">
        <v>30</v>
      </c>
      <c r="Y1260">
        <v>1</v>
      </c>
      <c r="Z1260">
        <v>3</v>
      </c>
      <c r="AA1260">
        <v>25</v>
      </c>
      <c r="AB1260">
        <v>7</v>
      </c>
      <c r="AC1260">
        <v>5</v>
      </c>
      <c r="AD1260">
        <v>3.2790000400000001</v>
      </c>
      <c r="AE1260">
        <v>1</v>
      </c>
      <c r="AF1260">
        <v>1</v>
      </c>
      <c r="AG1260">
        <v>3.2760000200000001</v>
      </c>
      <c r="AH1260">
        <v>2</v>
      </c>
      <c r="AI1260">
        <v>6</v>
      </c>
      <c r="AJ1260">
        <v>1</v>
      </c>
      <c r="AK1260">
        <v>28</v>
      </c>
      <c r="AL1260">
        <v>32</v>
      </c>
      <c r="AM1260" t="s">
        <v>43</v>
      </c>
      <c r="AN1260" t="str">
        <f>HYPERLINK("https://www.google.com/maps?q=11.05573368,79.06350708","Open Location")</f>
        <v>Open Location</v>
      </c>
    </row>
    <row r="1261" spans="1:40" x14ac:dyDescent="0.3">
      <c r="A1261" s="1">
        <v>46210.853819444441</v>
      </c>
      <c r="B1261" t="s">
        <v>40</v>
      </c>
      <c r="C1261" t="s">
        <v>41</v>
      </c>
      <c r="D1261" s="1">
        <v>46210.856793981482</v>
      </c>
      <c r="E1261" t="s">
        <v>42</v>
      </c>
      <c r="F1261" t="s">
        <v>83</v>
      </c>
      <c r="G1261">
        <v>13</v>
      </c>
      <c r="H1261">
        <v>33205</v>
      </c>
      <c r="I1261" t="s">
        <v>582</v>
      </c>
      <c r="J1261">
        <v>36</v>
      </c>
      <c r="K1261">
        <v>72</v>
      </c>
      <c r="L1261">
        <v>98</v>
      </c>
      <c r="M1261">
        <v>625.5</v>
      </c>
      <c r="N1261" t="s">
        <v>87</v>
      </c>
      <c r="O1261" t="s">
        <v>86</v>
      </c>
      <c r="P1261">
        <v>128</v>
      </c>
      <c r="Q1261">
        <v>3</v>
      </c>
      <c r="R1261">
        <v>30</v>
      </c>
      <c r="S1261">
        <v>1606</v>
      </c>
      <c r="T1261">
        <v>-40</v>
      </c>
      <c r="U1261">
        <v>41</v>
      </c>
      <c r="V1261">
        <v>220</v>
      </c>
      <c r="W1261">
        <v>30</v>
      </c>
      <c r="X1261">
        <v>30</v>
      </c>
      <c r="Y1261">
        <v>1</v>
      </c>
      <c r="Z1261">
        <v>3</v>
      </c>
      <c r="AA1261">
        <v>25</v>
      </c>
      <c r="AB1261">
        <v>7</v>
      </c>
      <c r="AC1261">
        <v>5</v>
      </c>
      <c r="AD1261">
        <v>3.2750001000000002</v>
      </c>
      <c r="AE1261">
        <v>1</v>
      </c>
      <c r="AF1261">
        <v>8</v>
      </c>
      <c r="AG1261">
        <v>3.2699999800000001</v>
      </c>
      <c r="AH1261">
        <v>4</v>
      </c>
      <c r="AI1261">
        <v>17</v>
      </c>
      <c r="AJ1261">
        <v>1</v>
      </c>
      <c r="AK1261">
        <v>28</v>
      </c>
      <c r="AL1261">
        <v>32</v>
      </c>
      <c r="AM1261" t="s">
        <v>43</v>
      </c>
      <c r="AN1261" t="str">
        <f>HYPERLINK("https://www.google.com/maps?q=11.05587769,79.06384277","Open Location")</f>
        <v>Open Location</v>
      </c>
    </row>
    <row r="1262" spans="1:40" x14ac:dyDescent="0.3">
      <c r="A1262" s="1">
        <v>46210.853703703702</v>
      </c>
      <c r="B1262" t="s">
        <v>40</v>
      </c>
      <c r="C1262" t="s">
        <v>41</v>
      </c>
      <c r="D1262" s="1">
        <v>46210.856562499997</v>
      </c>
      <c r="E1262" t="s">
        <v>42</v>
      </c>
      <c r="F1262" t="s">
        <v>83</v>
      </c>
      <c r="G1262">
        <v>11</v>
      </c>
      <c r="H1262">
        <v>33205</v>
      </c>
      <c r="I1262" t="s">
        <v>583</v>
      </c>
      <c r="J1262">
        <v>36</v>
      </c>
      <c r="K1262">
        <v>-4</v>
      </c>
      <c r="L1262">
        <v>98</v>
      </c>
      <c r="M1262">
        <v>628.5</v>
      </c>
      <c r="N1262" t="s">
        <v>87</v>
      </c>
      <c r="O1262" t="s">
        <v>86</v>
      </c>
      <c r="P1262">
        <v>128</v>
      </c>
      <c r="Q1262">
        <v>3</v>
      </c>
      <c r="R1262">
        <v>-11</v>
      </c>
      <c r="S1262">
        <v>1494</v>
      </c>
      <c r="T1262">
        <v>-40</v>
      </c>
      <c r="U1262">
        <v>40</v>
      </c>
      <c r="V1262">
        <v>-68</v>
      </c>
      <c r="W1262">
        <v>30</v>
      </c>
      <c r="X1262">
        <v>30</v>
      </c>
      <c r="Y1262">
        <v>1</v>
      </c>
      <c r="Z1262">
        <v>3</v>
      </c>
      <c r="AA1262">
        <v>25</v>
      </c>
      <c r="AB1262">
        <v>7</v>
      </c>
      <c r="AC1262">
        <v>5</v>
      </c>
      <c r="AD1262">
        <v>3.2750001000000002</v>
      </c>
      <c r="AE1262">
        <v>1</v>
      </c>
      <c r="AF1262">
        <v>1</v>
      </c>
      <c r="AG1262">
        <v>3.2699999800000001</v>
      </c>
      <c r="AH1262">
        <v>4</v>
      </c>
      <c r="AI1262">
        <v>24</v>
      </c>
      <c r="AJ1262">
        <v>1</v>
      </c>
      <c r="AK1262">
        <v>28</v>
      </c>
      <c r="AL1262">
        <v>32</v>
      </c>
      <c r="AM1262" t="s">
        <v>43</v>
      </c>
      <c r="AN1262" t="str">
        <f>HYPERLINK("https://www.google.com/maps?q=11.05573082,79.06417084","Open Location")</f>
        <v>Open Location</v>
      </c>
    </row>
    <row r="1263" spans="1:40" x14ac:dyDescent="0.3">
      <c r="A1263" s="1">
        <v>46210.853587962964</v>
      </c>
      <c r="B1263" t="s">
        <v>40</v>
      </c>
      <c r="C1263" t="s">
        <v>41</v>
      </c>
      <c r="D1263" s="1">
        <v>46210.856782407405</v>
      </c>
      <c r="E1263" t="s">
        <v>42</v>
      </c>
      <c r="F1263" t="s">
        <v>83</v>
      </c>
      <c r="G1263">
        <v>12</v>
      </c>
      <c r="H1263">
        <v>33205</v>
      </c>
      <c r="I1263" t="s">
        <v>43</v>
      </c>
      <c r="J1263">
        <v>36</v>
      </c>
      <c r="K1263">
        <v>44</v>
      </c>
      <c r="L1263">
        <v>98</v>
      </c>
      <c r="M1263">
        <v>626.70001220999995</v>
      </c>
      <c r="N1263" t="s">
        <v>87</v>
      </c>
      <c r="O1263" t="s">
        <v>86</v>
      </c>
      <c r="P1263">
        <v>128</v>
      </c>
      <c r="Q1263">
        <v>3</v>
      </c>
      <c r="R1263">
        <v>21</v>
      </c>
      <c r="S1263">
        <v>1508</v>
      </c>
      <c r="T1263">
        <v>-40</v>
      </c>
      <c r="U1263">
        <v>41</v>
      </c>
      <c r="V1263">
        <v>140</v>
      </c>
      <c r="W1263">
        <v>30</v>
      </c>
      <c r="X1263">
        <v>30</v>
      </c>
      <c r="Y1263">
        <v>1</v>
      </c>
      <c r="Z1263">
        <v>3</v>
      </c>
      <c r="AA1263">
        <v>25</v>
      </c>
      <c r="AB1263">
        <v>7</v>
      </c>
      <c r="AC1263">
        <v>5</v>
      </c>
      <c r="AD1263">
        <v>3.2699999800000001</v>
      </c>
      <c r="AE1263">
        <v>1</v>
      </c>
      <c r="AF1263">
        <v>1</v>
      </c>
      <c r="AG1263">
        <v>3.2630000099999998</v>
      </c>
      <c r="AH1263">
        <v>4</v>
      </c>
      <c r="AI1263">
        <v>24</v>
      </c>
      <c r="AJ1263">
        <v>1</v>
      </c>
      <c r="AK1263">
        <v>28</v>
      </c>
      <c r="AL1263">
        <v>32</v>
      </c>
      <c r="AM1263" t="s">
        <v>43</v>
      </c>
      <c r="AN1263" t="s">
        <v>43</v>
      </c>
    </row>
    <row r="1264" spans="1:40" x14ac:dyDescent="0.3">
      <c r="A1264" s="1">
        <v>46210.853472222225</v>
      </c>
      <c r="B1264" t="s">
        <v>40</v>
      </c>
      <c r="C1264" t="s">
        <v>41</v>
      </c>
      <c r="D1264" s="1">
        <v>46210.856562499997</v>
      </c>
      <c r="E1264" t="s">
        <v>42</v>
      </c>
      <c r="F1264" t="s">
        <v>83</v>
      </c>
      <c r="G1264">
        <v>10</v>
      </c>
      <c r="H1264">
        <v>33205</v>
      </c>
      <c r="I1264" t="s">
        <v>584</v>
      </c>
      <c r="J1264">
        <v>36</v>
      </c>
      <c r="K1264">
        <v>119</v>
      </c>
      <c r="L1264">
        <v>98</v>
      </c>
      <c r="M1264">
        <v>623.90002441000001</v>
      </c>
      <c r="N1264" t="s">
        <v>87</v>
      </c>
      <c r="O1264" t="s">
        <v>86</v>
      </c>
      <c r="P1264">
        <v>128</v>
      </c>
      <c r="Q1264">
        <v>3</v>
      </c>
      <c r="R1264">
        <v>59</v>
      </c>
      <c r="S1264">
        <v>1270</v>
      </c>
      <c r="T1264">
        <v>-40</v>
      </c>
      <c r="U1264">
        <v>43</v>
      </c>
      <c r="V1264">
        <v>500</v>
      </c>
      <c r="W1264">
        <v>30</v>
      </c>
      <c r="X1264">
        <v>30</v>
      </c>
      <c r="Y1264">
        <v>1</v>
      </c>
      <c r="Z1264">
        <v>3</v>
      </c>
      <c r="AA1264">
        <v>25</v>
      </c>
      <c r="AB1264">
        <v>7</v>
      </c>
      <c r="AC1264">
        <v>5</v>
      </c>
      <c r="AD1264">
        <v>3.2630000099999998</v>
      </c>
      <c r="AE1264">
        <v>5</v>
      </c>
      <c r="AF1264">
        <v>16</v>
      </c>
      <c r="AG1264">
        <v>3.25300002</v>
      </c>
      <c r="AH1264">
        <v>6</v>
      </c>
      <c r="AI1264">
        <v>24</v>
      </c>
      <c r="AJ1264">
        <v>1</v>
      </c>
      <c r="AK1264">
        <v>29</v>
      </c>
      <c r="AL1264">
        <v>32</v>
      </c>
      <c r="AM1264" t="s">
        <v>43</v>
      </c>
      <c r="AN1264" t="str">
        <f>HYPERLINK("https://www.google.com/maps?q=11.055933,79.06442261","Open Location")</f>
        <v>Open Location</v>
      </c>
    </row>
    <row r="1265" spans="1:40" x14ac:dyDescent="0.3">
      <c r="A1265" s="1">
        <v>46210.853356481479</v>
      </c>
      <c r="B1265" t="s">
        <v>40</v>
      </c>
      <c r="C1265" t="s">
        <v>41</v>
      </c>
      <c r="D1265" s="1">
        <v>46210.856296296297</v>
      </c>
      <c r="E1265" t="s">
        <v>42</v>
      </c>
      <c r="F1265" t="s">
        <v>83</v>
      </c>
      <c r="G1265">
        <v>8</v>
      </c>
      <c r="H1265">
        <v>33205</v>
      </c>
      <c r="I1265" t="s">
        <v>585</v>
      </c>
      <c r="J1265">
        <v>36</v>
      </c>
      <c r="K1265">
        <v>130</v>
      </c>
      <c r="L1265">
        <v>98</v>
      </c>
      <c r="M1265">
        <v>624</v>
      </c>
      <c r="N1265" t="s">
        <v>87</v>
      </c>
      <c r="O1265" t="s">
        <v>86</v>
      </c>
      <c r="P1265">
        <v>127</v>
      </c>
      <c r="Q1265">
        <v>2</v>
      </c>
      <c r="R1265">
        <v>83</v>
      </c>
      <c r="S1265">
        <v>1579</v>
      </c>
      <c r="T1265">
        <v>-40</v>
      </c>
      <c r="U1265">
        <v>42</v>
      </c>
      <c r="V1265">
        <v>440</v>
      </c>
      <c r="W1265">
        <v>30</v>
      </c>
      <c r="X1265">
        <v>30</v>
      </c>
      <c r="Y1265">
        <v>1</v>
      </c>
      <c r="Z1265">
        <v>3</v>
      </c>
      <c r="AA1265">
        <v>25</v>
      </c>
      <c r="AB1265">
        <v>7</v>
      </c>
      <c r="AC1265">
        <v>5</v>
      </c>
      <c r="AD1265">
        <v>3.2509999299999999</v>
      </c>
      <c r="AE1265">
        <v>1</v>
      </c>
      <c r="AF1265">
        <v>1</v>
      </c>
      <c r="AG1265">
        <v>3.2369999900000002</v>
      </c>
      <c r="AH1265">
        <v>4</v>
      </c>
      <c r="AI1265">
        <v>24</v>
      </c>
      <c r="AJ1265">
        <v>1</v>
      </c>
      <c r="AK1265">
        <v>29</v>
      </c>
      <c r="AL1265">
        <v>32</v>
      </c>
      <c r="AM1265" t="s">
        <v>43</v>
      </c>
      <c r="AN1265" t="str">
        <f>HYPERLINK("https://www.google.com/maps?q=11.05609608,79.0642395","Open Location")</f>
        <v>Open Location</v>
      </c>
    </row>
    <row r="1266" spans="1:40" x14ac:dyDescent="0.3">
      <c r="A1266" s="1">
        <v>46210.85324074074</v>
      </c>
      <c r="B1266" t="s">
        <v>40</v>
      </c>
      <c r="C1266" t="s">
        <v>41</v>
      </c>
      <c r="D1266" s="1">
        <v>46210.856296296297</v>
      </c>
      <c r="E1266" t="s">
        <v>42</v>
      </c>
      <c r="F1266" t="s">
        <v>83</v>
      </c>
      <c r="G1266">
        <v>7</v>
      </c>
      <c r="H1266">
        <v>33205</v>
      </c>
      <c r="I1266" t="s">
        <v>586</v>
      </c>
      <c r="J1266">
        <v>36</v>
      </c>
      <c r="K1266">
        <v>98</v>
      </c>
      <c r="L1266">
        <v>98</v>
      </c>
      <c r="M1266">
        <v>626</v>
      </c>
      <c r="N1266" t="s">
        <v>87</v>
      </c>
      <c r="O1266" t="s">
        <v>86</v>
      </c>
      <c r="P1266">
        <v>127</v>
      </c>
      <c r="Q1266">
        <v>2</v>
      </c>
      <c r="R1266">
        <v>45</v>
      </c>
      <c r="S1266">
        <v>1418</v>
      </c>
      <c r="T1266">
        <v>-40</v>
      </c>
      <c r="U1266">
        <v>41</v>
      </c>
      <c r="V1266">
        <v>340</v>
      </c>
      <c r="W1266">
        <v>30</v>
      </c>
      <c r="X1266">
        <v>30</v>
      </c>
      <c r="Y1266">
        <v>1</v>
      </c>
      <c r="Z1266">
        <v>3</v>
      </c>
      <c r="AA1266">
        <v>25</v>
      </c>
      <c r="AB1266">
        <v>7</v>
      </c>
      <c r="AC1266">
        <v>5</v>
      </c>
      <c r="AD1266">
        <v>3.2699999800000001</v>
      </c>
      <c r="AE1266">
        <v>1</v>
      </c>
      <c r="AF1266">
        <v>1</v>
      </c>
      <c r="AG1266">
        <v>3.26200008</v>
      </c>
      <c r="AH1266">
        <v>4</v>
      </c>
      <c r="AI1266">
        <v>24</v>
      </c>
      <c r="AJ1266">
        <v>1</v>
      </c>
      <c r="AK1266">
        <v>30</v>
      </c>
      <c r="AL1266">
        <v>32</v>
      </c>
      <c r="AM1266" t="s">
        <v>43</v>
      </c>
      <c r="AN1266" t="str">
        <f>HYPERLINK("https://www.google.com/maps?q=11.05591202,79.06417847","Open Location")</f>
        <v>Open Location</v>
      </c>
    </row>
    <row r="1267" spans="1:40" x14ac:dyDescent="0.3">
      <c r="A1267" s="1">
        <v>46210.853125000001</v>
      </c>
      <c r="B1267" t="s">
        <v>40</v>
      </c>
      <c r="C1267" t="s">
        <v>41</v>
      </c>
      <c r="D1267" s="1">
        <v>46210.855914351851</v>
      </c>
      <c r="E1267" t="s">
        <v>42</v>
      </c>
      <c r="F1267" t="s">
        <v>83</v>
      </c>
      <c r="G1267">
        <v>0</v>
      </c>
      <c r="H1267">
        <v>33205</v>
      </c>
      <c r="I1267" t="s">
        <v>587</v>
      </c>
      <c r="J1267">
        <v>36</v>
      </c>
      <c r="K1267">
        <v>18</v>
      </c>
      <c r="L1267">
        <v>98</v>
      </c>
      <c r="M1267">
        <v>629.59997558999999</v>
      </c>
      <c r="N1267" t="s">
        <v>85</v>
      </c>
      <c r="O1267" t="s">
        <v>86</v>
      </c>
      <c r="P1267">
        <v>127</v>
      </c>
      <c r="Q1267">
        <v>2</v>
      </c>
      <c r="R1267">
        <v>1</v>
      </c>
      <c r="S1267">
        <v>31</v>
      </c>
      <c r="T1267">
        <v>-40</v>
      </c>
      <c r="U1267">
        <v>38</v>
      </c>
      <c r="V1267">
        <v>0</v>
      </c>
      <c r="W1267">
        <v>30</v>
      </c>
      <c r="X1267">
        <v>30</v>
      </c>
      <c r="Y1267">
        <v>1</v>
      </c>
      <c r="Z1267">
        <v>3</v>
      </c>
      <c r="AA1267">
        <v>25</v>
      </c>
      <c r="AB1267">
        <v>7</v>
      </c>
      <c r="AC1267">
        <v>5</v>
      </c>
      <c r="AD1267">
        <v>3.2760000200000001</v>
      </c>
      <c r="AE1267">
        <v>1</v>
      </c>
      <c r="AF1267">
        <v>1</v>
      </c>
      <c r="AG1267">
        <v>3.2690000499999998</v>
      </c>
      <c r="AH1267">
        <v>6</v>
      </c>
      <c r="AI1267">
        <v>24</v>
      </c>
      <c r="AJ1267">
        <v>1</v>
      </c>
      <c r="AK1267">
        <v>24</v>
      </c>
      <c r="AL1267">
        <v>32</v>
      </c>
      <c r="AM1267" t="s">
        <v>43</v>
      </c>
      <c r="AN1267" t="str">
        <f>HYPERLINK("https://www.google.com/maps?q=11.05587959,79.0641861","Open Location")</f>
        <v>Open Location</v>
      </c>
    </row>
    <row r="1268" spans="1:40" x14ac:dyDescent="0.3">
      <c r="A1268" s="1">
        <v>46210.853009259263</v>
      </c>
      <c r="B1268" t="s">
        <v>40</v>
      </c>
      <c r="C1268" t="s">
        <v>41</v>
      </c>
      <c r="D1268" s="1">
        <v>46210.855891203704</v>
      </c>
      <c r="E1268" t="s">
        <v>42</v>
      </c>
      <c r="F1268" t="s">
        <v>83</v>
      </c>
      <c r="G1268">
        <v>0</v>
      </c>
      <c r="H1268">
        <v>33205</v>
      </c>
      <c r="I1268" t="s">
        <v>43</v>
      </c>
      <c r="J1268">
        <v>36</v>
      </c>
      <c r="K1268">
        <v>15</v>
      </c>
      <c r="L1268">
        <v>98</v>
      </c>
      <c r="M1268">
        <v>630.09997558999999</v>
      </c>
      <c r="N1268" t="s">
        <v>85</v>
      </c>
      <c r="O1268" t="s">
        <v>249</v>
      </c>
      <c r="P1268">
        <v>124</v>
      </c>
      <c r="Q1268" t="s">
        <v>249</v>
      </c>
      <c r="R1268">
        <v>0</v>
      </c>
      <c r="S1268">
        <v>675</v>
      </c>
      <c r="T1268">
        <v>-40</v>
      </c>
      <c r="U1268">
        <v>38</v>
      </c>
      <c r="V1268">
        <v>-5</v>
      </c>
      <c r="W1268">
        <v>30</v>
      </c>
      <c r="X1268">
        <v>30</v>
      </c>
      <c r="Y1268">
        <v>1</v>
      </c>
      <c r="Z1268">
        <v>3</v>
      </c>
      <c r="AA1268">
        <v>25</v>
      </c>
      <c r="AB1268">
        <v>7</v>
      </c>
      <c r="AC1268">
        <v>5</v>
      </c>
      <c r="AD1268">
        <v>3.28500009</v>
      </c>
      <c r="AE1268">
        <v>1</v>
      </c>
      <c r="AF1268">
        <v>1</v>
      </c>
      <c r="AG1268">
        <v>3.2820000600000001</v>
      </c>
      <c r="AH1268">
        <v>2</v>
      </c>
      <c r="AI1268">
        <v>26</v>
      </c>
      <c r="AJ1268">
        <v>1</v>
      </c>
      <c r="AK1268">
        <v>25</v>
      </c>
      <c r="AL1268">
        <v>32</v>
      </c>
      <c r="AM1268" t="s">
        <v>43</v>
      </c>
      <c r="AN1268" t="s">
        <v>43</v>
      </c>
    </row>
    <row r="1269" spans="1:40" x14ac:dyDescent="0.3">
      <c r="A1269" s="1">
        <v>46210.852893518517</v>
      </c>
      <c r="B1269" t="s">
        <v>40</v>
      </c>
      <c r="C1269" t="s">
        <v>41</v>
      </c>
      <c r="D1269" s="1">
        <v>46210.855833333335</v>
      </c>
      <c r="E1269" t="s">
        <v>42</v>
      </c>
      <c r="F1269" t="s">
        <v>83</v>
      </c>
      <c r="G1269">
        <v>2</v>
      </c>
      <c r="H1269" t="s">
        <v>43</v>
      </c>
      <c r="I1269" t="s">
        <v>588</v>
      </c>
      <c r="J1269">
        <v>36</v>
      </c>
      <c r="K1269">
        <v>13</v>
      </c>
      <c r="L1269">
        <v>98</v>
      </c>
      <c r="M1269">
        <v>630</v>
      </c>
      <c r="N1269" t="s">
        <v>87</v>
      </c>
      <c r="O1269" t="s">
        <v>249</v>
      </c>
      <c r="P1269">
        <v>124</v>
      </c>
      <c r="Q1269" t="s">
        <v>249</v>
      </c>
      <c r="R1269">
        <v>1</v>
      </c>
      <c r="S1269">
        <v>821</v>
      </c>
      <c r="T1269">
        <v>-40</v>
      </c>
      <c r="U1269">
        <v>38</v>
      </c>
      <c r="V1269">
        <v>-5</v>
      </c>
      <c r="W1269">
        <v>30</v>
      </c>
      <c r="X1269">
        <v>30</v>
      </c>
      <c r="Y1269">
        <v>1</v>
      </c>
      <c r="Z1269">
        <v>3</v>
      </c>
      <c r="AA1269">
        <v>25</v>
      </c>
      <c r="AB1269">
        <v>7</v>
      </c>
      <c r="AC1269">
        <v>5</v>
      </c>
      <c r="AD1269">
        <v>3.28600001</v>
      </c>
      <c r="AE1269">
        <v>1</v>
      </c>
      <c r="AF1269">
        <v>16</v>
      </c>
      <c r="AG1269">
        <v>3.2820000600000001</v>
      </c>
      <c r="AH1269">
        <v>4</v>
      </c>
      <c r="AI1269">
        <v>17</v>
      </c>
      <c r="AJ1269">
        <v>1</v>
      </c>
      <c r="AK1269">
        <v>26</v>
      </c>
      <c r="AL1269">
        <v>32</v>
      </c>
      <c r="AM1269" t="s">
        <v>43</v>
      </c>
      <c r="AN1269" t="str">
        <f>HYPERLINK("https://www.google.com/maps?q=11.0558939,79.06412506","Open Location")</f>
        <v>Open Location</v>
      </c>
    </row>
    <row r="1270" spans="1:40" x14ac:dyDescent="0.3">
      <c r="A1270" s="1">
        <v>46210.852777777778</v>
      </c>
      <c r="B1270" t="s">
        <v>40</v>
      </c>
      <c r="C1270" t="s">
        <v>41</v>
      </c>
      <c r="D1270" s="1">
        <v>46210.855833333335</v>
      </c>
      <c r="E1270" t="s">
        <v>42</v>
      </c>
      <c r="F1270" t="s">
        <v>83</v>
      </c>
      <c r="G1270">
        <v>1</v>
      </c>
      <c r="H1270">
        <v>33205</v>
      </c>
      <c r="I1270" t="s">
        <v>589</v>
      </c>
      <c r="J1270">
        <v>36</v>
      </c>
      <c r="K1270">
        <v>31</v>
      </c>
      <c r="L1270">
        <v>98</v>
      </c>
      <c r="M1270">
        <v>629.5</v>
      </c>
      <c r="N1270" t="s">
        <v>87</v>
      </c>
      <c r="O1270" t="s">
        <v>249</v>
      </c>
      <c r="P1270">
        <v>124</v>
      </c>
      <c r="Q1270" t="s">
        <v>249</v>
      </c>
      <c r="R1270">
        <v>14</v>
      </c>
      <c r="S1270">
        <v>499</v>
      </c>
      <c r="T1270">
        <v>-40</v>
      </c>
      <c r="U1270">
        <v>38</v>
      </c>
      <c r="V1270">
        <v>-220</v>
      </c>
      <c r="W1270">
        <v>30</v>
      </c>
      <c r="X1270">
        <v>30</v>
      </c>
      <c r="Y1270">
        <v>1</v>
      </c>
      <c r="Z1270">
        <v>3</v>
      </c>
      <c r="AA1270">
        <v>25</v>
      </c>
      <c r="AB1270">
        <v>7</v>
      </c>
      <c r="AC1270">
        <v>5</v>
      </c>
      <c r="AD1270">
        <v>3.28500009</v>
      </c>
      <c r="AE1270">
        <v>1</v>
      </c>
      <c r="AF1270">
        <v>1</v>
      </c>
      <c r="AG1270">
        <v>3.2809998999999999</v>
      </c>
      <c r="AH1270">
        <v>4</v>
      </c>
      <c r="AI1270">
        <v>17</v>
      </c>
      <c r="AJ1270">
        <v>1</v>
      </c>
      <c r="AK1270">
        <v>27</v>
      </c>
      <c r="AL1270">
        <v>32</v>
      </c>
      <c r="AM1270" t="s">
        <v>43</v>
      </c>
      <c r="AN1270" t="str">
        <f>HYPERLINK("https://www.google.com/maps?q=11.05587673,79.06407166","Open Location")</f>
        <v>Open Location</v>
      </c>
    </row>
    <row r="1271" spans="1:40" x14ac:dyDescent="0.3">
      <c r="A1271" s="1">
        <v>46210.852662037039</v>
      </c>
      <c r="B1271" t="s">
        <v>40</v>
      </c>
      <c r="C1271" t="s">
        <v>41</v>
      </c>
      <c r="D1271" s="1">
        <v>46210.855474537035</v>
      </c>
      <c r="E1271" t="s">
        <v>42</v>
      </c>
      <c r="F1271" t="s">
        <v>83</v>
      </c>
      <c r="G1271">
        <v>0</v>
      </c>
      <c r="H1271">
        <v>33205</v>
      </c>
      <c r="I1271" t="s">
        <v>590</v>
      </c>
      <c r="J1271">
        <v>37</v>
      </c>
      <c r="K1271">
        <v>11</v>
      </c>
      <c r="L1271">
        <v>98</v>
      </c>
      <c r="M1271">
        <v>630.09997558999999</v>
      </c>
      <c r="N1271" t="s">
        <v>85</v>
      </c>
      <c r="O1271" t="s">
        <v>82</v>
      </c>
      <c r="P1271">
        <v>125</v>
      </c>
      <c r="Q1271" t="s">
        <v>82</v>
      </c>
      <c r="R1271">
        <v>0</v>
      </c>
      <c r="S1271">
        <v>0</v>
      </c>
      <c r="T1271">
        <v>-40</v>
      </c>
      <c r="U1271">
        <v>35</v>
      </c>
      <c r="V1271">
        <v>0</v>
      </c>
      <c r="W1271">
        <v>30</v>
      </c>
      <c r="X1271">
        <v>30</v>
      </c>
      <c r="Y1271">
        <v>1</v>
      </c>
      <c r="Z1271">
        <v>3</v>
      </c>
      <c r="AA1271">
        <v>25</v>
      </c>
      <c r="AB1271">
        <v>7</v>
      </c>
      <c r="AC1271">
        <v>5</v>
      </c>
      <c r="AD1271">
        <v>3.2869999399999998</v>
      </c>
      <c r="AE1271">
        <v>1</v>
      </c>
      <c r="AF1271">
        <v>1</v>
      </c>
      <c r="AG1271">
        <v>3.2839999199999999</v>
      </c>
      <c r="AH1271">
        <v>4</v>
      </c>
      <c r="AI1271">
        <v>17</v>
      </c>
      <c r="AJ1271">
        <v>1</v>
      </c>
      <c r="AK1271">
        <v>29</v>
      </c>
      <c r="AL1271">
        <v>32</v>
      </c>
      <c r="AM1271" t="s">
        <v>43</v>
      </c>
      <c r="AN1271" t="str">
        <f>HYPERLINK("https://www.google.com/maps?q=11.05586529,79.06406403","Open Location")</f>
        <v>Open Location</v>
      </c>
    </row>
    <row r="1272" spans="1:40" x14ac:dyDescent="0.3">
      <c r="A1272" s="1">
        <v>46210.852546296293</v>
      </c>
      <c r="B1272" t="s">
        <v>40</v>
      </c>
      <c r="C1272" t="s">
        <v>41</v>
      </c>
      <c r="D1272" s="1">
        <v>46210.855416666665</v>
      </c>
      <c r="E1272" t="s">
        <v>43</v>
      </c>
      <c r="F1272" t="s">
        <v>83</v>
      </c>
      <c r="G1272">
        <v>0</v>
      </c>
      <c r="H1272">
        <v>33205</v>
      </c>
      <c r="I1272" t="s">
        <v>591</v>
      </c>
      <c r="J1272">
        <v>37</v>
      </c>
      <c r="K1272">
        <v>11</v>
      </c>
      <c r="L1272">
        <v>98</v>
      </c>
      <c r="M1272">
        <v>630.20001220999995</v>
      </c>
      <c r="N1272" t="s">
        <v>85</v>
      </c>
      <c r="O1272" t="s">
        <v>82</v>
      </c>
      <c r="P1272">
        <v>125</v>
      </c>
      <c r="Q1272" t="s">
        <v>82</v>
      </c>
      <c r="R1272">
        <v>0</v>
      </c>
      <c r="S1272">
        <v>0</v>
      </c>
      <c r="T1272">
        <v>-40</v>
      </c>
      <c r="U1272">
        <v>37</v>
      </c>
      <c r="V1272">
        <v>0</v>
      </c>
      <c r="W1272">
        <v>30</v>
      </c>
      <c r="X1272">
        <v>30</v>
      </c>
      <c r="Y1272">
        <v>1</v>
      </c>
      <c r="Z1272">
        <v>3</v>
      </c>
      <c r="AA1272">
        <v>25</v>
      </c>
      <c r="AB1272">
        <v>7</v>
      </c>
      <c r="AC1272">
        <v>5</v>
      </c>
      <c r="AD1272">
        <v>3.28800011</v>
      </c>
      <c r="AE1272">
        <v>1</v>
      </c>
      <c r="AF1272">
        <v>16</v>
      </c>
      <c r="AG1272">
        <v>3.2839999199999999</v>
      </c>
      <c r="AH1272">
        <v>4</v>
      </c>
      <c r="AI1272">
        <v>17</v>
      </c>
      <c r="AJ1272">
        <v>1</v>
      </c>
      <c r="AK1272">
        <v>31</v>
      </c>
      <c r="AL1272">
        <v>32</v>
      </c>
      <c r="AM1272" t="s">
        <v>43</v>
      </c>
      <c r="AN1272" t="str">
        <f>HYPERLINK("https://www.google.com/maps?q=11.05586433,79.06407928","Open Location")</f>
        <v>Open Location</v>
      </c>
    </row>
    <row r="1273" spans="1:40" x14ac:dyDescent="0.3">
      <c r="A1273" s="1">
        <v>46210.852430555555</v>
      </c>
      <c r="B1273" t="s">
        <v>40</v>
      </c>
      <c r="C1273" t="s">
        <v>41</v>
      </c>
      <c r="D1273" s="1">
        <v>46210.855416666665</v>
      </c>
      <c r="E1273" t="s">
        <v>42</v>
      </c>
      <c r="F1273" t="s">
        <v>83</v>
      </c>
      <c r="G1273">
        <v>0</v>
      </c>
      <c r="H1273">
        <v>33205</v>
      </c>
      <c r="I1273" t="s">
        <v>592</v>
      </c>
      <c r="J1273">
        <v>37</v>
      </c>
      <c r="K1273">
        <v>12</v>
      </c>
      <c r="L1273">
        <v>98</v>
      </c>
      <c r="M1273">
        <v>630.40002441000001</v>
      </c>
      <c r="N1273" t="s">
        <v>85</v>
      </c>
      <c r="O1273" t="s">
        <v>86</v>
      </c>
      <c r="P1273">
        <v>127</v>
      </c>
      <c r="Q1273">
        <v>2</v>
      </c>
      <c r="R1273">
        <v>0</v>
      </c>
      <c r="S1273">
        <v>392</v>
      </c>
      <c r="T1273">
        <v>-40</v>
      </c>
      <c r="U1273">
        <v>37</v>
      </c>
      <c r="V1273">
        <v>5</v>
      </c>
      <c r="W1273">
        <v>30</v>
      </c>
      <c r="X1273">
        <v>30</v>
      </c>
      <c r="Y1273">
        <v>1</v>
      </c>
      <c r="Z1273">
        <v>3</v>
      </c>
      <c r="AA1273">
        <v>25</v>
      </c>
      <c r="AB1273">
        <v>7</v>
      </c>
      <c r="AC1273">
        <v>5</v>
      </c>
      <c r="AD1273">
        <v>3.28800011</v>
      </c>
      <c r="AE1273">
        <v>1</v>
      </c>
      <c r="AF1273">
        <v>1</v>
      </c>
      <c r="AG1273">
        <v>3.28500009</v>
      </c>
      <c r="AH1273">
        <v>2</v>
      </c>
      <c r="AI1273">
        <v>3</v>
      </c>
      <c r="AJ1273">
        <v>1</v>
      </c>
      <c r="AK1273">
        <v>28</v>
      </c>
      <c r="AL1273">
        <v>32</v>
      </c>
      <c r="AM1273" t="s">
        <v>43</v>
      </c>
      <c r="AN1273" t="str">
        <f>HYPERLINK("https://www.google.com/maps?q=11.05586815,79.0641098","Open Location")</f>
        <v>Open Location</v>
      </c>
    </row>
    <row r="1274" spans="1:40" x14ac:dyDescent="0.3">
      <c r="A1274" s="1">
        <v>46210.852314814816</v>
      </c>
      <c r="B1274" t="s">
        <v>40</v>
      </c>
      <c r="C1274" t="s">
        <v>41</v>
      </c>
      <c r="D1274" s="1">
        <v>46210.855162037034</v>
      </c>
      <c r="E1274" t="s">
        <v>42</v>
      </c>
      <c r="F1274" t="s">
        <v>83</v>
      </c>
      <c r="G1274">
        <v>0</v>
      </c>
      <c r="H1274">
        <v>33205</v>
      </c>
      <c r="I1274" t="s">
        <v>43</v>
      </c>
      <c r="J1274">
        <v>37</v>
      </c>
      <c r="K1274">
        <v>10</v>
      </c>
      <c r="L1274">
        <v>98</v>
      </c>
      <c r="M1274">
        <v>630.59997558999999</v>
      </c>
      <c r="N1274" t="s">
        <v>81</v>
      </c>
      <c r="O1274" t="s">
        <v>82</v>
      </c>
      <c r="P1274">
        <v>125</v>
      </c>
      <c r="Q1274" t="s">
        <v>82</v>
      </c>
      <c r="R1274">
        <v>0</v>
      </c>
      <c r="S1274">
        <v>0</v>
      </c>
      <c r="T1274">
        <v>-40</v>
      </c>
      <c r="U1274">
        <v>35</v>
      </c>
      <c r="V1274">
        <v>0</v>
      </c>
      <c r="W1274">
        <v>30</v>
      </c>
      <c r="X1274">
        <v>30</v>
      </c>
      <c r="Y1274">
        <v>1</v>
      </c>
      <c r="Z1274">
        <v>3</v>
      </c>
      <c r="AA1274">
        <v>25</v>
      </c>
      <c r="AB1274">
        <v>7</v>
      </c>
      <c r="AC1274">
        <v>5</v>
      </c>
      <c r="AD1274">
        <v>3.28900003</v>
      </c>
      <c r="AE1274">
        <v>1</v>
      </c>
      <c r="AF1274">
        <v>1</v>
      </c>
      <c r="AG1274">
        <v>3.2839999199999999</v>
      </c>
      <c r="AH1274">
        <v>5</v>
      </c>
      <c r="AI1274">
        <v>10</v>
      </c>
      <c r="AJ1274">
        <v>2</v>
      </c>
      <c r="AK1274">
        <v>40</v>
      </c>
      <c r="AL1274">
        <v>32</v>
      </c>
      <c r="AM1274" t="s">
        <v>43</v>
      </c>
      <c r="AN1274" t="s">
        <v>43</v>
      </c>
    </row>
    <row r="1275" spans="1:40" x14ac:dyDescent="0.3">
      <c r="A1275" s="1">
        <v>46210.852199074077</v>
      </c>
      <c r="B1275" t="s">
        <v>40</v>
      </c>
      <c r="C1275" t="s">
        <v>41</v>
      </c>
      <c r="D1275" s="1">
        <v>46210.855000000003</v>
      </c>
      <c r="E1275" t="s">
        <v>42</v>
      </c>
      <c r="F1275" t="s">
        <v>83</v>
      </c>
      <c r="G1275">
        <v>0</v>
      </c>
      <c r="H1275" t="s">
        <v>43</v>
      </c>
      <c r="I1275" t="s">
        <v>593</v>
      </c>
      <c r="J1275">
        <v>0</v>
      </c>
      <c r="K1275">
        <v>-3200</v>
      </c>
      <c r="L1275">
        <v>0</v>
      </c>
      <c r="M1275">
        <v>0</v>
      </c>
      <c r="N1275" t="s">
        <v>81</v>
      </c>
      <c r="O1275" t="s">
        <v>82</v>
      </c>
      <c r="P1275">
        <v>125</v>
      </c>
      <c r="Q1275" t="s">
        <v>43</v>
      </c>
      <c r="R1275">
        <v>0</v>
      </c>
      <c r="S1275">
        <v>0</v>
      </c>
      <c r="T1275">
        <v>-40</v>
      </c>
      <c r="U1275">
        <v>36</v>
      </c>
      <c r="V1275">
        <v>0</v>
      </c>
      <c r="W1275">
        <v>30</v>
      </c>
      <c r="X1275">
        <v>30</v>
      </c>
      <c r="Y1275">
        <v>1</v>
      </c>
      <c r="Z1275">
        <v>3</v>
      </c>
      <c r="AA1275">
        <v>25</v>
      </c>
      <c r="AB1275">
        <v>7</v>
      </c>
      <c r="AC1275">
        <v>5</v>
      </c>
      <c r="AD1275">
        <v>3.2909998900000001</v>
      </c>
      <c r="AE1275">
        <v>1</v>
      </c>
      <c r="AF1275">
        <v>16</v>
      </c>
      <c r="AG1275">
        <v>3.28800011</v>
      </c>
      <c r="AH1275">
        <v>2</v>
      </c>
      <c r="AI1275">
        <v>26</v>
      </c>
      <c r="AJ1275">
        <v>0</v>
      </c>
      <c r="AK1275">
        <v>0</v>
      </c>
      <c r="AL1275">
        <v>32</v>
      </c>
      <c r="AM1275" t="s">
        <v>43</v>
      </c>
      <c r="AN1275" t="str">
        <f>HYPERLINK("https://www.google.com/maps?q=11.05587673,79.0641098","Open Location")</f>
        <v>Open Location</v>
      </c>
    </row>
    <row r="1276" spans="1:40" x14ac:dyDescent="0.3">
      <c r="A1276" s="1">
        <v>46210.852083333331</v>
      </c>
      <c r="B1276" t="s">
        <v>40</v>
      </c>
      <c r="C1276" t="s">
        <v>41</v>
      </c>
      <c r="D1276" s="1">
        <v>46210.855162037034</v>
      </c>
      <c r="E1276" t="s">
        <v>42</v>
      </c>
      <c r="F1276" t="s">
        <v>43</v>
      </c>
      <c r="G1276" t="s">
        <v>43</v>
      </c>
      <c r="H1276" t="s">
        <v>43</v>
      </c>
      <c r="I1276" t="s">
        <v>594</v>
      </c>
      <c r="J1276" t="s">
        <v>43</v>
      </c>
      <c r="K1276" t="s">
        <v>43</v>
      </c>
      <c r="L1276" t="s">
        <v>43</v>
      </c>
      <c r="M1276" t="s">
        <v>43</v>
      </c>
      <c r="N1276" t="s">
        <v>45</v>
      </c>
      <c r="O1276" t="s">
        <v>43</v>
      </c>
      <c r="P1276" t="s">
        <v>43</v>
      </c>
      <c r="Q1276" t="s">
        <v>43</v>
      </c>
      <c r="R1276" t="s">
        <v>43</v>
      </c>
      <c r="S1276" t="s">
        <v>43</v>
      </c>
      <c r="T1276" t="s">
        <v>43</v>
      </c>
      <c r="U1276" t="s">
        <v>43</v>
      </c>
      <c r="V1276" t="s">
        <v>43</v>
      </c>
      <c r="W1276" t="s">
        <v>43</v>
      </c>
      <c r="X1276" t="s">
        <v>43</v>
      </c>
      <c r="Y1276" t="s">
        <v>43</v>
      </c>
      <c r="Z1276" t="s">
        <v>43</v>
      </c>
      <c r="AA1276" t="s">
        <v>43</v>
      </c>
      <c r="AB1276" t="s">
        <v>43</v>
      </c>
      <c r="AC1276" t="s">
        <v>43</v>
      </c>
      <c r="AD1276" t="s">
        <v>43</v>
      </c>
      <c r="AE1276" t="s">
        <v>43</v>
      </c>
      <c r="AF1276" t="s">
        <v>43</v>
      </c>
      <c r="AG1276" t="s">
        <v>43</v>
      </c>
      <c r="AH1276" t="s">
        <v>43</v>
      </c>
      <c r="AI1276" t="s">
        <v>43</v>
      </c>
      <c r="AJ1276" t="s">
        <v>43</v>
      </c>
      <c r="AK1276" t="s">
        <v>43</v>
      </c>
      <c r="AL1276" t="s">
        <v>43</v>
      </c>
      <c r="AM1276" t="s">
        <v>43</v>
      </c>
      <c r="AN1276" t="str">
        <f>HYPERLINK("https://www.google.com/maps?q=11.05587769,79.06409454","Open Location")</f>
        <v>Open Location</v>
      </c>
    </row>
    <row r="1277" spans="1:40" x14ac:dyDescent="0.3">
      <c r="A1277" s="1">
        <v>46210.851967592593</v>
      </c>
      <c r="B1277" t="s">
        <v>40</v>
      </c>
      <c r="C1277" t="s">
        <v>41</v>
      </c>
      <c r="D1277" s="1">
        <v>46210.854733796295</v>
      </c>
      <c r="E1277" t="s">
        <v>42</v>
      </c>
      <c r="F1277" t="s">
        <v>43</v>
      </c>
      <c r="G1277" t="s">
        <v>43</v>
      </c>
      <c r="H1277" t="s">
        <v>43</v>
      </c>
      <c r="I1277" t="s">
        <v>595</v>
      </c>
      <c r="J1277" t="s">
        <v>43</v>
      </c>
      <c r="K1277" t="s">
        <v>43</v>
      </c>
      <c r="L1277" t="s">
        <v>43</v>
      </c>
      <c r="M1277" t="s">
        <v>43</v>
      </c>
      <c r="N1277" t="s">
        <v>45</v>
      </c>
      <c r="O1277" t="s">
        <v>43</v>
      </c>
      <c r="P1277" t="s">
        <v>43</v>
      </c>
      <c r="Q1277" t="s">
        <v>43</v>
      </c>
      <c r="R1277" t="s">
        <v>43</v>
      </c>
      <c r="S1277" t="s">
        <v>43</v>
      </c>
      <c r="T1277" t="s">
        <v>43</v>
      </c>
      <c r="U1277" t="s">
        <v>43</v>
      </c>
      <c r="V1277" t="s">
        <v>43</v>
      </c>
      <c r="W1277" t="s">
        <v>43</v>
      </c>
      <c r="X1277" t="s">
        <v>43</v>
      </c>
      <c r="Y1277" t="s">
        <v>43</v>
      </c>
      <c r="Z1277" t="s">
        <v>43</v>
      </c>
      <c r="AA1277" t="s">
        <v>43</v>
      </c>
      <c r="AB1277" t="s">
        <v>43</v>
      </c>
      <c r="AC1277" t="s">
        <v>43</v>
      </c>
      <c r="AD1277" t="s">
        <v>43</v>
      </c>
      <c r="AE1277" t="s">
        <v>43</v>
      </c>
      <c r="AF1277" t="s">
        <v>43</v>
      </c>
      <c r="AG1277" t="s">
        <v>43</v>
      </c>
      <c r="AH1277" t="s">
        <v>43</v>
      </c>
      <c r="AI1277" t="s">
        <v>43</v>
      </c>
      <c r="AJ1277" t="s">
        <v>43</v>
      </c>
      <c r="AK1277" t="s">
        <v>43</v>
      </c>
      <c r="AL1277" t="s">
        <v>43</v>
      </c>
      <c r="AM1277" t="s">
        <v>43</v>
      </c>
      <c r="AN1277" t="str">
        <f>HYPERLINK("https://www.google.com/maps?q=11.05588722,79.06411743","Open Location")</f>
        <v>Open Location</v>
      </c>
    </row>
    <row r="1278" spans="1:40" x14ac:dyDescent="0.3">
      <c r="A1278" s="1">
        <v>46210.851851851854</v>
      </c>
      <c r="B1278" t="s">
        <v>40</v>
      </c>
      <c r="C1278" t="s">
        <v>41</v>
      </c>
      <c r="D1278" s="1">
        <v>46210.854780092595</v>
      </c>
      <c r="E1278" t="s">
        <v>42</v>
      </c>
      <c r="F1278" t="s">
        <v>43</v>
      </c>
      <c r="G1278" t="s">
        <v>43</v>
      </c>
      <c r="H1278" t="s">
        <v>43</v>
      </c>
      <c r="I1278" t="s">
        <v>596</v>
      </c>
      <c r="J1278" t="s">
        <v>43</v>
      </c>
      <c r="K1278" t="s">
        <v>43</v>
      </c>
      <c r="L1278" t="s">
        <v>43</v>
      </c>
      <c r="M1278" t="s">
        <v>43</v>
      </c>
      <c r="N1278" t="s">
        <v>45</v>
      </c>
      <c r="O1278" t="s">
        <v>43</v>
      </c>
      <c r="P1278" t="s">
        <v>43</v>
      </c>
      <c r="Q1278" t="s">
        <v>43</v>
      </c>
      <c r="R1278" t="s">
        <v>43</v>
      </c>
      <c r="S1278" t="s">
        <v>43</v>
      </c>
      <c r="T1278" t="s">
        <v>43</v>
      </c>
      <c r="U1278" t="s">
        <v>43</v>
      </c>
      <c r="V1278" t="s">
        <v>43</v>
      </c>
      <c r="W1278" t="s">
        <v>43</v>
      </c>
      <c r="X1278" t="s">
        <v>43</v>
      </c>
      <c r="Y1278" t="s">
        <v>43</v>
      </c>
      <c r="Z1278" t="s">
        <v>43</v>
      </c>
      <c r="AA1278" t="s">
        <v>43</v>
      </c>
      <c r="AB1278" t="s">
        <v>43</v>
      </c>
      <c r="AC1278" t="s">
        <v>43</v>
      </c>
      <c r="AD1278" t="s">
        <v>43</v>
      </c>
      <c r="AE1278" t="s">
        <v>43</v>
      </c>
      <c r="AF1278" t="s">
        <v>43</v>
      </c>
      <c r="AG1278" t="s">
        <v>43</v>
      </c>
      <c r="AH1278" t="s">
        <v>43</v>
      </c>
      <c r="AI1278" t="s">
        <v>43</v>
      </c>
      <c r="AJ1278" t="s">
        <v>43</v>
      </c>
      <c r="AK1278" t="s">
        <v>43</v>
      </c>
      <c r="AL1278" t="s">
        <v>43</v>
      </c>
      <c r="AM1278" t="s">
        <v>43</v>
      </c>
      <c r="AN1278" t="str">
        <f>HYPERLINK("https://www.google.com/maps?q=11.05589581,79.06412506","Open Location")</f>
        <v>Open Location</v>
      </c>
    </row>
    <row r="1279" spans="1:40" x14ac:dyDescent="0.3">
      <c r="A1279" s="1">
        <v>46210.851736111108</v>
      </c>
      <c r="B1279" t="s">
        <v>40</v>
      </c>
      <c r="C1279" t="s">
        <v>41</v>
      </c>
      <c r="D1279" s="1">
        <v>46210.854421296295</v>
      </c>
      <c r="E1279" t="s">
        <v>42</v>
      </c>
      <c r="F1279" t="s">
        <v>43</v>
      </c>
      <c r="G1279" t="s">
        <v>43</v>
      </c>
      <c r="H1279" t="s">
        <v>43</v>
      </c>
      <c r="I1279" t="s">
        <v>597</v>
      </c>
      <c r="J1279" t="s">
        <v>43</v>
      </c>
      <c r="K1279" t="s">
        <v>43</v>
      </c>
      <c r="L1279" t="s">
        <v>43</v>
      </c>
      <c r="M1279" t="s">
        <v>43</v>
      </c>
      <c r="N1279" t="s">
        <v>45</v>
      </c>
      <c r="O1279" t="s">
        <v>43</v>
      </c>
      <c r="P1279" t="s">
        <v>43</v>
      </c>
      <c r="Q1279" t="s">
        <v>43</v>
      </c>
      <c r="R1279" t="s">
        <v>43</v>
      </c>
      <c r="S1279" t="s">
        <v>43</v>
      </c>
      <c r="T1279" t="s">
        <v>43</v>
      </c>
      <c r="U1279" t="s">
        <v>43</v>
      </c>
      <c r="V1279" t="s">
        <v>43</v>
      </c>
      <c r="W1279" t="s">
        <v>43</v>
      </c>
      <c r="X1279" t="s">
        <v>43</v>
      </c>
      <c r="Y1279" t="s">
        <v>43</v>
      </c>
      <c r="Z1279" t="s">
        <v>43</v>
      </c>
      <c r="AA1279" t="s">
        <v>43</v>
      </c>
      <c r="AB1279" t="s">
        <v>43</v>
      </c>
      <c r="AC1279" t="s">
        <v>43</v>
      </c>
      <c r="AD1279" t="s">
        <v>43</v>
      </c>
      <c r="AE1279" t="s">
        <v>43</v>
      </c>
      <c r="AF1279" t="s">
        <v>43</v>
      </c>
      <c r="AG1279" t="s">
        <v>43</v>
      </c>
      <c r="AH1279" t="s">
        <v>43</v>
      </c>
      <c r="AI1279" t="s">
        <v>43</v>
      </c>
      <c r="AJ1279" t="s">
        <v>43</v>
      </c>
      <c r="AK1279" t="s">
        <v>43</v>
      </c>
      <c r="AL1279" t="s">
        <v>43</v>
      </c>
      <c r="AM1279" t="s">
        <v>43</v>
      </c>
      <c r="AN1279" t="str">
        <f>HYPERLINK("https://www.google.com/maps?q=11.05589771,79.06411743","Open Location")</f>
        <v>Open Location</v>
      </c>
    </row>
    <row r="1280" spans="1:40" x14ac:dyDescent="0.3">
      <c r="A1280" s="1">
        <v>46210.851620370369</v>
      </c>
      <c r="B1280" t="s">
        <v>40</v>
      </c>
      <c r="C1280" t="s">
        <v>41</v>
      </c>
      <c r="D1280" s="1">
        <v>46210.854780092595</v>
      </c>
      <c r="E1280" t="s">
        <v>42</v>
      </c>
      <c r="F1280" t="s">
        <v>43</v>
      </c>
      <c r="G1280" t="s">
        <v>43</v>
      </c>
      <c r="H1280" t="s">
        <v>43</v>
      </c>
      <c r="I1280" t="s">
        <v>43</v>
      </c>
      <c r="J1280" t="s">
        <v>43</v>
      </c>
      <c r="K1280" t="s">
        <v>43</v>
      </c>
      <c r="L1280" t="s">
        <v>43</v>
      </c>
      <c r="M1280" t="s">
        <v>43</v>
      </c>
      <c r="N1280" t="s">
        <v>45</v>
      </c>
      <c r="O1280" t="s">
        <v>43</v>
      </c>
      <c r="P1280" t="s">
        <v>43</v>
      </c>
      <c r="Q1280" t="s">
        <v>43</v>
      </c>
      <c r="R1280" t="s">
        <v>43</v>
      </c>
      <c r="S1280" t="s">
        <v>43</v>
      </c>
      <c r="T1280" t="s">
        <v>43</v>
      </c>
      <c r="U1280" t="s">
        <v>43</v>
      </c>
      <c r="V1280" t="s">
        <v>43</v>
      </c>
      <c r="W1280" t="s">
        <v>43</v>
      </c>
      <c r="X1280" t="s">
        <v>43</v>
      </c>
      <c r="Y1280" t="s">
        <v>43</v>
      </c>
      <c r="Z1280" t="s">
        <v>43</v>
      </c>
      <c r="AA1280" t="s">
        <v>43</v>
      </c>
      <c r="AB1280" t="s">
        <v>43</v>
      </c>
      <c r="AC1280" t="s">
        <v>43</v>
      </c>
      <c r="AD1280" t="s">
        <v>43</v>
      </c>
      <c r="AE1280" t="s">
        <v>43</v>
      </c>
      <c r="AF1280" t="s">
        <v>43</v>
      </c>
      <c r="AG1280" t="s">
        <v>43</v>
      </c>
      <c r="AH1280" t="s">
        <v>43</v>
      </c>
      <c r="AI1280" t="s">
        <v>43</v>
      </c>
      <c r="AJ1280" t="s">
        <v>43</v>
      </c>
      <c r="AK1280" t="s">
        <v>43</v>
      </c>
      <c r="AL1280" t="s">
        <v>43</v>
      </c>
      <c r="AM1280" t="s">
        <v>43</v>
      </c>
      <c r="AN1280" t="s">
        <v>43</v>
      </c>
    </row>
    <row r="1281" spans="1:40" x14ac:dyDescent="0.3">
      <c r="A1281" s="1">
        <v>46210.851504629631</v>
      </c>
      <c r="B1281" t="s">
        <v>40</v>
      </c>
      <c r="C1281" t="s">
        <v>41</v>
      </c>
      <c r="D1281" s="1">
        <v>46210.85460648148</v>
      </c>
      <c r="E1281" t="s">
        <v>42</v>
      </c>
      <c r="F1281" t="s">
        <v>43</v>
      </c>
      <c r="G1281" t="s">
        <v>43</v>
      </c>
      <c r="H1281" t="s">
        <v>43</v>
      </c>
      <c r="I1281" t="s">
        <v>598</v>
      </c>
      <c r="J1281" t="s">
        <v>43</v>
      </c>
      <c r="K1281" t="s">
        <v>43</v>
      </c>
      <c r="L1281" t="s">
        <v>43</v>
      </c>
      <c r="M1281" t="s">
        <v>43</v>
      </c>
      <c r="N1281" t="s">
        <v>45</v>
      </c>
      <c r="O1281" t="s">
        <v>43</v>
      </c>
      <c r="P1281" t="s">
        <v>43</v>
      </c>
      <c r="Q1281" t="s">
        <v>43</v>
      </c>
      <c r="R1281" t="s">
        <v>43</v>
      </c>
      <c r="S1281" t="s">
        <v>43</v>
      </c>
      <c r="T1281" t="s">
        <v>43</v>
      </c>
      <c r="U1281" t="s">
        <v>43</v>
      </c>
      <c r="V1281" t="s">
        <v>43</v>
      </c>
      <c r="W1281" t="s">
        <v>43</v>
      </c>
      <c r="X1281" t="s">
        <v>43</v>
      </c>
      <c r="Y1281" t="s">
        <v>43</v>
      </c>
      <c r="Z1281" t="s">
        <v>43</v>
      </c>
      <c r="AA1281" t="s">
        <v>43</v>
      </c>
      <c r="AB1281" t="s">
        <v>43</v>
      </c>
      <c r="AC1281" t="s">
        <v>43</v>
      </c>
      <c r="AD1281" t="s">
        <v>43</v>
      </c>
      <c r="AE1281" t="s">
        <v>43</v>
      </c>
      <c r="AF1281" t="s">
        <v>43</v>
      </c>
      <c r="AG1281" t="s">
        <v>43</v>
      </c>
      <c r="AH1281" t="s">
        <v>43</v>
      </c>
      <c r="AI1281" t="s">
        <v>43</v>
      </c>
      <c r="AJ1281" t="s">
        <v>43</v>
      </c>
      <c r="AK1281" t="s">
        <v>43</v>
      </c>
      <c r="AL1281" t="s">
        <v>43</v>
      </c>
      <c r="AM1281" t="s">
        <v>43</v>
      </c>
      <c r="AN1281" t="str">
        <f>HYPERLINK("https://www.google.com/maps?q=11.05590057,79.06411743","Open Location")</f>
        <v>Open Location</v>
      </c>
    </row>
    <row r="1282" spans="1:40" x14ac:dyDescent="0.3">
      <c r="A1282" s="1">
        <v>46210.851388888892</v>
      </c>
      <c r="B1282" t="s">
        <v>40</v>
      </c>
      <c r="C1282" t="s">
        <v>41</v>
      </c>
      <c r="D1282" s="1">
        <v>46210.854618055557</v>
      </c>
      <c r="E1282" t="s">
        <v>42</v>
      </c>
      <c r="F1282" t="s">
        <v>43</v>
      </c>
      <c r="G1282" t="s">
        <v>43</v>
      </c>
      <c r="H1282" t="s">
        <v>43</v>
      </c>
      <c r="I1282" t="s">
        <v>599</v>
      </c>
      <c r="J1282" t="s">
        <v>43</v>
      </c>
      <c r="K1282" t="s">
        <v>43</v>
      </c>
      <c r="L1282" t="s">
        <v>43</v>
      </c>
      <c r="M1282" t="s">
        <v>43</v>
      </c>
      <c r="N1282" t="s">
        <v>45</v>
      </c>
      <c r="O1282" t="s">
        <v>43</v>
      </c>
      <c r="P1282" t="s">
        <v>43</v>
      </c>
      <c r="Q1282" t="s">
        <v>43</v>
      </c>
      <c r="R1282" t="s">
        <v>43</v>
      </c>
      <c r="S1282" t="s">
        <v>43</v>
      </c>
      <c r="T1282" t="s">
        <v>43</v>
      </c>
      <c r="U1282" t="s">
        <v>43</v>
      </c>
      <c r="V1282" t="s">
        <v>43</v>
      </c>
      <c r="W1282" t="s">
        <v>43</v>
      </c>
      <c r="X1282" t="s">
        <v>43</v>
      </c>
      <c r="Y1282" t="s">
        <v>43</v>
      </c>
      <c r="Z1282" t="s">
        <v>43</v>
      </c>
      <c r="AA1282" t="s">
        <v>43</v>
      </c>
      <c r="AB1282" t="s">
        <v>43</v>
      </c>
      <c r="AC1282" t="s">
        <v>43</v>
      </c>
      <c r="AD1282" t="s">
        <v>43</v>
      </c>
      <c r="AE1282" t="s">
        <v>43</v>
      </c>
      <c r="AF1282" t="s">
        <v>43</v>
      </c>
      <c r="AG1282" t="s">
        <v>43</v>
      </c>
      <c r="AH1282" t="s">
        <v>43</v>
      </c>
      <c r="AI1282" t="s">
        <v>43</v>
      </c>
      <c r="AJ1282" t="s">
        <v>43</v>
      </c>
      <c r="AK1282" t="s">
        <v>43</v>
      </c>
      <c r="AL1282" t="s">
        <v>43</v>
      </c>
      <c r="AM1282" t="s">
        <v>43</v>
      </c>
      <c r="AN1282" t="str">
        <f>HYPERLINK("https://www.google.com/maps?q=11.05589676,79.0641098","Open Location")</f>
        <v>Open Location</v>
      </c>
    </row>
    <row r="1283" spans="1:40" x14ac:dyDescent="0.3">
      <c r="A1283" s="1">
        <v>46210.851273148146</v>
      </c>
      <c r="B1283" t="s">
        <v>40</v>
      </c>
      <c r="C1283" t="s">
        <v>41</v>
      </c>
      <c r="D1283" s="1">
        <v>46210.853993055556</v>
      </c>
      <c r="E1283" t="s">
        <v>42</v>
      </c>
      <c r="F1283" t="s">
        <v>43</v>
      </c>
      <c r="G1283" t="s">
        <v>43</v>
      </c>
      <c r="H1283" t="s">
        <v>43</v>
      </c>
      <c r="I1283" t="s">
        <v>600</v>
      </c>
      <c r="J1283" t="s">
        <v>43</v>
      </c>
      <c r="K1283" t="s">
        <v>43</v>
      </c>
      <c r="L1283" t="s">
        <v>43</v>
      </c>
      <c r="M1283" t="s">
        <v>43</v>
      </c>
      <c r="N1283" t="s">
        <v>45</v>
      </c>
      <c r="O1283" t="s">
        <v>43</v>
      </c>
      <c r="P1283" t="s">
        <v>43</v>
      </c>
      <c r="Q1283" t="s">
        <v>43</v>
      </c>
      <c r="R1283" t="s">
        <v>43</v>
      </c>
      <c r="S1283" t="s">
        <v>43</v>
      </c>
      <c r="T1283" t="s">
        <v>43</v>
      </c>
      <c r="U1283" t="s">
        <v>43</v>
      </c>
      <c r="V1283" t="s">
        <v>43</v>
      </c>
      <c r="W1283" t="s">
        <v>43</v>
      </c>
      <c r="X1283" t="s">
        <v>43</v>
      </c>
      <c r="Y1283" t="s">
        <v>43</v>
      </c>
      <c r="Z1283" t="s">
        <v>43</v>
      </c>
      <c r="AA1283" t="s">
        <v>43</v>
      </c>
      <c r="AB1283" t="s">
        <v>43</v>
      </c>
      <c r="AC1283" t="s">
        <v>43</v>
      </c>
      <c r="AD1283" t="s">
        <v>43</v>
      </c>
      <c r="AE1283" t="s">
        <v>43</v>
      </c>
      <c r="AF1283" t="s">
        <v>43</v>
      </c>
      <c r="AG1283" t="s">
        <v>43</v>
      </c>
      <c r="AH1283" t="s">
        <v>43</v>
      </c>
      <c r="AI1283" t="s">
        <v>43</v>
      </c>
      <c r="AJ1283" t="s">
        <v>43</v>
      </c>
      <c r="AK1283" t="s">
        <v>43</v>
      </c>
      <c r="AL1283" t="s">
        <v>43</v>
      </c>
      <c r="AM1283" t="s">
        <v>43</v>
      </c>
      <c r="AN1283" t="str">
        <f>HYPERLINK("https://www.google.com/maps?q=11.05589867,79.0641098","Open Location")</f>
        <v>Open Location</v>
      </c>
    </row>
    <row r="1284" spans="1:40" x14ac:dyDescent="0.3">
      <c r="A1284" s="1">
        <v>46210.851157407407</v>
      </c>
      <c r="B1284" t="s">
        <v>40</v>
      </c>
      <c r="C1284" t="s">
        <v>41</v>
      </c>
      <c r="D1284" s="1">
        <v>46210.854212962964</v>
      </c>
      <c r="E1284" t="s">
        <v>42</v>
      </c>
      <c r="F1284" t="s">
        <v>43</v>
      </c>
      <c r="G1284" t="s">
        <v>43</v>
      </c>
      <c r="H1284" t="s">
        <v>43</v>
      </c>
      <c r="I1284" t="s">
        <v>601</v>
      </c>
      <c r="J1284" t="s">
        <v>43</v>
      </c>
      <c r="K1284" t="s">
        <v>43</v>
      </c>
      <c r="L1284" t="s">
        <v>43</v>
      </c>
      <c r="M1284" t="s">
        <v>43</v>
      </c>
      <c r="N1284" t="s">
        <v>45</v>
      </c>
      <c r="O1284" t="s">
        <v>43</v>
      </c>
      <c r="P1284" t="s">
        <v>43</v>
      </c>
      <c r="Q1284" t="s">
        <v>43</v>
      </c>
      <c r="R1284" t="s">
        <v>43</v>
      </c>
      <c r="S1284" t="s">
        <v>43</v>
      </c>
      <c r="T1284" t="s">
        <v>43</v>
      </c>
      <c r="U1284" t="s">
        <v>43</v>
      </c>
      <c r="V1284" t="s">
        <v>43</v>
      </c>
      <c r="W1284" t="s">
        <v>43</v>
      </c>
      <c r="X1284" t="s">
        <v>43</v>
      </c>
      <c r="Y1284" t="s">
        <v>43</v>
      </c>
      <c r="Z1284" t="s">
        <v>43</v>
      </c>
      <c r="AA1284" t="s">
        <v>43</v>
      </c>
      <c r="AB1284" t="s">
        <v>43</v>
      </c>
      <c r="AC1284" t="s">
        <v>43</v>
      </c>
      <c r="AD1284" t="s">
        <v>43</v>
      </c>
      <c r="AE1284" t="s">
        <v>43</v>
      </c>
      <c r="AF1284" t="s">
        <v>43</v>
      </c>
      <c r="AG1284" t="s">
        <v>43</v>
      </c>
      <c r="AH1284" t="s">
        <v>43</v>
      </c>
      <c r="AI1284" t="s">
        <v>43</v>
      </c>
      <c r="AJ1284" t="s">
        <v>43</v>
      </c>
      <c r="AK1284" t="s">
        <v>43</v>
      </c>
      <c r="AL1284" t="s">
        <v>43</v>
      </c>
      <c r="AM1284" t="s">
        <v>43</v>
      </c>
      <c r="AN1284" t="str">
        <f>HYPERLINK("https://www.google.com/maps?q=11.05589867,79.06411743","Open Location")</f>
        <v>Open Location</v>
      </c>
    </row>
    <row r="1285" spans="1:40" x14ac:dyDescent="0.3">
      <c r="A1285" s="1">
        <v>46210.851041666669</v>
      </c>
      <c r="B1285" t="s">
        <v>40</v>
      </c>
      <c r="C1285" t="s">
        <v>41</v>
      </c>
      <c r="D1285" s="1">
        <v>46210.854178240741</v>
      </c>
      <c r="E1285" t="s">
        <v>42</v>
      </c>
      <c r="F1285" t="s">
        <v>43</v>
      </c>
      <c r="G1285" t="s">
        <v>43</v>
      </c>
      <c r="H1285" t="s">
        <v>43</v>
      </c>
      <c r="I1285" t="s">
        <v>43</v>
      </c>
      <c r="J1285" t="s">
        <v>43</v>
      </c>
      <c r="K1285" t="s">
        <v>43</v>
      </c>
      <c r="L1285" t="s">
        <v>43</v>
      </c>
      <c r="M1285" t="s">
        <v>43</v>
      </c>
      <c r="N1285" t="s">
        <v>45</v>
      </c>
      <c r="O1285" t="s">
        <v>43</v>
      </c>
      <c r="P1285" t="s">
        <v>43</v>
      </c>
      <c r="Q1285" t="s">
        <v>43</v>
      </c>
      <c r="R1285" t="s">
        <v>43</v>
      </c>
      <c r="S1285" t="s">
        <v>43</v>
      </c>
      <c r="T1285" t="s">
        <v>43</v>
      </c>
      <c r="U1285" t="s">
        <v>43</v>
      </c>
      <c r="V1285" t="s">
        <v>43</v>
      </c>
      <c r="W1285" t="s">
        <v>43</v>
      </c>
      <c r="X1285" t="s">
        <v>43</v>
      </c>
      <c r="Y1285" t="s">
        <v>43</v>
      </c>
      <c r="Z1285" t="s">
        <v>43</v>
      </c>
      <c r="AA1285" t="s">
        <v>43</v>
      </c>
      <c r="AB1285" t="s">
        <v>43</v>
      </c>
      <c r="AC1285" t="s">
        <v>43</v>
      </c>
      <c r="AD1285" t="s">
        <v>43</v>
      </c>
      <c r="AE1285" t="s">
        <v>43</v>
      </c>
      <c r="AF1285" t="s">
        <v>43</v>
      </c>
      <c r="AG1285" t="s">
        <v>43</v>
      </c>
      <c r="AH1285" t="s">
        <v>43</v>
      </c>
      <c r="AI1285" t="s">
        <v>43</v>
      </c>
      <c r="AJ1285" t="s">
        <v>43</v>
      </c>
      <c r="AK1285" t="s">
        <v>43</v>
      </c>
      <c r="AL1285" t="s">
        <v>43</v>
      </c>
      <c r="AM1285" t="s">
        <v>43</v>
      </c>
      <c r="AN1285" t="s">
        <v>43</v>
      </c>
    </row>
    <row r="1286" spans="1:40" x14ac:dyDescent="0.3">
      <c r="A1286" s="1">
        <v>46210.850925925923</v>
      </c>
      <c r="B1286" t="s">
        <v>40</v>
      </c>
      <c r="C1286" t="s">
        <v>41</v>
      </c>
      <c r="D1286" s="1">
        <v>46210.853958333333</v>
      </c>
      <c r="E1286" t="s">
        <v>42</v>
      </c>
      <c r="F1286" t="s">
        <v>43</v>
      </c>
      <c r="G1286" t="s">
        <v>43</v>
      </c>
      <c r="H1286" t="s">
        <v>43</v>
      </c>
      <c r="I1286" t="s">
        <v>602</v>
      </c>
      <c r="J1286" t="s">
        <v>43</v>
      </c>
      <c r="K1286" t="s">
        <v>43</v>
      </c>
      <c r="L1286" t="s">
        <v>43</v>
      </c>
      <c r="M1286" t="s">
        <v>43</v>
      </c>
      <c r="N1286" t="s">
        <v>45</v>
      </c>
      <c r="O1286" t="s">
        <v>43</v>
      </c>
      <c r="P1286" t="s">
        <v>43</v>
      </c>
      <c r="Q1286" t="s">
        <v>43</v>
      </c>
      <c r="R1286" t="s">
        <v>43</v>
      </c>
      <c r="S1286" t="s">
        <v>43</v>
      </c>
      <c r="T1286" t="s">
        <v>43</v>
      </c>
      <c r="U1286" t="s">
        <v>43</v>
      </c>
      <c r="V1286" t="s">
        <v>43</v>
      </c>
      <c r="W1286" t="s">
        <v>43</v>
      </c>
      <c r="X1286" t="s">
        <v>43</v>
      </c>
      <c r="Y1286" t="s">
        <v>43</v>
      </c>
      <c r="Z1286" t="s">
        <v>43</v>
      </c>
      <c r="AA1286" t="s">
        <v>43</v>
      </c>
      <c r="AB1286" t="s">
        <v>43</v>
      </c>
      <c r="AC1286" t="s">
        <v>43</v>
      </c>
      <c r="AD1286" t="s">
        <v>43</v>
      </c>
      <c r="AE1286" t="s">
        <v>43</v>
      </c>
      <c r="AF1286" t="s">
        <v>43</v>
      </c>
      <c r="AG1286" t="s">
        <v>43</v>
      </c>
      <c r="AH1286" t="s">
        <v>43</v>
      </c>
      <c r="AI1286" t="s">
        <v>43</v>
      </c>
      <c r="AJ1286" t="s">
        <v>43</v>
      </c>
      <c r="AK1286" t="s">
        <v>43</v>
      </c>
      <c r="AL1286" t="s">
        <v>43</v>
      </c>
      <c r="AM1286" t="s">
        <v>43</v>
      </c>
      <c r="AN1286" t="str">
        <f>HYPERLINK("https://www.google.com/maps?q=11.05589294,79.06411743","Open Location")</f>
        <v>Open Location</v>
      </c>
    </row>
    <row r="1287" spans="1:40" x14ac:dyDescent="0.3">
      <c r="A1287" s="1">
        <v>46210.850810185184</v>
      </c>
      <c r="B1287" t="s">
        <v>40</v>
      </c>
      <c r="C1287" t="s">
        <v>41</v>
      </c>
      <c r="D1287" s="1">
        <v>46210.853738425925</v>
      </c>
      <c r="E1287" t="s">
        <v>42</v>
      </c>
      <c r="F1287" t="s">
        <v>43</v>
      </c>
      <c r="G1287" t="s">
        <v>43</v>
      </c>
      <c r="H1287" t="s">
        <v>43</v>
      </c>
      <c r="I1287" t="s">
        <v>603</v>
      </c>
      <c r="J1287" t="s">
        <v>43</v>
      </c>
      <c r="K1287" t="s">
        <v>43</v>
      </c>
      <c r="L1287" t="s">
        <v>43</v>
      </c>
      <c r="M1287" t="s">
        <v>43</v>
      </c>
      <c r="N1287" t="s">
        <v>45</v>
      </c>
      <c r="O1287" t="s">
        <v>43</v>
      </c>
      <c r="P1287" t="s">
        <v>43</v>
      </c>
      <c r="Q1287" t="s">
        <v>43</v>
      </c>
      <c r="R1287" t="s">
        <v>43</v>
      </c>
      <c r="S1287" t="s">
        <v>43</v>
      </c>
      <c r="T1287" t="s">
        <v>43</v>
      </c>
      <c r="U1287" t="s">
        <v>43</v>
      </c>
      <c r="V1287" t="s">
        <v>43</v>
      </c>
      <c r="W1287" t="s">
        <v>43</v>
      </c>
      <c r="X1287" t="s">
        <v>43</v>
      </c>
      <c r="Y1287" t="s">
        <v>43</v>
      </c>
      <c r="Z1287" t="s">
        <v>43</v>
      </c>
      <c r="AA1287" t="s">
        <v>43</v>
      </c>
      <c r="AB1287" t="s">
        <v>43</v>
      </c>
      <c r="AC1287" t="s">
        <v>43</v>
      </c>
      <c r="AD1287" t="s">
        <v>43</v>
      </c>
      <c r="AE1287" t="s">
        <v>43</v>
      </c>
      <c r="AF1287" t="s">
        <v>43</v>
      </c>
      <c r="AG1287" t="s">
        <v>43</v>
      </c>
      <c r="AH1287" t="s">
        <v>43</v>
      </c>
      <c r="AI1287" t="s">
        <v>43</v>
      </c>
      <c r="AJ1287" t="s">
        <v>43</v>
      </c>
      <c r="AK1287" t="s">
        <v>43</v>
      </c>
      <c r="AL1287" t="s">
        <v>43</v>
      </c>
      <c r="AM1287" t="s">
        <v>43</v>
      </c>
      <c r="AN1287" t="str">
        <f>HYPERLINK("https://www.google.com/maps?q=11.05588722,79.0641098","Open Location")</f>
        <v>Open Location</v>
      </c>
    </row>
    <row r="1288" spans="1:40" x14ac:dyDescent="0.3">
      <c r="A1288" s="1">
        <v>46210.850694444445</v>
      </c>
      <c r="B1288" t="s">
        <v>40</v>
      </c>
      <c r="C1288" t="s">
        <v>41</v>
      </c>
      <c r="D1288" s="1">
        <v>46210.853703703702</v>
      </c>
      <c r="E1288" t="s">
        <v>42</v>
      </c>
      <c r="F1288" t="s">
        <v>43</v>
      </c>
      <c r="G1288" t="s">
        <v>43</v>
      </c>
      <c r="H1288" t="s">
        <v>43</v>
      </c>
      <c r="I1288" t="s">
        <v>604</v>
      </c>
      <c r="J1288" t="s">
        <v>43</v>
      </c>
      <c r="K1288" t="s">
        <v>43</v>
      </c>
      <c r="L1288" t="s">
        <v>43</v>
      </c>
      <c r="M1288" t="s">
        <v>43</v>
      </c>
      <c r="N1288" t="s">
        <v>45</v>
      </c>
      <c r="O1288" t="s">
        <v>43</v>
      </c>
      <c r="P1288" t="s">
        <v>43</v>
      </c>
      <c r="Q1288" t="s">
        <v>43</v>
      </c>
      <c r="R1288" t="s">
        <v>43</v>
      </c>
      <c r="S1288" t="s">
        <v>43</v>
      </c>
      <c r="T1288" t="s">
        <v>43</v>
      </c>
      <c r="U1288" t="s">
        <v>43</v>
      </c>
      <c r="V1288" t="s">
        <v>43</v>
      </c>
      <c r="W1288" t="s">
        <v>43</v>
      </c>
      <c r="X1288" t="s">
        <v>43</v>
      </c>
      <c r="Y1288" t="s">
        <v>43</v>
      </c>
      <c r="Z1288" t="s">
        <v>43</v>
      </c>
      <c r="AA1288" t="s">
        <v>43</v>
      </c>
      <c r="AB1288" t="s">
        <v>43</v>
      </c>
      <c r="AC1288" t="s">
        <v>43</v>
      </c>
      <c r="AD1288" t="s">
        <v>43</v>
      </c>
      <c r="AE1288" t="s">
        <v>43</v>
      </c>
      <c r="AF1288" t="s">
        <v>43</v>
      </c>
      <c r="AG1288" t="s">
        <v>43</v>
      </c>
      <c r="AH1288" t="s">
        <v>43</v>
      </c>
      <c r="AI1288" t="s">
        <v>43</v>
      </c>
      <c r="AJ1288" t="s">
        <v>43</v>
      </c>
      <c r="AK1288" t="s">
        <v>43</v>
      </c>
      <c r="AL1288" t="s">
        <v>43</v>
      </c>
      <c r="AM1288" t="s">
        <v>43</v>
      </c>
      <c r="AN1288" t="str">
        <f>HYPERLINK("https://www.google.com/maps?q=11.05587959,79.0641098","Open Location")</f>
        <v>Open Location</v>
      </c>
    </row>
    <row r="1289" spans="1:40" x14ac:dyDescent="0.3">
      <c r="A1289" s="1">
        <v>46210.850578703707</v>
      </c>
      <c r="B1289" t="s">
        <v>40</v>
      </c>
      <c r="C1289" t="s">
        <v>41</v>
      </c>
      <c r="D1289" s="1">
        <v>46210.853263888886</v>
      </c>
      <c r="E1289" t="s">
        <v>42</v>
      </c>
      <c r="F1289" t="s">
        <v>43</v>
      </c>
      <c r="G1289" t="s">
        <v>43</v>
      </c>
      <c r="H1289" t="s">
        <v>43</v>
      </c>
      <c r="I1289" t="s">
        <v>605</v>
      </c>
      <c r="J1289" t="s">
        <v>43</v>
      </c>
      <c r="K1289" t="s">
        <v>43</v>
      </c>
      <c r="L1289" t="s">
        <v>43</v>
      </c>
      <c r="M1289" t="s">
        <v>43</v>
      </c>
      <c r="N1289" t="s">
        <v>45</v>
      </c>
      <c r="O1289" t="s">
        <v>43</v>
      </c>
      <c r="P1289" t="s">
        <v>43</v>
      </c>
      <c r="Q1289" t="s">
        <v>43</v>
      </c>
      <c r="R1289" t="s">
        <v>43</v>
      </c>
      <c r="S1289" t="s">
        <v>43</v>
      </c>
      <c r="T1289" t="s">
        <v>43</v>
      </c>
      <c r="U1289" t="s">
        <v>43</v>
      </c>
      <c r="V1289" t="s">
        <v>43</v>
      </c>
      <c r="W1289" t="s">
        <v>43</v>
      </c>
      <c r="X1289" t="s">
        <v>43</v>
      </c>
      <c r="Y1289" t="s">
        <v>43</v>
      </c>
      <c r="Z1289" t="s">
        <v>43</v>
      </c>
      <c r="AA1289" t="s">
        <v>43</v>
      </c>
      <c r="AB1289" t="s">
        <v>43</v>
      </c>
      <c r="AC1289" t="s">
        <v>43</v>
      </c>
      <c r="AD1289" t="s">
        <v>43</v>
      </c>
      <c r="AE1289" t="s">
        <v>43</v>
      </c>
      <c r="AF1289" t="s">
        <v>43</v>
      </c>
      <c r="AG1289" t="s">
        <v>43</v>
      </c>
      <c r="AH1289" t="s">
        <v>43</v>
      </c>
      <c r="AI1289" t="s">
        <v>43</v>
      </c>
      <c r="AJ1289" t="s">
        <v>43</v>
      </c>
      <c r="AK1289" t="s">
        <v>43</v>
      </c>
      <c r="AL1289" t="s">
        <v>43</v>
      </c>
      <c r="AM1289" t="s">
        <v>43</v>
      </c>
      <c r="AN1289" t="str">
        <f>HYPERLINK("https://www.google.com/maps?q=11.05588055,79.0641098","Open Location")</f>
        <v>Open Location</v>
      </c>
    </row>
    <row r="1290" spans="1:40" x14ac:dyDescent="0.3">
      <c r="A1290" s="1">
        <v>46210.850462962961</v>
      </c>
      <c r="B1290" t="s">
        <v>40</v>
      </c>
      <c r="C1290" t="s">
        <v>41</v>
      </c>
      <c r="D1290" s="1">
        <v>46210.853379629632</v>
      </c>
      <c r="E1290" t="s">
        <v>42</v>
      </c>
      <c r="F1290" t="s">
        <v>43</v>
      </c>
      <c r="G1290" t="s">
        <v>43</v>
      </c>
      <c r="H1290" t="s">
        <v>43</v>
      </c>
      <c r="I1290" t="s">
        <v>606</v>
      </c>
      <c r="J1290" t="s">
        <v>43</v>
      </c>
      <c r="K1290" t="s">
        <v>43</v>
      </c>
      <c r="L1290" t="s">
        <v>43</v>
      </c>
      <c r="M1290" t="s">
        <v>43</v>
      </c>
      <c r="N1290" t="s">
        <v>45</v>
      </c>
      <c r="O1290" t="s">
        <v>43</v>
      </c>
      <c r="P1290" t="s">
        <v>43</v>
      </c>
      <c r="Q1290" t="s">
        <v>43</v>
      </c>
      <c r="R1290" t="s">
        <v>43</v>
      </c>
      <c r="S1290" t="s">
        <v>43</v>
      </c>
      <c r="T1290" t="s">
        <v>43</v>
      </c>
      <c r="U1290" t="s">
        <v>43</v>
      </c>
      <c r="V1290" t="s">
        <v>43</v>
      </c>
      <c r="W1290" t="s">
        <v>43</v>
      </c>
      <c r="X1290" t="s">
        <v>43</v>
      </c>
      <c r="Y1290" t="s">
        <v>43</v>
      </c>
      <c r="Z1290" t="s">
        <v>43</v>
      </c>
      <c r="AA1290" t="s">
        <v>43</v>
      </c>
      <c r="AB1290" t="s">
        <v>43</v>
      </c>
      <c r="AC1290" t="s">
        <v>43</v>
      </c>
      <c r="AD1290" t="s">
        <v>43</v>
      </c>
      <c r="AE1290" t="s">
        <v>43</v>
      </c>
      <c r="AF1290" t="s">
        <v>43</v>
      </c>
      <c r="AG1290" t="s">
        <v>43</v>
      </c>
      <c r="AH1290" t="s">
        <v>43</v>
      </c>
      <c r="AI1290" t="s">
        <v>43</v>
      </c>
      <c r="AJ1290" t="s">
        <v>43</v>
      </c>
      <c r="AK1290" t="s">
        <v>43</v>
      </c>
      <c r="AL1290" t="s">
        <v>43</v>
      </c>
      <c r="AM1290" t="s">
        <v>43</v>
      </c>
      <c r="AN1290" t="str">
        <f>HYPERLINK("https://www.google.com/maps?q=11.05588245,79.06410217","Open Location")</f>
        <v>Open Location</v>
      </c>
    </row>
    <row r="1291" spans="1:40" x14ac:dyDescent="0.3">
      <c r="A1291" s="1">
        <v>46210.850347222222</v>
      </c>
      <c r="B1291" t="s">
        <v>40</v>
      </c>
      <c r="C1291" t="s">
        <v>41</v>
      </c>
      <c r="D1291" s="1">
        <v>46210.853113425925</v>
      </c>
      <c r="E1291" t="s">
        <v>42</v>
      </c>
      <c r="F1291" t="s">
        <v>43</v>
      </c>
      <c r="G1291" t="s">
        <v>43</v>
      </c>
      <c r="H1291" t="s">
        <v>43</v>
      </c>
      <c r="I1291" t="s">
        <v>43</v>
      </c>
      <c r="J1291" t="s">
        <v>43</v>
      </c>
      <c r="K1291" t="s">
        <v>43</v>
      </c>
      <c r="L1291" t="s">
        <v>43</v>
      </c>
      <c r="M1291" t="s">
        <v>43</v>
      </c>
      <c r="N1291" t="s">
        <v>45</v>
      </c>
      <c r="O1291" t="s">
        <v>43</v>
      </c>
      <c r="P1291" t="s">
        <v>43</v>
      </c>
      <c r="Q1291" t="s">
        <v>43</v>
      </c>
      <c r="R1291" t="s">
        <v>43</v>
      </c>
      <c r="S1291" t="s">
        <v>43</v>
      </c>
      <c r="T1291" t="s">
        <v>43</v>
      </c>
      <c r="U1291" t="s">
        <v>43</v>
      </c>
      <c r="V1291" t="s">
        <v>43</v>
      </c>
      <c r="W1291" t="s">
        <v>43</v>
      </c>
      <c r="X1291" t="s">
        <v>43</v>
      </c>
      <c r="Y1291" t="s">
        <v>43</v>
      </c>
      <c r="Z1291" t="s">
        <v>43</v>
      </c>
      <c r="AA1291" t="s">
        <v>43</v>
      </c>
      <c r="AB1291" t="s">
        <v>43</v>
      </c>
      <c r="AC1291" t="s">
        <v>43</v>
      </c>
      <c r="AD1291" t="s">
        <v>43</v>
      </c>
      <c r="AE1291" t="s">
        <v>43</v>
      </c>
      <c r="AF1291" t="s">
        <v>43</v>
      </c>
      <c r="AG1291" t="s">
        <v>43</v>
      </c>
      <c r="AH1291" t="s">
        <v>43</v>
      </c>
      <c r="AI1291" t="s">
        <v>43</v>
      </c>
      <c r="AJ1291" t="s">
        <v>43</v>
      </c>
      <c r="AK1291" t="s">
        <v>43</v>
      </c>
      <c r="AL1291" t="s">
        <v>43</v>
      </c>
      <c r="AM1291" t="s">
        <v>43</v>
      </c>
      <c r="AN1291" t="s">
        <v>43</v>
      </c>
    </row>
    <row r="1292" spans="1:40" x14ac:dyDescent="0.3">
      <c r="A1292" s="1">
        <v>46210.850231481483</v>
      </c>
      <c r="B1292" t="s">
        <v>40</v>
      </c>
      <c r="C1292" t="s">
        <v>41</v>
      </c>
      <c r="D1292" s="1">
        <v>46210.853298611109</v>
      </c>
      <c r="E1292" t="s">
        <v>42</v>
      </c>
      <c r="F1292" t="s">
        <v>43</v>
      </c>
      <c r="G1292" t="s">
        <v>43</v>
      </c>
      <c r="H1292" t="s">
        <v>43</v>
      </c>
      <c r="I1292" t="s">
        <v>607</v>
      </c>
      <c r="J1292" t="s">
        <v>43</v>
      </c>
      <c r="K1292" t="s">
        <v>43</v>
      </c>
      <c r="L1292" t="s">
        <v>43</v>
      </c>
      <c r="M1292" t="s">
        <v>43</v>
      </c>
      <c r="N1292" t="s">
        <v>45</v>
      </c>
      <c r="O1292" t="s">
        <v>43</v>
      </c>
      <c r="P1292" t="s">
        <v>43</v>
      </c>
      <c r="Q1292" t="s">
        <v>43</v>
      </c>
      <c r="R1292" t="s">
        <v>43</v>
      </c>
      <c r="S1292" t="s">
        <v>43</v>
      </c>
      <c r="T1292" t="s">
        <v>43</v>
      </c>
      <c r="U1292" t="s">
        <v>43</v>
      </c>
      <c r="V1292" t="s">
        <v>43</v>
      </c>
      <c r="W1292" t="s">
        <v>43</v>
      </c>
      <c r="X1292" t="s">
        <v>43</v>
      </c>
      <c r="Y1292" t="s">
        <v>43</v>
      </c>
      <c r="Z1292" t="s">
        <v>43</v>
      </c>
      <c r="AA1292" t="s">
        <v>43</v>
      </c>
      <c r="AB1292" t="s">
        <v>43</v>
      </c>
      <c r="AC1292" t="s">
        <v>43</v>
      </c>
      <c r="AD1292" t="s">
        <v>43</v>
      </c>
      <c r="AE1292" t="s">
        <v>43</v>
      </c>
      <c r="AF1292" t="s">
        <v>43</v>
      </c>
      <c r="AG1292" t="s">
        <v>43</v>
      </c>
      <c r="AH1292" t="s">
        <v>43</v>
      </c>
      <c r="AI1292" t="s">
        <v>43</v>
      </c>
      <c r="AJ1292" t="s">
        <v>43</v>
      </c>
      <c r="AK1292" t="s">
        <v>43</v>
      </c>
      <c r="AL1292" t="s">
        <v>43</v>
      </c>
      <c r="AM1292" t="s">
        <v>43</v>
      </c>
      <c r="AN1292" t="str">
        <f>HYPERLINK("https://www.google.com/maps?q=11.05587864,79.06409454","Open Location")</f>
        <v>Open Location</v>
      </c>
    </row>
    <row r="1293" spans="1:40" x14ac:dyDescent="0.3">
      <c r="A1293" s="1">
        <v>46210.850115740737</v>
      </c>
      <c r="B1293" t="s">
        <v>40</v>
      </c>
      <c r="C1293" t="s">
        <v>41</v>
      </c>
      <c r="D1293" s="1">
        <v>46210.853101851855</v>
      </c>
      <c r="E1293" t="s">
        <v>42</v>
      </c>
      <c r="F1293" t="s">
        <v>43</v>
      </c>
      <c r="G1293" t="s">
        <v>43</v>
      </c>
      <c r="H1293" t="s">
        <v>43</v>
      </c>
      <c r="I1293" t="s">
        <v>608</v>
      </c>
      <c r="J1293" t="s">
        <v>43</v>
      </c>
      <c r="K1293" t="s">
        <v>43</v>
      </c>
      <c r="L1293" t="s">
        <v>43</v>
      </c>
      <c r="M1293" t="s">
        <v>43</v>
      </c>
      <c r="N1293" t="s">
        <v>45</v>
      </c>
      <c r="O1293" t="s">
        <v>43</v>
      </c>
      <c r="P1293" t="s">
        <v>43</v>
      </c>
      <c r="Q1293" t="s">
        <v>43</v>
      </c>
      <c r="R1293" t="s">
        <v>43</v>
      </c>
      <c r="S1293" t="s">
        <v>43</v>
      </c>
      <c r="T1293" t="s">
        <v>43</v>
      </c>
      <c r="U1293" t="s">
        <v>43</v>
      </c>
      <c r="V1293" t="s">
        <v>43</v>
      </c>
      <c r="W1293" t="s">
        <v>43</v>
      </c>
      <c r="X1293" t="s">
        <v>43</v>
      </c>
      <c r="Y1293" t="s">
        <v>43</v>
      </c>
      <c r="Z1293" t="s">
        <v>43</v>
      </c>
      <c r="AA1293" t="s">
        <v>43</v>
      </c>
      <c r="AB1293" t="s">
        <v>43</v>
      </c>
      <c r="AC1293" t="s">
        <v>43</v>
      </c>
      <c r="AD1293" t="s">
        <v>43</v>
      </c>
      <c r="AE1293" t="s">
        <v>43</v>
      </c>
      <c r="AF1293" t="s">
        <v>43</v>
      </c>
      <c r="AG1293" t="s">
        <v>43</v>
      </c>
      <c r="AH1293" t="s">
        <v>43</v>
      </c>
      <c r="AI1293" t="s">
        <v>43</v>
      </c>
      <c r="AJ1293" t="s">
        <v>43</v>
      </c>
      <c r="AK1293" t="s">
        <v>43</v>
      </c>
      <c r="AL1293" t="s">
        <v>43</v>
      </c>
      <c r="AM1293" t="s">
        <v>43</v>
      </c>
      <c r="AN1293" t="str">
        <f>HYPERLINK("https://www.google.com/maps?q=11.05587673,79.06409454","Open Location")</f>
        <v>Open Location</v>
      </c>
    </row>
    <row r="1294" spans="1:40" x14ac:dyDescent="0.3">
      <c r="A1294" s="1">
        <v>46210.85</v>
      </c>
      <c r="B1294" t="s">
        <v>40</v>
      </c>
      <c r="C1294" t="s">
        <v>41</v>
      </c>
      <c r="D1294" s="1">
        <v>46210.852986111109</v>
      </c>
      <c r="E1294" t="s">
        <v>42</v>
      </c>
      <c r="F1294" t="s">
        <v>43</v>
      </c>
      <c r="G1294" t="s">
        <v>43</v>
      </c>
      <c r="H1294" t="s">
        <v>43</v>
      </c>
      <c r="I1294" t="s">
        <v>609</v>
      </c>
      <c r="J1294" t="s">
        <v>43</v>
      </c>
      <c r="K1294" t="s">
        <v>43</v>
      </c>
      <c r="L1294" t="s">
        <v>43</v>
      </c>
      <c r="M1294" t="s">
        <v>43</v>
      </c>
      <c r="N1294" t="s">
        <v>45</v>
      </c>
      <c r="O1294" t="s">
        <v>43</v>
      </c>
      <c r="P1294" t="s">
        <v>43</v>
      </c>
      <c r="Q1294" t="s">
        <v>43</v>
      </c>
      <c r="R1294" t="s">
        <v>43</v>
      </c>
      <c r="S1294" t="s">
        <v>43</v>
      </c>
      <c r="T1294" t="s">
        <v>43</v>
      </c>
      <c r="U1294" t="s">
        <v>43</v>
      </c>
      <c r="V1294" t="s">
        <v>43</v>
      </c>
      <c r="W1294" t="s">
        <v>43</v>
      </c>
      <c r="X1294" t="s">
        <v>43</v>
      </c>
      <c r="Y1294" t="s">
        <v>43</v>
      </c>
      <c r="Z1294" t="s">
        <v>43</v>
      </c>
      <c r="AA1294" t="s">
        <v>43</v>
      </c>
      <c r="AB1294" t="s">
        <v>43</v>
      </c>
      <c r="AC1294" t="s">
        <v>43</v>
      </c>
      <c r="AD1294" t="s">
        <v>43</v>
      </c>
      <c r="AE1294" t="s">
        <v>43</v>
      </c>
      <c r="AF1294" t="s">
        <v>43</v>
      </c>
      <c r="AG1294" t="s">
        <v>43</v>
      </c>
      <c r="AH1294" t="s">
        <v>43</v>
      </c>
      <c r="AI1294" t="s">
        <v>43</v>
      </c>
      <c r="AJ1294" t="s">
        <v>43</v>
      </c>
      <c r="AK1294" t="s">
        <v>43</v>
      </c>
      <c r="AL1294" t="s">
        <v>43</v>
      </c>
      <c r="AM1294" t="s">
        <v>43</v>
      </c>
      <c r="AN1294" t="str">
        <f>HYPERLINK("https://www.google.com/maps?q=11.05587292,79.06410217","Open Location")</f>
        <v>Open Location</v>
      </c>
    </row>
    <row r="1295" spans="1:40" x14ac:dyDescent="0.3">
      <c r="A1295" s="1">
        <v>46210.84988425926</v>
      </c>
      <c r="B1295" t="s">
        <v>40</v>
      </c>
      <c r="C1295" t="s">
        <v>41</v>
      </c>
      <c r="D1295" s="1">
        <v>46210.852662037039</v>
      </c>
      <c r="E1295" t="s">
        <v>42</v>
      </c>
      <c r="F1295" t="s">
        <v>43</v>
      </c>
      <c r="G1295" t="s">
        <v>43</v>
      </c>
      <c r="H1295" t="s">
        <v>43</v>
      </c>
      <c r="I1295" t="s">
        <v>610</v>
      </c>
      <c r="J1295" t="s">
        <v>43</v>
      </c>
      <c r="K1295" t="s">
        <v>43</v>
      </c>
      <c r="L1295" t="s">
        <v>43</v>
      </c>
      <c r="M1295" t="s">
        <v>43</v>
      </c>
      <c r="N1295" t="s">
        <v>45</v>
      </c>
      <c r="O1295" t="s">
        <v>43</v>
      </c>
      <c r="P1295" t="s">
        <v>43</v>
      </c>
      <c r="Q1295" t="s">
        <v>43</v>
      </c>
      <c r="R1295" t="s">
        <v>43</v>
      </c>
      <c r="S1295" t="s">
        <v>43</v>
      </c>
      <c r="T1295" t="s">
        <v>43</v>
      </c>
      <c r="U1295" t="s">
        <v>43</v>
      </c>
      <c r="V1295" t="s">
        <v>43</v>
      </c>
      <c r="W1295" t="s">
        <v>43</v>
      </c>
      <c r="X1295" t="s">
        <v>43</v>
      </c>
      <c r="Y1295" t="s">
        <v>43</v>
      </c>
      <c r="Z1295" t="s">
        <v>43</v>
      </c>
      <c r="AA1295" t="s">
        <v>43</v>
      </c>
      <c r="AB1295" t="s">
        <v>43</v>
      </c>
      <c r="AC1295" t="s">
        <v>43</v>
      </c>
      <c r="AD1295" t="s">
        <v>43</v>
      </c>
      <c r="AE1295" t="s">
        <v>43</v>
      </c>
      <c r="AF1295" t="s">
        <v>43</v>
      </c>
      <c r="AG1295" t="s">
        <v>43</v>
      </c>
      <c r="AH1295" t="s">
        <v>43</v>
      </c>
      <c r="AI1295" t="s">
        <v>43</v>
      </c>
      <c r="AJ1295" t="s">
        <v>43</v>
      </c>
      <c r="AK1295" t="s">
        <v>43</v>
      </c>
      <c r="AL1295" t="s">
        <v>43</v>
      </c>
      <c r="AM1295" t="s">
        <v>43</v>
      </c>
      <c r="AN1295" t="str">
        <f>HYPERLINK("https://www.google.com/maps?q=11.05587673,79.06410217","Open Location")</f>
        <v>Open Location</v>
      </c>
    </row>
    <row r="1296" spans="1:40" x14ac:dyDescent="0.3">
      <c r="A1296" s="1">
        <v>46210.849768518521</v>
      </c>
      <c r="B1296" t="s">
        <v>40</v>
      </c>
      <c r="C1296" t="s">
        <v>41</v>
      </c>
      <c r="D1296" s="1">
        <v>46210.852650462963</v>
      </c>
      <c r="E1296" t="s">
        <v>42</v>
      </c>
      <c r="F1296" t="s">
        <v>43</v>
      </c>
      <c r="G1296" t="s">
        <v>43</v>
      </c>
      <c r="H1296" t="s">
        <v>43</v>
      </c>
      <c r="I1296" t="s">
        <v>611</v>
      </c>
      <c r="J1296" t="s">
        <v>43</v>
      </c>
      <c r="K1296" t="s">
        <v>43</v>
      </c>
      <c r="L1296" t="s">
        <v>43</v>
      </c>
      <c r="M1296" t="s">
        <v>43</v>
      </c>
      <c r="N1296" t="s">
        <v>45</v>
      </c>
      <c r="O1296" t="s">
        <v>43</v>
      </c>
      <c r="P1296" t="s">
        <v>43</v>
      </c>
      <c r="Q1296" t="s">
        <v>43</v>
      </c>
      <c r="R1296" t="s">
        <v>43</v>
      </c>
      <c r="S1296" t="s">
        <v>43</v>
      </c>
      <c r="T1296" t="s">
        <v>43</v>
      </c>
      <c r="U1296" t="s">
        <v>43</v>
      </c>
      <c r="V1296" t="s">
        <v>43</v>
      </c>
      <c r="W1296" t="s">
        <v>43</v>
      </c>
      <c r="X1296" t="s">
        <v>43</v>
      </c>
      <c r="Y1296" t="s">
        <v>43</v>
      </c>
      <c r="Z1296" t="s">
        <v>43</v>
      </c>
      <c r="AA1296" t="s">
        <v>43</v>
      </c>
      <c r="AB1296" t="s">
        <v>43</v>
      </c>
      <c r="AC1296" t="s">
        <v>43</v>
      </c>
      <c r="AD1296" t="s">
        <v>43</v>
      </c>
      <c r="AE1296" t="s">
        <v>43</v>
      </c>
      <c r="AF1296" t="s">
        <v>43</v>
      </c>
      <c r="AG1296" t="s">
        <v>43</v>
      </c>
      <c r="AH1296" t="s">
        <v>43</v>
      </c>
      <c r="AI1296" t="s">
        <v>43</v>
      </c>
      <c r="AJ1296" t="s">
        <v>43</v>
      </c>
      <c r="AK1296" t="s">
        <v>43</v>
      </c>
      <c r="AL1296" t="s">
        <v>43</v>
      </c>
      <c r="AM1296" t="s">
        <v>43</v>
      </c>
      <c r="AN1296" t="str">
        <f>HYPERLINK("https://www.google.com/maps?q=11.05587101,79.06410217","Open Location")</f>
        <v>Open Location</v>
      </c>
    </row>
    <row r="1297" spans="1:40" x14ac:dyDescent="0.3">
      <c r="A1297" s="1">
        <v>46210.849652777775</v>
      </c>
      <c r="B1297" t="s">
        <v>40</v>
      </c>
      <c r="C1297" t="s">
        <v>41</v>
      </c>
      <c r="D1297" s="1">
        <v>46210.852696759262</v>
      </c>
      <c r="E1297" t="s">
        <v>42</v>
      </c>
      <c r="F1297" t="s">
        <v>43</v>
      </c>
      <c r="G1297" t="s">
        <v>43</v>
      </c>
      <c r="H1297" t="s">
        <v>43</v>
      </c>
      <c r="I1297" t="s">
        <v>43</v>
      </c>
      <c r="J1297" t="s">
        <v>43</v>
      </c>
      <c r="K1297" t="s">
        <v>43</v>
      </c>
      <c r="L1297" t="s">
        <v>43</v>
      </c>
      <c r="M1297" t="s">
        <v>43</v>
      </c>
      <c r="N1297" t="s">
        <v>45</v>
      </c>
      <c r="O1297" t="s">
        <v>43</v>
      </c>
      <c r="P1297" t="s">
        <v>43</v>
      </c>
      <c r="Q1297" t="s">
        <v>43</v>
      </c>
      <c r="R1297" t="s">
        <v>43</v>
      </c>
      <c r="S1297" t="s">
        <v>43</v>
      </c>
      <c r="T1297" t="s">
        <v>43</v>
      </c>
      <c r="U1297" t="s">
        <v>43</v>
      </c>
      <c r="V1297" t="s">
        <v>43</v>
      </c>
      <c r="W1297" t="s">
        <v>43</v>
      </c>
      <c r="X1297" t="s">
        <v>43</v>
      </c>
      <c r="Y1297" t="s">
        <v>43</v>
      </c>
      <c r="Z1297" t="s">
        <v>43</v>
      </c>
      <c r="AA1297" t="s">
        <v>43</v>
      </c>
      <c r="AB1297" t="s">
        <v>43</v>
      </c>
      <c r="AC1297" t="s">
        <v>43</v>
      </c>
      <c r="AD1297" t="s">
        <v>43</v>
      </c>
      <c r="AE1297" t="s">
        <v>43</v>
      </c>
      <c r="AF1297" t="s">
        <v>43</v>
      </c>
      <c r="AG1297" t="s">
        <v>43</v>
      </c>
      <c r="AH1297" t="s">
        <v>43</v>
      </c>
      <c r="AI1297" t="s">
        <v>43</v>
      </c>
      <c r="AJ1297" t="s">
        <v>43</v>
      </c>
      <c r="AK1297" t="s">
        <v>43</v>
      </c>
      <c r="AL1297" t="s">
        <v>43</v>
      </c>
      <c r="AM1297" t="s">
        <v>43</v>
      </c>
      <c r="AN1297" t="s">
        <v>43</v>
      </c>
    </row>
    <row r="1298" spans="1:40" x14ac:dyDescent="0.3">
      <c r="A1298" s="1">
        <v>46210.849537037036</v>
      </c>
      <c r="B1298" t="s">
        <v>40</v>
      </c>
      <c r="C1298" t="s">
        <v>41</v>
      </c>
      <c r="D1298" s="1">
        <v>46210.852430555555</v>
      </c>
      <c r="E1298" t="s">
        <v>42</v>
      </c>
      <c r="F1298" t="s">
        <v>43</v>
      </c>
      <c r="G1298" t="s">
        <v>43</v>
      </c>
      <c r="H1298" t="s">
        <v>43</v>
      </c>
      <c r="I1298" t="s">
        <v>612</v>
      </c>
      <c r="J1298" t="s">
        <v>43</v>
      </c>
      <c r="K1298" t="s">
        <v>43</v>
      </c>
      <c r="L1298" t="s">
        <v>43</v>
      </c>
      <c r="M1298" t="s">
        <v>43</v>
      </c>
      <c r="N1298" t="s">
        <v>45</v>
      </c>
      <c r="O1298" t="s">
        <v>43</v>
      </c>
      <c r="P1298" t="s">
        <v>43</v>
      </c>
      <c r="Q1298" t="s">
        <v>43</v>
      </c>
      <c r="R1298" t="s">
        <v>43</v>
      </c>
      <c r="S1298" t="s">
        <v>43</v>
      </c>
      <c r="T1298" t="s">
        <v>43</v>
      </c>
      <c r="U1298" t="s">
        <v>43</v>
      </c>
      <c r="V1298" t="s">
        <v>43</v>
      </c>
      <c r="W1298" t="s">
        <v>43</v>
      </c>
      <c r="X1298" t="s">
        <v>43</v>
      </c>
      <c r="Y1298" t="s">
        <v>43</v>
      </c>
      <c r="Z1298" t="s">
        <v>43</v>
      </c>
      <c r="AA1298" t="s">
        <v>43</v>
      </c>
      <c r="AB1298" t="s">
        <v>43</v>
      </c>
      <c r="AC1298" t="s">
        <v>43</v>
      </c>
      <c r="AD1298" t="s">
        <v>43</v>
      </c>
      <c r="AE1298" t="s">
        <v>43</v>
      </c>
      <c r="AF1298" t="s">
        <v>43</v>
      </c>
      <c r="AG1298" t="s">
        <v>43</v>
      </c>
      <c r="AH1298" t="s">
        <v>43</v>
      </c>
      <c r="AI1298" t="s">
        <v>43</v>
      </c>
      <c r="AJ1298" t="s">
        <v>43</v>
      </c>
      <c r="AK1298" t="s">
        <v>43</v>
      </c>
      <c r="AL1298" t="s">
        <v>43</v>
      </c>
      <c r="AM1298" t="s">
        <v>43</v>
      </c>
      <c r="AN1298" t="str">
        <f>HYPERLINK("https://www.google.com/maps?q=11.05587196,79.06409454","Open Location")</f>
        <v>Open Location</v>
      </c>
    </row>
    <row r="1299" spans="1:40" x14ac:dyDescent="0.3">
      <c r="A1299" s="1">
        <v>46210.849421296298</v>
      </c>
      <c r="B1299" t="s">
        <v>40</v>
      </c>
      <c r="C1299" t="s">
        <v>41</v>
      </c>
      <c r="D1299" s="1">
        <v>46210.852337962962</v>
      </c>
      <c r="E1299" t="s">
        <v>42</v>
      </c>
      <c r="F1299" t="s">
        <v>43</v>
      </c>
      <c r="G1299" t="s">
        <v>43</v>
      </c>
      <c r="H1299" t="s">
        <v>43</v>
      </c>
      <c r="I1299" t="s">
        <v>613</v>
      </c>
      <c r="J1299" t="s">
        <v>43</v>
      </c>
      <c r="K1299" t="s">
        <v>43</v>
      </c>
      <c r="L1299" t="s">
        <v>43</v>
      </c>
      <c r="M1299" t="s">
        <v>43</v>
      </c>
      <c r="N1299" t="s">
        <v>45</v>
      </c>
      <c r="O1299" t="s">
        <v>43</v>
      </c>
      <c r="P1299" t="s">
        <v>43</v>
      </c>
      <c r="Q1299" t="s">
        <v>43</v>
      </c>
      <c r="R1299" t="s">
        <v>43</v>
      </c>
      <c r="S1299" t="s">
        <v>43</v>
      </c>
      <c r="T1299" t="s">
        <v>43</v>
      </c>
      <c r="U1299" t="s">
        <v>43</v>
      </c>
      <c r="V1299" t="s">
        <v>43</v>
      </c>
      <c r="W1299" t="s">
        <v>43</v>
      </c>
      <c r="X1299" t="s">
        <v>43</v>
      </c>
      <c r="Y1299" t="s">
        <v>43</v>
      </c>
      <c r="Z1299" t="s">
        <v>43</v>
      </c>
      <c r="AA1299" t="s">
        <v>43</v>
      </c>
      <c r="AB1299" t="s">
        <v>43</v>
      </c>
      <c r="AC1299" t="s">
        <v>43</v>
      </c>
      <c r="AD1299" t="s">
        <v>43</v>
      </c>
      <c r="AE1299" t="s">
        <v>43</v>
      </c>
      <c r="AF1299" t="s">
        <v>43</v>
      </c>
      <c r="AG1299" t="s">
        <v>43</v>
      </c>
      <c r="AH1299" t="s">
        <v>43</v>
      </c>
      <c r="AI1299" t="s">
        <v>43</v>
      </c>
      <c r="AJ1299" t="s">
        <v>43</v>
      </c>
      <c r="AK1299" t="s">
        <v>43</v>
      </c>
      <c r="AL1299" t="s">
        <v>43</v>
      </c>
      <c r="AM1299" t="s">
        <v>43</v>
      </c>
      <c r="AN1299" t="str">
        <f>HYPERLINK("https://www.google.com/maps?q=11.05587387,79.06409454","Open Location")</f>
        <v>Open Location</v>
      </c>
    </row>
    <row r="1300" spans="1:40" x14ac:dyDescent="0.3">
      <c r="A1300" s="1">
        <v>46210.849305555559</v>
      </c>
      <c r="B1300" t="s">
        <v>40</v>
      </c>
      <c r="C1300" t="s">
        <v>41</v>
      </c>
      <c r="D1300" s="1">
        <v>46210.852256944447</v>
      </c>
      <c r="E1300" t="s">
        <v>42</v>
      </c>
      <c r="F1300" t="s">
        <v>43</v>
      </c>
      <c r="G1300" t="s">
        <v>43</v>
      </c>
      <c r="H1300" t="s">
        <v>43</v>
      </c>
      <c r="I1300" t="s">
        <v>614</v>
      </c>
      <c r="J1300" t="s">
        <v>43</v>
      </c>
      <c r="K1300" t="s">
        <v>43</v>
      </c>
      <c r="L1300" t="s">
        <v>43</v>
      </c>
      <c r="M1300" t="s">
        <v>43</v>
      </c>
      <c r="N1300" t="s">
        <v>45</v>
      </c>
      <c r="O1300" t="s">
        <v>43</v>
      </c>
      <c r="P1300" t="s">
        <v>43</v>
      </c>
      <c r="Q1300" t="s">
        <v>43</v>
      </c>
      <c r="R1300" t="s">
        <v>43</v>
      </c>
      <c r="S1300" t="s">
        <v>43</v>
      </c>
      <c r="T1300" t="s">
        <v>43</v>
      </c>
      <c r="U1300" t="s">
        <v>43</v>
      </c>
      <c r="V1300" t="s">
        <v>43</v>
      </c>
      <c r="W1300" t="s">
        <v>43</v>
      </c>
      <c r="X1300" t="s">
        <v>43</v>
      </c>
      <c r="Y1300" t="s">
        <v>43</v>
      </c>
      <c r="Z1300" t="s">
        <v>43</v>
      </c>
      <c r="AA1300" t="s">
        <v>43</v>
      </c>
      <c r="AB1300" t="s">
        <v>43</v>
      </c>
      <c r="AC1300" t="s">
        <v>43</v>
      </c>
      <c r="AD1300" t="s">
        <v>43</v>
      </c>
      <c r="AE1300" t="s">
        <v>43</v>
      </c>
      <c r="AF1300" t="s">
        <v>43</v>
      </c>
      <c r="AG1300" t="s">
        <v>43</v>
      </c>
      <c r="AH1300" t="s">
        <v>43</v>
      </c>
      <c r="AI1300" t="s">
        <v>43</v>
      </c>
      <c r="AJ1300" t="s">
        <v>43</v>
      </c>
      <c r="AK1300" t="s">
        <v>43</v>
      </c>
      <c r="AL1300" t="s">
        <v>43</v>
      </c>
      <c r="AM1300" t="s">
        <v>43</v>
      </c>
      <c r="AN1300" t="str">
        <f>HYPERLINK("https://www.google.com/maps?q=11.05587578,79.06409454","Open Location")</f>
        <v>Open Location</v>
      </c>
    </row>
    <row r="1301" spans="1:40" x14ac:dyDescent="0.3">
      <c r="A1301" s="1">
        <v>46210.849189814813</v>
      </c>
      <c r="B1301" t="s">
        <v>40</v>
      </c>
      <c r="C1301" t="s">
        <v>41</v>
      </c>
      <c r="D1301" s="1">
        <v>46210.852337962962</v>
      </c>
      <c r="E1301" t="s">
        <v>42</v>
      </c>
      <c r="F1301" t="s">
        <v>43</v>
      </c>
      <c r="G1301" t="s">
        <v>43</v>
      </c>
      <c r="H1301" t="s">
        <v>43</v>
      </c>
      <c r="I1301" t="s">
        <v>615</v>
      </c>
      <c r="J1301" t="s">
        <v>43</v>
      </c>
      <c r="K1301" t="s">
        <v>43</v>
      </c>
      <c r="L1301" t="s">
        <v>43</v>
      </c>
      <c r="M1301" t="s">
        <v>43</v>
      </c>
      <c r="N1301" t="s">
        <v>45</v>
      </c>
      <c r="O1301" t="s">
        <v>43</v>
      </c>
      <c r="P1301" t="s">
        <v>43</v>
      </c>
      <c r="Q1301" t="s">
        <v>43</v>
      </c>
      <c r="R1301" t="s">
        <v>43</v>
      </c>
      <c r="S1301" t="s">
        <v>43</v>
      </c>
      <c r="T1301" t="s">
        <v>43</v>
      </c>
      <c r="U1301" t="s">
        <v>43</v>
      </c>
      <c r="V1301" t="s">
        <v>43</v>
      </c>
      <c r="W1301" t="s">
        <v>43</v>
      </c>
      <c r="X1301" t="s">
        <v>43</v>
      </c>
      <c r="Y1301" t="s">
        <v>43</v>
      </c>
      <c r="Z1301" t="s">
        <v>43</v>
      </c>
      <c r="AA1301" t="s">
        <v>43</v>
      </c>
      <c r="AB1301" t="s">
        <v>43</v>
      </c>
      <c r="AC1301" t="s">
        <v>43</v>
      </c>
      <c r="AD1301" t="s">
        <v>43</v>
      </c>
      <c r="AE1301" t="s">
        <v>43</v>
      </c>
      <c r="AF1301" t="s">
        <v>43</v>
      </c>
      <c r="AG1301" t="s">
        <v>43</v>
      </c>
      <c r="AH1301" t="s">
        <v>43</v>
      </c>
      <c r="AI1301" t="s">
        <v>43</v>
      </c>
      <c r="AJ1301" t="s">
        <v>43</v>
      </c>
      <c r="AK1301" t="s">
        <v>43</v>
      </c>
      <c r="AL1301" t="s">
        <v>43</v>
      </c>
      <c r="AM1301" t="s">
        <v>43</v>
      </c>
      <c r="AN1301" t="str">
        <f>HYPERLINK("https://www.google.com/maps?q=11.05587387,79.06410217","Open Location")</f>
        <v>Open Location</v>
      </c>
    </row>
    <row r="1302" spans="1:40" x14ac:dyDescent="0.3">
      <c r="A1302" s="1">
        <v>46210.849074074074</v>
      </c>
      <c r="B1302" t="s">
        <v>40</v>
      </c>
      <c r="C1302" t="s">
        <v>41</v>
      </c>
      <c r="D1302" s="1">
        <v>46210.852060185185</v>
      </c>
      <c r="E1302" t="s">
        <v>42</v>
      </c>
      <c r="F1302" t="s">
        <v>43</v>
      </c>
      <c r="G1302" t="s">
        <v>43</v>
      </c>
      <c r="H1302" t="s">
        <v>43</v>
      </c>
      <c r="I1302" t="s">
        <v>43</v>
      </c>
      <c r="J1302" t="s">
        <v>43</v>
      </c>
      <c r="K1302" t="s">
        <v>43</v>
      </c>
      <c r="L1302" t="s">
        <v>43</v>
      </c>
      <c r="M1302" t="s">
        <v>43</v>
      </c>
      <c r="N1302" t="s">
        <v>45</v>
      </c>
      <c r="O1302" t="s">
        <v>43</v>
      </c>
      <c r="P1302" t="s">
        <v>43</v>
      </c>
      <c r="Q1302" t="s">
        <v>43</v>
      </c>
      <c r="R1302" t="s">
        <v>43</v>
      </c>
      <c r="S1302" t="s">
        <v>43</v>
      </c>
      <c r="T1302" t="s">
        <v>43</v>
      </c>
      <c r="U1302" t="s">
        <v>43</v>
      </c>
      <c r="V1302" t="s">
        <v>43</v>
      </c>
      <c r="W1302" t="s">
        <v>43</v>
      </c>
      <c r="X1302" t="s">
        <v>43</v>
      </c>
      <c r="Y1302" t="s">
        <v>43</v>
      </c>
      <c r="Z1302" t="s">
        <v>43</v>
      </c>
      <c r="AA1302" t="s">
        <v>43</v>
      </c>
      <c r="AB1302" t="s">
        <v>43</v>
      </c>
      <c r="AC1302" t="s">
        <v>43</v>
      </c>
      <c r="AD1302" t="s">
        <v>43</v>
      </c>
      <c r="AE1302" t="s">
        <v>43</v>
      </c>
      <c r="AF1302" t="s">
        <v>43</v>
      </c>
      <c r="AG1302" t="s">
        <v>43</v>
      </c>
      <c r="AH1302" t="s">
        <v>43</v>
      </c>
      <c r="AI1302" t="s">
        <v>43</v>
      </c>
      <c r="AJ1302" t="s">
        <v>43</v>
      </c>
      <c r="AK1302" t="s">
        <v>43</v>
      </c>
      <c r="AL1302" t="s">
        <v>43</v>
      </c>
      <c r="AM1302" t="s">
        <v>43</v>
      </c>
      <c r="AN1302" t="s">
        <v>43</v>
      </c>
    </row>
    <row r="1303" spans="1:40" x14ac:dyDescent="0.3">
      <c r="A1303" s="1">
        <v>46210.848958333336</v>
      </c>
      <c r="B1303" t="s">
        <v>40</v>
      </c>
      <c r="C1303" t="s">
        <v>41</v>
      </c>
      <c r="D1303" s="1">
        <v>46210.851574074077</v>
      </c>
      <c r="E1303" t="s">
        <v>42</v>
      </c>
      <c r="F1303" t="s">
        <v>43</v>
      </c>
      <c r="G1303" t="s">
        <v>43</v>
      </c>
      <c r="H1303" t="s">
        <v>43</v>
      </c>
      <c r="I1303" t="s">
        <v>612</v>
      </c>
      <c r="J1303" t="s">
        <v>43</v>
      </c>
      <c r="K1303" t="s">
        <v>43</v>
      </c>
      <c r="L1303" t="s">
        <v>43</v>
      </c>
      <c r="M1303" t="s">
        <v>43</v>
      </c>
      <c r="N1303" t="s">
        <v>45</v>
      </c>
      <c r="O1303" t="s">
        <v>43</v>
      </c>
      <c r="P1303" t="s">
        <v>43</v>
      </c>
      <c r="Q1303" t="s">
        <v>43</v>
      </c>
      <c r="R1303" t="s">
        <v>43</v>
      </c>
      <c r="S1303" t="s">
        <v>43</v>
      </c>
      <c r="T1303" t="s">
        <v>43</v>
      </c>
      <c r="U1303" t="s">
        <v>43</v>
      </c>
      <c r="V1303" t="s">
        <v>43</v>
      </c>
      <c r="W1303" t="s">
        <v>43</v>
      </c>
      <c r="X1303" t="s">
        <v>43</v>
      </c>
      <c r="Y1303" t="s">
        <v>43</v>
      </c>
      <c r="Z1303" t="s">
        <v>43</v>
      </c>
      <c r="AA1303" t="s">
        <v>43</v>
      </c>
      <c r="AB1303" t="s">
        <v>43</v>
      </c>
      <c r="AC1303" t="s">
        <v>43</v>
      </c>
      <c r="AD1303" t="s">
        <v>43</v>
      </c>
      <c r="AE1303" t="s">
        <v>43</v>
      </c>
      <c r="AF1303" t="s">
        <v>43</v>
      </c>
      <c r="AG1303" t="s">
        <v>43</v>
      </c>
      <c r="AH1303" t="s">
        <v>43</v>
      </c>
      <c r="AI1303" t="s">
        <v>43</v>
      </c>
      <c r="AJ1303" t="s">
        <v>43</v>
      </c>
      <c r="AK1303" t="s">
        <v>43</v>
      </c>
      <c r="AL1303" t="s">
        <v>43</v>
      </c>
      <c r="AM1303" t="s">
        <v>43</v>
      </c>
      <c r="AN1303" t="str">
        <f>HYPERLINK("https://www.google.com/maps?q=11.05587196,79.06409454","Open Location")</f>
        <v>Open Location</v>
      </c>
    </row>
    <row r="1304" spans="1:40" x14ac:dyDescent="0.3">
      <c r="A1304" s="1">
        <v>46210.84884259259</v>
      </c>
      <c r="B1304" t="s">
        <v>40</v>
      </c>
      <c r="C1304" t="s">
        <v>41</v>
      </c>
      <c r="D1304" s="1">
        <v>46210.851898148147</v>
      </c>
      <c r="E1304" t="s">
        <v>42</v>
      </c>
      <c r="F1304" t="s">
        <v>43</v>
      </c>
      <c r="G1304" t="s">
        <v>43</v>
      </c>
      <c r="H1304" t="s">
        <v>43</v>
      </c>
      <c r="I1304" t="s">
        <v>616</v>
      </c>
      <c r="J1304" t="s">
        <v>43</v>
      </c>
      <c r="K1304" t="s">
        <v>43</v>
      </c>
      <c r="L1304" t="s">
        <v>43</v>
      </c>
      <c r="M1304" t="s">
        <v>43</v>
      </c>
      <c r="N1304" t="s">
        <v>45</v>
      </c>
      <c r="O1304" t="s">
        <v>43</v>
      </c>
      <c r="P1304" t="s">
        <v>43</v>
      </c>
      <c r="Q1304" t="s">
        <v>43</v>
      </c>
      <c r="R1304" t="s">
        <v>43</v>
      </c>
      <c r="S1304" t="s">
        <v>43</v>
      </c>
      <c r="T1304" t="s">
        <v>43</v>
      </c>
      <c r="U1304" t="s">
        <v>43</v>
      </c>
      <c r="V1304" t="s">
        <v>43</v>
      </c>
      <c r="W1304" t="s">
        <v>43</v>
      </c>
      <c r="X1304" t="s">
        <v>43</v>
      </c>
      <c r="Y1304" t="s">
        <v>43</v>
      </c>
      <c r="Z1304" t="s">
        <v>43</v>
      </c>
      <c r="AA1304" t="s">
        <v>43</v>
      </c>
      <c r="AB1304" t="s">
        <v>43</v>
      </c>
      <c r="AC1304" t="s">
        <v>43</v>
      </c>
      <c r="AD1304" t="s">
        <v>43</v>
      </c>
      <c r="AE1304" t="s">
        <v>43</v>
      </c>
      <c r="AF1304" t="s">
        <v>43</v>
      </c>
      <c r="AG1304" t="s">
        <v>43</v>
      </c>
      <c r="AH1304" t="s">
        <v>43</v>
      </c>
      <c r="AI1304" t="s">
        <v>43</v>
      </c>
      <c r="AJ1304" t="s">
        <v>43</v>
      </c>
      <c r="AK1304" t="s">
        <v>43</v>
      </c>
      <c r="AL1304" t="s">
        <v>43</v>
      </c>
      <c r="AM1304" t="s">
        <v>43</v>
      </c>
      <c r="AN1304" t="str">
        <f>HYPERLINK("https://www.google.com/maps?q=11.05587292,79.06409454","Open Location")</f>
        <v>Open Location</v>
      </c>
    </row>
    <row r="1305" spans="1:40" x14ac:dyDescent="0.3">
      <c r="A1305" s="1">
        <v>46210.848726851851</v>
      </c>
      <c r="B1305" t="s">
        <v>40</v>
      </c>
      <c r="C1305" t="s">
        <v>41</v>
      </c>
      <c r="D1305" s="1">
        <v>46210.851469907408</v>
      </c>
      <c r="E1305" t="s">
        <v>42</v>
      </c>
      <c r="F1305" t="s">
        <v>43</v>
      </c>
      <c r="G1305" t="s">
        <v>43</v>
      </c>
      <c r="H1305" t="s">
        <v>43</v>
      </c>
      <c r="I1305" t="s">
        <v>617</v>
      </c>
      <c r="J1305" t="s">
        <v>43</v>
      </c>
      <c r="K1305" t="s">
        <v>43</v>
      </c>
      <c r="L1305" t="s">
        <v>43</v>
      </c>
      <c r="M1305" t="s">
        <v>43</v>
      </c>
      <c r="N1305" t="s">
        <v>45</v>
      </c>
      <c r="O1305" t="s">
        <v>43</v>
      </c>
      <c r="P1305" t="s">
        <v>43</v>
      </c>
      <c r="Q1305" t="s">
        <v>43</v>
      </c>
      <c r="R1305" t="s">
        <v>43</v>
      </c>
      <c r="S1305" t="s">
        <v>43</v>
      </c>
      <c r="T1305" t="s">
        <v>43</v>
      </c>
      <c r="U1305" t="s">
        <v>43</v>
      </c>
      <c r="V1305" t="s">
        <v>43</v>
      </c>
      <c r="W1305" t="s">
        <v>43</v>
      </c>
      <c r="X1305" t="s">
        <v>43</v>
      </c>
      <c r="Y1305" t="s">
        <v>43</v>
      </c>
      <c r="Z1305" t="s">
        <v>43</v>
      </c>
      <c r="AA1305" t="s">
        <v>43</v>
      </c>
      <c r="AB1305" t="s">
        <v>43</v>
      </c>
      <c r="AC1305" t="s">
        <v>43</v>
      </c>
      <c r="AD1305" t="s">
        <v>43</v>
      </c>
      <c r="AE1305" t="s">
        <v>43</v>
      </c>
      <c r="AF1305" t="s">
        <v>43</v>
      </c>
      <c r="AG1305" t="s">
        <v>43</v>
      </c>
      <c r="AH1305" t="s">
        <v>43</v>
      </c>
      <c r="AI1305" t="s">
        <v>43</v>
      </c>
      <c r="AJ1305" t="s">
        <v>43</v>
      </c>
      <c r="AK1305" t="s">
        <v>43</v>
      </c>
      <c r="AL1305" t="s">
        <v>43</v>
      </c>
      <c r="AM1305" t="s">
        <v>43</v>
      </c>
      <c r="AN1305" t="str">
        <f>HYPERLINK("https://www.google.com/maps?q=11.05587292,79.06408691","Open Location")</f>
        <v>Open Location</v>
      </c>
    </row>
    <row r="1306" spans="1:40" x14ac:dyDescent="0.3">
      <c r="A1306" s="1">
        <v>46210.848611111112</v>
      </c>
      <c r="B1306" t="s">
        <v>40</v>
      </c>
      <c r="C1306" t="s">
        <v>41</v>
      </c>
      <c r="D1306" s="1">
        <v>46210.8515625</v>
      </c>
      <c r="E1306" t="s">
        <v>42</v>
      </c>
      <c r="F1306" t="s">
        <v>43</v>
      </c>
      <c r="G1306" t="s">
        <v>43</v>
      </c>
      <c r="H1306" t="s">
        <v>43</v>
      </c>
      <c r="I1306" t="s">
        <v>618</v>
      </c>
      <c r="J1306" t="s">
        <v>43</v>
      </c>
      <c r="K1306" t="s">
        <v>43</v>
      </c>
      <c r="L1306" t="s">
        <v>43</v>
      </c>
      <c r="M1306" t="s">
        <v>43</v>
      </c>
      <c r="N1306" t="s">
        <v>45</v>
      </c>
      <c r="O1306" t="s">
        <v>43</v>
      </c>
      <c r="P1306" t="s">
        <v>43</v>
      </c>
      <c r="Q1306" t="s">
        <v>43</v>
      </c>
      <c r="R1306" t="s">
        <v>43</v>
      </c>
      <c r="S1306" t="s">
        <v>43</v>
      </c>
      <c r="T1306" t="s">
        <v>43</v>
      </c>
      <c r="U1306" t="s">
        <v>43</v>
      </c>
      <c r="V1306" t="s">
        <v>43</v>
      </c>
      <c r="W1306" t="s">
        <v>43</v>
      </c>
      <c r="X1306" t="s">
        <v>43</v>
      </c>
      <c r="Y1306" t="s">
        <v>43</v>
      </c>
      <c r="Z1306" t="s">
        <v>43</v>
      </c>
      <c r="AA1306" t="s">
        <v>43</v>
      </c>
      <c r="AB1306" t="s">
        <v>43</v>
      </c>
      <c r="AC1306" t="s">
        <v>43</v>
      </c>
      <c r="AD1306" t="s">
        <v>43</v>
      </c>
      <c r="AE1306" t="s">
        <v>43</v>
      </c>
      <c r="AF1306" t="s">
        <v>43</v>
      </c>
      <c r="AG1306" t="s">
        <v>43</v>
      </c>
      <c r="AH1306" t="s">
        <v>43</v>
      </c>
      <c r="AI1306" t="s">
        <v>43</v>
      </c>
      <c r="AJ1306" t="s">
        <v>43</v>
      </c>
      <c r="AK1306" t="s">
        <v>43</v>
      </c>
      <c r="AL1306" t="s">
        <v>43</v>
      </c>
      <c r="AM1306" t="s">
        <v>43</v>
      </c>
      <c r="AN1306" t="str">
        <f>HYPERLINK("https://www.google.com/maps?q=11.05587101,79.06409454","Open Location")</f>
        <v>Open Location</v>
      </c>
    </row>
    <row r="1307" spans="1:40" x14ac:dyDescent="0.3">
      <c r="A1307" s="1">
        <v>46210.848495370374</v>
      </c>
      <c r="B1307" t="s">
        <v>40</v>
      </c>
      <c r="C1307" t="s">
        <v>41</v>
      </c>
      <c r="D1307" s="1">
        <v>46210.851469907408</v>
      </c>
      <c r="E1307" t="s">
        <v>42</v>
      </c>
      <c r="F1307" t="s">
        <v>43</v>
      </c>
      <c r="G1307" t="s">
        <v>43</v>
      </c>
      <c r="H1307" t="s">
        <v>43</v>
      </c>
      <c r="I1307" t="s">
        <v>613</v>
      </c>
      <c r="J1307" t="s">
        <v>43</v>
      </c>
      <c r="K1307" t="s">
        <v>43</v>
      </c>
      <c r="L1307" t="s">
        <v>43</v>
      </c>
      <c r="M1307" t="s">
        <v>43</v>
      </c>
      <c r="N1307" t="s">
        <v>45</v>
      </c>
      <c r="O1307" t="s">
        <v>43</v>
      </c>
      <c r="P1307" t="s">
        <v>43</v>
      </c>
      <c r="Q1307" t="s">
        <v>43</v>
      </c>
      <c r="R1307" t="s">
        <v>43</v>
      </c>
      <c r="S1307" t="s">
        <v>43</v>
      </c>
      <c r="T1307" t="s">
        <v>43</v>
      </c>
      <c r="U1307" t="s">
        <v>43</v>
      </c>
      <c r="V1307" t="s">
        <v>43</v>
      </c>
      <c r="W1307" t="s">
        <v>43</v>
      </c>
      <c r="X1307" t="s">
        <v>43</v>
      </c>
      <c r="Y1307" t="s">
        <v>43</v>
      </c>
      <c r="Z1307" t="s">
        <v>43</v>
      </c>
      <c r="AA1307" t="s">
        <v>43</v>
      </c>
      <c r="AB1307" t="s">
        <v>43</v>
      </c>
      <c r="AC1307" t="s">
        <v>43</v>
      </c>
      <c r="AD1307" t="s">
        <v>43</v>
      </c>
      <c r="AE1307" t="s">
        <v>43</v>
      </c>
      <c r="AF1307" t="s">
        <v>43</v>
      </c>
      <c r="AG1307" t="s">
        <v>43</v>
      </c>
      <c r="AH1307" t="s">
        <v>43</v>
      </c>
      <c r="AI1307" t="s">
        <v>43</v>
      </c>
      <c r="AJ1307" t="s">
        <v>43</v>
      </c>
      <c r="AK1307" t="s">
        <v>43</v>
      </c>
      <c r="AL1307" t="s">
        <v>43</v>
      </c>
      <c r="AM1307" t="s">
        <v>43</v>
      </c>
      <c r="AN1307" t="str">
        <f>HYPERLINK("https://www.google.com/maps?q=11.05587387,79.06409454","Open Location")</f>
        <v>Open Location</v>
      </c>
    </row>
    <row r="1308" spans="1:40" x14ac:dyDescent="0.3">
      <c r="A1308" s="1">
        <v>46210.848379629628</v>
      </c>
      <c r="B1308" t="s">
        <v>40</v>
      </c>
      <c r="C1308" t="s">
        <v>41</v>
      </c>
      <c r="D1308" s="1">
        <v>46210.851458333331</v>
      </c>
      <c r="E1308" t="s">
        <v>42</v>
      </c>
      <c r="F1308" t="s">
        <v>43</v>
      </c>
      <c r="G1308" t="s">
        <v>43</v>
      </c>
      <c r="H1308" t="s">
        <v>43</v>
      </c>
      <c r="I1308" t="s">
        <v>43</v>
      </c>
      <c r="J1308" t="s">
        <v>43</v>
      </c>
      <c r="K1308" t="s">
        <v>43</v>
      </c>
      <c r="L1308" t="s">
        <v>43</v>
      </c>
      <c r="M1308" t="s">
        <v>43</v>
      </c>
      <c r="N1308" t="s">
        <v>45</v>
      </c>
      <c r="O1308" t="s">
        <v>43</v>
      </c>
      <c r="P1308" t="s">
        <v>43</v>
      </c>
      <c r="Q1308" t="s">
        <v>43</v>
      </c>
      <c r="R1308" t="s">
        <v>43</v>
      </c>
      <c r="S1308" t="s">
        <v>43</v>
      </c>
      <c r="T1308" t="s">
        <v>43</v>
      </c>
      <c r="U1308" t="s">
        <v>43</v>
      </c>
      <c r="V1308" t="s">
        <v>43</v>
      </c>
      <c r="W1308" t="s">
        <v>43</v>
      </c>
      <c r="X1308" t="s">
        <v>43</v>
      </c>
      <c r="Y1308" t="s">
        <v>43</v>
      </c>
      <c r="Z1308" t="s">
        <v>43</v>
      </c>
      <c r="AA1308" t="s">
        <v>43</v>
      </c>
      <c r="AB1308" t="s">
        <v>43</v>
      </c>
      <c r="AC1308" t="s">
        <v>43</v>
      </c>
      <c r="AD1308" t="s">
        <v>43</v>
      </c>
      <c r="AE1308" t="s">
        <v>43</v>
      </c>
      <c r="AF1308" t="s">
        <v>43</v>
      </c>
      <c r="AG1308" t="s">
        <v>43</v>
      </c>
      <c r="AH1308" t="s">
        <v>43</v>
      </c>
      <c r="AI1308" t="s">
        <v>43</v>
      </c>
      <c r="AJ1308" t="s">
        <v>43</v>
      </c>
      <c r="AK1308" t="s">
        <v>43</v>
      </c>
      <c r="AL1308" t="s">
        <v>43</v>
      </c>
      <c r="AM1308" t="s">
        <v>43</v>
      </c>
      <c r="AN1308" t="s">
        <v>43</v>
      </c>
    </row>
    <row r="1309" spans="1:40" x14ac:dyDescent="0.3">
      <c r="A1309" s="1">
        <v>46210.848263888889</v>
      </c>
      <c r="B1309" t="s">
        <v>40</v>
      </c>
      <c r="C1309" t="s">
        <v>41</v>
      </c>
      <c r="D1309" s="1">
        <v>46210.851006944446</v>
      </c>
      <c r="E1309" t="s">
        <v>42</v>
      </c>
      <c r="F1309" t="s">
        <v>43</v>
      </c>
      <c r="G1309" t="s">
        <v>43</v>
      </c>
      <c r="H1309" t="s">
        <v>43</v>
      </c>
      <c r="I1309" t="s">
        <v>619</v>
      </c>
      <c r="J1309" t="s">
        <v>43</v>
      </c>
      <c r="K1309" t="s">
        <v>43</v>
      </c>
      <c r="L1309" t="s">
        <v>43</v>
      </c>
      <c r="M1309" t="s">
        <v>43</v>
      </c>
      <c r="N1309" t="s">
        <v>45</v>
      </c>
      <c r="O1309" t="s">
        <v>43</v>
      </c>
      <c r="P1309" t="s">
        <v>43</v>
      </c>
      <c r="Q1309" t="s">
        <v>43</v>
      </c>
      <c r="R1309" t="s">
        <v>43</v>
      </c>
      <c r="S1309" t="s">
        <v>43</v>
      </c>
      <c r="T1309" t="s">
        <v>43</v>
      </c>
      <c r="U1309" t="s">
        <v>43</v>
      </c>
      <c r="V1309" t="s">
        <v>43</v>
      </c>
      <c r="W1309" t="s">
        <v>43</v>
      </c>
      <c r="X1309" t="s">
        <v>43</v>
      </c>
      <c r="Y1309" t="s">
        <v>43</v>
      </c>
      <c r="Z1309" t="s">
        <v>43</v>
      </c>
      <c r="AA1309" t="s">
        <v>43</v>
      </c>
      <c r="AB1309" t="s">
        <v>43</v>
      </c>
      <c r="AC1309" t="s">
        <v>43</v>
      </c>
      <c r="AD1309" t="s">
        <v>43</v>
      </c>
      <c r="AE1309" t="s">
        <v>43</v>
      </c>
      <c r="AF1309" t="s">
        <v>43</v>
      </c>
      <c r="AG1309" t="s">
        <v>43</v>
      </c>
      <c r="AH1309" t="s">
        <v>43</v>
      </c>
      <c r="AI1309" t="s">
        <v>43</v>
      </c>
      <c r="AJ1309" t="s">
        <v>43</v>
      </c>
      <c r="AK1309" t="s">
        <v>43</v>
      </c>
      <c r="AL1309" t="s">
        <v>43</v>
      </c>
      <c r="AM1309" t="s">
        <v>43</v>
      </c>
      <c r="AN1309" t="str">
        <f>HYPERLINK("https://www.google.com/maps?q=11.05587101,79.0641098","Open Location")</f>
        <v>Open Location</v>
      </c>
    </row>
    <row r="1310" spans="1:40" x14ac:dyDescent="0.3">
      <c r="A1310" s="1">
        <v>46210.84814814815</v>
      </c>
      <c r="B1310" t="s">
        <v>40</v>
      </c>
      <c r="C1310" t="s">
        <v>41</v>
      </c>
      <c r="D1310" s="1">
        <v>46210.851041666669</v>
      </c>
      <c r="E1310" t="s">
        <v>42</v>
      </c>
      <c r="F1310" t="s">
        <v>43</v>
      </c>
      <c r="G1310" t="s">
        <v>43</v>
      </c>
      <c r="H1310" t="s">
        <v>43</v>
      </c>
      <c r="I1310" t="s">
        <v>620</v>
      </c>
      <c r="J1310" t="s">
        <v>43</v>
      </c>
      <c r="K1310" t="s">
        <v>43</v>
      </c>
      <c r="L1310" t="s">
        <v>43</v>
      </c>
      <c r="M1310" t="s">
        <v>43</v>
      </c>
      <c r="N1310" t="s">
        <v>45</v>
      </c>
      <c r="O1310" t="s">
        <v>43</v>
      </c>
      <c r="P1310" t="s">
        <v>43</v>
      </c>
      <c r="Q1310" t="s">
        <v>43</v>
      </c>
      <c r="R1310" t="s">
        <v>43</v>
      </c>
      <c r="S1310" t="s">
        <v>43</v>
      </c>
      <c r="T1310" t="s">
        <v>43</v>
      </c>
      <c r="U1310" t="s">
        <v>43</v>
      </c>
      <c r="V1310" t="s">
        <v>43</v>
      </c>
      <c r="W1310" t="s">
        <v>43</v>
      </c>
      <c r="X1310" t="s">
        <v>43</v>
      </c>
      <c r="Y1310" t="s">
        <v>43</v>
      </c>
      <c r="Z1310" t="s">
        <v>43</v>
      </c>
      <c r="AA1310" t="s">
        <v>43</v>
      </c>
      <c r="AB1310" t="s">
        <v>43</v>
      </c>
      <c r="AC1310" t="s">
        <v>43</v>
      </c>
      <c r="AD1310" t="s">
        <v>43</v>
      </c>
      <c r="AE1310" t="s">
        <v>43</v>
      </c>
      <c r="AF1310" t="s">
        <v>43</v>
      </c>
      <c r="AG1310" t="s">
        <v>43</v>
      </c>
      <c r="AH1310" t="s">
        <v>43</v>
      </c>
      <c r="AI1310" t="s">
        <v>43</v>
      </c>
      <c r="AJ1310" t="s">
        <v>43</v>
      </c>
      <c r="AK1310" t="s">
        <v>43</v>
      </c>
      <c r="AL1310" t="s">
        <v>43</v>
      </c>
      <c r="AM1310" t="s">
        <v>43</v>
      </c>
      <c r="AN1310" t="str">
        <f>HYPERLINK("https://www.google.com/maps?q=11.0558691,79.06411743","Open Location")</f>
        <v>Open Location</v>
      </c>
    </row>
    <row r="1311" spans="1:40" x14ac:dyDescent="0.3">
      <c r="A1311" s="1">
        <v>46210.848032407404</v>
      </c>
      <c r="B1311" t="s">
        <v>40</v>
      </c>
      <c r="C1311" t="s">
        <v>41</v>
      </c>
      <c r="D1311" s="1">
        <v>46210.850983796299</v>
      </c>
      <c r="E1311" t="s">
        <v>42</v>
      </c>
      <c r="F1311" t="s">
        <v>43</v>
      </c>
      <c r="G1311" t="s">
        <v>43</v>
      </c>
      <c r="H1311" t="s">
        <v>43</v>
      </c>
      <c r="I1311" t="s">
        <v>621</v>
      </c>
      <c r="J1311" t="s">
        <v>43</v>
      </c>
      <c r="K1311" t="s">
        <v>43</v>
      </c>
      <c r="L1311" t="s">
        <v>43</v>
      </c>
      <c r="M1311" t="s">
        <v>43</v>
      </c>
      <c r="N1311" t="s">
        <v>45</v>
      </c>
      <c r="O1311" t="s">
        <v>43</v>
      </c>
      <c r="P1311" t="s">
        <v>43</v>
      </c>
      <c r="Q1311" t="s">
        <v>43</v>
      </c>
      <c r="R1311" t="s">
        <v>43</v>
      </c>
      <c r="S1311" t="s">
        <v>43</v>
      </c>
      <c r="T1311" t="s">
        <v>43</v>
      </c>
      <c r="U1311" t="s">
        <v>43</v>
      </c>
      <c r="V1311" t="s">
        <v>43</v>
      </c>
      <c r="W1311" t="s">
        <v>43</v>
      </c>
      <c r="X1311" t="s">
        <v>43</v>
      </c>
      <c r="Y1311" t="s">
        <v>43</v>
      </c>
      <c r="Z1311" t="s">
        <v>43</v>
      </c>
      <c r="AA1311" t="s">
        <v>43</v>
      </c>
      <c r="AB1311" t="s">
        <v>43</v>
      </c>
      <c r="AC1311" t="s">
        <v>43</v>
      </c>
      <c r="AD1311" t="s">
        <v>43</v>
      </c>
      <c r="AE1311" t="s">
        <v>43</v>
      </c>
      <c r="AF1311" t="s">
        <v>43</v>
      </c>
      <c r="AG1311" t="s">
        <v>43</v>
      </c>
      <c r="AH1311" t="s">
        <v>43</v>
      </c>
      <c r="AI1311" t="s">
        <v>43</v>
      </c>
      <c r="AJ1311" t="s">
        <v>43</v>
      </c>
      <c r="AK1311" t="s">
        <v>43</v>
      </c>
      <c r="AL1311" t="s">
        <v>43</v>
      </c>
      <c r="AM1311" t="s">
        <v>43</v>
      </c>
      <c r="AN1311" t="str">
        <f>HYPERLINK("https://www.google.com/maps?q=11.05587101,79.06411743","Open Location")</f>
        <v>Open Location</v>
      </c>
    </row>
    <row r="1312" spans="1:40" x14ac:dyDescent="0.3">
      <c r="A1312" s="1">
        <v>46210.847916666666</v>
      </c>
      <c r="B1312" t="s">
        <v>40</v>
      </c>
      <c r="C1312" t="s">
        <v>41</v>
      </c>
      <c r="D1312" s="1">
        <v>46210.851006944446</v>
      </c>
      <c r="E1312" t="s">
        <v>42</v>
      </c>
      <c r="F1312" t="s">
        <v>43</v>
      </c>
      <c r="G1312" t="s">
        <v>43</v>
      </c>
      <c r="H1312" t="s">
        <v>43</v>
      </c>
      <c r="I1312" t="s">
        <v>622</v>
      </c>
      <c r="J1312" t="s">
        <v>43</v>
      </c>
      <c r="K1312" t="s">
        <v>43</v>
      </c>
      <c r="L1312" t="s">
        <v>43</v>
      </c>
      <c r="M1312" t="s">
        <v>43</v>
      </c>
      <c r="N1312" t="s">
        <v>45</v>
      </c>
      <c r="O1312" t="s">
        <v>43</v>
      </c>
      <c r="P1312" t="s">
        <v>43</v>
      </c>
      <c r="Q1312" t="s">
        <v>43</v>
      </c>
      <c r="R1312" t="s">
        <v>43</v>
      </c>
      <c r="S1312" t="s">
        <v>43</v>
      </c>
      <c r="T1312" t="s">
        <v>43</v>
      </c>
      <c r="U1312" t="s">
        <v>43</v>
      </c>
      <c r="V1312" t="s">
        <v>43</v>
      </c>
      <c r="W1312" t="s">
        <v>43</v>
      </c>
      <c r="X1312" t="s">
        <v>43</v>
      </c>
      <c r="Y1312" t="s">
        <v>43</v>
      </c>
      <c r="Z1312" t="s">
        <v>43</v>
      </c>
      <c r="AA1312" t="s">
        <v>43</v>
      </c>
      <c r="AB1312" t="s">
        <v>43</v>
      </c>
      <c r="AC1312" t="s">
        <v>43</v>
      </c>
      <c r="AD1312" t="s">
        <v>43</v>
      </c>
      <c r="AE1312" t="s">
        <v>43</v>
      </c>
      <c r="AF1312" t="s">
        <v>43</v>
      </c>
      <c r="AG1312" t="s">
        <v>43</v>
      </c>
      <c r="AH1312" t="s">
        <v>43</v>
      </c>
      <c r="AI1312" t="s">
        <v>43</v>
      </c>
      <c r="AJ1312" t="s">
        <v>43</v>
      </c>
      <c r="AK1312" t="s">
        <v>43</v>
      </c>
      <c r="AL1312" t="s">
        <v>43</v>
      </c>
      <c r="AM1312" t="s">
        <v>43</v>
      </c>
      <c r="AN1312" t="str">
        <f>HYPERLINK("https://www.google.com/maps?q=11.05587387,79.06411743","Open Location")</f>
        <v>Open Location</v>
      </c>
    </row>
    <row r="1313" spans="1:40" x14ac:dyDescent="0.3">
      <c r="A1313" s="1">
        <v>46210.847800925927</v>
      </c>
      <c r="B1313" t="s">
        <v>40</v>
      </c>
      <c r="C1313" t="s">
        <v>41</v>
      </c>
      <c r="D1313" s="1">
        <v>46210.850671296299</v>
      </c>
      <c r="E1313" t="s">
        <v>42</v>
      </c>
      <c r="F1313" t="s">
        <v>43</v>
      </c>
      <c r="G1313" t="s">
        <v>43</v>
      </c>
      <c r="H1313" t="s">
        <v>43</v>
      </c>
      <c r="I1313" t="s">
        <v>622</v>
      </c>
      <c r="J1313" t="s">
        <v>43</v>
      </c>
      <c r="K1313" t="s">
        <v>43</v>
      </c>
      <c r="L1313" t="s">
        <v>43</v>
      </c>
      <c r="M1313" t="s">
        <v>43</v>
      </c>
      <c r="N1313" t="s">
        <v>45</v>
      </c>
      <c r="O1313" t="s">
        <v>43</v>
      </c>
      <c r="P1313" t="s">
        <v>43</v>
      </c>
      <c r="Q1313" t="s">
        <v>43</v>
      </c>
      <c r="R1313" t="s">
        <v>43</v>
      </c>
      <c r="S1313" t="s">
        <v>43</v>
      </c>
      <c r="T1313" t="s">
        <v>43</v>
      </c>
      <c r="U1313" t="s">
        <v>43</v>
      </c>
      <c r="V1313" t="s">
        <v>43</v>
      </c>
      <c r="W1313" t="s">
        <v>43</v>
      </c>
      <c r="X1313" t="s">
        <v>43</v>
      </c>
      <c r="Y1313" t="s">
        <v>43</v>
      </c>
      <c r="Z1313" t="s">
        <v>43</v>
      </c>
      <c r="AA1313" t="s">
        <v>43</v>
      </c>
      <c r="AB1313" t="s">
        <v>43</v>
      </c>
      <c r="AC1313" t="s">
        <v>43</v>
      </c>
      <c r="AD1313" t="s">
        <v>43</v>
      </c>
      <c r="AE1313" t="s">
        <v>43</v>
      </c>
      <c r="AF1313" t="s">
        <v>43</v>
      </c>
      <c r="AG1313" t="s">
        <v>43</v>
      </c>
      <c r="AH1313" t="s">
        <v>43</v>
      </c>
      <c r="AI1313" t="s">
        <v>43</v>
      </c>
      <c r="AJ1313" t="s">
        <v>43</v>
      </c>
      <c r="AK1313" t="s">
        <v>43</v>
      </c>
      <c r="AL1313" t="s">
        <v>43</v>
      </c>
      <c r="AM1313" t="s">
        <v>43</v>
      </c>
      <c r="AN1313" t="str">
        <f>HYPERLINK("https://www.google.com/maps?q=11.05587387,79.06411743","Open Location")</f>
        <v>Open Location</v>
      </c>
    </row>
    <row r="1314" spans="1:40" x14ac:dyDescent="0.3">
      <c r="A1314" s="1">
        <v>46210.847685185188</v>
      </c>
      <c r="B1314" t="s">
        <v>40</v>
      </c>
      <c r="C1314" t="s">
        <v>41</v>
      </c>
      <c r="D1314" s="1">
        <v>46210.850486111114</v>
      </c>
      <c r="E1314" t="s">
        <v>42</v>
      </c>
      <c r="F1314" t="s">
        <v>43</v>
      </c>
      <c r="G1314" t="s">
        <v>43</v>
      </c>
      <c r="H1314" t="s">
        <v>43</v>
      </c>
      <c r="I1314" t="s">
        <v>43</v>
      </c>
      <c r="J1314" t="s">
        <v>43</v>
      </c>
      <c r="K1314" t="s">
        <v>43</v>
      </c>
      <c r="L1314" t="s">
        <v>43</v>
      </c>
      <c r="M1314" t="s">
        <v>43</v>
      </c>
      <c r="N1314" t="s">
        <v>45</v>
      </c>
      <c r="O1314" t="s">
        <v>43</v>
      </c>
      <c r="P1314" t="s">
        <v>43</v>
      </c>
      <c r="Q1314" t="s">
        <v>43</v>
      </c>
      <c r="R1314" t="s">
        <v>43</v>
      </c>
      <c r="S1314" t="s">
        <v>43</v>
      </c>
      <c r="T1314" t="s">
        <v>43</v>
      </c>
      <c r="U1314" t="s">
        <v>43</v>
      </c>
      <c r="V1314" t="s">
        <v>43</v>
      </c>
      <c r="W1314" t="s">
        <v>43</v>
      </c>
      <c r="X1314" t="s">
        <v>43</v>
      </c>
      <c r="Y1314" t="s">
        <v>43</v>
      </c>
      <c r="Z1314" t="s">
        <v>43</v>
      </c>
      <c r="AA1314" t="s">
        <v>43</v>
      </c>
      <c r="AB1314" t="s">
        <v>43</v>
      </c>
      <c r="AC1314" t="s">
        <v>43</v>
      </c>
      <c r="AD1314" t="s">
        <v>43</v>
      </c>
      <c r="AE1314" t="s">
        <v>43</v>
      </c>
      <c r="AF1314" t="s">
        <v>43</v>
      </c>
      <c r="AG1314" t="s">
        <v>43</v>
      </c>
      <c r="AH1314" t="s">
        <v>43</v>
      </c>
      <c r="AI1314" t="s">
        <v>43</v>
      </c>
      <c r="AJ1314" t="s">
        <v>43</v>
      </c>
      <c r="AK1314" t="s">
        <v>43</v>
      </c>
      <c r="AL1314" t="s">
        <v>43</v>
      </c>
      <c r="AM1314" t="s">
        <v>43</v>
      </c>
      <c r="AN1314" t="s">
        <v>43</v>
      </c>
    </row>
    <row r="1315" spans="1:40" x14ac:dyDescent="0.3">
      <c r="A1315" s="1">
        <v>46210.847569444442</v>
      </c>
      <c r="B1315" t="s">
        <v>40</v>
      </c>
      <c r="C1315" t="s">
        <v>41</v>
      </c>
      <c r="D1315" s="1">
        <v>46210.850624999999</v>
      </c>
      <c r="E1315" t="s">
        <v>42</v>
      </c>
      <c r="F1315" t="s">
        <v>43</v>
      </c>
      <c r="G1315" t="s">
        <v>43</v>
      </c>
      <c r="H1315" t="s">
        <v>43</v>
      </c>
      <c r="I1315" t="s">
        <v>623</v>
      </c>
      <c r="J1315" t="s">
        <v>43</v>
      </c>
      <c r="K1315" t="s">
        <v>43</v>
      </c>
      <c r="L1315" t="s">
        <v>43</v>
      </c>
      <c r="M1315" t="s">
        <v>43</v>
      </c>
      <c r="N1315" t="s">
        <v>45</v>
      </c>
      <c r="O1315" t="s">
        <v>43</v>
      </c>
      <c r="P1315" t="s">
        <v>43</v>
      </c>
      <c r="Q1315" t="s">
        <v>43</v>
      </c>
      <c r="R1315" t="s">
        <v>43</v>
      </c>
      <c r="S1315" t="s">
        <v>43</v>
      </c>
      <c r="T1315" t="s">
        <v>43</v>
      </c>
      <c r="U1315" t="s">
        <v>43</v>
      </c>
      <c r="V1315" t="s">
        <v>43</v>
      </c>
      <c r="W1315" t="s">
        <v>43</v>
      </c>
      <c r="X1315" t="s">
        <v>43</v>
      </c>
      <c r="Y1315" t="s">
        <v>43</v>
      </c>
      <c r="Z1315" t="s">
        <v>43</v>
      </c>
      <c r="AA1315" t="s">
        <v>43</v>
      </c>
      <c r="AB1315" t="s">
        <v>43</v>
      </c>
      <c r="AC1315" t="s">
        <v>43</v>
      </c>
      <c r="AD1315" t="s">
        <v>43</v>
      </c>
      <c r="AE1315" t="s">
        <v>43</v>
      </c>
      <c r="AF1315" t="s">
        <v>43</v>
      </c>
      <c r="AG1315" t="s">
        <v>43</v>
      </c>
      <c r="AH1315" t="s">
        <v>43</v>
      </c>
      <c r="AI1315" t="s">
        <v>43</v>
      </c>
      <c r="AJ1315" t="s">
        <v>43</v>
      </c>
      <c r="AK1315" t="s">
        <v>43</v>
      </c>
      <c r="AL1315" t="s">
        <v>43</v>
      </c>
      <c r="AM1315" t="s">
        <v>43</v>
      </c>
      <c r="AN1315" t="str">
        <f>HYPERLINK("https://www.google.com/maps?q=11.05587959,79.06412506","Open Location")</f>
        <v>Open Location</v>
      </c>
    </row>
    <row r="1316" spans="1:40" x14ac:dyDescent="0.3">
      <c r="A1316" s="1">
        <v>46210.847453703704</v>
      </c>
      <c r="B1316" t="s">
        <v>40</v>
      </c>
      <c r="C1316" t="s">
        <v>41</v>
      </c>
      <c r="D1316" s="1">
        <v>46210.850358796299</v>
      </c>
      <c r="E1316" t="s">
        <v>42</v>
      </c>
      <c r="F1316" t="s">
        <v>43</v>
      </c>
      <c r="G1316" t="s">
        <v>43</v>
      </c>
      <c r="H1316" t="s">
        <v>43</v>
      </c>
      <c r="I1316" t="s">
        <v>624</v>
      </c>
      <c r="J1316" t="s">
        <v>43</v>
      </c>
      <c r="K1316" t="s">
        <v>43</v>
      </c>
      <c r="L1316" t="s">
        <v>43</v>
      </c>
      <c r="M1316" t="s">
        <v>43</v>
      </c>
      <c r="N1316" t="s">
        <v>45</v>
      </c>
      <c r="O1316" t="s">
        <v>43</v>
      </c>
      <c r="P1316" t="s">
        <v>43</v>
      </c>
      <c r="Q1316" t="s">
        <v>43</v>
      </c>
      <c r="R1316" t="s">
        <v>43</v>
      </c>
      <c r="S1316" t="s">
        <v>43</v>
      </c>
      <c r="T1316" t="s">
        <v>43</v>
      </c>
      <c r="U1316" t="s">
        <v>43</v>
      </c>
      <c r="V1316" t="s">
        <v>43</v>
      </c>
      <c r="W1316" t="s">
        <v>43</v>
      </c>
      <c r="X1316" t="s">
        <v>43</v>
      </c>
      <c r="Y1316" t="s">
        <v>43</v>
      </c>
      <c r="Z1316" t="s">
        <v>43</v>
      </c>
      <c r="AA1316" t="s">
        <v>43</v>
      </c>
      <c r="AB1316" t="s">
        <v>43</v>
      </c>
      <c r="AC1316" t="s">
        <v>43</v>
      </c>
      <c r="AD1316" t="s">
        <v>43</v>
      </c>
      <c r="AE1316" t="s">
        <v>43</v>
      </c>
      <c r="AF1316" t="s">
        <v>43</v>
      </c>
      <c r="AG1316" t="s">
        <v>43</v>
      </c>
      <c r="AH1316" t="s">
        <v>43</v>
      </c>
      <c r="AI1316" t="s">
        <v>43</v>
      </c>
      <c r="AJ1316" t="s">
        <v>43</v>
      </c>
      <c r="AK1316" t="s">
        <v>43</v>
      </c>
      <c r="AL1316" t="s">
        <v>43</v>
      </c>
      <c r="AM1316" t="s">
        <v>43</v>
      </c>
      <c r="AN1316" t="str">
        <f>HYPERLINK("https://www.google.com/maps?q=11.05588531,79.06412506","Open Location")</f>
        <v>Open Location</v>
      </c>
    </row>
    <row r="1317" spans="1:40" x14ac:dyDescent="0.3">
      <c r="A1317" s="1">
        <v>46210.847337962965</v>
      </c>
      <c r="B1317" t="s">
        <v>40</v>
      </c>
      <c r="C1317" t="s">
        <v>41</v>
      </c>
      <c r="D1317" s="1">
        <v>46210.850162037037</v>
      </c>
      <c r="E1317" t="s">
        <v>42</v>
      </c>
      <c r="F1317" t="s">
        <v>43</v>
      </c>
      <c r="G1317" t="s">
        <v>43</v>
      </c>
      <c r="H1317" t="s">
        <v>43</v>
      </c>
      <c r="I1317" t="s">
        <v>625</v>
      </c>
      <c r="J1317" t="s">
        <v>43</v>
      </c>
      <c r="K1317" t="s">
        <v>43</v>
      </c>
      <c r="L1317" t="s">
        <v>43</v>
      </c>
      <c r="M1317" t="s">
        <v>43</v>
      </c>
      <c r="N1317" t="s">
        <v>45</v>
      </c>
      <c r="O1317" t="s">
        <v>43</v>
      </c>
      <c r="P1317" t="s">
        <v>43</v>
      </c>
      <c r="Q1317" t="s">
        <v>43</v>
      </c>
      <c r="R1317" t="s">
        <v>43</v>
      </c>
      <c r="S1317" t="s">
        <v>43</v>
      </c>
      <c r="T1317" t="s">
        <v>43</v>
      </c>
      <c r="U1317" t="s">
        <v>43</v>
      </c>
      <c r="V1317" t="s">
        <v>43</v>
      </c>
      <c r="W1317" t="s">
        <v>43</v>
      </c>
      <c r="X1317" t="s">
        <v>43</v>
      </c>
      <c r="Y1317" t="s">
        <v>43</v>
      </c>
      <c r="Z1317" t="s">
        <v>43</v>
      </c>
      <c r="AA1317" t="s">
        <v>43</v>
      </c>
      <c r="AB1317" t="s">
        <v>43</v>
      </c>
      <c r="AC1317" t="s">
        <v>43</v>
      </c>
      <c r="AD1317" t="s">
        <v>43</v>
      </c>
      <c r="AE1317" t="s">
        <v>43</v>
      </c>
      <c r="AF1317" t="s">
        <v>43</v>
      </c>
      <c r="AG1317" t="s">
        <v>43</v>
      </c>
      <c r="AH1317" t="s">
        <v>43</v>
      </c>
      <c r="AI1317" t="s">
        <v>43</v>
      </c>
      <c r="AJ1317" t="s">
        <v>43</v>
      </c>
      <c r="AK1317" t="s">
        <v>43</v>
      </c>
      <c r="AL1317" t="s">
        <v>43</v>
      </c>
      <c r="AM1317" t="s">
        <v>43</v>
      </c>
      <c r="AN1317" t="str">
        <f>HYPERLINK("https://www.google.com/maps?q=11.05588245,79.06413269","Open Location")</f>
        <v>Open Location</v>
      </c>
    </row>
    <row r="1318" spans="1:40" x14ac:dyDescent="0.3">
      <c r="A1318" s="1">
        <v>46210.847222222219</v>
      </c>
      <c r="B1318" t="s">
        <v>40</v>
      </c>
      <c r="C1318" t="s">
        <v>41</v>
      </c>
      <c r="D1318" s="1">
        <v>46210.850115740737</v>
      </c>
      <c r="E1318" t="s">
        <v>42</v>
      </c>
      <c r="F1318" t="s">
        <v>43</v>
      </c>
      <c r="G1318" t="s">
        <v>43</v>
      </c>
      <c r="H1318" t="s">
        <v>43</v>
      </c>
      <c r="I1318" t="s">
        <v>626</v>
      </c>
      <c r="J1318" t="s">
        <v>43</v>
      </c>
      <c r="K1318" t="s">
        <v>43</v>
      </c>
      <c r="L1318" t="s">
        <v>43</v>
      </c>
      <c r="M1318" t="s">
        <v>43</v>
      </c>
      <c r="N1318" t="s">
        <v>45</v>
      </c>
      <c r="O1318" t="s">
        <v>43</v>
      </c>
      <c r="P1318" t="s">
        <v>43</v>
      </c>
      <c r="Q1318" t="s">
        <v>43</v>
      </c>
      <c r="R1318" t="s">
        <v>43</v>
      </c>
      <c r="S1318" t="s">
        <v>43</v>
      </c>
      <c r="T1318" t="s">
        <v>43</v>
      </c>
      <c r="U1318" t="s">
        <v>43</v>
      </c>
      <c r="V1318" t="s">
        <v>43</v>
      </c>
      <c r="W1318" t="s">
        <v>43</v>
      </c>
      <c r="X1318" t="s">
        <v>43</v>
      </c>
      <c r="Y1318" t="s">
        <v>43</v>
      </c>
      <c r="Z1318" t="s">
        <v>43</v>
      </c>
      <c r="AA1318" t="s">
        <v>43</v>
      </c>
      <c r="AB1318" t="s">
        <v>43</v>
      </c>
      <c r="AC1318" t="s">
        <v>43</v>
      </c>
      <c r="AD1318" t="s">
        <v>43</v>
      </c>
      <c r="AE1318" t="s">
        <v>43</v>
      </c>
      <c r="AF1318" t="s">
        <v>43</v>
      </c>
      <c r="AG1318" t="s">
        <v>43</v>
      </c>
      <c r="AH1318" t="s">
        <v>43</v>
      </c>
      <c r="AI1318" t="s">
        <v>43</v>
      </c>
      <c r="AJ1318" t="s">
        <v>43</v>
      </c>
      <c r="AK1318" t="s">
        <v>43</v>
      </c>
      <c r="AL1318" t="s">
        <v>43</v>
      </c>
      <c r="AM1318" t="s">
        <v>43</v>
      </c>
      <c r="AN1318" t="str">
        <f>HYPERLINK("https://www.google.com/maps?q=11.05588436,79.06413269","Open Location")</f>
        <v>Open Location</v>
      </c>
    </row>
    <row r="1319" spans="1:40" x14ac:dyDescent="0.3">
      <c r="A1319" s="1">
        <v>46210.84710648148</v>
      </c>
      <c r="B1319" t="s">
        <v>40</v>
      </c>
      <c r="C1319" t="s">
        <v>41</v>
      </c>
      <c r="D1319" s="1">
        <v>46210.849918981483</v>
      </c>
      <c r="E1319" t="s">
        <v>42</v>
      </c>
      <c r="F1319" t="s">
        <v>43</v>
      </c>
      <c r="G1319" t="s">
        <v>43</v>
      </c>
      <c r="H1319" t="s">
        <v>43</v>
      </c>
      <c r="I1319" t="s">
        <v>43</v>
      </c>
      <c r="J1319" t="s">
        <v>43</v>
      </c>
      <c r="K1319" t="s">
        <v>43</v>
      </c>
      <c r="L1319" t="s">
        <v>43</v>
      </c>
      <c r="M1319" t="s">
        <v>43</v>
      </c>
      <c r="N1319" t="s">
        <v>45</v>
      </c>
      <c r="O1319" t="s">
        <v>43</v>
      </c>
      <c r="P1319" t="s">
        <v>43</v>
      </c>
      <c r="Q1319" t="s">
        <v>43</v>
      </c>
      <c r="R1319" t="s">
        <v>43</v>
      </c>
      <c r="S1319" t="s">
        <v>43</v>
      </c>
      <c r="T1319" t="s">
        <v>43</v>
      </c>
      <c r="U1319" t="s">
        <v>43</v>
      </c>
      <c r="V1319" t="s">
        <v>43</v>
      </c>
      <c r="W1319" t="s">
        <v>43</v>
      </c>
      <c r="X1319" t="s">
        <v>43</v>
      </c>
      <c r="Y1319" t="s">
        <v>43</v>
      </c>
      <c r="Z1319" t="s">
        <v>43</v>
      </c>
      <c r="AA1319" t="s">
        <v>43</v>
      </c>
      <c r="AB1319" t="s">
        <v>43</v>
      </c>
      <c r="AC1319" t="s">
        <v>43</v>
      </c>
      <c r="AD1319" t="s">
        <v>43</v>
      </c>
      <c r="AE1319" t="s">
        <v>43</v>
      </c>
      <c r="AF1319" t="s">
        <v>43</v>
      </c>
      <c r="AG1319" t="s">
        <v>43</v>
      </c>
      <c r="AH1319" t="s">
        <v>43</v>
      </c>
      <c r="AI1319" t="s">
        <v>43</v>
      </c>
      <c r="AJ1319" t="s">
        <v>43</v>
      </c>
      <c r="AK1319" t="s">
        <v>43</v>
      </c>
      <c r="AL1319" t="s">
        <v>43</v>
      </c>
      <c r="AM1319" t="s">
        <v>43</v>
      </c>
      <c r="AN1319" t="s">
        <v>43</v>
      </c>
    </row>
    <row r="1320" spans="1:40" x14ac:dyDescent="0.3">
      <c r="A1320" s="1">
        <v>46210.846990740742</v>
      </c>
      <c r="B1320" t="s">
        <v>40</v>
      </c>
      <c r="C1320" t="s">
        <v>41</v>
      </c>
      <c r="D1320" s="1">
        <v>46210.85</v>
      </c>
      <c r="E1320" t="s">
        <v>42</v>
      </c>
      <c r="F1320" t="s">
        <v>43</v>
      </c>
      <c r="G1320" t="s">
        <v>43</v>
      </c>
      <c r="H1320" t="s">
        <v>43</v>
      </c>
      <c r="I1320" t="s">
        <v>627</v>
      </c>
      <c r="J1320" t="s">
        <v>43</v>
      </c>
      <c r="K1320" t="s">
        <v>43</v>
      </c>
      <c r="L1320" t="s">
        <v>43</v>
      </c>
      <c r="M1320" t="s">
        <v>43</v>
      </c>
      <c r="N1320" t="s">
        <v>45</v>
      </c>
      <c r="O1320" t="s">
        <v>43</v>
      </c>
      <c r="P1320" t="s">
        <v>43</v>
      </c>
      <c r="Q1320" t="s">
        <v>43</v>
      </c>
      <c r="R1320" t="s">
        <v>43</v>
      </c>
      <c r="S1320" t="s">
        <v>43</v>
      </c>
      <c r="T1320" t="s">
        <v>43</v>
      </c>
      <c r="U1320" t="s">
        <v>43</v>
      </c>
      <c r="V1320" t="s">
        <v>43</v>
      </c>
      <c r="W1320" t="s">
        <v>43</v>
      </c>
      <c r="X1320" t="s">
        <v>43</v>
      </c>
      <c r="Y1320" t="s">
        <v>43</v>
      </c>
      <c r="Z1320" t="s">
        <v>43</v>
      </c>
      <c r="AA1320" t="s">
        <v>43</v>
      </c>
      <c r="AB1320" t="s">
        <v>43</v>
      </c>
      <c r="AC1320" t="s">
        <v>43</v>
      </c>
      <c r="AD1320" t="s">
        <v>43</v>
      </c>
      <c r="AE1320" t="s">
        <v>43</v>
      </c>
      <c r="AF1320" t="s">
        <v>43</v>
      </c>
      <c r="AG1320" t="s">
        <v>43</v>
      </c>
      <c r="AH1320" t="s">
        <v>43</v>
      </c>
      <c r="AI1320" t="s">
        <v>43</v>
      </c>
      <c r="AJ1320" t="s">
        <v>43</v>
      </c>
      <c r="AK1320" t="s">
        <v>43</v>
      </c>
      <c r="AL1320" t="s">
        <v>43</v>
      </c>
      <c r="AM1320" t="s">
        <v>43</v>
      </c>
      <c r="AN1320" t="str">
        <f>HYPERLINK("https://www.google.com/maps?q=11.05588341,79.06414032","Open Location")</f>
        <v>Open Location</v>
      </c>
    </row>
    <row r="1321" spans="1:40" x14ac:dyDescent="0.3">
      <c r="A1321" s="1">
        <v>46210.846875000003</v>
      </c>
      <c r="B1321" t="s">
        <v>40</v>
      </c>
      <c r="C1321" t="s">
        <v>41</v>
      </c>
      <c r="D1321" s="1">
        <v>46210.849664351852</v>
      </c>
      <c r="E1321" t="s">
        <v>42</v>
      </c>
      <c r="F1321" t="s">
        <v>43</v>
      </c>
      <c r="G1321" t="s">
        <v>43</v>
      </c>
      <c r="H1321" t="s">
        <v>43</v>
      </c>
      <c r="I1321" t="s">
        <v>628</v>
      </c>
      <c r="J1321" t="s">
        <v>43</v>
      </c>
      <c r="K1321" t="s">
        <v>43</v>
      </c>
      <c r="L1321" t="s">
        <v>43</v>
      </c>
      <c r="M1321" t="s">
        <v>43</v>
      </c>
      <c r="N1321" t="s">
        <v>45</v>
      </c>
      <c r="O1321" t="s">
        <v>43</v>
      </c>
      <c r="P1321" t="s">
        <v>43</v>
      </c>
      <c r="Q1321" t="s">
        <v>43</v>
      </c>
      <c r="R1321" t="s">
        <v>43</v>
      </c>
      <c r="S1321" t="s">
        <v>43</v>
      </c>
      <c r="T1321" t="s">
        <v>43</v>
      </c>
      <c r="U1321" t="s">
        <v>43</v>
      </c>
      <c r="V1321" t="s">
        <v>43</v>
      </c>
      <c r="W1321" t="s">
        <v>43</v>
      </c>
      <c r="X1321" t="s">
        <v>43</v>
      </c>
      <c r="Y1321" t="s">
        <v>43</v>
      </c>
      <c r="Z1321" t="s">
        <v>43</v>
      </c>
      <c r="AA1321" t="s">
        <v>43</v>
      </c>
      <c r="AB1321" t="s">
        <v>43</v>
      </c>
      <c r="AC1321" t="s">
        <v>43</v>
      </c>
      <c r="AD1321" t="s">
        <v>43</v>
      </c>
      <c r="AE1321" t="s">
        <v>43</v>
      </c>
      <c r="AF1321" t="s">
        <v>43</v>
      </c>
      <c r="AG1321" t="s">
        <v>43</v>
      </c>
      <c r="AH1321" t="s">
        <v>43</v>
      </c>
      <c r="AI1321" t="s">
        <v>43</v>
      </c>
      <c r="AJ1321" t="s">
        <v>43</v>
      </c>
      <c r="AK1321" t="s">
        <v>43</v>
      </c>
      <c r="AL1321" t="s">
        <v>43</v>
      </c>
      <c r="AM1321" t="s">
        <v>43</v>
      </c>
      <c r="AN1321" t="str">
        <f>HYPERLINK("https://www.google.com/maps?q=11.05588245,79.06415558","Open Location")</f>
        <v>Open Location</v>
      </c>
    </row>
    <row r="1322" spans="1:40" x14ac:dyDescent="0.3">
      <c r="A1322" s="1">
        <v>46210.846759259257</v>
      </c>
      <c r="B1322" t="s">
        <v>40</v>
      </c>
      <c r="C1322" t="s">
        <v>41</v>
      </c>
      <c r="D1322" s="1">
        <v>46210.849895833337</v>
      </c>
      <c r="E1322" t="s">
        <v>42</v>
      </c>
      <c r="F1322" t="s">
        <v>43</v>
      </c>
      <c r="G1322" t="s">
        <v>43</v>
      </c>
      <c r="H1322" t="s">
        <v>43</v>
      </c>
      <c r="I1322" t="s">
        <v>629</v>
      </c>
      <c r="J1322" t="s">
        <v>43</v>
      </c>
      <c r="K1322" t="s">
        <v>43</v>
      </c>
      <c r="L1322" t="s">
        <v>43</v>
      </c>
      <c r="M1322" t="s">
        <v>43</v>
      </c>
      <c r="N1322" t="s">
        <v>45</v>
      </c>
      <c r="O1322" t="s">
        <v>43</v>
      </c>
      <c r="P1322" t="s">
        <v>43</v>
      </c>
      <c r="Q1322" t="s">
        <v>43</v>
      </c>
      <c r="R1322" t="s">
        <v>43</v>
      </c>
      <c r="S1322" t="s">
        <v>43</v>
      </c>
      <c r="T1322" t="s">
        <v>43</v>
      </c>
      <c r="U1322" t="s">
        <v>43</v>
      </c>
      <c r="V1322" t="s">
        <v>43</v>
      </c>
      <c r="W1322" t="s">
        <v>43</v>
      </c>
      <c r="X1322" t="s">
        <v>43</v>
      </c>
      <c r="Y1322" t="s">
        <v>43</v>
      </c>
      <c r="Z1322" t="s">
        <v>43</v>
      </c>
      <c r="AA1322" t="s">
        <v>43</v>
      </c>
      <c r="AB1322" t="s">
        <v>43</v>
      </c>
      <c r="AC1322" t="s">
        <v>43</v>
      </c>
      <c r="AD1322" t="s">
        <v>43</v>
      </c>
      <c r="AE1322" t="s">
        <v>43</v>
      </c>
      <c r="AF1322" t="s">
        <v>43</v>
      </c>
      <c r="AG1322" t="s">
        <v>43</v>
      </c>
      <c r="AH1322" t="s">
        <v>43</v>
      </c>
      <c r="AI1322" t="s">
        <v>43</v>
      </c>
      <c r="AJ1322" t="s">
        <v>43</v>
      </c>
      <c r="AK1322" t="s">
        <v>43</v>
      </c>
      <c r="AL1322" t="s">
        <v>43</v>
      </c>
      <c r="AM1322" t="s">
        <v>43</v>
      </c>
      <c r="AN1322" t="str">
        <f>HYPERLINK("https://www.google.com/maps?q=11.05588531,79.06416321","Open Location")</f>
        <v>Open Location</v>
      </c>
    </row>
    <row r="1323" spans="1:40" x14ac:dyDescent="0.3">
      <c r="A1323" s="1">
        <v>46210.846643518518</v>
      </c>
      <c r="B1323" t="s">
        <v>40</v>
      </c>
      <c r="C1323" t="s">
        <v>41</v>
      </c>
      <c r="D1323" s="1">
        <v>46210.849537037036</v>
      </c>
      <c r="E1323" t="s">
        <v>42</v>
      </c>
      <c r="F1323" t="s">
        <v>43</v>
      </c>
      <c r="G1323" t="s">
        <v>43</v>
      </c>
      <c r="H1323" t="s">
        <v>43</v>
      </c>
      <c r="I1323" t="s">
        <v>630</v>
      </c>
      <c r="J1323" t="s">
        <v>43</v>
      </c>
      <c r="K1323" t="s">
        <v>43</v>
      </c>
      <c r="L1323" t="s">
        <v>43</v>
      </c>
      <c r="M1323" t="s">
        <v>43</v>
      </c>
      <c r="N1323" t="s">
        <v>45</v>
      </c>
      <c r="O1323" t="s">
        <v>43</v>
      </c>
      <c r="P1323" t="s">
        <v>43</v>
      </c>
      <c r="Q1323" t="s">
        <v>43</v>
      </c>
      <c r="R1323" t="s">
        <v>43</v>
      </c>
      <c r="S1323" t="s">
        <v>43</v>
      </c>
      <c r="T1323" t="s">
        <v>43</v>
      </c>
      <c r="U1323" t="s">
        <v>43</v>
      </c>
      <c r="V1323" t="s">
        <v>43</v>
      </c>
      <c r="W1323" t="s">
        <v>43</v>
      </c>
      <c r="X1323" t="s">
        <v>43</v>
      </c>
      <c r="Y1323" t="s">
        <v>43</v>
      </c>
      <c r="Z1323" t="s">
        <v>43</v>
      </c>
      <c r="AA1323" t="s">
        <v>43</v>
      </c>
      <c r="AB1323" t="s">
        <v>43</v>
      </c>
      <c r="AC1323" t="s">
        <v>43</v>
      </c>
      <c r="AD1323" t="s">
        <v>43</v>
      </c>
      <c r="AE1323" t="s">
        <v>43</v>
      </c>
      <c r="AF1323" t="s">
        <v>43</v>
      </c>
      <c r="AG1323" t="s">
        <v>43</v>
      </c>
      <c r="AH1323" t="s">
        <v>43</v>
      </c>
      <c r="AI1323" t="s">
        <v>43</v>
      </c>
      <c r="AJ1323" t="s">
        <v>43</v>
      </c>
      <c r="AK1323" t="s">
        <v>43</v>
      </c>
      <c r="AL1323" t="s">
        <v>43</v>
      </c>
      <c r="AM1323" t="s">
        <v>43</v>
      </c>
      <c r="AN1323" t="str">
        <f>HYPERLINK("https://www.google.com/maps?q=11.05588245,79.06416321","Open Location")</f>
        <v>Open Location</v>
      </c>
    </row>
    <row r="1324" spans="1:40" x14ac:dyDescent="0.3">
      <c r="A1324" s="1">
        <v>46210.84652777778</v>
      </c>
      <c r="B1324" t="s">
        <v>40</v>
      </c>
      <c r="C1324" t="s">
        <v>41</v>
      </c>
      <c r="D1324" s="1">
        <v>46210.849629629629</v>
      </c>
      <c r="E1324" t="s">
        <v>42</v>
      </c>
      <c r="F1324" t="s">
        <v>43</v>
      </c>
      <c r="G1324" t="s">
        <v>43</v>
      </c>
      <c r="H1324" t="s">
        <v>43</v>
      </c>
      <c r="I1324" t="s">
        <v>631</v>
      </c>
      <c r="J1324" t="s">
        <v>43</v>
      </c>
      <c r="K1324" t="s">
        <v>43</v>
      </c>
      <c r="L1324" t="s">
        <v>43</v>
      </c>
      <c r="M1324" t="s">
        <v>43</v>
      </c>
      <c r="N1324" t="s">
        <v>45</v>
      </c>
      <c r="O1324" t="s">
        <v>43</v>
      </c>
      <c r="P1324" t="s">
        <v>43</v>
      </c>
      <c r="Q1324" t="s">
        <v>43</v>
      </c>
      <c r="R1324" t="s">
        <v>43</v>
      </c>
      <c r="S1324" t="s">
        <v>43</v>
      </c>
      <c r="T1324" t="s">
        <v>43</v>
      </c>
      <c r="U1324" t="s">
        <v>43</v>
      </c>
      <c r="V1324" t="s">
        <v>43</v>
      </c>
      <c r="W1324" t="s">
        <v>43</v>
      </c>
      <c r="X1324" t="s">
        <v>43</v>
      </c>
      <c r="Y1324" t="s">
        <v>43</v>
      </c>
      <c r="Z1324" t="s">
        <v>43</v>
      </c>
      <c r="AA1324" t="s">
        <v>43</v>
      </c>
      <c r="AB1324" t="s">
        <v>43</v>
      </c>
      <c r="AC1324" t="s">
        <v>43</v>
      </c>
      <c r="AD1324" t="s">
        <v>43</v>
      </c>
      <c r="AE1324" t="s">
        <v>43</v>
      </c>
      <c r="AF1324" t="s">
        <v>43</v>
      </c>
      <c r="AG1324" t="s">
        <v>43</v>
      </c>
      <c r="AH1324" t="s">
        <v>43</v>
      </c>
      <c r="AI1324" t="s">
        <v>43</v>
      </c>
      <c r="AJ1324" t="s">
        <v>43</v>
      </c>
      <c r="AK1324" t="s">
        <v>43</v>
      </c>
      <c r="AL1324" t="s">
        <v>43</v>
      </c>
      <c r="AM1324" t="s">
        <v>43</v>
      </c>
      <c r="AN1324" t="str">
        <f>HYPERLINK("https://www.google.com/maps?q=11.05588341,79.06416321","Open Location")</f>
        <v>Open Location</v>
      </c>
    </row>
    <row r="1325" spans="1:40" x14ac:dyDescent="0.3">
      <c r="A1325" s="1">
        <v>46210.846412037034</v>
      </c>
      <c r="B1325" t="s">
        <v>40</v>
      </c>
      <c r="C1325" t="s">
        <v>41</v>
      </c>
      <c r="D1325" s="1">
        <v>46210.849537037036</v>
      </c>
      <c r="E1325" t="s">
        <v>42</v>
      </c>
      <c r="F1325" t="s">
        <v>43</v>
      </c>
      <c r="G1325" t="s">
        <v>43</v>
      </c>
      <c r="H1325" t="s">
        <v>43</v>
      </c>
      <c r="I1325" t="s">
        <v>43</v>
      </c>
      <c r="J1325" t="s">
        <v>43</v>
      </c>
      <c r="K1325" t="s">
        <v>43</v>
      </c>
      <c r="L1325" t="s">
        <v>43</v>
      </c>
      <c r="M1325" t="s">
        <v>43</v>
      </c>
      <c r="N1325" t="s">
        <v>45</v>
      </c>
      <c r="O1325" t="s">
        <v>43</v>
      </c>
      <c r="P1325" t="s">
        <v>43</v>
      </c>
      <c r="Q1325" t="s">
        <v>43</v>
      </c>
      <c r="R1325" t="s">
        <v>43</v>
      </c>
      <c r="S1325" t="s">
        <v>43</v>
      </c>
      <c r="T1325" t="s">
        <v>43</v>
      </c>
      <c r="U1325" t="s">
        <v>43</v>
      </c>
      <c r="V1325" t="s">
        <v>43</v>
      </c>
      <c r="W1325" t="s">
        <v>43</v>
      </c>
      <c r="X1325" t="s">
        <v>43</v>
      </c>
      <c r="Y1325" t="s">
        <v>43</v>
      </c>
      <c r="Z1325" t="s">
        <v>43</v>
      </c>
      <c r="AA1325" t="s">
        <v>43</v>
      </c>
      <c r="AB1325" t="s">
        <v>43</v>
      </c>
      <c r="AC1325" t="s">
        <v>43</v>
      </c>
      <c r="AD1325" t="s">
        <v>43</v>
      </c>
      <c r="AE1325" t="s">
        <v>43</v>
      </c>
      <c r="AF1325" t="s">
        <v>43</v>
      </c>
      <c r="AG1325" t="s">
        <v>43</v>
      </c>
      <c r="AH1325" t="s">
        <v>43</v>
      </c>
      <c r="AI1325" t="s">
        <v>43</v>
      </c>
      <c r="AJ1325" t="s">
        <v>43</v>
      </c>
      <c r="AK1325" t="s">
        <v>43</v>
      </c>
      <c r="AL1325" t="s">
        <v>43</v>
      </c>
      <c r="AM1325" t="s">
        <v>43</v>
      </c>
      <c r="AN1325" t="s">
        <v>43</v>
      </c>
    </row>
    <row r="1326" spans="1:40" x14ac:dyDescent="0.3">
      <c r="A1326" s="1">
        <v>46210.846296296295</v>
      </c>
      <c r="B1326" t="s">
        <v>40</v>
      </c>
      <c r="C1326" t="s">
        <v>41</v>
      </c>
      <c r="D1326" s="1">
        <v>46210.849317129629</v>
      </c>
      <c r="E1326" t="s">
        <v>42</v>
      </c>
      <c r="F1326" t="s">
        <v>43</v>
      </c>
      <c r="G1326" t="s">
        <v>43</v>
      </c>
      <c r="H1326" t="s">
        <v>43</v>
      </c>
      <c r="I1326" t="s">
        <v>632</v>
      </c>
      <c r="J1326" t="s">
        <v>43</v>
      </c>
      <c r="K1326" t="s">
        <v>43</v>
      </c>
      <c r="L1326" t="s">
        <v>43</v>
      </c>
      <c r="M1326" t="s">
        <v>43</v>
      </c>
      <c r="N1326" t="s">
        <v>45</v>
      </c>
      <c r="O1326" t="s">
        <v>43</v>
      </c>
      <c r="P1326" t="s">
        <v>43</v>
      </c>
      <c r="Q1326" t="s">
        <v>43</v>
      </c>
      <c r="R1326" t="s">
        <v>43</v>
      </c>
      <c r="S1326" t="s">
        <v>43</v>
      </c>
      <c r="T1326" t="s">
        <v>43</v>
      </c>
      <c r="U1326" t="s">
        <v>43</v>
      </c>
      <c r="V1326" t="s">
        <v>43</v>
      </c>
      <c r="W1326" t="s">
        <v>43</v>
      </c>
      <c r="X1326" t="s">
        <v>43</v>
      </c>
      <c r="Y1326" t="s">
        <v>43</v>
      </c>
      <c r="Z1326" t="s">
        <v>43</v>
      </c>
      <c r="AA1326" t="s">
        <v>43</v>
      </c>
      <c r="AB1326" t="s">
        <v>43</v>
      </c>
      <c r="AC1326" t="s">
        <v>43</v>
      </c>
      <c r="AD1326" t="s">
        <v>43</v>
      </c>
      <c r="AE1326" t="s">
        <v>43</v>
      </c>
      <c r="AF1326" t="s">
        <v>43</v>
      </c>
      <c r="AG1326" t="s">
        <v>43</v>
      </c>
      <c r="AH1326" t="s">
        <v>43</v>
      </c>
      <c r="AI1326" t="s">
        <v>43</v>
      </c>
      <c r="AJ1326" t="s">
        <v>43</v>
      </c>
      <c r="AK1326" t="s">
        <v>43</v>
      </c>
      <c r="AL1326" t="s">
        <v>43</v>
      </c>
      <c r="AM1326" t="s">
        <v>43</v>
      </c>
      <c r="AN1326" t="str">
        <f>HYPERLINK("https://www.google.com/maps?q=11.05588341,79.06415558","Open Location")</f>
        <v>Open Location</v>
      </c>
    </row>
    <row r="1327" spans="1:40" x14ac:dyDescent="0.3">
      <c r="A1327" s="1">
        <v>46210.846180555556</v>
      </c>
      <c r="B1327" t="s">
        <v>40</v>
      </c>
      <c r="C1327" t="s">
        <v>41</v>
      </c>
      <c r="D1327" s="1">
        <v>46210.84915509259</v>
      </c>
      <c r="E1327" t="s">
        <v>42</v>
      </c>
      <c r="F1327" t="s">
        <v>43</v>
      </c>
      <c r="G1327" t="s">
        <v>43</v>
      </c>
      <c r="H1327" t="s">
        <v>43</v>
      </c>
      <c r="I1327" t="s">
        <v>627</v>
      </c>
      <c r="J1327" t="s">
        <v>43</v>
      </c>
      <c r="K1327" t="s">
        <v>43</v>
      </c>
      <c r="L1327" t="s">
        <v>43</v>
      </c>
      <c r="M1327" t="s">
        <v>43</v>
      </c>
      <c r="N1327" t="s">
        <v>45</v>
      </c>
      <c r="O1327" t="s">
        <v>43</v>
      </c>
      <c r="P1327" t="s">
        <v>43</v>
      </c>
      <c r="Q1327" t="s">
        <v>43</v>
      </c>
      <c r="R1327" t="s">
        <v>43</v>
      </c>
      <c r="S1327" t="s">
        <v>43</v>
      </c>
      <c r="T1327" t="s">
        <v>43</v>
      </c>
      <c r="U1327" t="s">
        <v>43</v>
      </c>
      <c r="V1327" t="s">
        <v>43</v>
      </c>
      <c r="W1327" t="s">
        <v>43</v>
      </c>
      <c r="X1327" t="s">
        <v>43</v>
      </c>
      <c r="Y1327" t="s">
        <v>43</v>
      </c>
      <c r="Z1327" t="s">
        <v>43</v>
      </c>
      <c r="AA1327" t="s">
        <v>43</v>
      </c>
      <c r="AB1327" t="s">
        <v>43</v>
      </c>
      <c r="AC1327" t="s">
        <v>43</v>
      </c>
      <c r="AD1327" t="s">
        <v>43</v>
      </c>
      <c r="AE1327" t="s">
        <v>43</v>
      </c>
      <c r="AF1327" t="s">
        <v>43</v>
      </c>
      <c r="AG1327" t="s">
        <v>43</v>
      </c>
      <c r="AH1327" t="s">
        <v>43</v>
      </c>
      <c r="AI1327" t="s">
        <v>43</v>
      </c>
      <c r="AJ1327" t="s">
        <v>43</v>
      </c>
      <c r="AK1327" t="s">
        <v>43</v>
      </c>
      <c r="AL1327" t="s">
        <v>43</v>
      </c>
      <c r="AM1327" t="s">
        <v>43</v>
      </c>
      <c r="AN1327" t="str">
        <f>HYPERLINK("https://www.google.com/maps?q=11.05588341,79.06414032","Open Location")</f>
        <v>Open Location</v>
      </c>
    </row>
    <row r="1328" spans="1:40" x14ac:dyDescent="0.3">
      <c r="A1328" s="1">
        <v>46210.846064814818</v>
      </c>
      <c r="B1328" t="s">
        <v>40</v>
      </c>
      <c r="C1328" t="s">
        <v>41</v>
      </c>
      <c r="D1328" s="1">
        <v>46210.849027777775</v>
      </c>
      <c r="E1328" t="s">
        <v>42</v>
      </c>
      <c r="F1328" t="s">
        <v>43</v>
      </c>
      <c r="G1328" t="s">
        <v>43</v>
      </c>
      <c r="H1328" t="s">
        <v>43</v>
      </c>
      <c r="I1328" t="s">
        <v>633</v>
      </c>
      <c r="J1328" t="s">
        <v>43</v>
      </c>
      <c r="K1328" t="s">
        <v>43</v>
      </c>
      <c r="L1328" t="s">
        <v>43</v>
      </c>
      <c r="M1328" t="s">
        <v>43</v>
      </c>
      <c r="N1328" t="s">
        <v>45</v>
      </c>
      <c r="O1328" t="s">
        <v>43</v>
      </c>
      <c r="P1328" t="s">
        <v>43</v>
      </c>
      <c r="Q1328" t="s">
        <v>43</v>
      </c>
      <c r="R1328" t="s">
        <v>43</v>
      </c>
      <c r="S1328" t="s">
        <v>43</v>
      </c>
      <c r="T1328" t="s">
        <v>43</v>
      </c>
      <c r="U1328" t="s">
        <v>43</v>
      </c>
      <c r="V1328" t="s">
        <v>43</v>
      </c>
      <c r="W1328" t="s">
        <v>43</v>
      </c>
      <c r="X1328" t="s">
        <v>43</v>
      </c>
      <c r="Y1328" t="s">
        <v>43</v>
      </c>
      <c r="Z1328" t="s">
        <v>43</v>
      </c>
      <c r="AA1328" t="s">
        <v>43</v>
      </c>
      <c r="AB1328" t="s">
        <v>43</v>
      </c>
      <c r="AC1328" t="s">
        <v>43</v>
      </c>
      <c r="AD1328" t="s">
        <v>43</v>
      </c>
      <c r="AE1328" t="s">
        <v>43</v>
      </c>
      <c r="AF1328" t="s">
        <v>43</v>
      </c>
      <c r="AG1328" t="s">
        <v>43</v>
      </c>
      <c r="AH1328" t="s">
        <v>43</v>
      </c>
      <c r="AI1328" t="s">
        <v>43</v>
      </c>
      <c r="AJ1328" t="s">
        <v>43</v>
      </c>
      <c r="AK1328" t="s">
        <v>43</v>
      </c>
      <c r="AL1328" t="s">
        <v>43</v>
      </c>
      <c r="AM1328" t="s">
        <v>43</v>
      </c>
      <c r="AN1328" t="str">
        <f>HYPERLINK("https://www.google.com/maps?q=11.05587482,79.06412506","Open Location")</f>
        <v>Open Location</v>
      </c>
    </row>
    <row r="1329" spans="1:40" x14ac:dyDescent="0.3">
      <c r="A1329" s="1">
        <v>46210.845949074072</v>
      </c>
      <c r="B1329" t="s">
        <v>40</v>
      </c>
      <c r="C1329" t="s">
        <v>41</v>
      </c>
      <c r="D1329" s="1">
        <v>46210.848796296297</v>
      </c>
      <c r="E1329" t="s">
        <v>42</v>
      </c>
      <c r="F1329" t="s">
        <v>43</v>
      </c>
      <c r="G1329" t="s">
        <v>43</v>
      </c>
      <c r="H1329" t="s">
        <v>43</v>
      </c>
      <c r="I1329" t="s">
        <v>634</v>
      </c>
      <c r="J1329" t="s">
        <v>43</v>
      </c>
      <c r="K1329" t="s">
        <v>43</v>
      </c>
      <c r="L1329" t="s">
        <v>43</v>
      </c>
      <c r="M1329" t="s">
        <v>43</v>
      </c>
      <c r="N1329" t="s">
        <v>45</v>
      </c>
      <c r="O1329" t="s">
        <v>43</v>
      </c>
      <c r="P1329" t="s">
        <v>43</v>
      </c>
      <c r="Q1329" t="s">
        <v>43</v>
      </c>
      <c r="R1329" t="s">
        <v>43</v>
      </c>
      <c r="S1329" t="s">
        <v>43</v>
      </c>
      <c r="T1329" t="s">
        <v>43</v>
      </c>
      <c r="U1329" t="s">
        <v>43</v>
      </c>
      <c r="V1329" t="s">
        <v>43</v>
      </c>
      <c r="W1329" t="s">
        <v>43</v>
      </c>
      <c r="X1329" t="s">
        <v>43</v>
      </c>
      <c r="Y1329" t="s">
        <v>43</v>
      </c>
      <c r="Z1329" t="s">
        <v>43</v>
      </c>
      <c r="AA1329" t="s">
        <v>43</v>
      </c>
      <c r="AB1329" t="s">
        <v>43</v>
      </c>
      <c r="AC1329" t="s">
        <v>43</v>
      </c>
      <c r="AD1329" t="s">
        <v>43</v>
      </c>
      <c r="AE1329" t="s">
        <v>43</v>
      </c>
      <c r="AF1329" t="s">
        <v>43</v>
      </c>
      <c r="AG1329" t="s">
        <v>43</v>
      </c>
      <c r="AH1329" t="s">
        <v>43</v>
      </c>
      <c r="AI1329" t="s">
        <v>43</v>
      </c>
      <c r="AJ1329" t="s">
        <v>43</v>
      </c>
      <c r="AK1329" t="s">
        <v>43</v>
      </c>
      <c r="AL1329" t="s">
        <v>43</v>
      </c>
      <c r="AM1329" t="s">
        <v>43</v>
      </c>
      <c r="AN1329" t="str">
        <f>HYPERLINK("https://www.google.com/maps?q=11.05586815,79.06413269","Open Location")</f>
        <v>Open Location</v>
      </c>
    </row>
    <row r="1330" spans="1:40" x14ac:dyDescent="0.3">
      <c r="A1330" s="1">
        <v>46210.845833333333</v>
      </c>
      <c r="B1330" t="s">
        <v>40</v>
      </c>
      <c r="C1330" t="s">
        <v>41</v>
      </c>
      <c r="D1330" s="1">
        <v>46210.848692129628</v>
      </c>
      <c r="E1330" t="s">
        <v>42</v>
      </c>
      <c r="F1330" t="s">
        <v>43</v>
      </c>
      <c r="G1330" t="s">
        <v>43</v>
      </c>
      <c r="H1330" t="s">
        <v>43</v>
      </c>
      <c r="I1330" t="s">
        <v>635</v>
      </c>
      <c r="J1330" t="s">
        <v>43</v>
      </c>
      <c r="K1330" t="s">
        <v>43</v>
      </c>
      <c r="L1330" t="s">
        <v>43</v>
      </c>
      <c r="M1330" t="s">
        <v>43</v>
      </c>
      <c r="N1330" t="s">
        <v>45</v>
      </c>
      <c r="O1330" t="s">
        <v>43</v>
      </c>
      <c r="P1330" t="s">
        <v>43</v>
      </c>
      <c r="Q1330" t="s">
        <v>43</v>
      </c>
      <c r="R1330" t="s">
        <v>43</v>
      </c>
      <c r="S1330" t="s">
        <v>43</v>
      </c>
      <c r="T1330" t="s">
        <v>43</v>
      </c>
      <c r="U1330" t="s">
        <v>43</v>
      </c>
      <c r="V1330" t="s">
        <v>43</v>
      </c>
      <c r="W1330" t="s">
        <v>43</v>
      </c>
      <c r="X1330" t="s">
        <v>43</v>
      </c>
      <c r="Y1330" t="s">
        <v>43</v>
      </c>
      <c r="Z1330" t="s">
        <v>43</v>
      </c>
      <c r="AA1330" t="s">
        <v>43</v>
      </c>
      <c r="AB1330" t="s">
        <v>43</v>
      </c>
      <c r="AC1330" t="s">
        <v>43</v>
      </c>
      <c r="AD1330" t="s">
        <v>43</v>
      </c>
      <c r="AE1330" t="s">
        <v>43</v>
      </c>
      <c r="AF1330" t="s">
        <v>43</v>
      </c>
      <c r="AG1330" t="s">
        <v>43</v>
      </c>
      <c r="AH1330" t="s">
        <v>43</v>
      </c>
      <c r="AI1330" t="s">
        <v>43</v>
      </c>
      <c r="AJ1330" t="s">
        <v>43</v>
      </c>
      <c r="AK1330" t="s">
        <v>43</v>
      </c>
      <c r="AL1330" t="s">
        <v>43</v>
      </c>
      <c r="AM1330" t="s">
        <v>43</v>
      </c>
      <c r="AN1330" t="str">
        <f>HYPERLINK("https://www.google.com/maps?q=11.05585766,79.06413269","Open Location")</f>
        <v>Open Location</v>
      </c>
    </row>
    <row r="1331" spans="1:40" x14ac:dyDescent="0.3">
      <c r="A1331" s="1">
        <v>46210.845717592594</v>
      </c>
      <c r="B1331" t="s">
        <v>40</v>
      </c>
      <c r="C1331" t="s">
        <v>41</v>
      </c>
      <c r="D1331" s="1">
        <v>46210.848912037036</v>
      </c>
      <c r="E1331" t="s">
        <v>42</v>
      </c>
      <c r="F1331" t="s">
        <v>43</v>
      </c>
      <c r="G1331" t="s">
        <v>43</v>
      </c>
      <c r="H1331" t="s">
        <v>43</v>
      </c>
      <c r="I1331" t="s">
        <v>43</v>
      </c>
      <c r="J1331" t="s">
        <v>43</v>
      </c>
      <c r="K1331" t="s">
        <v>43</v>
      </c>
      <c r="L1331" t="s">
        <v>43</v>
      </c>
      <c r="M1331" t="s">
        <v>43</v>
      </c>
      <c r="N1331" t="s">
        <v>45</v>
      </c>
      <c r="O1331" t="s">
        <v>43</v>
      </c>
      <c r="P1331" t="s">
        <v>43</v>
      </c>
      <c r="Q1331" t="s">
        <v>43</v>
      </c>
      <c r="R1331" t="s">
        <v>43</v>
      </c>
      <c r="S1331" t="s">
        <v>43</v>
      </c>
      <c r="T1331" t="s">
        <v>43</v>
      </c>
      <c r="U1331" t="s">
        <v>43</v>
      </c>
      <c r="V1331" t="s">
        <v>43</v>
      </c>
      <c r="W1331" t="s">
        <v>43</v>
      </c>
      <c r="X1331" t="s">
        <v>43</v>
      </c>
      <c r="Y1331" t="s">
        <v>43</v>
      </c>
      <c r="Z1331" t="s">
        <v>43</v>
      </c>
      <c r="AA1331" t="s">
        <v>43</v>
      </c>
      <c r="AB1331" t="s">
        <v>43</v>
      </c>
      <c r="AC1331" t="s">
        <v>43</v>
      </c>
      <c r="AD1331" t="s">
        <v>43</v>
      </c>
      <c r="AE1331" t="s">
        <v>43</v>
      </c>
      <c r="AF1331" t="s">
        <v>43</v>
      </c>
      <c r="AG1331" t="s">
        <v>43</v>
      </c>
      <c r="AH1331" t="s">
        <v>43</v>
      </c>
      <c r="AI1331" t="s">
        <v>43</v>
      </c>
      <c r="AJ1331" t="s">
        <v>43</v>
      </c>
      <c r="AK1331" t="s">
        <v>43</v>
      </c>
      <c r="AL1331" t="s">
        <v>43</v>
      </c>
      <c r="AM1331" t="s">
        <v>43</v>
      </c>
      <c r="AN1331" t="s">
        <v>43</v>
      </c>
    </row>
    <row r="1332" spans="1:40" x14ac:dyDescent="0.3">
      <c r="A1332" s="1">
        <v>46210.845601851855</v>
      </c>
      <c r="B1332" t="s">
        <v>40</v>
      </c>
      <c r="C1332" t="s">
        <v>41</v>
      </c>
      <c r="D1332" s="1">
        <v>46210.848692129628</v>
      </c>
      <c r="E1332" t="s">
        <v>42</v>
      </c>
      <c r="F1332" t="s">
        <v>43</v>
      </c>
      <c r="G1332" t="s">
        <v>43</v>
      </c>
      <c r="H1332" t="s">
        <v>43</v>
      </c>
      <c r="I1332" t="s">
        <v>636</v>
      </c>
      <c r="J1332" t="s">
        <v>43</v>
      </c>
      <c r="K1332" t="s">
        <v>43</v>
      </c>
      <c r="L1332" t="s">
        <v>43</v>
      </c>
      <c r="M1332" t="s">
        <v>43</v>
      </c>
      <c r="N1332" t="s">
        <v>45</v>
      </c>
      <c r="O1332" t="s">
        <v>43</v>
      </c>
      <c r="P1332" t="s">
        <v>43</v>
      </c>
      <c r="Q1332" t="s">
        <v>43</v>
      </c>
      <c r="R1332" t="s">
        <v>43</v>
      </c>
      <c r="S1332" t="s">
        <v>43</v>
      </c>
      <c r="T1332" t="s">
        <v>43</v>
      </c>
      <c r="U1332" t="s">
        <v>43</v>
      </c>
      <c r="V1332" t="s">
        <v>43</v>
      </c>
      <c r="W1332" t="s">
        <v>43</v>
      </c>
      <c r="X1332" t="s">
        <v>43</v>
      </c>
      <c r="Y1332" t="s">
        <v>43</v>
      </c>
      <c r="Z1332" t="s">
        <v>43</v>
      </c>
      <c r="AA1332" t="s">
        <v>43</v>
      </c>
      <c r="AB1332" t="s">
        <v>43</v>
      </c>
      <c r="AC1332" t="s">
        <v>43</v>
      </c>
      <c r="AD1332" t="s">
        <v>43</v>
      </c>
      <c r="AE1332" t="s">
        <v>43</v>
      </c>
      <c r="AF1332" t="s">
        <v>43</v>
      </c>
      <c r="AG1332" t="s">
        <v>43</v>
      </c>
      <c r="AH1332" t="s">
        <v>43</v>
      </c>
      <c r="AI1332" t="s">
        <v>43</v>
      </c>
      <c r="AJ1332" t="s">
        <v>43</v>
      </c>
      <c r="AK1332" t="s">
        <v>43</v>
      </c>
      <c r="AL1332" t="s">
        <v>43</v>
      </c>
      <c r="AM1332" t="s">
        <v>43</v>
      </c>
      <c r="AN1332" t="str">
        <f>HYPERLINK("https://www.google.com/maps?q=11.05585384,79.06413269","Open Location")</f>
        <v>Open Location</v>
      </c>
    </row>
    <row r="1333" spans="1:40" x14ac:dyDescent="0.3">
      <c r="A1333" s="1">
        <v>46210.845486111109</v>
      </c>
      <c r="B1333" t="s">
        <v>40</v>
      </c>
      <c r="C1333" t="s">
        <v>41</v>
      </c>
      <c r="D1333" s="1">
        <v>46210.84820601852</v>
      </c>
      <c r="E1333" t="s">
        <v>42</v>
      </c>
      <c r="F1333" t="s">
        <v>43</v>
      </c>
      <c r="G1333" t="s">
        <v>43</v>
      </c>
      <c r="H1333" t="s">
        <v>43</v>
      </c>
      <c r="I1333" t="s">
        <v>637</v>
      </c>
      <c r="J1333" t="s">
        <v>43</v>
      </c>
      <c r="K1333" t="s">
        <v>43</v>
      </c>
      <c r="L1333" t="s">
        <v>43</v>
      </c>
      <c r="M1333" t="s">
        <v>43</v>
      </c>
      <c r="N1333" t="s">
        <v>45</v>
      </c>
      <c r="O1333" t="s">
        <v>43</v>
      </c>
      <c r="P1333" t="s">
        <v>43</v>
      </c>
      <c r="Q1333" t="s">
        <v>43</v>
      </c>
      <c r="R1333" t="s">
        <v>43</v>
      </c>
      <c r="S1333" t="s">
        <v>43</v>
      </c>
      <c r="T1333" t="s">
        <v>43</v>
      </c>
      <c r="U1333" t="s">
        <v>43</v>
      </c>
      <c r="V1333" t="s">
        <v>43</v>
      </c>
      <c r="W1333" t="s">
        <v>43</v>
      </c>
      <c r="X1333" t="s">
        <v>43</v>
      </c>
      <c r="Y1333" t="s">
        <v>43</v>
      </c>
      <c r="Z1333" t="s">
        <v>43</v>
      </c>
      <c r="AA1333" t="s">
        <v>43</v>
      </c>
      <c r="AB1333" t="s">
        <v>43</v>
      </c>
      <c r="AC1333" t="s">
        <v>43</v>
      </c>
      <c r="AD1333" t="s">
        <v>43</v>
      </c>
      <c r="AE1333" t="s">
        <v>43</v>
      </c>
      <c r="AF1333" t="s">
        <v>43</v>
      </c>
      <c r="AG1333" t="s">
        <v>43</v>
      </c>
      <c r="AH1333" t="s">
        <v>43</v>
      </c>
      <c r="AI1333" t="s">
        <v>43</v>
      </c>
      <c r="AJ1333" t="s">
        <v>43</v>
      </c>
      <c r="AK1333" t="s">
        <v>43</v>
      </c>
      <c r="AL1333" t="s">
        <v>43</v>
      </c>
      <c r="AM1333" t="s">
        <v>43</v>
      </c>
      <c r="AN1333" t="str">
        <f>HYPERLINK("https://www.google.com/maps?q=11.05584621,79.06413269","Open Location")</f>
        <v>Open Location</v>
      </c>
    </row>
    <row r="1334" spans="1:40" x14ac:dyDescent="0.3">
      <c r="A1334" s="1">
        <v>46210.845370370371</v>
      </c>
      <c r="B1334" t="s">
        <v>40</v>
      </c>
      <c r="C1334" t="s">
        <v>41</v>
      </c>
      <c r="D1334" s="1">
        <v>46210.848321759258</v>
      </c>
      <c r="E1334" t="s">
        <v>42</v>
      </c>
      <c r="F1334" t="s">
        <v>43</v>
      </c>
      <c r="G1334" t="s">
        <v>43</v>
      </c>
      <c r="H1334" t="s">
        <v>43</v>
      </c>
      <c r="I1334" t="s">
        <v>638</v>
      </c>
      <c r="J1334" t="s">
        <v>43</v>
      </c>
      <c r="K1334" t="s">
        <v>43</v>
      </c>
      <c r="L1334" t="s">
        <v>43</v>
      </c>
      <c r="M1334" t="s">
        <v>43</v>
      </c>
      <c r="N1334" t="s">
        <v>45</v>
      </c>
      <c r="O1334" t="s">
        <v>43</v>
      </c>
      <c r="P1334" t="s">
        <v>43</v>
      </c>
      <c r="Q1334" t="s">
        <v>43</v>
      </c>
      <c r="R1334" t="s">
        <v>43</v>
      </c>
      <c r="S1334" t="s">
        <v>43</v>
      </c>
      <c r="T1334" t="s">
        <v>43</v>
      </c>
      <c r="U1334" t="s">
        <v>43</v>
      </c>
      <c r="V1334" t="s">
        <v>43</v>
      </c>
      <c r="W1334" t="s">
        <v>43</v>
      </c>
      <c r="X1334" t="s">
        <v>43</v>
      </c>
      <c r="Y1334" t="s">
        <v>43</v>
      </c>
      <c r="Z1334" t="s">
        <v>43</v>
      </c>
      <c r="AA1334" t="s">
        <v>43</v>
      </c>
      <c r="AB1334" t="s">
        <v>43</v>
      </c>
      <c r="AC1334" t="s">
        <v>43</v>
      </c>
      <c r="AD1334" t="s">
        <v>43</v>
      </c>
      <c r="AE1334" t="s">
        <v>43</v>
      </c>
      <c r="AF1334" t="s">
        <v>43</v>
      </c>
      <c r="AG1334" t="s">
        <v>43</v>
      </c>
      <c r="AH1334" t="s">
        <v>43</v>
      </c>
      <c r="AI1334" t="s">
        <v>43</v>
      </c>
      <c r="AJ1334" t="s">
        <v>43</v>
      </c>
      <c r="AK1334" t="s">
        <v>43</v>
      </c>
      <c r="AL1334" t="s">
        <v>43</v>
      </c>
      <c r="AM1334" t="s">
        <v>43</v>
      </c>
      <c r="AN1334" t="str">
        <f>HYPERLINK("https://www.google.com/maps?q=11.05584335,79.06415558","Open Location")</f>
        <v>Open Location</v>
      </c>
    </row>
    <row r="1335" spans="1:40" x14ac:dyDescent="0.3">
      <c r="A1335" s="1">
        <v>46210.845254629632</v>
      </c>
      <c r="B1335" t="s">
        <v>40</v>
      </c>
      <c r="C1335" t="s">
        <v>41</v>
      </c>
      <c r="D1335" s="1">
        <v>46210.847997685189</v>
      </c>
      <c r="E1335" t="s">
        <v>42</v>
      </c>
      <c r="F1335" t="s">
        <v>43</v>
      </c>
      <c r="G1335" t="s">
        <v>43</v>
      </c>
      <c r="H1335" t="s">
        <v>43</v>
      </c>
      <c r="I1335" t="s">
        <v>639</v>
      </c>
      <c r="J1335" t="s">
        <v>43</v>
      </c>
      <c r="K1335" t="s">
        <v>43</v>
      </c>
      <c r="L1335" t="s">
        <v>43</v>
      </c>
      <c r="M1335" t="s">
        <v>43</v>
      </c>
      <c r="N1335" t="s">
        <v>45</v>
      </c>
      <c r="O1335" t="s">
        <v>43</v>
      </c>
      <c r="P1335" t="s">
        <v>43</v>
      </c>
      <c r="Q1335" t="s">
        <v>43</v>
      </c>
      <c r="R1335" t="s">
        <v>43</v>
      </c>
      <c r="S1335" t="s">
        <v>43</v>
      </c>
      <c r="T1335" t="s">
        <v>43</v>
      </c>
      <c r="U1335" t="s">
        <v>43</v>
      </c>
      <c r="V1335" t="s">
        <v>43</v>
      </c>
      <c r="W1335" t="s">
        <v>43</v>
      </c>
      <c r="X1335" t="s">
        <v>43</v>
      </c>
      <c r="Y1335" t="s">
        <v>43</v>
      </c>
      <c r="Z1335" t="s">
        <v>43</v>
      </c>
      <c r="AA1335" t="s">
        <v>43</v>
      </c>
      <c r="AB1335" t="s">
        <v>43</v>
      </c>
      <c r="AC1335" t="s">
        <v>43</v>
      </c>
      <c r="AD1335" t="s">
        <v>43</v>
      </c>
      <c r="AE1335" t="s">
        <v>43</v>
      </c>
      <c r="AF1335" t="s">
        <v>43</v>
      </c>
      <c r="AG1335" t="s">
        <v>43</v>
      </c>
      <c r="AH1335" t="s">
        <v>43</v>
      </c>
      <c r="AI1335" t="s">
        <v>43</v>
      </c>
      <c r="AJ1335" t="s">
        <v>43</v>
      </c>
      <c r="AK1335" t="s">
        <v>43</v>
      </c>
      <c r="AL1335" t="s">
        <v>43</v>
      </c>
      <c r="AM1335" t="s">
        <v>43</v>
      </c>
      <c r="AN1335" t="str">
        <f>HYPERLINK("https://www.google.com/maps?q=11.05584431,79.06416321","Open Location")</f>
        <v>Open Location</v>
      </c>
    </row>
    <row r="1336" spans="1:40" x14ac:dyDescent="0.3">
      <c r="A1336" s="1">
        <v>46210.845138888886</v>
      </c>
      <c r="B1336" t="s">
        <v>40</v>
      </c>
      <c r="C1336" t="s">
        <v>41</v>
      </c>
      <c r="D1336" s="1">
        <v>46210.847916666666</v>
      </c>
      <c r="E1336" t="s">
        <v>42</v>
      </c>
      <c r="F1336" t="s">
        <v>43</v>
      </c>
      <c r="G1336" t="s">
        <v>43</v>
      </c>
      <c r="H1336" t="s">
        <v>43</v>
      </c>
      <c r="I1336" t="s">
        <v>43</v>
      </c>
      <c r="J1336" t="s">
        <v>43</v>
      </c>
      <c r="K1336" t="s">
        <v>43</v>
      </c>
      <c r="L1336" t="s">
        <v>43</v>
      </c>
      <c r="M1336" t="s">
        <v>43</v>
      </c>
      <c r="N1336" t="s">
        <v>45</v>
      </c>
      <c r="O1336" t="s">
        <v>43</v>
      </c>
      <c r="P1336" t="s">
        <v>43</v>
      </c>
      <c r="Q1336" t="s">
        <v>43</v>
      </c>
      <c r="R1336" t="s">
        <v>43</v>
      </c>
      <c r="S1336" t="s">
        <v>43</v>
      </c>
      <c r="T1336" t="s">
        <v>43</v>
      </c>
      <c r="U1336" t="s">
        <v>43</v>
      </c>
      <c r="V1336" t="s">
        <v>43</v>
      </c>
      <c r="W1336" t="s">
        <v>43</v>
      </c>
      <c r="X1336" t="s">
        <v>43</v>
      </c>
      <c r="Y1336" t="s">
        <v>43</v>
      </c>
      <c r="Z1336" t="s">
        <v>43</v>
      </c>
      <c r="AA1336" t="s">
        <v>43</v>
      </c>
      <c r="AB1336" t="s">
        <v>43</v>
      </c>
      <c r="AC1336" t="s">
        <v>43</v>
      </c>
      <c r="AD1336" t="s">
        <v>43</v>
      </c>
      <c r="AE1336" t="s">
        <v>43</v>
      </c>
      <c r="AF1336" t="s">
        <v>43</v>
      </c>
      <c r="AG1336" t="s">
        <v>43</v>
      </c>
      <c r="AH1336" t="s">
        <v>43</v>
      </c>
      <c r="AI1336" t="s">
        <v>43</v>
      </c>
      <c r="AJ1336" t="s">
        <v>43</v>
      </c>
      <c r="AK1336" t="s">
        <v>43</v>
      </c>
      <c r="AL1336" t="s">
        <v>43</v>
      </c>
      <c r="AM1336" t="s">
        <v>43</v>
      </c>
      <c r="AN1336" t="s">
        <v>43</v>
      </c>
    </row>
    <row r="1337" spans="1:40" x14ac:dyDescent="0.3">
      <c r="A1337" s="1">
        <v>46210.845023148147</v>
      </c>
      <c r="B1337" t="s">
        <v>40</v>
      </c>
      <c r="C1337" t="s">
        <v>41</v>
      </c>
      <c r="D1337" s="1">
        <v>46210.847916666666</v>
      </c>
      <c r="E1337" t="s">
        <v>42</v>
      </c>
      <c r="F1337" t="s">
        <v>43</v>
      </c>
      <c r="G1337" t="s">
        <v>43</v>
      </c>
      <c r="H1337" t="s">
        <v>43</v>
      </c>
      <c r="I1337" t="s">
        <v>640</v>
      </c>
      <c r="J1337" t="s">
        <v>43</v>
      </c>
      <c r="K1337" t="s">
        <v>43</v>
      </c>
      <c r="L1337" t="s">
        <v>43</v>
      </c>
      <c r="M1337" t="s">
        <v>43</v>
      </c>
      <c r="N1337" t="s">
        <v>45</v>
      </c>
      <c r="O1337" t="s">
        <v>43</v>
      </c>
      <c r="P1337" t="s">
        <v>43</v>
      </c>
      <c r="Q1337" t="s">
        <v>43</v>
      </c>
      <c r="R1337" t="s">
        <v>43</v>
      </c>
      <c r="S1337" t="s">
        <v>43</v>
      </c>
      <c r="T1337" t="s">
        <v>43</v>
      </c>
      <c r="U1337" t="s">
        <v>43</v>
      </c>
      <c r="V1337" t="s">
        <v>43</v>
      </c>
      <c r="W1337" t="s">
        <v>43</v>
      </c>
      <c r="X1337" t="s">
        <v>43</v>
      </c>
      <c r="Y1337" t="s">
        <v>43</v>
      </c>
      <c r="Z1337" t="s">
        <v>43</v>
      </c>
      <c r="AA1337" t="s">
        <v>43</v>
      </c>
      <c r="AB1337" t="s">
        <v>43</v>
      </c>
      <c r="AC1337" t="s">
        <v>43</v>
      </c>
      <c r="AD1337" t="s">
        <v>43</v>
      </c>
      <c r="AE1337" t="s">
        <v>43</v>
      </c>
      <c r="AF1337" t="s">
        <v>43</v>
      </c>
      <c r="AG1337" t="s">
        <v>43</v>
      </c>
      <c r="AH1337" t="s">
        <v>43</v>
      </c>
      <c r="AI1337" t="s">
        <v>43</v>
      </c>
      <c r="AJ1337" t="s">
        <v>43</v>
      </c>
      <c r="AK1337" t="s">
        <v>43</v>
      </c>
      <c r="AL1337" t="s">
        <v>43</v>
      </c>
      <c r="AM1337" t="s">
        <v>43</v>
      </c>
      <c r="AN1337" t="str">
        <f>HYPERLINK("https://www.google.com/maps?q=11.05584812,79.06415558","Open Location")</f>
        <v>Open Location</v>
      </c>
    </row>
    <row r="1338" spans="1:40" x14ac:dyDescent="0.3">
      <c r="A1338" s="1">
        <v>46210.844907407409</v>
      </c>
      <c r="B1338" t="s">
        <v>40</v>
      </c>
      <c r="C1338" t="s">
        <v>41</v>
      </c>
      <c r="D1338" s="1">
        <v>46210.847905092596</v>
      </c>
      <c r="E1338" t="s">
        <v>42</v>
      </c>
      <c r="F1338" t="s">
        <v>43</v>
      </c>
      <c r="G1338" t="s">
        <v>43</v>
      </c>
      <c r="H1338" t="s">
        <v>43</v>
      </c>
      <c r="I1338" t="s">
        <v>641</v>
      </c>
      <c r="J1338" t="s">
        <v>43</v>
      </c>
      <c r="K1338" t="s">
        <v>43</v>
      </c>
      <c r="L1338" t="s">
        <v>43</v>
      </c>
      <c r="M1338" t="s">
        <v>43</v>
      </c>
      <c r="N1338" t="s">
        <v>45</v>
      </c>
      <c r="O1338" t="s">
        <v>43</v>
      </c>
      <c r="P1338" t="s">
        <v>43</v>
      </c>
      <c r="Q1338" t="s">
        <v>43</v>
      </c>
      <c r="R1338" t="s">
        <v>43</v>
      </c>
      <c r="S1338" t="s">
        <v>43</v>
      </c>
      <c r="T1338" t="s">
        <v>43</v>
      </c>
      <c r="U1338" t="s">
        <v>43</v>
      </c>
      <c r="V1338" t="s">
        <v>43</v>
      </c>
      <c r="W1338" t="s">
        <v>43</v>
      </c>
      <c r="X1338" t="s">
        <v>43</v>
      </c>
      <c r="Y1338" t="s">
        <v>43</v>
      </c>
      <c r="Z1338" t="s">
        <v>43</v>
      </c>
      <c r="AA1338" t="s">
        <v>43</v>
      </c>
      <c r="AB1338" t="s">
        <v>43</v>
      </c>
      <c r="AC1338" t="s">
        <v>43</v>
      </c>
      <c r="AD1338" t="s">
        <v>43</v>
      </c>
      <c r="AE1338" t="s">
        <v>43</v>
      </c>
      <c r="AF1338" t="s">
        <v>43</v>
      </c>
      <c r="AG1338" t="s">
        <v>43</v>
      </c>
      <c r="AH1338" t="s">
        <v>43</v>
      </c>
      <c r="AI1338" t="s">
        <v>43</v>
      </c>
      <c r="AJ1338" t="s">
        <v>43</v>
      </c>
      <c r="AK1338" t="s">
        <v>43</v>
      </c>
      <c r="AL1338" t="s">
        <v>43</v>
      </c>
      <c r="AM1338" t="s">
        <v>43</v>
      </c>
      <c r="AN1338" t="str">
        <f>HYPERLINK("https://www.google.com/maps?q=11.05585003,79.06416321","Open Location")</f>
        <v>Open Location</v>
      </c>
    </row>
    <row r="1339" spans="1:40" x14ac:dyDescent="0.3">
      <c r="A1339" s="1">
        <v>46210.84479166667</v>
      </c>
      <c r="B1339" t="s">
        <v>40</v>
      </c>
      <c r="C1339" t="s">
        <v>41</v>
      </c>
      <c r="D1339" s="1">
        <v>46210.847557870373</v>
      </c>
      <c r="E1339" t="s">
        <v>42</v>
      </c>
      <c r="F1339" t="s">
        <v>43</v>
      </c>
      <c r="G1339" t="s">
        <v>43</v>
      </c>
      <c r="H1339" t="s">
        <v>43</v>
      </c>
      <c r="I1339" t="s">
        <v>642</v>
      </c>
      <c r="J1339" t="s">
        <v>43</v>
      </c>
      <c r="K1339" t="s">
        <v>43</v>
      </c>
      <c r="L1339" t="s">
        <v>43</v>
      </c>
      <c r="M1339" t="s">
        <v>43</v>
      </c>
      <c r="N1339" t="s">
        <v>45</v>
      </c>
      <c r="O1339" t="s">
        <v>43</v>
      </c>
      <c r="P1339" t="s">
        <v>43</v>
      </c>
      <c r="Q1339" t="s">
        <v>43</v>
      </c>
      <c r="R1339" t="s">
        <v>43</v>
      </c>
      <c r="S1339" t="s">
        <v>43</v>
      </c>
      <c r="T1339" t="s">
        <v>43</v>
      </c>
      <c r="U1339" t="s">
        <v>43</v>
      </c>
      <c r="V1339" t="s">
        <v>43</v>
      </c>
      <c r="W1339" t="s">
        <v>43</v>
      </c>
      <c r="X1339" t="s">
        <v>43</v>
      </c>
      <c r="Y1339" t="s">
        <v>43</v>
      </c>
      <c r="Z1339" t="s">
        <v>43</v>
      </c>
      <c r="AA1339" t="s">
        <v>43</v>
      </c>
      <c r="AB1339" t="s">
        <v>43</v>
      </c>
      <c r="AC1339" t="s">
        <v>43</v>
      </c>
      <c r="AD1339" t="s">
        <v>43</v>
      </c>
      <c r="AE1339" t="s">
        <v>43</v>
      </c>
      <c r="AF1339" t="s">
        <v>43</v>
      </c>
      <c r="AG1339" t="s">
        <v>43</v>
      </c>
      <c r="AH1339" t="s">
        <v>43</v>
      </c>
      <c r="AI1339" t="s">
        <v>43</v>
      </c>
      <c r="AJ1339" t="s">
        <v>43</v>
      </c>
      <c r="AK1339" t="s">
        <v>43</v>
      </c>
      <c r="AL1339" t="s">
        <v>43</v>
      </c>
      <c r="AM1339" t="s">
        <v>43</v>
      </c>
      <c r="AN1339" t="str">
        <f>HYPERLINK("https://www.google.com/maps?q=11.05585384,79.06416321","Open Location")</f>
        <v>Open Location</v>
      </c>
    </row>
    <row r="1340" spans="1:40" x14ac:dyDescent="0.3">
      <c r="A1340" s="1">
        <v>46210.844675925924</v>
      </c>
      <c r="B1340" t="s">
        <v>40</v>
      </c>
      <c r="C1340" t="s">
        <v>41</v>
      </c>
      <c r="D1340" s="1">
        <v>46210.847615740742</v>
      </c>
      <c r="E1340" t="s">
        <v>42</v>
      </c>
      <c r="F1340" t="s">
        <v>43</v>
      </c>
      <c r="G1340" t="s">
        <v>43</v>
      </c>
      <c r="H1340" t="s">
        <v>43</v>
      </c>
      <c r="I1340" t="s">
        <v>643</v>
      </c>
      <c r="J1340" t="s">
        <v>43</v>
      </c>
      <c r="K1340" t="s">
        <v>43</v>
      </c>
      <c r="L1340" t="s">
        <v>43</v>
      </c>
      <c r="M1340" t="s">
        <v>43</v>
      </c>
      <c r="N1340" t="s">
        <v>45</v>
      </c>
      <c r="O1340" t="s">
        <v>43</v>
      </c>
      <c r="P1340" t="s">
        <v>43</v>
      </c>
      <c r="Q1340" t="s">
        <v>43</v>
      </c>
      <c r="R1340" t="s">
        <v>43</v>
      </c>
      <c r="S1340" t="s">
        <v>43</v>
      </c>
      <c r="T1340" t="s">
        <v>43</v>
      </c>
      <c r="U1340" t="s">
        <v>43</v>
      </c>
      <c r="V1340" t="s">
        <v>43</v>
      </c>
      <c r="W1340" t="s">
        <v>43</v>
      </c>
      <c r="X1340" t="s">
        <v>43</v>
      </c>
      <c r="Y1340" t="s">
        <v>43</v>
      </c>
      <c r="Z1340" t="s">
        <v>43</v>
      </c>
      <c r="AA1340" t="s">
        <v>43</v>
      </c>
      <c r="AB1340" t="s">
        <v>43</v>
      </c>
      <c r="AC1340" t="s">
        <v>43</v>
      </c>
      <c r="AD1340" t="s">
        <v>43</v>
      </c>
      <c r="AE1340" t="s">
        <v>43</v>
      </c>
      <c r="AF1340" t="s">
        <v>43</v>
      </c>
      <c r="AG1340" t="s">
        <v>43</v>
      </c>
      <c r="AH1340" t="s">
        <v>43</v>
      </c>
      <c r="AI1340" t="s">
        <v>43</v>
      </c>
      <c r="AJ1340" t="s">
        <v>43</v>
      </c>
      <c r="AK1340" t="s">
        <v>43</v>
      </c>
      <c r="AL1340" t="s">
        <v>43</v>
      </c>
      <c r="AM1340" t="s">
        <v>43</v>
      </c>
      <c r="AN1340" t="str">
        <f>HYPERLINK("https://www.google.com/maps?q=11.05586243,79.06415558","Open Location")</f>
        <v>Open Location</v>
      </c>
    </row>
    <row r="1341" spans="1:40" x14ac:dyDescent="0.3">
      <c r="A1341" s="1">
        <v>46210.844560185185</v>
      </c>
      <c r="B1341" t="s">
        <v>40</v>
      </c>
      <c r="C1341" t="s">
        <v>41</v>
      </c>
      <c r="D1341" s="1">
        <v>46210.847557870373</v>
      </c>
      <c r="E1341" t="s">
        <v>42</v>
      </c>
      <c r="F1341" t="s">
        <v>43</v>
      </c>
      <c r="G1341" t="s">
        <v>43</v>
      </c>
      <c r="H1341" t="s">
        <v>43</v>
      </c>
      <c r="I1341" t="s">
        <v>644</v>
      </c>
      <c r="J1341" t="s">
        <v>43</v>
      </c>
      <c r="K1341" t="s">
        <v>43</v>
      </c>
      <c r="L1341" t="s">
        <v>43</v>
      </c>
      <c r="M1341" t="s">
        <v>43</v>
      </c>
      <c r="N1341" t="s">
        <v>45</v>
      </c>
      <c r="O1341" t="s">
        <v>43</v>
      </c>
      <c r="P1341" t="s">
        <v>43</v>
      </c>
      <c r="Q1341" t="s">
        <v>43</v>
      </c>
      <c r="R1341" t="s">
        <v>43</v>
      </c>
      <c r="S1341" t="s">
        <v>43</v>
      </c>
      <c r="T1341" t="s">
        <v>43</v>
      </c>
      <c r="U1341" t="s">
        <v>43</v>
      </c>
      <c r="V1341" t="s">
        <v>43</v>
      </c>
      <c r="W1341" t="s">
        <v>43</v>
      </c>
      <c r="X1341" t="s">
        <v>43</v>
      </c>
      <c r="Y1341" t="s">
        <v>43</v>
      </c>
      <c r="Z1341" t="s">
        <v>43</v>
      </c>
      <c r="AA1341" t="s">
        <v>43</v>
      </c>
      <c r="AB1341" t="s">
        <v>43</v>
      </c>
      <c r="AC1341" t="s">
        <v>43</v>
      </c>
      <c r="AD1341" t="s">
        <v>43</v>
      </c>
      <c r="AE1341" t="s">
        <v>43</v>
      </c>
      <c r="AF1341" t="s">
        <v>43</v>
      </c>
      <c r="AG1341" t="s">
        <v>43</v>
      </c>
      <c r="AH1341" t="s">
        <v>43</v>
      </c>
      <c r="AI1341" t="s">
        <v>43</v>
      </c>
      <c r="AJ1341" t="s">
        <v>43</v>
      </c>
      <c r="AK1341" t="s">
        <v>43</v>
      </c>
      <c r="AL1341" t="s">
        <v>43</v>
      </c>
      <c r="AM1341" t="s">
        <v>43</v>
      </c>
      <c r="AN1341" t="str">
        <f>HYPERLINK("https://www.google.com/maps?q=11.0558672,79.06414032","Open Location")</f>
        <v>Open Location</v>
      </c>
    </row>
    <row r="1342" spans="1:40" x14ac:dyDescent="0.3">
      <c r="A1342" s="1">
        <v>46210.844444444447</v>
      </c>
      <c r="B1342" t="s">
        <v>40</v>
      </c>
      <c r="C1342" t="s">
        <v>41</v>
      </c>
      <c r="D1342" s="1">
        <v>46210.847488425927</v>
      </c>
      <c r="E1342" t="s">
        <v>42</v>
      </c>
      <c r="F1342" t="s">
        <v>43</v>
      </c>
      <c r="G1342" t="s">
        <v>43</v>
      </c>
      <c r="H1342" t="s">
        <v>43</v>
      </c>
      <c r="I1342" t="s">
        <v>43</v>
      </c>
      <c r="J1342" t="s">
        <v>43</v>
      </c>
      <c r="K1342" t="s">
        <v>43</v>
      </c>
      <c r="L1342" t="s">
        <v>43</v>
      </c>
      <c r="M1342" t="s">
        <v>43</v>
      </c>
      <c r="N1342" t="s">
        <v>45</v>
      </c>
      <c r="O1342" t="s">
        <v>43</v>
      </c>
      <c r="P1342" t="s">
        <v>43</v>
      </c>
      <c r="Q1342" t="s">
        <v>43</v>
      </c>
      <c r="R1342" t="s">
        <v>43</v>
      </c>
      <c r="S1342" t="s">
        <v>43</v>
      </c>
      <c r="T1342" t="s">
        <v>43</v>
      </c>
      <c r="U1342" t="s">
        <v>43</v>
      </c>
      <c r="V1342" t="s">
        <v>43</v>
      </c>
      <c r="W1342" t="s">
        <v>43</v>
      </c>
      <c r="X1342" t="s">
        <v>43</v>
      </c>
      <c r="Y1342" t="s">
        <v>43</v>
      </c>
      <c r="Z1342" t="s">
        <v>43</v>
      </c>
      <c r="AA1342" t="s">
        <v>43</v>
      </c>
      <c r="AB1342" t="s">
        <v>43</v>
      </c>
      <c r="AC1342" t="s">
        <v>43</v>
      </c>
      <c r="AD1342" t="s">
        <v>43</v>
      </c>
      <c r="AE1342" t="s">
        <v>43</v>
      </c>
      <c r="AF1342" t="s">
        <v>43</v>
      </c>
      <c r="AG1342" t="s">
        <v>43</v>
      </c>
      <c r="AH1342" t="s">
        <v>43</v>
      </c>
      <c r="AI1342" t="s">
        <v>43</v>
      </c>
      <c r="AJ1342" t="s">
        <v>43</v>
      </c>
      <c r="AK1342" t="s">
        <v>43</v>
      </c>
      <c r="AL1342" t="s">
        <v>43</v>
      </c>
      <c r="AM1342" t="s">
        <v>43</v>
      </c>
      <c r="AN1342" t="s">
        <v>43</v>
      </c>
    </row>
    <row r="1343" spans="1:40" x14ac:dyDescent="0.3">
      <c r="A1343" s="1">
        <v>46210.844328703701</v>
      </c>
      <c r="B1343" t="s">
        <v>40</v>
      </c>
      <c r="C1343" t="s">
        <v>41</v>
      </c>
      <c r="D1343" s="1">
        <v>46210.847002314818</v>
      </c>
      <c r="E1343" t="s">
        <v>42</v>
      </c>
      <c r="F1343" t="s">
        <v>43</v>
      </c>
      <c r="G1343" t="s">
        <v>43</v>
      </c>
      <c r="H1343" t="s">
        <v>43</v>
      </c>
      <c r="I1343" t="s">
        <v>645</v>
      </c>
      <c r="J1343" t="s">
        <v>43</v>
      </c>
      <c r="K1343" t="s">
        <v>43</v>
      </c>
      <c r="L1343" t="s">
        <v>43</v>
      </c>
      <c r="M1343" t="s">
        <v>43</v>
      </c>
      <c r="N1343" t="s">
        <v>45</v>
      </c>
      <c r="O1343" t="s">
        <v>43</v>
      </c>
      <c r="P1343" t="s">
        <v>43</v>
      </c>
      <c r="Q1343" t="s">
        <v>43</v>
      </c>
      <c r="R1343" t="s">
        <v>43</v>
      </c>
      <c r="S1343" t="s">
        <v>43</v>
      </c>
      <c r="T1343" t="s">
        <v>43</v>
      </c>
      <c r="U1343" t="s">
        <v>43</v>
      </c>
      <c r="V1343" t="s">
        <v>43</v>
      </c>
      <c r="W1343" t="s">
        <v>43</v>
      </c>
      <c r="X1343" t="s">
        <v>43</v>
      </c>
      <c r="Y1343" t="s">
        <v>43</v>
      </c>
      <c r="Z1343" t="s">
        <v>43</v>
      </c>
      <c r="AA1343" t="s">
        <v>43</v>
      </c>
      <c r="AB1343" t="s">
        <v>43</v>
      </c>
      <c r="AC1343" t="s">
        <v>43</v>
      </c>
      <c r="AD1343" t="s">
        <v>43</v>
      </c>
      <c r="AE1343" t="s">
        <v>43</v>
      </c>
      <c r="AF1343" t="s">
        <v>43</v>
      </c>
      <c r="AG1343" t="s">
        <v>43</v>
      </c>
      <c r="AH1343" t="s">
        <v>43</v>
      </c>
      <c r="AI1343" t="s">
        <v>43</v>
      </c>
      <c r="AJ1343" t="s">
        <v>43</v>
      </c>
      <c r="AK1343" t="s">
        <v>43</v>
      </c>
      <c r="AL1343" t="s">
        <v>43</v>
      </c>
      <c r="AM1343" t="s">
        <v>43</v>
      </c>
      <c r="AN1343" t="str">
        <f>HYPERLINK("https://www.google.com/maps?q=11.05587006,79.06414032","Open Location")</f>
        <v>Open Location</v>
      </c>
    </row>
    <row r="1344" spans="1:40" x14ac:dyDescent="0.3">
      <c r="A1344" s="1">
        <v>46210.844212962962</v>
      </c>
      <c r="B1344" t="s">
        <v>40</v>
      </c>
      <c r="C1344" t="s">
        <v>41</v>
      </c>
      <c r="D1344" s="1">
        <v>46210.847025462965</v>
      </c>
      <c r="E1344" t="s">
        <v>42</v>
      </c>
      <c r="F1344" t="s">
        <v>43</v>
      </c>
      <c r="G1344" t="s">
        <v>43</v>
      </c>
      <c r="H1344" t="s">
        <v>43</v>
      </c>
      <c r="I1344" t="s">
        <v>646</v>
      </c>
      <c r="J1344" t="s">
        <v>43</v>
      </c>
      <c r="K1344" t="s">
        <v>43</v>
      </c>
      <c r="L1344" t="s">
        <v>43</v>
      </c>
      <c r="M1344" t="s">
        <v>43</v>
      </c>
      <c r="N1344" t="s">
        <v>45</v>
      </c>
      <c r="O1344" t="s">
        <v>43</v>
      </c>
      <c r="P1344" t="s">
        <v>43</v>
      </c>
      <c r="Q1344" t="s">
        <v>43</v>
      </c>
      <c r="R1344" t="s">
        <v>43</v>
      </c>
      <c r="S1344" t="s">
        <v>43</v>
      </c>
      <c r="T1344" t="s">
        <v>43</v>
      </c>
      <c r="U1344" t="s">
        <v>43</v>
      </c>
      <c r="V1344" t="s">
        <v>43</v>
      </c>
      <c r="W1344" t="s">
        <v>43</v>
      </c>
      <c r="X1344" t="s">
        <v>43</v>
      </c>
      <c r="Y1344" t="s">
        <v>43</v>
      </c>
      <c r="Z1344" t="s">
        <v>43</v>
      </c>
      <c r="AA1344" t="s">
        <v>43</v>
      </c>
      <c r="AB1344" t="s">
        <v>43</v>
      </c>
      <c r="AC1344" t="s">
        <v>43</v>
      </c>
      <c r="AD1344" t="s">
        <v>43</v>
      </c>
      <c r="AE1344" t="s">
        <v>43</v>
      </c>
      <c r="AF1344" t="s">
        <v>43</v>
      </c>
      <c r="AG1344" t="s">
        <v>43</v>
      </c>
      <c r="AH1344" t="s">
        <v>43</v>
      </c>
      <c r="AI1344" t="s">
        <v>43</v>
      </c>
      <c r="AJ1344" t="s">
        <v>43</v>
      </c>
      <c r="AK1344" t="s">
        <v>43</v>
      </c>
      <c r="AL1344" t="s">
        <v>43</v>
      </c>
      <c r="AM1344" t="s">
        <v>43</v>
      </c>
      <c r="AN1344" t="str">
        <f>HYPERLINK("https://www.google.com/maps?q=11.05587292,79.06415558","Open Location")</f>
        <v>Open Location</v>
      </c>
    </row>
    <row r="1345" spans="1:40" x14ac:dyDescent="0.3">
      <c r="A1345" s="1">
        <v>46210.844097222223</v>
      </c>
      <c r="B1345" t="s">
        <v>40</v>
      </c>
      <c r="C1345" t="s">
        <v>41</v>
      </c>
      <c r="D1345" s="1">
        <v>46210.84684027778</v>
      </c>
      <c r="E1345" t="s">
        <v>42</v>
      </c>
      <c r="F1345" t="s">
        <v>43</v>
      </c>
      <c r="G1345" t="s">
        <v>43</v>
      </c>
      <c r="H1345" t="s">
        <v>43</v>
      </c>
      <c r="I1345" t="s">
        <v>647</v>
      </c>
      <c r="J1345" t="s">
        <v>43</v>
      </c>
      <c r="K1345" t="s">
        <v>43</v>
      </c>
      <c r="L1345" t="s">
        <v>43</v>
      </c>
      <c r="M1345" t="s">
        <v>43</v>
      </c>
      <c r="N1345" t="s">
        <v>45</v>
      </c>
      <c r="O1345" t="s">
        <v>43</v>
      </c>
      <c r="P1345" t="s">
        <v>43</v>
      </c>
      <c r="Q1345" t="s">
        <v>43</v>
      </c>
      <c r="R1345" t="s">
        <v>43</v>
      </c>
      <c r="S1345" t="s">
        <v>43</v>
      </c>
      <c r="T1345" t="s">
        <v>43</v>
      </c>
      <c r="U1345" t="s">
        <v>43</v>
      </c>
      <c r="V1345" t="s">
        <v>43</v>
      </c>
      <c r="W1345" t="s">
        <v>43</v>
      </c>
      <c r="X1345" t="s">
        <v>43</v>
      </c>
      <c r="Y1345" t="s">
        <v>43</v>
      </c>
      <c r="Z1345" t="s">
        <v>43</v>
      </c>
      <c r="AA1345" t="s">
        <v>43</v>
      </c>
      <c r="AB1345" t="s">
        <v>43</v>
      </c>
      <c r="AC1345" t="s">
        <v>43</v>
      </c>
      <c r="AD1345" t="s">
        <v>43</v>
      </c>
      <c r="AE1345" t="s">
        <v>43</v>
      </c>
      <c r="AF1345" t="s">
        <v>43</v>
      </c>
      <c r="AG1345" t="s">
        <v>43</v>
      </c>
      <c r="AH1345" t="s">
        <v>43</v>
      </c>
      <c r="AI1345" t="s">
        <v>43</v>
      </c>
      <c r="AJ1345" t="s">
        <v>43</v>
      </c>
      <c r="AK1345" t="s">
        <v>43</v>
      </c>
      <c r="AL1345" t="s">
        <v>43</v>
      </c>
      <c r="AM1345" t="s">
        <v>43</v>
      </c>
      <c r="AN1345" t="str">
        <f>HYPERLINK("https://www.google.com/maps?q=11.05587769,79.06415558","Open Location")</f>
        <v>Open Location</v>
      </c>
    </row>
    <row r="1346" spans="1:40" x14ac:dyDescent="0.3">
      <c r="A1346" s="1">
        <v>46210.843981481485</v>
      </c>
      <c r="B1346" t="s">
        <v>40</v>
      </c>
      <c r="C1346" t="s">
        <v>41</v>
      </c>
      <c r="D1346" s="1">
        <v>46210.846875000003</v>
      </c>
      <c r="E1346" t="s">
        <v>42</v>
      </c>
      <c r="F1346" t="s">
        <v>43</v>
      </c>
      <c r="G1346" t="s">
        <v>43</v>
      </c>
      <c r="H1346" t="s">
        <v>43</v>
      </c>
      <c r="I1346" t="s">
        <v>43</v>
      </c>
      <c r="J1346" t="s">
        <v>43</v>
      </c>
      <c r="K1346" t="s">
        <v>43</v>
      </c>
      <c r="L1346" t="s">
        <v>43</v>
      </c>
      <c r="M1346" t="s">
        <v>43</v>
      </c>
      <c r="N1346" t="s">
        <v>45</v>
      </c>
      <c r="O1346" t="s">
        <v>43</v>
      </c>
      <c r="P1346" t="s">
        <v>43</v>
      </c>
      <c r="Q1346" t="s">
        <v>43</v>
      </c>
      <c r="R1346" t="s">
        <v>43</v>
      </c>
      <c r="S1346" t="s">
        <v>43</v>
      </c>
      <c r="T1346" t="s">
        <v>43</v>
      </c>
      <c r="U1346" t="s">
        <v>43</v>
      </c>
      <c r="V1346" t="s">
        <v>43</v>
      </c>
      <c r="W1346" t="s">
        <v>43</v>
      </c>
      <c r="X1346" t="s">
        <v>43</v>
      </c>
      <c r="Y1346" t="s">
        <v>43</v>
      </c>
      <c r="Z1346" t="s">
        <v>43</v>
      </c>
      <c r="AA1346" t="s">
        <v>43</v>
      </c>
      <c r="AB1346" t="s">
        <v>43</v>
      </c>
      <c r="AC1346" t="s">
        <v>43</v>
      </c>
      <c r="AD1346" t="s">
        <v>43</v>
      </c>
      <c r="AE1346" t="s">
        <v>43</v>
      </c>
      <c r="AF1346" t="s">
        <v>43</v>
      </c>
      <c r="AG1346" t="s">
        <v>43</v>
      </c>
      <c r="AH1346" t="s">
        <v>43</v>
      </c>
      <c r="AI1346" t="s">
        <v>43</v>
      </c>
      <c r="AJ1346" t="s">
        <v>43</v>
      </c>
      <c r="AK1346" t="s">
        <v>43</v>
      </c>
      <c r="AL1346" t="s">
        <v>43</v>
      </c>
      <c r="AM1346" t="s">
        <v>43</v>
      </c>
      <c r="AN1346" t="s">
        <v>43</v>
      </c>
    </row>
    <row r="1347" spans="1:40" x14ac:dyDescent="0.3">
      <c r="A1347" s="1">
        <v>46210.843865740739</v>
      </c>
      <c r="B1347" t="s">
        <v>40</v>
      </c>
      <c r="C1347" t="s">
        <v>41</v>
      </c>
      <c r="D1347" s="1">
        <v>46210.846597222226</v>
      </c>
      <c r="E1347" t="s">
        <v>42</v>
      </c>
      <c r="F1347" t="s">
        <v>43</v>
      </c>
      <c r="G1347" t="s">
        <v>43</v>
      </c>
      <c r="H1347" t="s">
        <v>43</v>
      </c>
      <c r="I1347" t="s">
        <v>648</v>
      </c>
      <c r="J1347" t="s">
        <v>43</v>
      </c>
      <c r="K1347" t="s">
        <v>43</v>
      </c>
      <c r="L1347" t="s">
        <v>43</v>
      </c>
      <c r="M1347" t="s">
        <v>43</v>
      </c>
      <c r="N1347" t="s">
        <v>45</v>
      </c>
      <c r="O1347" t="s">
        <v>43</v>
      </c>
      <c r="P1347" t="s">
        <v>43</v>
      </c>
      <c r="Q1347" t="s">
        <v>43</v>
      </c>
      <c r="R1347" t="s">
        <v>43</v>
      </c>
      <c r="S1347" t="s">
        <v>43</v>
      </c>
      <c r="T1347" t="s">
        <v>43</v>
      </c>
      <c r="U1347" t="s">
        <v>43</v>
      </c>
      <c r="V1347" t="s">
        <v>43</v>
      </c>
      <c r="W1347" t="s">
        <v>43</v>
      </c>
      <c r="X1347" t="s">
        <v>43</v>
      </c>
      <c r="Y1347" t="s">
        <v>43</v>
      </c>
      <c r="Z1347" t="s">
        <v>43</v>
      </c>
      <c r="AA1347" t="s">
        <v>43</v>
      </c>
      <c r="AB1347" t="s">
        <v>43</v>
      </c>
      <c r="AC1347" t="s">
        <v>43</v>
      </c>
      <c r="AD1347" t="s">
        <v>43</v>
      </c>
      <c r="AE1347" t="s">
        <v>43</v>
      </c>
      <c r="AF1347" t="s">
        <v>43</v>
      </c>
      <c r="AG1347" t="s">
        <v>43</v>
      </c>
      <c r="AH1347" t="s">
        <v>43</v>
      </c>
      <c r="AI1347" t="s">
        <v>43</v>
      </c>
      <c r="AJ1347" t="s">
        <v>43</v>
      </c>
      <c r="AK1347" t="s">
        <v>43</v>
      </c>
      <c r="AL1347" t="s">
        <v>43</v>
      </c>
      <c r="AM1347" t="s">
        <v>43</v>
      </c>
      <c r="AN1347" t="str">
        <f>HYPERLINK("https://www.google.com/maps?q=11.05587387,79.06415558","Open Location")</f>
        <v>Open Location</v>
      </c>
    </row>
    <row r="1348" spans="1:40" x14ac:dyDescent="0.3">
      <c r="A1348" s="1">
        <v>46210.84375</v>
      </c>
      <c r="B1348" t="s">
        <v>40</v>
      </c>
      <c r="C1348" t="s">
        <v>41</v>
      </c>
      <c r="D1348" s="1">
        <v>46210.846678240741</v>
      </c>
      <c r="E1348" t="s">
        <v>42</v>
      </c>
      <c r="F1348" t="s">
        <v>43</v>
      </c>
      <c r="G1348" t="s">
        <v>43</v>
      </c>
      <c r="H1348" t="s">
        <v>43</v>
      </c>
      <c r="I1348" t="s">
        <v>43</v>
      </c>
      <c r="J1348" t="s">
        <v>43</v>
      </c>
      <c r="K1348" t="s">
        <v>43</v>
      </c>
      <c r="L1348" t="s">
        <v>43</v>
      </c>
      <c r="M1348" t="s">
        <v>43</v>
      </c>
      <c r="N1348" t="s">
        <v>45</v>
      </c>
      <c r="O1348" t="s">
        <v>43</v>
      </c>
      <c r="P1348" t="s">
        <v>43</v>
      </c>
      <c r="Q1348" t="s">
        <v>43</v>
      </c>
      <c r="R1348" t="s">
        <v>43</v>
      </c>
      <c r="S1348" t="s">
        <v>43</v>
      </c>
      <c r="T1348" t="s">
        <v>43</v>
      </c>
      <c r="U1348" t="s">
        <v>43</v>
      </c>
      <c r="V1348" t="s">
        <v>43</v>
      </c>
      <c r="W1348" t="s">
        <v>43</v>
      </c>
      <c r="X1348" t="s">
        <v>43</v>
      </c>
      <c r="Y1348" t="s">
        <v>43</v>
      </c>
      <c r="Z1348" t="s">
        <v>43</v>
      </c>
      <c r="AA1348" t="s">
        <v>43</v>
      </c>
      <c r="AB1348" t="s">
        <v>43</v>
      </c>
      <c r="AC1348" t="s">
        <v>43</v>
      </c>
      <c r="AD1348" t="s">
        <v>43</v>
      </c>
      <c r="AE1348" t="s">
        <v>43</v>
      </c>
      <c r="AF1348" t="s">
        <v>43</v>
      </c>
      <c r="AG1348" t="s">
        <v>43</v>
      </c>
      <c r="AH1348" t="s">
        <v>43</v>
      </c>
      <c r="AI1348" t="s">
        <v>43</v>
      </c>
      <c r="AJ1348" t="s">
        <v>43</v>
      </c>
      <c r="AK1348" t="s">
        <v>43</v>
      </c>
      <c r="AL1348" t="s">
        <v>43</v>
      </c>
      <c r="AM1348" t="s">
        <v>43</v>
      </c>
      <c r="AN1348" t="s">
        <v>43</v>
      </c>
    </row>
    <row r="1349" spans="1:40" x14ac:dyDescent="0.3">
      <c r="A1349" s="1">
        <v>46210.843634259261</v>
      </c>
      <c r="B1349" t="s">
        <v>40</v>
      </c>
      <c r="C1349" t="s">
        <v>41</v>
      </c>
      <c r="D1349" s="1">
        <v>46210.846400462964</v>
      </c>
      <c r="E1349" t="s">
        <v>42</v>
      </c>
      <c r="F1349" t="s">
        <v>43</v>
      </c>
      <c r="G1349" t="s">
        <v>43</v>
      </c>
      <c r="H1349" t="s">
        <v>43</v>
      </c>
      <c r="I1349" t="s">
        <v>649</v>
      </c>
      <c r="J1349" t="s">
        <v>43</v>
      </c>
      <c r="K1349" t="s">
        <v>43</v>
      </c>
      <c r="L1349" t="s">
        <v>43</v>
      </c>
      <c r="M1349" t="s">
        <v>43</v>
      </c>
      <c r="N1349" t="s">
        <v>45</v>
      </c>
      <c r="O1349" t="s">
        <v>43</v>
      </c>
      <c r="P1349" t="s">
        <v>43</v>
      </c>
      <c r="Q1349" t="s">
        <v>43</v>
      </c>
      <c r="R1349" t="s">
        <v>43</v>
      </c>
      <c r="S1349" t="s">
        <v>43</v>
      </c>
      <c r="T1349" t="s">
        <v>43</v>
      </c>
      <c r="U1349" t="s">
        <v>43</v>
      </c>
      <c r="V1349" t="s">
        <v>43</v>
      </c>
      <c r="W1349" t="s">
        <v>43</v>
      </c>
      <c r="X1349" t="s">
        <v>43</v>
      </c>
      <c r="Y1349" t="s">
        <v>43</v>
      </c>
      <c r="Z1349" t="s">
        <v>43</v>
      </c>
      <c r="AA1349" t="s">
        <v>43</v>
      </c>
      <c r="AB1349" t="s">
        <v>43</v>
      </c>
      <c r="AC1349" t="s">
        <v>43</v>
      </c>
      <c r="AD1349" t="s">
        <v>43</v>
      </c>
      <c r="AE1349" t="s">
        <v>43</v>
      </c>
      <c r="AF1349" t="s">
        <v>43</v>
      </c>
      <c r="AG1349" t="s">
        <v>43</v>
      </c>
      <c r="AH1349" t="s">
        <v>43</v>
      </c>
      <c r="AI1349" t="s">
        <v>43</v>
      </c>
      <c r="AJ1349" t="s">
        <v>43</v>
      </c>
      <c r="AK1349" t="s">
        <v>43</v>
      </c>
      <c r="AL1349" t="s">
        <v>43</v>
      </c>
      <c r="AM1349" t="s">
        <v>43</v>
      </c>
      <c r="AN1349" t="str">
        <f>HYPERLINK("https://www.google.com/maps?q=11.05587482,79.06415558","Open Location")</f>
        <v>Open Location</v>
      </c>
    </row>
    <row r="1350" spans="1:40" x14ac:dyDescent="0.3">
      <c r="A1350" s="1">
        <v>46210.843518518515</v>
      </c>
      <c r="B1350" t="s">
        <v>40</v>
      </c>
      <c r="C1350" t="s">
        <v>41</v>
      </c>
      <c r="D1350" s="1">
        <v>46210.846446759257</v>
      </c>
      <c r="E1350" t="s">
        <v>42</v>
      </c>
      <c r="F1350" t="s">
        <v>43</v>
      </c>
      <c r="G1350" t="s">
        <v>43</v>
      </c>
      <c r="H1350" t="s">
        <v>43</v>
      </c>
      <c r="I1350" t="s">
        <v>650</v>
      </c>
      <c r="J1350" t="s">
        <v>43</v>
      </c>
      <c r="K1350" t="s">
        <v>43</v>
      </c>
      <c r="L1350" t="s">
        <v>43</v>
      </c>
      <c r="M1350" t="s">
        <v>43</v>
      </c>
      <c r="N1350" t="s">
        <v>45</v>
      </c>
      <c r="O1350" t="s">
        <v>43</v>
      </c>
      <c r="P1350" t="s">
        <v>43</v>
      </c>
      <c r="Q1350" t="s">
        <v>43</v>
      </c>
      <c r="R1350" t="s">
        <v>43</v>
      </c>
      <c r="S1350" t="s">
        <v>43</v>
      </c>
      <c r="T1350" t="s">
        <v>43</v>
      </c>
      <c r="U1350" t="s">
        <v>43</v>
      </c>
      <c r="V1350" t="s">
        <v>43</v>
      </c>
      <c r="W1350" t="s">
        <v>43</v>
      </c>
      <c r="X1350" t="s">
        <v>43</v>
      </c>
      <c r="Y1350" t="s">
        <v>43</v>
      </c>
      <c r="Z1350" t="s">
        <v>43</v>
      </c>
      <c r="AA1350" t="s">
        <v>43</v>
      </c>
      <c r="AB1350" t="s">
        <v>43</v>
      </c>
      <c r="AC1350" t="s">
        <v>43</v>
      </c>
      <c r="AD1350" t="s">
        <v>43</v>
      </c>
      <c r="AE1350" t="s">
        <v>43</v>
      </c>
      <c r="AF1350" t="s">
        <v>43</v>
      </c>
      <c r="AG1350" t="s">
        <v>43</v>
      </c>
      <c r="AH1350" t="s">
        <v>43</v>
      </c>
      <c r="AI1350" t="s">
        <v>43</v>
      </c>
      <c r="AJ1350" t="s">
        <v>43</v>
      </c>
      <c r="AK1350" t="s">
        <v>43</v>
      </c>
      <c r="AL1350" t="s">
        <v>43</v>
      </c>
      <c r="AM1350" t="s">
        <v>43</v>
      </c>
      <c r="AN1350" t="str">
        <f>HYPERLINK("https://www.google.com/maps?q=11.05587673,79.06413269","Open Location")</f>
        <v>Open Location</v>
      </c>
    </row>
    <row r="1351" spans="1:40" x14ac:dyDescent="0.3">
      <c r="A1351" s="1">
        <v>46210.843402777777</v>
      </c>
      <c r="B1351" t="s">
        <v>40</v>
      </c>
      <c r="C1351" t="s">
        <v>41</v>
      </c>
      <c r="D1351" s="1">
        <v>46210.846041666664</v>
      </c>
      <c r="E1351" t="s">
        <v>42</v>
      </c>
      <c r="F1351" t="s">
        <v>43</v>
      </c>
      <c r="G1351" t="s">
        <v>43</v>
      </c>
      <c r="H1351" t="s">
        <v>43</v>
      </c>
      <c r="I1351" t="s">
        <v>43</v>
      </c>
      <c r="J1351" t="s">
        <v>43</v>
      </c>
      <c r="K1351" t="s">
        <v>43</v>
      </c>
      <c r="L1351" t="s">
        <v>43</v>
      </c>
      <c r="M1351" t="s">
        <v>43</v>
      </c>
      <c r="N1351" t="s">
        <v>45</v>
      </c>
      <c r="O1351" t="s">
        <v>43</v>
      </c>
      <c r="P1351" t="s">
        <v>43</v>
      </c>
      <c r="Q1351" t="s">
        <v>43</v>
      </c>
      <c r="R1351" t="s">
        <v>43</v>
      </c>
      <c r="S1351" t="s">
        <v>43</v>
      </c>
      <c r="T1351" t="s">
        <v>43</v>
      </c>
      <c r="U1351" t="s">
        <v>43</v>
      </c>
      <c r="V1351" t="s">
        <v>43</v>
      </c>
      <c r="W1351" t="s">
        <v>43</v>
      </c>
      <c r="X1351" t="s">
        <v>43</v>
      </c>
      <c r="Y1351" t="s">
        <v>43</v>
      </c>
      <c r="Z1351" t="s">
        <v>43</v>
      </c>
      <c r="AA1351" t="s">
        <v>43</v>
      </c>
      <c r="AB1351" t="s">
        <v>43</v>
      </c>
      <c r="AC1351" t="s">
        <v>43</v>
      </c>
      <c r="AD1351" t="s">
        <v>43</v>
      </c>
      <c r="AE1351" t="s">
        <v>43</v>
      </c>
      <c r="AF1351" t="s">
        <v>43</v>
      </c>
      <c r="AG1351" t="s">
        <v>43</v>
      </c>
      <c r="AH1351" t="s">
        <v>43</v>
      </c>
      <c r="AI1351" t="s">
        <v>43</v>
      </c>
      <c r="AJ1351" t="s">
        <v>43</v>
      </c>
      <c r="AK1351" t="s">
        <v>43</v>
      </c>
      <c r="AL1351" t="s">
        <v>43</v>
      </c>
      <c r="AM1351" t="s">
        <v>43</v>
      </c>
      <c r="AN1351" t="s">
        <v>43</v>
      </c>
    </row>
    <row r="1352" spans="1:40" x14ac:dyDescent="0.3">
      <c r="A1352" s="1">
        <v>46210.843287037038</v>
      </c>
      <c r="B1352" t="s">
        <v>40</v>
      </c>
      <c r="C1352" t="s">
        <v>41</v>
      </c>
      <c r="D1352" s="1">
        <v>46210.846122685187</v>
      </c>
      <c r="E1352" t="s">
        <v>42</v>
      </c>
      <c r="F1352" t="s">
        <v>43</v>
      </c>
      <c r="G1352" t="s">
        <v>43</v>
      </c>
      <c r="H1352" t="s">
        <v>43</v>
      </c>
      <c r="I1352" t="s">
        <v>650</v>
      </c>
      <c r="J1352" t="s">
        <v>43</v>
      </c>
      <c r="K1352" t="s">
        <v>43</v>
      </c>
      <c r="L1352" t="s">
        <v>43</v>
      </c>
      <c r="M1352" t="s">
        <v>43</v>
      </c>
      <c r="N1352" t="s">
        <v>45</v>
      </c>
      <c r="O1352" t="s">
        <v>43</v>
      </c>
      <c r="P1352" t="s">
        <v>43</v>
      </c>
      <c r="Q1352" t="s">
        <v>43</v>
      </c>
      <c r="R1352" t="s">
        <v>43</v>
      </c>
      <c r="S1352" t="s">
        <v>43</v>
      </c>
      <c r="T1352" t="s">
        <v>43</v>
      </c>
      <c r="U1352" t="s">
        <v>43</v>
      </c>
      <c r="V1352" t="s">
        <v>43</v>
      </c>
      <c r="W1352" t="s">
        <v>43</v>
      </c>
      <c r="X1352" t="s">
        <v>43</v>
      </c>
      <c r="Y1352" t="s">
        <v>43</v>
      </c>
      <c r="Z1352" t="s">
        <v>43</v>
      </c>
      <c r="AA1352" t="s">
        <v>43</v>
      </c>
      <c r="AB1352" t="s">
        <v>43</v>
      </c>
      <c r="AC1352" t="s">
        <v>43</v>
      </c>
      <c r="AD1352" t="s">
        <v>43</v>
      </c>
      <c r="AE1352" t="s">
        <v>43</v>
      </c>
      <c r="AF1352" t="s">
        <v>43</v>
      </c>
      <c r="AG1352" t="s">
        <v>43</v>
      </c>
      <c r="AH1352" t="s">
        <v>43</v>
      </c>
      <c r="AI1352" t="s">
        <v>43</v>
      </c>
      <c r="AJ1352" t="s">
        <v>43</v>
      </c>
      <c r="AK1352" t="s">
        <v>43</v>
      </c>
      <c r="AL1352" t="s">
        <v>43</v>
      </c>
      <c r="AM1352" t="s">
        <v>43</v>
      </c>
      <c r="AN1352" t="str">
        <f>HYPERLINK("https://www.google.com/maps?q=11.05587673,79.06413269","Open Location")</f>
        <v>Open Location</v>
      </c>
    </row>
    <row r="1353" spans="1:40" x14ac:dyDescent="0.3">
      <c r="A1353" s="1">
        <v>46210.843171296299</v>
      </c>
      <c r="B1353" t="s">
        <v>40</v>
      </c>
      <c r="C1353" t="s">
        <v>41</v>
      </c>
      <c r="D1353" s="1">
        <v>46210.845810185187</v>
      </c>
      <c r="E1353" t="s">
        <v>42</v>
      </c>
      <c r="F1353" t="s">
        <v>43</v>
      </c>
      <c r="G1353" t="s">
        <v>43</v>
      </c>
      <c r="H1353" t="s">
        <v>43</v>
      </c>
      <c r="I1353" t="s">
        <v>651</v>
      </c>
      <c r="J1353" t="s">
        <v>43</v>
      </c>
      <c r="K1353" t="s">
        <v>43</v>
      </c>
      <c r="L1353" t="s">
        <v>43</v>
      </c>
      <c r="M1353" t="s">
        <v>43</v>
      </c>
      <c r="N1353" t="s">
        <v>45</v>
      </c>
      <c r="O1353" t="s">
        <v>43</v>
      </c>
      <c r="P1353" t="s">
        <v>43</v>
      </c>
      <c r="Q1353" t="s">
        <v>43</v>
      </c>
      <c r="R1353" t="s">
        <v>43</v>
      </c>
      <c r="S1353" t="s">
        <v>43</v>
      </c>
      <c r="T1353" t="s">
        <v>43</v>
      </c>
      <c r="U1353" t="s">
        <v>43</v>
      </c>
      <c r="V1353" t="s">
        <v>43</v>
      </c>
      <c r="W1353" t="s">
        <v>43</v>
      </c>
      <c r="X1353" t="s">
        <v>43</v>
      </c>
      <c r="Y1353" t="s">
        <v>43</v>
      </c>
      <c r="Z1353" t="s">
        <v>43</v>
      </c>
      <c r="AA1353" t="s">
        <v>43</v>
      </c>
      <c r="AB1353" t="s">
        <v>43</v>
      </c>
      <c r="AC1353" t="s">
        <v>43</v>
      </c>
      <c r="AD1353" t="s">
        <v>43</v>
      </c>
      <c r="AE1353" t="s">
        <v>43</v>
      </c>
      <c r="AF1353" t="s">
        <v>43</v>
      </c>
      <c r="AG1353" t="s">
        <v>43</v>
      </c>
      <c r="AH1353" t="s">
        <v>43</v>
      </c>
      <c r="AI1353" t="s">
        <v>43</v>
      </c>
      <c r="AJ1353" t="s">
        <v>43</v>
      </c>
      <c r="AK1353" t="s">
        <v>43</v>
      </c>
      <c r="AL1353" t="s">
        <v>43</v>
      </c>
      <c r="AM1353" t="s">
        <v>43</v>
      </c>
      <c r="AN1353" t="str">
        <f>HYPERLINK("https://www.google.com/maps?q=11.05587482,79.06413269","Open Location")</f>
        <v>Open Location</v>
      </c>
    </row>
    <row r="1354" spans="1:40" x14ac:dyDescent="0.3">
      <c r="A1354" s="1">
        <v>46210.843055555553</v>
      </c>
      <c r="B1354" t="s">
        <v>40</v>
      </c>
      <c r="C1354" t="s">
        <v>41</v>
      </c>
      <c r="D1354" s="1">
        <v>46210.846226851849</v>
      </c>
      <c r="E1354" t="s">
        <v>42</v>
      </c>
      <c r="F1354" t="s">
        <v>43</v>
      </c>
      <c r="G1354" t="s">
        <v>43</v>
      </c>
      <c r="H1354" t="s">
        <v>43</v>
      </c>
      <c r="I1354" t="s">
        <v>652</v>
      </c>
      <c r="J1354" t="s">
        <v>43</v>
      </c>
      <c r="K1354" t="s">
        <v>43</v>
      </c>
      <c r="L1354" t="s">
        <v>43</v>
      </c>
      <c r="M1354" t="s">
        <v>43</v>
      </c>
      <c r="N1354" t="s">
        <v>45</v>
      </c>
      <c r="O1354" t="s">
        <v>43</v>
      </c>
      <c r="P1354" t="s">
        <v>43</v>
      </c>
      <c r="Q1354" t="s">
        <v>43</v>
      </c>
      <c r="R1354" t="s">
        <v>43</v>
      </c>
      <c r="S1354" t="s">
        <v>43</v>
      </c>
      <c r="T1354" t="s">
        <v>43</v>
      </c>
      <c r="U1354" t="s">
        <v>43</v>
      </c>
      <c r="V1354" t="s">
        <v>43</v>
      </c>
      <c r="W1354" t="s">
        <v>43</v>
      </c>
      <c r="X1354" t="s">
        <v>43</v>
      </c>
      <c r="Y1354" t="s">
        <v>43</v>
      </c>
      <c r="Z1354" t="s">
        <v>43</v>
      </c>
      <c r="AA1354" t="s">
        <v>43</v>
      </c>
      <c r="AB1354" t="s">
        <v>43</v>
      </c>
      <c r="AC1354" t="s">
        <v>43</v>
      </c>
      <c r="AD1354" t="s">
        <v>43</v>
      </c>
      <c r="AE1354" t="s">
        <v>43</v>
      </c>
      <c r="AF1354" t="s">
        <v>43</v>
      </c>
      <c r="AG1354" t="s">
        <v>43</v>
      </c>
      <c r="AH1354" t="s">
        <v>43</v>
      </c>
      <c r="AI1354" t="s">
        <v>43</v>
      </c>
      <c r="AJ1354" t="s">
        <v>43</v>
      </c>
      <c r="AK1354" t="s">
        <v>43</v>
      </c>
      <c r="AL1354" t="s">
        <v>43</v>
      </c>
      <c r="AM1354" t="s">
        <v>43</v>
      </c>
      <c r="AN1354" t="str">
        <f>HYPERLINK("https://www.google.com/maps?q=11.05587769,79.06413269","Open Location")</f>
        <v>Open Location</v>
      </c>
    </row>
    <row r="1355" spans="1:40" x14ac:dyDescent="0.3">
      <c r="A1355" s="1">
        <v>46210.842939814815</v>
      </c>
      <c r="B1355" t="s">
        <v>40</v>
      </c>
      <c r="C1355" t="s">
        <v>41</v>
      </c>
      <c r="D1355" s="1">
        <v>46210.845810185187</v>
      </c>
      <c r="E1355" t="s">
        <v>42</v>
      </c>
      <c r="F1355" t="s">
        <v>43</v>
      </c>
      <c r="G1355" t="s">
        <v>43</v>
      </c>
      <c r="H1355" t="s">
        <v>43</v>
      </c>
      <c r="I1355" t="s">
        <v>625</v>
      </c>
      <c r="J1355" t="s">
        <v>43</v>
      </c>
      <c r="K1355" t="s">
        <v>43</v>
      </c>
      <c r="L1355" t="s">
        <v>43</v>
      </c>
      <c r="M1355" t="s">
        <v>43</v>
      </c>
      <c r="N1355" t="s">
        <v>45</v>
      </c>
      <c r="O1355" t="s">
        <v>43</v>
      </c>
      <c r="P1355" t="s">
        <v>43</v>
      </c>
      <c r="Q1355" t="s">
        <v>43</v>
      </c>
      <c r="R1355" t="s">
        <v>43</v>
      </c>
      <c r="S1355" t="s">
        <v>43</v>
      </c>
      <c r="T1355" t="s">
        <v>43</v>
      </c>
      <c r="U1355" t="s">
        <v>43</v>
      </c>
      <c r="V1355" t="s">
        <v>43</v>
      </c>
      <c r="W1355" t="s">
        <v>43</v>
      </c>
      <c r="X1355" t="s">
        <v>43</v>
      </c>
      <c r="Y1355" t="s">
        <v>43</v>
      </c>
      <c r="Z1355" t="s">
        <v>43</v>
      </c>
      <c r="AA1355" t="s">
        <v>43</v>
      </c>
      <c r="AB1355" t="s">
        <v>43</v>
      </c>
      <c r="AC1355" t="s">
        <v>43</v>
      </c>
      <c r="AD1355" t="s">
        <v>43</v>
      </c>
      <c r="AE1355" t="s">
        <v>43</v>
      </c>
      <c r="AF1355" t="s">
        <v>43</v>
      </c>
      <c r="AG1355" t="s">
        <v>43</v>
      </c>
      <c r="AH1355" t="s">
        <v>43</v>
      </c>
      <c r="AI1355" t="s">
        <v>43</v>
      </c>
      <c r="AJ1355" t="s">
        <v>43</v>
      </c>
      <c r="AK1355" t="s">
        <v>43</v>
      </c>
      <c r="AL1355" t="s">
        <v>43</v>
      </c>
      <c r="AM1355" t="s">
        <v>43</v>
      </c>
      <c r="AN1355" t="str">
        <f>HYPERLINK("https://www.google.com/maps?q=11.05588245,79.06413269","Open Location")</f>
        <v>Open Location</v>
      </c>
    </row>
    <row r="1356" spans="1:40" x14ac:dyDescent="0.3">
      <c r="A1356" s="1">
        <v>46210.842824074076</v>
      </c>
      <c r="B1356" t="s">
        <v>40</v>
      </c>
      <c r="C1356" t="s">
        <v>41</v>
      </c>
      <c r="D1356" s="1">
        <v>46210.845694444448</v>
      </c>
      <c r="E1356" t="s">
        <v>42</v>
      </c>
      <c r="F1356" t="s">
        <v>43</v>
      </c>
      <c r="G1356" t="s">
        <v>43</v>
      </c>
      <c r="H1356" t="s">
        <v>43</v>
      </c>
      <c r="I1356" t="s">
        <v>43</v>
      </c>
      <c r="J1356" t="s">
        <v>43</v>
      </c>
      <c r="K1356" t="s">
        <v>43</v>
      </c>
      <c r="L1356" t="s">
        <v>43</v>
      </c>
      <c r="M1356" t="s">
        <v>43</v>
      </c>
      <c r="N1356" t="s">
        <v>45</v>
      </c>
      <c r="O1356" t="s">
        <v>43</v>
      </c>
      <c r="P1356" t="s">
        <v>43</v>
      </c>
      <c r="Q1356" t="s">
        <v>43</v>
      </c>
      <c r="R1356" t="s">
        <v>43</v>
      </c>
      <c r="S1356" t="s">
        <v>43</v>
      </c>
      <c r="T1356" t="s">
        <v>43</v>
      </c>
      <c r="U1356" t="s">
        <v>43</v>
      </c>
      <c r="V1356" t="s">
        <v>43</v>
      </c>
      <c r="W1356" t="s">
        <v>43</v>
      </c>
      <c r="X1356" t="s">
        <v>43</v>
      </c>
      <c r="Y1356" t="s">
        <v>43</v>
      </c>
      <c r="Z1356" t="s">
        <v>43</v>
      </c>
      <c r="AA1356" t="s">
        <v>43</v>
      </c>
      <c r="AB1356" t="s">
        <v>43</v>
      </c>
      <c r="AC1356" t="s">
        <v>43</v>
      </c>
      <c r="AD1356" t="s">
        <v>43</v>
      </c>
      <c r="AE1356" t="s">
        <v>43</v>
      </c>
      <c r="AF1356" t="s">
        <v>43</v>
      </c>
      <c r="AG1356" t="s">
        <v>43</v>
      </c>
      <c r="AH1356" t="s">
        <v>43</v>
      </c>
      <c r="AI1356" t="s">
        <v>43</v>
      </c>
      <c r="AJ1356" t="s">
        <v>43</v>
      </c>
      <c r="AK1356" t="s">
        <v>43</v>
      </c>
      <c r="AL1356" t="s">
        <v>43</v>
      </c>
      <c r="AM1356" t="s">
        <v>43</v>
      </c>
      <c r="AN1356" t="s">
        <v>43</v>
      </c>
    </row>
    <row r="1357" spans="1:40" x14ac:dyDescent="0.3">
      <c r="A1357" s="1">
        <v>46210.84270833333</v>
      </c>
      <c r="B1357" t="s">
        <v>40</v>
      </c>
      <c r="C1357" t="s">
        <v>41</v>
      </c>
      <c r="D1357" s="1">
        <v>46210.845381944448</v>
      </c>
      <c r="E1357" t="s">
        <v>42</v>
      </c>
      <c r="F1357" t="s">
        <v>43</v>
      </c>
      <c r="G1357" t="s">
        <v>43</v>
      </c>
      <c r="H1357" t="s">
        <v>43</v>
      </c>
      <c r="I1357" t="s">
        <v>653</v>
      </c>
      <c r="J1357" t="s">
        <v>43</v>
      </c>
      <c r="K1357" t="s">
        <v>43</v>
      </c>
      <c r="L1357" t="s">
        <v>43</v>
      </c>
      <c r="M1357" t="s">
        <v>43</v>
      </c>
      <c r="N1357" t="s">
        <v>45</v>
      </c>
      <c r="O1357" t="s">
        <v>43</v>
      </c>
      <c r="P1357" t="s">
        <v>43</v>
      </c>
      <c r="Q1357" t="s">
        <v>43</v>
      </c>
      <c r="R1357" t="s">
        <v>43</v>
      </c>
      <c r="S1357" t="s">
        <v>43</v>
      </c>
      <c r="T1357" t="s">
        <v>43</v>
      </c>
      <c r="U1357" t="s">
        <v>43</v>
      </c>
      <c r="V1357" t="s">
        <v>43</v>
      </c>
      <c r="W1357" t="s">
        <v>43</v>
      </c>
      <c r="X1357" t="s">
        <v>43</v>
      </c>
      <c r="Y1357" t="s">
        <v>43</v>
      </c>
      <c r="Z1357" t="s">
        <v>43</v>
      </c>
      <c r="AA1357" t="s">
        <v>43</v>
      </c>
      <c r="AB1357" t="s">
        <v>43</v>
      </c>
      <c r="AC1357" t="s">
        <v>43</v>
      </c>
      <c r="AD1357" t="s">
        <v>43</v>
      </c>
      <c r="AE1357" t="s">
        <v>43</v>
      </c>
      <c r="AF1357" t="s">
        <v>43</v>
      </c>
      <c r="AG1357" t="s">
        <v>43</v>
      </c>
      <c r="AH1357" t="s">
        <v>43</v>
      </c>
      <c r="AI1357" t="s">
        <v>43</v>
      </c>
      <c r="AJ1357" t="s">
        <v>43</v>
      </c>
      <c r="AK1357" t="s">
        <v>43</v>
      </c>
      <c r="AL1357" t="s">
        <v>43</v>
      </c>
      <c r="AM1357" t="s">
        <v>43</v>
      </c>
      <c r="AN1357" t="str">
        <f>HYPERLINK("https://www.google.com/maps?q=11.05588531,79.06413269","Open Location")</f>
        <v>Open Location</v>
      </c>
    </row>
    <row r="1358" spans="1:40" x14ac:dyDescent="0.3">
      <c r="A1358" s="1">
        <v>46210.842592592591</v>
      </c>
      <c r="B1358" t="s">
        <v>40</v>
      </c>
      <c r="C1358" t="s">
        <v>41</v>
      </c>
      <c r="D1358" s="1">
        <v>46210.845370370371</v>
      </c>
      <c r="E1358" t="s">
        <v>42</v>
      </c>
      <c r="F1358" t="s">
        <v>43</v>
      </c>
      <c r="G1358" t="s">
        <v>43</v>
      </c>
      <c r="H1358" t="s">
        <v>43</v>
      </c>
      <c r="I1358" t="s">
        <v>654</v>
      </c>
      <c r="J1358" t="s">
        <v>43</v>
      </c>
      <c r="K1358" t="s">
        <v>43</v>
      </c>
      <c r="L1358" t="s">
        <v>43</v>
      </c>
      <c r="M1358" t="s">
        <v>43</v>
      </c>
      <c r="N1358" t="s">
        <v>45</v>
      </c>
      <c r="O1358" t="s">
        <v>43</v>
      </c>
      <c r="P1358" t="s">
        <v>43</v>
      </c>
      <c r="Q1358" t="s">
        <v>43</v>
      </c>
      <c r="R1358" t="s">
        <v>43</v>
      </c>
      <c r="S1358" t="s">
        <v>43</v>
      </c>
      <c r="T1358" t="s">
        <v>43</v>
      </c>
      <c r="U1358" t="s">
        <v>43</v>
      </c>
      <c r="V1358" t="s">
        <v>43</v>
      </c>
      <c r="W1358" t="s">
        <v>43</v>
      </c>
      <c r="X1358" t="s">
        <v>43</v>
      </c>
      <c r="Y1358" t="s">
        <v>43</v>
      </c>
      <c r="Z1358" t="s">
        <v>43</v>
      </c>
      <c r="AA1358" t="s">
        <v>43</v>
      </c>
      <c r="AB1358" t="s">
        <v>43</v>
      </c>
      <c r="AC1358" t="s">
        <v>43</v>
      </c>
      <c r="AD1358" t="s">
        <v>43</v>
      </c>
      <c r="AE1358" t="s">
        <v>43</v>
      </c>
      <c r="AF1358" t="s">
        <v>43</v>
      </c>
      <c r="AG1358" t="s">
        <v>43</v>
      </c>
      <c r="AH1358" t="s">
        <v>43</v>
      </c>
      <c r="AI1358" t="s">
        <v>43</v>
      </c>
      <c r="AJ1358" t="s">
        <v>43</v>
      </c>
      <c r="AK1358" t="s">
        <v>43</v>
      </c>
      <c r="AL1358" t="s">
        <v>43</v>
      </c>
      <c r="AM1358" t="s">
        <v>43</v>
      </c>
      <c r="AN1358" t="str">
        <f>HYPERLINK("https://www.google.com/maps?q=11.05588722,79.06412506","Open Location")</f>
        <v>Open Location</v>
      </c>
    </row>
    <row r="1359" spans="1:40" x14ac:dyDescent="0.3">
      <c r="A1359" s="1">
        <v>46210.842476851853</v>
      </c>
      <c r="B1359" t="s">
        <v>40</v>
      </c>
      <c r="C1359" t="s">
        <v>41</v>
      </c>
      <c r="D1359" s="1">
        <v>46210.845393518517</v>
      </c>
      <c r="E1359" t="s">
        <v>42</v>
      </c>
      <c r="F1359" t="s">
        <v>43</v>
      </c>
      <c r="G1359" t="s">
        <v>43</v>
      </c>
      <c r="H1359" t="s">
        <v>43</v>
      </c>
      <c r="I1359" t="s">
        <v>654</v>
      </c>
      <c r="J1359" t="s">
        <v>43</v>
      </c>
      <c r="K1359" t="s">
        <v>43</v>
      </c>
      <c r="L1359" t="s">
        <v>43</v>
      </c>
      <c r="M1359" t="s">
        <v>43</v>
      </c>
      <c r="N1359" t="s">
        <v>45</v>
      </c>
      <c r="O1359" t="s">
        <v>43</v>
      </c>
      <c r="P1359" t="s">
        <v>43</v>
      </c>
      <c r="Q1359" t="s">
        <v>43</v>
      </c>
      <c r="R1359" t="s">
        <v>43</v>
      </c>
      <c r="S1359" t="s">
        <v>43</v>
      </c>
      <c r="T1359" t="s">
        <v>43</v>
      </c>
      <c r="U1359" t="s">
        <v>43</v>
      </c>
      <c r="V1359" t="s">
        <v>43</v>
      </c>
      <c r="W1359" t="s">
        <v>43</v>
      </c>
      <c r="X1359" t="s">
        <v>43</v>
      </c>
      <c r="Y1359" t="s">
        <v>43</v>
      </c>
      <c r="Z1359" t="s">
        <v>43</v>
      </c>
      <c r="AA1359" t="s">
        <v>43</v>
      </c>
      <c r="AB1359" t="s">
        <v>43</v>
      </c>
      <c r="AC1359" t="s">
        <v>43</v>
      </c>
      <c r="AD1359" t="s">
        <v>43</v>
      </c>
      <c r="AE1359" t="s">
        <v>43</v>
      </c>
      <c r="AF1359" t="s">
        <v>43</v>
      </c>
      <c r="AG1359" t="s">
        <v>43</v>
      </c>
      <c r="AH1359" t="s">
        <v>43</v>
      </c>
      <c r="AI1359" t="s">
        <v>43</v>
      </c>
      <c r="AJ1359" t="s">
        <v>43</v>
      </c>
      <c r="AK1359" t="s">
        <v>43</v>
      </c>
      <c r="AL1359" t="s">
        <v>43</v>
      </c>
      <c r="AM1359" t="s">
        <v>43</v>
      </c>
      <c r="AN1359" t="str">
        <f>HYPERLINK("https://www.google.com/maps?q=11.05588722,79.06412506","Open Location")</f>
        <v>Open Location</v>
      </c>
    </row>
    <row r="1360" spans="1:40" x14ac:dyDescent="0.3">
      <c r="A1360" s="1">
        <v>46210.842361111114</v>
      </c>
      <c r="B1360" t="s">
        <v>40</v>
      </c>
      <c r="C1360" t="s">
        <v>41</v>
      </c>
      <c r="D1360" s="1">
        <v>46210.845393518517</v>
      </c>
      <c r="E1360" t="s">
        <v>42</v>
      </c>
      <c r="F1360" t="s">
        <v>43</v>
      </c>
      <c r="G1360" t="s">
        <v>43</v>
      </c>
      <c r="H1360" t="s">
        <v>43</v>
      </c>
      <c r="I1360" t="s">
        <v>655</v>
      </c>
      <c r="J1360" t="s">
        <v>43</v>
      </c>
      <c r="K1360" t="s">
        <v>43</v>
      </c>
      <c r="L1360" t="s">
        <v>43</v>
      </c>
      <c r="M1360" t="s">
        <v>43</v>
      </c>
      <c r="N1360" t="s">
        <v>45</v>
      </c>
      <c r="O1360" t="s">
        <v>43</v>
      </c>
      <c r="P1360" t="s">
        <v>43</v>
      </c>
      <c r="Q1360" t="s">
        <v>43</v>
      </c>
      <c r="R1360" t="s">
        <v>43</v>
      </c>
      <c r="S1360" t="s">
        <v>43</v>
      </c>
      <c r="T1360" t="s">
        <v>43</v>
      </c>
      <c r="U1360" t="s">
        <v>43</v>
      </c>
      <c r="V1360" t="s">
        <v>43</v>
      </c>
      <c r="W1360" t="s">
        <v>43</v>
      </c>
      <c r="X1360" t="s">
        <v>43</v>
      </c>
      <c r="Y1360" t="s">
        <v>43</v>
      </c>
      <c r="Z1360" t="s">
        <v>43</v>
      </c>
      <c r="AA1360" t="s">
        <v>43</v>
      </c>
      <c r="AB1360" t="s">
        <v>43</v>
      </c>
      <c r="AC1360" t="s">
        <v>43</v>
      </c>
      <c r="AD1360" t="s">
        <v>43</v>
      </c>
      <c r="AE1360" t="s">
        <v>43</v>
      </c>
      <c r="AF1360" t="s">
        <v>43</v>
      </c>
      <c r="AG1360" t="s">
        <v>43</v>
      </c>
      <c r="AH1360" t="s">
        <v>43</v>
      </c>
      <c r="AI1360" t="s">
        <v>43</v>
      </c>
      <c r="AJ1360" t="s">
        <v>43</v>
      </c>
      <c r="AK1360" t="s">
        <v>43</v>
      </c>
      <c r="AL1360" t="s">
        <v>43</v>
      </c>
      <c r="AM1360" t="s">
        <v>43</v>
      </c>
      <c r="AN1360" t="str">
        <f>HYPERLINK("https://www.google.com/maps?q=11.05588818,79.06412506","Open Location")</f>
        <v>Open Location</v>
      </c>
    </row>
    <row r="1361" spans="1:40" x14ac:dyDescent="0.3">
      <c r="A1361" s="1">
        <v>46210.842245370368</v>
      </c>
      <c r="B1361" t="s">
        <v>40</v>
      </c>
      <c r="C1361" t="s">
        <v>41</v>
      </c>
      <c r="D1361" s="1">
        <v>46210.844988425924</v>
      </c>
      <c r="E1361" t="s">
        <v>42</v>
      </c>
      <c r="F1361" t="s">
        <v>43</v>
      </c>
      <c r="G1361" t="s">
        <v>43</v>
      </c>
      <c r="H1361" t="s">
        <v>43</v>
      </c>
      <c r="I1361" t="s">
        <v>656</v>
      </c>
      <c r="J1361" t="s">
        <v>43</v>
      </c>
      <c r="K1361" t="s">
        <v>43</v>
      </c>
      <c r="L1361" t="s">
        <v>43</v>
      </c>
      <c r="M1361" t="s">
        <v>43</v>
      </c>
      <c r="N1361" t="s">
        <v>45</v>
      </c>
      <c r="O1361" t="s">
        <v>43</v>
      </c>
      <c r="P1361" t="s">
        <v>43</v>
      </c>
      <c r="Q1361" t="s">
        <v>43</v>
      </c>
      <c r="R1361" t="s">
        <v>43</v>
      </c>
      <c r="S1361" t="s">
        <v>43</v>
      </c>
      <c r="T1361" t="s">
        <v>43</v>
      </c>
      <c r="U1361" t="s">
        <v>43</v>
      </c>
      <c r="V1361" t="s">
        <v>43</v>
      </c>
      <c r="W1361" t="s">
        <v>43</v>
      </c>
      <c r="X1361" t="s">
        <v>43</v>
      </c>
      <c r="Y1361" t="s">
        <v>43</v>
      </c>
      <c r="Z1361" t="s">
        <v>43</v>
      </c>
      <c r="AA1361" t="s">
        <v>43</v>
      </c>
      <c r="AB1361" t="s">
        <v>43</v>
      </c>
      <c r="AC1361" t="s">
        <v>43</v>
      </c>
      <c r="AD1361" t="s">
        <v>43</v>
      </c>
      <c r="AE1361" t="s">
        <v>43</v>
      </c>
      <c r="AF1361" t="s">
        <v>43</v>
      </c>
      <c r="AG1361" t="s">
        <v>43</v>
      </c>
      <c r="AH1361" t="s">
        <v>43</v>
      </c>
      <c r="AI1361" t="s">
        <v>43</v>
      </c>
      <c r="AJ1361" t="s">
        <v>43</v>
      </c>
      <c r="AK1361" t="s">
        <v>43</v>
      </c>
      <c r="AL1361" t="s">
        <v>43</v>
      </c>
      <c r="AM1361" t="s">
        <v>43</v>
      </c>
      <c r="AN1361" t="str">
        <f>HYPERLINK("https://www.google.com/maps?q=11.05589104,79.06413269","Open Location")</f>
        <v>Open Location</v>
      </c>
    </row>
    <row r="1362" spans="1:40" x14ac:dyDescent="0.3">
      <c r="A1362" s="1">
        <v>46210.842129629629</v>
      </c>
      <c r="B1362" t="s">
        <v>40</v>
      </c>
      <c r="C1362" t="s">
        <v>41</v>
      </c>
      <c r="D1362" s="1">
        <v>46210.845335648148</v>
      </c>
      <c r="E1362" t="s">
        <v>42</v>
      </c>
      <c r="F1362" t="s">
        <v>43</v>
      </c>
      <c r="G1362" t="s">
        <v>43</v>
      </c>
      <c r="H1362" t="s">
        <v>43</v>
      </c>
      <c r="I1362" t="s">
        <v>43</v>
      </c>
      <c r="J1362" t="s">
        <v>43</v>
      </c>
      <c r="K1362" t="s">
        <v>43</v>
      </c>
      <c r="L1362" t="s">
        <v>43</v>
      </c>
      <c r="M1362" t="s">
        <v>43</v>
      </c>
      <c r="N1362" t="s">
        <v>45</v>
      </c>
      <c r="O1362" t="s">
        <v>43</v>
      </c>
      <c r="P1362" t="s">
        <v>43</v>
      </c>
      <c r="Q1362" t="s">
        <v>43</v>
      </c>
      <c r="R1362" t="s">
        <v>43</v>
      </c>
      <c r="S1362" t="s">
        <v>43</v>
      </c>
      <c r="T1362" t="s">
        <v>43</v>
      </c>
      <c r="U1362" t="s">
        <v>43</v>
      </c>
      <c r="V1362" t="s">
        <v>43</v>
      </c>
      <c r="W1362" t="s">
        <v>43</v>
      </c>
      <c r="X1362" t="s">
        <v>43</v>
      </c>
      <c r="Y1362" t="s">
        <v>43</v>
      </c>
      <c r="Z1362" t="s">
        <v>43</v>
      </c>
      <c r="AA1362" t="s">
        <v>43</v>
      </c>
      <c r="AB1362" t="s">
        <v>43</v>
      </c>
      <c r="AC1362" t="s">
        <v>43</v>
      </c>
      <c r="AD1362" t="s">
        <v>43</v>
      </c>
      <c r="AE1362" t="s">
        <v>43</v>
      </c>
      <c r="AF1362" t="s">
        <v>43</v>
      </c>
      <c r="AG1362" t="s">
        <v>43</v>
      </c>
      <c r="AH1362" t="s">
        <v>43</v>
      </c>
      <c r="AI1362" t="s">
        <v>43</v>
      </c>
      <c r="AJ1362" t="s">
        <v>43</v>
      </c>
      <c r="AK1362" t="s">
        <v>43</v>
      </c>
      <c r="AL1362" t="s">
        <v>43</v>
      </c>
      <c r="AM1362" t="s">
        <v>43</v>
      </c>
      <c r="AN1362" t="s">
        <v>43</v>
      </c>
    </row>
    <row r="1363" spans="1:40" x14ac:dyDescent="0.3">
      <c r="A1363" s="1">
        <v>46210.842013888891</v>
      </c>
      <c r="B1363" t="s">
        <v>40</v>
      </c>
      <c r="C1363" t="s">
        <v>41</v>
      </c>
      <c r="D1363" s="1">
        <v>46210.844710648147</v>
      </c>
      <c r="E1363" t="s">
        <v>42</v>
      </c>
      <c r="F1363" t="s">
        <v>43</v>
      </c>
      <c r="G1363" t="s">
        <v>43</v>
      </c>
      <c r="H1363" t="s">
        <v>43</v>
      </c>
      <c r="I1363" t="s">
        <v>657</v>
      </c>
      <c r="J1363" t="s">
        <v>43</v>
      </c>
      <c r="K1363" t="s">
        <v>43</v>
      </c>
      <c r="L1363" t="s">
        <v>43</v>
      </c>
      <c r="M1363" t="s">
        <v>43</v>
      </c>
      <c r="N1363" t="s">
        <v>45</v>
      </c>
      <c r="O1363" t="s">
        <v>43</v>
      </c>
      <c r="P1363" t="s">
        <v>43</v>
      </c>
      <c r="Q1363" t="s">
        <v>43</v>
      </c>
      <c r="R1363" t="s">
        <v>43</v>
      </c>
      <c r="S1363" t="s">
        <v>43</v>
      </c>
      <c r="T1363" t="s">
        <v>43</v>
      </c>
      <c r="U1363" t="s">
        <v>43</v>
      </c>
      <c r="V1363" t="s">
        <v>43</v>
      </c>
      <c r="W1363" t="s">
        <v>43</v>
      </c>
      <c r="X1363" t="s">
        <v>43</v>
      </c>
      <c r="Y1363" t="s">
        <v>43</v>
      </c>
      <c r="Z1363" t="s">
        <v>43</v>
      </c>
      <c r="AA1363" t="s">
        <v>43</v>
      </c>
      <c r="AB1363" t="s">
        <v>43</v>
      </c>
      <c r="AC1363" t="s">
        <v>43</v>
      </c>
      <c r="AD1363" t="s">
        <v>43</v>
      </c>
      <c r="AE1363" t="s">
        <v>43</v>
      </c>
      <c r="AF1363" t="s">
        <v>43</v>
      </c>
      <c r="AG1363" t="s">
        <v>43</v>
      </c>
      <c r="AH1363" t="s">
        <v>43</v>
      </c>
      <c r="AI1363" t="s">
        <v>43</v>
      </c>
      <c r="AJ1363" t="s">
        <v>43</v>
      </c>
      <c r="AK1363" t="s">
        <v>43</v>
      </c>
      <c r="AL1363" t="s">
        <v>43</v>
      </c>
      <c r="AM1363" t="s">
        <v>43</v>
      </c>
      <c r="AN1363" t="str">
        <f>HYPERLINK("https://www.google.com/maps?q=11.05589199,79.06412506","Open Location")</f>
        <v>Open Location</v>
      </c>
    </row>
    <row r="1364" spans="1:40" x14ac:dyDescent="0.3">
      <c r="A1364" s="1">
        <v>46210.841898148145</v>
      </c>
      <c r="B1364" t="s">
        <v>40</v>
      </c>
      <c r="C1364" t="s">
        <v>41</v>
      </c>
      <c r="D1364" s="1">
        <v>46210.844629629632</v>
      </c>
      <c r="E1364" t="s">
        <v>42</v>
      </c>
      <c r="F1364" t="s">
        <v>43</v>
      </c>
      <c r="G1364" t="s">
        <v>43</v>
      </c>
      <c r="H1364" t="s">
        <v>43</v>
      </c>
      <c r="I1364" t="s">
        <v>658</v>
      </c>
      <c r="J1364" t="s">
        <v>43</v>
      </c>
      <c r="K1364" t="s">
        <v>43</v>
      </c>
      <c r="L1364" t="s">
        <v>43</v>
      </c>
      <c r="M1364" t="s">
        <v>43</v>
      </c>
      <c r="N1364" t="s">
        <v>45</v>
      </c>
      <c r="O1364" t="s">
        <v>43</v>
      </c>
      <c r="P1364" t="s">
        <v>43</v>
      </c>
      <c r="Q1364" t="s">
        <v>43</v>
      </c>
      <c r="R1364" t="s">
        <v>43</v>
      </c>
      <c r="S1364" t="s">
        <v>43</v>
      </c>
      <c r="T1364" t="s">
        <v>43</v>
      </c>
      <c r="U1364" t="s">
        <v>43</v>
      </c>
      <c r="V1364" t="s">
        <v>43</v>
      </c>
      <c r="W1364" t="s">
        <v>43</v>
      </c>
      <c r="X1364" t="s">
        <v>43</v>
      </c>
      <c r="Y1364" t="s">
        <v>43</v>
      </c>
      <c r="Z1364" t="s">
        <v>43</v>
      </c>
      <c r="AA1364" t="s">
        <v>43</v>
      </c>
      <c r="AB1364" t="s">
        <v>43</v>
      </c>
      <c r="AC1364" t="s">
        <v>43</v>
      </c>
      <c r="AD1364" t="s">
        <v>43</v>
      </c>
      <c r="AE1364" t="s">
        <v>43</v>
      </c>
      <c r="AF1364" t="s">
        <v>43</v>
      </c>
      <c r="AG1364" t="s">
        <v>43</v>
      </c>
      <c r="AH1364" t="s">
        <v>43</v>
      </c>
      <c r="AI1364" t="s">
        <v>43</v>
      </c>
      <c r="AJ1364" t="s">
        <v>43</v>
      </c>
      <c r="AK1364" t="s">
        <v>43</v>
      </c>
      <c r="AL1364" t="s">
        <v>43</v>
      </c>
      <c r="AM1364" t="s">
        <v>43</v>
      </c>
      <c r="AN1364" t="str">
        <f>HYPERLINK("https://www.google.com/maps?q=11.05589294,79.06412506","Open Location")</f>
        <v>Open Location</v>
      </c>
    </row>
    <row r="1365" spans="1:40" x14ac:dyDescent="0.3">
      <c r="A1365" s="1">
        <v>46210.841782407406</v>
      </c>
      <c r="B1365" t="s">
        <v>40</v>
      </c>
      <c r="C1365" t="s">
        <v>41</v>
      </c>
      <c r="D1365" s="1">
        <v>46210.844710648147</v>
      </c>
      <c r="E1365" t="s">
        <v>42</v>
      </c>
      <c r="F1365" t="s">
        <v>43</v>
      </c>
      <c r="G1365" t="s">
        <v>43</v>
      </c>
      <c r="H1365" t="s">
        <v>43</v>
      </c>
      <c r="I1365" t="s">
        <v>659</v>
      </c>
      <c r="J1365" t="s">
        <v>43</v>
      </c>
      <c r="K1365" t="s">
        <v>43</v>
      </c>
      <c r="L1365" t="s">
        <v>43</v>
      </c>
      <c r="M1365" t="s">
        <v>43</v>
      </c>
      <c r="N1365" t="s">
        <v>45</v>
      </c>
      <c r="O1365" t="s">
        <v>43</v>
      </c>
      <c r="P1365" t="s">
        <v>43</v>
      </c>
      <c r="Q1365" t="s">
        <v>43</v>
      </c>
      <c r="R1365" t="s">
        <v>43</v>
      </c>
      <c r="S1365" t="s">
        <v>43</v>
      </c>
      <c r="T1365" t="s">
        <v>43</v>
      </c>
      <c r="U1365" t="s">
        <v>43</v>
      </c>
      <c r="V1365" t="s">
        <v>43</v>
      </c>
      <c r="W1365" t="s">
        <v>43</v>
      </c>
      <c r="X1365" t="s">
        <v>43</v>
      </c>
      <c r="Y1365" t="s">
        <v>43</v>
      </c>
      <c r="Z1365" t="s">
        <v>43</v>
      </c>
      <c r="AA1365" t="s">
        <v>43</v>
      </c>
      <c r="AB1365" t="s">
        <v>43</v>
      </c>
      <c r="AC1365" t="s">
        <v>43</v>
      </c>
      <c r="AD1365" t="s">
        <v>43</v>
      </c>
      <c r="AE1365" t="s">
        <v>43</v>
      </c>
      <c r="AF1365" t="s">
        <v>43</v>
      </c>
      <c r="AG1365" t="s">
        <v>43</v>
      </c>
      <c r="AH1365" t="s">
        <v>43</v>
      </c>
      <c r="AI1365" t="s">
        <v>43</v>
      </c>
      <c r="AJ1365" t="s">
        <v>43</v>
      </c>
      <c r="AK1365" t="s">
        <v>43</v>
      </c>
      <c r="AL1365" t="s">
        <v>43</v>
      </c>
      <c r="AM1365" t="s">
        <v>43</v>
      </c>
      <c r="AN1365" t="str">
        <f>HYPERLINK("https://www.google.com/maps?q=11.05589008,79.06411743","Open Location")</f>
        <v>Open Location</v>
      </c>
    </row>
    <row r="1366" spans="1:40" x14ac:dyDescent="0.3">
      <c r="A1366" s="1">
        <v>46210.841666666667</v>
      </c>
      <c r="B1366" t="s">
        <v>40</v>
      </c>
      <c r="C1366" t="s">
        <v>41</v>
      </c>
      <c r="D1366" s="1">
        <v>46210.844814814816</v>
      </c>
      <c r="E1366" t="s">
        <v>42</v>
      </c>
      <c r="F1366" t="s">
        <v>43</v>
      </c>
      <c r="G1366" t="s">
        <v>43</v>
      </c>
      <c r="H1366" t="s">
        <v>43</v>
      </c>
      <c r="I1366" t="s">
        <v>595</v>
      </c>
      <c r="J1366" t="s">
        <v>43</v>
      </c>
      <c r="K1366" t="s">
        <v>43</v>
      </c>
      <c r="L1366" t="s">
        <v>43</v>
      </c>
      <c r="M1366" t="s">
        <v>43</v>
      </c>
      <c r="N1366" t="s">
        <v>45</v>
      </c>
      <c r="O1366" t="s">
        <v>43</v>
      </c>
      <c r="P1366" t="s">
        <v>43</v>
      </c>
      <c r="Q1366" t="s">
        <v>43</v>
      </c>
      <c r="R1366" t="s">
        <v>43</v>
      </c>
      <c r="S1366" t="s">
        <v>43</v>
      </c>
      <c r="T1366" t="s">
        <v>43</v>
      </c>
      <c r="U1366" t="s">
        <v>43</v>
      </c>
      <c r="V1366" t="s">
        <v>43</v>
      </c>
      <c r="W1366" t="s">
        <v>43</v>
      </c>
      <c r="X1366" t="s">
        <v>43</v>
      </c>
      <c r="Y1366" t="s">
        <v>43</v>
      </c>
      <c r="Z1366" t="s">
        <v>43</v>
      </c>
      <c r="AA1366" t="s">
        <v>43</v>
      </c>
      <c r="AB1366" t="s">
        <v>43</v>
      </c>
      <c r="AC1366" t="s">
        <v>43</v>
      </c>
      <c r="AD1366" t="s">
        <v>43</v>
      </c>
      <c r="AE1366" t="s">
        <v>43</v>
      </c>
      <c r="AF1366" t="s">
        <v>43</v>
      </c>
      <c r="AG1366" t="s">
        <v>43</v>
      </c>
      <c r="AH1366" t="s">
        <v>43</v>
      </c>
      <c r="AI1366" t="s">
        <v>43</v>
      </c>
      <c r="AJ1366" t="s">
        <v>43</v>
      </c>
      <c r="AK1366" t="s">
        <v>43</v>
      </c>
      <c r="AL1366" t="s">
        <v>43</v>
      </c>
      <c r="AM1366" t="s">
        <v>43</v>
      </c>
      <c r="AN1366" t="str">
        <f>HYPERLINK("https://www.google.com/maps?q=11.05588722,79.06411743","Open Location")</f>
        <v>Open Location</v>
      </c>
    </row>
    <row r="1367" spans="1:40" x14ac:dyDescent="0.3">
      <c r="A1367" s="1">
        <v>46210.841550925928</v>
      </c>
      <c r="B1367" t="s">
        <v>40</v>
      </c>
      <c r="C1367" t="s">
        <v>41</v>
      </c>
      <c r="D1367" s="1">
        <v>46210.844224537039</v>
      </c>
      <c r="E1367" t="s">
        <v>42</v>
      </c>
      <c r="F1367" t="s">
        <v>43</v>
      </c>
      <c r="G1367" t="s">
        <v>43</v>
      </c>
      <c r="H1367" t="s">
        <v>43</v>
      </c>
      <c r="I1367" t="s">
        <v>660</v>
      </c>
      <c r="J1367" t="s">
        <v>43</v>
      </c>
      <c r="K1367" t="s">
        <v>43</v>
      </c>
      <c r="L1367" t="s">
        <v>43</v>
      </c>
      <c r="M1367" t="s">
        <v>43</v>
      </c>
      <c r="N1367" t="s">
        <v>45</v>
      </c>
      <c r="O1367" t="s">
        <v>43</v>
      </c>
      <c r="P1367" t="s">
        <v>43</v>
      </c>
      <c r="Q1367" t="s">
        <v>43</v>
      </c>
      <c r="R1367" t="s">
        <v>43</v>
      </c>
      <c r="S1367" t="s">
        <v>43</v>
      </c>
      <c r="T1367" t="s">
        <v>43</v>
      </c>
      <c r="U1367" t="s">
        <v>43</v>
      </c>
      <c r="V1367" t="s">
        <v>43</v>
      </c>
      <c r="W1367" t="s">
        <v>43</v>
      </c>
      <c r="X1367" t="s">
        <v>43</v>
      </c>
      <c r="Y1367" t="s">
        <v>43</v>
      </c>
      <c r="Z1367" t="s">
        <v>43</v>
      </c>
      <c r="AA1367" t="s">
        <v>43</v>
      </c>
      <c r="AB1367" t="s">
        <v>43</v>
      </c>
      <c r="AC1367" t="s">
        <v>43</v>
      </c>
      <c r="AD1367" t="s">
        <v>43</v>
      </c>
      <c r="AE1367" t="s">
        <v>43</v>
      </c>
      <c r="AF1367" t="s">
        <v>43</v>
      </c>
      <c r="AG1367" t="s">
        <v>43</v>
      </c>
      <c r="AH1367" t="s">
        <v>43</v>
      </c>
      <c r="AI1367" t="s">
        <v>43</v>
      </c>
      <c r="AJ1367" t="s">
        <v>43</v>
      </c>
      <c r="AK1367" t="s">
        <v>43</v>
      </c>
      <c r="AL1367" t="s">
        <v>43</v>
      </c>
      <c r="AM1367" t="s">
        <v>43</v>
      </c>
      <c r="AN1367" t="str">
        <f>HYPERLINK("https://www.google.com/maps?q=11.05587864,79.0641098","Open Location")</f>
        <v>Open Location</v>
      </c>
    </row>
    <row r="1368" spans="1:40" x14ac:dyDescent="0.3">
      <c r="A1368" s="1">
        <v>46210.841435185182</v>
      </c>
      <c r="B1368" t="s">
        <v>40</v>
      </c>
      <c r="C1368" t="s">
        <v>41</v>
      </c>
      <c r="D1368" s="1">
        <v>46210.844398148147</v>
      </c>
      <c r="E1368" t="s">
        <v>42</v>
      </c>
      <c r="F1368" t="s">
        <v>43</v>
      </c>
      <c r="G1368" t="s">
        <v>43</v>
      </c>
      <c r="H1368" t="s">
        <v>43</v>
      </c>
      <c r="I1368" t="s">
        <v>43</v>
      </c>
      <c r="J1368" t="s">
        <v>43</v>
      </c>
      <c r="K1368" t="s">
        <v>43</v>
      </c>
      <c r="L1368" t="s">
        <v>43</v>
      </c>
      <c r="M1368" t="s">
        <v>43</v>
      </c>
      <c r="N1368" t="s">
        <v>45</v>
      </c>
      <c r="O1368" t="s">
        <v>43</v>
      </c>
      <c r="P1368" t="s">
        <v>43</v>
      </c>
      <c r="Q1368" t="s">
        <v>43</v>
      </c>
      <c r="R1368" t="s">
        <v>43</v>
      </c>
      <c r="S1368" t="s">
        <v>43</v>
      </c>
      <c r="T1368" t="s">
        <v>43</v>
      </c>
      <c r="U1368" t="s">
        <v>43</v>
      </c>
      <c r="V1368" t="s">
        <v>43</v>
      </c>
      <c r="W1368" t="s">
        <v>43</v>
      </c>
      <c r="X1368" t="s">
        <v>43</v>
      </c>
      <c r="Y1368" t="s">
        <v>43</v>
      </c>
      <c r="Z1368" t="s">
        <v>43</v>
      </c>
      <c r="AA1368" t="s">
        <v>43</v>
      </c>
      <c r="AB1368" t="s">
        <v>43</v>
      </c>
      <c r="AC1368" t="s">
        <v>43</v>
      </c>
      <c r="AD1368" t="s">
        <v>43</v>
      </c>
      <c r="AE1368" t="s">
        <v>43</v>
      </c>
      <c r="AF1368" t="s">
        <v>43</v>
      </c>
      <c r="AG1368" t="s">
        <v>43</v>
      </c>
      <c r="AH1368" t="s">
        <v>43</v>
      </c>
      <c r="AI1368" t="s">
        <v>43</v>
      </c>
      <c r="AJ1368" t="s">
        <v>43</v>
      </c>
      <c r="AK1368" t="s">
        <v>43</v>
      </c>
      <c r="AL1368" t="s">
        <v>43</v>
      </c>
      <c r="AM1368" t="s">
        <v>43</v>
      </c>
      <c r="AN1368" t="s">
        <v>43</v>
      </c>
    </row>
    <row r="1369" spans="1:40" x14ac:dyDescent="0.3">
      <c r="A1369" s="1">
        <v>46210.841319444444</v>
      </c>
      <c r="B1369" t="s">
        <v>40</v>
      </c>
      <c r="C1369" t="s">
        <v>41</v>
      </c>
      <c r="D1369" s="1">
        <v>46210.843946759262</v>
      </c>
      <c r="E1369" t="s">
        <v>42</v>
      </c>
      <c r="F1369" t="s">
        <v>43</v>
      </c>
      <c r="G1369" t="s">
        <v>43</v>
      </c>
      <c r="H1369" t="s">
        <v>43</v>
      </c>
      <c r="I1369" t="s">
        <v>661</v>
      </c>
      <c r="J1369" t="s">
        <v>43</v>
      </c>
      <c r="K1369" t="s">
        <v>43</v>
      </c>
      <c r="L1369" t="s">
        <v>43</v>
      </c>
      <c r="M1369" t="s">
        <v>43</v>
      </c>
      <c r="N1369" t="s">
        <v>45</v>
      </c>
      <c r="O1369" t="s">
        <v>43</v>
      </c>
      <c r="P1369" t="s">
        <v>43</v>
      </c>
      <c r="Q1369" t="s">
        <v>43</v>
      </c>
      <c r="R1369" t="s">
        <v>43</v>
      </c>
      <c r="S1369" t="s">
        <v>43</v>
      </c>
      <c r="T1369" t="s">
        <v>43</v>
      </c>
      <c r="U1369" t="s">
        <v>43</v>
      </c>
      <c r="V1369" t="s">
        <v>43</v>
      </c>
      <c r="W1369" t="s">
        <v>43</v>
      </c>
      <c r="X1369" t="s">
        <v>43</v>
      </c>
      <c r="Y1369" t="s">
        <v>43</v>
      </c>
      <c r="Z1369" t="s">
        <v>43</v>
      </c>
      <c r="AA1369" t="s">
        <v>43</v>
      </c>
      <c r="AB1369" t="s">
        <v>43</v>
      </c>
      <c r="AC1369" t="s">
        <v>43</v>
      </c>
      <c r="AD1369" t="s">
        <v>43</v>
      </c>
      <c r="AE1369" t="s">
        <v>43</v>
      </c>
      <c r="AF1369" t="s">
        <v>43</v>
      </c>
      <c r="AG1369" t="s">
        <v>43</v>
      </c>
      <c r="AH1369" t="s">
        <v>43</v>
      </c>
      <c r="AI1369" t="s">
        <v>43</v>
      </c>
      <c r="AJ1369" t="s">
        <v>43</v>
      </c>
      <c r="AK1369" t="s">
        <v>43</v>
      </c>
      <c r="AL1369" t="s">
        <v>43</v>
      </c>
      <c r="AM1369" t="s">
        <v>43</v>
      </c>
      <c r="AN1369" t="str">
        <f>HYPERLINK("https://www.google.com/maps?q=11.05587196,79.06411743","Open Location")</f>
        <v>Open Location</v>
      </c>
    </row>
    <row r="1370" spans="1:40" x14ac:dyDescent="0.3">
      <c r="A1370" s="1">
        <v>46210.841203703705</v>
      </c>
      <c r="B1370" t="s">
        <v>40</v>
      </c>
      <c r="C1370" t="s">
        <v>41</v>
      </c>
      <c r="D1370" s="1">
        <v>46210.843981481485</v>
      </c>
      <c r="E1370" t="s">
        <v>42</v>
      </c>
      <c r="F1370" t="s">
        <v>43</v>
      </c>
      <c r="G1370" t="s">
        <v>43</v>
      </c>
      <c r="H1370" t="s">
        <v>43</v>
      </c>
      <c r="I1370" t="s">
        <v>662</v>
      </c>
      <c r="J1370" t="s">
        <v>43</v>
      </c>
      <c r="K1370" t="s">
        <v>43</v>
      </c>
      <c r="L1370" t="s">
        <v>43</v>
      </c>
      <c r="M1370" t="s">
        <v>43</v>
      </c>
      <c r="N1370" t="s">
        <v>45</v>
      </c>
      <c r="O1370" t="s">
        <v>43</v>
      </c>
      <c r="P1370" t="s">
        <v>43</v>
      </c>
      <c r="Q1370" t="s">
        <v>43</v>
      </c>
      <c r="R1370" t="s">
        <v>43</v>
      </c>
      <c r="S1370" t="s">
        <v>43</v>
      </c>
      <c r="T1370" t="s">
        <v>43</v>
      </c>
      <c r="U1370" t="s">
        <v>43</v>
      </c>
      <c r="V1370" t="s">
        <v>43</v>
      </c>
      <c r="W1370" t="s">
        <v>43</v>
      </c>
      <c r="X1370" t="s">
        <v>43</v>
      </c>
      <c r="Y1370" t="s">
        <v>43</v>
      </c>
      <c r="Z1370" t="s">
        <v>43</v>
      </c>
      <c r="AA1370" t="s">
        <v>43</v>
      </c>
      <c r="AB1370" t="s">
        <v>43</v>
      </c>
      <c r="AC1370" t="s">
        <v>43</v>
      </c>
      <c r="AD1370" t="s">
        <v>43</v>
      </c>
      <c r="AE1370" t="s">
        <v>43</v>
      </c>
      <c r="AF1370" t="s">
        <v>43</v>
      </c>
      <c r="AG1370" t="s">
        <v>43</v>
      </c>
      <c r="AH1370" t="s">
        <v>43</v>
      </c>
      <c r="AI1370" t="s">
        <v>43</v>
      </c>
      <c r="AJ1370" t="s">
        <v>43</v>
      </c>
      <c r="AK1370" t="s">
        <v>43</v>
      </c>
      <c r="AL1370" t="s">
        <v>43</v>
      </c>
      <c r="AM1370" t="s">
        <v>43</v>
      </c>
      <c r="AN1370" t="str">
        <f>HYPERLINK("https://www.google.com/maps?q=11.05587101,79.06412506","Open Location")</f>
        <v>Open Location</v>
      </c>
    </row>
    <row r="1371" spans="1:40" x14ac:dyDescent="0.3">
      <c r="A1371" s="1">
        <v>46210.841087962966</v>
      </c>
      <c r="B1371" t="s">
        <v>40</v>
      </c>
      <c r="C1371" t="s">
        <v>41</v>
      </c>
      <c r="D1371" s="1">
        <v>46210.843865740739</v>
      </c>
      <c r="E1371" t="s">
        <v>42</v>
      </c>
      <c r="F1371" t="s">
        <v>43</v>
      </c>
      <c r="G1371" t="s">
        <v>43</v>
      </c>
      <c r="H1371" t="s">
        <v>43</v>
      </c>
      <c r="I1371" t="s">
        <v>663</v>
      </c>
      <c r="J1371" t="s">
        <v>43</v>
      </c>
      <c r="K1371" t="s">
        <v>43</v>
      </c>
      <c r="L1371" t="s">
        <v>43</v>
      </c>
      <c r="M1371" t="s">
        <v>43</v>
      </c>
      <c r="N1371" t="s">
        <v>45</v>
      </c>
      <c r="O1371" t="s">
        <v>43</v>
      </c>
      <c r="P1371" t="s">
        <v>43</v>
      </c>
      <c r="Q1371" t="s">
        <v>43</v>
      </c>
      <c r="R1371" t="s">
        <v>43</v>
      </c>
      <c r="S1371" t="s">
        <v>43</v>
      </c>
      <c r="T1371" t="s">
        <v>43</v>
      </c>
      <c r="U1371" t="s">
        <v>43</v>
      </c>
      <c r="V1371" t="s">
        <v>43</v>
      </c>
      <c r="W1371" t="s">
        <v>43</v>
      </c>
      <c r="X1371" t="s">
        <v>43</v>
      </c>
      <c r="Y1371" t="s">
        <v>43</v>
      </c>
      <c r="Z1371" t="s">
        <v>43</v>
      </c>
      <c r="AA1371" t="s">
        <v>43</v>
      </c>
      <c r="AB1371" t="s">
        <v>43</v>
      </c>
      <c r="AC1371" t="s">
        <v>43</v>
      </c>
      <c r="AD1371" t="s">
        <v>43</v>
      </c>
      <c r="AE1371" t="s">
        <v>43</v>
      </c>
      <c r="AF1371" t="s">
        <v>43</v>
      </c>
      <c r="AG1371" t="s">
        <v>43</v>
      </c>
      <c r="AH1371" t="s">
        <v>43</v>
      </c>
      <c r="AI1371" t="s">
        <v>43</v>
      </c>
      <c r="AJ1371" t="s">
        <v>43</v>
      </c>
      <c r="AK1371" t="s">
        <v>43</v>
      </c>
      <c r="AL1371" t="s">
        <v>43</v>
      </c>
      <c r="AM1371" t="s">
        <v>43</v>
      </c>
      <c r="AN1371" t="str">
        <f>HYPERLINK("https://www.google.com/maps?q=11.05587006,79.06412506","Open Location")</f>
        <v>Open Location</v>
      </c>
    </row>
    <row r="1372" spans="1:40" x14ac:dyDescent="0.3">
      <c r="A1372" s="1">
        <v>46210.84097222222</v>
      </c>
      <c r="B1372" t="s">
        <v>40</v>
      </c>
      <c r="C1372" t="s">
        <v>41</v>
      </c>
      <c r="D1372" s="1">
        <v>46210.843668981484</v>
      </c>
      <c r="E1372" t="s">
        <v>42</v>
      </c>
      <c r="F1372" t="s">
        <v>43</v>
      </c>
      <c r="G1372" t="s">
        <v>43</v>
      </c>
      <c r="H1372" t="s">
        <v>43</v>
      </c>
      <c r="I1372" t="s">
        <v>664</v>
      </c>
      <c r="J1372" t="s">
        <v>43</v>
      </c>
      <c r="K1372" t="s">
        <v>43</v>
      </c>
      <c r="L1372" t="s">
        <v>43</v>
      </c>
      <c r="M1372" t="s">
        <v>43</v>
      </c>
      <c r="N1372" t="s">
        <v>45</v>
      </c>
      <c r="O1372" t="s">
        <v>43</v>
      </c>
      <c r="P1372" t="s">
        <v>43</v>
      </c>
      <c r="Q1372" t="s">
        <v>43</v>
      </c>
      <c r="R1372" t="s">
        <v>43</v>
      </c>
      <c r="S1372" t="s">
        <v>43</v>
      </c>
      <c r="T1372" t="s">
        <v>43</v>
      </c>
      <c r="U1372" t="s">
        <v>43</v>
      </c>
      <c r="V1372" t="s">
        <v>43</v>
      </c>
      <c r="W1372" t="s">
        <v>43</v>
      </c>
      <c r="X1372" t="s">
        <v>43</v>
      </c>
      <c r="Y1372" t="s">
        <v>43</v>
      </c>
      <c r="Z1372" t="s">
        <v>43</v>
      </c>
      <c r="AA1372" t="s">
        <v>43</v>
      </c>
      <c r="AB1372" t="s">
        <v>43</v>
      </c>
      <c r="AC1372" t="s">
        <v>43</v>
      </c>
      <c r="AD1372" t="s">
        <v>43</v>
      </c>
      <c r="AE1372" t="s">
        <v>43</v>
      </c>
      <c r="AF1372" t="s">
        <v>43</v>
      </c>
      <c r="AG1372" t="s">
        <v>43</v>
      </c>
      <c r="AH1372" t="s">
        <v>43</v>
      </c>
      <c r="AI1372" t="s">
        <v>43</v>
      </c>
      <c r="AJ1372" t="s">
        <v>43</v>
      </c>
      <c r="AK1372" t="s">
        <v>43</v>
      </c>
      <c r="AL1372" t="s">
        <v>43</v>
      </c>
      <c r="AM1372" t="s">
        <v>43</v>
      </c>
      <c r="AN1372" t="str">
        <f>HYPERLINK("https://www.google.com/maps?q=11.05587673,79.06412506","Open Location")</f>
        <v>Open Location</v>
      </c>
    </row>
    <row r="1373" spans="1:40" x14ac:dyDescent="0.3">
      <c r="A1373" s="1">
        <v>46210.840856481482</v>
      </c>
      <c r="B1373" t="s">
        <v>40</v>
      </c>
      <c r="C1373" t="s">
        <v>41</v>
      </c>
      <c r="D1373" s="1">
        <v>46210.844039351854</v>
      </c>
      <c r="E1373" t="s">
        <v>42</v>
      </c>
      <c r="F1373" t="s">
        <v>43</v>
      </c>
      <c r="G1373" t="s">
        <v>43</v>
      </c>
      <c r="H1373" t="s">
        <v>43</v>
      </c>
      <c r="I1373" t="s">
        <v>43</v>
      </c>
      <c r="J1373" t="s">
        <v>43</v>
      </c>
      <c r="K1373" t="s">
        <v>43</v>
      </c>
      <c r="L1373" t="s">
        <v>43</v>
      </c>
      <c r="M1373" t="s">
        <v>43</v>
      </c>
      <c r="N1373" t="s">
        <v>45</v>
      </c>
      <c r="O1373" t="s">
        <v>43</v>
      </c>
      <c r="P1373" t="s">
        <v>43</v>
      </c>
      <c r="Q1373" t="s">
        <v>43</v>
      </c>
      <c r="R1373" t="s">
        <v>43</v>
      </c>
      <c r="S1373" t="s">
        <v>43</v>
      </c>
      <c r="T1373" t="s">
        <v>43</v>
      </c>
      <c r="U1373" t="s">
        <v>43</v>
      </c>
      <c r="V1373" t="s">
        <v>43</v>
      </c>
      <c r="W1373" t="s">
        <v>43</v>
      </c>
      <c r="X1373" t="s">
        <v>43</v>
      </c>
      <c r="Y1373" t="s">
        <v>43</v>
      </c>
      <c r="Z1373" t="s">
        <v>43</v>
      </c>
      <c r="AA1373" t="s">
        <v>43</v>
      </c>
      <c r="AB1373" t="s">
        <v>43</v>
      </c>
      <c r="AC1373" t="s">
        <v>43</v>
      </c>
      <c r="AD1373" t="s">
        <v>43</v>
      </c>
      <c r="AE1373" t="s">
        <v>43</v>
      </c>
      <c r="AF1373" t="s">
        <v>43</v>
      </c>
      <c r="AG1373" t="s">
        <v>43</v>
      </c>
      <c r="AH1373" t="s">
        <v>43</v>
      </c>
      <c r="AI1373" t="s">
        <v>43</v>
      </c>
      <c r="AJ1373" t="s">
        <v>43</v>
      </c>
      <c r="AK1373" t="s">
        <v>43</v>
      </c>
      <c r="AL1373" t="s">
        <v>43</v>
      </c>
      <c r="AM1373" t="s">
        <v>43</v>
      </c>
      <c r="AN1373" t="s">
        <v>43</v>
      </c>
    </row>
    <row r="1374" spans="1:40" x14ac:dyDescent="0.3">
      <c r="A1374" s="1">
        <v>46210.840740740743</v>
      </c>
      <c r="B1374" t="s">
        <v>40</v>
      </c>
      <c r="C1374" t="s">
        <v>41</v>
      </c>
      <c r="D1374" s="1">
        <v>46210.843865740739</v>
      </c>
      <c r="E1374" t="s">
        <v>42</v>
      </c>
      <c r="F1374" t="s">
        <v>43</v>
      </c>
      <c r="G1374" t="s">
        <v>43</v>
      </c>
      <c r="H1374" t="s">
        <v>43</v>
      </c>
      <c r="I1374" t="s">
        <v>663</v>
      </c>
      <c r="J1374" t="s">
        <v>43</v>
      </c>
      <c r="K1374" t="s">
        <v>43</v>
      </c>
      <c r="L1374" t="s">
        <v>43</v>
      </c>
      <c r="M1374" t="s">
        <v>43</v>
      </c>
      <c r="N1374" t="s">
        <v>45</v>
      </c>
      <c r="O1374" t="s">
        <v>43</v>
      </c>
      <c r="P1374" t="s">
        <v>43</v>
      </c>
      <c r="Q1374" t="s">
        <v>43</v>
      </c>
      <c r="R1374" t="s">
        <v>43</v>
      </c>
      <c r="S1374" t="s">
        <v>43</v>
      </c>
      <c r="T1374" t="s">
        <v>43</v>
      </c>
      <c r="U1374" t="s">
        <v>43</v>
      </c>
      <c r="V1374" t="s">
        <v>43</v>
      </c>
      <c r="W1374" t="s">
        <v>43</v>
      </c>
      <c r="X1374" t="s">
        <v>43</v>
      </c>
      <c r="Y1374" t="s">
        <v>43</v>
      </c>
      <c r="Z1374" t="s">
        <v>43</v>
      </c>
      <c r="AA1374" t="s">
        <v>43</v>
      </c>
      <c r="AB1374" t="s">
        <v>43</v>
      </c>
      <c r="AC1374" t="s">
        <v>43</v>
      </c>
      <c r="AD1374" t="s">
        <v>43</v>
      </c>
      <c r="AE1374" t="s">
        <v>43</v>
      </c>
      <c r="AF1374" t="s">
        <v>43</v>
      </c>
      <c r="AG1374" t="s">
        <v>43</v>
      </c>
      <c r="AH1374" t="s">
        <v>43</v>
      </c>
      <c r="AI1374" t="s">
        <v>43</v>
      </c>
      <c r="AJ1374" t="s">
        <v>43</v>
      </c>
      <c r="AK1374" t="s">
        <v>43</v>
      </c>
      <c r="AL1374" t="s">
        <v>43</v>
      </c>
      <c r="AM1374" t="s">
        <v>43</v>
      </c>
      <c r="AN1374" t="str">
        <f>HYPERLINK("https://www.google.com/maps?q=11.05587006,79.06412506","Open Location")</f>
        <v>Open Location</v>
      </c>
    </row>
    <row r="1375" spans="1:40" x14ac:dyDescent="0.3">
      <c r="A1375" s="1">
        <v>46210.840624999997</v>
      </c>
      <c r="B1375" t="s">
        <v>40</v>
      </c>
      <c r="C1375" t="s">
        <v>41</v>
      </c>
      <c r="D1375" s="1">
        <v>46210.843564814815</v>
      </c>
      <c r="E1375" t="s">
        <v>42</v>
      </c>
      <c r="F1375" t="s">
        <v>43</v>
      </c>
      <c r="G1375" t="s">
        <v>43</v>
      </c>
      <c r="H1375" t="s">
        <v>43</v>
      </c>
      <c r="I1375" t="s">
        <v>665</v>
      </c>
      <c r="J1375" t="s">
        <v>43</v>
      </c>
      <c r="K1375" t="s">
        <v>43</v>
      </c>
      <c r="L1375" t="s">
        <v>43</v>
      </c>
      <c r="M1375" t="s">
        <v>43</v>
      </c>
      <c r="N1375" t="s">
        <v>45</v>
      </c>
      <c r="O1375" t="s">
        <v>43</v>
      </c>
      <c r="P1375" t="s">
        <v>43</v>
      </c>
      <c r="Q1375" t="s">
        <v>43</v>
      </c>
      <c r="R1375" t="s">
        <v>43</v>
      </c>
      <c r="S1375" t="s">
        <v>43</v>
      </c>
      <c r="T1375" t="s">
        <v>43</v>
      </c>
      <c r="U1375" t="s">
        <v>43</v>
      </c>
      <c r="V1375" t="s">
        <v>43</v>
      </c>
      <c r="W1375" t="s">
        <v>43</v>
      </c>
      <c r="X1375" t="s">
        <v>43</v>
      </c>
      <c r="Y1375" t="s">
        <v>43</v>
      </c>
      <c r="Z1375" t="s">
        <v>43</v>
      </c>
      <c r="AA1375" t="s">
        <v>43</v>
      </c>
      <c r="AB1375" t="s">
        <v>43</v>
      </c>
      <c r="AC1375" t="s">
        <v>43</v>
      </c>
      <c r="AD1375" t="s">
        <v>43</v>
      </c>
      <c r="AE1375" t="s">
        <v>43</v>
      </c>
      <c r="AF1375" t="s">
        <v>43</v>
      </c>
      <c r="AG1375" t="s">
        <v>43</v>
      </c>
      <c r="AH1375" t="s">
        <v>43</v>
      </c>
      <c r="AI1375" t="s">
        <v>43</v>
      </c>
      <c r="AJ1375" t="s">
        <v>43</v>
      </c>
      <c r="AK1375" t="s">
        <v>43</v>
      </c>
      <c r="AL1375" t="s">
        <v>43</v>
      </c>
      <c r="AM1375" t="s">
        <v>43</v>
      </c>
      <c r="AN1375" t="str">
        <f>HYPERLINK("https://www.google.com/maps?q=11.05587196,79.06412506","Open Location")</f>
        <v>Open Location</v>
      </c>
    </row>
    <row r="1376" spans="1:40" x14ac:dyDescent="0.3">
      <c r="A1376" s="1">
        <v>46210.840509259258</v>
      </c>
      <c r="B1376" t="s">
        <v>40</v>
      </c>
      <c r="C1376" t="s">
        <v>41</v>
      </c>
      <c r="D1376" s="1">
        <v>46210.8434837963</v>
      </c>
      <c r="E1376" t="s">
        <v>42</v>
      </c>
      <c r="F1376" t="s">
        <v>43</v>
      </c>
      <c r="G1376" t="s">
        <v>43</v>
      </c>
      <c r="H1376" t="s">
        <v>43</v>
      </c>
      <c r="I1376" t="s">
        <v>666</v>
      </c>
      <c r="J1376" t="s">
        <v>43</v>
      </c>
      <c r="K1376" t="s">
        <v>43</v>
      </c>
      <c r="L1376" t="s">
        <v>43</v>
      </c>
      <c r="M1376" t="s">
        <v>43</v>
      </c>
      <c r="N1376" t="s">
        <v>45</v>
      </c>
      <c r="O1376" t="s">
        <v>43</v>
      </c>
      <c r="P1376" t="s">
        <v>43</v>
      </c>
      <c r="Q1376" t="s">
        <v>43</v>
      </c>
      <c r="R1376" t="s">
        <v>43</v>
      </c>
      <c r="S1376" t="s">
        <v>43</v>
      </c>
      <c r="T1376" t="s">
        <v>43</v>
      </c>
      <c r="U1376" t="s">
        <v>43</v>
      </c>
      <c r="V1376" t="s">
        <v>43</v>
      </c>
      <c r="W1376" t="s">
        <v>43</v>
      </c>
      <c r="X1376" t="s">
        <v>43</v>
      </c>
      <c r="Y1376" t="s">
        <v>43</v>
      </c>
      <c r="Z1376" t="s">
        <v>43</v>
      </c>
      <c r="AA1376" t="s">
        <v>43</v>
      </c>
      <c r="AB1376" t="s">
        <v>43</v>
      </c>
      <c r="AC1376" t="s">
        <v>43</v>
      </c>
      <c r="AD1376" t="s">
        <v>43</v>
      </c>
      <c r="AE1376" t="s">
        <v>43</v>
      </c>
      <c r="AF1376" t="s">
        <v>43</v>
      </c>
      <c r="AG1376" t="s">
        <v>43</v>
      </c>
      <c r="AH1376" t="s">
        <v>43</v>
      </c>
      <c r="AI1376" t="s">
        <v>43</v>
      </c>
      <c r="AJ1376" t="s">
        <v>43</v>
      </c>
      <c r="AK1376" t="s">
        <v>43</v>
      </c>
      <c r="AL1376" t="s">
        <v>43</v>
      </c>
      <c r="AM1376" t="s">
        <v>43</v>
      </c>
      <c r="AN1376" t="str">
        <f>HYPERLINK("https://www.google.com/maps?q=11.05587292,79.06412506","Open Location")</f>
        <v>Open Location</v>
      </c>
    </row>
    <row r="1377" spans="1:40" x14ac:dyDescent="0.3">
      <c r="A1377" s="1">
        <v>46210.84039351852</v>
      </c>
      <c r="B1377" t="s">
        <v>40</v>
      </c>
      <c r="C1377" t="s">
        <v>41</v>
      </c>
      <c r="D1377" s="1">
        <v>46210.843229166669</v>
      </c>
      <c r="E1377" t="s">
        <v>42</v>
      </c>
      <c r="F1377" t="s">
        <v>43</v>
      </c>
      <c r="G1377" t="s">
        <v>43</v>
      </c>
      <c r="H1377" t="s">
        <v>43</v>
      </c>
      <c r="I1377" t="s">
        <v>622</v>
      </c>
      <c r="J1377" t="s">
        <v>43</v>
      </c>
      <c r="K1377" t="s">
        <v>43</v>
      </c>
      <c r="L1377" t="s">
        <v>43</v>
      </c>
      <c r="M1377" t="s">
        <v>43</v>
      </c>
      <c r="N1377" t="s">
        <v>45</v>
      </c>
      <c r="O1377" t="s">
        <v>43</v>
      </c>
      <c r="P1377" t="s">
        <v>43</v>
      </c>
      <c r="Q1377" t="s">
        <v>43</v>
      </c>
      <c r="R1377" t="s">
        <v>43</v>
      </c>
      <c r="S1377" t="s">
        <v>43</v>
      </c>
      <c r="T1377" t="s">
        <v>43</v>
      </c>
      <c r="U1377" t="s">
        <v>43</v>
      </c>
      <c r="V1377" t="s">
        <v>43</v>
      </c>
      <c r="W1377" t="s">
        <v>43</v>
      </c>
      <c r="X1377" t="s">
        <v>43</v>
      </c>
      <c r="Y1377" t="s">
        <v>43</v>
      </c>
      <c r="Z1377" t="s">
        <v>43</v>
      </c>
      <c r="AA1377" t="s">
        <v>43</v>
      </c>
      <c r="AB1377" t="s">
        <v>43</v>
      </c>
      <c r="AC1377" t="s">
        <v>43</v>
      </c>
      <c r="AD1377" t="s">
        <v>43</v>
      </c>
      <c r="AE1377" t="s">
        <v>43</v>
      </c>
      <c r="AF1377" t="s">
        <v>43</v>
      </c>
      <c r="AG1377" t="s">
        <v>43</v>
      </c>
      <c r="AH1377" t="s">
        <v>43</v>
      </c>
      <c r="AI1377" t="s">
        <v>43</v>
      </c>
      <c r="AJ1377" t="s">
        <v>43</v>
      </c>
      <c r="AK1377" t="s">
        <v>43</v>
      </c>
      <c r="AL1377" t="s">
        <v>43</v>
      </c>
      <c r="AM1377" t="s">
        <v>43</v>
      </c>
      <c r="AN1377" t="str">
        <f>HYPERLINK("https://www.google.com/maps?q=11.05587387,79.06411743","Open Location")</f>
        <v>Open Location</v>
      </c>
    </row>
    <row r="1378" spans="1:40" x14ac:dyDescent="0.3">
      <c r="A1378" s="1">
        <v>46210.840277777781</v>
      </c>
      <c r="B1378" t="s">
        <v>40</v>
      </c>
      <c r="C1378" t="s">
        <v>41</v>
      </c>
      <c r="D1378" s="1">
        <v>46210.843587962961</v>
      </c>
      <c r="E1378" t="s">
        <v>42</v>
      </c>
      <c r="F1378" t="s">
        <v>43</v>
      </c>
      <c r="G1378" t="s">
        <v>43</v>
      </c>
      <c r="H1378" t="s">
        <v>43</v>
      </c>
      <c r="I1378" t="s">
        <v>667</v>
      </c>
      <c r="J1378" t="s">
        <v>43</v>
      </c>
      <c r="K1378" t="s">
        <v>43</v>
      </c>
      <c r="L1378" t="s">
        <v>43</v>
      </c>
      <c r="M1378" t="s">
        <v>43</v>
      </c>
      <c r="N1378" t="s">
        <v>45</v>
      </c>
      <c r="O1378" t="s">
        <v>43</v>
      </c>
      <c r="P1378" t="s">
        <v>43</v>
      </c>
      <c r="Q1378" t="s">
        <v>43</v>
      </c>
      <c r="R1378" t="s">
        <v>43</v>
      </c>
      <c r="S1378" t="s">
        <v>43</v>
      </c>
      <c r="T1378" t="s">
        <v>43</v>
      </c>
      <c r="U1378" t="s">
        <v>43</v>
      </c>
      <c r="V1378" t="s">
        <v>43</v>
      </c>
      <c r="W1378" t="s">
        <v>43</v>
      </c>
      <c r="X1378" t="s">
        <v>43</v>
      </c>
      <c r="Y1378" t="s">
        <v>43</v>
      </c>
      <c r="Z1378" t="s">
        <v>43</v>
      </c>
      <c r="AA1378" t="s">
        <v>43</v>
      </c>
      <c r="AB1378" t="s">
        <v>43</v>
      </c>
      <c r="AC1378" t="s">
        <v>43</v>
      </c>
      <c r="AD1378" t="s">
        <v>43</v>
      </c>
      <c r="AE1378" t="s">
        <v>43</v>
      </c>
      <c r="AF1378" t="s">
        <v>43</v>
      </c>
      <c r="AG1378" t="s">
        <v>43</v>
      </c>
      <c r="AH1378" t="s">
        <v>43</v>
      </c>
      <c r="AI1378" t="s">
        <v>43</v>
      </c>
      <c r="AJ1378" t="s">
        <v>43</v>
      </c>
      <c r="AK1378" t="s">
        <v>43</v>
      </c>
      <c r="AL1378" t="s">
        <v>43</v>
      </c>
      <c r="AM1378" t="s">
        <v>43</v>
      </c>
      <c r="AN1378" t="str">
        <f>HYPERLINK("https://www.google.com/maps?q=11.05587864,79.06411743","Open Location")</f>
        <v>Open Location</v>
      </c>
    </row>
    <row r="1379" spans="1:40" x14ac:dyDescent="0.3">
      <c r="A1379" s="1">
        <v>46210.840162037035</v>
      </c>
      <c r="B1379" t="s">
        <v>40</v>
      </c>
      <c r="C1379" t="s">
        <v>41</v>
      </c>
      <c r="D1379" s="1">
        <v>46210.842916666668</v>
      </c>
      <c r="E1379" t="s">
        <v>42</v>
      </c>
      <c r="F1379" t="s">
        <v>43</v>
      </c>
      <c r="G1379" t="s">
        <v>43</v>
      </c>
      <c r="H1379" t="s">
        <v>43</v>
      </c>
      <c r="I1379" t="s">
        <v>43</v>
      </c>
      <c r="J1379" t="s">
        <v>43</v>
      </c>
      <c r="K1379" t="s">
        <v>43</v>
      </c>
      <c r="L1379" t="s">
        <v>43</v>
      </c>
      <c r="M1379" t="s">
        <v>43</v>
      </c>
      <c r="N1379" t="s">
        <v>45</v>
      </c>
      <c r="O1379" t="s">
        <v>43</v>
      </c>
      <c r="P1379" t="s">
        <v>43</v>
      </c>
      <c r="Q1379" t="s">
        <v>43</v>
      </c>
      <c r="R1379" t="s">
        <v>43</v>
      </c>
      <c r="S1379" t="s">
        <v>43</v>
      </c>
      <c r="T1379" t="s">
        <v>43</v>
      </c>
      <c r="U1379" t="s">
        <v>43</v>
      </c>
      <c r="V1379" t="s">
        <v>43</v>
      </c>
      <c r="W1379" t="s">
        <v>43</v>
      </c>
      <c r="X1379" t="s">
        <v>43</v>
      </c>
      <c r="Y1379" t="s">
        <v>43</v>
      </c>
      <c r="Z1379" t="s">
        <v>43</v>
      </c>
      <c r="AA1379" t="s">
        <v>43</v>
      </c>
      <c r="AB1379" t="s">
        <v>43</v>
      </c>
      <c r="AC1379" t="s">
        <v>43</v>
      </c>
      <c r="AD1379" t="s">
        <v>43</v>
      </c>
      <c r="AE1379" t="s">
        <v>43</v>
      </c>
      <c r="AF1379" t="s">
        <v>43</v>
      </c>
      <c r="AG1379" t="s">
        <v>43</v>
      </c>
      <c r="AH1379" t="s">
        <v>43</v>
      </c>
      <c r="AI1379" t="s">
        <v>43</v>
      </c>
      <c r="AJ1379" t="s">
        <v>43</v>
      </c>
      <c r="AK1379" t="s">
        <v>43</v>
      </c>
      <c r="AL1379" t="s">
        <v>43</v>
      </c>
      <c r="AM1379" t="s">
        <v>43</v>
      </c>
      <c r="AN1379" t="s">
        <v>43</v>
      </c>
    </row>
    <row r="1380" spans="1:40" x14ac:dyDescent="0.3">
      <c r="A1380" s="1">
        <v>46210.840046296296</v>
      </c>
      <c r="B1380" t="s">
        <v>40</v>
      </c>
      <c r="C1380" t="s">
        <v>41</v>
      </c>
      <c r="D1380" s="1">
        <v>46210.842928240738</v>
      </c>
      <c r="E1380" t="s">
        <v>42</v>
      </c>
      <c r="F1380" t="s">
        <v>43</v>
      </c>
      <c r="G1380" t="s">
        <v>43</v>
      </c>
      <c r="H1380" t="s">
        <v>43</v>
      </c>
      <c r="I1380" t="s">
        <v>668</v>
      </c>
      <c r="J1380" t="s">
        <v>43</v>
      </c>
      <c r="K1380" t="s">
        <v>43</v>
      </c>
      <c r="L1380" t="s">
        <v>43</v>
      </c>
      <c r="M1380" t="s">
        <v>43</v>
      </c>
      <c r="N1380" t="s">
        <v>45</v>
      </c>
      <c r="O1380" t="s">
        <v>43</v>
      </c>
      <c r="P1380" t="s">
        <v>43</v>
      </c>
      <c r="Q1380" t="s">
        <v>43</v>
      </c>
      <c r="R1380" t="s">
        <v>43</v>
      </c>
      <c r="S1380" t="s">
        <v>43</v>
      </c>
      <c r="T1380" t="s">
        <v>43</v>
      </c>
      <c r="U1380" t="s">
        <v>43</v>
      </c>
      <c r="V1380" t="s">
        <v>43</v>
      </c>
      <c r="W1380" t="s">
        <v>43</v>
      </c>
      <c r="X1380" t="s">
        <v>43</v>
      </c>
      <c r="Y1380" t="s">
        <v>43</v>
      </c>
      <c r="Z1380" t="s">
        <v>43</v>
      </c>
      <c r="AA1380" t="s">
        <v>43</v>
      </c>
      <c r="AB1380" t="s">
        <v>43</v>
      </c>
      <c r="AC1380" t="s">
        <v>43</v>
      </c>
      <c r="AD1380" t="s">
        <v>43</v>
      </c>
      <c r="AE1380" t="s">
        <v>43</v>
      </c>
      <c r="AF1380" t="s">
        <v>43</v>
      </c>
      <c r="AG1380" t="s">
        <v>43</v>
      </c>
      <c r="AH1380" t="s">
        <v>43</v>
      </c>
      <c r="AI1380" t="s">
        <v>43</v>
      </c>
      <c r="AJ1380" t="s">
        <v>43</v>
      </c>
      <c r="AK1380" t="s">
        <v>43</v>
      </c>
      <c r="AL1380" t="s">
        <v>43</v>
      </c>
      <c r="AM1380" t="s">
        <v>43</v>
      </c>
      <c r="AN1380" t="str">
        <f>HYPERLINK("https://www.google.com/maps?q=11.05587292,79.06411743","Open Location")</f>
        <v>Open Location</v>
      </c>
    </row>
    <row r="1381" spans="1:40" x14ac:dyDescent="0.3">
      <c r="A1381" s="1">
        <v>46210.839930555558</v>
      </c>
      <c r="B1381" t="s">
        <v>40</v>
      </c>
      <c r="C1381" t="s">
        <v>41</v>
      </c>
      <c r="D1381" s="1">
        <v>46210.842569444445</v>
      </c>
      <c r="E1381" t="s">
        <v>42</v>
      </c>
      <c r="F1381" t="s">
        <v>43</v>
      </c>
      <c r="G1381" t="s">
        <v>43</v>
      </c>
      <c r="H1381" t="s">
        <v>43</v>
      </c>
      <c r="I1381" t="s">
        <v>663</v>
      </c>
      <c r="J1381" t="s">
        <v>43</v>
      </c>
      <c r="K1381" t="s">
        <v>43</v>
      </c>
      <c r="L1381" t="s">
        <v>43</v>
      </c>
      <c r="M1381" t="s">
        <v>43</v>
      </c>
      <c r="N1381" t="s">
        <v>45</v>
      </c>
      <c r="O1381" t="s">
        <v>43</v>
      </c>
      <c r="P1381" t="s">
        <v>43</v>
      </c>
      <c r="Q1381" t="s">
        <v>43</v>
      </c>
      <c r="R1381" t="s">
        <v>43</v>
      </c>
      <c r="S1381" t="s">
        <v>43</v>
      </c>
      <c r="T1381" t="s">
        <v>43</v>
      </c>
      <c r="U1381" t="s">
        <v>43</v>
      </c>
      <c r="V1381" t="s">
        <v>43</v>
      </c>
      <c r="W1381" t="s">
        <v>43</v>
      </c>
      <c r="X1381" t="s">
        <v>43</v>
      </c>
      <c r="Y1381" t="s">
        <v>43</v>
      </c>
      <c r="Z1381" t="s">
        <v>43</v>
      </c>
      <c r="AA1381" t="s">
        <v>43</v>
      </c>
      <c r="AB1381" t="s">
        <v>43</v>
      </c>
      <c r="AC1381" t="s">
        <v>43</v>
      </c>
      <c r="AD1381" t="s">
        <v>43</v>
      </c>
      <c r="AE1381" t="s">
        <v>43</v>
      </c>
      <c r="AF1381" t="s">
        <v>43</v>
      </c>
      <c r="AG1381" t="s">
        <v>43</v>
      </c>
      <c r="AH1381" t="s">
        <v>43</v>
      </c>
      <c r="AI1381" t="s">
        <v>43</v>
      </c>
      <c r="AJ1381" t="s">
        <v>43</v>
      </c>
      <c r="AK1381" t="s">
        <v>43</v>
      </c>
      <c r="AL1381" t="s">
        <v>43</v>
      </c>
      <c r="AM1381" t="s">
        <v>43</v>
      </c>
      <c r="AN1381" t="str">
        <f>HYPERLINK("https://www.google.com/maps?q=11.05587006,79.06412506","Open Location")</f>
        <v>Open Location</v>
      </c>
    </row>
    <row r="1382" spans="1:40" x14ac:dyDescent="0.3">
      <c r="A1382" s="1">
        <v>46210.839814814812</v>
      </c>
      <c r="B1382" t="s">
        <v>40</v>
      </c>
      <c r="C1382" t="s">
        <v>41</v>
      </c>
      <c r="D1382" s="1">
        <v>46210.842673611114</v>
      </c>
      <c r="E1382" t="s">
        <v>42</v>
      </c>
      <c r="F1382" t="s">
        <v>43</v>
      </c>
      <c r="G1382" t="s">
        <v>43</v>
      </c>
      <c r="H1382" t="s">
        <v>43</v>
      </c>
      <c r="I1382" t="s">
        <v>665</v>
      </c>
      <c r="J1382" t="s">
        <v>43</v>
      </c>
      <c r="K1382" t="s">
        <v>43</v>
      </c>
      <c r="L1382" t="s">
        <v>43</v>
      </c>
      <c r="M1382" t="s">
        <v>43</v>
      </c>
      <c r="N1382" t="s">
        <v>45</v>
      </c>
      <c r="O1382" t="s">
        <v>43</v>
      </c>
      <c r="P1382" t="s">
        <v>43</v>
      </c>
      <c r="Q1382" t="s">
        <v>43</v>
      </c>
      <c r="R1382" t="s">
        <v>43</v>
      </c>
      <c r="S1382" t="s">
        <v>43</v>
      </c>
      <c r="T1382" t="s">
        <v>43</v>
      </c>
      <c r="U1382" t="s">
        <v>43</v>
      </c>
      <c r="V1382" t="s">
        <v>43</v>
      </c>
      <c r="W1382" t="s">
        <v>43</v>
      </c>
      <c r="X1382" t="s">
        <v>43</v>
      </c>
      <c r="Y1382" t="s">
        <v>43</v>
      </c>
      <c r="Z1382" t="s">
        <v>43</v>
      </c>
      <c r="AA1382" t="s">
        <v>43</v>
      </c>
      <c r="AB1382" t="s">
        <v>43</v>
      </c>
      <c r="AC1382" t="s">
        <v>43</v>
      </c>
      <c r="AD1382" t="s">
        <v>43</v>
      </c>
      <c r="AE1382" t="s">
        <v>43</v>
      </c>
      <c r="AF1382" t="s">
        <v>43</v>
      </c>
      <c r="AG1382" t="s">
        <v>43</v>
      </c>
      <c r="AH1382" t="s">
        <v>43</v>
      </c>
      <c r="AI1382" t="s">
        <v>43</v>
      </c>
      <c r="AJ1382" t="s">
        <v>43</v>
      </c>
      <c r="AK1382" t="s">
        <v>43</v>
      </c>
      <c r="AL1382" t="s">
        <v>43</v>
      </c>
      <c r="AM1382" t="s">
        <v>43</v>
      </c>
      <c r="AN1382" t="str">
        <f>HYPERLINK("https://www.google.com/maps?q=11.05587196,79.06412506","Open Location")</f>
        <v>Open Location</v>
      </c>
    </row>
    <row r="1383" spans="1:40" x14ac:dyDescent="0.3">
      <c r="A1383" s="1">
        <v>46210.839699074073</v>
      </c>
      <c r="B1383" t="s">
        <v>40</v>
      </c>
      <c r="C1383" t="s">
        <v>41</v>
      </c>
      <c r="D1383" s="1">
        <v>46210.842442129629</v>
      </c>
      <c r="E1383" t="s">
        <v>42</v>
      </c>
      <c r="F1383" t="s">
        <v>43</v>
      </c>
      <c r="G1383" t="s">
        <v>43</v>
      </c>
      <c r="H1383" t="s">
        <v>43</v>
      </c>
      <c r="I1383" t="s">
        <v>662</v>
      </c>
      <c r="J1383" t="s">
        <v>43</v>
      </c>
      <c r="K1383" t="s">
        <v>43</v>
      </c>
      <c r="L1383" t="s">
        <v>43</v>
      </c>
      <c r="M1383" t="s">
        <v>43</v>
      </c>
      <c r="N1383" t="s">
        <v>45</v>
      </c>
      <c r="O1383" t="s">
        <v>43</v>
      </c>
      <c r="P1383" t="s">
        <v>43</v>
      </c>
      <c r="Q1383" t="s">
        <v>43</v>
      </c>
      <c r="R1383" t="s">
        <v>43</v>
      </c>
      <c r="S1383" t="s">
        <v>43</v>
      </c>
      <c r="T1383" t="s">
        <v>43</v>
      </c>
      <c r="U1383" t="s">
        <v>43</v>
      </c>
      <c r="V1383" t="s">
        <v>43</v>
      </c>
      <c r="W1383" t="s">
        <v>43</v>
      </c>
      <c r="X1383" t="s">
        <v>43</v>
      </c>
      <c r="Y1383" t="s">
        <v>43</v>
      </c>
      <c r="Z1383" t="s">
        <v>43</v>
      </c>
      <c r="AA1383" t="s">
        <v>43</v>
      </c>
      <c r="AB1383" t="s">
        <v>43</v>
      </c>
      <c r="AC1383" t="s">
        <v>43</v>
      </c>
      <c r="AD1383" t="s">
        <v>43</v>
      </c>
      <c r="AE1383" t="s">
        <v>43</v>
      </c>
      <c r="AF1383" t="s">
        <v>43</v>
      </c>
      <c r="AG1383" t="s">
        <v>43</v>
      </c>
      <c r="AH1383" t="s">
        <v>43</v>
      </c>
      <c r="AI1383" t="s">
        <v>43</v>
      </c>
      <c r="AJ1383" t="s">
        <v>43</v>
      </c>
      <c r="AK1383" t="s">
        <v>43</v>
      </c>
      <c r="AL1383" t="s">
        <v>43</v>
      </c>
      <c r="AM1383" t="s">
        <v>43</v>
      </c>
      <c r="AN1383" t="str">
        <f>HYPERLINK("https://www.google.com/maps?q=11.05587101,79.06412506","Open Location")</f>
        <v>Open Location</v>
      </c>
    </row>
    <row r="1384" spans="1:40" x14ac:dyDescent="0.3">
      <c r="A1384" s="1">
        <v>46210.839583333334</v>
      </c>
      <c r="B1384" t="s">
        <v>40</v>
      </c>
      <c r="C1384" t="s">
        <v>41</v>
      </c>
      <c r="D1384" s="1">
        <v>46210.842430555553</v>
      </c>
      <c r="E1384" t="s">
        <v>42</v>
      </c>
      <c r="F1384" t="s">
        <v>43</v>
      </c>
      <c r="G1384" t="s">
        <v>43</v>
      </c>
      <c r="H1384" t="s">
        <v>43</v>
      </c>
      <c r="I1384" t="s">
        <v>669</v>
      </c>
      <c r="J1384" t="s">
        <v>43</v>
      </c>
      <c r="K1384" t="s">
        <v>43</v>
      </c>
      <c r="L1384" t="s">
        <v>43</v>
      </c>
      <c r="M1384" t="s">
        <v>43</v>
      </c>
      <c r="N1384" t="s">
        <v>45</v>
      </c>
      <c r="O1384" t="s">
        <v>43</v>
      </c>
      <c r="P1384" t="s">
        <v>43</v>
      </c>
      <c r="Q1384" t="s">
        <v>43</v>
      </c>
      <c r="R1384" t="s">
        <v>43</v>
      </c>
      <c r="S1384" t="s">
        <v>43</v>
      </c>
      <c r="T1384" t="s">
        <v>43</v>
      </c>
      <c r="U1384" t="s">
        <v>43</v>
      </c>
      <c r="V1384" t="s">
        <v>43</v>
      </c>
      <c r="W1384" t="s">
        <v>43</v>
      </c>
      <c r="X1384" t="s">
        <v>43</v>
      </c>
      <c r="Y1384" t="s">
        <v>43</v>
      </c>
      <c r="Z1384" t="s">
        <v>43</v>
      </c>
      <c r="AA1384" t="s">
        <v>43</v>
      </c>
      <c r="AB1384" t="s">
        <v>43</v>
      </c>
      <c r="AC1384" t="s">
        <v>43</v>
      </c>
      <c r="AD1384" t="s">
        <v>43</v>
      </c>
      <c r="AE1384" t="s">
        <v>43</v>
      </c>
      <c r="AF1384" t="s">
        <v>43</v>
      </c>
      <c r="AG1384" t="s">
        <v>43</v>
      </c>
      <c r="AH1384" t="s">
        <v>43</v>
      </c>
      <c r="AI1384" t="s">
        <v>43</v>
      </c>
      <c r="AJ1384" t="s">
        <v>43</v>
      </c>
      <c r="AK1384" t="s">
        <v>43</v>
      </c>
      <c r="AL1384" t="s">
        <v>43</v>
      </c>
      <c r="AM1384" t="s">
        <v>43</v>
      </c>
      <c r="AN1384" t="str">
        <f>HYPERLINK("https://www.google.com/maps?q=11.05587101,79.06413269","Open Location")</f>
        <v>Open Location</v>
      </c>
    </row>
    <row r="1385" spans="1:40" x14ac:dyDescent="0.3">
      <c r="A1385" s="1">
        <v>46210.839467592596</v>
      </c>
      <c r="B1385" t="s">
        <v>40</v>
      </c>
      <c r="C1385" t="s">
        <v>41</v>
      </c>
      <c r="D1385" s="1">
        <v>46210.842222222222</v>
      </c>
      <c r="E1385" t="s">
        <v>42</v>
      </c>
      <c r="F1385" t="s">
        <v>43</v>
      </c>
      <c r="G1385" t="s">
        <v>43</v>
      </c>
      <c r="H1385" t="s">
        <v>43</v>
      </c>
      <c r="I1385" t="s">
        <v>43</v>
      </c>
      <c r="J1385" t="s">
        <v>43</v>
      </c>
      <c r="K1385" t="s">
        <v>43</v>
      </c>
      <c r="L1385" t="s">
        <v>43</v>
      </c>
      <c r="M1385" t="s">
        <v>43</v>
      </c>
      <c r="N1385" t="s">
        <v>45</v>
      </c>
      <c r="O1385" t="s">
        <v>43</v>
      </c>
      <c r="P1385" t="s">
        <v>43</v>
      </c>
      <c r="Q1385" t="s">
        <v>43</v>
      </c>
      <c r="R1385" t="s">
        <v>43</v>
      </c>
      <c r="S1385" t="s">
        <v>43</v>
      </c>
      <c r="T1385" t="s">
        <v>43</v>
      </c>
      <c r="U1385" t="s">
        <v>43</v>
      </c>
      <c r="V1385" t="s">
        <v>43</v>
      </c>
      <c r="W1385" t="s">
        <v>43</v>
      </c>
      <c r="X1385" t="s">
        <v>43</v>
      </c>
      <c r="Y1385" t="s">
        <v>43</v>
      </c>
      <c r="Z1385" t="s">
        <v>43</v>
      </c>
      <c r="AA1385" t="s">
        <v>43</v>
      </c>
      <c r="AB1385" t="s">
        <v>43</v>
      </c>
      <c r="AC1385" t="s">
        <v>43</v>
      </c>
      <c r="AD1385" t="s">
        <v>43</v>
      </c>
      <c r="AE1385" t="s">
        <v>43</v>
      </c>
      <c r="AF1385" t="s">
        <v>43</v>
      </c>
      <c r="AG1385" t="s">
        <v>43</v>
      </c>
      <c r="AH1385" t="s">
        <v>43</v>
      </c>
      <c r="AI1385" t="s">
        <v>43</v>
      </c>
      <c r="AJ1385" t="s">
        <v>43</v>
      </c>
      <c r="AK1385" t="s">
        <v>43</v>
      </c>
      <c r="AL1385" t="s">
        <v>43</v>
      </c>
      <c r="AM1385" t="s">
        <v>43</v>
      </c>
      <c r="AN1385" t="s">
        <v>43</v>
      </c>
    </row>
    <row r="1386" spans="1:40" x14ac:dyDescent="0.3">
      <c r="A1386" s="1">
        <v>46210.83935185185</v>
      </c>
      <c r="B1386" t="s">
        <v>40</v>
      </c>
      <c r="C1386" t="s">
        <v>41</v>
      </c>
      <c r="D1386" s="1">
        <v>46210.842407407406</v>
      </c>
      <c r="E1386" t="s">
        <v>42</v>
      </c>
      <c r="F1386" t="s">
        <v>43</v>
      </c>
      <c r="G1386" t="s">
        <v>43</v>
      </c>
      <c r="H1386" t="s">
        <v>43</v>
      </c>
      <c r="I1386" t="s">
        <v>634</v>
      </c>
      <c r="J1386" t="s">
        <v>43</v>
      </c>
      <c r="K1386" t="s">
        <v>43</v>
      </c>
      <c r="L1386" t="s">
        <v>43</v>
      </c>
      <c r="M1386" t="s">
        <v>43</v>
      </c>
      <c r="N1386" t="s">
        <v>45</v>
      </c>
      <c r="O1386" t="s">
        <v>43</v>
      </c>
      <c r="P1386" t="s">
        <v>43</v>
      </c>
      <c r="Q1386" t="s">
        <v>43</v>
      </c>
      <c r="R1386" t="s">
        <v>43</v>
      </c>
      <c r="S1386" t="s">
        <v>43</v>
      </c>
      <c r="T1386" t="s">
        <v>43</v>
      </c>
      <c r="U1386" t="s">
        <v>43</v>
      </c>
      <c r="V1386" t="s">
        <v>43</v>
      </c>
      <c r="W1386" t="s">
        <v>43</v>
      </c>
      <c r="X1386" t="s">
        <v>43</v>
      </c>
      <c r="Y1386" t="s">
        <v>43</v>
      </c>
      <c r="Z1386" t="s">
        <v>43</v>
      </c>
      <c r="AA1386" t="s">
        <v>43</v>
      </c>
      <c r="AB1386" t="s">
        <v>43</v>
      </c>
      <c r="AC1386" t="s">
        <v>43</v>
      </c>
      <c r="AD1386" t="s">
        <v>43</v>
      </c>
      <c r="AE1386" t="s">
        <v>43</v>
      </c>
      <c r="AF1386" t="s">
        <v>43</v>
      </c>
      <c r="AG1386" t="s">
        <v>43</v>
      </c>
      <c r="AH1386" t="s">
        <v>43</v>
      </c>
      <c r="AI1386" t="s">
        <v>43</v>
      </c>
      <c r="AJ1386" t="s">
        <v>43</v>
      </c>
      <c r="AK1386" t="s">
        <v>43</v>
      </c>
      <c r="AL1386" t="s">
        <v>43</v>
      </c>
      <c r="AM1386" t="s">
        <v>43</v>
      </c>
      <c r="AN1386" t="str">
        <f>HYPERLINK("https://www.google.com/maps?q=11.05586815,79.06413269","Open Location")</f>
        <v>Open Location</v>
      </c>
    </row>
    <row r="1387" spans="1:40" x14ac:dyDescent="0.3">
      <c r="A1387" s="1">
        <v>46210.839236111111</v>
      </c>
      <c r="B1387" t="s">
        <v>40</v>
      </c>
      <c r="C1387" t="s">
        <v>41</v>
      </c>
      <c r="D1387" s="1">
        <v>46210.842060185183</v>
      </c>
      <c r="E1387" t="s">
        <v>42</v>
      </c>
      <c r="F1387" t="s">
        <v>43</v>
      </c>
      <c r="G1387" t="s">
        <v>43</v>
      </c>
      <c r="H1387" t="s">
        <v>43</v>
      </c>
      <c r="I1387" t="s">
        <v>661</v>
      </c>
      <c r="J1387" t="s">
        <v>43</v>
      </c>
      <c r="K1387" t="s">
        <v>43</v>
      </c>
      <c r="L1387" t="s">
        <v>43</v>
      </c>
      <c r="M1387" t="s">
        <v>43</v>
      </c>
      <c r="N1387" t="s">
        <v>45</v>
      </c>
      <c r="O1387" t="s">
        <v>43</v>
      </c>
      <c r="P1387" t="s">
        <v>43</v>
      </c>
      <c r="Q1387" t="s">
        <v>43</v>
      </c>
      <c r="R1387" t="s">
        <v>43</v>
      </c>
      <c r="S1387" t="s">
        <v>43</v>
      </c>
      <c r="T1387" t="s">
        <v>43</v>
      </c>
      <c r="U1387" t="s">
        <v>43</v>
      </c>
      <c r="V1387" t="s">
        <v>43</v>
      </c>
      <c r="W1387" t="s">
        <v>43</v>
      </c>
      <c r="X1387" t="s">
        <v>43</v>
      </c>
      <c r="Y1387" t="s">
        <v>43</v>
      </c>
      <c r="Z1387" t="s">
        <v>43</v>
      </c>
      <c r="AA1387" t="s">
        <v>43</v>
      </c>
      <c r="AB1387" t="s">
        <v>43</v>
      </c>
      <c r="AC1387" t="s">
        <v>43</v>
      </c>
      <c r="AD1387" t="s">
        <v>43</v>
      </c>
      <c r="AE1387" t="s">
        <v>43</v>
      </c>
      <c r="AF1387" t="s">
        <v>43</v>
      </c>
      <c r="AG1387" t="s">
        <v>43</v>
      </c>
      <c r="AH1387" t="s">
        <v>43</v>
      </c>
      <c r="AI1387" t="s">
        <v>43</v>
      </c>
      <c r="AJ1387" t="s">
        <v>43</v>
      </c>
      <c r="AK1387" t="s">
        <v>43</v>
      </c>
      <c r="AL1387" t="s">
        <v>43</v>
      </c>
      <c r="AM1387" t="s">
        <v>43</v>
      </c>
      <c r="AN1387" t="str">
        <f>HYPERLINK("https://www.google.com/maps?q=11.05587196,79.06411743","Open Location")</f>
        <v>Open Location</v>
      </c>
    </row>
    <row r="1388" spans="1:40" x14ac:dyDescent="0.3">
      <c r="A1388" s="1">
        <v>46210.839120370372</v>
      </c>
      <c r="B1388" t="s">
        <v>40</v>
      </c>
      <c r="C1388" t="s">
        <v>41</v>
      </c>
      <c r="D1388" s="1">
        <v>46210.842060185183</v>
      </c>
      <c r="E1388" t="s">
        <v>42</v>
      </c>
      <c r="F1388" t="s">
        <v>43</v>
      </c>
      <c r="G1388" t="s">
        <v>43</v>
      </c>
      <c r="H1388" t="s">
        <v>43</v>
      </c>
      <c r="I1388" t="s">
        <v>670</v>
      </c>
      <c r="J1388" t="s">
        <v>43</v>
      </c>
      <c r="K1388" t="s">
        <v>43</v>
      </c>
      <c r="L1388" t="s">
        <v>43</v>
      </c>
      <c r="M1388" t="s">
        <v>43</v>
      </c>
      <c r="N1388" t="s">
        <v>45</v>
      </c>
      <c r="O1388" t="s">
        <v>43</v>
      </c>
      <c r="P1388" t="s">
        <v>43</v>
      </c>
      <c r="Q1388" t="s">
        <v>43</v>
      </c>
      <c r="R1388" t="s">
        <v>43</v>
      </c>
      <c r="S1388" t="s">
        <v>43</v>
      </c>
      <c r="T1388" t="s">
        <v>43</v>
      </c>
      <c r="U1388" t="s">
        <v>43</v>
      </c>
      <c r="V1388" t="s">
        <v>43</v>
      </c>
      <c r="W1388" t="s">
        <v>43</v>
      </c>
      <c r="X1388" t="s">
        <v>43</v>
      </c>
      <c r="Y1388" t="s">
        <v>43</v>
      </c>
      <c r="Z1388" t="s">
        <v>43</v>
      </c>
      <c r="AA1388" t="s">
        <v>43</v>
      </c>
      <c r="AB1388" t="s">
        <v>43</v>
      </c>
      <c r="AC1388" t="s">
        <v>43</v>
      </c>
      <c r="AD1388" t="s">
        <v>43</v>
      </c>
      <c r="AE1388" t="s">
        <v>43</v>
      </c>
      <c r="AF1388" t="s">
        <v>43</v>
      </c>
      <c r="AG1388" t="s">
        <v>43</v>
      </c>
      <c r="AH1388" t="s">
        <v>43</v>
      </c>
      <c r="AI1388" t="s">
        <v>43</v>
      </c>
      <c r="AJ1388" t="s">
        <v>43</v>
      </c>
      <c r="AK1388" t="s">
        <v>43</v>
      </c>
      <c r="AL1388" t="s">
        <v>43</v>
      </c>
      <c r="AM1388" t="s">
        <v>43</v>
      </c>
      <c r="AN1388" t="str">
        <f>HYPERLINK("https://www.google.com/maps?q=11.05587482,79.06410217","Open Location")</f>
        <v>Open Location</v>
      </c>
    </row>
    <row r="1389" spans="1:40" x14ac:dyDescent="0.3">
      <c r="A1389" s="1">
        <v>46210.839004629626</v>
      </c>
      <c r="B1389" t="s">
        <v>40</v>
      </c>
      <c r="C1389" t="s">
        <v>41</v>
      </c>
      <c r="D1389" s="1">
        <v>46210.841828703706</v>
      </c>
      <c r="E1389" t="s">
        <v>42</v>
      </c>
      <c r="F1389" t="s">
        <v>43</v>
      </c>
      <c r="G1389" t="s">
        <v>43</v>
      </c>
      <c r="H1389" t="s">
        <v>43</v>
      </c>
      <c r="I1389" t="s">
        <v>594</v>
      </c>
      <c r="J1389" t="s">
        <v>43</v>
      </c>
      <c r="K1389" t="s">
        <v>43</v>
      </c>
      <c r="L1389" t="s">
        <v>43</v>
      </c>
      <c r="M1389" t="s">
        <v>43</v>
      </c>
      <c r="N1389" t="s">
        <v>45</v>
      </c>
      <c r="O1389" t="s">
        <v>43</v>
      </c>
      <c r="P1389" t="s">
        <v>43</v>
      </c>
      <c r="Q1389" t="s">
        <v>43</v>
      </c>
      <c r="R1389" t="s">
        <v>43</v>
      </c>
      <c r="S1389" t="s">
        <v>43</v>
      </c>
      <c r="T1389" t="s">
        <v>43</v>
      </c>
      <c r="U1389" t="s">
        <v>43</v>
      </c>
      <c r="V1389" t="s">
        <v>43</v>
      </c>
      <c r="W1389" t="s">
        <v>43</v>
      </c>
      <c r="X1389" t="s">
        <v>43</v>
      </c>
      <c r="Y1389" t="s">
        <v>43</v>
      </c>
      <c r="Z1389" t="s">
        <v>43</v>
      </c>
      <c r="AA1389" t="s">
        <v>43</v>
      </c>
      <c r="AB1389" t="s">
        <v>43</v>
      </c>
      <c r="AC1389" t="s">
        <v>43</v>
      </c>
      <c r="AD1389" t="s">
        <v>43</v>
      </c>
      <c r="AE1389" t="s">
        <v>43</v>
      </c>
      <c r="AF1389" t="s">
        <v>43</v>
      </c>
      <c r="AG1389" t="s">
        <v>43</v>
      </c>
      <c r="AH1389" t="s">
        <v>43</v>
      </c>
      <c r="AI1389" t="s">
        <v>43</v>
      </c>
      <c r="AJ1389" t="s">
        <v>43</v>
      </c>
      <c r="AK1389" t="s">
        <v>43</v>
      </c>
      <c r="AL1389" t="s">
        <v>43</v>
      </c>
      <c r="AM1389" t="s">
        <v>43</v>
      </c>
      <c r="AN1389" t="str">
        <f>HYPERLINK("https://www.google.com/maps?q=11.05587769,79.06409454","Open Location")</f>
        <v>Open Location</v>
      </c>
    </row>
    <row r="1390" spans="1:40" x14ac:dyDescent="0.3">
      <c r="A1390" s="1">
        <v>46210.838888888888</v>
      </c>
      <c r="B1390" t="s">
        <v>40</v>
      </c>
      <c r="C1390" t="s">
        <v>41</v>
      </c>
      <c r="D1390" s="1">
        <v>46210.841840277775</v>
      </c>
      <c r="E1390" t="s">
        <v>42</v>
      </c>
      <c r="F1390" t="s">
        <v>43</v>
      </c>
      <c r="G1390" t="s">
        <v>43</v>
      </c>
      <c r="H1390" t="s">
        <v>43</v>
      </c>
      <c r="I1390" t="s">
        <v>43</v>
      </c>
      <c r="J1390" t="s">
        <v>43</v>
      </c>
      <c r="K1390" t="s">
        <v>43</v>
      </c>
      <c r="L1390" t="s">
        <v>43</v>
      </c>
      <c r="M1390" t="s">
        <v>43</v>
      </c>
      <c r="N1390" t="s">
        <v>45</v>
      </c>
      <c r="O1390" t="s">
        <v>43</v>
      </c>
      <c r="P1390" t="s">
        <v>43</v>
      </c>
      <c r="Q1390" t="s">
        <v>43</v>
      </c>
      <c r="R1390" t="s">
        <v>43</v>
      </c>
      <c r="S1390" t="s">
        <v>43</v>
      </c>
      <c r="T1390" t="s">
        <v>43</v>
      </c>
      <c r="U1390" t="s">
        <v>43</v>
      </c>
      <c r="V1390" t="s">
        <v>43</v>
      </c>
      <c r="W1390" t="s">
        <v>43</v>
      </c>
      <c r="X1390" t="s">
        <v>43</v>
      </c>
      <c r="Y1390" t="s">
        <v>43</v>
      </c>
      <c r="Z1390" t="s">
        <v>43</v>
      </c>
      <c r="AA1390" t="s">
        <v>43</v>
      </c>
      <c r="AB1390" t="s">
        <v>43</v>
      </c>
      <c r="AC1390" t="s">
        <v>43</v>
      </c>
      <c r="AD1390" t="s">
        <v>43</v>
      </c>
      <c r="AE1390" t="s">
        <v>43</v>
      </c>
      <c r="AF1390" t="s">
        <v>43</v>
      </c>
      <c r="AG1390" t="s">
        <v>43</v>
      </c>
      <c r="AH1390" t="s">
        <v>43</v>
      </c>
      <c r="AI1390" t="s">
        <v>43</v>
      </c>
      <c r="AJ1390" t="s">
        <v>43</v>
      </c>
      <c r="AK1390" t="s">
        <v>43</v>
      </c>
      <c r="AL1390" t="s">
        <v>43</v>
      </c>
      <c r="AM1390" t="s">
        <v>43</v>
      </c>
      <c r="AN1390" t="s">
        <v>43</v>
      </c>
    </row>
    <row r="1391" spans="1:40" x14ac:dyDescent="0.3">
      <c r="A1391" s="1">
        <v>46210.838773148149</v>
      </c>
      <c r="B1391" t="s">
        <v>40</v>
      </c>
      <c r="C1391" t="s">
        <v>41</v>
      </c>
      <c r="D1391" s="1">
        <v>46210.841585648152</v>
      </c>
      <c r="E1391" t="s">
        <v>42</v>
      </c>
      <c r="F1391" t="s">
        <v>43</v>
      </c>
      <c r="G1391" t="s">
        <v>43</v>
      </c>
      <c r="H1391" t="s">
        <v>43</v>
      </c>
      <c r="I1391" t="s">
        <v>671</v>
      </c>
      <c r="J1391" t="s">
        <v>43</v>
      </c>
      <c r="K1391" t="s">
        <v>43</v>
      </c>
      <c r="L1391" t="s">
        <v>43</v>
      </c>
      <c r="M1391" t="s">
        <v>43</v>
      </c>
      <c r="N1391" t="s">
        <v>45</v>
      </c>
      <c r="O1391" t="s">
        <v>43</v>
      </c>
      <c r="P1391" t="s">
        <v>43</v>
      </c>
      <c r="Q1391" t="s">
        <v>43</v>
      </c>
      <c r="R1391" t="s">
        <v>43</v>
      </c>
      <c r="S1391" t="s">
        <v>43</v>
      </c>
      <c r="T1391" t="s">
        <v>43</v>
      </c>
      <c r="U1391" t="s">
        <v>43</v>
      </c>
      <c r="V1391" t="s">
        <v>43</v>
      </c>
      <c r="W1391" t="s">
        <v>43</v>
      </c>
      <c r="X1391" t="s">
        <v>43</v>
      </c>
      <c r="Y1391" t="s">
        <v>43</v>
      </c>
      <c r="Z1391" t="s">
        <v>43</v>
      </c>
      <c r="AA1391" t="s">
        <v>43</v>
      </c>
      <c r="AB1391" t="s">
        <v>43</v>
      </c>
      <c r="AC1391" t="s">
        <v>43</v>
      </c>
      <c r="AD1391" t="s">
        <v>43</v>
      </c>
      <c r="AE1391" t="s">
        <v>43</v>
      </c>
      <c r="AF1391" t="s">
        <v>43</v>
      </c>
      <c r="AG1391" t="s">
        <v>43</v>
      </c>
      <c r="AH1391" t="s">
        <v>43</v>
      </c>
      <c r="AI1391" t="s">
        <v>43</v>
      </c>
      <c r="AJ1391" t="s">
        <v>43</v>
      </c>
      <c r="AK1391" t="s">
        <v>43</v>
      </c>
      <c r="AL1391" t="s">
        <v>43</v>
      </c>
      <c r="AM1391" t="s">
        <v>43</v>
      </c>
      <c r="AN1391" t="str">
        <f>HYPERLINK("https://www.google.com/maps?q=11.05588055,79.06408691","Open Location")</f>
        <v>Open Location</v>
      </c>
    </row>
    <row r="1392" spans="1:40" x14ac:dyDescent="0.3">
      <c r="A1392" s="1">
        <v>46210.83865740741</v>
      </c>
      <c r="B1392" t="s">
        <v>40</v>
      </c>
      <c r="C1392" t="s">
        <v>41</v>
      </c>
      <c r="D1392" s="1">
        <v>46210.841805555552</v>
      </c>
      <c r="E1392" t="s">
        <v>42</v>
      </c>
      <c r="F1392" t="s">
        <v>43</v>
      </c>
      <c r="G1392" t="s">
        <v>43</v>
      </c>
      <c r="H1392" t="s">
        <v>43</v>
      </c>
      <c r="I1392" t="s">
        <v>672</v>
      </c>
      <c r="J1392" t="s">
        <v>43</v>
      </c>
      <c r="K1392" t="s">
        <v>43</v>
      </c>
      <c r="L1392" t="s">
        <v>43</v>
      </c>
      <c r="M1392" t="s">
        <v>43</v>
      </c>
      <c r="N1392" t="s">
        <v>45</v>
      </c>
      <c r="O1392" t="s">
        <v>43</v>
      </c>
      <c r="P1392" t="s">
        <v>43</v>
      </c>
      <c r="Q1392" t="s">
        <v>43</v>
      </c>
      <c r="R1392" t="s">
        <v>43</v>
      </c>
      <c r="S1392" t="s">
        <v>43</v>
      </c>
      <c r="T1392" t="s">
        <v>43</v>
      </c>
      <c r="U1392" t="s">
        <v>43</v>
      </c>
      <c r="V1392" t="s">
        <v>43</v>
      </c>
      <c r="W1392" t="s">
        <v>43</v>
      </c>
      <c r="X1392" t="s">
        <v>43</v>
      </c>
      <c r="Y1392" t="s">
        <v>43</v>
      </c>
      <c r="Z1392" t="s">
        <v>43</v>
      </c>
      <c r="AA1392" t="s">
        <v>43</v>
      </c>
      <c r="AB1392" t="s">
        <v>43</v>
      </c>
      <c r="AC1392" t="s">
        <v>43</v>
      </c>
      <c r="AD1392" t="s">
        <v>43</v>
      </c>
      <c r="AE1392" t="s">
        <v>43</v>
      </c>
      <c r="AF1392" t="s">
        <v>43</v>
      </c>
      <c r="AG1392" t="s">
        <v>43</v>
      </c>
      <c r="AH1392" t="s">
        <v>43</v>
      </c>
      <c r="AI1392" t="s">
        <v>43</v>
      </c>
      <c r="AJ1392" t="s">
        <v>43</v>
      </c>
      <c r="AK1392" t="s">
        <v>43</v>
      </c>
      <c r="AL1392" t="s">
        <v>43</v>
      </c>
      <c r="AM1392" t="s">
        <v>43</v>
      </c>
      <c r="AN1392" t="str">
        <f>HYPERLINK("https://www.google.com/maps?q=11.05587482,79.06409454","Open Location")</f>
        <v>Open Location</v>
      </c>
    </row>
    <row r="1393" spans="1:40" x14ac:dyDescent="0.3">
      <c r="A1393" s="1">
        <v>46210.838541666664</v>
      </c>
      <c r="B1393" t="s">
        <v>40</v>
      </c>
      <c r="C1393" t="s">
        <v>41</v>
      </c>
      <c r="D1393" s="1">
        <v>46210.84170138889</v>
      </c>
      <c r="E1393" t="s">
        <v>42</v>
      </c>
      <c r="F1393" t="s">
        <v>43</v>
      </c>
      <c r="G1393" t="s">
        <v>43</v>
      </c>
      <c r="H1393" t="s">
        <v>43</v>
      </c>
      <c r="I1393" t="s">
        <v>610</v>
      </c>
      <c r="J1393" t="s">
        <v>43</v>
      </c>
      <c r="K1393" t="s">
        <v>43</v>
      </c>
      <c r="L1393" t="s">
        <v>43</v>
      </c>
      <c r="M1393" t="s">
        <v>43</v>
      </c>
      <c r="N1393" t="s">
        <v>45</v>
      </c>
      <c r="O1393" t="s">
        <v>43</v>
      </c>
      <c r="P1393" t="s">
        <v>43</v>
      </c>
      <c r="Q1393" t="s">
        <v>43</v>
      </c>
      <c r="R1393" t="s">
        <v>43</v>
      </c>
      <c r="S1393" t="s">
        <v>43</v>
      </c>
      <c r="T1393" t="s">
        <v>43</v>
      </c>
      <c r="U1393" t="s">
        <v>43</v>
      </c>
      <c r="V1393" t="s">
        <v>43</v>
      </c>
      <c r="W1393" t="s">
        <v>43</v>
      </c>
      <c r="X1393" t="s">
        <v>43</v>
      </c>
      <c r="Y1393" t="s">
        <v>43</v>
      </c>
      <c r="Z1393" t="s">
        <v>43</v>
      </c>
      <c r="AA1393" t="s">
        <v>43</v>
      </c>
      <c r="AB1393" t="s">
        <v>43</v>
      </c>
      <c r="AC1393" t="s">
        <v>43</v>
      </c>
      <c r="AD1393" t="s">
        <v>43</v>
      </c>
      <c r="AE1393" t="s">
        <v>43</v>
      </c>
      <c r="AF1393" t="s">
        <v>43</v>
      </c>
      <c r="AG1393" t="s">
        <v>43</v>
      </c>
      <c r="AH1393" t="s">
        <v>43</v>
      </c>
      <c r="AI1393" t="s">
        <v>43</v>
      </c>
      <c r="AJ1393" t="s">
        <v>43</v>
      </c>
      <c r="AK1393" t="s">
        <v>43</v>
      </c>
      <c r="AL1393" t="s">
        <v>43</v>
      </c>
      <c r="AM1393" t="s">
        <v>43</v>
      </c>
      <c r="AN1393" t="str">
        <f>HYPERLINK("https://www.google.com/maps?q=11.05587673,79.06410217","Open Location")</f>
        <v>Open Location</v>
      </c>
    </row>
    <row r="1394" spans="1:40" x14ac:dyDescent="0.3">
      <c r="A1394" s="1">
        <v>46210.838425925926</v>
      </c>
      <c r="B1394" t="s">
        <v>40</v>
      </c>
      <c r="C1394" t="s">
        <v>41</v>
      </c>
      <c r="D1394" s="1">
        <v>46210.84138888889</v>
      </c>
      <c r="E1394" t="s">
        <v>42</v>
      </c>
      <c r="F1394" t="s">
        <v>43</v>
      </c>
      <c r="G1394" t="s">
        <v>43</v>
      </c>
      <c r="H1394" t="s">
        <v>43</v>
      </c>
      <c r="I1394" t="s">
        <v>673</v>
      </c>
      <c r="J1394" t="s">
        <v>43</v>
      </c>
      <c r="K1394" t="s">
        <v>43</v>
      </c>
      <c r="L1394" t="s">
        <v>43</v>
      </c>
      <c r="M1394" t="s">
        <v>43</v>
      </c>
      <c r="N1394" t="s">
        <v>45</v>
      </c>
      <c r="O1394" t="s">
        <v>43</v>
      </c>
      <c r="P1394" t="s">
        <v>43</v>
      </c>
      <c r="Q1394" t="s">
        <v>43</v>
      </c>
      <c r="R1394" t="s">
        <v>43</v>
      </c>
      <c r="S1394" t="s">
        <v>43</v>
      </c>
      <c r="T1394" t="s">
        <v>43</v>
      </c>
      <c r="U1394" t="s">
        <v>43</v>
      </c>
      <c r="V1394" t="s">
        <v>43</v>
      </c>
      <c r="W1394" t="s">
        <v>43</v>
      </c>
      <c r="X1394" t="s">
        <v>43</v>
      </c>
      <c r="Y1394" t="s">
        <v>43</v>
      </c>
      <c r="Z1394" t="s">
        <v>43</v>
      </c>
      <c r="AA1394" t="s">
        <v>43</v>
      </c>
      <c r="AB1394" t="s">
        <v>43</v>
      </c>
      <c r="AC1394" t="s">
        <v>43</v>
      </c>
      <c r="AD1394" t="s">
        <v>43</v>
      </c>
      <c r="AE1394" t="s">
        <v>43</v>
      </c>
      <c r="AF1394" t="s">
        <v>43</v>
      </c>
      <c r="AG1394" t="s">
        <v>43</v>
      </c>
      <c r="AH1394" t="s">
        <v>43</v>
      </c>
      <c r="AI1394" t="s">
        <v>43</v>
      </c>
      <c r="AJ1394" t="s">
        <v>43</v>
      </c>
      <c r="AK1394" t="s">
        <v>43</v>
      </c>
      <c r="AL1394" t="s">
        <v>43</v>
      </c>
      <c r="AM1394" t="s">
        <v>43</v>
      </c>
      <c r="AN1394" t="str">
        <f>HYPERLINK("https://www.google.com/maps?q=11.05588627,79.06409454","Open Location")</f>
        <v>Open Location</v>
      </c>
    </row>
    <row r="1395" spans="1:40" x14ac:dyDescent="0.3">
      <c r="A1395" s="1">
        <v>46210.838310185187</v>
      </c>
      <c r="B1395" t="s">
        <v>40</v>
      </c>
      <c r="C1395" t="s">
        <v>41</v>
      </c>
      <c r="D1395" s="1">
        <v>46210.841111111113</v>
      </c>
      <c r="E1395" t="s">
        <v>42</v>
      </c>
      <c r="F1395" t="s">
        <v>43</v>
      </c>
      <c r="G1395" t="s">
        <v>43</v>
      </c>
      <c r="H1395" t="s">
        <v>43</v>
      </c>
      <c r="I1395" t="s">
        <v>674</v>
      </c>
      <c r="J1395" t="s">
        <v>43</v>
      </c>
      <c r="K1395" t="s">
        <v>43</v>
      </c>
      <c r="L1395" t="s">
        <v>43</v>
      </c>
      <c r="M1395" t="s">
        <v>43</v>
      </c>
      <c r="N1395" t="s">
        <v>45</v>
      </c>
      <c r="O1395" t="s">
        <v>43</v>
      </c>
      <c r="P1395" t="s">
        <v>43</v>
      </c>
      <c r="Q1395" t="s">
        <v>43</v>
      </c>
      <c r="R1395" t="s">
        <v>43</v>
      </c>
      <c r="S1395" t="s">
        <v>43</v>
      </c>
      <c r="T1395" t="s">
        <v>43</v>
      </c>
      <c r="U1395" t="s">
        <v>43</v>
      </c>
      <c r="V1395" t="s">
        <v>43</v>
      </c>
      <c r="W1395" t="s">
        <v>43</v>
      </c>
      <c r="X1395" t="s">
        <v>43</v>
      </c>
      <c r="Y1395" t="s">
        <v>43</v>
      </c>
      <c r="Z1395" t="s">
        <v>43</v>
      </c>
      <c r="AA1395" t="s">
        <v>43</v>
      </c>
      <c r="AB1395" t="s">
        <v>43</v>
      </c>
      <c r="AC1395" t="s">
        <v>43</v>
      </c>
      <c r="AD1395" t="s">
        <v>43</v>
      </c>
      <c r="AE1395" t="s">
        <v>43</v>
      </c>
      <c r="AF1395" t="s">
        <v>43</v>
      </c>
      <c r="AG1395" t="s">
        <v>43</v>
      </c>
      <c r="AH1395" t="s">
        <v>43</v>
      </c>
      <c r="AI1395" t="s">
        <v>43</v>
      </c>
      <c r="AJ1395" t="s">
        <v>43</v>
      </c>
      <c r="AK1395" t="s">
        <v>43</v>
      </c>
      <c r="AL1395" t="s">
        <v>43</v>
      </c>
      <c r="AM1395" t="s">
        <v>43</v>
      </c>
      <c r="AN1395" t="str">
        <f>HYPERLINK("https://www.google.com/maps?q=11.05589008,79.06408691","Open Location")</f>
        <v>Open Location</v>
      </c>
    </row>
    <row r="1396" spans="1:40" x14ac:dyDescent="0.3">
      <c r="A1396" s="1">
        <v>46210.838194444441</v>
      </c>
      <c r="B1396" t="s">
        <v>40</v>
      </c>
      <c r="C1396" t="s">
        <v>41</v>
      </c>
      <c r="D1396" s="1">
        <v>46210.841377314813</v>
      </c>
      <c r="E1396" t="s">
        <v>42</v>
      </c>
      <c r="F1396" t="s">
        <v>43</v>
      </c>
      <c r="G1396" t="s">
        <v>43</v>
      </c>
      <c r="H1396" t="s">
        <v>43</v>
      </c>
      <c r="I1396" t="s">
        <v>43</v>
      </c>
      <c r="J1396" t="s">
        <v>43</v>
      </c>
      <c r="K1396" t="s">
        <v>43</v>
      </c>
      <c r="L1396" t="s">
        <v>43</v>
      </c>
      <c r="M1396" t="s">
        <v>43</v>
      </c>
      <c r="N1396" t="s">
        <v>45</v>
      </c>
      <c r="O1396" t="s">
        <v>43</v>
      </c>
      <c r="P1396" t="s">
        <v>43</v>
      </c>
      <c r="Q1396" t="s">
        <v>43</v>
      </c>
      <c r="R1396" t="s">
        <v>43</v>
      </c>
      <c r="S1396" t="s">
        <v>43</v>
      </c>
      <c r="T1396" t="s">
        <v>43</v>
      </c>
      <c r="U1396" t="s">
        <v>43</v>
      </c>
      <c r="V1396" t="s">
        <v>43</v>
      </c>
      <c r="W1396" t="s">
        <v>43</v>
      </c>
      <c r="X1396" t="s">
        <v>43</v>
      </c>
      <c r="Y1396" t="s">
        <v>43</v>
      </c>
      <c r="Z1396" t="s">
        <v>43</v>
      </c>
      <c r="AA1396" t="s">
        <v>43</v>
      </c>
      <c r="AB1396" t="s">
        <v>43</v>
      </c>
      <c r="AC1396" t="s">
        <v>43</v>
      </c>
      <c r="AD1396" t="s">
        <v>43</v>
      </c>
      <c r="AE1396" t="s">
        <v>43</v>
      </c>
      <c r="AF1396" t="s">
        <v>43</v>
      </c>
      <c r="AG1396" t="s">
        <v>43</v>
      </c>
      <c r="AH1396" t="s">
        <v>43</v>
      </c>
      <c r="AI1396" t="s">
        <v>43</v>
      </c>
      <c r="AJ1396" t="s">
        <v>43</v>
      </c>
      <c r="AK1396" t="s">
        <v>43</v>
      </c>
      <c r="AL1396" t="s">
        <v>43</v>
      </c>
      <c r="AM1396" t="s">
        <v>43</v>
      </c>
      <c r="AN1396" t="s">
        <v>43</v>
      </c>
    </row>
    <row r="1397" spans="1:40" x14ac:dyDescent="0.3">
      <c r="A1397" s="1">
        <v>46210.838078703702</v>
      </c>
      <c r="B1397" t="s">
        <v>40</v>
      </c>
      <c r="C1397" t="s">
        <v>41</v>
      </c>
      <c r="D1397" s="1">
        <v>46210.840995370374</v>
      </c>
      <c r="E1397" t="s">
        <v>42</v>
      </c>
      <c r="F1397" t="s">
        <v>43</v>
      </c>
      <c r="G1397" t="s">
        <v>43</v>
      </c>
      <c r="H1397" t="s">
        <v>43</v>
      </c>
      <c r="I1397" t="s">
        <v>675</v>
      </c>
      <c r="J1397" t="s">
        <v>43</v>
      </c>
      <c r="K1397" t="s">
        <v>43</v>
      </c>
      <c r="L1397" t="s">
        <v>43</v>
      </c>
      <c r="M1397" t="s">
        <v>43</v>
      </c>
      <c r="N1397" t="s">
        <v>45</v>
      </c>
      <c r="O1397" t="s">
        <v>43</v>
      </c>
      <c r="P1397" t="s">
        <v>43</v>
      </c>
      <c r="Q1397" t="s">
        <v>43</v>
      </c>
      <c r="R1397" t="s">
        <v>43</v>
      </c>
      <c r="S1397" t="s">
        <v>43</v>
      </c>
      <c r="T1397" t="s">
        <v>43</v>
      </c>
      <c r="U1397" t="s">
        <v>43</v>
      </c>
      <c r="V1397" t="s">
        <v>43</v>
      </c>
      <c r="W1397" t="s">
        <v>43</v>
      </c>
      <c r="X1397" t="s">
        <v>43</v>
      </c>
      <c r="Y1397" t="s">
        <v>43</v>
      </c>
      <c r="Z1397" t="s">
        <v>43</v>
      </c>
      <c r="AA1397" t="s">
        <v>43</v>
      </c>
      <c r="AB1397" t="s">
        <v>43</v>
      </c>
      <c r="AC1397" t="s">
        <v>43</v>
      </c>
      <c r="AD1397" t="s">
        <v>43</v>
      </c>
      <c r="AE1397" t="s">
        <v>43</v>
      </c>
      <c r="AF1397" t="s">
        <v>43</v>
      </c>
      <c r="AG1397" t="s">
        <v>43</v>
      </c>
      <c r="AH1397" t="s">
        <v>43</v>
      </c>
      <c r="AI1397" t="s">
        <v>43</v>
      </c>
      <c r="AJ1397" t="s">
        <v>43</v>
      </c>
      <c r="AK1397" t="s">
        <v>43</v>
      </c>
      <c r="AL1397" t="s">
        <v>43</v>
      </c>
      <c r="AM1397" t="s">
        <v>43</v>
      </c>
      <c r="AN1397" t="str">
        <f>HYPERLINK("https://www.google.com/maps?q=11.05589008,79.06410217","Open Location")</f>
        <v>Open Location</v>
      </c>
    </row>
    <row r="1398" spans="1:40" x14ac:dyDescent="0.3">
      <c r="A1398" s="1">
        <v>46210.837962962964</v>
      </c>
      <c r="B1398" t="s">
        <v>40</v>
      </c>
      <c r="C1398" t="s">
        <v>41</v>
      </c>
      <c r="D1398" s="1">
        <v>46210.840995370374</v>
      </c>
      <c r="E1398" t="s">
        <v>42</v>
      </c>
      <c r="F1398" t="s">
        <v>43</v>
      </c>
      <c r="G1398" t="s">
        <v>43</v>
      </c>
      <c r="H1398" t="s">
        <v>43</v>
      </c>
      <c r="I1398" t="s">
        <v>595</v>
      </c>
      <c r="J1398" t="s">
        <v>43</v>
      </c>
      <c r="K1398" t="s">
        <v>43</v>
      </c>
      <c r="L1398" t="s">
        <v>43</v>
      </c>
      <c r="M1398" t="s">
        <v>43</v>
      </c>
      <c r="N1398" t="s">
        <v>45</v>
      </c>
      <c r="O1398" t="s">
        <v>43</v>
      </c>
      <c r="P1398" t="s">
        <v>43</v>
      </c>
      <c r="Q1398" t="s">
        <v>43</v>
      </c>
      <c r="R1398" t="s">
        <v>43</v>
      </c>
      <c r="S1398" t="s">
        <v>43</v>
      </c>
      <c r="T1398" t="s">
        <v>43</v>
      </c>
      <c r="U1398" t="s">
        <v>43</v>
      </c>
      <c r="V1398" t="s">
        <v>43</v>
      </c>
      <c r="W1398" t="s">
        <v>43</v>
      </c>
      <c r="X1398" t="s">
        <v>43</v>
      </c>
      <c r="Y1398" t="s">
        <v>43</v>
      </c>
      <c r="Z1398" t="s">
        <v>43</v>
      </c>
      <c r="AA1398" t="s">
        <v>43</v>
      </c>
      <c r="AB1398" t="s">
        <v>43</v>
      </c>
      <c r="AC1398" t="s">
        <v>43</v>
      </c>
      <c r="AD1398" t="s">
        <v>43</v>
      </c>
      <c r="AE1398" t="s">
        <v>43</v>
      </c>
      <c r="AF1398" t="s">
        <v>43</v>
      </c>
      <c r="AG1398" t="s">
        <v>43</v>
      </c>
      <c r="AH1398" t="s">
        <v>43</v>
      </c>
      <c r="AI1398" t="s">
        <v>43</v>
      </c>
      <c r="AJ1398" t="s">
        <v>43</v>
      </c>
      <c r="AK1398" t="s">
        <v>43</v>
      </c>
      <c r="AL1398" t="s">
        <v>43</v>
      </c>
      <c r="AM1398" t="s">
        <v>43</v>
      </c>
      <c r="AN1398" t="str">
        <f>HYPERLINK("https://www.google.com/maps?q=11.05588722,79.06411743","Open Location")</f>
        <v>Open Location</v>
      </c>
    </row>
    <row r="1399" spans="1:40" x14ac:dyDescent="0.3">
      <c r="A1399" s="1">
        <v>46210.837847222225</v>
      </c>
      <c r="B1399" t="s">
        <v>40</v>
      </c>
      <c r="C1399" t="s">
        <v>41</v>
      </c>
      <c r="D1399" s="1">
        <v>46210.840844907405</v>
      </c>
      <c r="E1399" t="s">
        <v>42</v>
      </c>
      <c r="F1399" t="s">
        <v>43</v>
      </c>
      <c r="G1399" t="s">
        <v>43</v>
      </c>
      <c r="H1399" t="s">
        <v>43</v>
      </c>
      <c r="I1399" t="s">
        <v>624</v>
      </c>
      <c r="J1399" t="s">
        <v>43</v>
      </c>
      <c r="K1399" t="s">
        <v>43</v>
      </c>
      <c r="L1399" t="s">
        <v>43</v>
      </c>
      <c r="M1399" t="s">
        <v>43</v>
      </c>
      <c r="N1399" t="s">
        <v>45</v>
      </c>
      <c r="O1399" t="s">
        <v>43</v>
      </c>
      <c r="P1399" t="s">
        <v>43</v>
      </c>
      <c r="Q1399" t="s">
        <v>43</v>
      </c>
      <c r="R1399" t="s">
        <v>43</v>
      </c>
      <c r="S1399" t="s">
        <v>43</v>
      </c>
      <c r="T1399" t="s">
        <v>43</v>
      </c>
      <c r="U1399" t="s">
        <v>43</v>
      </c>
      <c r="V1399" t="s">
        <v>43</v>
      </c>
      <c r="W1399" t="s">
        <v>43</v>
      </c>
      <c r="X1399" t="s">
        <v>43</v>
      </c>
      <c r="Y1399" t="s">
        <v>43</v>
      </c>
      <c r="Z1399" t="s">
        <v>43</v>
      </c>
      <c r="AA1399" t="s">
        <v>43</v>
      </c>
      <c r="AB1399" t="s">
        <v>43</v>
      </c>
      <c r="AC1399" t="s">
        <v>43</v>
      </c>
      <c r="AD1399" t="s">
        <v>43</v>
      </c>
      <c r="AE1399" t="s">
        <v>43</v>
      </c>
      <c r="AF1399" t="s">
        <v>43</v>
      </c>
      <c r="AG1399" t="s">
        <v>43</v>
      </c>
      <c r="AH1399" t="s">
        <v>43</v>
      </c>
      <c r="AI1399" t="s">
        <v>43</v>
      </c>
      <c r="AJ1399" t="s">
        <v>43</v>
      </c>
      <c r="AK1399" t="s">
        <v>43</v>
      </c>
      <c r="AL1399" t="s">
        <v>43</v>
      </c>
      <c r="AM1399" t="s">
        <v>43</v>
      </c>
      <c r="AN1399" t="str">
        <f>HYPERLINK("https://www.google.com/maps?q=11.05588531,79.06412506","Open Location")</f>
        <v>Open Location</v>
      </c>
    </row>
    <row r="1400" spans="1:40" x14ac:dyDescent="0.3">
      <c r="A1400" s="1">
        <v>46210.837731481479</v>
      </c>
      <c r="B1400" t="s">
        <v>40</v>
      </c>
      <c r="C1400" t="s">
        <v>41</v>
      </c>
      <c r="D1400" s="1">
        <v>46210.840694444443</v>
      </c>
      <c r="E1400" t="s">
        <v>42</v>
      </c>
      <c r="F1400" t="s">
        <v>43</v>
      </c>
      <c r="G1400" t="s">
        <v>43</v>
      </c>
      <c r="H1400" t="s">
        <v>43</v>
      </c>
      <c r="I1400" t="s">
        <v>676</v>
      </c>
      <c r="J1400" t="s">
        <v>43</v>
      </c>
      <c r="K1400" t="s">
        <v>43</v>
      </c>
      <c r="L1400" t="s">
        <v>43</v>
      </c>
      <c r="M1400" t="s">
        <v>43</v>
      </c>
      <c r="N1400" t="s">
        <v>45</v>
      </c>
      <c r="O1400" t="s">
        <v>43</v>
      </c>
      <c r="P1400" t="s">
        <v>43</v>
      </c>
      <c r="Q1400" t="s">
        <v>43</v>
      </c>
      <c r="R1400" t="s">
        <v>43</v>
      </c>
      <c r="S1400" t="s">
        <v>43</v>
      </c>
      <c r="T1400" t="s">
        <v>43</v>
      </c>
      <c r="U1400" t="s">
        <v>43</v>
      </c>
      <c r="V1400" t="s">
        <v>43</v>
      </c>
      <c r="W1400" t="s">
        <v>43</v>
      </c>
      <c r="X1400" t="s">
        <v>43</v>
      </c>
      <c r="Y1400" t="s">
        <v>43</v>
      </c>
      <c r="Z1400" t="s">
        <v>43</v>
      </c>
      <c r="AA1400" t="s">
        <v>43</v>
      </c>
      <c r="AB1400" t="s">
        <v>43</v>
      </c>
      <c r="AC1400" t="s">
        <v>43</v>
      </c>
      <c r="AD1400" t="s">
        <v>43</v>
      </c>
      <c r="AE1400" t="s">
        <v>43</v>
      </c>
      <c r="AF1400" t="s">
        <v>43</v>
      </c>
      <c r="AG1400" t="s">
        <v>43</v>
      </c>
      <c r="AH1400" t="s">
        <v>43</v>
      </c>
      <c r="AI1400" t="s">
        <v>43</v>
      </c>
      <c r="AJ1400" t="s">
        <v>43</v>
      </c>
      <c r="AK1400" t="s">
        <v>43</v>
      </c>
      <c r="AL1400" t="s">
        <v>43</v>
      </c>
      <c r="AM1400" t="s">
        <v>43</v>
      </c>
      <c r="AN1400" t="str">
        <f>HYPERLINK("https://www.google.com/maps?q=11.05587578,79.06414032","Open Location")</f>
        <v>Open Location</v>
      </c>
    </row>
    <row r="1401" spans="1:40" x14ac:dyDescent="0.3">
      <c r="A1401" s="1">
        <v>46210.83761574074</v>
      </c>
      <c r="B1401" t="s">
        <v>40</v>
      </c>
      <c r="C1401" t="s">
        <v>41</v>
      </c>
      <c r="D1401" s="1">
        <v>46210.840381944443</v>
      </c>
      <c r="E1401" t="s">
        <v>42</v>
      </c>
      <c r="F1401" t="s">
        <v>43</v>
      </c>
      <c r="G1401" t="s">
        <v>43</v>
      </c>
      <c r="H1401" t="s">
        <v>43</v>
      </c>
      <c r="I1401" t="s">
        <v>677</v>
      </c>
      <c r="J1401" t="s">
        <v>43</v>
      </c>
      <c r="K1401" t="s">
        <v>43</v>
      </c>
      <c r="L1401" t="s">
        <v>43</v>
      </c>
      <c r="M1401" t="s">
        <v>43</v>
      </c>
      <c r="N1401" t="s">
        <v>45</v>
      </c>
      <c r="O1401" t="s">
        <v>43</v>
      </c>
      <c r="P1401" t="s">
        <v>43</v>
      </c>
      <c r="Q1401" t="s">
        <v>43</v>
      </c>
      <c r="R1401" t="s">
        <v>43</v>
      </c>
      <c r="S1401" t="s">
        <v>43</v>
      </c>
      <c r="T1401" t="s">
        <v>43</v>
      </c>
      <c r="U1401" t="s">
        <v>43</v>
      </c>
      <c r="V1401" t="s">
        <v>43</v>
      </c>
      <c r="W1401" t="s">
        <v>43</v>
      </c>
      <c r="X1401" t="s">
        <v>43</v>
      </c>
      <c r="Y1401" t="s">
        <v>43</v>
      </c>
      <c r="Z1401" t="s">
        <v>43</v>
      </c>
      <c r="AA1401" t="s">
        <v>43</v>
      </c>
      <c r="AB1401" t="s">
        <v>43</v>
      </c>
      <c r="AC1401" t="s">
        <v>43</v>
      </c>
      <c r="AD1401" t="s">
        <v>43</v>
      </c>
      <c r="AE1401" t="s">
        <v>43</v>
      </c>
      <c r="AF1401" t="s">
        <v>43</v>
      </c>
      <c r="AG1401" t="s">
        <v>43</v>
      </c>
      <c r="AH1401" t="s">
        <v>43</v>
      </c>
      <c r="AI1401" t="s">
        <v>43</v>
      </c>
      <c r="AJ1401" t="s">
        <v>43</v>
      </c>
      <c r="AK1401" t="s">
        <v>43</v>
      </c>
      <c r="AL1401" t="s">
        <v>43</v>
      </c>
      <c r="AM1401" t="s">
        <v>43</v>
      </c>
      <c r="AN1401" t="str">
        <f>HYPERLINK("https://www.google.com/maps?q=11.05587578,79.06415558","Open Location")</f>
        <v>Open Location</v>
      </c>
    </row>
    <row r="1402" spans="1:40" x14ac:dyDescent="0.3">
      <c r="A1402" s="1">
        <v>46210.837500000001</v>
      </c>
      <c r="B1402" t="s">
        <v>40</v>
      </c>
      <c r="C1402" t="s">
        <v>41</v>
      </c>
      <c r="D1402" s="1">
        <v>46210.840381944443</v>
      </c>
      <c r="E1402" t="s">
        <v>42</v>
      </c>
      <c r="F1402" t="s">
        <v>43</v>
      </c>
      <c r="G1402" t="s">
        <v>43</v>
      </c>
      <c r="H1402" t="s">
        <v>43</v>
      </c>
      <c r="I1402" t="s">
        <v>43</v>
      </c>
      <c r="J1402" t="s">
        <v>43</v>
      </c>
      <c r="K1402" t="s">
        <v>43</v>
      </c>
      <c r="L1402" t="s">
        <v>43</v>
      </c>
      <c r="M1402" t="s">
        <v>43</v>
      </c>
      <c r="N1402" t="s">
        <v>45</v>
      </c>
      <c r="O1402" t="s">
        <v>43</v>
      </c>
      <c r="P1402" t="s">
        <v>43</v>
      </c>
      <c r="Q1402" t="s">
        <v>43</v>
      </c>
      <c r="R1402" t="s">
        <v>43</v>
      </c>
      <c r="S1402" t="s">
        <v>43</v>
      </c>
      <c r="T1402" t="s">
        <v>43</v>
      </c>
      <c r="U1402" t="s">
        <v>43</v>
      </c>
      <c r="V1402" t="s">
        <v>43</v>
      </c>
      <c r="W1402" t="s">
        <v>43</v>
      </c>
      <c r="X1402" t="s">
        <v>43</v>
      </c>
      <c r="Y1402" t="s">
        <v>43</v>
      </c>
      <c r="Z1402" t="s">
        <v>43</v>
      </c>
      <c r="AA1402" t="s">
        <v>43</v>
      </c>
      <c r="AB1402" t="s">
        <v>43</v>
      </c>
      <c r="AC1402" t="s">
        <v>43</v>
      </c>
      <c r="AD1402" t="s">
        <v>43</v>
      </c>
      <c r="AE1402" t="s">
        <v>43</v>
      </c>
      <c r="AF1402" t="s">
        <v>43</v>
      </c>
      <c r="AG1402" t="s">
        <v>43</v>
      </c>
      <c r="AH1402" t="s">
        <v>43</v>
      </c>
      <c r="AI1402" t="s">
        <v>43</v>
      </c>
      <c r="AJ1402" t="s">
        <v>43</v>
      </c>
      <c r="AK1402" t="s">
        <v>43</v>
      </c>
      <c r="AL1402" t="s">
        <v>43</v>
      </c>
      <c r="AM1402" t="s">
        <v>43</v>
      </c>
      <c r="AN1402" t="s">
        <v>43</v>
      </c>
    </row>
    <row r="1403" spans="1:40" x14ac:dyDescent="0.3">
      <c r="A1403" s="1">
        <v>46210.837384259263</v>
      </c>
      <c r="B1403" t="s">
        <v>40</v>
      </c>
      <c r="C1403" t="s">
        <v>41</v>
      </c>
      <c r="D1403" s="1">
        <v>46210.840138888889</v>
      </c>
      <c r="E1403" t="s">
        <v>42</v>
      </c>
      <c r="F1403" t="s">
        <v>43</v>
      </c>
      <c r="G1403" t="s">
        <v>43</v>
      </c>
      <c r="H1403" t="s">
        <v>43</v>
      </c>
      <c r="I1403" t="s">
        <v>678</v>
      </c>
      <c r="J1403" t="s">
        <v>43</v>
      </c>
      <c r="K1403" t="s">
        <v>43</v>
      </c>
      <c r="L1403" t="s">
        <v>43</v>
      </c>
      <c r="M1403" t="s">
        <v>43</v>
      </c>
      <c r="N1403" t="s">
        <v>45</v>
      </c>
      <c r="O1403" t="s">
        <v>43</v>
      </c>
      <c r="P1403" t="s">
        <v>43</v>
      </c>
      <c r="Q1403" t="s">
        <v>43</v>
      </c>
      <c r="R1403" t="s">
        <v>43</v>
      </c>
      <c r="S1403" t="s">
        <v>43</v>
      </c>
      <c r="T1403" t="s">
        <v>43</v>
      </c>
      <c r="U1403" t="s">
        <v>43</v>
      </c>
      <c r="V1403" t="s">
        <v>43</v>
      </c>
      <c r="W1403" t="s">
        <v>43</v>
      </c>
      <c r="X1403" t="s">
        <v>43</v>
      </c>
      <c r="Y1403" t="s">
        <v>43</v>
      </c>
      <c r="Z1403" t="s">
        <v>43</v>
      </c>
      <c r="AA1403" t="s">
        <v>43</v>
      </c>
      <c r="AB1403" t="s">
        <v>43</v>
      </c>
      <c r="AC1403" t="s">
        <v>43</v>
      </c>
      <c r="AD1403" t="s">
        <v>43</v>
      </c>
      <c r="AE1403" t="s">
        <v>43</v>
      </c>
      <c r="AF1403" t="s">
        <v>43</v>
      </c>
      <c r="AG1403" t="s">
        <v>43</v>
      </c>
      <c r="AH1403" t="s">
        <v>43</v>
      </c>
      <c r="AI1403" t="s">
        <v>43</v>
      </c>
      <c r="AJ1403" t="s">
        <v>43</v>
      </c>
      <c r="AK1403" t="s">
        <v>43</v>
      </c>
      <c r="AL1403" t="s">
        <v>43</v>
      </c>
      <c r="AM1403" t="s">
        <v>43</v>
      </c>
      <c r="AN1403" t="str">
        <f>HYPERLINK("https://www.google.com/maps?q=11.05587578,79.06416321","Open Location")</f>
        <v>Open Location</v>
      </c>
    </row>
    <row r="1404" spans="1:40" x14ac:dyDescent="0.3">
      <c r="A1404" s="1">
        <v>46210.837268518517</v>
      </c>
      <c r="B1404" t="s">
        <v>40</v>
      </c>
      <c r="C1404" t="s">
        <v>41</v>
      </c>
      <c r="D1404" s="1">
        <v>46210.840138888889</v>
      </c>
      <c r="E1404" t="s">
        <v>42</v>
      </c>
      <c r="F1404" t="s">
        <v>43</v>
      </c>
      <c r="G1404" t="s">
        <v>43</v>
      </c>
      <c r="H1404" t="s">
        <v>43</v>
      </c>
      <c r="I1404" t="s">
        <v>678</v>
      </c>
      <c r="J1404" t="s">
        <v>43</v>
      </c>
      <c r="K1404" t="s">
        <v>43</v>
      </c>
      <c r="L1404" t="s">
        <v>43</v>
      </c>
      <c r="M1404" t="s">
        <v>43</v>
      </c>
      <c r="N1404" t="s">
        <v>45</v>
      </c>
      <c r="O1404" t="s">
        <v>43</v>
      </c>
      <c r="P1404" t="s">
        <v>43</v>
      </c>
      <c r="Q1404" t="s">
        <v>43</v>
      </c>
      <c r="R1404" t="s">
        <v>43</v>
      </c>
      <c r="S1404" t="s">
        <v>43</v>
      </c>
      <c r="T1404" t="s">
        <v>43</v>
      </c>
      <c r="U1404" t="s">
        <v>43</v>
      </c>
      <c r="V1404" t="s">
        <v>43</v>
      </c>
      <c r="W1404" t="s">
        <v>43</v>
      </c>
      <c r="X1404" t="s">
        <v>43</v>
      </c>
      <c r="Y1404" t="s">
        <v>43</v>
      </c>
      <c r="Z1404" t="s">
        <v>43</v>
      </c>
      <c r="AA1404" t="s">
        <v>43</v>
      </c>
      <c r="AB1404" t="s">
        <v>43</v>
      </c>
      <c r="AC1404" t="s">
        <v>43</v>
      </c>
      <c r="AD1404" t="s">
        <v>43</v>
      </c>
      <c r="AE1404" t="s">
        <v>43</v>
      </c>
      <c r="AF1404" t="s">
        <v>43</v>
      </c>
      <c r="AG1404" t="s">
        <v>43</v>
      </c>
      <c r="AH1404" t="s">
        <v>43</v>
      </c>
      <c r="AI1404" t="s">
        <v>43</v>
      </c>
      <c r="AJ1404" t="s">
        <v>43</v>
      </c>
      <c r="AK1404" t="s">
        <v>43</v>
      </c>
      <c r="AL1404" t="s">
        <v>43</v>
      </c>
      <c r="AM1404" t="s">
        <v>43</v>
      </c>
      <c r="AN1404" t="str">
        <f>HYPERLINK("https://www.google.com/maps?q=11.05587578,79.06416321","Open Location")</f>
        <v>Open Location</v>
      </c>
    </row>
    <row r="1405" spans="1:40" x14ac:dyDescent="0.3">
      <c r="A1405" s="1">
        <v>46210.837152777778</v>
      </c>
      <c r="B1405" t="s">
        <v>40</v>
      </c>
      <c r="C1405" t="s">
        <v>41</v>
      </c>
      <c r="D1405" s="1">
        <v>46210.840057870373</v>
      </c>
      <c r="E1405" t="s">
        <v>42</v>
      </c>
      <c r="F1405" t="s">
        <v>43</v>
      </c>
      <c r="G1405" t="s">
        <v>43</v>
      </c>
      <c r="H1405" t="s">
        <v>43</v>
      </c>
      <c r="I1405" t="s">
        <v>678</v>
      </c>
      <c r="J1405" t="s">
        <v>43</v>
      </c>
      <c r="K1405" t="s">
        <v>43</v>
      </c>
      <c r="L1405" t="s">
        <v>43</v>
      </c>
      <c r="M1405" t="s">
        <v>43</v>
      </c>
      <c r="N1405" t="s">
        <v>45</v>
      </c>
      <c r="O1405" t="s">
        <v>43</v>
      </c>
      <c r="P1405" t="s">
        <v>43</v>
      </c>
      <c r="Q1405" t="s">
        <v>43</v>
      </c>
      <c r="R1405" t="s">
        <v>43</v>
      </c>
      <c r="S1405" t="s">
        <v>43</v>
      </c>
      <c r="T1405" t="s">
        <v>43</v>
      </c>
      <c r="U1405" t="s">
        <v>43</v>
      </c>
      <c r="V1405" t="s">
        <v>43</v>
      </c>
      <c r="W1405" t="s">
        <v>43</v>
      </c>
      <c r="X1405" t="s">
        <v>43</v>
      </c>
      <c r="Y1405" t="s">
        <v>43</v>
      </c>
      <c r="Z1405" t="s">
        <v>43</v>
      </c>
      <c r="AA1405" t="s">
        <v>43</v>
      </c>
      <c r="AB1405" t="s">
        <v>43</v>
      </c>
      <c r="AC1405" t="s">
        <v>43</v>
      </c>
      <c r="AD1405" t="s">
        <v>43</v>
      </c>
      <c r="AE1405" t="s">
        <v>43</v>
      </c>
      <c r="AF1405" t="s">
        <v>43</v>
      </c>
      <c r="AG1405" t="s">
        <v>43</v>
      </c>
      <c r="AH1405" t="s">
        <v>43</v>
      </c>
      <c r="AI1405" t="s">
        <v>43</v>
      </c>
      <c r="AJ1405" t="s">
        <v>43</v>
      </c>
      <c r="AK1405" t="s">
        <v>43</v>
      </c>
      <c r="AL1405" t="s">
        <v>43</v>
      </c>
      <c r="AM1405" t="s">
        <v>43</v>
      </c>
      <c r="AN1405" t="str">
        <f>HYPERLINK("https://www.google.com/maps?q=11.05587578,79.06416321","Open Location")</f>
        <v>Open Location</v>
      </c>
    </row>
    <row r="1406" spans="1:40" x14ac:dyDescent="0.3">
      <c r="A1406" s="1">
        <v>46210.837037037039</v>
      </c>
      <c r="B1406" t="s">
        <v>40</v>
      </c>
      <c r="C1406" t="s">
        <v>41</v>
      </c>
      <c r="D1406" s="1">
        <v>46210.839872685188</v>
      </c>
      <c r="E1406" t="s">
        <v>42</v>
      </c>
      <c r="F1406" t="s">
        <v>43</v>
      </c>
      <c r="G1406" t="s">
        <v>43</v>
      </c>
      <c r="H1406" t="s">
        <v>43</v>
      </c>
      <c r="I1406" t="s">
        <v>679</v>
      </c>
      <c r="J1406" t="s">
        <v>43</v>
      </c>
      <c r="K1406" t="s">
        <v>43</v>
      </c>
      <c r="L1406" t="s">
        <v>43</v>
      </c>
      <c r="M1406" t="s">
        <v>43</v>
      </c>
      <c r="N1406" t="s">
        <v>45</v>
      </c>
      <c r="O1406" t="s">
        <v>43</v>
      </c>
      <c r="P1406" t="s">
        <v>43</v>
      </c>
      <c r="Q1406" t="s">
        <v>43</v>
      </c>
      <c r="R1406" t="s">
        <v>43</v>
      </c>
      <c r="S1406" t="s">
        <v>43</v>
      </c>
      <c r="T1406" t="s">
        <v>43</v>
      </c>
      <c r="U1406" t="s">
        <v>43</v>
      </c>
      <c r="V1406" t="s">
        <v>43</v>
      </c>
      <c r="W1406" t="s">
        <v>43</v>
      </c>
      <c r="X1406" t="s">
        <v>43</v>
      </c>
      <c r="Y1406" t="s">
        <v>43</v>
      </c>
      <c r="Z1406" t="s">
        <v>43</v>
      </c>
      <c r="AA1406" t="s">
        <v>43</v>
      </c>
      <c r="AB1406" t="s">
        <v>43</v>
      </c>
      <c r="AC1406" t="s">
        <v>43</v>
      </c>
      <c r="AD1406" t="s">
        <v>43</v>
      </c>
      <c r="AE1406" t="s">
        <v>43</v>
      </c>
      <c r="AF1406" t="s">
        <v>43</v>
      </c>
      <c r="AG1406" t="s">
        <v>43</v>
      </c>
      <c r="AH1406" t="s">
        <v>43</v>
      </c>
      <c r="AI1406" t="s">
        <v>43</v>
      </c>
      <c r="AJ1406" t="s">
        <v>43</v>
      </c>
      <c r="AK1406" t="s">
        <v>43</v>
      </c>
      <c r="AL1406" t="s">
        <v>43</v>
      </c>
      <c r="AM1406" t="s">
        <v>43</v>
      </c>
      <c r="AN1406" t="str">
        <f>HYPERLINK("https://www.google.com/maps?q=11.05587673,79.06417084","Open Location")</f>
        <v>Open Location</v>
      </c>
    </row>
    <row r="1407" spans="1:40" x14ac:dyDescent="0.3">
      <c r="A1407" s="1">
        <v>46210.836921296293</v>
      </c>
      <c r="B1407" t="s">
        <v>40</v>
      </c>
      <c r="C1407" t="s">
        <v>41</v>
      </c>
      <c r="D1407" s="1">
        <v>46210.83966435185</v>
      </c>
      <c r="E1407" t="s">
        <v>42</v>
      </c>
      <c r="F1407" t="s">
        <v>43</v>
      </c>
      <c r="G1407" t="s">
        <v>43</v>
      </c>
      <c r="H1407" t="s">
        <v>43</v>
      </c>
      <c r="I1407" t="s">
        <v>43</v>
      </c>
      <c r="J1407" t="s">
        <v>43</v>
      </c>
      <c r="K1407" t="s">
        <v>43</v>
      </c>
      <c r="L1407" t="s">
        <v>43</v>
      </c>
      <c r="M1407" t="s">
        <v>43</v>
      </c>
      <c r="N1407" t="s">
        <v>45</v>
      </c>
      <c r="O1407" t="s">
        <v>43</v>
      </c>
      <c r="P1407" t="s">
        <v>43</v>
      </c>
      <c r="Q1407" t="s">
        <v>43</v>
      </c>
      <c r="R1407" t="s">
        <v>43</v>
      </c>
      <c r="S1407" t="s">
        <v>43</v>
      </c>
      <c r="T1407" t="s">
        <v>43</v>
      </c>
      <c r="U1407" t="s">
        <v>43</v>
      </c>
      <c r="V1407" t="s">
        <v>43</v>
      </c>
      <c r="W1407" t="s">
        <v>43</v>
      </c>
      <c r="X1407" t="s">
        <v>43</v>
      </c>
      <c r="Y1407" t="s">
        <v>43</v>
      </c>
      <c r="Z1407" t="s">
        <v>43</v>
      </c>
      <c r="AA1407" t="s">
        <v>43</v>
      </c>
      <c r="AB1407" t="s">
        <v>43</v>
      </c>
      <c r="AC1407" t="s">
        <v>43</v>
      </c>
      <c r="AD1407" t="s">
        <v>43</v>
      </c>
      <c r="AE1407" t="s">
        <v>43</v>
      </c>
      <c r="AF1407" t="s">
        <v>43</v>
      </c>
      <c r="AG1407" t="s">
        <v>43</v>
      </c>
      <c r="AH1407" t="s">
        <v>43</v>
      </c>
      <c r="AI1407" t="s">
        <v>43</v>
      </c>
      <c r="AJ1407" t="s">
        <v>43</v>
      </c>
      <c r="AK1407" t="s">
        <v>43</v>
      </c>
      <c r="AL1407" t="s">
        <v>43</v>
      </c>
      <c r="AM1407" t="s">
        <v>43</v>
      </c>
      <c r="AN1407" t="s">
        <v>43</v>
      </c>
    </row>
    <row r="1408" spans="1:40" x14ac:dyDescent="0.3">
      <c r="A1408" s="1">
        <v>46210.836805555555</v>
      </c>
      <c r="B1408" t="s">
        <v>40</v>
      </c>
      <c r="C1408" t="s">
        <v>41</v>
      </c>
      <c r="D1408" s="1">
        <v>46210.839803240742</v>
      </c>
      <c r="E1408" t="s">
        <v>42</v>
      </c>
      <c r="F1408" t="s">
        <v>43</v>
      </c>
      <c r="G1408" t="s">
        <v>43</v>
      </c>
      <c r="H1408" t="s">
        <v>43</v>
      </c>
      <c r="I1408" t="s">
        <v>680</v>
      </c>
      <c r="J1408" t="s">
        <v>43</v>
      </c>
      <c r="K1408" t="s">
        <v>43</v>
      </c>
      <c r="L1408" t="s">
        <v>43</v>
      </c>
      <c r="M1408" t="s">
        <v>43</v>
      </c>
      <c r="N1408" t="s">
        <v>45</v>
      </c>
      <c r="O1408" t="s">
        <v>43</v>
      </c>
      <c r="P1408" t="s">
        <v>43</v>
      </c>
      <c r="Q1408" t="s">
        <v>43</v>
      </c>
      <c r="R1408" t="s">
        <v>43</v>
      </c>
      <c r="S1408" t="s">
        <v>43</v>
      </c>
      <c r="T1408" t="s">
        <v>43</v>
      </c>
      <c r="U1408" t="s">
        <v>43</v>
      </c>
      <c r="V1408" t="s">
        <v>43</v>
      </c>
      <c r="W1408" t="s">
        <v>43</v>
      </c>
      <c r="X1408" t="s">
        <v>43</v>
      </c>
      <c r="Y1408" t="s">
        <v>43</v>
      </c>
      <c r="Z1408" t="s">
        <v>43</v>
      </c>
      <c r="AA1408" t="s">
        <v>43</v>
      </c>
      <c r="AB1408" t="s">
        <v>43</v>
      </c>
      <c r="AC1408" t="s">
        <v>43</v>
      </c>
      <c r="AD1408" t="s">
        <v>43</v>
      </c>
      <c r="AE1408" t="s">
        <v>43</v>
      </c>
      <c r="AF1408" t="s">
        <v>43</v>
      </c>
      <c r="AG1408" t="s">
        <v>43</v>
      </c>
      <c r="AH1408" t="s">
        <v>43</v>
      </c>
      <c r="AI1408" t="s">
        <v>43</v>
      </c>
      <c r="AJ1408" t="s">
        <v>43</v>
      </c>
      <c r="AK1408" t="s">
        <v>43</v>
      </c>
      <c r="AL1408" t="s">
        <v>43</v>
      </c>
      <c r="AM1408" t="s">
        <v>43</v>
      </c>
      <c r="AN1408" t="str">
        <f>HYPERLINK("https://www.google.com/maps?q=11.05587959,79.06417084","Open Location")</f>
        <v>Open Location</v>
      </c>
    </row>
    <row r="1409" spans="1:40" x14ac:dyDescent="0.3">
      <c r="A1409" s="1">
        <v>46210.836689814816</v>
      </c>
      <c r="B1409" t="s">
        <v>40</v>
      </c>
      <c r="C1409" t="s">
        <v>41</v>
      </c>
      <c r="D1409" s="1">
        <v>46210.839525462965</v>
      </c>
      <c r="E1409" t="s">
        <v>42</v>
      </c>
      <c r="F1409" t="s">
        <v>43</v>
      </c>
      <c r="G1409" t="s">
        <v>43</v>
      </c>
      <c r="H1409" t="s">
        <v>43</v>
      </c>
      <c r="I1409" t="s">
        <v>681</v>
      </c>
      <c r="J1409" t="s">
        <v>43</v>
      </c>
      <c r="K1409" t="s">
        <v>43</v>
      </c>
      <c r="L1409" t="s">
        <v>43</v>
      </c>
      <c r="M1409" t="s">
        <v>43</v>
      </c>
      <c r="N1409" t="s">
        <v>45</v>
      </c>
      <c r="O1409" t="s">
        <v>43</v>
      </c>
      <c r="P1409" t="s">
        <v>43</v>
      </c>
      <c r="Q1409" t="s">
        <v>43</v>
      </c>
      <c r="R1409" t="s">
        <v>43</v>
      </c>
      <c r="S1409" t="s">
        <v>43</v>
      </c>
      <c r="T1409" t="s">
        <v>43</v>
      </c>
      <c r="U1409" t="s">
        <v>43</v>
      </c>
      <c r="V1409" t="s">
        <v>43</v>
      </c>
      <c r="W1409" t="s">
        <v>43</v>
      </c>
      <c r="X1409" t="s">
        <v>43</v>
      </c>
      <c r="Y1409" t="s">
        <v>43</v>
      </c>
      <c r="Z1409" t="s">
        <v>43</v>
      </c>
      <c r="AA1409" t="s">
        <v>43</v>
      </c>
      <c r="AB1409" t="s">
        <v>43</v>
      </c>
      <c r="AC1409" t="s">
        <v>43</v>
      </c>
      <c r="AD1409" t="s">
        <v>43</v>
      </c>
      <c r="AE1409" t="s">
        <v>43</v>
      </c>
      <c r="AF1409" t="s">
        <v>43</v>
      </c>
      <c r="AG1409" t="s">
        <v>43</v>
      </c>
      <c r="AH1409" t="s">
        <v>43</v>
      </c>
      <c r="AI1409" t="s">
        <v>43</v>
      </c>
      <c r="AJ1409" t="s">
        <v>43</v>
      </c>
      <c r="AK1409" t="s">
        <v>43</v>
      </c>
      <c r="AL1409" t="s">
        <v>43</v>
      </c>
      <c r="AM1409" t="s">
        <v>43</v>
      </c>
      <c r="AN1409" t="str">
        <f>HYPERLINK("https://www.google.com/maps?q=11.05588436,79.06416321","Open Location")</f>
        <v>Open Location</v>
      </c>
    </row>
    <row r="1410" spans="1:40" x14ac:dyDescent="0.3">
      <c r="A1410" s="1">
        <v>46210.836574074077</v>
      </c>
      <c r="B1410" t="s">
        <v>40</v>
      </c>
      <c r="C1410" t="s">
        <v>41</v>
      </c>
      <c r="D1410" s="1">
        <v>46210.839513888888</v>
      </c>
      <c r="E1410" t="s">
        <v>42</v>
      </c>
      <c r="F1410" t="s">
        <v>43</v>
      </c>
      <c r="G1410" t="s">
        <v>43</v>
      </c>
      <c r="H1410" t="s">
        <v>43</v>
      </c>
      <c r="I1410" t="s">
        <v>682</v>
      </c>
      <c r="J1410" t="s">
        <v>43</v>
      </c>
      <c r="K1410" t="s">
        <v>43</v>
      </c>
      <c r="L1410" t="s">
        <v>43</v>
      </c>
      <c r="M1410" t="s">
        <v>43</v>
      </c>
      <c r="N1410" t="s">
        <v>45</v>
      </c>
      <c r="O1410" t="s">
        <v>43</v>
      </c>
      <c r="P1410" t="s">
        <v>43</v>
      </c>
      <c r="Q1410" t="s">
        <v>43</v>
      </c>
      <c r="R1410" t="s">
        <v>43</v>
      </c>
      <c r="S1410" t="s">
        <v>43</v>
      </c>
      <c r="T1410" t="s">
        <v>43</v>
      </c>
      <c r="U1410" t="s">
        <v>43</v>
      </c>
      <c r="V1410" t="s">
        <v>43</v>
      </c>
      <c r="W1410" t="s">
        <v>43</v>
      </c>
      <c r="X1410" t="s">
        <v>43</v>
      </c>
      <c r="Y1410" t="s">
        <v>43</v>
      </c>
      <c r="Z1410" t="s">
        <v>43</v>
      </c>
      <c r="AA1410" t="s">
        <v>43</v>
      </c>
      <c r="AB1410" t="s">
        <v>43</v>
      </c>
      <c r="AC1410" t="s">
        <v>43</v>
      </c>
      <c r="AD1410" t="s">
        <v>43</v>
      </c>
      <c r="AE1410" t="s">
        <v>43</v>
      </c>
      <c r="AF1410" t="s">
        <v>43</v>
      </c>
      <c r="AG1410" t="s">
        <v>43</v>
      </c>
      <c r="AH1410" t="s">
        <v>43</v>
      </c>
      <c r="AI1410" t="s">
        <v>43</v>
      </c>
      <c r="AJ1410" t="s">
        <v>43</v>
      </c>
      <c r="AK1410" t="s">
        <v>43</v>
      </c>
      <c r="AL1410" t="s">
        <v>43</v>
      </c>
      <c r="AM1410" t="s">
        <v>43</v>
      </c>
      <c r="AN1410" t="str">
        <f>HYPERLINK("https://www.google.com/maps?q=11.05588722,79.06415558","Open Location")</f>
        <v>Open Location</v>
      </c>
    </row>
    <row r="1411" spans="1:40" x14ac:dyDescent="0.3">
      <c r="A1411" s="1">
        <v>46210.836458333331</v>
      </c>
      <c r="B1411" t="s">
        <v>40</v>
      </c>
      <c r="C1411" t="s">
        <v>41</v>
      </c>
      <c r="D1411" s="1">
        <v>46210.839525462965</v>
      </c>
      <c r="E1411" t="s">
        <v>42</v>
      </c>
      <c r="F1411" t="s">
        <v>43</v>
      </c>
      <c r="G1411" t="s">
        <v>43</v>
      </c>
      <c r="H1411" t="s">
        <v>43</v>
      </c>
      <c r="I1411" t="s">
        <v>683</v>
      </c>
      <c r="J1411" t="s">
        <v>43</v>
      </c>
      <c r="K1411" t="s">
        <v>43</v>
      </c>
      <c r="L1411" t="s">
        <v>43</v>
      </c>
      <c r="M1411" t="s">
        <v>43</v>
      </c>
      <c r="N1411" t="s">
        <v>45</v>
      </c>
      <c r="O1411" t="s">
        <v>43</v>
      </c>
      <c r="P1411" t="s">
        <v>43</v>
      </c>
      <c r="Q1411" t="s">
        <v>43</v>
      </c>
      <c r="R1411" t="s">
        <v>43</v>
      </c>
      <c r="S1411" t="s">
        <v>43</v>
      </c>
      <c r="T1411" t="s">
        <v>43</v>
      </c>
      <c r="U1411" t="s">
        <v>43</v>
      </c>
      <c r="V1411" t="s">
        <v>43</v>
      </c>
      <c r="W1411" t="s">
        <v>43</v>
      </c>
      <c r="X1411" t="s">
        <v>43</v>
      </c>
      <c r="Y1411" t="s">
        <v>43</v>
      </c>
      <c r="Z1411" t="s">
        <v>43</v>
      </c>
      <c r="AA1411" t="s">
        <v>43</v>
      </c>
      <c r="AB1411" t="s">
        <v>43</v>
      </c>
      <c r="AC1411" t="s">
        <v>43</v>
      </c>
      <c r="AD1411" t="s">
        <v>43</v>
      </c>
      <c r="AE1411" t="s">
        <v>43</v>
      </c>
      <c r="AF1411" t="s">
        <v>43</v>
      </c>
      <c r="AG1411" t="s">
        <v>43</v>
      </c>
      <c r="AH1411" t="s">
        <v>43</v>
      </c>
      <c r="AI1411" t="s">
        <v>43</v>
      </c>
      <c r="AJ1411" t="s">
        <v>43</v>
      </c>
      <c r="AK1411" t="s">
        <v>43</v>
      </c>
      <c r="AL1411" t="s">
        <v>43</v>
      </c>
      <c r="AM1411" t="s">
        <v>43</v>
      </c>
      <c r="AN1411" t="str">
        <f>HYPERLINK("https://www.google.com/maps?q=11.05588913,79.06415558","Open Location")</f>
        <v>Open Location</v>
      </c>
    </row>
    <row r="1412" spans="1:40" x14ac:dyDescent="0.3">
      <c r="A1412" s="1">
        <v>46210.836342592593</v>
      </c>
      <c r="B1412" t="s">
        <v>40</v>
      </c>
      <c r="C1412" t="s">
        <v>41</v>
      </c>
      <c r="D1412" s="1">
        <v>46210.839201388888</v>
      </c>
      <c r="E1412" t="s">
        <v>42</v>
      </c>
      <c r="F1412" t="s">
        <v>43</v>
      </c>
      <c r="G1412" t="s">
        <v>43</v>
      </c>
      <c r="H1412" t="s">
        <v>43</v>
      </c>
      <c r="I1412" t="s">
        <v>684</v>
      </c>
      <c r="J1412" t="s">
        <v>43</v>
      </c>
      <c r="K1412" t="s">
        <v>43</v>
      </c>
      <c r="L1412" t="s">
        <v>43</v>
      </c>
      <c r="M1412" t="s">
        <v>43</v>
      </c>
      <c r="N1412" t="s">
        <v>45</v>
      </c>
      <c r="O1412" t="s">
        <v>43</v>
      </c>
      <c r="P1412" t="s">
        <v>43</v>
      </c>
      <c r="Q1412" t="s">
        <v>43</v>
      </c>
      <c r="R1412" t="s">
        <v>43</v>
      </c>
      <c r="S1412" t="s">
        <v>43</v>
      </c>
      <c r="T1412" t="s">
        <v>43</v>
      </c>
      <c r="U1412" t="s">
        <v>43</v>
      </c>
      <c r="V1412" t="s">
        <v>43</v>
      </c>
      <c r="W1412" t="s">
        <v>43</v>
      </c>
      <c r="X1412" t="s">
        <v>43</v>
      </c>
      <c r="Y1412" t="s">
        <v>43</v>
      </c>
      <c r="Z1412" t="s">
        <v>43</v>
      </c>
      <c r="AA1412" t="s">
        <v>43</v>
      </c>
      <c r="AB1412" t="s">
        <v>43</v>
      </c>
      <c r="AC1412" t="s">
        <v>43</v>
      </c>
      <c r="AD1412" t="s">
        <v>43</v>
      </c>
      <c r="AE1412" t="s">
        <v>43</v>
      </c>
      <c r="AF1412" t="s">
        <v>43</v>
      </c>
      <c r="AG1412" t="s">
        <v>43</v>
      </c>
      <c r="AH1412" t="s">
        <v>43</v>
      </c>
      <c r="AI1412" t="s">
        <v>43</v>
      </c>
      <c r="AJ1412" t="s">
        <v>43</v>
      </c>
      <c r="AK1412" t="s">
        <v>43</v>
      </c>
      <c r="AL1412" t="s">
        <v>43</v>
      </c>
      <c r="AM1412" t="s">
        <v>43</v>
      </c>
      <c r="AN1412" t="str">
        <f>HYPERLINK("https://www.google.com/maps?q=11.0558939,79.06414032","Open Location")</f>
        <v>Open Location</v>
      </c>
    </row>
    <row r="1413" spans="1:40" x14ac:dyDescent="0.3">
      <c r="A1413" s="1">
        <v>46210.836226851854</v>
      </c>
      <c r="B1413" t="s">
        <v>40</v>
      </c>
      <c r="C1413" t="s">
        <v>41</v>
      </c>
      <c r="D1413" s="1">
        <v>46210.839120370372</v>
      </c>
      <c r="E1413" t="s">
        <v>42</v>
      </c>
      <c r="F1413" t="s">
        <v>43</v>
      </c>
      <c r="G1413" t="s">
        <v>43</v>
      </c>
      <c r="H1413" t="s">
        <v>43</v>
      </c>
      <c r="I1413" t="s">
        <v>43</v>
      </c>
      <c r="J1413" t="s">
        <v>43</v>
      </c>
      <c r="K1413" t="s">
        <v>43</v>
      </c>
      <c r="L1413" t="s">
        <v>43</v>
      </c>
      <c r="M1413" t="s">
        <v>43</v>
      </c>
      <c r="N1413" t="s">
        <v>45</v>
      </c>
      <c r="O1413" t="s">
        <v>43</v>
      </c>
      <c r="P1413" t="s">
        <v>43</v>
      </c>
      <c r="Q1413" t="s">
        <v>43</v>
      </c>
      <c r="R1413" t="s">
        <v>43</v>
      </c>
      <c r="S1413" t="s">
        <v>43</v>
      </c>
      <c r="T1413" t="s">
        <v>43</v>
      </c>
      <c r="U1413" t="s">
        <v>43</v>
      </c>
      <c r="V1413" t="s">
        <v>43</v>
      </c>
      <c r="W1413" t="s">
        <v>43</v>
      </c>
      <c r="X1413" t="s">
        <v>43</v>
      </c>
      <c r="Y1413" t="s">
        <v>43</v>
      </c>
      <c r="Z1413" t="s">
        <v>43</v>
      </c>
      <c r="AA1413" t="s">
        <v>43</v>
      </c>
      <c r="AB1413" t="s">
        <v>43</v>
      </c>
      <c r="AC1413" t="s">
        <v>43</v>
      </c>
      <c r="AD1413" t="s">
        <v>43</v>
      </c>
      <c r="AE1413" t="s">
        <v>43</v>
      </c>
      <c r="AF1413" t="s">
        <v>43</v>
      </c>
      <c r="AG1413" t="s">
        <v>43</v>
      </c>
      <c r="AH1413" t="s">
        <v>43</v>
      </c>
      <c r="AI1413" t="s">
        <v>43</v>
      </c>
      <c r="AJ1413" t="s">
        <v>43</v>
      </c>
      <c r="AK1413" t="s">
        <v>43</v>
      </c>
      <c r="AL1413" t="s">
        <v>43</v>
      </c>
      <c r="AM1413" t="s">
        <v>43</v>
      </c>
      <c r="AN1413" t="s">
        <v>43</v>
      </c>
    </row>
    <row r="1414" spans="1:40" x14ac:dyDescent="0.3">
      <c r="A1414" s="1">
        <v>46210.836111111108</v>
      </c>
      <c r="B1414" t="s">
        <v>40</v>
      </c>
      <c r="C1414" t="s">
        <v>41</v>
      </c>
      <c r="D1414" s="1">
        <v>46210.839282407411</v>
      </c>
      <c r="E1414" t="s">
        <v>42</v>
      </c>
      <c r="F1414" t="s">
        <v>43</v>
      </c>
      <c r="G1414" t="s">
        <v>43</v>
      </c>
      <c r="H1414" t="s">
        <v>43</v>
      </c>
      <c r="I1414" t="s">
        <v>685</v>
      </c>
      <c r="J1414" t="s">
        <v>43</v>
      </c>
      <c r="K1414" t="s">
        <v>43</v>
      </c>
      <c r="L1414" t="s">
        <v>43</v>
      </c>
      <c r="M1414" t="s">
        <v>43</v>
      </c>
      <c r="N1414" t="s">
        <v>45</v>
      </c>
      <c r="O1414" t="s">
        <v>43</v>
      </c>
      <c r="P1414" t="s">
        <v>43</v>
      </c>
      <c r="Q1414" t="s">
        <v>43</v>
      </c>
      <c r="R1414" t="s">
        <v>43</v>
      </c>
      <c r="S1414" t="s">
        <v>43</v>
      </c>
      <c r="T1414" t="s">
        <v>43</v>
      </c>
      <c r="U1414" t="s">
        <v>43</v>
      </c>
      <c r="V1414" t="s">
        <v>43</v>
      </c>
      <c r="W1414" t="s">
        <v>43</v>
      </c>
      <c r="X1414" t="s">
        <v>43</v>
      </c>
      <c r="Y1414" t="s">
        <v>43</v>
      </c>
      <c r="Z1414" t="s">
        <v>43</v>
      </c>
      <c r="AA1414" t="s">
        <v>43</v>
      </c>
      <c r="AB1414" t="s">
        <v>43</v>
      </c>
      <c r="AC1414" t="s">
        <v>43</v>
      </c>
      <c r="AD1414" t="s">
        <v>43</v>
      </c>
      <c r="AE1414" t="s">
        <v>43</v>
      </c>
      <c r="AF1414" t="s">
        <v>43</v>
      </c>
      <c r="AG1414" t="s">
        <v>43</v>
      </c>
      <c r="AH1414" t="s">
        <v>43</v>
      </c>
      <c r="AI1414" t="s">
        <v>43</v>
      </c>
      <c r="AJ1414" t="s">
        <v>43</v>
      </c>
      <c r="AK1414" t="s">
        <v>43</v>
      </c>
      <c r="AL1414" t="s">
        <v>43</v>
      </c>
      <c r="AM1414" t="s">
        <v>43</v>
      </c>
      <c r="AN1414" t="str">
        <f>HYPERLINK("https://www.google.com/maps?q=11.0558939,79.06413269","Open Location")</f>
        <v>Open Location</v>
      </c>
    </row>
    <row r="1415" spans="1:40" x14ac:dyDescent="0.3">
      <c r="A1415" s="1">
        <v>46210.835995370369</v>
      </c>
      <c r="B1415" t="s">
        <v>40</v>
      </c>
      <c r="C1415" t="s">
        <v>41</v>
      </c>
      <c r="D1415" s="1">
        <v>46210.838796296295</v>
      </c>
      <c r="E1415" t="s">
        <v>42</v>
      </c>
      <c r="F1415" t="s">
        <v>43</v>
      </c>
      <c r="G1415" t="s">
        <v>43</v>
      </c>
      <c r="H1415" t="s">
        <v>43</v>
      </c>
      <c r="I1415" t="s">
        <v>686</v>
      </c>
      <c r="J1415" t="s">
        <v>43</v>
      </c>
      <c r="K1415" t="s">
        <v>43</v>
      </c>
      <c r="L1415" t="s">
        <v>43</v>
      </c>
      <c r="M1415" t="s">
        <v>43</v>
      </c>
      <c r="N1415" t="s">
        <v>45</v>
      </c>
      <c r="O1415" t="s">
        <v>43</v>
      </c>
      <c r="P1415" t="s">
        <v>43</v>
      </c>
      <c r="Q1415" t="s">
        <v>43</v>
      </c>
      <c r="R1415" t="s">
        <v>43</v>
      </c>
      <c r="S1415" t="s">
        <v>43</v>
      </c>
      <c r="T1415" t="s">
        <v>43</v>
      </c>
      <c r="U1415" t="s">
        <v>43</v>
      </c>
      <c r="V1415" t="s">
        <v>43</v>
      </c>
      <c r="W1415" t="s">
        <v>43</v>
      </c>
      <c r="X1415" t="s">
        <v>43</v>
      </c>
      <c r="Y1415" t="s">
        <v>43</v>
      </c>
      <c r="Z1415" t="s">
        <v>43</v>
      </c>
      <c r="AA1415" t="s">
        <v>43</v>
      </c>
      <c r="AB1415" t="s">
        <v>43</v>
      </c>
      <c r="AC1415" t="s">
        <v>43</v>
      </c>
      <c r="AD1415" t="s">
        <v>43</v>
      </c>
      <c r="AE1415" t="s">
        <v>43</v>
      </c>
      <c r="AF1415" t="s">
        <v>43</v>
      </c>
      <c r="AG1415" t="s">
        <v>43</v>
      </c>
      <c r="AH1415" t="s">
        <v>43</v>
      </c>
      <c r="AI1415" t="s">
        <v>43</v>
      </c>
      <c r="AJ1415" t="s">
        <v>43</v>
      </c>
      <c r="AK1415" t="s">
        <v>43</v>
      </c>
      <c r="AL1415" t="s">
        <v>43</v>
      </c>
      <c r="AM1415" t="s">
        <v>43</v>
      </c>
      <c r="AN1415" t="str">
        <f>HYPERLINK("https://www.google.com/maps?q=11.05589485,79.06413269","Open Location")</f>
        <v>Open Location</v>
      </c>
    </row>
    <row r="1416" spans="1:40" x14ac:dyDescent="0.3">
      <c r="A1416" s="1">
        <v>46210.835879629631</v>
      </c>
      <c r="B1416" t="s">
        <v>40</v>
      </c>
      <c r="C1416" t="s">
        <v>41</v>
      </c>
      <c r="D1416" s="1">
        <v>46210.839189814818</v>
      </c>
      <c r="E1416" t="s">
        <v>42</v>
      </c>
      <c r="F1416" t="s">
        <v>43</v>
      </c>
      <c r="G1416" t="s">
        <v>43</v>
      </c>
      <c r="H1416" t="s">
        <v>43</v>
      </c>
      <c r="I1416" t="s">
        <v>658</v>
      </c>
      <c r="J1416" t="s">
        <v>43</v>
      </c>
      <c r="K1416" t="s">
        <v>43</v>
      </c>
      <c r="L1416" t="s">
        <v>43</v>
      </c>
      <c r="M1416" t="s">
        <v>43</v>
      </c>
      <c r="N1416" t="s">
        <v>45</v>
      </c>
      <c r="O1416" t="s">
        <v>43</v>
      </c>
      <c r="P1416" t="s">
        <v>43</v>
      </c>
      <c r="Q1416" t="s">
        <v>43</v>
      </c>
      <c r="R1416" t="s">
        <v>43</v>
      </c>
      <c r="S1416" t="s">
        <v>43</v>
      </c>
      <c r="T1416" t="s">
        <v>43</v>
      </c>
      <c r="U1416" t="s">
        <v>43</v>
      </c>
      <c r="V1416" t="s">
        <v>43</v>
      </c>
      <c r="W1416" t="s">
        <v>43</v>
      </c>
      <c r="X1416" t="s">
        <v>43</v>
      </c>
      <c r="Y1416" t="s">
        <v>43</v>
      </c>
      <c r="Z1416" t="s">
        <v>43</v>
      </c>
      <c r="AA1416" t="s">
        <v>43</v>
      </c>
      <c r="AB1416" t="s">
        <v>43</v>
      </c>
      <c r="AC1416" t="s">
        <v>43</v>
      </c>
      <c r="AD1416" t="s">
        <v>43</v>
      </c>
      <c r="AE1416" t="s">
        <v>43</v>
      </c>
      <c r="AF1416" t="s">
        <v>43</v>
      </c>
      <c r="AG1416" t="s">
        <v>43</v>
      </c>
      <c r="AH1416" t="s">
        <v>43</v>
      </c>
      <c r="AI1416" t="s">
        <v>43</v>
      </c>
      <c r="AJ1416" t="s">
        <v>43</v>
      </c>
      <c r="AK1416" t="s">
        <v>43</v>
      </c>
      <c r="AL1416" t="s">
        <v>43</v>
      </c>
      <c r="AM1416" t="s">
        <v>43</v>
      </c>
      <c r="AN1416" t="str">
        <f>HYPERLINK("https://www.google.com/maps?q=11.05589294,79.06412506","Open Location")</f>
        <v>Open Location</v>
      </c>
    </row>
    <row r="1417" spans="1:40" x14ac:dyDescent="0.3">
      <c r="A1417" s="1">
        <v>46210.835763888892</v>
      </c>
      <c r="B1417" t="s">
        <v>40</v>
      </c>
      <c r="C1417" t="s">
        <v>41</v>
      </c>
      <c r="D1417" s="1">
        <v>46210.838738425926</v>
      </c>
      <c r="E1417" t="s">
        <v>42</v>
      </c>
      <c r="F1417" t="s">
        <v>43</v>
      </c>
      <c r="G1417" t="s">
        <v>43</v>
      </c>
      <c r="H1417" t="s">
        <v>43</v>
      </c>
      <c r="I1417" t="s">
        <v>588</v>
      </c>
      <c r="J1417" t="s">
        <v>43</v>
      </c>
      <c r="K1417" t="s">
        <v>43</v>
      </c>
      <c r="L1417" t="s">
        <v>43</v>
      </c>
      <c r="M1417" t="s">
        <v>43</v>
      </c>
      <c r="N1417" t="s">
        <v>45</v>
      </c>
      <c r="O1417" t="s">
        <v>43</v>
      </c>
      <c r="P1417" t="s">
        <v>43</v>
      </c>
      <c r="Q1417" t="s">
        <v>43</v>
      </c>
      <c r="R1417" t="s">
        <v>43</v>
      </c>
      <c r="S1417" t="s">
        <v>43</v>
      </c>
      <c r="T1417" t="s">
        <v>43</v>
      </c>
      <c r="U1417" t="s">
        <v>43</v>
      </c>
      <c r="V1417" t="s">
        <v>43</v>
      </c>
      <c r="W1417" t="s">
        <v>43</v>
      </c>
      <c r="X1417" t="s">
        <v>43</v>
      </c>
      <c r="Y1417" t="s">
        <v>43</v>
      </c>
      <c r="Z1417" t="s">
        <v>43</v>
      </c>
      <c r="AA1417" t="s">
        <v>43</v>
      </c>
      <c r="AB1417" t="s">
        <v>43</v>
      </c>
      <c r="AC1417" t="s">
        <v>43</v>
      </c>
      <c r="AD1417" t="s">
        <v>43</v>
      </c>
      <c r="AE1417" t="s">
        <v>43</v>
      </c>
      <c r="AF1417" t="s">
        <v>43</v>
      </c>
      <c r="AG1417" t="s">
        <v>43</v>
      </c>
      <c r="AH1417" t="s">
        <v>43</v>
      </c>
      <c r="AI1417" t="s">
        <v>43</v>
      </c>
      <c r="AJ1417" t="s">
        <v>43</v>
      </c>
      <c r="AK1417" t="s">
        <v>43</v>
      </c>
      <c r="AL1417" t="s">
        <v>43</v>
      </c>
      <c r="AM1417" t="s">
        <v>43</v>
      </c>
      <c r="AN1417" t="str">
        <f>HYPERLINK("https://www.google.com/maps?q=11.0558939,79.06412506","Open Location")</f>
        <v>Open Location</v>
      </c>
    </row>
    <row r="1418" spans="1:40" x14ac:dyDescent="0.3">
      <c r="A1418" s="1">
        <v>46210.835648148146</v>
      </c>
      <c r="B1418" t="s">
        <v>40</v>
      </c>
      <c r="C1418" t="s">
        <v>41</v>
      </c>
      <c r="D1418" s="1">
        <v>46210.838680555556</v>
      </c>
      <c r="E1418" t="s">
        <v>42</v>
      </c>
      <c r="F1418" t="s">
        <v>43</v>
      </c>
      <c r="G1418" t="s">
        <v>43</v>
      </c>
      <c r="H1418" t="s">
        <v>43</v>
      </c>
      <c r="I1418" t="s">
        <v>687</v>
      </c>
      <c r="J1418" t="s">
        <v>43</v>
      </c>
      <c r="K1418" t="s">
        <v>43</v>
      </c>
      <c r="L1418" t="s">
        <v>43</v>
      </c>
      <c r="M1418" t="s">
        <v>43</v>
      </c>
      <c r="N1418" t="s">
        <v>45</v>
      </c>
      <c r="O1418" t="s">
        <v>43</v>
      </c>
      <c r="P1418" t="s">
        <v>43</v>
      </c>
      <c r="Q1418" t="s">
        <v>43</v>
      </c>
      <c r="R1418" t="s">
        <v>43</v>
      </c>
      <c r="S1418" t="s">
        <v>43</v>
      </c>
      <c r="T1418" t="s">
        <v>43</v>
      </c>
      <c r="U1418" t="s">
        <v>43</v>
      </c>
      <c r="V1418" t="s">
        <v>43</v>
      </c>
      <c r="W1418" t="s">
        <v>43</v>
      </c>
      <c r="X1418" t="s">
        <v>43</v>
      </c>
      <c r="Y1418" t="s">
        <v>43</v>
      </c>
      <c r="Z1418" t="s">
        <v>43</v>
      </c>
      <c r="AA1418" t="s">
        <v>43</v>
      </c>
      <c r="AB1418" t="s">
        <v>43</v>
      </c>
      <c r="AC1418" t="s">
        <v>43</v>
      </c>
      <c r="AD1418" t="s">
        <v>43</v>
      </c>
      <c r="AE1418" t="s">
        <v>43</v>
      </c>
      <c r="AF1418" t="s">
        <v>43</v>
      </c>
      <c r="AG1418" t="s">
        <v>43</v>
      </c>
      <c r="AH1418" t="s">
        <v>43</v>
      </c>
      <c r="AI1418" t="s">
        <v>43</v>
      </c>
      <c r="AJ1418" t="s">
        <v>43</v>
      </c>
      <c r="AK1418" t="s">
        <v>43</v>
      </c>
      <c r="AL1418" t="s">
        <v>43</v>
      </c>
      <c r="AM1418" t="s">
        <v>43</v>
      </c>
      <c r="AN1418" t="str">
        <f>HYPERLINK("https://www.google.com/maps?q=11.05589485,79.06411743","Open Location")</f>
        <v>Open Location</v>
      </c>
    </row>
    <row r="1419" spans="1:40" x14ac:dyDescent="0.3">
      <c r="A1419" s="1">
        <v>46210.835532407407</v>
      </c>
      <c r="B1419" t="s">
        <v>40</v>
      </c>
      <c r="C1419" t="s">
        <v>41</v>
      </c>
      <c r="D1419" s="1">
        <v>46210.83829861111</v>
      </c>
      <c r="E1419" t="s">
        <v>42</v>
      </c>
      <c r="F1419" t="s">
        <v>43</v>
      </c>
      <c r="G1419" t="s">
        <v>43</v>
      </c>
      <c r="H1419" t="s">
        <v>43</v>
      </c>
      <c r="I1419" t="s">
        <v>43</v>
      </c>
      <c r="J1419" t="s">
        <v>43</v>
      </c>
      <c r="K1419" t="s">
        <v>43</v>
      </c>
      <c r="L1419" t="s">
        <v>43</v>
      </c>
      <c r="M1419" t="s">
        <v>43</v>
      </c>
      <c r="N1419" t="s">
        <v>45</v>
      </c>
      <c r="O1419" t="s">
        <v>43</v>
      </c>
      <c r="P1419" t="s">
        <v>43</v>
      </c>
      <c r="Q1419" t="s">
        <v>43</v>
      </c>
      <c r="R1419" t="s">
        <v>43</v>
      </c>
      <c r="S1419" t="s">
        <v>43</v>
      </c>
      <c r="T1419" t="s">
        <v>43</v>
      </c>
      <c r="U1419" t="s">
        <v>43</v>
      </c>
      <c r="V1419" t="s">
        <v>43</v>
      </c>
      <c r="W1419" t="s">
        <v>43</v>
      </c>
      <c r="X1419" t="s">
        <v>43</v>
      </c>
      <c r="Y1419" t="s">
        <v>43</v>
      </c>
      <c r="Z1419" t="s">
        <v>43</v>
      </c>
      <c r="AA1419" t="s">
        <v>43</v>
      </c>
      <c r="AB1419" t="s">
        <v>43</v>
      </c>
      <c r="AC1419" t="s">
        <v>43</v>
      </c>
      <c r="AD1419" t="s">
        <v>43</v>
      </c>
      <c r="AE1419" t="s">
        <v>43</v>
      </c>
      <c r="AF1419" t="s">
        <v>43</v>
      </c>
      <c r="AG1419" t="s">
        <v>43</v>
      </c>
      <c r="AH1419" t="s">
        <v>43</v>
      </c>
      <c r="AI1419" t="s">
        <v>43</v>
      </c>
      <c r="AJ1419" t="s">
        <v>43</v>
      </c>
      <c r="AK1419" t="s">
        <v>43</v>
      </c>
      <c r="AL1419" t="s">
        <v>43</v>
      </c>
      <c r="AM1419" t="s">
        <v>43</v>
      </c>
      <c r="AN1419" t="s">
        <v>43</v>
      </c>
    </row>
    <row r="1420" spans="1:40" x14ac:dyDescent="0.3">
      <c r="A1420" s="1">
        <v>46210.835416666669</v>
      </c>
      <c r="B1420" t="s">
        <v>40</v>
      </c>
      <c r="C1420" t="s">
        <v>41</v>
      </c>
      <c r="D1420" s="1">
        <v>46210.838321759256</v>
      </c>
      <c r="E1420" t="s">
        <v>42</v>
      </c>
      <c r="F1420" t="s">
        <v>43</v>
      </c>
      <c r="G1420" t="s">
        <v>43</v>
      </c>
      <c r="H1420" t="s">
        <v>43</v>
      </c>
      <c r="I1420" t="s">
        <v>688</v>
      </c>
      <c r="J1420" t="s">
        <v>43</v>
      </c>
      <c r="K1420" t="s">
        <v>43</v>
      </c>
      <c r="L1420" t="s">
        <v>43</v>
      </c>
      <c r="M1420" t="s">
        <v>43</v>
      </c>
      <c r="N1420" t="s">
        <v>45</v>
      </c>
      <c r="O1420" t="s">
        <v>43</v>
      </c>
      <c r="P1420" t="s">
        <v>43</v>
      </c>
      <c r="Q1420" t="s">
        <v>43</v>
      </c>
      <c r="R1420" t="s">
        <v>43</v>
      </c>
      <c r="S1420" t="s">
        <v>43</v>
      </c>
      <c r="T1420" t="s">
        <v>43</v>
      </c>
      <c r="U1420" t="s">
        <v>43</v>
      </c>
      <c r="V1420" t="s">
        <v>43</v>
      </c>
      <c r="W1420" t="s">
        <v>43</v>
      </c>
      <c r="X1420" t="s">
        <v>43</v>
      </c>
      <c r="Y1420" t="s">
        <v>43</v>
      </c>
      <c r="Z1420" t="s">
        <v>43</v>
      </c>
      <c r="AA1420" t="s">
        <v>43</v>
      </c>
      <c r="AB1420" t="s">
        <v>43</v>
      </c>
      <c r="AC1420" t="s">
        <v>43</v>
      </c>
      <c r="AD1420" t="s">
        <v>43</v>
      </c>
      <c r="AE1420" t="s">
        <v>43</v>
      </c>
      <c r="AF1420" t="s">
        <v>43</v>
      </c>
      <c r="AG1420" t="s">
        <v>43</v>
      </c>
      <c r="AH1420" t="s">
        <v>43</v>
      </c>
      <c r="AI1420" t="s">
        <v>43</v>
      </c>
      <c r="AJ1420" t="s">
        <v>43</v>
      </c>
      <c r="AK1420" t="s">
        <v>43</v>
      </c>
      <c r="AL1420" t="s">
        <v>43</v>
      </c>
      <c r="AM1420" t="s">
        <v>43</v>
      </c>
      <c r="AN1420" t="str">
        <f>HYPERLINK("https://www.google.com/maps?q=11.05589104,79.06411743","Open Location")</f>
        <v>Open Location</v>
      </c>
    </row>
    <row r="1421" spans="1:40" x14ac:dyDescent="0.3">
      <c r="A1421" s="1">
        <v>46210.835300925923</v>
      </c>
      <c r="B1421" t="s">
        <v>40</v>
      </c>
      <c r="C1421" t="s">
        <v>41</v>
      </c>
      <c r="D1421" s="1">
        <v>46210.838078703702</v>
      </c>
      <c r="E1421" t="s">
        <v>42</v>
      </c>
      <c r="F1421" t="s">
        <v>43</v>
      </c>
      <c r="G1421" t="s">
        <v>43</v>
      </c>
      <c r="H1421" t="s">
        <v>43</v>
      </c>
      <c r="I1421" t="s">
        <v>689</v>
      </c>
      <c r="J1421" t="s">
        <v>43</v>
      </c>
      <c r="K1421" t="s">
        <v>43</v>
      </c>
      <c r="L1421" t="s">
        <v>43</v>
      </c>
      <c r="M1421" t="s">
        <v>43</v>
      </c>
      <c r="N1421" t="s">
        <v>45</v>
      </c>
      <c r="O1421" t="s">
        <v>43</v>
      </c>
      <c r="P1421" t="s">
        <v>43</v>
      </c>
      <c r="Q1421" t="s">
        <v>43</v>
      </c>
      <c r="R1421" t="s">
        <v>43</v>
      </c>
      <c r="S1421" t="s">
        <v>43</v>
      </c>
      <c r="T1421" t="s">
        <v>43</v>
      </c>
      <c r="U1421" t="s">
        <v>43</v>
      </c>
      <c r="V1421" t="s">
        <v>43</v>
      </c>
      <c r="W1421" t="s">
        <v>43</v>
      </c>
      <c r="X1421" t="s">
        <v>43</v>
      </c>
      <c r="Y1421" t="s">
        <v>43</v>
      </c>
      <c r="Z1421" t="s">
        <v>43</v>
      </c>
      <c r="AA1421" t="s">
        <v>43</v>
      </c>
      <c r="AB1421" t="s">
        <v>43</v>
      </c>
      <c r="AC1421" t="s">
        <v>43</v>
      </c>
      <c r="AD1421" t="s">
        <v>43</v>
      </c>
      <c r="AE1421" t="s">
        <v>43</v>
      </c>
      <c r="AF1421" t="s">
        <v>43</v>
      </c>
      <c r="AG1421" t="s">
        <v>43</v>
      </c>
      <c r="AH1421" t="s">
        <v>43</v>
      </c>
      <c r="AI1421" t="s">
        <v>43</v>
      </c>
      <c r="AJ1421" t="s">
        <v>43</v>
      </c>
      <c r="AK1421" t="s">
        <v>43</v>
      </c>
      <c r="AL1421" t="s">
        <v>43</v>
      </c>
      <c r="AM1421" t="s">
        <v>43</v>
      </c>
      <c r="AN1421" t="str">
        <f>HYPERLINK("https://www.google.com/maps?q=11.05588913,79.06411743","Open Location")</f>
        <v>Open Location</v>
      </c>
    </row>
    <row r="1422" spans="1:40" x14ac:dyDescent="0.3">
      <c r="A1422" s="1">
        <v>46210.835185185184</v>
      </c>
      <c r="B1422" t="s">
        <v>40</v>
      </c>
      <c r="C1422" t="s">
        <v>41</v>
      </c>
      <c r="D1422" s="1">
        <v>46210.838159722225</v>
      </c>
      <c r="E1422" t="s">
        <v>42</v>
      </c>
      <c r="F1422" t="s">
        <v>43</v>
      </c>
      <c r="G1422" t="s">
        <v>43</v>
      </c>
      <c r="H1422" t="s">
        <v>43</v>
      </c>
      <c r="I1422" t="s">
        <v>595</v>
      </c>
      <c r="J1422" t="s">
        <v>43</v>
      </c>
      <c r="K1422" t="s">
        <v>43</v>
      </c>
      <c r="L1422" t="s">
        <v>43</v>
      </c>
      <c r="M1422" t="s">
        <v>43</v>
      </c>
      <c r="N1422" t="s">
        <v>45</v>
      </c>
      <c r="O1422" t="s">
        <v>43</v>
      </c>
      <c r="P1422" t="s">
        <v>43</v>
      </c>
      <c r="Q1422" t="s">
        <v>43</v>
      </c>
      <c r="R1422" t="s">
        <v>43</v>
      </c>
      <c r="S1422" t="s">
        <v>43</v>
      </c>
      <c r="T1422" t="s">
        <v>43</v>
      </c>
      <c r="U1422" t="s">
        <v>43</v>
      </c>
      <c r="V1422" t="s">
        <v>43</v>
      </c>
      <c r="W1422" t="s">
        <v>43</v>
      </c>
      <c r="X1422" t="s">
        <v>43</v>
      </c>
      <c r="Y1422" t="s">
        <v>43</v>
      </c>
      <c r="Z1422" t="s">
        <v>43</v>
      </c>
      <c r="AA1422" t="s">
        <v>43</v>
      </c>
      <c r="AB1422" t="s">
        <v>43</v>
      </c>
      <c r="AC1422" t="s">
        <v>43</v>
      </c>
      <c r="AD1422" t="s">
        <v>43</v>
      </c>
      <c r="AE1422" t="s">
        <v>43</v>
      </c>
      <c r="AF1422" t="s">
        <v>43</v>
      </c>
      <c r="AG1422" t="s">
        <v>43</v>
      </c>
      <c r="AH1422" t="s">
        <v>43</v>
      </c>
      <c r="AI1422" t="s">
        <v>43</v>
      </c>
      <c r="AJ1422" t="s">
        <v>43</v>
      </c>
      <c r="AK1422" t="s">
        <v>43</v>
      </c>
      <c r="AL1422" t="s">
        <v>43</v>
      </c>
      <c r="AM1422" t="s">
        <v>43</v>
      </c>
      <c r="AN1422" t="str">
        <f>HYPERLINK("https://www.google.com/maps?q=11.05588722,79.06411743","Open Location")</f>
        <v>Open Location</v>
      </c>
    </row>
    <row r="1423" spans="1:40" x14ac:dyDescent="0.3">
      <c r="A1423" s="1">
        <v>46210.835069444445</v>
      </c>
      <c r="B1423" t="s">
        <v>40</v>
      </c>
      <c r="C1423" t="s">
        <v>41</v>
      </c>
      <c r="D1423" s="1">
        <v>46210.837696759256</v>
      </c>
      <c r="E1423" t="s">
        <v>42</v>
      </c>
      <c r="F1423" t="s">
        <v>43</v>
      </c>
      <c r="G1423" t="s">
        <v>43</v>
      </c>
      <c r="H1423" t="s">
        <v>43</v>
      </c>
      <c r="I1423" t="s">
        <v>690</v>
      </c>
      <c r="J1423" t="s">
        <v>43</v>
      </c>
      <c r="K1423" t="s">
        <v>43</v>
      </c>
      <c r="L1423" t="s">
        <v>43</v>
      </c>
      <c r="M1423" t="s">
        <v>43</v>
      </c>
      <c r="N1423" t="s">
        <v>45</v>
      </c>
      <c r="O1423" t="s">
        <v>43</v>
      </c>
      <c r="P1423" t="s">
        <v>43</v>
      </c>
      <c r="Q1423" t="s">
        <v>43</v>
      </c>
      <c r="R1423" t="s">
        <v>43</v>
      </c>
      <c r="S1423" t="s">
        <v>43</v>
      </c>
      <c r="T1423" t="s">
        <v>43</v>
      </c>
      <c r="U1423" t="s">
        <v>43</v>
      </c>
      <c r="V1423" t="s">
        <v>43</v>
      </c>
      <c r="W1423" t="s">
        <v>43</v>
      </c>
      <c r="X1423" t="s">
        <v>43</v>
      </c>
      <c r="Y1423" t="s">
        <v>43</v>
      </c>
      <c r="Z1423" t="s">
        <v>43</v>
      </c>
      <c r="AA1423" t="s">
        <v>43</v>
      </c>
      <c r="AB1423" t="s">
        <v>43</v>
      </c>
      <c r="AC1423" t="s">
        <v>43</v>
      </c>
      <c r="AD1423" t="s">
        <v>43</v>
      </c>
      <c r="AE1423" t="s">
        <v>43</v>
      </c>
      <c r="AF1423" t="s">
        <v>43</v>
      </c>
      <c r="AG1423" t="s">
        <v>43</v>
      </c>
      <c r="AH1423" t="s">
        <v>43</v>
      </c>
      <c r="AI1423" t="s">
        <v>43</v>
      </c>
      <c r="AJ1423" t="s">
        <v>43</v>
      </c>
      <c r="AK1423" t="s">
        <v>43</v>
      </c>
      <c r="AL1423" t="s">
        <v>43</v>
      </c>
      <c r="AM1423" t="s">
        <v>43</v>
      </c>
      <c r="AN1423" t="str">
        <f>HYPERLINK("https://www.google.com/maps?q=11.05588627,79.06411743","Open Location")</f>
        <v>Open Location</v>
      </c>
    </row>
    <row r="1424" spans="1:40" x14ac:dyDescent="0.3">
      <c r="A1424" s="1">
        <v>46210.834953703707</v>
      </c>
      <c r="B1424" t="s">
        <v>40</v>
      </c>
      <c r="C1424" t="s">
        <v>41</v>
      </c>
      <c r="D1424" s="1">
        <v>46210.837708333333</v>
      </c>
      <c r="E1424" t="s">
        <v>42</v>
      </c>
      <c r="F1424" t="s">
        <v>43</v>
      </c>
      <c r="G1424" t="s">
        <v>43</v>
      </c>
      <c r="H1424" t="s">
        <v>43</v>
      </c>
      <c r="I1424" t="s">
        <v>43</v>
      </c>
      <c r="J1424" t="s">
        <v>43</v>
      </c>
      <c r="K1424" t="s">
        <v>43</v>
      </c>
      <c r="L1424" t="s">
        <v>43</v>
      </c>
      <c r="M1424" t="s">
        <v>43</v>
      </c>
      <c r="N1424" t="s">
        <v>45</v>
      </c>
      <c r="O1424" t="s">
        <v>43</v>
      </c>
      <c r="P1424" t="s">
        <v>43</v>
      </c>
      <c r="Q1424" t="s">
        <v>43</v>
      </c>
      <c r="R1424" t="s">
        <v>43</v>
      </c>
      <c r="S1424" t="s">
        <v>43</v>
      </c>
      <c r="T1424" t="s">
        <v>43</v>
      </c>
      <c r="U1424" t="s">
        <v>43</v>
      </c>
      <c r="V1424" t="s">
        <v>43</v>
      </c>
      <c r="W1424" t="s">
        <v>43</v>
      </c>
      <c r="X1424" t="s">
        <v>43</v>
      </c>
      <c r="Y1424" t="s">
        <v>43</v>
      </c>
      <c r="Z1424" t="s">
        <v>43</v>
      </c>
      <c r="AA1424" t="s">
        <v>43</v>
      </c>
      <c r="AB1424" t="s">
        <v>43</v>
      </c>
      <c r="AC1424" t="s">
        <v>43</v>
      </c>
      <c r="AD1424" t="s">
        <v>43</v>
      </c>
      <c r="AE1424" t="s">
        <v>43</v>
      </c>
      <c r="AF1424" t="s">
        <v>43</v>
      </c>
      <c r="AG1424" t="s">
        <v>43</v>
      </c>
      <c r="AH1424" t="s">
        <v>43</v>
      </c>
      <c r="AI1424" t="s">
        <v>43</v>
      </c>
      <c r="AJ1424" t="s">
        <v>43</v>
      </c>
      <c r="AK1424" t="s">
        <v>43</v>
      </c>
      <c r="AL1424" t="s">
        <v>43</v>
      </c>
      <c r="AM1424" t="s">
        <v>43</v>
      </c>
      <c r="AN1424" t="s">
        <v>43</v>
      </c>
    </row>
    <row r="1425" spans="1:40" x14ac:dyDescent="0.3">
      <c r="A1425" s="1">
        <v>46210.834837962961</v>
      </c>
      <c r="B1425" t="s">
        <v>40</v>
      </c>
      <c r="C1425" t="s">
        <v>41</v>
      </c>
      <c r="D1425" s="1">
        <v>46210.837696759256</v>
      </c>
      <c r="E1425" t="s">
        <v>42</v>
      </c>
      <c r="F1425" t="s">
        <v>43</v>
      </c>
      <c r="G1425" t="s">
        <v>43</v>
      </c>
      <c r="H1425" t="s">
        <v>43</v>
      </c>
      <c r="I1425" t="s">
        <v>691</v>
      </c>
      <c r="J1425" t="s">
        <v>43</v>
      </c>
      <c r="K1425" t="s">
        <v>43</v>
      </c>
      <c r="L1425" t="s">
        <v>43</v>
      </c>
      <c r="M1425" t="s">
        <v>43</v>
      </c>
      <c r="N1425" t="s">
        <v>45</v>
      </c>
      <c r="O1425" t="s">
        <v>43</v>
      </c>
      <c r="P1425" t="s">
        <v>43</v>
      </c>
      <c r="Q1425" t="s">
        <v>43</v>
      </c>
      <c r="R1425" t="s">
        <v>43</v>
      </c>
      <c r="S1425" t="s">
        <v>43</v>
      </c>
      <c r="T1425" t="s">
        <v>43</v>
      </c>
      <c r="U1425" t="s">
        <v>43</v>
      </c>
      <c r="V1425" t="s">
        <v>43</v>
      </c>
      <c r="W1425" t="s">
        <v>43</v>
      </c>
      <c r="X1425" t="s">
        <v>43</v>
      </c>
      <c r="Y1425" t="s">
        <v>43</v>
      </c>
      <c r="Z1425" t="s">
        <v>43</v>
      </c>
      <c r="AA1425" t="s">
        <v>43</v>
      </c>
      <c r="AB1425" t="s">
        <v>43</v>
      </c>
      <c r="AC1425" t="s">
        <v>43</v>
      </c>
      <c r="AD1425" t="s">
        <v>43</v>
      </c>
      <c r="AE1425" t="s">
        <v>43</v>
      </c>
      <c r="AF1425" t="s">
        <v>43</v>
      </c>
      <c r="AG1425" t="s">
        <v>43</v>
      </c>
      <c r="AH1425" t="s">
        <v>43</v>
      </c>
      <c r="AI1425" t="s">
        <v>43</v>
      </c>
      <c r="AJ1425" t="s">
        <v>43</v>
      </c>
      <c r="AK1425" t="s">
        <v>43</v>
      </c>
      <c r="AL1425" t="s">
        <v>43</v>
      </c>
      <c r="AM1425" t="s">
        <v>43</v>
      </c>
      <c r="AN1425" t="str">
        <f>HYPERLINK("https://www.google.com/maps?q=11.05588245,79.06411743","Open Location")</f>
        <v>Open Location</v>
      </c>
    </row>
    <row r="1426" spans="1:40" x14ac:dyDescent="0.3">
      <c r="A1426" s="1">
        <v>46210.834722222222</v>
      </c>
      <c r="B1426" t="s">
        <v>40</v>
      </c>
      <c r="C1426" t="s">
        <v>41</v>
      </c>
      <c r="D1426" s="1">
        <v>46210.837696759256</v>
      </c>
      <c r="E1426" t="s">
        <v>42</v>
      </c>
      <c r="F1426" t="s">
        <v>43</v>
      </c>
      <c r="G1426" t="s">
        <v>43</v>
      </c>
      <c r="H1426" t="s">
        <v>43</v>
      </c>
      <c r="I1426" t="s">
        <v>692</v>
      </c>
      <c r="J1426" t="s">
        <v>43</v>
      </c>
      <c r="K1426" t="s">
        <v>43</v>
      </c>
      <c r="L1426" t="s">
        <v>43</v>
      </c>
      <c r="M1426" t="s">
        <v>43</v>
      </c>
      <c r="N1426" t="s">
        <v>45</v>
      </c>
      <c r="O1426" t="s">
        <v>43</v>
      </c>
      <c r="P1426" t="s">
        <v>43</v>
      </c>
      <c r="Q1426" t="s">
        <v>43</v>
      </c>
      <c r="R1426" t="s">
        <v>43</v>
      </c>
      <c r="S1426" t="s">
        <v>43</v>
      </c>
      <c r="T1426" t="s">
        <v>43</v>
      </c>
      <c r="U1426" t="s">
        <v>43</v>
      </c>
      <c r="V1426" t="s">
        <v>43</v>
      </c>
      <c r="W1426" t="s">
        <v>43</v>
      </c>
      <c r="X1426" t="s">
        <v>43</v>
      </c>
      <c r="Y1426" t="s">
        <v>43</v>
      </c>
      <c r="Z1426" t="s">
        <v>43</v>
      </c>
      <c r="AA1426" t="s">
        <v>43</v>
      </c>
      <c r="AB1426" t="s">
        <v>43</v>
      </c>
      <c r="AC1426" t="s">
        <v>43</v>
      </c>
      <c r="AD1426" t="s">
        <v>43</v>
      </c>
      <c r="AE1426" t="s">
        <v>43</v>
      </c>
      <c r="AF1426" t="s">
        <v>43</v>
      </c>
      <c r="AG1426" t="s">
        <v>43</v>
      </c>
      <c r="AH1426" t="s">
        <v>43</v>
      </c>
      <c r="AI1426" t="s">
        <v>43</v>
      </c>
      <c r="AJ1426" t="s">
        <v>43</v>
      </c>
      <c r="AK1426" t="s">
        <v>43</v>
      </c>
      <c r="AL1426" t="s">
        <v>43</v>
      </c>
      <c r="AM1426" t="s">
        <v>43</v>
      </c>
      <c r="AN1426" t="str">
        <f>HYPERLINK("https://www.google.com/maps?q=11.05588341,79.06411743","Open Location")</f>
        <v>Open Location</v>
      </c>
    </row>
    <row r="1427" spans="1:40" x14ac:dyDescent="0.3">
      <c r="A1427" s="1">
        <v>46210.834606481483</v>
      </c>
      <c r="B1427" t="s">
        <v>40</v>
      </c>
      <c r="C1427" t="s">
        <v>41</v>
      </c>
      <c r="D1427" s="1">
        <v>46210.837812500002</v>
      </c>
      <c r="E1427" t="s">
        <v>42</v>
      </c>
      <c r="F1427" t="s">
        <v>43</v>
      </c>
      <c r="G1427" t="s">
        <v>43</v>
      </c>
      <c r="H1427" t="s">
        <v>43</v>
      </c>
      <c r="I1427" t="s">
        <v>693</v>
      </c>
      <c r="J1427" t="s">
        <v>43</v>
      </c>
      <c r="K1427" t="s">
        <v>43</v>
      </c>
      <c r="L1427" t="s">
        <v>43</v>
      </c>
      <c r="M1427" t="s">
        <v>43</v>
      </c>
      <c r="N1427" t="s">
        <v>45</v>
      </c>
      <c r="O1427" t="s">
        <v>43</v>
      </c>
      <c r="P1427" t="s">
        <v>43</v>
      </c>
      <c r="Q1427" t="s">
        <v>43</v>
      </c>
      <c r="R1427" t="s">
        <v>43</v>
      </c>
      <c r="S1427" t="s">
        <v>43</v>
      </c>
      <c r="T1427" t="s">
        <v>43</v>
      </c>
      <c r="U1427" t="s">
        <v>43</v>
      </c>
      <c r="V1427" t="s">
        <v>43</v>
      </c>
      <c r="W1427" t="s">
        <v>43</v>
      </c>
      <c r="X1427" t="s">
        <v>43</v>
      </c>
      <c r="Y1427" t="s">
        <v>43</v>
      </c>
      <c r="Z1427" t="s">
        <v>43</v>
      </c>
      <c r="AA1427" t="s">
        <v>43</v>
      </c>
      <c r="AB1427" t="s">
        <v>43</v>
      </c>
      <c r="AC1427" t="s">
        <v>43</v>
      </c>
      <c r="AD1427" t="s">
        <v>43</v>
      </c>
      <c r="AE1427" t="s">
        <v>43</v>
      </c>
      <c r="AF1427" t="s">
        <v>43</v>
      </c>
      <c r="AG1427" t="s">
        <v>43</v>
      </c>
      <c r="AH1427" t="s">
        <v>43</v>
      </c>
      <c r="AI1427" t="s">
        <v>43</v>
      </c>
      <c r="AJ1427" t="s">
        <v>43</v>
      </c>
      <c r="AK1427" t="s">
        <v>43</v>
      </c>
      <c r="AL1427" t="s">
        <v>43</v>
      </c>
      <c r="AM1427" t="s">
        <v>43</v>
      </c>
      <c r="AN1427" t="str">
        <f>HYPERLINK("https://www.google.com/maps?q=11.05588436,79.06411743","Open Location")</f>
        <v>Open Location</v>
      </c>
    </row>
    <row r="1428" spans="1:40" x14ac:dyDescent="0.3">
      <c r="A1428" s="1">
        <v>46210.834490740737</v>
      </c>
      <c r="B1428" t="s">
        <v>40</v>
      </c>
      <c r="C1428" t="s">
        <v>41</v>
      </c>
      <c r="D1428" s="1">
        <v>46210.837696759256</v>
      </c>
      <c r="E1428" t="s">
        <v>42</v>
      </c>
      <c r="F1428" t="s">
        <v>43</v>
      </c>
      <c r="G1428" t="s">
        <v>43</v>
      </c>
      <c r="H1428" t="s">
        <v>43</v>
      </c>
      <c r="I1428" t="s">
        <v>694</v>
      </c>
      <c r="J1428" t="s">
        <v>43</v>
      </c>
      <c r="K1428" t="s">
        <v>43</v>
      </c>
      <c r="L1428" t="s">
        <v>43</v>
      </c>
      <c r="M1428" t="s">
        <v>43</v>
      </c>
      <c r="N1428" t="s">
        <v>45</v>
      </c>
      <c r="O1428" t="s">
        <v>43</v>
      </c>
      <c r="P1428" t="s">
        <v>43</v>
      </c>
      <c r="Q1428" t="s">
        <v>43</v>
      </c>
      <c r="R1428" t="s">
        <v>43</v>
      </c>
      <c r="S1428" t="s">
        <v>43</v>
      </c>
      <c r="T1428" t="s">
        <v>43</v>
      </c>
      <c r="U1428" t="s">
        <v>43</v>
      </c>
      <c r="V1428" t="s">
        <v>43</v>
      </c>
      <c r="W1428" t="s">
        <v>43</v>
      </c>
      <c r="X1428" t="s">
        <v>43</v>
      </c>
      <c r="Y1428" t="s">
        <v>43</v>
      </c>
      <c r="Z1428" t="s">
        <v>43</v>
      </c>
      <c r="AA1428" t="s">
        <v>43</v>
      </c>
      <c r="AB1428" t="s">
        <v>43</v>
      </c>
      <c r="AC1428" t="s">
        <v>43</v>
      </c>
      <c r="AD1428" t="s">
        <v>43</v>
      </c>
      <c r="AE1428" t="s">
        <v>43</v>
      </c>
      <c r="AF1428" t="s">
        <v>43</v>
      </c>
      <c r="AG1428" t="s">
        <v>43</v>
      </c>
      <c r="AH1428" t="s">
        <v>43</v>
      </c>
      <c r="AI1428" t="s">
        <v>43</v>
      </c>
      <c r="AJ1428" t="s">
        <v>43</v>
      </c>
      <c r="AK1428" t="s">
        <v>43</v>
      </c>
      <c r="AL1428" t="s">
        <v>43</v>
      </c>
      <c r="AM1428" t="s">
        <v>43</v>
      </c>
      <c r="AN1428" t="str">
        <f>HYPERLINK("https://www.google.com/maps?q=11.05587864,79.06413269","Open Location")</f>
        <v>Open Location</v>
      </c>
    </row>
    <row r="1429" spans="1:40" x14ac:dyDescent="0.3">
      <c r="A1429" s="1">
        <v>46210.834374999999</v>
      </c>
      <c r="B1429" t="s">
        <v>40</v>
      </c>
      <c r="C1429" t="s">
        <v>41</v>
      </c>
      <c r="D1429" s="1">
        <v>46210.837129629632</v>
      </c>
      <c r="E1429" t="s">
        <v>42</v>
      </c>
      <c r="F1429" t="s">
        <v>43</v>
      </c>
      <c r="G1429" t="s">
        <v>43</v>
      </c>
      <c r="H1429" t="s">
        <v>43</v>
      </c>
      <c r="I1429" t="s">
        <v>695</v>
      </c>
      <c r="J1429" t="s">
        <v>43</v>
      </c>
      <c r="K1429" t="s">
        <v>43</v>
      </c>
      <c r="L1429" t="s">
        <v>43</v>
      </c>
      <c r="M1429" t="s">
        <v>43</v>
      </c>
      <c r="N1429" t="s">
        <v>45</v>
      </c>
      <c r="O1429" t="s">
        <v>43</v>
      </c>
      <c r="P1429" t="s">
        <v>43</v>
      </c>
      <c r="Q1429" t="s">
        <v>43</v>
      </c>
      <c r="R1429" t="s">
        <v>43</v>
      </c>
      <c r="S1429" t="s">
        <v>43</v>
      </c>
      <c r="T1429" t="s">
        <v>43</v>
      </c>
      <c r="U1429" t="s">
        <v>43</v>
      </c>
      <c r="V1429" t="s">
        <v>43</v>
      </c>
      <c r="W1429" t="s">
        <v>43</v>
      </c>
      <c r="X1429" t="s">
        <v>43</v>
      </c>
      <c r="Y1429" t="s">
        <v>43</v>
      </c>
      <c r="Z1429" t="s">
        <v>43</v>
      </c>
      <c r="AA1429" t="s">
        <v>43</v>
      </c>
      <c r="AB1429" t="s">
        <v>43</v>
      </c>
      <c r="AC1429" t="s">
        <v>43</v>
      </c>
      <c r="AD1429" t="s">
        <v>43</v>
      </c>
      <c r="AE1429" t="s">
        <v>43</v>
      </c>
      <c r="AF1429" t="s">
        <v>43</v>
      </c>
      <c r="AG1429" t="s">
        <v>43</v>
      </c>
      <c r="AH1429" t="s">
        <v>43</v>
      </c>
      <c r="AI1429" t="s">
        <v>43</v>
      </c>
      <c r="AJ1429" t="s">
        <v>43</v>
      </c>
      <c r="AK1429" t="s">
        <v>43</v>
      </c>
      <c r="AL1429" t="s">
        <v>43</v>
      </c>
      <c r="AM1429" t="s">
        <v>43</v>
      </c>
      <c r="AN1429" t="str">
        <f>HYPERLINK("https://www.google.com/maps?q=11.05587101,79.06414032","Open Location")</f>
        <v>Open Location</v>
      </c>
    </row>
    <row r="1430" spans="1:40" x14ac:dyDescent="0.3">
      <c r="A1430" s="1">
        <v>46210.83425925926</v>
      </c>
      <c r="B1430" t="s">
        <v>40</v>
      </c>
      <c r="C1430" t="s">
        <v>41</v>
      </c>
      <c r="D1430" s="1">
        <v>46210.837280092594</v>
      </c>
      <c r="E1430" t="s">
        <v>42</v>
      </c>
      <c r="F1430" t="s">
        <v>43</v>
      </c>
      <c r="G1430" t="s">
        <v>43</v>
      </c>
      <c r="H1430" t="s">
        <v>43</v>
      </c>
      <c r="I1430" t="s">
        <v>43</v>
      </c>
      <c r="J1430" t="s">
        <v>43</v>
      </c>
      <c r="K1430" t="s">
        <v>43</v>
      </c>
      <c r="L1430" t="s">
        <v>43</v>
      </c>
      <c r="M1430" t="s">
        <v>43</v>
      </c>
      <c r="N1430" t="s">
        <v>45</v>
      </c>
      <c r="O1430" t="s">
        <v>43</v>
      </c>
      <c r="P1430" t="s">
        <v>43</v>
      </c>
      <c r="Q1430" t="s">
        <v>43</v>
      </c>
      <c r="R1430" t="s">
        <v>43</v>
      </c>
      <c r="S1430" t="s">
        <v>43</v>
      </c>
      <c r="T1430" t="s">
        <v>43</v>
      </c>
      <c r="U1430" t="s">
        <v>43</v>
      </c>
      <c r="V1430" t="s">
        <v>43</v>
      </c>
      <c r="W1430" t="s">
        <v>43</v>
      </c>
      <c r="X1430" t="s">
        <v>43</v>
      </c>
      <c r="Y1430" t="s">
        <v>43</v>
      </c>
      <c r="Z1430" t="s">
        <v>43</v>
      </c>
      <c r="AA1430" t="s">
        <v>43</v>
      </c>
      <c r="AB1430" t="s">
        <v>43</v>
      </c>
      <c r="AC1430" t="s">
        <v>43</v>
      </c>
      <c r="AD1430" t="s">
        <v>43</v>
      </c>
      <c r="AE1430" t="s">
        <v>43</v>
      </c>
      <c r="AF1430" t="s">
        <v>43</v>
      </c>
      <c r="AG1430" t="s">
        <v>43</v>
      </c>
      <c r="AH1430" t="s">
        <v>43</v>
      </c>
      <c r="AI1430" t="s">
        <v>43</v>
      </c>
      <c r="AJ1430" t="s">
        <v>43</v>
      </c>
      <c r="AK1430" t="s">
        <v>43</v>
      </c>
      <c r="AL1430" t="s">
        <v>43</v>
      </c>
      <c r="AM1430" t="s">
        <v>43</v>
      </c>
      <c r="AN1430" t="s">
        <v>43</v>
      </c>
    </row>
    <row r="1431" spans="1:40" x14ac:dyDescent="0.3">
      <c r="A1431" s="1">
        <v>46210.834143518521</v>
      </c>
      <c r="B1431" t="s">
        <v>40</v>
      </c>
      <c r="C1431" t="s">
        <v>41</v>
      </c>
      <c r="D1431" s="1">
        <v>46210.836898148147</v>
      </c>
      <c r="E1431" t="s">
        <v>42</v>
      </c>
      <c r="F1431" t="s">
        <v>43</v>
      </c>
      <c r="G1431" t="s">
        <v>43</v>
      </c>
      <c r="H1431" t="s">
        <v>43</v>
      </c>
      <c r="I1431" t="s">
        <v>645</v>
      </c>
      <c r="J1431" t="s">
        <v>43</v>
      </c>
      <c r="K1431" t="s">
        <v>43</v>
      </c>
      <c r="L1431" t="s">
        <v>43</v>
      </c>
      <c r="M1431" t="s">
        <v>43</v>
      </c>
      <c r="N1431" t="s">
        <v>45</v>
      </c>
      <c r="O1431" t="s">
        <v>43</v>
      </c>
      <c r="P1431" t="s">
        <v>43</v>
      </c>
      <c r="Q1431" t="s">
        <v>43</v>
      </c>
      <c r="R1431" t="s">
        <v>43</v>
      </c>
      <c r="S1431" t="s">
        <v>43</v>
      </c>
      <c r="T1431" t="s">
        <v>43</v>
      </c>
      <c r="U1431" t="s">
        <v>43</v>
      </c>
      <c r="V1431" t="s">
        <v>43</v>
      </c>
      <c r="W1431" t="s">
        <v>43</v>
      </c>
      <c r="X1431" t="s">
        <v>43</v>
      </c>
      <c r="Y1431" t="s">
        <v>43</v>
      </c>
      <c r="Z1431" t="s">
        <v>43</v>
      </c>
      <c r="AA1431" t="s">
        <v>43</v>
      </c>
      <c r="AB1431" t="s">
        <v>43</v>
      </c>
      <c r="AC1431" t="s">
        <v>43</v>
      </c>
      <c r="AD1431" t="s">
        <v>43</v>
      </c>
      <c r="AE1431" t="s">
        <v>43</v>
      </c>
      <c r="AF1431" t="s">
        <v>43</v>
      </c>
      <c r="AG1431" t="s">
        <v>43</v>
      </c>
      <c r="AH1431" t="s">
        <v>43</v>
      </c>
      <c r="AI1431" t="s">
        <v>43</v>
      </c>
      <c r="AJ1431" t="s">
        <v>43</v>
      </c>
      <c r="AK1431" t="s">
        <v>43</v>
      </c>
      <c r="AL1431" t="s">
        <v>43</v>
      </c>
      <c r="AM1431" t="s">
        <v>43</v>
      </c>
      <c r="AN1431" t="str">
        <f>HYPERLINK("https://www.google.com/maps?q=11.05587006,79.06414032","Open Location")</f>
        <v>Open Location</v>
      </c>
    </row>
    <row r="1432" spans="1:40" x14ac:dyDescent="0.3">
      <c r="A1432" s="1">
        <v>46210.834027777775</v>
      </c>
      <c r="B1432" t="s">
        <v>40</v>
      </c>
      <c r="C1432" t="s">
        <v>41</v>
      </c>
      <c r="D1432" s="1">
        <v>46210.837118055555</v>
      </c>
      <c r="E1432" t="s">
        <v>42</v>
      </c>
      <c r="F1432" t="s">
        <v>43</v>
      </c>
      <c r="G1432" t="s">
        <v>43</v>
      </c>
      <c r="H1432" t="s">
        <v>43</v>
      </c>
      <c r="I1432" t="s">
        <v>696</v>
      </c>
      <c r="J1432" t="s">
        <v>43</v>
      </c>
      <c r="K1432" t="s">
        <v>43</v>
      </c>
      <c r="L1432" t="s">
        <v>43</v>
      </c>
      <c r="M1432" t="s">
        <v>43</v>
      </c>
      <c r="N1432" t="s">
        <v>45</v>
      </c>
      <c r="O1432" t="s">
        <v>43</v>
      </c>
      <c r="P1432" t="s">
        <v>43</v>
      </c>
      <c r="Q1432" t="s">
        <v>43</v>
      </c>
      <c r="R1432" t="s">
        <v>43</v>
      </c>
      <c r="S1432" t="s">
        <v>43</v>
      </c>
      <c r="T1432" t="s">
        <v>43</v>
      </c>
      <c r="U1432" t="s">
        <v>43</v>
      </c>
      <c r="V1432" t="s">
        <v>43</v>
      </c>
      <c r="W1432" t="s">
        <v>43</v>
      </c>
      <c r="X1432" t="s">
        <v>43</v>
      </c>
      <c r="Y1432" t="s">
        <v>43</v>
      </c>
      <c r="Z1432" t="s">
        <v>43</v>
      </c>
      <c r="AA1432" t="s">
        <v>43</v>
      </c>
      <c r="AB1432" t="s">
        <v>43</v>
      </c>
      <c r="AC1432" t="s">
        <v>43</v>
      </c>
      <c r="AD1432" t="s">
        <v>43</v>
      </c>
      <c r="AE1432" t="s">
        <v>43</v>
      </c>
      <c r="AF1432" t="s">
        <v>43</v>
      </c>
      <c r="AG1432" t="s">
        <v>43</v>
      </c>
      <c r="AH1432" t="s">
        <v>43</v>
      </c>
      <c r="AI1432" t="s">
        <v>43</v>
      </c>
      <c r="AJ1432" t="s">
        <v>43</v>
      </c>
      <c r="AK1432" t="s">
        <v>43</v>
      </c>
      <c r="AL1432" t="s">
        <v>43</v>
      </c>
      <c r="AM1432" t="s">
        <v>43</v>
      </c>
      <c r="AN1432" t="str">
        <f>HYPERLINK("https://www.google.com/maps?q=11.0558691,79.06413269","Open Location")</f>
        <v>Open Location</v>
      </c>
    </row>
    <row r="1433" spans="1:40" x14ac:dyDescent="0.3">
      <c r="A1433" s="1">
        <v>46210.833912037036</v>
      </c>
      <c r="B1433" t="s">
        <v>40</v>
      </c>
      <c r="C1433" t="s">
        <v>41</v>
      </c>
      <c r="D1433" s="1">
        <v>46210.836631944447</v>
      </c>
      <c r="E1433" t="s">
        <v>42</v>
      </c>
      <c r="F1433" t="s">
        <v>43</v>
      </c>
      <c r="G1433" t="s">
        <v>43</v>
      </c>
      <c r="H1433" t="s">
        <v>43</v>
      </c>
      <c r="I1433" t="s">
        <v>697</v>
      </c>
      <c r="J1433" t="s">
        <v>43</v>
      </c>
      <c r="K1433" t="s">
        <v>43</v>
      </c>
      <c r="L1433" t="s">
        <v>43</v>
      </c>
      <c r="M1433" t="s">
        <v>43</v>
      </c>
      <c r="N1433" t="s">
        <v>45</v>
      </c>
      <c r="O1433" t="s">
        <v>43</v>
      </c>
      <c r="P1433" t="s">
        <v>43</v>
      </c>
      <c r="Q1433" t="s">
        <v>43</v>
      </c>
      <c r="R1433" t="s">
        <v>43</v>
      </c>
      <c r="S1433" t="s">
        <v>43</v>
      </c>
      <c r="T1433" t="s">
        <v>43</v>
      </c>
      <c r="U1433" t="s">
        <v>43</v>
      </c>
      <c r="V1433" t="s">
        <v>43</v>
      </c>
      <c r="W1433" t="s">
        <v>43</v>
      </c>
      <c r="X1433" t="s">
        <v>43</v>
      </c>
      <c r="Y1433" t="s">
        <v>43</v>
      </c>
      <c r="Z1433" t="s">
        <v>43</v>
      </c>
      <c r="AA1433" t="s">
        <v>43</v>
      </c>
      <c r="AB1433" t="s">
        <v>43</v>
      </c>
      <c r="AC1433" t="s">
        <v>43</v>
      </c>
      <c r="AD1433" t="s">
        <v>43</v>
      </c>
      <c r="AE1433" t="s">
        <v>43</v>
      </c>
      <c r="AF1433" t="s">
        <v>43</v>
      </c>
      <c r="AG1433" t="s">
        <v>43</v>
      </c>
      <c r="AH1433" t="s">
        <v>43</v>
      </c>
      <c r="AI1433" t="s">
        <v>43</v>
      </c>
      <c r="AJ1433" t="s">
        <v>43</v>
      </c>
      <c r="AK1433" t="s">
        <v>43</v>
      </c>
      <c r="AL1433" t="s">
        <v>43</v>
      </c>
      <c r="AM1433" t="s">
        <v>43</v>
      </c>
      <c r="AN1433" t="str">
        <f>HYPERLINK("https://www.google.com/maps?q=11.05586433,79.06414032","Open Location")</f>
        <v>Open Location</v>
      </c>
    </row>
    <row r="1434" spans="1:40" x14ac:dyDescent="0.3">
      <c r="A1434" s="1">
        <v>46210.833796296298</v>
      </c>
      <c r="B1434" t="s">
        <v>40</v>
      </c>
      <c r="C1434" t="s">
        <v>41</v>
      </c>
      <c r="D1434" s="1">
        <v>46210.836631944447</v>
      </c>
      <c r="E1434" t="s">
        <v>42</v>
      </c>
      <c r="F1434" t="s">
        <v>43</v>
      </c>
      <c r="G1434" t="s">
        <v>43</v>
      </c>
      <c r="H1434" t="s">
        <v>43</v>
      </c>
      <c r="I1434" t="s">
        <v>698</v>
      </c>
      <c r="J1434" t="s">
        <v>43</v>
      </c>
      <c r="K1434" t="s">
        <v>43</v>
      </c>
      <c r="L1434" t="s">
        <v>43</v>
      </c>
      <c r="M1434" t="s">
        <v>43</v>
      </c>
      <c r="N1434" t="s">
        <v>45</v>
      </c>
      <c r="O1434" t="s">
        <v>43</v>
      </c>
      <c r="P1434" t="s">
        <v>43</v>
      </c>
      <c r="Q1434" t="s">
        <v>43</v>
      </c>
      <c r="R1434" t="s">
        <v>43</v>
      </c>
      <c r="S1434" t="s">
        <v>43</v>
      </c>
      <c r="T1434" t="s">
        <v>43</v>
      </c>
      <c r="U1434" t="s">
        <v>43</v>
      </c>
      <c r="V1434" t="s">
        <v>43</v>
      </c>
      <c r="W1434" t="s">
        <v>43</v>
      </c>
      <c r="X1434" t="s">
        <v>43</v>
      </c>
      <c r="Y1434" t="s">
        <v>43</v>
      </c>
      <c r="Z1434" t="s">
        <v>43</v>
      </c>
      <c r="AA1434" t="s">
        <v>43</v>
      </c>
      <c r="AB1434" t="s">
        <v>43</v>
      </c>
      <c r="AC1434" t="s">
        <v>43</v>
      </c>
      <c r="AD1434" t="s">
        <v>43</v>
      </c>
      <c r="AE1434" t="s">
        <v>43</v>
      </c>
      <c r="AF1434" t="s">
        <v>43</v>
      </c>
      <c r="AG1434" t="s">
        <v>43</v>
      </c>
      <c r="AH1434" t="s">
        <v>43</v>
      </c>
      <c r="AI1434" t="s">
        <v>43</v>
      </c>
      <c r="AJ1434" t="s">
        <v>43</v>
      </c>
      <c r="AK1434" t="s">
        <v>43</v>
      </c>
      <c r="AL1434" t="s">
        <v>43</v>
      </c>
      <c r="AM1434" t="s">
        <v>43</v>
      </c>
      <c r="AN1434" t="str">
        <f>HYPERLINK("https://www.google.com/maps?q=11.05586338,79.06414032","Open Location")</f>
        <v>Open Location</v>
      </c>
    </row>
    <row r="1435" spans="1:40" x14ac:dyDescent="0.3">
      <c r="A1435" s="1">
        <v>46210.833680555559</v>
      </c>
      <c r="B1435" t="s">
        <v>40</v>
      </c>
      <c r="C1435" t="s">
        <v>41</v>
      </c>
      <c r="D1435" s="1">
        <v>46210.836504629631</v>
      </c>
      <c r="E1435" t="s">
        <v>42</v>
      </c>
      <c r="F1435" t="s">
        <v>43</v>
      </c>
      <c r="G1435" t="s">
        <v>43</v>
      </c>
      <c r="H1435" t="s">
        <v>43</v>
      </c>
      <c r="I1435" t="s">
        <v>699</v>
      </c>
      <c r="J1435" t="s">
        <v>43</v>
      </c>
      <c r="K1435" t="s">
        <v>43</v>
      </c>
      <c r="L1435" t="s">
        <v>43</v>
      </c>
      <c r="M1435" t="s">
        <v>43</v>
      </c>
      <c r="N1435" t="s">
        <v>45</v>
      </c>
      <c r="O1435" t="s">
        <v>43</v>
      </c>
      <c r="P1435" t="s">
        <v>43</v>
      </c>
      <c r="Q1435" t="s">
        <v>43</v>
      </c>
      <c r="R1435" t="s">
        <v>43</v>
      </c>
      <c r="S1435" t="s">
        <v>43</v>
      </c>
      <c r="T1435" t="s">
        <v>43</v>
      </c>
      <c r="U1435" t="s">
        <v>43</v>
      </c>
      <c r="V1435" t="s">
        <v>43</v>
      </c>
      <c r="W1435" t="s">
        <v>43</v>
      </c>
      <c r="X1435" t="s">
        <v>43</v>
      </c>
      <c r="Y1435" t="s">
        <v>43</v>
      </c>
      <c r="Z1435" t="s">
        <v>43</v>
      </c>
      <c r="AA1435" t="s">
        <v>43</v>
      </c>
      <c r="AB1435" t="s">
        <v>43</v>
      </c>
      <c r="AC1435" t="s">
        <v>43</v>
      </c>
      <c r="AD1435" t="s">
        <v>43</v>
      </c>
      <c r="AE1435" t="s">
        <v>43</v>
      </c>
      <c r="AF1435" t="s">
        <v>43</v>
      </c>
      <c r="AG1435" t="s">
        <v>43</v>
      </c>
      <c r="AH1435" t="s">
        <v>43</v>
      </c>
      <c r="AI1435" t="s">
        <v>43</v>
      </c>
      <c r="AJ1435" t="s">
        <v>43</v>
      </c>
      <c r="AK1435" t="s">
        <v>43</v>
      </c>
      <c r="AL1435" t="s">
        <v>43</v>
      </c>
      <c r="AM1435" t="s">
        <v>43</v>
      </c>
      <c r="AN1435" t="str">
        <f>HYPERLINK("https://www.google.com/maps?q=11.05586529,79.06413269","Open Location")</f>
        <v>Open Location</v>
      </c>
    </row>
    <row r="1436" spans="1:40" x14ac:dyDescent="0.3">
      <c r="A1436" s="1">
        <v>46210.833564814813</v>
      </c>
      <c r="B1436" t="s">
        <v>40</v>
      </c>
      <c r="C1436" t="s">
        <v>41</v>
      </c>
      <c r="D1436" s="1">
        <v>46210.836388888885</v>
      </c>
      <c r="E1436" t="s">
        <v>42</v>
      </c>
      <c r="F1436" t="s">
        <v>43</v>
      </c>
      <c r="G1436" t="s">
        <v>43</v>
      </c>
      <c r="H1436" t="s">
        <v>43</v>
      </c>
      <c r="I1436" t="s">
        <v>43</v>
      </c>
      <c r="J1436" t="s">
        <v>43</v>
      </c>
      <c r="K1436" t="s">
        <v>43</v>
      </c>
      <c r="L1436" t="s">
        <v>43</v>
      </c>
      <c r="M1436" t="s">
        <v>43</v>
      </c>
      <c r="N1436" t="s">
        <v>45</v>
      </c>
      <c r="O1436" t="s">
        <v>43</v>
      </c>
      <c r="P1436" t="s">
        <v>43</v>
      </c>
      <c r="Q1436" t="s">
        <v>43</v>
      </c>
      <c r="R1436" t="s">
        <v>43</v>
      </c>
      <c r="S1436" t="s">
        <v>43</v>
      </c>
      <c r="T1436" t="s">
        <v>43</v>
      </c>
      <c r="U1436" t="s">
        <v>43</v>
      </c>
      <c r="V1436" t="s">
        <v>43</v>
      </c>
      <c r="W1436" t="s">
        <v>43</v>
      </c>
      <c r="X1436" t="s">
        <v>43</v>
      </c>
      <c r="Y1436" t="s">
        <v>43</v>
      </c>
      <c r="Z1436" t="s">
        <v>43</v>
      </c>
      <c r="AA1436" t="s">
        <v>43</v>
      </c>
      <c r="AB1436" t="s">
        <v>43</v>
      </c>
      <c r="AC1436" t="s">
        <v>43</v>
      </c>
      <c r="AD1436" t="s">
        <v>43</v>
      </c>
      <c r="AE1436" t="s">
        <v>43</v>
      </c>
      <c r="AF1436" t="s">
        <v>43</v>
      </c>
      <c r="AG1436" t="s">
        <v>43</v>
      </c>
      <c r="AH1436" t="s">
        <v>43</v>
      </c>
      <c r="AI1436" t="s">
        <v>43</v>
      </c>
      <c r="AJ1436" t="s">
        <v>43</v>
      </c>
      <c r="AK1436" t="s">
        <v>43</v>
      </c>
      <c r="AL1436" t="s">
        <v>43</v>
      </c>
      <c r="AM1436" t="s">
        <v>43</v>
      </c>
      <c r="AN1436" t="s">
        <v>43</v>
      </c>
    </row>
    <row r="1437" spans="1:40" x14ac:dyDescent="0.3">
      <c r="A1437" s="1">
        <v>46210.833449074074</v>
      </c>
      <c r="B1437" t="s">
        <v>40</v>
      </c>
      <c r="C1437" t="s">
        <v>41</v>
      </c>
      <c r="D1437" s="1">
        <v>46210.836261574077</v>
      </c>
      <c r="E1437" t="s">
        <v>42</v>
      </c>
      <c r="F1437" t="s">
        <v>43</v>
      </c>
      <c r="G1437" t="s">
        <v>43</v>
      </c>
      <c r="H1437" t="s">
        <v>43</v>
      </c>
      <c r="I1437" t="s">
        <v>700</v>
      </c>
      <c r="J1437" t="s">
        <v>43</v>
      </c>
      <c r="K1437" t="s">
        <v>43</v>
      </c>
      <c r="L1437" t="s">
        <v>43</v>
      </c>
      <c r="M1437" t="s">
        <v>43</v>
      </c>
      <c r="N1437" t="s">
        <v>45</v>
      </c>
      <c r="O1437" t="s">
        <v>43</v>
      </c>
      <c r="P1437" t="s">
        <v>43</v>
      </c>
      <c r="Q1437" t="s">
        <v>43</v>
      </c>
      <c r="R1437" t="s">
        <v>43</v>
      </c>
      <c r="S1437" t="s">
        <v>43</v>
      </c>
      <c r="T1437" t="s">
        <v>43</v>
      </c>
      <c r="U1437" t="s">
        <v>43</v>
      </c>
      <c r="V1437" t="s">
        <v>43</v>
      </c>
      <c r="W1437" t="s">
        <v>43</v>
      </c>
      <c r="X1437" t="s">
        <v>43</v>
      </c>
      <c r="Y1437" t="s">
        <v>43</v>
      </c>
      <c r="Z1437" t="s">
        <v>43</v>
      </c>
      <c r="AA1437" t="s">
        <v>43</v>
      </c>
      <c r="AB1437" t="s">
        <v>43</v>
      </c>
      <c r="AC1437" t="s">
        <v>43</v>
      </c>
      <c r="AD1437" t="s">
        <v>43</v>
      </c>
      <c r="AE1437" t="s">
        <v>43</v>
      </c>
      <c r="AF1437" t="s">
        <v>43</v>
      </c>
      <c r="AG1437" t="s">
        <v>43</v>
      </c>
      <c r="AH1437" t="s">
        <v>43</v>
      </c>
      <c r="AI1437" t="s">
        <v>43</v>
      </c>
      <c r="AJ1437" t="s">
        <v>43</v>
      </c>
      <c r="AK1437" t="s">
        <v>43</v>
      </c>
      <c r="AL1437" t="s">
        <v>43</v>
      </c>
      <c r="AM1437" t="s">
        <v>43</v>
      </c>
      <c r="AN1437" t="str">
        <f>HYPERLINK("https://www.google.com/maps?q=11.0558672,79.06413269","Open Location")</f>
        <v>Open Location</v>
      </c>
    </row>
    <row r="1438" spans="1:40" x14ac:dyDescent="0.3">
      <c r="A1438" s="1">
        <v>46210.833333333336</v>
      </c>
      <c r="B1438" t="s">
        <v>40</v>
      </c>
      <c r="C1438" t="s">
        <v>41</v>
      </c>
      <c r="D1438" s="1">
        <v>46210.836388888885</v>
      </c>
      <c r="E1438" t="s">
        <v>42</v>
      </c>
      <c r="F1438" t="s">
        <v>43</v>
      </c>
      <c r="G1438" t="s">
        <v>43</v>
      </c>
      <c r="H1438" t="s">
        <v>43</v>
      </c>
      <c r="I1438" t="s">
        <v>701</v>
      </c>
      <c r="J1438" t="s">
        <v>43</v>
      </c>
      <c r="K1438" t="s">
        <v>43</v>
      </c>
      <c r="L1438" t="s">
        <v>43</v>
      </c>
      <c r="M1438" t="s">
        <v>43</v>
      </c>
      <c r="N1438" t="s">
        <v>45</v>
      </c>
      <c r="O1438" t="s">
        <v>43</v>
      </c>
      <c r="P1438" t="s">
        <v>43</v>
      </c>
      <c r="Q1438" t="s">
        <v>43</v>
      </c>
      <c r="R1438" t="s">
        <v>43</v>
      </c>
      <c r="S1438" t="s">
        <v>43</v>
      </c>
      <c r="T1438" t="s">
        <v>43</v>
      </c>
      <c r="U1438" t="s">
        <v>43</v>
      </c>
      <c r="V1438" t="s">
        <v>43</v>
      </c>
      <c r="W1438" t="s">
        <v>43</v>
      </c>
      <c r="X1438" t="s">
        <v>43</v>
      </c>
      <c r="Y1438" t="s">
        <v>43</v>
      </c>
      <c r="Z1438" t="s">
        <v>43</v>
      </c>
      <c r="AA1438" t="s">
        <v>43</v>
      </c>
      <c r="AB1438" t="s">
        <v>43</v>
      </c>
      <c r="AC1438" t="s">
        <v>43</v>
      </c>
      <c r="AD1438" t="s">
        <v>43</v>
      </c>
      <c r="AE1438" t="s">
        <v>43</v>
      </c>
      <c r="AF1438" t="s">
        <v>43</v>
      </c>
      <c r="AG1438" t="s">
        <v>43</v>
      </c>
      <c r="AH1438" t="s">
        <v>43</v>
      </c>
      <c r="AI1438" t="s">
        <v>43</v>
      </c>
      <c r="AJ1438" t="s">
        <v>43</v>
      </c>
      <c r="AK1438" t="s">
        <v>43</v>
      </c>
      <c r="AL1438" t="s">
        <v>43</v>
      </c>
      <c r="AM1438" t="s">
        <v>43</v>
      </c>
      <c r="AN1438" t="str">
        <f>HYPERLINK("https://www.google.com/maps?q=11.05586624,79.06412506","Open Location")</f>
        <v>Open Location</v>
      </c>
    </row>
    <row r="1439" spans="1:40" x14ac:dyDescent="0.3">
      <c r="A1439" s="1">
        <v>46210.83321759259</v>
      </c>
      <c r="B1439" t="s">
        <v>40</v>
      </c>
      <c r="C1439" t="s">
        <v>41</v>
      </c>
      <c r="D1439" s="1">
        <v>46210.836134259262</v>
      </c>
      <c r="E1439" t="s">
        <v>42</v>
      </c>
      <c r="F1439" t="s">
        <v>43</v>
      </c>
      <c r="G1439" t="s">
        <v>43</v>
      </c>
      <c r="H1439" t="s">
        <v>43</v>
      </c>
      <c r="I1439" t="s">
        <v>702</v>
      </c>
      <c r="J1439" t="s">
        <v>43</v>
      </c>
      <c r="K1439" t="s">
        <v>43</v>
      </c>
      <c r="L1439" t="s">
        <v>43</v>
      </c>
      <c r="M1439" t="s">
        <v>43</v>
      </c>
      <c r="N1439" t="s">
        <v>45</v>
      </c>
      <c r="O1439" t="s">
        <v>43</v>
      </c>
      <c r="P1439" t="s">
        <v>43</v>
      </c>
      <c r="Q1439" t="s">
        <v>43</v>
      </c>
      <c r="R1439" t="s">
        <v>43</v>
      </c>
      <c r="S1439" t="s">
        <v>43</v>
      </c>
      <c r="T1439" t="s">
        <v>43</v>
      </c>
      <c r="U1439" t="s">
        <v>43</v>
      </c>
      <c r="V1439" t="s">
        <v>43</v>
      </c>
      <c r="W1439" t="s">
        <v>43</v>
      </c>
      <c r="X1439" t="s">
        <v>43</v>
      </c>
      <c r="Y1439" t="s">
        <v>43</v>
      </c>
      <c r="Z1439" t="s">
        <v>43</v>
      </c>
      <c r="AA1439" t="s">
        <v>43</v>
      </c>
      <c r="AB1439" t="s">
        <v>43</v>
      </c>
      <c r="AC1439" t="s">
        <v>43</v>
      </c>
      <c r="AD1439" t="s">
        <v>43</v>
      </c>
      <c r="AE1439" t="s">
        <v>43</v>
      </c>
      <c r="AF1439" t="s">
        <v>43</v>
      </c>
      <c r="AG1439" t="s">
        <v>43</v>
      </c>
      <c r="AH1439" t="s">
        <v>43</v>
      </c>
      <c r="AI1439" t="s">
        <v>43</v>
      </c>
      <c r="AJ1439" t="s">
        <v>43</v>
      </c>
      <c r="AK1439" t="s">
        <v>43</v>
      </c>
      <c r="AL1439" t="s">
        <v>43</v>
      </c>
      <c r="AM1439" t="s">
        <v>43</v>
      </c>
      <c r="AN1439" t="str">
        <f>HYPERLINK("https://www.google.com/maps?q=11.05586433,79.06412506","Open Location")</f>
        <v>Open Location</v>
      </c>
    </row>
    <row r="1440" spans="1:40" x14ac:dyDescent="0.3">
      <c r="A1440" s="1">
        <v>46210.833101851851</v>
      </c>
      <c r="B1440" t="s">
        <v>40</v>
      </c>
      <c r="C1440" t="s">
        <v>41</v>
      </c>
      <c r="D1440" s="1">
        <v>46210.836122685185</v>
      </c>
      <c r="E1440" t="s">
        <v>42</v>
      </c>
      <c r="F1440" t="s">
        <v>43</v>
      </c>
      <c r="G1440" t="s">
        <v>43</v>
      </c>
      <c r="H1440" t="s">
        <v>43</v>
      </c>
      <c r="I1440" t="s">
        <v>703</v>
      </c>
      <c r="J1440" t="s">
        <v>43</v>
      </c>
      <c r="K1440" t="s">
        <v>43</v>
      </c>
      <c r="L1440" t="s">
        <v>43</v>
      </c>
      <c r="M1440" t="s">
        <v>43</v>
      </c>
      <c r="N1440" t="s">
        <v>45</v>
      </c>
      <c r="O1440" t="s">
        <v>43</v>
      </c>
      <c r="P1440" t="s">
        <v>43</v>
      </c>
      <c r="Q1440" t="s">
        <v>43</v>
      </c>
      <c r="R1440" t="s">
        <v>43</v>
      </c>
      <c r="S1440" t="s">
        <v>43</v>
      </c>
      <c r="T1440" t="s">
        <v>43</v>
      </c>
      <c r="U1440" t="s">
        <v>43</v>
      </c>
      <c r="V1440" t="s">
        <v>43</v>
      </c>
      <c r="W1440" t="s">
        <v>43</v>
      </c>
      <c r="X1440" t="s">
        <v>43</v>
      </c>
      <c r="Y1440" t="s">
        <v>43</v>
      </c>
      <c r="Z1440" t="s">
        <v>43</v>
      </c>
      <c r="AA1440" t="s">
        <v>43</v>
      </c>
      <c r="AB1440" t="s">
        <v>43</v>
      </c>
      <c r="AC1440" t="s">
        <v>43</v>
      </c>
      <c r="AD1440" t="s">
        <v>43</v>
      </c>
      <c r="AE1440" t="s">
        <v>43</v>
      </c>
      <c r="AF1440" t="s">
        <v>43</v>
      </c>
      <c r="AG1440" t="s">
        <v>43</v>
      </c>
      <c r="AH1440" t="s">
        <v>43</v>
      </c>
      <c r="AI1440" t="s">
        <v>43</v>
      </c>
      <c r="AJ1440" t="s">
        <v>43</v>
      </c>
      <c r="AK1440" t="s">
        <v>43</v>
      </c>
      <c r="AL1440" t="s">
        <v>43</v>
      </c>
      <c r="AM1440" t="s">
        <v>43</v>
      </c>
      <c r="AN1440" t="str">
        <f>HYPERLINK("https://www.google.com/maps?q=11.05585861,79.06413269","Open Location")</f>
        <v>Open Location</v>
      </c>
    </row>
    <row r="1441" spans="1:40" x14ac:dyDescent="0.3">
      <c r="A1441" s="1">
        <v>46210.832986111112</v>
      </c>
      <c r="B1441" t="s">
        <v>40</v>
      </c>
      <c r="C1441" t="s">
        <v>41</v>
      </c>
      <c r="D1441" s="1">
        <v>46210.835972222223</v>
      </c>
      <c r="E1441" t="s">
        <v>42</v>
      </c>
      <c r="F1441" t="s">
        <v>43</v>
      </c>
      <c r="G1441" t="s">
        <v>43</v>
      </c>
      <c r="H1441" t="s">
        <v>43</v>
      </c>
      <c r="I1441" t="s">
        <v>43</v>
      </c>
      <c r="J1441" t="s">
        <v>43</v>
      </c>
      <c r="K1441" t="s">
        <v>43</v>
      </c>
      <c r="L1441" t="s">
        <v>43</v>
      </c>
      <c r="M1441" t="s">
        <v>43</v>
      </c>
      <c r="N1441" t="s">
        <v>45</v>
      </c>
      <c r="O1441" t="s">
        <v>43</v>
      </c>
      <c r="P1441" t="s">
        <v>43</v>
      </c>
      <c r="Q1441" t="s">
        <v>43</v>
      </c>
      <c r="R1441" t="s">
        <v>43</v>
      </c>
      <c r="S1441" t="s">
        <v>43</v>
      </c>
      <c r="T1441" t="s">
        <v>43</v>
      </c>
      <c r="U1441" t="s">
        <v>43</v>
      </c>
      <c r="V1441" t="s">
        <v>43</v>
      </c>
      <c r="W1441" t="s">
        <v>43</v>
      </c>
      <c r="X1441" t="s">
        <v>43</v>
      </c>
      <c r="Y1441" t="s">
        <v>43</v>
      </c>
      <c r="Z1441" t="s">
        <v>43</v>
      </c>
      <c r="AA1441" t="s">
        <v>43</v>
      </c>
      <c r="AB1441" t="s">
        <v>43</v>
      </c>
      <c r="AC1441" t="s">
        <v>43</v>
      </c>
      <c r="AD1441" t="s">
        <v>43</v>
      </c>
      <c r="AE1441" t="s">
        <v>43</v>
      </c>
      <c r="AF1441" t="s">
        <v>43</v>
      </c>
      <c r="AG1441" t="s">
        <v>43</v>
      </c>
      <c r="AH1441" t="s">
        <v>43</v>
      </c>
      <c r="AI1441" t="s">
        <v>43</v>
      </c>
      <c r="AJ1441" t="s">
        <v>43</v>
      </c>
      <c r="AK1441" t="s">
        <v>43</v>
      </c>
      <c r="AL1441" t="s">
        <v>43</v>
      </c>
      <c r="AM1441" t="s">
        <v>43</v>
      </c>
      <c r="AN1441" t="s">
        <v>43</v>
      </c>
    </row>
    <row r="1442" spans="1:40" x14ac:dyDescent="0.3">
      <c r="A1442" s="1">
        <v>46210.832870370374</v>
      </c>
      <c r="B1442" t="s">
        <v>40</v>
      </c>
      <c r="C1442" t="s">
        <v>41</v>
      </c>
      <c r="D1442" s="1">
        <v>46210.836053240739</v>
      </c>
      <c r="E1442" t="s">
        <v>42</v>
      </c>
      <c r="F1442" t="s">
        <v>43</v>
      </c>
      <c r="G1442" t="s">
        <v>43</v>
      </c>
      <c r="H1442" t="s">
        <v>43</v>
      </c>
      <c r="I1442" t="s">
        <v>704</v>
      </c>
      <c r="J1442" t="s">
        <v>43</v>
      </c>
      <c r="K1442" t="s">
        <v>43</v>
      </c>
      <c r="L1442" t="s">
        <v>43</v>
      </c>
      <c r="M1442" t="s">
        <v>43</v>
      </c>
      <c r="N1442" t="s">
        <v>45</v>
      </c>
      <c r="O1442" t="s">
        <v>43</v>
      </c>
      <c r="P1442" t="s">
        <v>43</v>
      </c>
      <c r="Q1442" t="s">
        <v>43</v>
      </c>
      <c r="R1442" t="s">
        <v>43</v>
      </c>
      <c r="S1442" t="s">
        <v>43</v>
      </c>
      <c r="T1442" t="s">
        <v>43</v>
      </c>
      <c r="U1442" t="s">
        <v>43</v>
      </c>
      <c r="V1442" t="s">
        <v>43</v>
      </c>
      <c r="W1442" t="s">
        <v>43</v>
      </c>
      <c r="X1442" t="s">
        <v>43</v>
      </c>
      <c r="Y1442" t="s">
        <v>43</v>
      </c>
      <c r="Z1442" t="s">
        <v>43</v>
      </c>
      <c r="AA1442" t="s">
        <v>43</v>
      </c>
      <c r="AB1442" t="s">
        <v>43</v>
      </c>
      <c r="AC1442" t="s">
        <v>43</v>
      </c>
      <c r="AD1442" t="s">
        <v>43</v>
      </c>
      <c r="AE1442" t="s">
        <v>43</v>
      </c>
      <c r="AF1442" t="s">
        <v>43</v>
      </c>
      <c r="AG1442" t="s">
        <v>43</v>
      </c>
      <c r="AH1442" t="s">
        <v>43</v>
      </c>
      <c r="AI1442" t="s">
        <v>43</v>
      </c>
      <c r="AJ1442" t="s">
        <v>43</v>
      </c>
      <c r="AK1442" t="s">
        <v>43</v>
      </c>
      <c r="AL1442" t="s">
        <v>43</v>
      </c>
      <c r="AM1442" t="s">
        <v>43</v>
      </c>
      <c r="AN1442" t="str">
        <f>HYPERLINK("https://www.google.com/maps?q=11.05585957,79.06413269","Open Location")</f>
        <v>Open Location</v>
      </c>
    </row>
    <row r="1443" spans="1:40" x14ac:dyDescent="0.3">
      <c r="A1443" s="1">
        <v>46210.832754629628</v>
      </c>
      <c r="B1443" t="s">
        <v>40</v>
      </c>
      <c r="C1443" t="s">
        <v>41</v>
      </c>
      <c r="D1443" s="1">
        <v>46210.835590277777</v>
      </c>
      <c r="E1443" t="s">
        <v>42</v>
      </c>
      <c r="F1443" t="s">
        <v>43</v>
      </c>
      <c r="G1443" t="s">
        <v>43</v>
      </c>
      <c r="H1443" t="s">
        <v>43</v>
      </c>
      <c r="I1443" t="s">
        <v>702</v>
      </c>
      <c r="J1443" t="s">
        <v>43</v>
      </c>
      <c r="K1443" t="s">
        <v>43</v>
      </c>
      <c r="L1443" t="s">
        <v>43</v>
      </c>
      <c r="M1443" t="s">
        <v>43</v>
      </c>
      <c r="N1443" t="s">
        <v>45</v>
      </c>
      <c r="O1443" t="s">
        <v>43</v>
      </c>
      <c r="P1443" t="s">
        <v>43</v>
      </c>
      <c r="Q1443" t="s">
        <v>43</v>
      </c>
      <c r="R1443" t="s">
        <v>43</v>
      </c>
      <c r="S1443" t="s">
        <v>43</v>
      </c>
      <c r="T1443" t="s">
        <v>43</v>
      </c>
      <c r="U1443" t="s">
        <v>43</v>
      </c>
      <c r="V1443" t="s">
        <v>43</v>
      </c>
      <c r="W1443" t="s">
        <v>43</v>
      </c>
      <c r="X1443" t="s">
        <v>43</v>
      </c>
      <c r="Y1443" t="s">
        <v>43</v>
      </c>
      <c r="Z1443" t="s">
        <v>43</v>
      </c>
      <c r="AA1443" t="s">
        <v>43</v>
      </c>
      <c r="AB1443" t="s">
        <v>43</v>
      </c>
      <c r="AC1443" t="s">
        <v>43</v>
      </c>
      <c r="AD1443" t="s">
        <v>43</v>
      </c>
      <c r="AE1443" t="s">
        <v>43</v>
      </c>
      <c r="AF1443" t="s">
        <v>43</v>
      </c>
      <c r="AG1443" t="s">
        <v>43</v>
      </c>
      <c r="AH1443" t="s">
        <v>43</v>
      </c>
      <c r="AI1443" t="s">
        <v>43</v>
      </c>
      <c r="AJ1443" t="s">
        <v>43</v>
      </c>
      <c r="AK1443" t="s">
        <v>43</v>
      </c>
      <c r="AL1443" t="s">
        <v>43</v>
      </c>
      <c r="AM1443" t="s">
        <v>43</v>
      </c>
      <c r="AN1443" t="str">
        <f>HYPERLINK("https://www.google.com/maps?q=11.05586433,79.06412506","Open Location")</f>
        <v>Open Location</v>
      </c>
    </row>
    <row r="1444" spans="1:40" x14ac:dyDescent="0.3">
      <c r="A1444" s="1">
        <v>46210.832638888889</v>
      </c>
      <c r="B1444" t="s">
        <v>40</v>
      </c>
      <c r="C1444" t="s">
        <v>41</v>
      </c>
      <c r="D1444" s="1">
        <v>46210.835706018515</v>
      </c>
      <c r="E1444" t="s">
        <v>42</v>
      </c>
      <c r="F1444" t="s">
        <v>43</v>
      </c>
      <c r="G1444" t="s">
        <v>43</v>
      </c>
      <c r="H1444" t="s">
        <v>43</v>
      </c>
      <c r="I1444" t="s">
        <v>705</v>
      </c>
      <c r="J1444" t="s">
        <v>43</v>
      </c>
      <c r="K1444" t="s">
        <v>43</v>
      </c>
      <c r="L1444" t="s">
        <v>43</v>
      </c>
      <c r="M1444" t="s">
        <v>43</v>
      </c>
      <c r="N1444" t="s">
        <v>45</v>
      </c>
      <c r="O1444" t="s">
        <v>43</v>
      </c>
      <c r="P1444" t="s">
        <v>43</v>
      </c>
      <c r="Q1444" t="s">
        <v>43</v>
      </c>
      <c r="R1444" t="s">
        <v>43</v>
      </c>
      <c r="S1444" t="s">
        <v>43</v>
      </c>
      <c r="T1444" t="s">
        <v>43</v>
      </c>
      <c r="U1444" t="s">
        <v>43</v>
      </c>
      <c r="V1444" t="s">
        <v>43</v>
      </c>
      <c r="W1444" t="s">
        <v>43</v>
      </c>
      <c r="X1444" t="s">
        <v>43</v>
      </c>
      <c r="Y1444" t="s">
        <v>43</v>
      </c>
      <c r="Z1444" t="s">
        <v>43</v>
      </c>
      <c r="AA1444" t="s">
        <v>43</v>
      </c>
      <c r="AB1444" t="s">
        <v>43</v>
      </c>
      <c r="AC1444" t="s">
        <v>43</v>
      </c>
      <c r="AD1444" t="s">
        <v>43</v>
      </c>
      <c r="AE1444" t="s">
        <v>43</v>
      </c>
      <c r="AF1444" t="s">
        <v>43</v>
      </c>
      <c r="AG1444" t="s">
        <v>43</v>
      </c>
      <c r="AH1444" t="s">
        <v>43</v>
      </c>
      <c r="AI1444" t="s">
        <v>43</v>
      </c>
      <c r="AJ1444" t="s">
        <v>43</v>
      </c>
      <c r="AK1444" t="s">
        <v>43</v>
      </c>
      <c r="AL1444" t="s">
        <v>43</v>
      </c>
      <c r="AM1444" t="s">
        <v>43</v>
      </c>
      <c r="AN1444" t="str">
        <f>HYPERLINK("https://www.google.com/maps?q=11.05586338,79.06412506","Open Location")</f>
        <v>Open Location</v>
      </c>
    </row>
    <row r="1445" spans="1:40" x14ac:dyDescent="0.3">
      <c r="A1445" s="1">
        <v>46210.83252314815</v>
      </c>
      <c r="B1445" t="s">
        <v>40</v>
      </c>
      <c r="C1445" t="s">
        <v>41</v>
      </c>
      <c r="D1445" s="1">
        <v>46210.835555555554</v>
      </c>
      <c r="E1445" t="s">
        <v>42</v>
      </c>
      <c r="F1445" t="s">
        <v>43</v>
      </c>
      <c r="G1445" t="s">
        <v>43</v>
      </c>
      <c r="H1445" t="s">
        <v>43</v>
      </c>
      <c r="I1445" t="s">
        <v>706</v>
      </c>
      <c r="J1445" t="s">
        <v>43</v>
      </c>
      <c r="K1445" t="s">
        <v>43</v>
      </c>
      <c r="L1445" t="s">
        <v>43</v>
      </c>
      <c r="M1445" t="s">
        <v>43</v>
      </c>
      <c r="N1445" t="s">
        <v>45</v>
      </c>
      <c r="O1445" t="s">
        <v>43</v>
      </c>
      <c r="P1445" t="s">
        <v>43</v>
      </c>
      <c r="Q1445" t="s">
        <v>43</v>
      </c>
      <c r="R1445" t="s">
        <v>43</v>
      </c>
      <c r="S1445" t="s">
        <v>43</v>
      </c>
      <c r="T1445" t="s">
        <v>43</v>
      </c>
      <c r="U1445" t="s">
        <v>43</v>
      </c>
      <c r="V1445" t="s">
        <v>43</v>
      </c>
      <c r="W1445" t="s">
        <v>43</v>
      </c>
      <c r="X1445" t="s">
        <v>43</v>
      </c>
      <c r="Y1445" t="s">
        <v>43</v>
      </c>
      <c r="Z1445" t="s">
        <v>43</v>
      </c>
      <c r="AA1445" t="s">
        <v>43</v>
      </c>
      <c r="AB1445" t="s">
        <v>43</v>
      </c>
      <c r="AC1445" t="s">
        <v>43</v>
      </c>
      <c r="AD1445" t="s">
        <v>43</v>
      </c>
      <c r="AE1445" t="s">
        <v>43</v>
      </c>
      <c r="AF1445" t="s">
        <v>43</v>
      </c>
      <c r="AG1445" t="s">
        <v>43</v>
      </c>
      <c r="AH1445" t="s">
        <v>43</v>
      </c>
      <c r="AI1445" t="s">
        <v>43</v>
      </c>
      <c r="AJ1445" t="s">
        <v>43</v>
      </c>
      <c r="AK1445" t="s">
        <v>43</v>
      </c>
      <c r="AL1445" t="s">
        <v>43</v>
      </c>
      <c r="AM1445" t="s">
        <v>43</v>
      </c>
      <c r="AN1445" t="str">
        <f>HYPERLINK("https://www.google.com/maps?q=11.05585957,79.06412506","Open Location")</f>
        <v>Open Location</v>
      </c>
    </row>
    <row r="1446" spans="1:40" x14ac:dyDescent="0.3">
      <c r="A1446" s="1">
        <v>46210.832407407404</v>
      </c>
      <c r="B1446" t="s">
        <v>40</v>
      </c>
      <c r="C1446" t="s">
        <v>41</v>
      </c>
      <c r="D1446" s="1">
        <v>46210.835381944446</v>
      </c>
      <c r="E1446" t="s">
        <v>42</v>
      </c>
      <c r="F1446" t="s">
        <v>43</v>
      </c>
      <c r="G1446" t="s">
        <v>43</v>
      </c>
      <c r="H1446" t="s">
        <v>43</v>
      </c>
      <c r="I1446" t="s">
        <v>707</v>
      </c>
      <c r="J1446" t="s">
        <v>43</v>
      </c>
      <c r="K1446" t="s">
        <v>43</v>
      </c>
      <c r="L1446" t="s">
        <v>43</v>
      </c>
      <c r="M1446" t="s">
        <v>43</v>
      </c>
      <c r="N1446" t="s">
        <v>45</v>
      </c>
      <c r="O1446" t="s">
        <v>43</v>
      </c>
      <c r="P1446" t="s">
        <v>43</v>
      </c>
      <c r="Q1446" t="s">
        <v>43</v>
      </c>
      <c r="R1446" t="s">
        <v>43</v>
      </c>
      <c r="S1446" t="s">
        <v>43</v>
      </c>
      <c r="T1446" t="s">
        <v>43</v>
      </c>
      <c r="U1446" t="s">
        <v>43</v>
      </c>
      <c r="V1446" t="s">
        <v>43</v>
      </c>
      <c r="W1446" t="s">
        <v>43</v>
      </c>
      <c r="X1446" t="s">
        <v>43</v>
      </c>
      <c r="Y1446" t="s">
        <v>43</v>
      </c>
      <c r="Z1446" t="s">
        <v>43</v>
      </c>
      <c r="AA1446" t="s">
        <v>43</v>
      </c>
      <c r="AB1446" t="s">
        <v>43</v>
      </c>
      <c r="AC1446" t="s">
        <v>43</v>
      </c>
      <c r="AD1446" t="s">
        <v>43</v>
      </c>
      <c r="AE1446" t="s">
        <v>43</v>
      </c>
      <c r="AF1446" t="s">
        <v>43</v>
      </c>
      <c r="AG1446" t="s">
        <v>43</v>
      </c>
      <c r="AH1446" t="s">
        <v>43</v>
      </c>
      <c r="AI1446" t="s">
        <v>43</v>
      </c>
      <c r="AJ1446" t="s">
        <v>43</v>
      </c>
      <c r="AK1446" t="s">
        <v>43</v>
      </c>
      <c r="AL1446" t="s">
        <v>43</v>
      </c>
      <c r="AM1446" t="s">
        <v>43</v>
      </c>
      <c r="AN1446" t="str">
        <f>HYPERLINK("https://www.google.com/maps?q=11.05585957,79.06411743","Open Location")</f>
        <v>Open Location</v>
      </c>
    </row>
    <row r="1447" spans="1:40" x14ac:dyDescent="0.3">
      <c r="A1447" s="1">
        <v>46210.832291666666</v>
      </c>
      <c r="B1447" t="s">
        <v>40</v>
      </c>
      <c r="C1447" t="s">
        <v>41</v>
      </c>
      <c r="D1447" s="1">
        <v>46210.835011574076</v>
      </c>
      <c r="E1447" t="s">
        <v>42</v>
      </c>
      <c r="F1447" t="s">
        <v>43</v>
      </c>
      <c r="G1447" t="s">
        <v>43</v>
      </c>
      <c r="H1447" t="s">
        <v>43</v>
      </c>
      <c r="I1447" t="s">
        <v>43</v>
      </c>
      <c r="J1447" t="s">
        <v>43</v>
      </c>
      <c r="K1447" t="s">
        <v>43</v>
      </c>
      <c r="L1447" t="s">
        <v>43</v>
      </c>
      <c r="M1447" t="s">
        <v>43</v>
      </c>
      <c r="N1447" t="s">
        <v>45</v>
      </c>
      <c r="O1447" t="s">
        <v>43</v>
      </c>
      <c r="P1447" t="s">
        <v>43</v>
      </c>
      <c r="Q1447" t="s">
        <v>43</v>
      </c>
      <c r="R1447" t="s">
        <v>43</v>
      </c>
      <c r="S1447" t="s">
        <v>43</v>
      </c>
      <c r="T1447" t="s">
        <v>43</v>
      </c>
      <c r="U1447" t="s">
        <v>43</v>
      </c>
      <c r="V1447" t="s">
        <v>43</v>
      </c>
      <c r="W1447" t="s">
        <v>43</v>
      </c>
      <c r="X1447" t="s">
        <v>43</v>
      </c>
      <c r="Y1447" t="s">
        <v>43</v>
      </c>
      <c r="Z1447" t="s">
        <v>43</v>
      </c>
      <c r="AA1447" t="s">
        <v>43</v>
      </c>
      <c r="AB1447" t="s">
        <v>43</v>
      </c>
      <c r="AC1447" t="s">
        <v>43</v>
      </c>
      <c r="AD1447" t="s">
        <v>43</v>
      </c>
      <c r="AE1447" t="s">
        <v>43</v>
      </c>
      <c r="AF1447" t="s">
        <v>43</v>
      </c>
      <c r="AG1447" t="s">
        <v>43</v>
      </c>
      <c r="AH1447" t="s">
        <v>43</v>
      </c>
      <c r="AI1447" t="s">
        <v>43</v>
      </c>
      <c r="AJ1447" t="s">
        <v>43</v>
      </c>
      <c r="AK1447" t="s">
        <v>43</v>
      </c>
      <c r="AL1447" t="s">
        <v>43</v>
      </c>
      <c r="AM1447" t="s">
        <v>43</v>
      </c>
      <c r="AN1447" t="s">
        <v>43</v>
      </c>
    </row>
    <row r="1448" spans="1:40" x14ac:dyDescent="0.3">
      <c r="A1448" s="1">
        <v>46210.832175925927</v>
      </c>
      <c r="B1448" t="s">
        <v>40</v>
      </c>
      <c r="C1448" t="s">
        <v>41</v>
      </c>
      <c r="D1448" s="1">
        <v>46210.835092592592</v>
      </c>
      <c r="E1448" t="s">
        <v>42</v>
      </c>
      <c r="F1448" t="s">
        <v>43</v>
      </c>
      <c r="G1448" t="s">
        <v>43</v>
      </c>
      <c r="H1448" t="s">
        <v>43</v>
      </c>
      <c r="I1448" t="s">
        <v>708</v>
      </c>
      <c r="J1448" t="s">
        <v>43</v>
      </c>
      <c r="K1448" t="s">
        <v>43</v>
      </c>
      <c r="L1448" t="s">
        <v>43</v>
      </c>
      <c r="M1448" t="s">
        <v>43</v>
      </c>
      <c r="N1448" t="s">
        <v>45</v>
      </c>
      <c r="O1448" t="s">
        <v>43</v>
      </c>
      <c r="P1448" t="s">
        <v>43</v>
      </c>
      <c r="Q1448" t="s">
        <v>43</v>
      </c>
      <c r="R1448" t="s">
        <v>43</v>
      </c>
      <c r="S1448" t="s">
        <v>43</v>
      </c>
      <c r="T1448" t="s">
        <v>43</v>
      </c>
      <c r="U1448" t="s">
        <v>43</v>
      </c>
      <c r="V1448" t="s">
        <v>43</v>
      </c>
      <c r="W1448" t="s">
        <v>43</v>
      </c>
      <c r="X1448" t="s">
        <v>43</v>
      </c>
      <c r="Y1448" t="s">
        <v>43</v>
      </c>
      <c r="Z1448" t="s">
        <v>43</v>
      </c>
      <c r="AA1448" t="s">
        <v>43</v>
      </c>
      <c r="AB1448" t="s">
        <v>43</v>
      </c>
      <c r="AC1448" t="s">
        <v>43</v>
      </c>
      <c r="AD1448" t="s">
        <v>43</v>
      </c>
      <c r="AE1448" t="s">
        <v>43</v>
      </c>
      <c r="AF1448" t="s">
        <v>43</v>
      </c>
      <c r="AG1448" t="s">
        <v>43</v>
      </c>
      <c r="AH1448" t="s">
        <v>43</v>
      </c>
      <c r="AI1448" t="s">
        <v>43</v>
      </c>
      <c r="AJ1448" t="s">
        <v>43</v>
      </c>
      <c r="AK1448" t="s">
        <v>43</v>
      </c>
      <c r="AL1448" t="s">
        <v>43</v>
      </c>
      <c r="AM1448" t="s">
        <v>43</v>
      </c>
      <c r="AN1448" t="str">
        <f>HYPERLINK("https://www.google.com/maps?q=11.05585766,79.06411743","Open Location")</f>
        <v>Open Location</v>
      </c>
    </row>
    <row r="1449" spans="1:40" x14ac:dyDescent="0.3">
      <c r="A1449" s="1">
        <v>46210.832060185188</v>
      </c>
      <c r="B1449" t="s">
        <v>40</v>
      </c>
      <c r="C1449" t="s">
        <v>41</v>
      </c>
      <c r="D1449" s="1">
        <v>46210.835011574076</v>
      </c>
      <c r="E1449" t="s">
        <v>42</v>
      </c>
      <c r="F1449" t="s">
        <v>43</v>
      </c>
      <c r="G1449" t="s">
        <v>43</v>
      </c>
      <c r="H1449" t="s">
        <v>43</v>
      </c>
      <c r="I1449" t="s">
        <v>709</v>
      </c>
      <c r="J1449" t="s">
        <v>43</v>
      </c>
      <c r="K1449" t="s">
        <v>43</v>
      </c>
      <c r="L1449" t="s">
        <v>43</v>
      </c>
      <c r="M1449" t="s">
        <v>43</v>
      </c>
      <c r="N1449" t="s">
        <v>45</v>
      </c>
      <c r="O1449" t="s">
        <v>43</v>
      </c>
      <c r="P1449" t="s">
        <v>43</v>
      </c>
      <c r="Q1449" t="s">
        <v>43</v>
      </c>
      <c r="R1449" t="s">
        <v>43</v>
      </c>
      <c r="S1449" t="s">
        <v>43</v>
      </c>
      <c r="T1449" t="s">
        <v>43</v>
      </c>
      <c r="U1449" t="s">
        <v>43</v>
      </c>
      <c r="V1449" t="s">
        <v>43</v>
      </c>
      <c r="W1449" t="s">
        <v>43</v>
      </c>
      <c r="X1449" t="s">
        <v>43</v>
      </c>
      <c r="Y1449" t="s">
        <v>43</v>
      </c>
      <c r="Z1449" t="s">
        <v>43</v>
      </c>
      <c r="AA1449" t="s">
        <v>43</v>
      </c>
      <c r="AB1449" t="s">
        <v>43</v>
      </c>
      <c r="AC1449" t="s">
        <v>43</v>
      </c>
      <c r="AD1449" t="s">
        <v>43</v>
      </c>
      <c r="AE1449" t="s">
        <v>43</v>
      </c>
      <c r="AF1449" t="s">
        <v>43</v>
      </c>
      <c r="AG1449" t="s">
        <v>43</v>
      </c>
      <c r="AH1449" t="s">
        <v>43</v>
      </c>
      <c r="AI1449" t="s">
        <v>43</v>
      </c>
      <c r="AJ1449" t="s">
        <v>43</v>
      </c>
      <c r="AK1449" t="s">
        <v>43</v>
      </c>
      <c r="AL1449" t="s">
        <v>43</v>
      </c>
      <c r="AM1449" t="s">
        <v>43</v>
      </c>
      <c r="AN1449" t="str">
        <f>HYPERLINK("https://www.google.com/maps?q=11.05585766,79.0641098","Open Location")</f>
        <v>Open Location</v>
      </c>
    </row>
    <row r="1450" spans="1:40" x14ac:dyDescent="0.3">
      <c r="A1450" s="1">
        <v>46210.831944444442</v>
      </c>
      <c r="B1450" t="s">
        <v>40</v>
      </c>
      <c r="C1450" t="s">
        <v>41</v>
      </c>
      <c r="D1450" s="1">
        <v>46210.834965277776</v>
      </c>
      <c r="E1450" t="s">
        <v>42</v>
      </c>
      <c r="F1450" t="s">
        <v>43</v>
      </c>
      <c r="G1450" t="s">
        <v>43</v>
      </c>
      <c r="H1450" t="s">
        <v>43</v>
      </c>
      <c r="I1450" t="s">
        <v>710</v>
      </c>
      <c r="J1450" t="s">
        <v>43</v>
      </c>
      <c r="K1450" t="s">
        <v>43</v>
      </c>
      <c r="L1450" t="s">
        <v>43</v>
      </c>
      <c r="M1450" t="s">
        <v>43</v>
      </c>
      <c r="N1450" t="s">
        <v>45</v>
      </c>
      <c r="O1450" t="s">
        <v>43</v>
      </c>
      <c r="P1450" t="s">
        <v>43</v>
      </c>
      <c r="Q1450" t="s">
        <v>43</v>
      </c>
      <c r="R1450" t="s">
        <v>43</v>
      </c>
      <c r="S1450" t="s">
        <v>43</v>
      </c>
      <c r="T1450" t="s">
        <v>43</v>
      </c>
      <c r="U1450" t="s">
        <v>43</v>
      </c>
      <c r="V1450" t="s">
        <v>43</v>
      </c>
      <c r="W1450" t="s">
        <v>43</v>
      </c>
      <c r="X1450" t="s">
        <v>43</v>
      </c>
      <c r="Y1450" t="s">
        <v>43</v>
      </c>
      <c r="Z1450" t="s">
        <v>43</v>
      </c>
      <c r="AA1450" t="s">
        <v>43</v>
      </c>
      <c r="AB1450" t="s">
        <v>43</v>
      </c>
      <c r="AC1450" t="s">
        <v>43</v>
      </c>
      <c r="AD1450" t="s">
        <v>43</v>
      </c>
      <c r="AE1450" t="s">
        <v>43</v>
      </c>
      <c r="AF1450" t="s">
        <v>43</v>
      </c>
      <c r="AG1450" t="s">
        <v>43</v>
      </c>
      <c r="AH1450" t="s">
        <v>43</v>
      </c>
      <c r="AI1450" t="s">
        <v>43</v>
      </c>
      <c r="AJ1450" t="s">
        <v>43</v>
      </c>
      <c r="AK1450" t="s">
        <v>43</v>
      </c>
      <c r="AL1450" t="s">
        <v>43</v>
      </c>
      <c r="AM1450" t="s">
        <v>43</v>
      </c>
      <c r="AN1450" t="str">
        <f>HYPERLINK("https://www.google.com/maps?q=11.05585575,79.06411743","Open Location")</f>
        <v>Open Location</v>
      </c>
    </row>
    <row r="1451" spans="1:40" x14ac:dyDescent="0.3">
      <c r="A1451" s="1">
        <v>46210.831828703704</v>
      </c>
      <c r="B1451" t="s">
        <v>40</v>
      </c>
      <c r="C1451" t="s">
        <v>41</v>
      </c>
      <c r="D1451" s="1">
        <v>46210.834641203706</v>
      </c>
      <c r="E1451" t="s">
        <v>42</v>
      </c>
      <c r="F1451" t="s">
        <v>43</v>
      </c>
      <c r="G1451" t="s">
        <v>43</v>
      </c>
      <c r="H1451" t="s">
        <v>43</v>
      </c>
      <c r="I1451" t="s">
        <v>711</v>
      </c>
      <c r="J1451" t="s">
        <v>43</v>
      </c>
      <c r="K1451" t="s">
        <v>43</v>
      </c>
      <c r="L1451" t="s">
        <v>43</v>
      </c>
      <c r="M1451" t="s">
        <v>43</v>
      </c>
      <c r="N1451" t="s">
        <v>45</v>
      </c>
      <c r="O1451" t="s">
        <v>43</v>
      </c>
      <c r="P1451" t="s">
        <v>43</v>
      </c>
      <c r="Q1451" t="s">
        <v>43</v>
      </c>
      <c r="R1451" t="s">
        <v>43</v>
      </c>
      <c r="S1451" t="s">
        <v>43</v>
      </c>
      <c r="T1451" t="s">
        <v>43</v>
      </c>
      <c r="U1451" t="s">
        <v>43</v>
      </c>
      <c r="V1451" t="s">
        <v>43</v>
      </c>
      <c r="W1451" t="s">
        <v>43</v>
      </c>
      <c r="X1451" t="s">
        <v>43</v>
      </c>
      <c r="Y1451" t="s">
        <v>43</v>
      </c>
      <c r="Z1451" t="s">
        <v>43</v>
      </c>
      <c r="AA1451" t="s">
        <v>43</v>
      </c>
      <c r="AB1451" t="s">
        <v>43</v>
      </c>
      <c r="AC1451" t="s">
        <v>43</v>
      </c>
      <c r="AD1451" t="s">
        <v>43</v>
      </c>
      <c r="AE1451" t="s">
        <v>43</v>
      </c>
      <c r="AF1451" t="s">
        <v>43</v>
      </c>
      <c r="AG1451" t="s">
        <v>43</v>
      </c>
      <c r="AH1451" t="s">
        <v>43</v>
      </c>
      <c r="AI1451" t="s">
        <v>43</v>
      </c>
      <c r="AJ1451" t="s">
        <v>43</v>
      </c>
      <c r="AK1451" t="s">
        <v>43</v>
      </c>
      <c r="AL1451" t="s">
        <v>43</v>
      </c>
      <c r="AM1451" t="s">
        <v>43</v>
      </c>
      <c r="AN1451" t="str">
        <f>HYPERLINK("https://www.google.com/maps?q=11.05585957,79.0641098","Open Location")</f>
        <v>Open Location</v>
      </c>
    </row>
    <row r="1452" spans="1:40" x14ac:dyDescent="0.3">
      <c r="A1452" s="1">
        <v>46210.831712962965</v>
      </c>
      <c r="B1452" t="s">
        <v>40</v>
      </c>
      <c r="C1452" t="s">
        <v>41</v>
      </c>
      <c r="D1452" s="1">
        <v>46210.834583333337</v>
      </c>
      <c r="E1452" t="s">
        <v>42</v>
      </c>
      <c r="F1452" t="s">
        <v>43</v>
      </c>
      <c r="G1452" t="s">
        <v>43</v>
      </c>
      <c r="H1452" t="s">
        <v>43</v>
      </c>
      <c r="I1452" t="s">
        <v>712</v>
      </c>
      <c r="J1452" t="s">
        <v>43</v>
      </c>
      <c r="K1452" t="s">
        <v>43</v>
      </c>
      <c r="L1452" t="s">
        <v>43</v>
      </c>
      <c r="M1452" t="s">
        <v>43</v>
      </c>
      <c r="N1452" t="s">
        <v>45</v>
      </c>
      <c r="O1452" t="s">
        <v>43</v>
      </c>
      <c r="P1452" t="s">
        <v>43</v>
      </c>
      <c r="Q1452" t="s">
        <v>43</v>
      </c>
      <c r="R1452" t="s">
        <v>43</v>
      </c>
      <c r="S1452" t="s">
        <v>43</v>
      </c>
      <c r="T1452" t="s">
        <v>43</v>
      </c>
      <c r="U1452" t="s">
        <v>43</v>
      </c>
      <c r="V1452" t="s">
        <v>43</v>
      </c>
      <c r="W1452" t="s">
        <v>43</v>
      </c>
      <c r="X1452" t="s">
        <v>43</v>
      </c>
      <c r="Y1452" t="s">
        <v>43</v>
      </c>
      <c r="Z1452" t="s">
        <v>43</v>
      </c>
      <c r="AA1452" t="s">
        <v>43</v>
      </c>
      <c r="AB1452" t="s">
        <v>43</v>
      </c>
      <c r="AC1452" t="s">
        <v>43</v>
      </c>
      <c r="AD1452" t="s">
        <v>43</v>
      </c>
      <c r="AE1452" t="s">
        <v>43</v>
      </c>
      <c r="AF1452" t="s">
        <v>43</v>
      </c>
      <c r="AG1452" t="s">
        <v>43</v>
      </c>
      <c r="AH1452" t="s">
        <v>43</v>
      </c>
      <c r="AI1452" t="s">
        <v>43</v>
      </c>
      <c r="AJ1452" t="s">
        <v>43</v>
      </c>
      <c r="AK1452" t="s">
        <v>43</v>
      </c>
      <c r="AL1452" t="s">
        <v>43</v>
      </c>
      <c r="AM1452" t="s">
        <v>43</v>
      </c>
      <c r="AN1452" t="str">
        <f>HYPERLINK("https://www.google.com/maps?q=11.05586529,79.0641098","Open Location")</f>
        <v>Open Location</v>
      </c>
    </row>
    <row r="1453" spans="1:40" x14ac:dyDescent="0.3">
      <c r="A1453" s="1">
        <v>46210.831597222219</v>
      </c>
      <c r="B1453" t="s">
        <v>40</v>
      </c>
      <c r="C1453" t="s">
        <v>41</v>
      </c>
      <c r="D1453" s="1">
        <v>46210.834456018521</v>
      </c>
      <c r="E1453" t="s">
        <v>42</v>
      </c>
      <c r="F1453" t="s">
        <v>43</v>
      </c>
      <c r="G1453" t="s">
        <v>43</v>
      </c>
      <c r="H1453" t="s">
        <v>43</v>
      </c>
      <c r="I1453" t="s">
        <v>43</v>
      </c>
      <c r="J1453" t="s">
        <v>43</v>
      </c>
      <c r="K1453" t="s">
        <v>43</v>
      </c>
      <c r="L1453" t="s">
        <v>43</v>
      </c>
      <c r="M1453" t="s">
        <v>43</v>
      </c>
      <c r="N1453" t="s">
        <v>45</v>
      </c>
      <c r="O1453" t="s">
        <v>43</v>
      </c>
      <c r="P1453" t="s">
        <v>43</v>
      </c>
      <c r="Q1453" t="s">
        <v>43</v>
      </c>
      <c r="R1453" t="s">
        <v>43</v>
      </c>
      <c r="S1453" t="s">
        <v>43</v>
      </c>
      <c r="T1453" t="s">
        <v>43</v>
      </c>
      <c r="U1453" t="s">
        <v>43</v>
      </c>
      <c r="V1453" t="s">
        <v>43</v>
      </c>
      <c r="W1453" t="s">
        <v>43</v>
      </c>
      <c r="X1453" t="s">
        <v>43</v>
      </c>
      <c r="Y1453" t="s">
        <v>43</v>
      </c>
      <c r="Z1453" t="s">
        <v>43</v>
      </c>
      <c r="AA1453" t="s">
        <v>43</v>
      </c>
      <c r="AB1453" t="s">
        <v>43</v>
      </c>
      <c r="AC1453" t="s">
        <v>43</v>
      </c>
      <c r="AD1453" t="s">
        <v>43</v>
      </c>
      <c r="AE1453" t="s">
        <v>43</v>
      </c>
      <c r="AF1453" t="s">
        <v>43</v>
      </c>
      <c r="AG1453" t="s">
        <v>43</v>
      </c>
      <c r="AH1453" t="s">
        <v>43</v>
      </c>
      <c r="AI1453" t="s">
        <v>43</v>
      </c>
      <c r="AJ1453" t="s">
        <v>43</v>
      </c>
      <c r="AK1453" t="s">
        <v>43</v>
      </c>
      <c r="AL1453" t="s">
        <v>43</v>
      </c>
      <c r="AM1453" t="s">
        <v>43</v>
      </c>
      <c r="AN1453" t="s">
        <v>43</v>
      </c>
    </row>
    <row r="1454" spans="1:40" x14ac:dyDescent="0.3">
      <c r="A1454" s="1">
        <v>46210.83148148148</v>
      </c>
      <c r="B1454" t="s">
        <v>40</v>
      </c>
      <c r="C1454" t="s">
        <v>41</v>
      </c>
      <c r="D1454" s="1">
        <v>46210.834328703706</v>
      </c>
      <c r="E1454" t="s">
        <v>42</v>
      </c>
      <c r="F1454" t="s">
        <v>43</v>
      </c>
      <c r="G1454" t="s">
        <v>43</v>
      </c>
      <c r="H1454" t="s">
        <v>43</v>
      </c>
      <c r="I1454" t="s">
        <v>713</v>
      </c>
      <c r="J1454" t="s">
        <v>43</v>
      </c>
      <c r="K1454" t="s">
        <v>43</v>
      </c>
      <c r="L1454" t="s">
        <v>43</v>
      </c>
      <c r="M1454" t="s">
        <v>43</v>
      </c>
      <c r="N1454" t="s">
        <v>45</v>
      </c>
      <c r="O1454" t="s">
        <v>43</v>
      </c>
      <c r="P1454" t="s">
        <v>43</v>
      </c>
      <c r="Q1454" t="s">
        <v>43</v>
      </c>
      <c r="R1454" t="s">
        <v>43</v>
      </c>
      <c r="S1454" t="s">
        <v>43</v>
      </c>
      <c r="T1454" t="s">
        <v>43</v>
      </c>
      <c r="U1454" t="s">
        <v>43</v>
      </c>
      <c r="V1454" t="s">
        <v>43</v>
      </c>
      <c r="W1454" t="s">
        <v>43</v>
      </c>
      <c r="X1454" t="s">
        <v>43</v>
      </c>
      <c r="Y1454" t="s">
        <v>43</v>
      </c>
      <c r="Z1454" t="s">
        <v>43</v>
      </c>
      <c r="AA1454" t="s">
        <v>43</v>
      </c>
      <c r="AB1454" t="s">
        <v>43</v>
      </c>
      <c r="AC1454" t="s">
        <v>43</v>
      </c>
      <c r="AD1454" t="s">
        <v>43</v>
      </c>
      <c r="AE1454" t="s">
        <v>43</v>
      </c>
      <c r="AF1454" t="s">
        <v>43</v>
      </c>
      <c r="AG1454" t="s">
        <v>43</v>
      </c>
      <c r="AH1454" t="s">
        <v>43</v>
      </c>
      <c r="AI1454" t="s">
        <v>43</v>
      </c>
      <c r="AJ1454" t="s">
        <v>43</v>
      </c>
      <c r="AK1454" t="s">
        <v>43</v>
      </c>
      <c r="AL1454" t="s">
        <v>43</v>
      </c>
      <c r="AM1454" t="s">
        <v>43</v>
      </c>
      <c r="AN1454" t="str">
        <f>HYPERLINK("https://www.google.com/maps?q=11.05587196,79.06410217","Open Location")</f>
        <v>Open Location</v>
      </c>
    </row>
    <row r="1455" spans="1:40" x14ac:dyDescent="0.3">
      <c r="A1455" s="1">
        <v>46210.831365740742</v>
      </c>
      <c r="B1455" t="s">
        <v>40</v>
      </c>
      <c r="C1455" t="s">
        <v>41</v>
      </c>
      <c r="D1455" s="1">
        <v>46210.834074074075</v>
      </c>
      <c r="E1455" t="s">
        <v>42</v>
      </c>
      <c r="F1455" t="s">
        <v>43</v>
      </c>
      <c r="G1455" t="s">
        <v>43</v>
      </c>
      <c r="H1455" t="s">
        <v>43</v>
      </c>
      <c r="I1455" t="s">
        <v>714</v>
      </c>
      <c r="J1455" t="s">
        <v>43</v>
      </c>
      <c r="K1455" t="s">
        <v>43</v>
      </c>
      <c r="L1455" t="s">
        <v>43</v>
      </c>
      <c r="M1455" t="s">
        <v>43</v>
      </c>
      <c r="N1455" t="s">
        <v>45</v>
      </c>
      <c r="O1455" t="s">
        <v>43</v>
      </c>
      <c r="P1455" t="s">
        <v>43</v>
      </c>
      <c r="Q1455" t="s">
        <v>43</v>
      </c>
      <c r="R1455" t="s">
        <v>43</v>
      </c>
      <c r="S1455" t="s">
        <v>43</v>
      </c>
      <c r="T1455" t="s">
        <v>43</v>
      </c>
      <c r="U1455" t="s">
        <v>43</v>
      </c>
      <c r="V1455" t="s">
        <v>43</v>
      </c>
      <c r="W1455" t="s">
        <v>43</v>
      </c>
      <c r="X1455" t="s">
        <v>43</v>
      </c>
      <c r="Y1455" t="s">
        <v>43</v>
      </c>
      <c r="Z1455" t="s">
        <v>43</v>
      </c>
      <c r="AA1455" t="s">
        <v>43</v>
      </c>
      <c r="AB1455" t="s">
        <v>43</v>
      </c>
      <c r="AC1455" t="s">
        <v>43</v>
      </c>
      <c r="AD1455" t="s">
        <v>43</v>
      </c>
      <c r="AE1455" t="s">
        <v>43</v>
      </c>
      <c r="AF1455" t="s">
        <v>43</v>
      </c>
      <c r="AG1455" t="s">
        <v>43</v>
      </c>
      <c r="AH1455" t="s">
        <v>43</v>
      </c>
      <c r="AI1455" t="s">
        <v>43</v>
      </c>
      <c r="AJ1455" t="s">
        <v>43</v>
      </c>
      <c r="AK1455" t="s">
        <v>43</v>
      </c>
      <c r="AL1455" t="s">
        <v>43</v>
      </c>
      <c r="AM1455" t="s">
        <v>43</v>
      </c>
      <c r="AN1455" t="str">
        <f>HYPERLINK("https://www.google.com/maps?q=11.05587769,79.06410217","Open Location")</f>
        <v>Open Location</v>
      </c>
    </row>
    <row r="1456" spans="1:40" x14ac:dyDescent="0.3">
      <c r="A1456" s="1">
        <v>46210.831250000003</v>
      </c>
      <c r="B1456" t="s">
        <v>40</v>
      </c>
      <c r="C1456" t="s">
        <v>41</v>
      </c>
      <c r="D1456" s="1">
        <v>46210.834097222221</v>
      </c>
      <c r="E1456" t="s">
        <v>42</v>
      </c>
      <c r="F1456" t="s">
        <v>43</v>
      </c>
      <c r="G1456" t="s">
        <v>43</v>
      </c>
      <c r="H1456" t="s">
        <v>43</v>
      </c>
      <c r="I1456" t="s">
        <v>606</v>
      </c>
      <c r="J1456" t="s">
        <v>43</v>
      </c>
      <c r="K1456" t="s">
        <v>43</v>
      </c>
      <c r="L1456" t="s">
        <v>43</v>
      </c>
      <c r="M1456" t="s">
        <v>43</v>
      </c>
      <c r="N1456" t="s">
        <v>45</v>
      </c>
      <c r="O1456" t="s">
        <v>43</v>
      </c>
      <c r="P1456" t="s">
        <v>43</v>
      </c>
      <c r="Q1456" t="s">
        <v>43</v>
      </c>
      <c r="R1456" t="s">
        <v>43</v>
      </c>
      <c r="S1456" t="s">
        <v>43</v>
      </c>
      <c r="T1456" t="s">
        <v>43</v>
      </c>
      <c r="U1456" t="s">
        <v>43</v>
      </c>
      <c r="V1456" t="s">
        <v>43</v>
      </c>
      <c r="W1456" t="s">
        <v>43</v>
      </c>
      <c r="X1456" t="s">
        <v>43</v>
      </c>
      <c r="Y1456" t="s">
        <v>43</v>
      </c>
      <c r="Z1456" t="s">
        <v>43</v>
      </c>
      <c r="AA1456" t="s">
        <v>43</v>
      </c>
      <c r="AB1456" t="s">
        <v>43</v>
      </c>
      <c r="AC1456" t="s">
        <v>43</v>
      </c>
      <c r="AD1456" t="s">
        <v>43</v>
      </c>
      <c r="AE1456" t="s">
        <v>43</v>
      </c>
      <c r="AF1456" t="s">
        <v>43</v>
      </c>
      <c r="AG1456" t="s">
        <v>43</v>
      </c>
      <c r="AH1456" t="s">
        <v>43</v>
      </c>
      <c r="AI1456" t="s">
        <v>43</v>
      </c>
      <c r="AJ1456" t="s">
        <v>43</v>
      </c>
      <c r="AK1456" t="s">
        <v>43</v>
      </c>
      <c r="AL1456" t="s">
        <v>43</v>
      </c>
      <c r="AM1456" t="s">
        <v>43</v>
      </c>
      <c r="AN1456" t="str">
        <f>HYPERLINK("https://www.google.com/maps?q=11.05588245,79.06410217","Open Location")</f>
        <v>Open Location</v>
      </c>
    </row>
    <row r="1457" spans="1:40" x14ac:dyDescent="0.3">
      <c r="A1457" s="1">
        <v>46210.831134259257</v>
      </c>
      <c r="B1457" t="s">
        <v>40</v>
      </c>
      <c r="C1457" t="s">
        <v>41</v>
      </c>
      <c r="D1457" s="1">
        <v>46210.833958333336</v>
      </c>
      <c r="E1457" t="s">
        <v>42</v>
      </c>
      <c r="F1457" t="s">
        <v>43</v>
      </c>
      <c r="G1457" t="s">
        <v>43</v>
      </c>
      <c r="H1457" t="s">
        <v>43</v>
      </c>
      <c r="I1457" t="s">
        <v>715</v>
      </c>
      <c r="J1457" t="s">
        <v>43</v>
      </c>
      <c r="K1457" t="s">
        <v>43</v>
      </c>
      <c r="L1457" t="s">
        <v>43</v>
      </c>
      <c r="M1457" t="s">
        <v>43</v>
      </c>
      <c r="N1457" t="s">
        <v>45</v>
      </c>
      <c r="O1457" t="s">
        <v>43</v>
      </c>
      <c r="P1457" t="s">
        <v>43</v>
      </c>
      <c r="Q1457" t="s">
        <v>43</v>
      </c>
      <c r="R1457" t="s">
        <v>43</v>
      </c>
      <c r="S1457" t="s">
        <v>43</v>
      </c>
      <c r="T1457" t="s">
        <v>43</v>
      </c>
      <c r="U1457" t="s">
        <v>43</v>
      </c>
      <c r="V1457" t="s">
        <v>43</v>
      </c>
      <c r="W1457" t="s">
        <v>43</v>
      </c>
      <c r="X1457" t="s">
        <v>43</v>
      </c>
      <c r="Y1457" t="s">
        <v>43</v>
      </c>
      <c r="Z1457" t="s">
        <v>43</v>
      </c>
      <c r="AA1457" t="s">
        <v>43</v>
      </c>
      <c r="AB1457" t="s">
        <v>43</v>
      </c>
      <c r="AC1457" t="s">
        <v>43</v>
      </c>
      <c r="AD1457" t="s">
        <v>43</v>
      </c>
      <c r="AE1457" t="s">
        <v>43</v>
      </c>
      <c r="AF1457" t="s">
        <v>43</v>
      </c>
      <c r="AG1457" t="s">
        <v>43</v>
      </c>
      <c r="AH1457" t="s">
        <v>43</v>
      </c>
      <c r="AI1457" t="s">
        <v>43</v>
      </c>
      <c r="AJ1457" t="s">
        <v>43</v>
      </c>
      <c r="AK1457" t="s">
        <v>43</v>
      </c>
      <c r="AL1457" t="s">
        <v>43</v>
      </c>
      <c r="AM1457" t="s">
        <v>43</v>
      </c>
      <c r="AN1457" t="str">
        <f>HYPERLINK("https://www.google.com/maps?q=11.05588531,79.06409454","Open Location")</f>
        <v>Open Location</v>
      </c>
    </row>
    <row r="1458" spans="1:40" x14ac:dyDescent="0.3">
      <c r="A1458" s="1">
        <v>46210.831018518518</v>
      </c>
      <c r="B1458" t="s">
        <v>40</v>
      </c>
      <c r="C1458" t="s">
        <v>41</v>
      </c>
      <c r="D1458" s="1">
        <v>46210.834016203706</v>
      </c>
      <c r="E1458" t="s">
        <v>42</v>
      </c>
      <c r="F1458" t="s">
        <v>43</v>
      </c>
      <c r="G1458" t="s">
        <v>43</v>
      </c>
      <c r="H1458" t="s">
        <v>43</v>
      </c>
      <c r="I1458" t="s">
        <v>43</v>
      </c>
      <c r="J1458" t="s">
        <v>43</v>
      </c>
      <c r="K1458" t="s">
        <v>43</v>
      </c>
      <c r="L1458" t="s">
        <v>43</v>
      </c>
      <c r="M1458" t="s">
        <v>43</v>
      </c>
      <c r="N1458" t="s">
        <v>45</v>
      </c>
      <c r="O1458" t="s">
        <v>43</v>
      </c>
      <c r="P1458" t="s">
        <v>43</v>
      </c>
      <c r="Q1458" t="s">
        <v>43</v>
      </c>
      <c r="R1458" t="s">
        <v>43</v>
      </c>
      <c r="S1458" t="s">
        <v>43</v>
      </c>
      <c r="T1458" t="s">
        <v>43</v>
      </c>
      <c r="U1458" t="s">
        <v>43</v>
      </c>
      <c r="V1458" t="s">
        <v>43</v>
      </c>
      <c r="W1458" t="s">
        <v>43</v>
      </c>
      <c r="X1458" t="s">
        <v>43</v>
      </c>
      <c r="Y1458" t="s">
        <v>43</v>
      </c>
      <c r="Z1458" t="s">
        <v>43</v>
      </c>
      <c r="AA1458" t="s">
        <v>43</v>
      </c>
      <c r="AB1458" t="s">
        <v>43</v>
      </c>
      <c r="AC1458" t="s">
        <v>43</v>
      </c>
      <c r="AD1458" t="s">
        <v>43</v>
      </c>
      <c r="AE1458" t="s">
        <v>43</v>
      </c>
      <c r="AF1458" t="s">
        <v>43</v>
      </c>
      <c r="AG1458" t="s">
        <v>43</v>
      </c>
      <c r="AH1458" t="s">
        <v>43</v>
      </c>
      <c r="AI1458" t="s">
        <v>43</v>
      </c>
      <c r="AJ1458" t="s">
        <v>43</v>
      </c>
      <c r="AK1458" t="s">
        <v>43</v>
      </c>
      <c r="AL1458" t="s">
        <v>43</v>
      </c>
      <c r="AM1458" t="s">
        <v>43</v>
      </c>
      <c r="AN1458" t="s">
        <v>43</v>
      </c>
    </row>
    <row r="1459" spans="1:40" x14ac:dyDescent="0.3">
      <c r="A1459" s="1">
        <v>46210.83090277778</v>
      </c>
      <c r="B1459" t="s">
        <v>40</v>
      </c>
      <c r="C1459" t="s">
        <v>41</v>
      </c>
      <c r="D1459" s="1">
        <v>46210.833622685182</v>
      </c>
      <c r="E1459" t="s">
        <v>42</v>
      </c>
      <c r="F1459" t="s">
        <v>43</v>
      </c>
      <c r="G1459" t="s">
        <v>43</v>
      </c>
      <c r="H1459" t="s">
        <v>43</v>
      </c>
      <c r="I1459" t="s">
        <v>716</v>
      </c>
      <c r="J1459" t="s">
        <v>43</v>
      </c>
      <c r="K1459" t="s">
        <v>43</v>
      </c>
      <c r="L1459" t="s">
        <v>43</v>
      </c>
      <c r="M1459" t="s">
        <v>43</v>
      </c>
      <c r="N1459" t="s">
        <v>45</v>
      </c>
      <c r="O1459" t="s">
        <v>43</v>
      </c>
      <c r="P1459" t="s">
        <v>43</v>
      </c>
      <c r="Q1459" t="s">
        <v>43</v>
      </c>
      <c r="R1459" t="s">
        <v>43</v>
      </c>
      <c r="S1459" t="s">
        <v>43</v>
      </c>
      <c r="T1459" t="s">
        <v>43</v>
      </c>
      <c r="U1459" t="s">
        <v>43</v>
      </c>
      <c r="V1459" t="s">
        <v>43</v>
      </c>
      <c r="W1459" t="s">
        <v>43</v>
      </c>
      <c r="X1459" t="s">
        <v>43</v>
      </c>
      <c r="Y1459" t="s">
        <v>43</v>
      </c>
      <c r="Z1459" t="s">
        <v>43</v>
      </c>
      <c r="AA1459" t="s">
        <v>43</v>
      </c>
      <c r="AB1459" t="s">
        <v>43</v>
      </c>
      <c r="AC1459" t="s">
        <v>43</v>
      </c>
      <c r="AD1459" t="s">
        <v>43</v>
      </c>
      <c r="AE1459" t="s">
        <v>43</v>
      </c>
      <c r="AF1459" t="s">
        <v>43</v>
      </c>
      <c r="AG1459" t="s">
        <v>43</v>
      </c>
      <c r="AH1459" t="s">
        <v>43</v>
      </c>
      <c r="AI1459" t="s">
        <v>43</v>
      </c>
      <c r="AJ1459" t="s">
        <v>43</v>
      </c>
      <c r="AK1459" t="s">
        <v>43</v>
      </c>
      <c r="AL1459" t="s">
        <v>43</v>
      </c>
      <c r="AM1459" t="s">
        <v>43</v>
      </c>
      <c r="AN1459" t="str">
        <f>HYPERLINK("https://www.google.com/maps?q=11.05588531,79.06410217","Open Location")</f>
        <v>Open Location</v>
      </c>
    </row>
    <row r="1460" spans="1:40" x14ac:dyDescent="0.3">
      <c r="A1460" s="1">
        <v>46210.830787037034</v>
      </c>
      <c r="B1460" t="s">
        <v>40</v>
      </c>
      <c r="C1460" t="s">
        <v>41</v>
      </c>
      <c r="D1460" s="1">
        <v>46210.833622685182</v>
      </c>
      <c r="E1460" t="s">
        <v>42</v>
      </c>
      <c r="F1460" t="s">
        <v>43</v>
      </c>
      <c r="G1460" t="s">
        <v>43</v>
      </c>
      <c r="H1460" t="s">
        <v>43</v>
      </c>
      <c r="I1460" t="s">
        <v>717</v>
      </c>
      <c r="J1460" t="s">
        <v>43</v>
      </c>
      <c r="K1460" t="s">
        <v>43</v>
      </c>
      <c r="L1460" t="s">
        <v>43</v>
      </c>
      <c r="M1460" t="s">
        <v>43</v>
      </c>
      <c r="N1460" t="s">
        <v>45</v>
      </c>
      <c r="O1460" t="s">
        <v>43</v>
      </c>
      <c r="P1460" t="s">
        <v>43</v>
      </c>
      <c r="Q1460" t="s">
        <v>43</v>
      </c>
      <c r="R1460" t="s">
        <v>43</v>
      </c>
      <c r="S1460" t="s">
        <v>43</v>
      </c>
      <c r="T1460" t="s">
        <v>43</v>
      </c>
      <c r="U1460" t="s">
        <v>43</v>
      </c>
      <c r="V1460" t="s">
        <v>43</v>
      </c>
      <c r="W1460" t="s">
        <v>43</v>
      </c>
      <c r="X1460" t="s">
        <v>43</v>
      </c>
      <c r="Y1460" t="s">
        <v>43</v>
      </c>
      <c r="Z1460" t="s">
        <v>43</v>
      </c>
      <c r="AA1460" t="s">
        <v>43</v>
      </c>
      <c r="AB1460" t="s">
        <v>43</v>
      </c>
      <c r="AC1460" t="s">
        <v>43</v>
      </c>
      <c r="AD1460" t="s">
        <v>43</v>
      </c>
      <c r="AE1460" t="s">
        <v>43</v>
      </c>
      <c r="AF1460" t="s">
        <v>43</v>
      </c>
      <c r="AG1460" t="s">
        <v>43</v>
      </c>
      <c r="AH1460" t="s">
        <v>43</v>
      </c>
      <c r="AI1460" t="s">
        <v>43</v>
      </c>
      <c r="AJ1460" t="s">
        <v>43</v>
      </c>
      <c r="AK1460" t="s">
        <v>43</v>
      </c>
      <c r="AL1460" t="s">
        <v>43</v>
      </c>
      <c r="AM1460" t="s">
        <v>43</v>
      </c>
      <c r="AN1460" t="str">
        <f>HYPERLINK("https://www.google.com/maps?q=11.05588913,79.06410217","Open Location")</f>
        <v>Open Location</v>
      </c>
    </row>
    <row r="1461" spans="1:40" x14ac:dyDescent="0.3">
      <c r="A1461" s="1">
        <v>46210.830671296295</v>
      </c>
      <c r="B1461" t="s">
        <v>40</v>
      </c>
      <c r="C1461" t="s">
        <v>41</v>
      </c>
      <c r="D1461" s="1">
        <v>46210.833391203705</v>
      </c>
      <c r="E1461" t="s">
        <v>42</v>
      </c>
      <c r="F1461" t="s">
        <v>43</v>
      </c>
      <c r="G1461" t="s">
        <v>43</v>
      </c>
      <c r="H1461" t="s">
        <v>43</v>
      </c>
      <c r="I1461" t="s">
        <v>718</v>
      </c>
      <c r="J1461" t="s">
        <v>43</v>
      </c>
      <c r="K1461" t="s">
        <v>43</v>
      </c>
      <c r="L1461" t="s">
        <v>43</v>
      </c>
      <c r="M1461" t="s">
        <v>43</v>
      </c>
      <c r="N1461" t="s">
        <v>45</v>
      </c>
      <c r="O1461" t="s">
        <v>43</v>
      </c>
      <c r="P1461" t="s">
        <v>43</v>
      </c>
      <c r="Q1461" t="s">
        <v>43</v>
      </c>
      <c r="R1461" t="s">
        <v>43</v>
      </c>
      <c r="S1461" t="s">
        <v>43</v>
      </c>
      <c r="T1461" t="s">
        <v>43</v>
      </c>
      <c r="U1461" t="s">
        <v>43</v>
      </c>
      <c r="V1461" t="s">
        <v>43</v>
      </c>
      <c r="W1461" t="s">
        <v>43</v>
      </c>
      <c r="X1461" t="s">
        <v>43</v>
      </c>
      <c r="Y1461" t="s">
        <v>43</v>
      </c>
      <c r="Z1461" t="s">
        <v>43</v>
      </c>
      <c r="AA1461" t="s">
        <v>43</v>
      </c>
      <c r="AB1461" t="s">
        <v>43</v>
      </c>
      <c r="AC1461" t="s">
        <v>43</v>
      </c>
      <c r="AD1461" t="s">
        <v>43</v>
      </c>
      <c r="AE1461" t="s">
        <v>43</v>
      </c>
      <c r="AF1461" t="s">
        <v>43</v>
      </c>
      <c r="AG1461" t="s">
        <v>43</v>
      </c>
      <c r="AH1461" t="s">
        <v>43</v>
      </c>
      <c r="AI1461" t="s">
        <v>43</v>
      </c>
      <c r="AJ1461" t="s">
        <v>43</v>
      </c>
      <c r="AK1461" t="s">
        <v>43</v>
      </c>
      <c r="AL1461" t="s">
        <v>43</v>
      </c>
      <c r="AM1461" t="s">
        <v>43</v>
      </c>
      <c r="AN1461" t="str">
        <f>HYPERLINK("https://www.google.com/maps?q=11.05589199,79.06410217","Open Location")</f>
        <v>Open Location</v>
      </c>
    </row>
    <row r="1462" spans="1:40" x14ac:dyDescent="0.3">
      <c r="A1462" s="1">
        <v>46210.830555555556</v>
      </c>
      <c r="B1462" t="s">
        <v>40</v>
      </c>
      <c r="C1462" t="s">
        <v>41</v>
      </c>
      <c r="D1462" s="1">
        <v>46210.833611111113</v>
      </c>
      <c r="E1462" t="s">
        <v>42</v>
      </c>
      <c r="F1462" t="s">
        <v>43</v>
      </c>
      <c r="G1462" t="s">
        <v>43</v>
      </c>
      <c r="H1462" t="s">
        <v>43</v>
      </c>
      <c r="I1462" t="s">
        <v>719</v>
      </c>
      <c r="J1462" t="s">
        <v>43</v>
      </c>
      <c r="K1462" t="s">
        <v>43</v>
      </c>
      <c r="L1462" t="s">
        <v>43</v>
      </c>
      <c r="M1462" t="s">
        <v>43</v>
      </c>
      <c r="N1462" t="s">
        <v>45</v>
      </c>
      <c r="O1462" t="s">
        <v>43</v>
      </c>
      <c r="P1462" t="s">
        <v>43</v>
      </c>
      <c r="Q1462" t="s">
        <v>43</v>
      </c>
      <c r="R1462" t="s">
        <v>43</v>
      </c>
      <c r="S1462" t="s">
        <v>43</v>
      </c>
      <c r="T1462" t="s">
        <v>43</v>
      </c>
      <c r="U1462" t="s">
        <v>43</v>
      </c>
      <c r="V1462" t="s">
        <v>43</v>
      </c>
      <c r="W1462" t="s">
        <v>43</v>
      </c>
      <c r="X1462" t="s">
        <v>43</v>
      </c>
      <c r="Y1462" t="s">
        <v>43</v>
      </c>
      <c r="Z1462" t="s">
        <v>43</v>
      </c>
      <c r="AA1462" t="s">
        <v>43</v>
      </c>
      <c r="AB1462" t="s">
        <v>43</v>
      </c>
      <c r="AC1462" t="s">
        <v>43</v>
      </c>
      <c r="AD1462" t="s">
        <v>43</v>
      </c>
      <c r="AE1462" t="s">
        <v>43</v>
      </c>
      <c r="AF1462" t="s">
        <v>43</v>
      </c>
      <c r="AG1462" t="s">
        <v>43</v>
      </c>
      <c r="AH1462" t="s">
        <v>43</v>
      </c>
      <c r="AI1462" t="s">
        <v>43</v>
      </c>
      <c r="AJ1462" t="s">
        <v>43</v>
      </c>
      <c r="AK1462" t="s">
        <v>43</v>
      </c>
      <c r="AL1462" t="s">
        <v>43</v>
      </c>
      <c r="AM1462" t="s">
        <v>43</v>
      </c>
      <c r="AN1462" t="str">
        <f>HYPERLINK("https://www.google.com/maps?q=11.05589581,79.06410217","Open Location")</f>
        <v>Open Location</v>
      </c>
    </row>
    <row r="1463" spans="1:40" x14ac:dyDescent="0.3">
      <c r="A1463" s="1">
        <v>46210.830439814818</v>
      </c>
      <c r="B1463" t="s">
        <v>40</v>
      </c>
      <c r="C1463" t="s">
        <v>41</v>
      </c>
      <c r="D1463" s="1">
        <v>46210.833402777775</v>
      </c>
      <c r="E1463" t="s">
        <v>42</v>
      </c>
      <c r="F1463" t="s">
        <v>43</v>
      </c>
      <c r="G1463" t="s">
        <v>43</v>
      </c>
      <c r="H1463" t="s">
        <v>43</v>
      </c>
      <c r="I1463" t="s">
        <v>720</v>
      </c>
      <c r="J1463" t="s">
        <v>43</v>
      </c>
      <c r="K1463" t="s">
        <v>43</v>
      </c>
      <c r="L1463" t="s">
        <v>43</v>
      </c>
      <c r="M1463" t="s">
        <v>43</v>
      </c>
      <c r="N1463" t="s">
        <v>45</v>
      </c>
      <c r="O1463" t="s">
        <v>43</v>
      </c>
      <c r="P1463" t="s">
        <v>43</v>
      </c>
      <c r="Q1463" t="s">
        <v>43</v>
      </c>
      <c r="R1463" t="s">
        <v>43</v>
      </c>
      <c r="S1463" t="s">
        <v>43</v>
      </c>
      <c r="T1463" t="s">
        <v>43</v>
      </c>
      <c r="U1463" t="s">
        <v>43</v>
      </c>
      <c r="V1463" t="s">
        <v>43</v>
      </c>
      <c r="W1463" t="s">
        <v>43</v>
      </c>
      <c r="X1463" t="s">
        <v>43</v>
      </c>
      <c r="Y1463" t="s">
        <v>43</v>
      </c>
      <c r="Z1463" t="s">
        <v>43</v>
      </c>
      <c r="AA1463" t="s">
        <v>43</v>
      </c>
      <c r="AB1463" t="s">
        <v>43</v>
      </c>
      <c r="AC1463" t="s">
        <v>43</v>
      </c>
      <c r="AD1463" t="s">
        <v>43</v>
      </c>
      <c r="AE1463" t="s">
        <v>43</v>
      </c>
      <c r="AF1463" t="s">
        <v>43</v>
      </c>
      <c r="AG1463" t="s">
        <v>43</v>
      </c>
      <c r="AH1463" t="s">
        <v>43</v>
      </c>
      <c r="AI1463" t="s">
        <v>43</v>
      </c>
      <c r="AJ1463" t="s">
        <v>43</v>
      </c>
      <c r="AK1463" t="s">
        <v>43</v>
      </c>
      <c r="AL1463" t="s">
        <v>43</v>
      </c>
      <c r="AM1463" t="s">
        <v>43</v>
      </c>
      <c r="AN1463" t="str">
        <f>HYPERLINK("https://www.google.com/maps?q=11.05589485,79.06410217","Open Location")</f>
        <v>Open Location</v>
      </c>
    </row>
    <row r="1464" spans="1:40" x14ac:dyDescent="0.3">
      <c r="A1464" s="1">
        <v>46210.830324074072</v>
      </c>
      <c r="B1464" t="s">
        <v>40</v>
      </c>
      <c r="C1464" t="s">
        <v>41</v>
      </c>
      <c r="D1464" s="1">
        <v>46210.833229166667</v>
      </c>
      <c r="E1464" t="s">
        <v>42</v>
      </c>
      <c r="F1464" t="s">
        <v>43</v>
      </c>
      <c r="G1464" t="s">
        <v>43</v>
      </c>
      <c r="H1464" t="s">
        <v>43</v>
      </c>
      <c r="I1464" t="s">
        <v>43</v>
      </c>
      <c r="J1464" t="s">
        <v>43</v>
      </c>
      <c r="K1464" t="s">
        <v>43</v>
      </c>
      <c r="L1464" t="s">
        <v>43</v>
      </c>
      <c r="M1464" t="s">
        <v>43</v>
      </c>
      <c r="N1464" t="s">
        <v>45</v>
      </c>
      <c r="O1464" t="s">
        <v>43</v>
      </c>
      <c r="P1464" t="s">
        <v>43</v>
      </c>
      <c r="Q1464" t="s">
        <v>43</v>
      </c>
      <c r="R1464" t="s">
        <v>43</v>
      </c>
      <c r="S1464" t="s">
        <v>43</v>
      </c>
      <c r="T1464" t="s">
        <v>43</v>
      </c>
      <c r="U1464" t="s">
        <v>43</v>
      </c>
      <c r="V1464" t="s">
        <v>43</v>
      </c>
      <c r="W1464" t="s">
        <v>43</v>
      </c>
      <c r="X1464" t="s">
        <v>43</v>
      </c>
      <c r="Y1464" t="s">
        <v>43</v>
      </c>
      <c r="Z1464" t="s">
        <v>43</v>
      </c>
      <c r="AA1464" t="s">
        <v>43</v>
      </c>
      <c r="AB1464" t="s">
        <v>43</v>
      </c>
      <c r="AC1464" t="s">
        <v>43</v>
      </c>
      <c r="AD1464" t="s">
        <v>43</v>
      </c>
      <c r="AE1464" t="s">
        <v>43</v>
      </c>
      <c r="AF1464" t="s">
        <v>43</v>
      </c>
      <c r="AG1464" t="s">
        <v>43</v>
      </c>
      <c r="AH1464" t="s">
        <v>43</v>
      </c>
      <c r="AI1464" t="s">
        <v>43</v>
      </c>
      <c r="AJ1464" t="s">
        <v>43</v>
      </c>
      <c r="AK1464" t="s">
        <v>43</v>
      </c>
      <c r="AL1464" t="s">
        <v>43</v>
      </c>
      <c r="AM1464" t="s">
        <v>43</v>
      </c>
      <c r="AN1464" t="s">
        <v>43</v>
      </c>
    </row>
    <row r="1465" spans="1:40" x14ac:dyDescent="0.3">
      <c r="A1465" s="1">
        <v>46210.830208333333</v>
      </c>
      <c r="B1465" t="s">
        <v>40</v>
      </c>
      <c r="C1465" t="s">
        <v>41</v>
      </c>
      <c r="D1465" s="1">
        <v>46210.833182870374</v>
      </c>
      <c r="E1465" t="s">
        <v>42</v>
      </c>
      <c r="F1465" t="s">
        <v>43</v>
      </c>
      <c r="G1465" t="s">
        <v>43</v>
      </c>
      <c r="H1465" t="s">
        <v>43</v>
      </c>
      <c r="I1465" t="s">
        <v>721</v>
      </c>
      <c r="J1465" t="s">
        <v>43</v>
      </c>
      <c r="K1465" t="s">
        <v>43</v>
      </c>
      <c r="L1465" t="s">
        <v>43</v>
      </c>
      <c r="M1465" t="s">
        <v>43</v>
      </c>
      <c r="N1465" t="s">
        <v>45</v>
      </c>
      <c r="O1465" t="s">
        <v>43</v>
      </c>
      <c r="P1465" t="s">
        <v>43</v>
      </c>
      <c r="Q1465" t="s">
        <v>43</v>
      </c>
      <c r="R1465" t="s">
        <v>43</v>
      </c>
      <c r="S1465" t="s">
        <v>43</v>
      </c>
      <c r="T1465" t="s">
        <v>43</v>
      </c>
      <c r="U1465" t="s">
        <v>43</v>
      </c>
      <c r="V1465" t="s">
        <v>43</v>
      </c>
      <c r="W1465" t="s">
        <v>43</v>
      </c>
      <c r="X1465" t="s">
        <v>43</v>
      </c>
      <c r="Y1465" t="s">
        <v>43</v>
      </c>
      <c r="Z1465" t="s">
        <v>43</v>
      </c>
      <c r="AA1465" t="s">
        <v>43</v>
      </c>
      <c r="AB1465" t="s">
        <v>43</v>
      </c>
      <c r="AC1465" t="s">
        <v>43</v>
      </c>
      <c r="AD1465" t="s">
        <v>43</v>
      </c>
      <c r="AE1465" t="s">
        <v>43</v>
      </c>
      <c r="AF1465" t="s">
        <v>43</v>
      </c>
      <c r="AG1465" t="s">
        <v>43</v>
      </c>
      <c r="AH1465" t="s">
        <v>43</v>
      </c>
      <c r="AI1465" t="s">
        <v>43</v>
      </c>
      <c r="AJ1465" t="s">
        <v>43</v>
      </c>
      <c r="AK1465" t="s">
        <v>43</v>
      </c>
      <c r="AL1465" t="s">
        <v>43</v>
      </c>
      <c r="AM1465" t="s">
        <v>43</v>
      </c>
      <c r="AN1465" t="str">
        <f>HYPERLINK("https://www.google.com/maps?q=11.05589199,79.0641098","Open Location")</f>
        <v>Open Location</v>
      </c>
    </row>
    <row r="1466" spans="1:40" x14ac:dyDescent="0.3">
      <c r="A1466" s="1">
        <v>46210.830092592594</v>
      </c>
      <c r="B1466" t="s">
        <v>40</v>
      </c>
      <c r="C1466" t="s">
        <v>41</v>
      </c>
      <c r="D1466" s="1">
        <v>46210.833182870374</v>
      </c>
      <c r="E1466" t="s">
        <v>42</v>
      </c>
      <c r="F1466" t="s">
        <v>43</v>
      </c>
      <c r="G1466" t="s">
        <v>43</v>
      </c>
      <c r="H1466" t="s">
        <v>43</v>
      </c>
      <c r="I1466" t="s">
        <v>722</v>
      </c>
      <c r="J1466" t="s">
        <v>43</v>
      </c>
      <c r="K1466" t="s">
        <v>43</v>
      </c>
      <c r="L1466" t="s">
        <v>43</v>
      </c>
      <c r="M1466" t="s">
        <v>43</v>
      </c>
      <c r="N1466" t="s">
        <v>45</v>
      </c>
      <c r="O1466" t="s">
        <v>43</v>
      </c>
      <c r="P1466" t="s">
        <v>43</v>
      </c>
      <c r="Q1466" t="s">
        <v>43</v>
      </c>
      <c r="R1466" t="s">
        <v>43</v>
      </c>
      <c r="S1466" t="s">
        <v>43</v>
      </c>
      <c r="T1466" t="s">
        <v>43</v>
      </c>
      <c r="U1466" t="s">
        <v>43</v>
      </c>
      <c r="V1466" t="s">
        <v>43</v>
      </c>
      <c r="W1466" t="s">
        <v>43</v>
      </c>
      <c r="X1466" t="s">
        <v>43</v>
      </c>
      <c r="Y1466" t="s">
        <v>43</v>
      </c>
      <c r="Z1466" t="s">
        <v>43</v>
      </c>
      <c r="AA1466" t="s">
        <v>43</v>
      </c>
      <c r="AB1466" t="s">
        <v>43</v>
      </c>
      <c r="AC1466" t="s">
        <v>43</v>
      </c>
      <c r="AD1466" t="s">
        <v>43</v>
      </c>
      <c r="AE1466" t="s">
        <v>43</v>
      </c>
      <c r="AF1466" t="s">
        <v>43</v>
      </c>
      <c r="AG1466" t="s">
        <v>43</v>
      </c>
      <c r="AH1466" t="s">
        <v>43</v>
      </c>
      <c r="AI1466" t="s">
        <v>43</v>
      </c>
      <c r="AJ1466" t="s">
        <v>43</v>
      </c>
      <c r="AK1466" t="s">
        <v>43</v>
      </c>
      <c r="AL1466" t="s">
        <v>43</v>
      </c>
      <c r="AM1466" t="s">
        <v>43</v>
      </c>
      <c r="AN1466" t="str">
        <f>HYPERLINK("https://www.google.com/maps?q=11.05589485,79.0641098","Open Location")</f>
        <v>Open Location</v>
      </c>
    </row>
    <row r="1467" spans="1:40" x14ac:dyDescent="0.3">
      <c r="A1467" s="1">
        <v>46210.829976851855</v>
      </c>
      <c r="B1467" t="s">
        <v>40</v>
      </c>
      <c r="C1467" t="s">
        <v>41</v>
      </c>
      <c r="D1467" s="1">
        <v>46210.832789351851</v>
      </c>
      <c r="E1467" t="s">
        <v>42</v>
      </c>
      <c r="F1467" t="s">
        <v>43</v>
      </c>
      <c r="G1467" t="s">
        <v>43</v>
      </c>
      <c r="H1467" t="s">
        <v>43</v>
      </c>
      <c r="I1467" t="s">
        <v>723</v>
      </c>
      <c r="J1467" t="s">
        <v>43</v>
      </c>
      <c r="K1467" t="s">
        <v>43</v>
      </c>
      <c r="L1467" t="s">
        <v>43</v>
      </c>
      <c r="M1467" t="s">
        <v>43</v>
      </c>
      <c r="N1467" t="s">
        <v>45</v>
      </c>
      <c r="O1467" t="s">
        <v>43</v>
      </c>
      <c r="P1467" t="s">
        <v>43</v>
      </c>
      <c r="Q1467" t="s">
        <v>43</v>
      </c>
      <c r="R1467" t="s">
        <v>43</v>
      </c>
      <c r="S1467" t="s">
        <v>43</v>
      </c>
      <c r="T1467" t="s">
        <v>43</v>
      </c>
      <c r="U1467" t="s">
        <v>43</v>
      </c>
      <c r="V1467" t="s">
        <v>43</v>
      </c>
      <c r="W1467" t="s">
        <v>43</v>
      </c>
      <c r="X1467" t="s">
        <v>43</v>
      </c>
      <c r="Y1467" t="s">
        <v>43</v>
      </c>
      <c r="Z1467" t="s">
        <v>43</v>
      </c>
      <c r="AA1467" t="s">
        <v>43</v>
      </c>
      <c r="AB1467" t="s">
        <v>43</v>
      </c>
      <c r="AC1467" t="s">
        <v>43</v>
      </c>
      <c r="AD1467" t="s">
        <v>43</v>
      </c>
      <c r="AE1467" t="s">
        <v>43</v>
      </c>
      <c r="AF1467" t="s">
        <v>43</v>
      </c>
      <c r="AG1467" t="s">
        <v>43</v>
      </c>
      <c r="AH1467" t="s">
        <v>43</v>
      </c>
      <c r="AI1467" t="s">
        <v>43</v>
      </c>
      <c r="AJ1467" t="s">
        <v>43</v>
      </c>
      <c r="AK1467" t="s">
        <v>43</v>
      </c>
      <c r="AL1467" t="s">
        <v>43</v>
      </c>
      <c r="AM1467" t="s">
        <v>43</v>
      </c>
      <c r="AN1467" t="str">
        <f>HYPERLINK("https://www.google.com/maps?q=11.05589581,79.0641098","Open Location")</f>
        <v>Open Location</v>
      </c>
    </row>
    <row r="1468" spans="1:40" x14ac:dyDescent="0.3">
      <c r="A1468" s="1">
        <v>46210.829861111109</v>
      </c>
      <c r="B1468" t="s">
        <v>40</v>
      </c>
      <c r="C1468" t="s">
        <v>41</v>
      </c>
      <c r="D1468" s="1">
        <v>46210.832997685182</v>
      </c>
      <c r="E1468" t="s">
        <v>42</v>
      </c>
      <c r="F1468" t="s">
        <v>43</v>
      </c>
      <c r="G1468" t="s">
        <v>43</v>
      </c>
      <c r="H1468" t="s">
        <v>43</v>
      </c>
      <c r="I1468" t="s">
        <v>724</v>
      </c>
      <c r="J1468" t="s">
        <v>43</v>
      </c>
      <c r="K1468" t="s">
        <v>43</v>
      </c>
      <c r="L1468" t="s">
        <v>43</v>
      </c>
      <c r="M1468" t="s">
        <v>43</v>
      </c>
      <c r="N1468" t="s">
        <v>45</v>
      </c>
      <c r="O1468" t="s">
        <v>43</v>
      </c>
      <c r="P1468" t="s">
        <v>43</v>
      </c>
      <c r="Q1468" t="s">
        <v>43</v>
      </c>
      <c r="R1468" t="s">
        <v>43</v>
      </c>
      <c r="S1468" t="s">
        <v>43</v>
      </c>
      <c r="T1468" t="s">
        <v>43</v>
      </c>
      <c r="U1468" t="s">
        <v>43</v>
      </c>
      <c r="V1468" t="s">
        <v>43</v>
      </c>
      <c r="W1468" t="s">
        <v>43</v>
      </c>
      <c r="X1468" t="s">
        <v>43</v>
      </c>
      <c r="Y1468" t="s">
        <v>43</v>
      </c>
      <c r="Z1468" t="s">
        <v>43</v>
      </c>
      <c r="AA1468" t="s">
        <v>43</v>
      </c>
      <c r="AB1468" t="s">
        <v>43</v>
      </c>
      <c r="AC1468" t="s">
        <v>43</v>
      </c>
      <c r="AD1468" t="s">
        <v>43</v>
      </c>
      <c r="AE1468" t="s">
        <v>43</v>
      </c>
      <c r="AF1468" t="s">
        <v>43</v>
      </c>
      <c r="AG1468" t="s">
        <v>43</v>
      </c>
      <c r="AH1468" t="s">
        <v>43</v>
      </c>
      <c r="AI1468" t="s">
        <v>43</v>
      </c>
      <c r="AJ1468" t="s">
        <v>43</v>
      </c>
      <c r="AK1468" t="s">
        <v>43</v>
      </c>
      <c r="AL1468" t="s">
        <v>43</v>
      </c>
      <c r="AM1468" t="s">
        <v>43</v>
      </c>
      <c r="AN1468" t="str">
        <f>HYPERLINK("https://www.google.com/maps?q=11.05589104,79.0641098","Open Location")</f>
        <v>Open Location</v>
      </c>
    </row>
    <row r="1469" spans="1:40" x14ac:dyDescent="0.3">
      <c r="A1469" s="1">
        <v>46210.829745370371</v>
      </c>
      <c r="B1469" t="s">
        <v>40</v>
      </c>
      <c r="C1469" t="s">
        <v>41</v>
      </c>
      <c r="D1469" s="1">
        <v>46210.832604166666</v>
      </c>
      <c r="E1469" t="s">
        <v>42</v>
      </c>
      <c r="F1469" t="s">
        <v>43</v>
      </c>
      <c r="G1469" t="s">
        <v>43</v>
      </c>
      <c r="H1469" t="s">
        <v>43</v>
      </c>
      <c r="I1469" t="s">
        <v>725</v>
      </c>
      <c r="J1469" t="s">
        <v>43</v>
      </c>
      <c r="K1469" t="s">
        <v>43</v>
      </c>
      <c r="L1469" t="s">
        <v>43</v>
      </c>
      <c r="M1469" t="s">
        <v>43</v>
      </c>
      <c r="N1469" t="s">
        <v>45</v>
      </c>
      <c r="O1469" t="s">
        <v>43</v>
      </c>
      <c r="P1469" t="s">
        <v>43</v>
      </c>
      <c r="Q1469" t="s">
        <v>43</v>
      </c>
      <c r="R1469" t="s">
        <v>43</v>
      </c>
      <c r="S1469" t="s">
        <v>43</v>
      </c>
      <c r="T1469" t="s">
        <v>43</v>
      </c>
      <c r="U1469" t="s">
        <v>43</v>
      </c>
      <c r="V1469" t="s">
        <v>43</v>
      </c>
      <c r="W1469" t="s">
        <v>43</v>
      </c>
      <c r="X1469" t="s">
        <v>43</v>
      </c>
      <c r="Y1469" t="s">
        <v>43</v>
      </c>
      <c r="Z1469" t="s">
        <v>43</v>
      </c>
      <c r="AA1469" t="s">
        <v>43</v>
      </c>
      <c r="AB1469" t="s">
        <v>43</v>
      </c>
      <c r="AC1469" t="s">
        <v>43</v>
      </c>
      <c r="AD1469" t="s">
        <v>43</v>
      </c>
      <c r="AE1469" t="s">
        <v>43</v>
      </c>
      <c r="AF1469" t="s">
        <v>43</v>
      </c>
      <c r="AG1469" t="s">
        <v>43</v>
      </c>
      <c r="AH1469" t="s">
        <v>43</v>
      </c>
      <c r="AI1469" t="s">
        <v>43</v>
      </c>
      <c r="AJ1469" t="s">
        <v>43</v>
      </c>
      <c r="AK1469" t="s">
        <v>43</v>
      </c>
      <c r="AL1469" t="s">
        <v>43</v>
      </c>
      <c r="AM1469" t="s">
        <v>43</v>
      </c>
      <c r="AN1469" t="str">
        <f>HYPERLINK("https://www.google.com/maps?q=11.05588818,79.06411743","Open Location")</f>
        <v>Open Location</v>
      </c>
    </row>
    <row r="1470" spans="1:40" x14ac:dyDescent="0.3">
      <c r="A1470" s="1">
        <v>46210.829629629632</v>
      </c>
      <c r="B1470" t="s">
        <v>40</v>
      </c>
      <c r="C1470" t="s">
        <v>41</v>
      </c>
      <c r="D1470" s="1">
        <v>46210.832627314812</v>
      </c>
      <c r="E1470" t="s">
        <v>42</v>
      </c>
      <c r="F1470" t="s">
        <v>43</v>
      </c>
      <c r="G1470" t="s">
        <v>43</v>
      </c>
      <c r="H1470" t="s">
        <v>43</v>
      </c>
      <c r="I1470" t="s">
        <v>43</v>
      </c>
      <c r="J1470" t="s">
        <v>43</v>
      </c>
      <c r="K1470" t="s">
        <v>43</v>
      </c>
      <c r="L1470" t="s">
        <v>43</v>
      </c>
      <c r="M1470" t="s">
        <v>43</v>
      </c>
      <c r="N1470" t="s">
        <v>45</v>
      </c>
      <c r="O1470" t="s">
        <v>43</v>
      </c>
      <c r="P1470" t="s">
        <v>43</v>
      </c>
      <c r="Q1470" t="s">
        <v>43</v>
      </c>
      <c r="R1470" t="s">
        <v>43</v>
      </c>
      <c r="S1470" t="s">
        <v>43</v>
      </c>
      <c r="T1470" t="s">
        <v>43</v>
      </c>
      <c r="U1470" t="s">
        <v>43</v>
      </c>
      <c r="V1470" t="s">
        <v>43</v>
      </c>
      <c r="W1470" t="s">
        <v>43</v>
      </c>
      <c r="X1470" t="s">
        <v>43</v>
      </c>
      <c r="Y1470" t="s">
        <v>43</v>
      </c>
      <c r="Z1470" t="s">
        <v>43</v>
      </c>
      <c r="AA1470" t="s">
        <v>43</v>
      </c>
      <c r="AB1470" t="s">
        <v>43</v>
      </c>
      <c r="AC1470" t="s">
        <v>43</v>
      </c>
      <c r="AD1470" t="s">
        <v>43</v>
      </c>
      <c r="AE1470" t="s">
        <v>43</v>
      </c>
      <c r="AF1470" t="s">
        <v>43</v>
      </c>
      <c r="AG1470" t="s">
        <v>43</v>
      </c>
      <c r="AH1470" t="s">
        <v>43</v>
      </c>
      <c r="AI1470" t="s">
        <v>43</v>
      </c>
      <c r="AJ1470" t="s">
        <v>43</v>
      </c>
      <c r="AK1470" t="s">
        <v>43</v>
      </c>
      <c r="AL1470" t="s">
        <v>43</v>
      </c>
      <c r="AM1470" t="s">
        <v>43</v>
      </c>
      <c r="AN1470" t="s">
        <v>43</v>
      </c>
    </row>
    <row r="1471" spans="1:40" x14ac:dyDescent="0.3">
      <c r="A1471" s="1">
        <v>46210.829513888886</v>
      </c>
      <c r="B1471" t="s">
        <v>40</v>
      </c>
      <c r="C1471" t="s">
        <v>41</v>
      </c>
      <c r="D1471" s="1">
        <v>46210.832268518519</v>
      </c>
      <c r="E1471" t="s">
        <v>42</v>
      </c>
      <c r="F1471" t="s">
        <v>43</v>
      </c>
      <c r="G1471" t="s">
        <v>43</v>
      </c>
      <c r="H1471" t="s">
        <v>43</v>
      </c>
      <c r="I1471" t="s">
        <v>692</v>
      </c>
      <c r="J1471" t="s">
        <v>43</v>
      </c>
      <c r="K1471" t="s">
        <v>43</v>
      </c>
      <c r="L1471" t="s">
        <v>43</v>
      </c>
      <c r="M1471" t="s">
        <v>43</v>
      </c>
      <c r="N1471" t="s">
        <v>45</v>
      </c>
      <c r="O1471" t="s">
        <v>43</v>
      </c>
      <c r="P1471" t="s">
        <v>43</v>
      </c>
      <c r="Q1471" t="s">
        <v>43</v>
      </c>
      <c r="R1471" t="s">
        <v>43</v>
      </c>
      <c r="S1471" t="s">
        <v>43</v>
      </c>
      <c r="T1471" t="s">
        <v>43</v>
      </c>
      <c r="U1471" t="s">
        <v>43</v>
      </c>
      <c r="V1471" t="s">
        <v>43</v>
      </c>
      <c r="W1471" t="s">
        <v>43</v>
      </c>
      <c r="X1471" t="s">
        <v>43</v>
      </c>
      <c r="Y1471" t="s">
        <v>43</v>
      </c>
      <c r="Z1471" t="s">
        <v>43</v>
      </c>
      <c r="AA1471" t="s">
        <v>43</v>
      </c>
      <c r="AB1471" t="s">
        <v>43</v>
      </c>
      <c r="AC1471" t="s">
        <v>43</v>
      </c>
      <c r="AD1471" t="s">
        <v>43</v>
      </c>
      <c r="AE1471" t="s">
        <v>43</v>
      </c>
      <c r="AF1471" t="s">
        <v>43</v>
      </c>
      <c r="AG1471" t="s">
        <v>43</v>
      </c>
      <c r="AH1471" t="s">
        <v>43</v>
      </c>
      <c r="AI1471" t="s">
        <v>43</v>
      </c>
      <c r="AJ1471" t="s">
        <v>43</v>
      </c>
      <c r="AK1471" t="s">
        <v>43</v>
      </c>
      <c r="AL1471" t="s">
        <v>43</v>
      </c>
      <c r="AM1471" t="s">
        <v>43</v>
      </c>
      <c r="AN1471" t="str">
        <f>HYPERLINK("https://www.google.com/maps?q=11.05588341,79.06411743","Open Location")</f>
        <v>Open Location</v>
      </c>
    </row>
    <row r="1472" spans="1:40" x14ac:dyDescent="0.3">
      <c r="A1472" s="1">
        <v>46210.829398148147</v>
      </c>
      <c r="B1472" t="s">
        <v>40</v>
      </c>
      <c r="C1472" t="s">
        <v>41</v>
      </c>
      <c r="D1472" s="1">
        <v>46210.832268518519</v>
      </c>
      <c r="E1472" t="s">
        <v>42</v>
      </c>
      <c r="F1472" t="s">
        <v>43</v>
      </c>
      <c r="G1472" t="s">
        <v>43</v>
      </c>
      <c r="H1472" t="s">
        <v>43</v>
      </c>
      <c r="I1472" t="s">
        <v>726</v>
      </c>
      <c r="J1472" t="s">
        <v>43</v>
      </c>
      <c r="K1472" t="s">
        <v>43</v>
      </c>
      <c r="L1472" t="s">
        <v>43</v>
      </c>
      <c r="M1472" t="s">
        <v>43</v>
      </c>
      <c r="N1472" t="s">
        <v>45</v>
      </c>
      <c r="O1472" t="s">
        <v>43</v>
      </c>
      <c r="P1472" t="s">
        <v>43</v>
      </c>
      <c r="Q1472" t="s">
        <v>43</v>
      </c>
      <c r="R1472" t="s">
        <v>43</v>
      </c>
      <c r="S1472" t="s">
        <v>43</v>
      </c>
      <c r="T1472" t="s">
        <v>43</v>
      </c>
      <c r="U1472" t="s">
        <v>43</v>
      </c>
      <c r="V1472" t="s">
        <v>43</v>
      </c>
      <c r="W1472" t="s">
        <v>43</v>
      </c>
      <c r="X1472" t="s">
        <v>43</v>
      </c>
      <c r="Y1472" t="s">
        <v>43</v>
      </c>
      <c r="Z1472" t="s">
        <v>43</v>
      </c>
      <c r="AA1472" t="s">
        <v>43</v>
      </c>
      <c r="AB1472" t="s">
        <v>43</v>
      </c>
      <c r="AC1472" t="s">
        <v>43</v>
      </c>
      <c r="AD1472" t="s">
        <v>43</v>
      </c>
      <c r="AE1472" t="s">
        <v>43</v>
      </c>
      <c r="AF1472" t="s">
        <v>43</v>
      </c>
      <c r="AG1472" t="s">
        <v>43</v>
      </c>
      <c r="AH1472" t="s">
        <v>43</v>
      </c>
      <c r="AI1472" t="s">
        <v>43</v>
      </c>
      <c r="AJ1472" t="s">
        <v>43</v>
      </c>
      <c r="AK1472" t="s">
        <v>43</v>
      </c>
      <c r="AL1472" t="s">
        <v>43</v>
      </c>
      <c r="AM1472" t="s">
        <v>43</v>
      </c>
      <c r="AN1472" t="str">
        <f>HYPERLINK("https://www.google.com/maps?q=11.05587864,79.06412506","Open Location")</f>
        <v>Open Location</v>
      </c>
    </row>
    <row r="1473" spans="1:40" x14ac:dyDescent="0.3">
      <c r="A1473" s="1">
        <v>46210.829282407409</v>
      </c>
      <c r="B1473" t="s">
        <v>40</v>
      </c>
      <c r="C1473" t="s">
        <v>41</v>
      </c>
      <c r="D1473" s="1">
        <v>46210.832268518519</v>
      </c>
      <c r="E1473" t="s">
        <v>42</v>
      </c>
      <c r="F1473" t="s">
        <v>43</v>
      </c>
      <c r="G1473" t="s">
        <v>43</v>
      </c>
      <c r="H1473" t="s">
        <v>43</v>
      </c>
      <c r="I1473" t="s">
        <v>664</v>
      </c>
      <c r="J1473" t="s">
        <v>43</v>
      </c>
      <c r="K1473" t="s">
        <v>43</v>
      </c>
      <c r="L1473" t="s">
        <v>43</v>
      </c>
      <c r="M1473" t="s">
        <v>43</v>
      </c>
      <c r="N1473" t="s">
        <v>45</v>
      </c>
      <c r="O1473" t="s">
        <v>43</v>
      </c>
      <c r="P1473" t="s">
        <v>43</v>
      </c>
      <c r="Q1473" t="s">
        <v>43</v>
      </c>
      <c r="R1473" t="s">
        <v>43</v>
      </c>
      <c r="S1473" t="s">
        <v>43</v>
      </c>
      <c r="T1473" t="s">
        <v>43</v>
      </c>
      <c r="U1473" t="s">
        <v>43</v>
      </c>
      <c r="V1473" t="s">
        <v>43</v>
      </c>
      <c r="W1473" t="s">
        <v>43</v>
      </c>
      <c r="X1473" t="s">
        <v>43</v>
      </c>
      <c r="Y1473" t="s">
        <v>43</v>
      </c>
      <c r="Z1473" t="s">
        <v>43</v>
      </c>
      <c r="AA1473" t="s">
        <v>43</v>
      </c>
      <c r="AB1473" t="s">
        <v>43</v>
      </c>
      <c r="AC1473" t="s">
        <v>43</v>
      </c>
      <c r="AD1473" t="s">
        <v>43</v>
      </c>
      <c r="AE1473" t="s">
        <v>43</v>
      </c>
      <c r="AF1473" t="s">
        <v>43</v>
      </c>
      <c r="AG1473" t="s">
        <v>43</v>
      </c>
      <c r="AH1473" t="s">
        <v>43</v>
      </c>
      <c r="AI1473" t="s">
        <v>43</v>
      </c>
      <c r="AJ1473" t="s">
        <v>43</v>
      </c>
      <c r="AK1473" t="s">
        <v>43</v>
      </c>
      <c r="AL1473" t="s">
        <v>43</v>
      </c>
      <c r="AM1473" t="s">
        <v>43</v>
      </c>
      <c r="AN1473" t="str">
        <f>HYPERLINK("https://www.google.com/maps?q=11.05587673,79.06412506","Open Location")</f>
        <v>Open Location</v>
      </c>
    </row>
    <row r="1474" spans="1:40" x14ac:dyDescent="0.3">
      <c r="A1474" s="1">
        <v>46210.82916666667</v>
      </c>
      <c r="B1474" t="s">
        <v>40</v>
      </c>
      <c r="C1474" t="s">
        <v>41</v>
      </c>
      <c r="D1474" s="1">
        <v>46210.832291666666</v>
      </c>
      <c r="E1474" t="s">
        <v>42</v>
      </c>
      <c r="F1474" t="s">
        <v>43</v>
      </c>
      <c r="G1474" t="s">
        <v>43</v>
      </c>
      <c r="H1474" t="s">
        <v>43</v>
      </c>
      <c r="I1474" t="s">
        <v>727</v>
      </c>
      <c r="J1474" t="s">
        <v>43</v>
      </c>
      <c r="K1474" t="s">
        <v>43</v>
      </c>
      <c r="L1474" t="s">
        <v>43</v>
      </c>
      <c r="M1474" t="s">
        <v>43</v>
      </c>
      <c r="N1474" t="s">
        <v>45</v>
      </c>
      <c r="O1474" t="s">
        <v>43</v>
      </c>
      <c r="P1474" t="s">
        <v>43</v>
      </c>
      <c r="Q1474" t="s">
        <v>43</v>
      </c>
      <c r="R1474" t="s">
        <v>43</v>
      </c>
      <c r="S1474" t="s">
        <v>43</v>
      </c>
      <c r="T1474" t="s">
        <v>43</v>
      </c>
      <c r="U1474" t="s">
        <v>43</v>
      </c>
      <c r="V1474" t="s">
        <v>43</v>
      </c>
      <c r="W1474" t="s">
        <v>43</v>
      </c>
      <c r="X1474" t="s">
        <v>43</v>
      </c>
      <c r="Y1474" t="s">
        <v>43</v>
      </c>
      <c r="Z1474" t="s">
        <v>43</v>
      </c>
      <c r="AA1474" t="s">
        <v>43</v>
      </c>
      <c r="AB1474" t="s">
        <v>43</v>
      </c>
      <c r="AC1474" t="s">
        <v>43</v>
      </c>
      <c r="AD1474" t="s">
        <v>43</v>
      </c>
      <c r="AE1474" t="s">
        <v>43</v>
      </c>
      <c r="AF1474" t="s">
        <v>43</v>
      </c>
      <c r="AG1474" t="s">
        <v>43</v>
      </c>
      <c r="AH1474" t="s">
        <v>43</v>
      </c>
      <c r="AI1474" t="s">
        <v>43</v>
      </c>
      <c r="AJ1474" t="s">
        <v>43</v>
      </c>
      <c r="AK1474" t="s">
        <v>43</v>
      </c>
      <c r="AL1474" t="s">
        <v>43</v>
      </c>
      <c r="AM1474" t="s">
        <v>43</v>
      </c>
      <c r="AN1474" t="str">
        <f>HYPERLINK("https://www.google.com/maps?q=11.05588245,79.06412506","Open Location")</f>
        <v>Open Location</v>
      </c>
    </row>
    <row r="1475" spans="1:40" x14ac:dyDescent="0.3">
      <c r="A1475" s="1">
        <v>46210.829050925924</v>
      </c>
      <c r="B1475" t="s">
        <v>40</v>
      </c>
      <c r="C1475" t="s">
        <v>41</v>
      </c>
      <c r="D1475" s="1">
        <v>46210.831736111111</v>
      </c>
      <c r="E1475" t="s">
        <v>42</v>
      </c>
      <c r="F1475" t="s">
        <v>43</v>
      </c>
      <c r="G1475" t="s">
        <v>43</v>
      </c>
      <c r="H1475" t="s">
        <v>43</v>
      </c>
      <c r="I1475" t="s">
        <v>43</v>
      </c>
      <c r="J1475" t="s">
        <v>43</v>
      </c>
      <c r="K1475" t="s">
        <v>43</v>
      </c>
      <c r="L1475" t="s">
        <v>43</v>
      </c>
      <c r="M1475" t="s">
        <v>43</v>
      </c>
      <c r="N1475" t="s">
        <v>45</v>
      </c>
      <c r="O1475" t="s">
        <v>43</v>
      </c>
      <c r="P1475" t="s">
        <v>43</v>
      </c>
      <c r="Q1475" t="s">
        <v>43</v>
      </c>
      <c r="R1475" t="s">
        <v>43</v>
      </c>
      <c r="S1475" t="s">
        <v>43</v>
      </c>
      <c r="T1475" t="s">
        <v>43</v>
      </c>
      <c r="U1475" t="s">
        <v>43</v>
      </c>
      <c r="V1475" t="s">
        <v>43</v>
      </c>
      <c r="W1475" t="s">
        <v>43</v>
      </c>
      <c r="X1475" t="s">
        <v>43</v>
      </c>
      <c r="Y1475" t="s">
        <v>43</v>
      </c>
      <c r="Z1475" t="s">
        <v>43</v>
      </c>
      <c r="AA1475" t="s">
        <v>43</v>
      </c>
      <c r="AB1475" t="s">
        <v>43</v>
      </c>
      <c r="AC1475" t="s">
        <v>43</v>
      </c>
      <c r="AD1475" t="s">
        <v>43</v>
      </c>
      <c r="AE1475" t="s">
        <v>43</v>
      </c>
      <c r="AF1475" t="s">
        <v>43</v>
      </c>
      <c r="AG1475" t="s">
        <v>43</v>
      </c>
      <c r="AH1475" t="s">
        <v>43</v>
      </c>
      <c r="AI1475" t="s">
        <v>43</v>
      </c>
      <c r="AJ1475" t="s">
        <v>43</v>
      </c>
      <c r="AK1475" t="s">
        <v>43</v>
      </c>
      <c r="AL1475" t="s">
        <v>43</v>
      </c>
      <c r="AM1475" t="s">
        <v>43</v>
      </c>
      <c r="AN1475" t="s">
        <v>43</v>
      </c>
    </row>
    <row r="1476" spans="1:40" x14ac:dyDescent="0.3">
      <c r="A1476" s="1">
        <v>46210.828935185185</v>
      </c>
      <c r="B1476" t="s">
        <v>40</v>
      </c>
      <c r="C1476" t="s">
        <v>41</v>
      </c>
      <c r="D1476" s="1">
        <v>46210.831736111111</v>
      </c>
      <c r="E1476" t="s">
        <v>42</v>
      </c>
      <c r="F1476" t="s">
        <v>43</v>
      </c>
      <c r="G1476" t="s">
        <v>43</v>
      </c>
      <c r="H1476" t="s">
        <v>43</v>
      </c>
      <c r="I1476" t="s">
        <v>726</v>
      </c>
      <c r="J1476" t="s">
        <v>43</v>
      </c>
      <c r="K1476" t="s">
        <v>43</v>
      </c>
      <c r="L1476" t="s">
        <v>43</v>
      </c>
      <c r="M1476" t="s">
        <v>43</v>
      </c>
      <c r="N1476" t="s">
        <v>45</v>
      </c>
      <c r="O1476" t="s">
        <v>43</v>
      </c>
      <c r="P1476" t="s">
        <v>43</v>
      </c>
      <c r="Q1476" t="s">
        <v>43</v>
      </c>
      <c r="R1476" t="s">
        <v>43</v>
      </c>
      <c r="S1476" t="s">
        <v>43</v>
      </c>
      <c r="T1476" t="s">
        <v>43</v>
      </c>
      <c r="U1476" t="s">
        <v>43</v>
      </c>
      <c r="V1476" t="s">
        <v>43</v>
      </c>
      <c r="W1476" t="s">
        <v>43</v>
      </c>
      <c r="X1476" t="s">
        <v>43</v>
      </c>
      <c r="Y1476" t="s">
        <v>43</v>
      </c>
      <c r="Z1476" t="s">
        <v>43</v>
      </c>
      <c r="AA1476" t="s">
        <v>43</v>
      </c>
      <c r="AB1476" t="s">
        <v>43</v>
      </c>
      <c r="AC1476" t="s">
        <v>43</v>
      </c>
      <c r="AD1476" t="s">
        <v>43</v>
      </c>
      <c r="AE1476" t="s">
        <v>43</v>
      </c>
      <c r="AF1476" t="s">
        <v>43</v>
      </c>
      <c r="AG1476" t="s">
        <v>43</v>
      </c>
      <c r="AH1476" t="s">
        <v>43</v>
      </c>
      <c r="AI1476" t="s">
        <v>43</v>
      </c>
      <c r="AJ1476" t="s">
        <v>43</v>
      </c>
      <c r="AK1476" t="s">
        <v>43</v>
      </c>
      <c r="AL1476" t="s">
        <v>43</v>
      </c>
      <c r="AM1476" t="s">
        <v>43</v>
      </c>
      <c r="AN1476" t="str">
        <f>HYPERLINK("https://www.google.com/maps?q=11.05587864,79.06412506","Open Location")</f>
        <v>Open Location</v>
      </c>
    </row>
    <row r="1477" spans="1:40" x14ac:dyDescent="0.3">
      <c r="A1477" s="1">
        <v>46210.828819444447</v>
      </c>
      <c r="B1477" t="s">
        <v>40</v>
      </c>
      <c r="C1477" t="s">
        <v>41</v>
      </c>
      <c r="D1477" s="1">
        <v>46210.831712962965</v>
      </c>
      <c r="E1477" t="s">
        <v>42</v>
      </c>
      <c r="F1477" t="s">
        <v>43</v>
      </c>
      <c r="G1477" t="s">
        <v>43</v>
      </c>
      <c r="H1477" t="s">
        <v>43</v>
      </c>
      <c r="I1477" t="s">
        <v>623</v>
      </c>
      <c r="J1477" t="s">
        <v>43</v>
      </c>
      <c r="K1477" t="s">
        <v>43</v>
      </c>
      <c r="L1477" t="s">
        <v>43</v>
      </c>
      <c r="M1477" t="s">
        <v>43</v>
      </c>
      <c r="N1477" t="s">
        <v>45</v>
      </c>
      <c r="O1477" t="s">
        <v>43</v>
      </c>
      <c r="P1477" t="s">
        <v>43</v>
      </c>
      <c r="Q1477" t="s">
        <v>43</v>
      </c>
      <c r="R1477" t="s">
        <v>43</v>
      </c>
      <c r="S1477" t="s">
        <v>43</v>
      </c>
      <c r="T1477" t="s">
        <v>43</v>
      </c>
      <c r="U1477" t="s">
        <v>43</v>
      </c>
      <c r="V1477" t="s">
        <v>43</v>
      </c>
      <c r="W1477" t="s">
        <v>43</v>
      </c>
      <c r="X1477" t="s">
        <v>43</v>
      </c>
      <c r="Y1477" t="s">
        <v>43</v>
      </c>
      <c r="Z1477" t="s">
        <v>43</v>
      </c>
      <c r="AA1477" t="s">
        <v>43</v>
      </c>
      <c r="AB1477" t="s">
        <v>43</v>
      </c>
      <c r="AC1477" t="s">
        <v>43</v>
      </c>
      <c r="AD1477" t="s">
        <v>43</v>
      </c>
      <c r="AE1477" t="s">
        <v>43</v>
      </c>
      <c r="AF1477" t="s">
        <v>43</v>
      </c>
      <c r="AG1477" t="s">
        <v>43</v>
      </c>
      <c r="AH1477" t="s">
        <v>43</v>
      </c>
      <c r="AI1477" t="s">
        <v>43</v>
      </c>
      <c r="AJ1477" t="s">
        <v>43</v>
      </c>
      <c r="AK1477" t="s">
        <v>43</v>
      </c>
      <c r="AL1477" t="s">
        <v>43</v>
      </c>
      <c r="AM1477" t="s">
        <v>43</v>
      </c>
      <c r="AN1477" t="str">
        <f>HYPERLINK("https://www.google.com/maps?q=11.05587959,79.06412506","Open Location")</f>
        <v>Open Location</v>
      </c>
    </row>
    <row r="1478" spans="1:40" x14ac:dyDescent="0.3">
      <c r="A1478" s="1">
        <v>46210.828703703701</v>
      </c>
      <c r="B1478" t="s">
        <v>40</v>
      </c>
      <c r="C1478" t="s">
        <v>41</v>
      </c>
      <c r="D1478" s="1">
        <v>46210.831574074073</v>
      </c>
      <c r="E1478" t="s">
        <v>42</v>
      </c>
      <c r="F1478" t="s">
        <v>43</v>
      </c>
      <c r="G1478" t="s">
        <v>43</v>
      </c>
      <c r="H1478" t="s">
        <v>43</v>
      </c>
      <c r="I1478" t="s">
        <v>727</v>
      </c>
      <c r="J1478" t="s">
        <v>43</v>
      </c>
      <c r="K1478" t="s">
        <v>43</v>
      </c>
      <c r="L1478" t="s">
        <v>43</v>
      </c>
      <c r="M1478" t="s">
        <v>43</v>
      </c>
      <c r="N1478" t="s">
        <v>45</v>
      </c>
      <c r="O1478" t="s">
        <v>43</v>
      </c>
      <c r="P1478" t="s">
        <v>43</v>
      </c>
      <c r="Q1478" t="s">
        <v>43</v>
      </c>
      <c r="R1478" t="s">
        <v>43</v>
      </c>
      <c r="S1478" t="s">
        <v>43</v>
      </c>
      <c r="T1478" t="s">
        <v>43</v>
      </c>
      <c r="U1478" t="s">
        <v>43</v>
      </c>
      <c r="V1478" t="s">
        <v>43</v>
      </c>
      <c r="W1478" t="s">
        <v>43</v>
      </c>
      <c r="X1478" t="s">
        <v>43</v>
      </c>
      <c r="Y1478" t="s">
        <v>43</v>
      </c>
      <c r="Z1478" t="s">
        <v>43</v>
      </c>
      <c r="AA1478" t="s">
        <v>43</v>
      </c>
      <c r="AB1478" t="s">
        <v>43</v>
      </c>
      <c r="AC1478" t="s">
        <v>43</v>
      </c>
      <c r="AD1478" t="s">
        <v>43</v>
      </c>
      <c r="AE1478" t="s">
        <v>43</v>
      </c>
      <c r="AF1478" t="s">
        <v>43</v>
      </c>
      <c r="AG1478" t="s">
        <v>43</v>
      </c>
      <c r="AH1478" t="s">
        <v>43</v>
      </c>
      <c r="AI1478" t="s">
        <v>43</v>
      </c>
      <c r="AJ1478" t="s">
        <v>43</v>
      </c>
      <c r="AK1478" t="s">
        <v>43</v>
      </c>
      <c r="AL1478" t="s">
        <v>43</v>
      </c>
      <c r="AM1478" t="s">
        <v>43</v>
      </c>
      <c r="AN1478" t="str">
        <f>HYPERLINK("https://www.google.com/maps?q=11.05588245,79.06412506","Open Location")</f>
        <v>Open Location</v>
      </c>
    </row>
    <row r="1479" spans="1:40" x14ac:dyDescent="0.3">
      <c r="A1479" s="1">
        <v>46210.828587962962</v>
      </c>
      <c r="B1479" t="s">
        <v>40</v>
      </c>
      <c r="C1479" t="s">
        <v>41</v>
      </c>
      <c r="D1479" s="1">
        <v>46210.831516203703</v>
      </c>
      <c r="E1479" t="s">
        <v>42</v>
      </c>
      <c r="F1479" t="s">
        <v>43</v>
      </c>
      <c r="G1479" t="s">
        <v>43</v>
      </c>
      <c r="H1479" t="s">
        <v>43</v>
      </c>
      <c r="I1479" t="s">
        <v>728</v>
      </c>
      <c r="J1479" t="s">
        <v>43</v>
      </c>
      <c r="K1479" t="s">
        <v>43</v>
      </c>
      <c r="L1479" t="s">
        <v>43</v>
      </c>
      <c r="M1479" t="s">
        <v>43</v>
      </c>
      <c r="N1479" t="s">
        <v>45</v>
      </c>
      <c r="O1479" t="s">
        <v>43</v>
      </c>
      <c r="P1479" t="s">
        <v>43</v>
      </c>
      <c r="Q1479" t="s">
        <v>43</v>
      </c>
      <c r="R1479" t="s">
        <v>43</v>
      </c>
      <c r="S1479" t="s">
        <v>43</v>
      </c>
      <c r="T1479" t="s">
        <v>43</v>
      </c>
      <c r="U1479" t="s">
        <v>43</v>
      </c>
      <c r="V1479" t="s">
        <v>43</v>
      </c>
      <c r="W1479" t="s">
        <v>43</v>
      </c>
      <c r="X1479" t="s">
        <v>43</v>
      </c>
      <c r="Y1479" t="s">
        <v>43</v>
      </c>
      <c r="Z1479" t="s">
        <v>43</v>
      </c>
      <c r="AA1479" t="s">
        <v>43</v>
      </c>
      <c r="AB1479" t="s">
        <v>43</v>
      </c>
      <c r="AC1479" t="s">
        <v>43</v>
      </c>
      <c r="AD1479" t="s">
        <v>43</v>
      </c>
      <c r="AE1479" t="s">
        <v>43</v>
      </c>
      <c r="AF1479" t="s">
        <v>43</v>
      </c>
      <c r="AG1479" t="s">
        <v>43</v>
      </c>
      <c r="AH1479" t="s">
        <v>43</v>
      </c>
      <c r="AI1479" t="s">
        <v>43</v>
      </c>
      <c r="AJ1479" t="s">
        <v>43</v>
      </c>
      <c r="AK1479" t="s">
        <v>43</v>
      </c>
      <c r="AL1479" t="s">
        <v>43</v>
      </c>
      <c r="AM1479" t="s">
        <v>43</v>
      </c>
      <c r="AN1479" t="str">
        <f>HYPERLINK("https://www.google.com/maps?q=11.05588436,79.06412506","Open Location")</f>
        <v>Open Location</v>
      </c>
    </row>
    <row r="1480" spans="1:40" x14ac:dyDescent="0.3">
      <c r="A1480" s="1">
        <v>46210.828472222223</v>
      </c>
      <c r="B1480" t="s">
        <v>40</v>
      </c>
      <c r="C1480" t="s">
        <v>41</v>
      </c>
      <c r="D1480" s="1">
        <v>46210.83153935185</v>
      </c>
      <c r="E1480" t="s">
        <v>42</v>
      </c>
      <c r="F1480" t="s">
        <v>43</v>
      </c>
      <c r="G1480" t="s">
        <v>43</v>
      </c>
      <c r="H1480" t="s">
        <v>43</v>
      </c>
      <c r="I1480" t="s">
        <v>728</v>
      </c>
      <c r="J1480" t="s">
        <v>43</v>
      </c>
      <c r="K1480" t="s">
        <v>43</v>
      </c>
      <c r="L1480" t="s">
        <v>43</v>
      </c>
      <c r="M1480" t="s">
        <v>43</v>
      </c>
      <c r="N1480" t="s">
        <v>45</v>
      </c>
      <c r="O1480" t="s">
        <v>43</v>
      </c>
      <c r="P1480" t="s">
        <v>43</v>
      </c>
      <c r="Q1480" t="s">
        <v>43</v>
      </c>
      <c r="R1480" t="s">
        <v>43</v>
      </c>
      <c r="S1480" t="s">
        <v>43</v>
      </c>
      <c r="T1480" t="s">
        <v>43</v>
      </c>
      <c r="U1480" t="s">
        <v>43</v>
      </c>
      <c r="V1480" t="s">
        <v>43</v>
      </c>
      <c r="W1480" t="s">
        <v>43</v>
      </c>
      <c r="X1480" t="s">
        <v>43</v>
      </c>
      <c r="Y1480" t="s">
        <v>43</v>
      </c>
      <c r="Z1480" t="s">
        <v>43</v>
      </c>
      <c r="AA1480" t="s">
        <v>43</v>
      </c>
      <c r="AB1480" t="s">
        <v>43</v>
      </c>
      <c r="AC1480" t="s">
        <v>43</v>
      </c>
      <c r="AD1480" t="s">
        <v>43</v>
      </c>
      <c r="AE1480" t="s">
        <v>43</v>
      </c>
      <c r="AF1480" t="s">
        <v>43</v>
      </c>
      <c r="AG1480" t="s">
        <v>43</v>
      </c>
      <c r="AH1480" t="s">
        <v>43</v>
      </c>
      <c r="AI1480" t="s">
        <v>43</v>
      </c>
      <c r="AJ1480" t="s">
        <v>43</v>
      </c>
      <c r="AK1480" t="s">
        <v>43</v>
      </c>
      <c r="AL1480" t="s">
        <v>43</v>
      </c>
      <c r="AM1480" t="s">
        <v>43</v>
      </c>
      <c r="AN1480" t="str">
        <f>HYPERLINK("https://www.google.com/maps?q=11.05588436,79.06412506","Open Location")</f>
        <v>Open Location</v>
      </c>
    </row>
    <row r="1481" spans="1:40" x14ac:dyDescent="0.3">
      <c r="A1481" s="1">
        <v>46210.828356481485</v>
      </c>
      <c r="B1481" t="s">
        <v>40</v>
      </c>
      <c r="C1481" t="s">
        <v>41</v>
      </c>
      <c r="D1481" s="1">
        <v>46210.831030092595</v>
      </c>
      <c r="E1481" t="s">
        <v>42</v>
      </c>
      <c r="F1481" t="s">
        <v>43</v>
      </c>
      <c r="G1481" t="s">
        <v>43</v>
      </c>
      <c r="H1481" t="s">
        <v>43</v>
      </c>
      <c r="I1481" t="s">
        <v>43</v>
      </c>
      <c r="J1481" t="s">
        <v>43</v>
      </c>
      <c r="K1481" t="s">
        <v>43</v>
      </c>
      <c r="L1481" t="s">
        <v>43</v>
      </c>
      <c r="M1481" t="s">
        <v>43</v>
      </c>
      <c r="N1481" t="s">
        <v>45</v>
      </c>
      <c r="O1481" t="s">
        <v>43</v>
      </c>
      <c r="P1481" t="s">
        <v>43</v>
      </c>
      <c r="Q1481" t="s">
        <v>43</v>
      </c>
      <c r="R1481" t="s">
        <v>43</v>
      </c>
      <c r="S1481" t="s">
        <v>43</v>
      </c>
      <c r="T1481" t="s">
        <v>43</v>
      </c>
      <c r="U1481" t="s">
        <v>43</v>
      </c>
      <c r="V1481" t="s">
        <v>43</v>
      </c>
      <c r="W1481" t="s">
        <v>43</v>
      </c>
      <c r="X1481" t="s">
        <v>43</v>
      </c>
      <c r="Y1481" t="s">
        <v>43</v>
      </c>
      <c r="Z1481" t="s">
        <v>43</v>
      </c>
      <c r="AA1481" t="s">
        <v>43</v>
      </c>
      <c r="AB1481" t="s">
        <v>43</v>
      </c>
      <c r="AC1481" t="s">
        <v>43</v>
      </c>
      <c r="AD1481" t="s">
        <v>43</v>
      </c>
      <c r="AE1481" t="s">
        <v>43</v>
      </c>
      <c r="AF1481" t="s">
        <v>43</v>
      </c>
      <c r="AG1481" t="s">
        <v>43</v>
      </c>
      <c r="AH1481" t="s">
        <v>43</v>
      </c>
      <c r="AI1481" t="s">
        <v>43</v>
      </c>
      <c r="AJ1481" t="s">
        <v>43</v>
      </c>
      <c r="AK1481" t="s">
        <v>43</v>
      </c>
      <c r="AL1481" t="s">
        <v>43</v>
      </c>
      <c r="AM1481" t="s">
        <v>43</v>
      </c>
      <c r="AN1481" t="s">
        <v>43</v>
      </c>
    </row>
    <row r="1482" spans="1:40" x14ac:dyDescent="0.3">
      <c r="A1482" s="1">
        <v>46210.828240740739</v>
      </c>
      <c r="B1482" t="s">
        <v>40</v>
      </c>
      <c r="C1482" t="s">
        <v>41</v>
      </c>
      <c r="D1482" s="1">
        <v>46210.831122685187</v>
      </c>
      <c r="E1482" t="s">
        <v>42</v>
      </c>
      <c r="F1482" t="s">
        <v>43</v>
      </c>
      <c r="G1482" t="s">
        <v>43</v>
      </c>
      <c r="H1482" t="s">
        <v>43</v>
      </c>
      <c r="I1482" t="s">
        <v>729</v>
      </c>
      <c r="J1482" t="s">
        <v>43</v>
      </c>
      <c r="K1482" t="s">
        <v>43</v>
      </c>
      <c r="L1482" t="s">
        <v>43</v>
      </c>
      <c r="M1482" t="s">
        <v>43</v>
      </c>
      <c r="N1482" t="s">
        <v>45</v>
      </c>
      <c r="O1482" t="s">
        <v>43</v>
      </c>
      <c r="P1482" t="s">
        <v>43</v>
      </c>
      <c r="Q1482" t="s">
        <v>43</v>
      </c>
      <c r="R1482" t="s">
        <v>43</v>
      </c>
      <c r="S1482" t="s">
        <v>43</v>
      </c>
      <c r="T1482" t="s">
        <v>43</v>
      </c>
      <c r="U1482" t="s">
        <v>43</v>
      </c>
      <c r="V1482" t="s">
        <v>43</v>
      </c>
      <c r="W1482" t="s">
        <v>43</v>
      </c>
      <c r="X1482" t="s">
        <v>43</v>
      </c>
      <c r="Y1482" t="s">
        <v>43</v>
      </c>
      <c r="Z1482" t="s">
        <v>43</v>
      </c>
      <c r="AA1482" t="s">
        <v>43</v>
      </c>
      <c r="AB1482" t="s">
        <v>43</v>
      </c>
      <c r="AC1482" t="s">
        <v>43</v>
      </c>
      <c r="AD1482" t="s">
        <v>43</v>
      </c>
      <c r="AE1482" t="s">
        <v>43</v>
      </c>
      <c r="AF1482" t="s">
        <v>43</v>
      </c>
      <c r="AG1482" t="s">
        <v>43</v>
      </c>
      <c r="AH1482" t="s">
        <v>43</v>
      </c>
      <c r="AI1482" t="s">
        <v>43</v>
      </c>
      <c r="AJ1482" t="s">
        <v>43</v>
      </c>
      <c r="AK1482" t="s">
        <v>43</v>
      </c>
      <c r="AL1482" t="s">
        <v>43</v>
      </c>
      <c r="AM1482" t="s">
        <v>43</v>
      </c>
      <c r="AN1482" t="str">
        <f>HYPERLINK("https://www.google.com/maps?q=11.05588627,79.06413269","Open Location")</f>
        <v>Open Location</v>
      </c>
    </row>
    <row r="1483" spans="1:40" x14ac:dyDescent="0.3">
      <c r="A1483" s="1">
        <v>46210.828125</v>
      </c>
      <c r="B1483" t="s">
        <v>40</v>
      </c>
      <c r="C1483" t="s">
        <v>41</v>
      </c>
      <c r="D1483" s="1">
        <v>46210.831238425926</v>
      </c>
      <c r="E1483" t="s">
        <v>42</v>
      </c>
      <c r="F1483" t="s">
        <v>43</v>
      </c>
      <c r="G1483" t="s">
        <v>43</v>
      </c>
      <c r="H1483" t="s">
        <v>43</v>
      </c>
      <c r="I1483" t="s">
        <v>624</v>
      </c>
      <c r="J1483" t="s">
        <v>43</v>
      </c>
      <c r="K1483" t="s">
        <v>43</v>
      </c>
      <c r="L1483" t="s">
        <v>43</v>
      </c>
      <c r="M1483" t="s">
        <v>43</v>
      </c>
      <c r="N1483" t="s">
        <v>45</v>
      </c>
      <c r="O1483" t="s">
        <v>43</v>
      </c>
      <c r="P1483" t="s">
        <v>43</v>
      </c>
      <c r="Q1483" t="s">
        <v>43</v>
      </c>
      <c r="R1483" t="s">
        <v>43</v>
      </c>
      <c r="S1483" t="s">
        <v>43</v>
      </c>
      <c r="T1483" t="s">
        <v>43</v>
      </c>
      <c r="U1483" t="s">
        <v>43</v>
      </c>
      <c r="V1483" t="s">
        <v>43</v>
      </c>
      <c r="W1483" t="s">
        <v>43</v>
      </c>
      <c r="X1483" t="s">
        <v>43</v>
      </c>
      <c r="Y1483" t="s">
        <v>43</v>
      </c>
      <c r="Z1483" t="s">
        <v>43</v>
      </c>
      <c r="AA1483" t="s">
        <v>43</v>
      </c>
      <c r="AB1483" t="s">
        <v>43</v>
      </c>
      <c r="AC1483" t="s">
        <v>43</v>
      </c>
      <c r="AD1483" t="s">
        <v>43</v>
      </c>
      <c r="AE1483" t="s">
        <v>43</v>
      </c>
      <c r="AF1483" t="s">
        <v>43</v>
      </c>
      <c r="AG1483" t="s">
        <v>43</v>
      </c>
      <c r="AH1483" t="s">
        <v>43</v>
      </c>
      <c r="AI1483" t="s">
        <v>43</v>
      </c>
      <c r="AJ1483" t="s">
        <v>43</v>
      </c>
      <c r="AK1483" t="s">
        <v>43</v>
      </c>
      <c r="AL1483" t="s">
        <v>43</v>
      </c>
      <c r="AM1483" t="s">
        <v>43</v>
      </c>
      <c r="AN1483" t="str">
        <f>HYPERLINK("https://www.google.com/maps?q=11.05588531,79.06412506","Open Location")</f>
        <v>Open Location</v>
      </c>
    </row>
    <row r="1484" spans="1:40" x14ac:dyDescent="0.3">
      <c r="A1484" s="1">
        <v>46210.828009259261</v>
      </c>
      <c r="B1484" t="s">
        <v>40</v>
      </c>
      <c r="C1484" t="s">
        <v>41</v>
      </c>
      <c r="D1484" s="1">
        <v>46210.831122685187</v>
      </c>
      <c r="E1484" t="s">
        <v>42</v>
      </c>
      <c r="F1484" t="s">
        <v>43</v>
      </c>
      <c r="G1484" t="s">
        <v>43</v>
      </c>
      <c r="H1484" t="s">
        <v>43</v>
      </c>
      <c r="I1484" t="s">
        <v>729</v>
      </c>
      <c r="J1484" t="s">
        <v>43</v>
      </c>
      <c r="K1484" t="s">
        <v>43</v>
      </c>
      <c r="L1484" t="s">
        <v>43</v>
      </c>
      <c r="M1484" t="s">
        <v>43</v>
      </c>
      <c r="N1484" t="s">
        <v>45</v>
      </c>
      <c r="O1484" t="s">
        <v>43</v>
      </c>
      <c r="P1484" t="s">
        <v>43</v>
      </c>
      <c r="Q1484" t="s">
        <v>43</v>
      </c>
      <c r="R1484" t="s">
        <v>43</v>
      </c>
      <c r="S1484" t="s">
        <v>43</v>
      </c>
      <c r="T1484" t="s">
        <v>43</v>
      </c>
      <c r="U1484" t="s">
        <v>43</v>
      </c>
      <c r="V1484" t="s">
        <v>43</v>
      </c>
      <c r="W1484" t="s">
        <v>43</v>
      </c>
      <c r="X1484" t="s">
        <v>43</v>
      </c>
      <c r="Y1484" t="s">
        <v>43</v>
      </c>
      <c r="Z1484" t="s">
        <v>43</v>
      </c>
      <c r="AA1484" t="s">
        <v>43</v>
      </c>
      <c r="AB1484" t="s">
        <v>43</v>
      </c>
      <c r="AC1484" t="s">
        <v>43</v>
      </c>
      <c r="AD1484" t="s">
        <v>43</v>
      </c>
      <c r="AE1484" t="s">
        <v>43</v>
      </c>
      <c r="AF1484" t="s">
        <v>43</v>
      </c>
      <c r="AG1484" t="s">
        <v>43</v>
      </c>
      <c r="AH1484" t="s">
        <v>43</v>
      </c>
      <c r="AI1484" t="s">
        <v>43</v>
      </c>
      <c r="AJ1484" t="s">
        <v>43</v>
      </c>
      <c r="AK1484" t="s">
        <v>43</v>
      </c>
      <c r="AL1484" t="s">
        <v>43</v>
      </c>
      <c r="AM1484" t="s">
        <v>43</v>
      </c>
      <c r="AN1484" t="str">
        <f>HYPERLINK("https://www.google.com/maps?q=11.05588627,79.06413269","Open Location")</f>
        <v>Open Location</v>
      </c>
    </row>
    <row r="1485" spans="1:40" x14ac:dyDescent="0.3">
      <c r="A1485" s="1">
        <v>46210.827893518515</v>
      </c>
      <c r="B1485" t="s">
        <v>40</v>
      </c>
      <c r="C1485" t="s">
        <v>41</v>
      </c>
      <c r="D1485" s="1">
        <v>46210.830648148149</v>
      </c>
      <c r="E1485" t="s">
        <v>42</v>
      </c>
      <c r="F1485" t="s">
        <v>43</v>
      </c>
      <c r="G1485" t="s">
        <v>43</v>
      </c>
      <c r="H1485" t="s">
        <v>43</v>
      </c>
      <c r="I1485" t="s">
        <v>654</v>
      </c>
      <c r="J1485" t="s">
        <v>43</v>
      </c>
      <c r="K1485" t="s">
        <v>43</v>
      </c>
      <c r="L1485" t="s">
        <v>43</v>
      </c>
      <c r="M1485" t="s">
        <v>43</v>
      </c>
      <c r="N1485" t="s">
        <v>45</v>
      </c>
      <c r="O1485" t="s">
        <v>43</v>
      </c>
      <c r="P1485" t="s">
        <v>43</v>
      </c>
      <c r="Q1485" t="s">
        <v>43</v>
      </c>
      <c r="R1485" t="s">
        <v>43</v>
      </c>
      <c r="S1485" t="s">
        <v>43</v>
      </c>
      <c r="T1485" t="s">
        <v>43</v>
      </c>
      <c r="U1485" t="s">
        <v>43</v>
      </c>
      <c r="V1485" t="s">
        <v>43</v>
      </c>
      <c r="W1485" t="s">
        <v>43</v>
      </c>
      <c r="X1485" t="s">
        <v>43</v>
      </c>
      <c r="Y1485" t="s">
        <v>43</v>
      </c>
      <c r="Z1485" t="s">
        <v>43</v>
      </c>
      <c r="AA1485" t="s">
        <v>43</v>
      </c>
      <c r="AB1485" t="s">
        <v>43</v>
      </c>
      <c r="AC1485" t="s">
        <v>43</v>
      </c>
      <c r="AD1485" t="s">
        <v>43</v>
      </c>
      <c r="AE1485" t="s">
        <v>43</v>
      </c>
      <c r="AF1485" t="s">
        <v>43</v>
      </c>
      <c r="AG1485" t="s">
        <v>43</v>
      </c>
      <c r="AH1485" t="s">
        <v>43</v>
      </c>
      <c r="AI1485" t="s">
        <v>43</v>
      </c>
      <c r="AJ1485" t="s">
        <v>43</v>
      </c>
      <c r="AK1485" t="s">
        <v>43</v>
      </c>
      <c r="AL1485" t="s">
        <v>43</v>
      </c>
      <c r="AM1485" t="s">
        <v>43</v>
      </c>
      <c r="AN1485" t="str">
        <f>HYPERLINK("https://www.google.com/maps?q=11.05588722,79.06412506","Open Location")</f>
        <v>Open Location</v>
      </c>
    </row>
    <row r="1486" spans="1:40" x14ac:dyDescent="0.3">
      <c r="A1486" s="1">
        <v>46210.827777777777</v>
      </c>
      <c r="B1486" t="s">
        <v>40</v>
      </c>
      <c r="C1486" t="s">
        <v>41</v>
      </c>
      <c r="D1486" s="1">
        <v>46210.830879629626</v>
      </c>
      <c r="E1486" t="s">
        <v>42</v>
      </c>
      <c r="F1486" t="s">
        <v>43</v>
      </c>
      <c r="G1486" t="s">
        <v>43</v>
      </c>
      <c r="H1486" t="s">
        <v>43</v>
      </c>
      <c r="I1486" t="s">
        <v>730</v>
      </c>
      <c r="J1486" t="s">
        <v>43</v>
      </c>
      <c r="K1486" t="s">
        <v>43</v>
      </c>
      <c r="L1486" t="s">
        <v>43</v>
      </c>
      <c r="M1486" t="s">
        <v>43</v>
      </c>
      <c r="N1486" t="s">
        <v>45</v>
      </c>
      <c r="O1486" t="s">
        <v>43</v>
      </c>
      <c r="P1486" t="s">
        <v>43</v>
      </c>
      <c r="Q1486" t="s">
        <v>43</v>
      </c>
      <c r="R1486" t="s">
        <v>43</v>
      </c>
      <c r="S1486" t="s">
        <v>43</v>
      </c>
      <c r="T1486" t="s">
        <v>43</v>
      </c>
      <c r="U1486" t="s">
        <v>43</v>
      </c>
      <c r="V1486" t="s">
        <v>43</v>
      </c>
      <c r="W1486" t="s">
        <v>43</v>
      </c>
      <c r="X1486" t="s">
        <v>43</v>
      </c>
      <c r="Y1486" t="s">
        <v>43</v>
      </c>
      <c r="Z1486" t="s">
        <v>43</v>
      </c>
      <c r="AA1486" t="s">
        <v>43</v>
      </c>
      <c r="AB1486" t="s">
        <v>43</v>
      </c>
      <c r="AC1486" t="s">
        <v>43</v>
      </c>
      <c r="AD1486" t="s">
        <v>43</v>
      </c>
      <c r="AE1486" t="s">
        <v>43</v>
      </c>
      <c r="AF1486" t="s">
        <v>43</v>
      </c>
      <c r="AG1486" t="s">
        <v>43</v>
      </c>
      <c r="AH1486" t="s">
        <v>43</v>
      </c>
      <c r="AI1486" t="s">
        <v>43</v>
      </c>
      <c r="AJ1486" t="s">
        <v>43</v>
      </c>
      <c r="AK1486" t="s">
        <v>43</v>
      </c>
      <c r="AL1486" t="s">
        <v>43</v>
      </c>
      <c r="AM1486" t="s">
        <v>43</v>
      </c>
      <c r="AN1486" t="str">
        <f>HYPERLINK("https://www.google.com/maps?q=11.05589008,79.06412506","Open Location")</f>
        <v>Open Location</v>
      </c>
    </row>
    <row r="1487" spans="1:40" x14ac:dyDescent="0.3">
      <c r="A1487" s="1">
        <v>46210.827662037038</v>
      </c>
      <c r="B1487" t="s">
        <v>40</v>
      </c>
      <c r="C1487" t="s">
        <v>41</v>
      </c>
      <c r="D1487" s="1">
        <v>46210.830451388887</v>
      </c>
      <c r="E1487" t="s">
        <v>42</v>
      </c>
      <c r="F1487" t="s">
        <v>43</v>
      </c>
      <c r="G1487" t="s">
        <v>43</v>
      </c>
      <c r="H1487" t="s">
        <v>43</v>
      </c>
      <c r="I1487" t="s">
        <v>43</v>
      </c>
      <c r="J1487" t="s">
        <v>43</v>
      </c>
      <c r="K1487" t="s">
        <v>43</v>
      </c>
      <c r="L1487" t="s">
        <v>43</v>
      </c>
      <c r="M1487" t="s">
        <v>43</v>
      </c>
      <c r="N1487" t="s">
        <v>45</v>
      </c>
      <c r="O1487" t="s">
        <v>43</v>
      </c>
      <c r="P1487" t="s">
        <v>43</v>
      </c>
      <c r="Q1487" t="s">
        <v>43</v>
      </c>
      <c r="R1487" t="s">
        <v>43</v>
      </c>
      <c r="S1487" t="s">
        <v>43</v>
      </c>
      <c r="T1487" t="s">
        <v>43</v>
      </c>
      <c r="U1487" t="s">
        <v>43</v>
      </c>
      <c r="V1487" t="s">
        <v>43</v>
      </c>
      <c r="W1487" t="s">
        <v>43</v>
      </c>
      <c r="X1487" t="s">
        <v>43</v>
      </c>
      <c r="Y1487" t="s">
        <v>43</v>
      </c>
      <c r="Z1487" t="s">
        <v>43</v>
      </c>
      <c r="AA1487" t="s">
        <v>43</v>
      </c>
      <c r="AB1487" t="s">
        <v>43</v>
      </c>
      <c r="AC1487" t="s">
        <v>43</v>
      </c>
      <c r="AD1487" t="s">
        <v>43</v>
      </c>
      <c r="AE1487" t="s">
        <v>43</v>
      </c>
      <c r="AF1487" t="s">
        <v>43</v>
      </c>
      <c r="AG1487" t="s">
        <v>43</v>
      </c>
      <c r="AH1487" t="s">
        <v>43</v>
      </c>
      <c r="AI1487" t="s">
        <v>43</v>
      </c>
      <c r="AJ1487" t="s">
        <v>43</v>
      </c>
      <c r="AK1487" t="s">
        <v>43</v>
      </c>
      <c r="AL1487" t="s">
        <v>43</v>
      </c>
      <c r="AM1487" t="s">
        <v>43</v>
      </c>
      <c r="AN1487" t="s">
        <v>43</v>
      </c>
    </row>
    <row r="1488" spans="1:40" x14ac:dyDescent="0.3">
      <c r="A1488" s="1">
        <v>46210.827546296299</v>
      </c>
      <c r="B1488" t="s">
        <v>40</v>
      </c>
      <c r="C1488" t="s">
        <v>41</v>
      </c>
      <c r="D1488" s="1">
        <v>46210.830451388887</v>
      </c>
      <c r="E1488" t="s">
        <v>42</v>
      </c>
      <c r="F1488" t="s">
        <v>43</v>
      </c>
      <c r="G1488" t="s">
        <v>43</v>
      </c>
      <c r="H1488" t="s">
        <v>43</v>
      </c>
      <c r="I1488" t="s">
        <v>731</v>
      </c>
      <c r="J1488" t="s">
        <v>43</v>
      </c>
      <c r="K1488" t="s">
        <v>43</v>
      </c>
      <c r="L1488" t="s">
        <v>43</v>
      </c>
      <c r="M1488" t="s">
        <v>43</v>
      </c>
      <c r="N1488" t="s">
        <v>45</v>
      </c>
      <c r="O1488" t="s">
        <v>43</v>
      </c>
      <c r="P1488" t="s">
        <v>43</v>
      </c>
      <c r="Q1488" t="s">
        <v>43</v>
      </c>
      <c r="R1488" t="s">
        <v>43</v>
      </c>
      <c r="S1488" t="s">
        <v>43</v>
      </c>
      <c r="T1488" t="s">
        <v>43</v>
      </c>
      <c r="U1488" t="s">
        <v>43</v>
      </c>
      <c r="V1488" t="s">
        <v>43</v>
      </c>
      <c r="W1488" t="s">
        <v>43</v>
      </c>
      <c r="X1488" t="s">
        <v>43</v>
      </c>
      <c r="Y1488" t="s">
        <v>43</v>
      </c>
      <c r="Z1488" t="s">
        <v>43</v>
      </c>
      <c r="AA1488" t="s">
        <v>43</v>
      </c>
      <c r="AB1488" t="s">
        <v>43</v>
      </c>
      <c r="AC1488" t="s">
        <v>43</v>
      </c>
      <c r="AD1488" t="s">
        <v>43</v>
      </c>
      <c r="AE1488" t="s">
        <v>43</v>
      </c>
      <c r="AF1488" t="s">
        <v>43</v>
      </c>
      <c r="AG1488" t="s">
        <v>43</v>
      </c>
      <c r="AH1488" t="s">
        <v>43</v>
      </c>
      <c r="AI1488" t="s">
        <v>43</v>
      </c>
      <c r="AJ1488" t="s">
        <v>43</v>
      </c>
      <c r="AK1488" t="s">
        <v>43</v>
      </c>
      <c r="AL1488" t="s">
        <v>43</v>
      </c>
      <c r="AM1488" t="s">
        <v>43</v>
      </c>
      <c r="AN1488" t="str">
        <f>HYPERLINK("https://www.google.com/maps?q=11.05588913,79.06412506","Open Location")</f>
        <v>Open Location</v>
      </c>
    </row>
    <row r="1489" spans="1:40" x14ac:dyDescent="0.3">
      <c r="A1489" s="1">
        <v>46210.827430555553</v>
      </c>
      <c r="B1489" t="s">
        <v>40</v>
      </c>
      <c r="C1489" t="s">
        <v>41</v>
      </c>
      <c r="D1489" s="1">
        <v>46210.830254629633</v>
      </c>
      <c r="E1489" t="s">
        <v>42</v>
      </c>
      <c r="F1489" t="s">
        <v>43</v>
      </c>
      <c r="G1489" t="s">
        <v>43</v>
      </c>
      <c r="H1489" t="s">
        <v>43</v>
      </c>
      <c r="I1489" t="s">
        <v>659</v>
      </c>
      <c r="J1489" t="s">
        <v>43</v>
      </c>
      <c r="K1489" t="s">
        <v>43</v>
      </c>
      <c r="L1489" t="s">
        <v>43</v>
      </c>
      <c r="M1489" t="s">
        <v>43</v>
      </c>
      <c r="N1489" t="s">
        <v>45</v>
      </c>
      <c r="O1489" t="s">
        <v>43</v>
      </c>
      <c r="P1489" t="s">
        <v>43</v>
      </c>
      <c r="Q1489" t="s">
        <v>43</v>
      </c>
      <c r="R1489" t="s">
        <v>43</v>
      </c>
      <c r="S1489" t="s">
        <v>43</v>
      </c>
      <c r="T1489" t="s">
        <v>43</v>
      </c>
      <c r="U1489" t="s">
        <v>43</v>
      </c>
      <c r="V1489" t="s">
        <v>43</v>
      </c>
      <c r="W1489" t="s">
        <v>43</v>
      </c>
      <c r="X1489" t="s">
        <v>43</v>
      </c>
      <c r="Y1489" t="s">
        <v>43</v>
      </c>
      <c r="Z1489" t="s">
        <v>43</v>
      </c>
      <c r="AA1489" t="s">
        <v>43</v>
      </c>
      <c r="AB1489" t="s">
        <v>43</v>
      </c>
      <c r="AC1489" t="s">
        <v>43</v>
      </c>
      <c r="AD1489" t="s">
        <v>43</v>
      </c>
      <c r="AE1489" t="s">
        <v>43</v>
      </c>
      <c r="AF1489" t="s">
        <v>43</v>
      </c>
      <c r="AG1489" t="s">
        <v>43</v>
      </c>
      <c r="AH1489" t="s">
        <v>43</v>
      </c>
      <c r="AI1489" t="s">
        <v>43</v>
      </c>
      <c r="AJ1489" t="s">
        <v>43</v>
      </c>
      <c r="AK1489" t="s">
        <v>43</v>
      </c>
      <c r="AL1489" t="s">
        <v>43</v>
      </c>
      <c r="AM1489" t="s">
        <v>43</v>
      </c>
      <c r="AN1489" t="str">
        <f>HYPERLINK("https://www.google.com/maps?q=11.05589008,79.06411743","Open Location")</f>
        <v>Open Location</v>
      </c>
    </row>
    <row r="1490" spans="1:40" x14ac:dyDescent="0.3">
      <c r="A1490" s="1">
        <v>46210.827314814815</v>
      </c>
      <c r="B1490" t="s">
        <v>40</v>
      </c>
      <c r="C1490" t="s">
        <v>41</v>
      </c>
      <c r="D1490" s="1">
        <v>46210.830497685187</v>
      </c>
      <c r="E1490" t="s">
        <v>42</v>
      </c>
      <c r="F1490" t="s">
        <v>43</v>
      </c>
      <c r="G1490" t="s">
        <v>43</v>
      </c>
      <c r="H1490" t="s">
        <v>43</v>
      </c>
      <c r="I1490" t="s">
        <v>725</v>
      </c>
      <c r="J1490" t="s">
        <v>43</v>
      </c>
      <c r="K1490" t="s">
        <v>43</v>
      </c>
      <c r="L1490" t="s">
        <v>43</v>
      </c>
      <c r="M1490" t="s">
        <v>43</v>
      </c>
      <c r="N1490" t="s">
        <v>45</v>
      </c>
      <c r="O1490" t="s">
        <v>43</v>
      </c>
      <c r="P1490" t="s">
        <v>43</v>
      </c>
      <c r="Q1490" t="s">
        <v>43</v>
      </c>
      <c r="R1490" t="s">
        <v>43</v>
      </c>
      <c r="S1490" t="s">
        <v>43</v>
      </c>
      <c r="T1490" t="s">
        <v>43</v>
      </c>
      <c r="U1490" t="s">
        <v>43</v>
      </c>
      <c r="V1490" t="s">
        <v>43</v>
      </c>
      <c r="W1490" t="s">
        <v>43</v>
      </c>
      <c r="X1490" t="s">
        <v>43</v>
      </c>
      <c r="Y1490" t="s">
        <v>43</v>
      </c>
      <c r="Z1490" t="s">
        <v>43</v>
      </c>
      <c r="AA1490" t="s">
        <v>43</v>
      </c>
      <c r="AB1490" t="s">
        <v>43</v>
      </c>
      <c r="AC1490" t="s">
        <v>43</v>
      </c>
      <c r="AD1490" t="s">
        <v>43</v>
      </c>
      <c r="AE1490" t="s">
        <v>43</v>
      </c>
      <c r="AF1490" t="s">
        <v>43</v>
      </c>
      <c r="AG1490" t="s">
        <v>43</v>
      </c>
      <c r="AH1490" t="s">
        <v>43</v>
      </c>
      <c r="AI1490" t="s">
        <v>43</v>
      </c>
      <c r="AJ1490" t="s">
        <v>43</v>
      </c>
      <c r="AK1490" t="s">
        <v>43</v>
      </c>
      <c r="AL1490" t="s">
        <v>43</v>
      </c>
      <c r="AM1490" t="s">
        <v>43</v>
      </c>
      <c r="AN1490" t="str">
        <f>HYPERLINK("https://www.google.com/maps?q=11.05588818,79.06411743","Open Location")</f>
        <v>Open Location</v>
      </c>
    </row>
    <row r="1491" spans="1:40" x14ac:dyDescent="0.3">
      <c r="A1491" s="1">
        <v>46210.827199074076</v>
      </c>
      <c r="B1491" t="s">
        <v>40</v>
      </c>
      <c r="C1491" t="s">
        <v>41</v>
      </c>
      <c r="D1491" s="1">
        <v>46210.830347222225</v>
      </c>
      <c r="E1491" t="s">
        <v>42</v>
      </c>
      <c r="F1491" t="s">
        <v>43</v>
      </c>
      <c r="G1491" t="s">
        <v>43</v>
      </c>
      <c r="H1491" t="s">
        <v>43</v>
      </c>
      <c r="I1491" t="s">
        <v>732</v>
      </c>
      <c r="J1491" t="s">
        <v>43</v>
      </c>
      <c r="K1491" t="s">
        <v>43</v>
      </c>
      <c r="L1491" t="s">
        <v>43</v>
      </c>
      <c r="M1491" t="s">
        <v>43</v>
      </c>
      <c r="N1491" t="s">
        <v>45</v>
      </c>
      <c r="O1491" t="s">
        <v>43</v>
      </c>
      <c r="P1491" t="s">
        <v>43</v>
      </c>
      <c r="Q1491" t="s">
        <v>43</v>
      </c>
      <c r="R1491" t="s">
        <v>43</v>
      </c>
      <c r="S1491" t="s">
        <v>43</v>
      </c>
      <c r="T1491" t="s">
        <v>43</v>
      </c>
      <c r="U1491" t="s">
        <v>43</v>
      </c>
      <c r="V1491" t="s">
        <v>43</v>
      </c>
      <c r="W1491" t="s">
        <v>43</v>
      </c>
      <c r="X1491" t="s">
        <v>43</v>
      </c>
      <c r="Y1491" t="s">
        <v>43</v>
      </c>
      <c r="Z1491" t="s">
        <v>43</v>
      </c>
      <c r="AA1491" t="s">
        <v>43</v>
      </c>
      <c r="AB1491" t="s">
        <v>43</v>
      </c>
      <c r="AC1491" t="s">
        <v>43</v>
      </c>
      <c r="AD1491" t="s">
        <v>43</v>
      </c>
      <c r="AE1491" t="s">
        <v>43</v>
      </c>
      <c r="AF1491" t="s">
        <v>43</v>
      </c>
      <c r="AG1491" t="s">
        <v>43</v>
      </c>
      <c r="AH1491" t="s">
        <v>43</v>
      </c>
      <c r="AI1491" t="s">
        <v>43</v>
      </c>
      <c r="AJ1491" t="s">
        <v>43</v>
      </c>
      <c r="AK1491" t="s">
        <v>43</v>
      </c>
      <c r="AL1491" t="s">
        <v>43</v>
      </c>
      <c r="AM1491" t="s">
        <v>43</v>
      </c>
      <c r="AN1491" t="str">
        <f>HYPERLINK("https://www.google.com/maps?q=11.05588341,79.06412506","Open Location")</f>
        <v>Open Location</v>
      </c>
    </row>
    <row r="1492" spans="1:40" x14ac:dyDescent="0.3">
      <c r="A1492" s="1">
        <v>46210.82708333333</v>
      </c>
      <c r="B1492" t="s">
        <v>40</v>
      </c>
      <c r="C1492" t="s">
        <v>41</v>
      </c>
      <c r="D1492" s="1">
        <v>46210.829907407409</v>
      </c>
      <c r="E1492" t="s">
        <v>42</v>
      </c>
      <c r="F1492" t="s">
        <v>43</v>
      </c>
      <c r="G1492" t="s">
        <v>43</v>
      </c>
      <c r="H1492" t="s">
        <v>43</v>
      </c>
      <c r="I1492" t="s">
        <v>43</v>
      </c>
      <c r="J1492" t="s">
        <v>43</v>
      </c>
      <c r="K1492" t="s">
        <v>43</v>
      </c>
      <c r="L1492" t="s">
        <v>43</v>
      </c>
      <c r="M1492" t="s">
        <v>43</v>
      </c>
      <c r="N1492" t="s">
        <v>45</v>
      </c>
      <c r="O1492" t="s">
        <v>43</v>
      </c>
      <c r="P1492" t="s">
        <v>43</v>
      </c>
      <c r="Q1492" t="s">
        <v>43</v>
      </c>
      <c r="R1492" t="s">
        <v>43</v>
      </c>
      <c r="S1492" t="s">
        <v>43</v>
      </c>
      <c r="T1492" t="s">
        <v>43</v>
      </c>
      <c r="U1492" t="s">
        <v>43</v>
      </c>
      <c r="V1492" t="s">
        <v>43</v>
      </c>
      <c r="W1492" t="s">
        <v>43</v>
      </c>
      <c r="X1492" t="s">
        <v>43</v>
      </c>
      <c r="Y1492" t="s">
        <v>43</v>
      </c>
      <c r="Z1492" t="s">
        <v>43</v>
      </c>
      <c r="AA1492" t="s">
        <v>43</v>
      </c>
      <c r="AB1492" t="s">
        <v>43</v>
      </c>
      <c r="AC1492" t="s">
        <v>43</v>
      </c>
      <c r="AD1492" t="s">
        <v>43</v>
      </c>
      <c r="AE1492" t="s">
        <v>43</v>
      </c>
      <c r="AF1492" t="s">
        <v>43</v>
      </c>
      <c r="AG1492" t="s">
        <v>43</v>
      </c>
      <c r="AH1492" t="s">
        <v>43</v>
      </c>
      <c r="AI1492" t="s">
        <v>43</v>
      </c>
      <c r="AJ1492" t="s">
        <v>43</v>
      </c>
      <c r="AK1492" t="s">
        <v>43</v>
      </c>
      <c r="AL1492" t="s">
        <v>43</v>
      </c>
      <c r="AM1492" t="s">
        <v>43</v>
      </c>
      <c r="AN1492" t="s">
        <v>43</v>
      </c>
    </row>
    <row r="1493" spans="1:40" x14ac:dyDescent="0.3">
      <c r="A1493" s="1">
        <v>46210.826967592591</v>
      </c>
      <c r="B1493" t="s">
        <v>40</v>
      </c>
      <c r="C1493" t="s">
        <v>41</v>
      </c>
      <c r="D1493" s="1">
        <v>46210.829814814817</v>
      </c>
      <c r="E1493" t="s">
        <v>42</v>
      </c>
      <c r="F1493" t="s">
        <v>43</v>
      </c>
      <c r="G1493" t="s">
        <v>43</v>
      </c>
      <c r="H1493" t="s">
        <v>43</v>
      </c>
      <c r="I1493" t="s">
        <v>726</v>
      </c>
      <c r="J1493" t="s">
        <v>43</v>
      </c>
      <c r="K1493" t="s">
        <v>43</v>
      </c>
      <c r="L1493" t="s">
        <v>43</v>
      </c>
      <c r="M1493" t="s">
        <v>43</v>
      </c>
      <c r="N1493" t="s">
        <v>45</v>
      </c>
      <c r="O1493" t="s">
        <v>43</v>
      </c>
      <c r="P1493" t="s">
        <v>43</v>
      </c>
      <c r="Q1493" t="s">
        <v>43</v>
      </c>
      <c r="R1493" t="s">
        <v>43</v>
      </c>
      <c r="S1493" t="s">
        <v>43</v>
      </c>
      <c r="T1493" t="s">
        <v>43</v>
      </c>
      <c r="U1493" t="s">
        <v>43</v>
      </c>
      <c r="V1493" t="s">
        <v>43</v>
      </c>
      <c r="W1493" t="s">
        <v>43</v>
      </c>
      <c r="X1493" t="s">
        <v>43</v>
      </c>
      <c r="Y1493" t="s">
        <v>43</v>
      </c>
      <c r="Z1493" t="s">
        <v>43</v>
      </c>
      <c r="AA1493" t="s">
        <v>43</v>
      </c>
      <c r="AB1493" t="s">
        <v>43</v>
      </c>
      <c r="AC1493" t="s">
        <v>43</v>
      </c>
      <c r="AD1493" t="s">
        <v>43</v>
      </c>
      <c r="AE1493" t="s">
        <v>43</v>
      </c>
      <c r="AF1493" t="s">
        <v>43</v>
      </c>
      <c r="AG1493" t="s">
        <v>43</v>
      </c>
      <c r="AH1493" t="s">
        <v>43</v>
      </c>
      <c r="AI1493" t="s">
        <v>43</v>
      </c>
      <c r="AJ1493" t="s">
        <v>43</v>
      </c>
      <c r="AK1493" t="s">
        <v>43</v>
      </c>
      <c r="AL1493" t="s">
        <v>43</v>
      </c>
      <c r="AM1493" t="s">
        <v>43</v>
      </c>
      <c r="AN1493" t="str">
        <f>HYPERLINK("https://www.google.com/maps?q=11.05587864,79.06412506","Open Location")</f>
        <v>Open Location</v>
      </c>
    </row>
    <row r="1494" spans="1:40" x14ac:dyDescent="0.3">
      <c r="A1494" s="1">
        <v>46210.826851851853</v>
      </c>
      <c r="B1494" t="s">
        <v>40</v>
      </c>
      <c r="C1494" t="s">
        <v>41</v>
      </c>
      <c r="D1494" s="1">
        <v>46210.829872685186</v>
      </c>
      <c r="E1494" t="s">
        <v>42</v>
      </c>
      <c r="F1494" t="s">
        <v>43</v>
      </c>
      <c r="G1494" t="s">
        <v>43</v>
      </c>
      <c r="H1494" t="s">
        <v>43</v>
      </c>
      <c r="I1494" t="s">
        <v>733</v>
      </c>
      <c r="J1494" t="s">
        <v>43</v>
      </c>
      <c r="K1494" t="s">
        <v>43</v>
      </c>
      <c r="L1494" t="s">
        <v>43</v>
      </c>
      <c r="M1494" t="s">
        <v>43</v>
      </c>
      <c r="N1494" t="s">
        <v>45</v>
      </c>
      <c r="O1494" t="s">
        <v>43</v>
      </c>
      <c r="P1494" t="s">
        <v>43</v>
      </c>
      <c r="Q1494" t="s">
        <v>43</v>
      </c>
      <c r="R1494" t="s">
        <v>43</v>
      </c>
      <c r="S1494" t="s">
        <v>43</v>
      </c>
      <c r="T1494" t="s">
        <v>43</v>
      </c>
      <c r="U1494" t="s">
        <v>43</v>
      </c>
      <c r="V1494" t="s">
        <v>43</v>
      </c>
      <c r="W1494" t="s">
        <v>43</v>
      </c>
      <c r="X1494" t="s">
        <v>43</v>
      </c>
      <c r="Y1494" t="s">
        <v>43</v>
      </c>
      <c r="Z1494" t="s">
        <v>43</v>
      </c>
      <c r="AA1494" t="s">
        <v>43</v>
      </c>
      <c r="AB1494" t="s">
        <v>43</v>
      </c>
      <c r="AC1494" t="s">
        <v>43</v>
      </c>
      <c r="AD1494" t="s">
        <v>43</v>
      </c>
      <c r="AE1494" t="s">
        <v>43</v>
      </c>
      <c r="AF1494" t="s">
        <v>43</v>
      </c>
      <c r="AG1494" t="s">
        <v>43</v>
      </c>
      <c r="AH1494" t="s">
        <v>43</v>
      </c>
      <c r="AI1494" t="s">
        <v>43</v>
      </c>
      <c r="AJ1494" t="s">
        <v>43</v>
      </c>
      <c r="AK1494" t="s">
        <v>43</v>
      </c>
      <c r="AL1494" t="s">
        <v>43</v>
      </c>
      <c r="AM1494" t="s">
        <v>43</v>
      </c>
      <c r="AN1494" t="str">
        <f>HYPERLINK("https://www.google.com/maps?q=11.05587673,79.06411743","Open Location")</f>
        <v>Open Location</v>
      </c>
    </row>
    <row r="1495" spans="1:40" x14ac:dyDescent="0.3">
      <c r="A1495" s="1">
        <v>46210.826736111114</v>
      </c>
      <c r="B1495" t="s">
        <v>40</v>
      </c>
      <c r="C1495" t="s">
        <v>41</v>
      </c>
      <c r="D1495" s="1">
        <v>46210.829872685186</v>
      </c>
      <c r="E1495" t="s">
        <v>42</v>
      </c>
      <c r="F1495" t="s">
        <v>43</v>
      </c>
      <c r="G1495" t="s">
        <v>43</v>
      </c>
      <c r="H1495" t="s">
        <v>43</v>
      </c>
      <c r="I1495" t="s">
        <v>733</v>
      </c>
      <c r="J1495" t="s">
        <v>43</v>
      </c>
      <c r="K1495" t="s">
        <v>43</v>
      </c>
      <c r="L1495" t="s">
        <v>43</v>
      </c>
      <c r="M1495" t="s">
        <v>43</v>
      </c>
      <c r="N1495" t="s">
        <v>45</v>
      </c>
      <c r="O1495" t="s">
        <v>43</v>
      </c>
      <c r="P1495" t="s">
        <v>43</v>
      </c>
      <c r="Q1495" t="s">
        <v>43</v>
      </c>
      <c r="R1495" t="s">
        <v>43</v>
      </c>
      <c r="S1495" t="s">
        <v>43</v>
      </c>
      <c r="T1495" t="s">
        <v>43</v>
      </c>
      <c r="U1495" t="s">
        <v>43</v>
      </c>
      <c r="V1495" t="s">
        <v>43</v>
      </c>
      <c r="W1495" t="s">
        <v>43</v>
      </c>
      <c r="X1495" t="s">
        <v>43</v>
      </c>
      <c r="Y1495" t="s">
        <v>43</v>
      </c>
      <c r="Z1495" t="s">
        <v>43</v>
      </c>
      <c r="AA1495" t="s">
        <v>43</v>
      </c>
      <c r="AB1495" t="s">
        <v>43</v>
      </c>
      <c r="AC1495" t="s">
        <v>43</v>
      </c>
      <c r="AD1495" t="s">
        <v>43</v>
      </c>
      <c r="AE1495" t="s">
        <v>43</v>
      </c>
      <c r="AF1495" t="s">
        <v>43</v>
      </c>
      <c r="AG1495" t="s">
        <v>43</v>
      </c>
      <c r="AH1495" t="s">
        <v>43</v>
      </c>
      <c r="AI1495" t="s">
        <v>43</v>
      </c>
      <c r="AJ1495" t="s">
        <v>43</v>
      </c>
      <c r="AK1495" t="s">
        <v>43</v>
      </c>
      <c r="AL1495" t="s">
        <v>43</v>
      </c>
      <c r="AM1495" t="s">
        <v>43</v>
      </c>
      <c r="AN1495" t="str">
        <f>HYPERLINK("https://www.google.com/maps?q=11.05587673,79.06411743","Open Location")</f>
        <v>Open Location</v>
      </c>
    </row>
    <row r="1496" spans="1:40" x14ac:dyDescent="0.3">
      <c r="A1496" s="1">
        <v>46210.826620370368</v>
      </c>
      <c r="B1496" t="s">
        <v>40</v>
      </c>
      <c r="C1496" t="s">
        <v>41</v>
      </c>
      <c r="D1496" s="1">
        <v>46210.829664351855</v>
      </c>
      <c r="E1496" t="s">
        <v>42</v>
      </c>
      <c r="F1496" t="s">
        <v>43</v>
      </c>
      <c r="G1496" t="s">
        <v>43</v>
      </c>
      <c r="H1496" t="s">
        <v>43</v>
      </c>
      <c r="I1496" t="s">
        <v>733</v>
      </c>
      <c r="J1496" t="s">
        <v>43</v>
      </c>
      <c r="K1496" t="s">
        <v>43</v>
      </c>
      <c r="L1496" t="s">
        <v>43</v>
      </c>
      <c r="M1496" t="s">
        <v>43</v>
      </c>
      <c r="N1496" t="s">
        <v>45</v>
      </c>
      <c r="O1496" t="s">
        <v>43</v>
      </c>
      <c r="P1496" t="s">
        <v>43</v>
      </c>
      <c r="Q1496" t="s">
        <v>43</v>
      </c>
      <c r="R1496" t="s">
        <v>43</v>
      </c>
      <c r="S1496" t="s">
        <v>43</v>
      </c>
      <c r="T1496" t="s">
        <v>43</v>
      </c>
      <c r="U1496" t="s">
        <v>43</v>
      </c>
      <c r="V1496" t="s">
        <v>43</v>
      </c>
      <c r="W1496" t="s">
        <v>43</v>
      </c>
      <c r="X1496" t="s">
        <v>43</v>
      </c>
      <c r="Y1496" t="s">
        <v>43</v>
      </c>
      <c r="Z1496" t="s">
        <v>43</v>
      </c>
      <c r="AA1496" t="s">
        <v>43</v>
      </c>
      <c r="AB1496" t="s">
        <v>43</v>
      </c>
      <c r="AC1496" t="s">
        <v>43</v>
      </c>
      <c r="AD1496" t="s">
        <v>43</v>
      </c>
      <c r="AE1496" t="s">
        <v>43</v>
      </c>
      <c r="AF1496" t="s">
        <v>43</v>
      </c>
      <c r="AG1496" t="s">
        <v>43</v>
      </c>
      <c r="AH1496" t="s">
        <v>43</v>
      </c>
      <c r="AI1496" t="s">
        <v>43</v>
      </c>
      <c r="AJ1496" t="s">
        <v>43</v>
      </c>
      <c r="AK1496" t="s">
        <v>43</v>
      </c>
      <c r="AL1496" t="s">
        <v>43</v>
      </c>
      <c r="AM1496" t="s">
        <v>43</v>
      </c>
      <c r="AN1496" t="str">
        <f>HYPERLINK("https://www.google.com/maps?q=11.05587673,79.06411743","Open Location")</f>
        <v>Open Location</v>
      </c>
    </row>
    <row r="1497" spans="1:40" x14ac:dyDescent="0.3">
      <c r="A1497" s="1">
        <v>46210.826504629629</v>
      </c>
      <c r="B1497" t="s">
        <v>40</v>
      </c>
      <c r="C1497" t="s">
        <v>41</v>
      </c>
      <c r="D1497" s="1">
        <v>46210.829479166663</v>
      </c>
      <c r="E1497" t="s">
        <v>42</v>
      </c>
      <c r="F1497" t="s">
        <v>43</v>
      </c>
      <c r="G1497" t="s">
        <v>43</v>
      </c>
      <c r="H1497" t="s">
        <v>43</v>
      </c>
      <c r="I1497" t="s">
        <v>734</v>
      </c>
      <c r="J1497" t="s">
        <v>43</v>
      </c>
      <c r="K1497" t="s">
        <v>43</v>
      </c>
      <c r="L1497" t="s">
        <v>43</v>
      </c>
      <c r="M1497" t="s">
        <v>43</v>
      </c>
      <c r="N1497" t="s">
        <v>45</v>
      </c>
      <c r="O1497" t="s">
        <v>43</v>
      </c>
      <c r="P1497" t="s">
        <v>43</v>
      </c>
      <c r="Q1497" t="s">
        <v>43</v>
      </c>
      <c r="R1497" t="s">
        <v>43</v>
      </c>
      <c r="S1497" t="s">
        <v>43</v>
      </c>
      <c r="T1497" t="s">
        <v>43</v>
      </c>
      <c r="U1497" t="s">
        <v>43</v>
      </c>
      <c r="V1497" t="s">
        <v>43</v>
      </c>
      <c r="W1497" t="s">
        <v>43</v>
      </c>
      <c r="X1497" t="s">
        <v>43</v>
      </c>
      <c r="Y1497" t="s">
        <v>43</v>
      </c>
      <c r="Z1497" t="s">
        <v>43</v>
      </c>
      <c r="AA1497" t="s">
        <v>43</v>
      </c>
      <c r="AB1497" t="s">
        <v>43</v>
      </c>
      <c r="AC1497" t="s">
        <v>43</v>
      </c>
      <c r="AD1497" t="s">
        <v>43</v>
      </c>
      <c r="AE1497" t="s">
        <v>43</v>
      </c>
      <c r="AF1497" t="s">
        <v>43</v>
      </c>
      <c r="AG1497" t="s">
        <v>43</v>
      </c>
      <c r="AH1497" t="s">
        <v>43</v>
      </c>
      <c r="AI1497" t="s">
        <v>43</v>
      </c>
      <c r="AJ1497" t="s">
        <v>43</v>
      </c>
      <c r="AK1497" t="s">
        <v>43</v>
      </c>
      <c r="AL1497" t="s">
        <v>43</v>
      </c>
      <c r="AM1497" t="s">
        <v>43</v>
      </c>
      <c r="AN1497" t="str">
        <f>HYPERLINK("https://www.google.com/maps?q=11.05587769,79.06411743","Open Location")</f>
        <v>Open Location</v>
      </c>
    </row>
    <row r="1498" spans="1:40" x14ac:dyDescent="0.3">
      <c r="A1498" s="1">
        <v>46210.826388888891</v>
      </c>
      <c r="B1498" t="s">
        <v>40</v>
      </c>
      <c r="C1498" t="s">
        <v>41</v>
      </c>
      <c r="D1498" s="1">
        <v>46210.829479166663</v>
      </c>
      <c r="E1498" t="s">
        <v>42</v>
      </c>
      <c r="F1498" t="s">
        <v>43</v>
      </c>
      <c r="G1498" t="s">
        <v>43</v>
      </c>
      <c r="H1498" t="s">
        <v>43</v>
      </c>
      <c r="I1498" t="s">
        <v>43</v>
      </c>
      <c r="J1498" t="s">
        <v>43</v>
      </c>
      <c r="K1498" t="s">
        <v>43</v>
      </c>
      <c r="L1498" t="s">
        <v>43</v>
      </c>
      <c r="M1498" t="s">
        <v>43</v>
      </c>
      <c r="N1498" t="s">
        <v>45</v>
      </c>
      <c r="O1498" t="s">
        <v>43</v>
      </c>
      <c r="P1498" t="s">
        <v>43</v>
      </c>
      <c r="Q1498" t="s">
        <v>43</v>
      </c>
      <c r="R1498" t="s">
        <v>43</v>
      </c>
      <c r="S1498" t="s">
        <v>43</v>
      </c>
      <c r="T1498" t="s">
        <v>43</v>
      </c>
      <c r="U1498" t="s">
        <v>43</v>
      </c>
      <c r="V1498" t="s">
        <v>43</v>
      </c>
      <c r="W1498" t="s">
        <v>43</v>
      </c>
      <c r="X1498" t="s">
        <v>43</v>
      </c>
      <c r="Y1498" t="s">
        <v>43</v>
      </c>
      <c r="Z1498" t="s">
        <v>43</v>
      </c>
      <c r="AA1498" t="s">
        <v>43</v>
      </c>
      <c r="AB1498" t="s">
        <v>43</v>
      </c>
      <c r="AC1498" t="s">
        <v>43</v>
      </c>
      <c r="AD1498" t="s">
        <v>43</v>
      </c>
      <c r="AE1498" t="s">
        <v>43</v>
      </c>
      <c r="AF1498" t="s">
        <v>43</v>
      </c>
      <c r="AG1498" t="s">
        <v>43</v>
      </c>
      <c r="AH1498" t="s">
        <v>43</v>
      </c>
      <c r="AI1498" t="s">
        <v>43</v>
      </c>
      <c r="AJ1498" t="s">
        <v>43</v>
      </c>
      <c r="AK1498" t="s">
        <v>43</v>
      </c>
      <c r="AL1498" t="s">
        <v>43</v>
      </c>
      <c r="AM1498" t="s">
        <v>43</v>
      </c>
      <c r="AN1498" t="s">
        <v>43</v>
      </c>
    </row>
    <row r="1499" spans="1:40" x14ac:dyDescent="0.3">
      <c r="A1499" s="1">
        <v>46210.826273148145</v>
      </c>
      <c r="B1499" t="s">
        <v>40</v>
      </c>
      <c r="C1499" t="s">
        <v>41</v>
      </c>
      <c r="D1499" s="1">
        <v>46210.829108796293</v>
      </c>
      <c r="E1499" t="s">
        <v>42</v>
      </c>
      <c r="F1499" t="s">
        <v>43</v>
      </c>
      <c r="G1499" t="s">
        <v>43</v>
      </c>
      <c r="H1499" t="s">
        <v>43</v>
      </c>
      <c r="I1499" t="s">
        <v>735</v>
      </c>
      <c r="J1499" t="s">
        <v>43</v>
      </c>
      <c r="K1499" t="s">
        <v>43</v>
      </c>
      <c r="L1499" t="s">
        <v>43</v>
      </c>
      <c r="M1499" t="s">
        <v>43</v>
      </c>
      <c r="N1499" t="s">
        <v>45</v>
      </c>
      <c r="O1499" t="s">
        <v>43</v>
      </c>
      <c r="P1499" t="s">
        <v>43</v>
      </c>
      <c r="Q1499" t="s">
        <v>43</v>
      </c>
      <c r="R1499" t="s">
        <v>43</v>
      </c>
      <c r="S1499" t="s">
        <v>43</v>
      </c>
      <c r="T1499" t="s">
        <v>43</v>
      </c>
      <c r="U1499" t="s">
        <v>43</v>
      </c>
      <c r="V1499" t="s">
        <v>43</v>
      </c>
      <c r="W1499" t="s">
        <v>43</v>
      </c>
      <c r="X1499" t="s">
        <v>43</v>
      </c>
      <c r="Y1499" t="s">
        <v>43</v>
      </c>
      <c r="Z1499" t="s">
        <v>43</v>
      </c>
      <c r="AA1499" t="s">
        <v>43</v>
      </c>
      <c r="AB1499" t="s">
        <v>43</v>
      </c>
      <c r="AC1499" t="s">
        <v>43</v>
      </c>
      <c r="AD1499" t="s">
        <v>43</v>
      </c>
      <c r="AE1499" t="s">
        <v>43</v>
      </c>
      <c r="AF1499" t="s">
        <v>43</v>
      </c>
      <c r="AG1499" t="s">
        <v>43</v>
      </c>
      <c r="AH1499" t="s">
        <v>43</v>
      </c>
      <c r="AI1499" t="s">
        <v>43</v>
      </c>
      <c r="AJ1499" t="s">
        <v>43</v>
      </c>
      <c r="AK1499" t="s">
        <v>43</v>
      </c>
      <c r="AL1499" t="s">
        <v>43</v>
      </c>
      <c r="AM1499" t="s">
        <v>43</v>
      </c>
      <c r="AN1499" t="str">
        <f>HYPERLINK("https://www.google.com/maps?q=11.05587482,79.06411743","Open Location")</f>
        <v>Open Location</v>
      </c>
    </row>
    <row r="1500" spans="1:40" x14ac:dyDescent="0.3">
      <c r="A1500" s="1">
        <v>46210.826157407406</v>
      </c>
      <c r="B1500" t="s">
        <v>40</v>
      </c>
      <c r="C1500" t="s">
        <v>41</v>
      </c>
      <c r="D1500" s="1">
        <v>46210.828946759262</v>
      </c>
      <c r="E1500" t="s">
        <v>42</v>
      </c>
      <c r="F1500" t="s">
        <v>43</v>
      </c>
      <c r="G1500" t="s">
        <v>43</v>
      </c>
      <c r="H1500" t="s">
        <v>43</v>
      </c>
      <c r="I1500" t="s">
        <v>736</v>
      </c>
      <c r="J1500" t="s">
        <v>43</v>
      </c>
      <c r="K1500" t="s">
        <v>43</v>
      </c>
      <c r="L1500" t="s">
        <v>43</v>
      </c>
      <c r="M1500" t="s">
        <v>43</v>
      </c>
      <c r="N1500" t="s">
        <v>45</v>
      </c>
      <c r="O1500" t="s">
        <v>43</v>
      </c>
      <c r="P1500" t="s">
        <v>43</v>
      </c>
      <c r="Q1500" t="s">
        <v>43</v>
      </c>
      <c r="R1500" t="s">
        <v>43</v>
      </c>
      <c r="S1500" t="s">
        <v>43</v>
      </c>
      <c r="T1500" t="s">
        <v>43</v>
      </c>
      <c r="U1500" t="s">
        <v>43</v>
      </c>
      <c r="V1500" t="s">
        <v>43</v>
      </c>
      <c r="W1500" t="s">
        <v>43</v>
      </c>
      <c r="X1500" t="s">
        <v>43</v>
      </c>
      <c r="Y1500" t="s">
        <v>43</v>
      </c>
      <c r="Z1500" t="s">
        <v>43</v>
      </c>
      <c r="AA1500" t="s">
        <v>43</v>
      </c>
      <c r="AB1500" t="s">
        <v>43</v>
      </c>
      <c r="AC1500" t="s">
        <v>43</v>
      </c>
      <c r="AD1500" t="s">
        <v>43</v>
      </c>
      <c r="AE1500" t="s">
        <v>43</v>
      </c>
      <c r="AF1500" t="s">
        <v>43</v>
      </c>
      <c r="AG1500" t="s">
        <v>43</v>
      </c>
      <c r="AH1500" t="s">
        <v>43</v>
      </c>
      <c r="AI1500" t="s">
        <v>43</v>
      </c>
      <c r="AJ1500" t="s">
        <v>43</v>
      </c>
      <c r="AK1500" t="s">
        <v>43</v>
      </c>
      <c r="AL1500" t="s">
        <v>43</v>
      </c>
      <c r="AM1500" t="s">
        <v>43</v>
      </c>
      <c r="AN1500" t="str">
        <f>HYPERLINK("https://www.google.com/maps?q=11.05587196,79.0641098","Open Location")</f>
        <v>Open Location</v>
      </c>
    </row>
    <row r="1501" spans="1:40" x14ac:dyDescent="0.3">
      <c r="A1501" s="1">
        <v>46210.826041666667</v>
      </c>
      <c r="B1501" t="s">
        <v>40</v>
      </c>
      <c r="C1501" t="s">
        <v>41</v>
      </c>
      <c r="D1501" s="1">
        <v>46210.828726851854</v>
      </c>
      <c r="E1501" t="s">
        <v>42</v>
      </c>
      <c r="F1501" t="s">
        <v>43</v>
      </c>
      <c r="G1501" t="s">
        <v>43</v>
      </c>
      <c r="H1501" t="s">
        <v>43</v>
      </c>
      <c r="I1501" t="s">
        <v>619</v>
      </c>
      <c r="J1501" t="s">
        <v>43</v>
      </c>
      <c r="K1501" t="s">
        <v>43</v>
      </c>
      <c r="L1501" t="s">
        <v>43</v>
      </c>
      <c r="M1501" t="s">
        <v>43</v>
      </c>
      <c r="N1501" t="s">
        <v>45</v>
      </c>
      <c r="O1501" t="s">
        <v>43</v>
      </c>
      <c r="P1501" t="s">
        <v>43</v>
      </c>
      <c r="Q1501" t="s">
        <v>43</v>
      </c>
      <c r="R1501" t="s">
        <v>43</v>
      </c>
      <c r="S1501" t="s">
        <v>43</v>
      </c>
      <c r="T1501" t="s">
        <v>43</v>
      </c>
      <c r="U1501" t="s">
        <v>43</v>
      </c>
      <c r="V1501" t="s">
        <v>43</v>
      </c>
      <c r="W1501" t="s">
        <v>43</v>
      </c>
      <c r="X1501" t="s">
        <v>43</v>
      </c>
      <c r="Y1501" t="s">
        <v>43</v>
      </c>
      <c r="Z1501" t="s">
        <v>43</v>
      </c>
      <c r="AA1501" t="s">
        <v>43</v>
      </c>
      <c r="AB1501" t="s">
        <v>43</v>
      </c>
      <c r="AC1501" t="s">
        <v>43</v>
      </c>
      <c r="AD1501" t="s">
        <v>43</v>
      </c>
      <c r="AE1501" t="s">
        <v>43</v>
      </c>
      <c r="AF1501" t="s">
        <v>43</v>
      </c>
      <c r="AG1501" t="s">
        <v>43</v>
      </c>
      <c r="AH1501" t="s">
        <v>43</v>
      </c>
      <c r="AI1501" t="s">
        <v>43</v>
      </c>
      <c r="AJ1501" t="s">
        <v>43</v>
      </c>
      <c r="AK1501" t="s">
        <v>43</v>
      </c>
      <c r="AL1501" t="s">
        <v>43</v>
      </c>
      <c r="AM1501" t="s">
        <v>43</v>
      </c>
      <c r="AN1501" t="str">
        <f>HYPERLINK("https://www.google.com/maps?q=11.05587101,79.0641098","Open Location")</f>
        <v>Open Location</v>
      </c>
    </row>
    <row r="1502" spans="1:40" x14ac:dyDescent="0.3">
      <c r="A1502" s="1">
        <v>46210.825925925928</v>
      </c>
      <c r="B1502" t="s">
        <v>40</v>
      </c>
      <c r="C1502" t="s">
        <v>41</v>
      </c>
      <c r="D1502" s="1">
        <v>46210.828750000001</v>
      </c>
      <c r="E1502" t="s">
        <v>42</v>
      </c>
      <c r="F1502" t="s">
        <v>43</v>
      </c>
      <c r="G1502" t="s">
        <v>43</v>
      </c>
      <c r="H1502" t="s">
        <v>43</v>
      </c>
      <c r="I1502" t="s">
        <v>615</v>
      </c>
      <c r="J1502" t="s">
        <v>43</v>
      </c>
      <c r="K1502" t="s">
        <v>43</v>
      </c>
      <c r="L1502" t="s">
        <v>43</v>
      </c>
      <c r="M1502" t="s">
        <v>43</v>
      </c>
      <c r="N1502" t="s">
        <v>45</v>
      </c>
      <c r="O1502" t="s">
        <v>43</v>
      </c>
      <c r="P1502" t="s">
        <v>43</v>
      </c>
      <c r="Q1502" t="s">
        <v>43</v>
      </c>
      <c r="R1502" t="s">
        <v>43</v>
      </c>
      <c r="S1502" t="s">
        <v>43</v>
      </c>
      <c r="T1502" t="s">
        <v>43</v>
      </c>
      <c r="U1502" t="s">
        <v>43</v>
      </c>
      <c r="V1502" t="s">
        <v>43</v>
      </c>
      <c r="W1502" t="s">
        <v>43</v>
      </c>
      <c r="X1502" t="s">
        <v>43</v>
      </c>
      <c r="Y1502" t="s">
        <v>43</v>
      </c>
      <c r="Z1502" t="s">
        <v>43</v>
      </c>
      <c r="AA1502" t="s">
        <v>43</v>
      </c>
      <c r="AB1502" t="s">
        <v>43</v>
      </c>
      <c r="AC1502" t="s">
        <v>43</v>
      </c>
      <c r="AD1502" t="s">
        <v>43</v>
      </c>
      <c r="AE1502" t="s">
        <v>43</v>
      </c>
      <c r="AF1502" t="s">
        <v>43</v>
      </c>
      <c r="AG1502" t="s">
        <v>43</v>
      </c>
      <c r="AH1502" t="s">
        <v>43</v>
      </c>
      <c r="AI1502" t="s">
        <v>43</v>
      </c>
      <c r="AJ1502" t="s">
        <v>43</v>
      </c>
      <c r="AK1502" t="s">
        <v>43</v>
      </c>
      <c r="AL1502" t="s">
        <v>43</v>
      </c>
      <c r="AM1502" t="s">
        <v>43</v>
      </c>
      <c r="AN1502" t="str">
        <f>HYPERLINK("https://www.google.com/maps?q=11.05587387,79.06410217","Open Location")</f>
        <v>Open Location</v>
      </c>
    </row>
    <row r="1503" spans="1:40" x14ac:dyDescent="0.3">
      <c r="A1503" s="1">
        <v>46210.825810185182</v>
      </c>
      <c r="B1503" t="s">
        <v>40</v>
      </c>
      <c r="C1503" t="s">
        <v>41</v>
      </c>
      <c r="D1503" s="1">
        <v>46210.828726851854</v>
      </c>
      <c r="E1503" t="s">
        <v>42</v>
      </c>
      <c r="F1503" t="s">
        <v>43</v>
      </c>
      <c r="G1503" t="s">
        <v>43</v>
      </c>
      <c r="H1503" t="s">
        <v>43</v>
      </c>
      <c r="I1503" t="s">
        <v>670</v>
      </c>
      <c r="J1503" t="s">
        <v>43</v>
      </c>
      <c r="K1503" t="s">
        <v>43</v>
      </c>
      <c r="L1503" t="s">
        <v>43</v>
      </c>
      <c r="M1503" t="s">
        <v>43</v>
      </c>
      <c r="N1503" t="s">
        <v>45</v>
      </c>
      <c r="O1503" t="s">
        <v>43</v>
      </c>
      <c r="P1503" t="s">
        <v>43</v>
      </c>
      <c r="Q1503" t="s">
        <v>43</v>
      </c>
      <c r="R1503" t="s">
        <v>43</v>
      </c>
      <c r="S1503" t="s">
        <v>43</v>
      </c>
      <c r="T1503" t="s">
        <v>43</v>
      </c>
      <c r="U1503" t="s">
        <v>43</v>
      </c>
      <c r="V1503" t="s">
        <v>43</v>
      </c>
      <c r="W1503" t="s">
        <v>43</v>
      </c>
      <c r="X1503" t="s">
        <v>43</v>
      </c>
      <c r="Y1503" t="s">
        <v>43</v>
      </c>
      <c r="Z1503" t="s">
        <v>43</v>
      </c>
      <c r="AA1503" t="s">
        <v>43</v>
      </c>
      <c r="AB1503" t="s">
        <v>43</v>
      </c>
      <c r="AC1503" t="s">
        <v>43</v>
      </c>
      <c r="AD1503" t="s">
        <v>43</v>
      </c>
      <c r="AE1503" t="s">
        <v>43</v>
      </c>
      <c r="AF1503" t="s">
        <v>43</v>
      </c>
      <c r="AG1503" t="s">
        <v>43</v>
      </c>
      <c r="AH1503" t="s">
        <v>43</v>
      </c>
      <c r="AI1503" t="s">
        <v>43</v>
      </c>
      <c r="AJ1503" t="s">
        <v>43</v>
      </c>
      <c r="AK1503" t="s">
        <v>43</v>
      </c>
      <c r="AL1503" t="s">
        <v>43</v>
      </c>
      <c r="AM1503" t="s">
        <v>43</v>
      </c>
      <c r="AN1503" t="str">
        <f>HYPERLINK("https://www.google.com/maps?q=11.05587482,79.06410217","Open Location")</f>
        <v>Open Location</v>
      </c>
    </row>
    <row r="1504" spans="1:40" x14ac:dyDescent="0.3">
      <c r="A1504" s="1">
        <v>46210.825694444444</v>
      </c>
      <c r="B1504" t="s">
        <v>40</v>
      </c>
      <c r="C1504" t="s">
        <v>41</v>
      </c>
      <c r="D1504" s="1">
        <v>46210.828611111108</v>
      </c>
      <c r="E1504" t="s">
        <v>42</v>
      </c>
      <c r="F1504" t="s">
        <v>43</v>
      </c>
      <c r="G1504" t="s">
        <v>43</v>
      </c>
      <c r="H1504" t="s">
        <v>43</v>
      </c>
      <c r="I1504" t="s">
        <v>43</v>
      </c>
      <c r="J1504" t="s">
        <v>43</v>
      </c>
      <c r="K1504" t="s">
        <v>43</v>
      </c>
      <c r="L1504" t="s">
        <v>43</v>
      </c>
      <c r="M1504" t="s">
        <v>43</v>
      </c>
      <c r="N1504" t="s">
        <v>45</v>
      </c>
      <c r="O1504" t="s">
        <v>43</v>
      </c>
      <c r="P1504" t="s">
        <v>43</v>
      </c>
      <c r="Q1504" t="s">
        <v>43</v>
      </c>
      <c r="R1504" t="s">
        <v>43</v>
      </c>
      <c r="S1504" t="s">
        <v>43</v>
      </c>
      <c r="T1504" t="s">
        <v>43</v>
      </c>
      <c r="U1504" t="s">
        <v>43</v>
      </c>
      <c r="V1504" t="s">
        <v>43</v>
      </c>
      <c r="W1504" t="s">
        <v>43</v>
      </c>
      <c r="X1504" t="s">
        <v>43</v>
      </c>
      <c r="Y1504" t="s">
        <v>43</v>
      </c>
      <c r="Z1504" t="s">
        <v>43</v>
      </c>
      <c r="AA1504" t="s">
        <v>43</v>
      </c>
      <c r="AB1504" t="s">
        <v>43</v>
      </c>
      <c r="AC1504" t="s">
        <v>43</v>
      </c>
      <c r="AD1504" t="s">
        <v>43</v>
      </c>
      <c r="AE1504" t="s">
        <v>43</v>
      </c>
      <c r="AF1504" t="s">
        <v>43</v>
      </c>
      <c r="AG1504" t="s">
        <v>43</v>
      </c>
      <c r="AH1504" t="s">
        <v>43</v>
      </c>
      <c r="AI1504" t="s">
        <v>43</v>
      </c>
      <c r="AJ1504" t="s">
        <v>43</v>
      </c>
      <c r="AK1504" t="s">
        <v>43</v>
      </c>
      <c r="AL1504" t="s">
        <v>43</v>
      </c>
      <c r="AM1504" t="s">
        <v>43</v>
      </c>
      <c r="AN1504" t="s">
        <v>43</v>
      </c>
    </row>
    <row r="1505" spans="1:40" x14ac:dyDescent="0.3">
      <c r="A1505" s="1">
        <v>46210.825578703705</v>
      </c>
      <c r="B1505" t="s">
        <v>40</v>
      </c>
      <c r="C1505" t="s">
        <v>41</v>
      </c>
      <c r="D1505" s="1">
        <v>46210.828460648147</v>
      </c>
      <c r="E1505" t="s">
        <v>42</v>
      </c>
      <c r="F1505" t="s">
        <v>43</v>
      </c>
      <c r="G1505" t="s">
        <v>43</v>
      </c>
      <c r="H1505" t="s">
        <v>43</v>
      </c>
      <c r="I1505" t="s">
        <v>737</v>
      </c>
      <c r="J1505" t="s">
        <v>43</v>
      </c>
      <c r="K1505" t="s">
        <v>43</v>
      </c>
      <c r="L1505" t="s">
        <v>43</v>
      </c>
      <c r="M1505" t="s">
        <v>43</v>
      </c>
      <c r="N1505" t="s">
        <v>45</v>
      </c>
      <c r="O1505" t="s">
        <v>43</v>
      </c>
      <c r="P1505" t="s">
        <v>43</v>
      </c>
      <c r="Q1505" t="s">
        <v>43</v>
      </c>
      <c r="R1505" t="s">
        <v>43</v>
      </c>
      <c r="S1505" t="s">
        <v>43</v>
      </c>
      <c r="T1505" t="s">
        <v>43</v>
      </c>
      <c r="U1505" t="s">
        <v>43</v>
      </c>
      <c r="V1505" t="s">
        <v>43</v>
      </c>
      <c r="W1505" t="s">
        <v>43</v>
      </c>
      <c r="X1505" t="s">
        <v>43</v>
      </c>
      <c r="Y1505" t="s">
        <v>43</v>
      </c>
      <c r="Z1505" t="s">
        <v>43</v>
      </c>
      <c r="AA1505" t="s">
        <v>43</v>
      </c>
      <c r="AB1505" t="s">
        <v>43</v>
      </c>
      <c r="AC1505" t="s">
        <v>43</v>
      </c>
      <c r="AD1505" t="s">
        <v>43</v>
      </c>
      <c r="AE1505" t="s">
        <v>43</v>
      </c>
      <c r="AF1505" t="s">
        <v>43</v>
      </c>
      <c r="AG1505" t="s">
        <v>43</v>
      </c>
      <c r="AH1505" t="s">
        <v>43</v>
      </c>
      <c r="AI1505" t="s">
        <v>43</v>
      </c>
      <c r="AJ1505" t="s">
        <v>43</v>
      </c>
      <c r="AK1505" t="s">
        <v>43</v>
      </c>
      <c r="AL1505" t="s">
        <v>43</v>
      </c>
      <c r="AM1505" t="s">
        <v>43</v>
      </c>
      <c r="AN1505" t="str">
        <f>HYPERLINK("https://www.google.com/maps?q=11.05587578,79.0641098","Open Location")</f>
        <v>Open Location</v>
      </c>
    </row>
    <row r="1506" spans="1:40" x14ac:dyDescent="0.3">
      <c r="A1506" s="1">
        <v>46210.825462962966</v>
      </c>
      <c r="B1506" t="s">
        <v>40</v>
      </c>
      <c r="C1506" t="s">
        <v>41</v>
      </c>
      <c r="D1506" s="1">
        <v>46210.828611111108</v>
      </c>
      <c r="E1506" t="s">
        <v>42</v>
      </c>
      <c r="F1506" t="s">
        <v>43</v>
      </c>
      <c r="G1506" t="s">
        <v>43</v>
      </c>
      <c r="H1506" t="s">
        <v>43</v>
      </c>
      <c r="I1506" t="s">
        <v>733</v>
      </c>
      <c r="J1506" t="s">
        <v>43</v>
      </c>
      <c r="K1506" t="s">
        <v>43</v>
      </c>
      <c r="L1506" t="s">
        <v>43</v>
      </c>
      <c r="M1506" t="s">
        <v>43</v>
      </c>
      <c r="N1506" t="s">
        <v>45</v>
      </c>
      <c r="O1506" t="s">
        <v>43</v>
      </c>
      <c r="P1506" t="s">
        <v>43</v>
      </c>
      <c r="Q1506" t="s">
        <v>43</v>
      </c>
      <c r="R1506" t="s">
        <v>43</v>
      </c>
      <c r="S1506" t="s">
        <v>43</v>
      </c>
      <c r="T1506" t="s">
        <v>43</v>
      </c>
      <c r="U1506" t="s">
        <v>43</v>
      </c>
      <c r="V1506" t="s">
        <v>43</v>
      </c>
      <c r="W1506" t="s">
        <v>43</v>
      </c>
      <c r="X1506" t="s">
        <v>43</v>
      </c>
      <c r="Y1506" t="s">
        <v>43</v>
      </c>
      <c r="Z1506" t="s">
        <v>43</v>
      </c>
      <c r="AA1506" t="s">
        <v>43</v>
      </c>
      <c r="AB1506" t="s">
        <v>43</v>
      </c>
      <c r="AC1506" t="s">
        <v>43</v>
      </c>
      <c r="AD1506" t="s">
        <v>43</v>
      </c>
      <c r="AE1506" t="s">
        <v>43</v>
      </c>
      <c r="AF1506" t="s">
        <v>43</v>
      </c>
      <c r="AG1506" t="s">
        <v>43</v>
      </c>
      <c r="AH1506" t="s">
        <v>43</v>
      </c>
      <c r="AI1506" t="s">
        <v>43</v>
      </c>
      <c r="AJ1506" t="s">
        <v>43</v>
      </c>
      <c r="AK1506" t="s">
        <v>43</v>
      </c>
      <c r="AL1506" t="s">
        <v>43</v>
      </c>
      <c r="AM1506" t="s">
        <v>43</v>
      </c>
      <c r="AN1506" t="str">
        <f>HYPERLINK("https://www.google.com/maps?q=11.05587673,79.06411743","Open Location")</f>
        <v>Open Location</v>
      </c>
    </row>
    <row r="1507" spans="1:40" x14ac:dyDescent="0.3">
      <c r="A1507" s="1">
        <v>46210.82534722222</v>
      </c>
      <c r="B1507" t="s">
        <v>40</v>
      </c>
      <c r="C1507" t="s">
        <v>41</v>
      </c>
      <c r="D1507" s="1">
        <v>46210.828101851854</v>
      </c>
      <c r="E1507" t="s">
        <v>42</v>
      </c>
      <c r="F1507" t="s">
        <v>43</v>
      </c>
      <c r="G1507" t="s">
        <v>43</v>
      </c>
      <c r="H1507" t="s">
        <v>43</v>
      </c>
      <c r="I1507" t="s">
        <v>661</v>
      </c>
      <c r="J1507" t="s">
        <v>43</v>
      </c>
      <c r="K1507" t="s">
        <v>43</v>
      </c>
      <c r="L1507" t="s">
        <v>43</v>
      </c>
      <c r="M1507" t="s">
        <v>43</v>
      </c>
      <c r="N1507" t="s">
        <v>45</v>
      </c>
      <c r="O1507" t="s">
        <v>43</v>
      </c>
      <c r="P1507" t="s">
        <v>43</v>
      </c>
      <c r="Q1507" t="s">
        <v>43</v>
      </c>
      <c r="R1507" t="s">
        <v>43</v>
      </c>
      <c r="S1507" t="s">
        <v>43</v>
      </c>
      <c r="T1507" t="s">
        <v>43</v>
      </c>
      <c r="U1507" t="s">
        <v>43</v>
      </c>
      <c r="V1507" t="s">
        <v>43</v>
      </c>
      <c r="W1507" t="s">
        <v>43</v>
      </c>
      <c r="X1507" t="s">
        <v>43</v>
      </c>
      <c r="Y1507" t="s">
        <v>43</v>
      </c>
      <c r="Z1507" t="s">
        <v>43</v>
      </c>
      <c r="AA1507" t="s">
        <v>43</v>
      </c>
      <c r="AB1507" t="s">
        <v>43</v>
      </c>
      <c r="AC1507" t="s">
        <v>43</v>
      </c>
      <c r="AD1507" t="s">
        <v>43</v>
      </c>
      <c r="AE1507" t="s">
        <v>43</v>
      </c>
      <c r="AF1507" t="s">
        <v>43</v>
      </c>
      <c r="AG1507" t="s">
        <v>43</v>
      </c>
      <c r="AH1507" t="s">
        <v>43</v>
      </c>
      <c r="AI1507" t="s">
        <v>43</v>
      </c>
      <c r="AJ1507" t="s">
        <v>43</v>
      </c>
      <c r="AK1507" t="s">
        <v>43</v>
      </c>
      <c r="AL1507" t="s">
        <v>43</v>
      </c>
      <c r="AM1507" t="s">
        <v>43</v>
      </c>
      <c r="AN1507" t="str">
        <f>HYPERLINK("https://www.google.com/maps?q=11.05587196,79.06411743","Open Location")</f>
        <v>Open Location</v>
      </c>
    </row>
    <row r="1508" spans="1:40" x14ac:dyDescent="0.3">
      <c r="A1508" s="1">
        <v>46210.825231481482</v>
      </c>
      <c r="B1508" t="s">
        <v>40</v>
      </c>
      <c r="C1508" t="s">
        <v>41</v>
      </c>
      <c r="D1508" s="1">
        <v>46210.828101851854</v>
      </c>
      <c r="E1508" t="s">
        <v>42</v>
      </c>
      <c r="F1508" t="s">
        <v>43</v>
      </c>
      <c r="G1508" t="s">
        <v>43</v>
      </c>
      <c r="H1508" t="s">
        <v>43</v>
      </c>
      <c r="I1508" t="s">
        <v>663</v>
      </c>
      <c r="J1508" t="s">
        <v>43</v>
      </c>
      <c r="K1508" t="s">
        <v>43</v>
      </c>
      <c r="L1508" t="s">
        <v>43</v>
      </c>
      <c r="M1508" t="s">
        <v>43</v>
      </c>
      <c r="N1508" t="s">
        <v>45</v>
      </c>
      <c r="O1508" t="s">
        <v>43</v>
      </c>
      <c r="P1508" t="s">
        <v>43</v>
      </c>
      <c r="Q1508" t="s">
        <v>43</v>
      </c>
      <c r="R1508" t="s">
        <v>43</v>
      </c>
      <c r="S1508" t="s">
        <v>43</v>
      </c>
      <c r="T1508" t="s">
        <v>43</v>
      </c>
      <c r="U1508" t="s">
        <v>43</v>
      </c>
      <c r="V1508" t="s">
        <v>43</v>
      </c>
      <c r="W1508" t="s">
        <v>43</v>
      </c>
      <c r="X1508" t="s">
        <v>43</v>
      </c>
      <c r="Y1508" t="s">
        <v>43</v>
      </c>
      <c r="Z1508" t="s">
        <v>43</v>
      </c>
      <c r="AA1508" t="s">
        <v>43</v>
      </c>
      <c r="AB1508" t="s">
        <v>43</v>
      </c>
      <c r="AC1508" t="s">
        <v>43</v>
      </c>
      <c r="AD1508" t="s">
        <v>43</v>
      </c>
      <c r="AE1508" t="s">
        <v>43</v>
      </c>
      <c r="AF1508" t="s">
        <v>43</v>
      </c>
      <c r="AG1508" t="s">
        <v>43</v>
      </c>
      <c r="AH1508" t="s">
        <v>43</v>
      </c>
      <c r="AI1508" t="s">
        <v>43</v>
      </c>
      <c r="AJ1508" t="s">
        <v>43</v>
      </c>
      <c r="AK1508" t="s">
        <v>43</v>
      </c>
      <c r="AL1508" t="s">
        <v>43</v>
      </c>
      <c r="AM1508" t="s">
        <v>43</v>
      </c>
      <c r="AN1508" t="str">
        <f>HYPERLINK("https://www.google.com/maps?q=11.05587006,79.06412506","Open Location")</f>
        <v>Open Location</v>
      </c>
    </row>
    <row r="1509" spans="1:40" x14ac:dyDescent="0.3">
      <c r="A1509" s="1">
        <v>46210.825115740743</v>
      </c>
      <c r="B1509" t="s">
        <v>40</v>
      </c>
      <c r="C1509" t="s">
        <v>41</v>
      </c>
      <c r="D1509" s="1">
        <v>46210.828310185185</v>
      </c>
      <c r="E1509" t="s">
        <v>42</v>
      </c>
      <c r="F1509" t="s">
        <v>43</v>
      </c>
      <c r="G1509" t="s">
        <v>43</v>
      </c>
      <c r="H1509" t="s">
        <v>43</v>
      </c>
      <c r="I1509" t="s">
        <v>43</v>
      </c>
      <c r="J1509" t="s">
        <v>43</v>
      </c>
      <c r="K1509" t="s">
        <v>43</v>
      </c>
      <c r="L1509" t="s">
        <v>43</v>
      </c>
      <c r="M1509" t="s">
        <v>43</v>
      </c>
      <c r="N1509" t="s">
        <v>45</v>
      </c>
      <c r="O1509" t="s">
        <v>43</v>
      </c>
      <c r="P1509" t="s">
        <v>43</v>
      </c>
      <c r="Q1509" t="s">
        <v>43</v>
      </c>
      <c r="R1509" t="s">
        <v>43</v>
      </c>
      <c r="S1509" t="s">
        <v>43</v>
      </c>
      <c r="T1509" t="s">
        <v>43</v>
      </c>
      <c r="U1509" t="s">
        <v>43</v>
      </c>
      <c r="V1509" t="s">
        <v>43</v>
      </c>
      <c r="W1509" t="s">
        <v>43</v>
      </c>
      <c r="X1509" t="s">
        <v>43</v>
      </c>
      <c r="Y1509" t="s">
        <v>43</v>
      </c>
      <c r="Z1509" t="s">
        <v>43</v>
      </c>
      <c r="AA1509" t="s">
        <v>43</v>
      </c>
      <c r="AB1509" t="s">
        <v>43</v>
      </c>
      <c r="AC1509" t="s">
        <v>43</v>
      </c>
      <c r="AD1509" t="s">
        <v>43</v>
      </c>
      <c r="AE1509" t="s">
        <v>43</v>
      </c>
      <c r="AF1509" t="s">
        <v>43</v>
      </c>
      <c r="AG1509" t="s">
        <v>43</v>
      </c>
      <c r="AH1509" t="s">
        <v>43</v>
      </c>
      <c r="AI1509" t="s">
        <v>43</v>
      </c>
      <c r="AJ1509" t="s">
        <v>43</v>
      </c>
      <c r="AK1509" t="s">
        <v>43</v>
      </c>
      <c r="AL1509" t="s">
        <v>43</v>
      </c>
      <c r="AM1509" t="s">
        <v>43</v>
      </c>
      <c r="AN1509" t="s">
        <v>43</v>
      </c>
    </row>
    <row r="1510" spans="1:40" x14ac:dyDescent="0.3">
      <c r="A1510" s="1">
        <v>46210.824999999997</v>
      </c>
      <c r="B1510" t="s">
        <v>40</v>
      </c>
      <c r="C1510" t="s">
        <v>41</v>
      </c>
      <c r="D1510" s="1">
        <v>46210.828310185185</v>
      </c>
      <c r="E1510" t="s">
        <v>42</v>
      </c>
      <c r="F1510" t="s">
        <v>43</v>
      </c>
      <c r="G1510" t="s">
        <v>43</v>
      </c>
      <c r="H1510" t="s">
        <v>43</v>
      </c>
      <c r="I1510" t="s">
        <v>738</v>
      </c>
      <c r="J1510" t="s">
        <v>43</v>
      </c>
      <c r="K1510" t="s">
        <v>43</v>
      </c>
      <c r="L1510" t="s">
        <v>43</v>
      </c>
      <c r="M1510" t="s">
        <v>43</v>
      </c>
      <c r="N1510" t="s">
        <v>45</v>
      </c>
      <c r="O1510" t="s">
        <v>43</v>
      </c>
      <c r="P1510" t="s">
        <v>43</v>
      </c>
      <c r="Q1510" t="s">
        <v>43</v>
      </c>
      <c r="R1510" t="s">
        <v>43</v>
      </c>
      <c r="S1510" t="s">
        <v>43</v>
      </c>
      <c r="T1510" t="s">
        <v>43</v>
      </c>
      <c r="U1510" t="s">
        <v>43</v>
      </c>
      <c r="V1510" t="s">
        <v>43</v>
      </c>
      <c r="W1510" t="s">
        <v>43</v>
      </c>
      <c r="X1510" t="s">
        <v>43</v>
      </c>
      <c r="Y1510" t="s">
        <v>43</v>
      </c>
      <c r="Z1510" t="s">
        <v>43</v>
      </c>
      <c r="AA1510" t="s">
        <v>43</v>
      </c>
      <c r="AB1510" t="s">
        <v>43</v>
      </c>
      <c r="AC1510" t="s">
        <v>43</v>
      </c>
      <c r="AD1510" t="s">
        <v>43</v>
      </c>
      <c r="AE1510" t="s">
        <v>43</v>
      </c>
      <c r="AF1510" t="s">
        <v>43</v>
      </c>
      <c r="AG1510" t="s">
        <v>43</v>
      </c>
      <c r="AH1510" t="s">
        <v>43</v>
      </c>
      <c r="AI1510" t="s">
        <v>43</v>
      </c>
      <c r="AJ1510" t="s">
        <v>43</v>
      </c>
      <c r="AK1510" t="s">
        <v>43</v>
      </c>
      <c r="AL1510" t="s">
        <v>43</v>
      </c>
      <c r="AM1510" t="s">
        <v>43</v>
      </c>
      <c r="AN1510" t="str">
        <f>HYPERLINK("https://www.google.com/maps?q=11.0558672,79.06412506","Open Location")</f>
        <v>Open Location</v>
      </c>
    </row>
    <row r="1511" spans="1:40" x14ac:dyDescent="0.3">
      <c r="A1511" s="1">
        <v>46210.824884259258</v>
      </c>
      <c r="B1511" t="s">
        <v>40</v>
      </c>
      <c r="C1511" t="s">
        <v>41</v>
      </c>
      <c r="D1511" s="1">
        <v>46210.827789351853</v>
      </c>
      <c r="E1511" t="s">
        <v>42</v>
      </c>
      <c r="F1511" t="s">
        <v>43</v>
      </c>
      <c r="G1511" t="s">
        <v>43</v>
      </c>
      <c r="H1511" t="s">
        <v>43</v>
      </c>
      <c r="I1511" t="s">
        <v>702</v>
      </c>
      <c r="J1511" t="s">
        <v>43</v>
      </c>
      <c r="K1511" t="s">
        <v>43</v>
      </c>
      <c r="L1511" t="s">
        <v>43</v>
      </c>
      <c r="M1511" t="s">
        <v>43</v>
      </c>
      <c r="N1511" t="s">
        <v>45</v>
      </c>
      <c r="O1511" t="s">
        <v>43</v>
      </c>
      <c r="P1511" t="s">
        <v>43</v>
      </c>
      <c r="Q1511" t="s">
        <v>43</v>
      </c>
      <c r="R1511" t="s">
        <v>43</v>
      </c>
      <c r="S1511" t="s">
        <v>43</v>
      </c>
      <c r="T1511" t="s">
        <v>43</v>
      </c>
      <c r="U1511" t="s">
        <v>43</v>
      </c>
      <c r="V1511" t="s">
        <v>43</v>
      </c>
      <c r="W1511" t="s">
        <v>43</v>
      </c>
      <c r="X1511" t="s">
        <v>43</v>
      </c>
      <c r="Y1511" t="s">
        <v>43</v>
      </c>
      <c r="Z1511" t="s">
        <v>43</v>
      </c>
      <c r="AA1511" t="s">
        <v>43</v>
      </c>
      <c r="AB1511" t="s">
        <v>43</v>
      </c>
      <c r="AC1511" t="s">
        <v>43</v>
      </c>
      <c r="AD1511" t="s">
        <v>43</v>
      </c>
      <c r="AE1511" t="s">
        <v>43</v>
      </c>
      <c r="AF1511" t="s">
        <v>43</v>
      </c>
      <c r="AG1511" t="s">
        <v>43</v>
      </c>
      <c r="AH1511" t="s">
        <v>43</v>
      </c>
      <c r="AI1511" t="s">
        <v>43</v>
      </c>
      <c r="AJ1511" t="s">
        <v>43</v>
      </c>
      <c r="AK1511" t="s">
        <v>43</v>
      </c>
      <c r="AL1511" t="s">
        <v>43</v>
      </c>
      <c r="AM1511" t="s">
        <v>43</v>
      </c>
      <c r="AN1511" t="str">
        <f>HYPERLINK("https://www.google.com/maps?q=11.05586433,79.06412506","Open Location")</f>
        <v>Open Location</v>
      </c>
    </row>
    <row r="1512" spans="1:40" x14ac:dyDescent="0.3">
      <c r="A1512" s="1">
        <v>46210.82476851852</v>
      </c>
      <c r="B1512" t="s">
        <v>40</v>
      </c>
      <c r="C1512" t="s">
        <v>41</v>
      </c>
      <c r="D1512" s="1">
        <v>46210.827719907407</v>
      </c>
      <c r="E1512" t="s">
        <v>42</v>
      </c>
      <c r="F1512" t="s">
        <v>43</v>
      </c>
      <c r="G1512" t="s">
        <v>43</v>
      </c>
      <c r="H1512" t="s">
        <v>43</v>
      </c>
      <c r="I1512" t="s">
        <v>739</v>
      </c>
      <c r="J1512" t="s">
        <v>43</v>
      </c>
      <c r="K1512" t="s">
        <v>43</v>
      </c>
      <c r="L1512" t="s">
        <v>43</v>
      </c>
      <c r="M1512" t="s">
        <v>43</v>
      </c>
      <c r="N1512" t="s">
        <v>45</v>
      </c>
      <c r="O1512" t="s">
        <v>43</v>
      </c>
      <c r="P1512" t="s">
        <v>43</v>
      </c>
      <c r="Q1512" t="s">
        <v>43</v>
      </c>
      <c r="R1512" t="s">
        <v>43</v>
      </c>
      <c r="S1512" t="s">
        <v>43</v>
      </c>
      <c r="T1512" t="s">
        <v>43</v>
      </c>
      <c r="U1512" t="s">
        <v>43</v>
      </c>
      <c r="V1512" t="s">
        <v>43</v>
      </c>
      <c r="W1512" t="s">
        <v>43</v>
      </c>
      <c r="X1512" t="s">
        <v>43</v>
      </c>
      <c r="Y1512" t="s">
        <v>43</v>
      </c>
      <c r="Z1512" t="s">
        <v>43</v>
      </c>
      <c r="AA1512" t="s">
        <v>43</v>
      </c>
      <c r="AB1512" t="s">
        <v>43</v>
      </c>
      <c r="AC1512" t="s">
        <v>43</v>
      </c>
      <c r="AD1512" t="s">
        <v>43</v>
      </c>
      <c r="AE1512" t="s">
        <v>43</v>
      </c>
      <c r="AF1512" t="s">
        <v>43</v>
      </c>
      <c r="AG1512" t="s">
        <v>43</v>
      </c>
      <c r="AH1512" t="s">
        <v>43</v>
      </c>
      <c r="AI1512" t="s">
        <v>43</v>
      </c>
      <c r="AJ1512" t="s">
        <v>43</v>
      </c>
      <c r="AK1512" t="s">
        <v>43</v>
      </c>
      <c r="AL1512" t="s">
        <v>43</v>
      </c>
      <c r="AM1512" t="s">
        <v>43</v>
      </c>
      <c r="AN1512" t="str">
        <f>HYPERLINK("https://www.google.com/maps?q=11.05586147,79.06412506","Open Location")</f>
        <v>Open Location</v>
      </c>
    </row>
    <row r="1513" spans="1:40" x14ac:dyDescent="0.3">
      <c r="A1513" s="1">
        <v>46210.824652777781</v>
      </c>
      <c r="B1513" t="s">
        <v>40</v>
      </c>
      <c r="C1513" t="s">
        <v>41</v>
      </c>
      <c r="D1513" s="1">
        <v>46210.827407407407</v>
      </c>
      <c r="E1513" t="s">
        <v>42</v>
      </c>
      <c r="F1513" t="s">
        <v>43</v>
      </c>
      <c r="G1513" t="s">
        <v>43</v>
      </c>
      <c r="H1513" t="s">
        <v>43</v>
      </c>
      <c r="I1513" t="s">
        <v>703</v>
      </c>
      <c r="J1513" t="s">
        <v>43</v>
      </c>
      <c r="K1513" t="s">
        <v>43</v>
      </c>
      <c r="L1513" t="s">
        <v>43</v>
      </c>
      <c r="M1513" t="s">
        <v>43</v>
      </c>
      <c r="N1513" t="s">
        <v>45</v>
      </c>
      <c r="O1513" t="s">
        <v>43</v>
      </c>
      <c r="P1513" t="s">
        <v>43</v>
      </c>
      <c r="Q1513" t="s">
        <v>43</v>
      </c>
      <c r="R1513" t="s">
        <v>43</v>
      </c>
      <c r="S1513" t="s">
        <v>43</v>
      </c>
      <c r="T1513" t="s">
        <v>43</v>
      </c>
      <c r="U1513" t="s">
        <v>43</v>
      </c>
      <c r="V1513" t="s">
        <v>43</v>
      </c>
      <c r="W1513" t="s">
        <v>43</v>
      </c>
      <c r="X1513" t="s">
        <v>43</v>
      </c>
      <c r="Y1513" t="s">
        <v>43</v>
      </c>
      <c r="Z1513" t="s">
        <v>43</v>
      </c>
      <c r="AA1513" t="s">
        <v>43</v>
      </c>
      <c r="AB1513" t="s">
        <v>43</v>
      </c>
      <c r="AC1513" t="s">
        <v>43</v>
      </c>
      <c r="AD1513" t="s">
        <v>43</v>
      </c>
      <c r="AE1513" t="s">
        <v>43</v>
      </c>
      <c r="AF1513" t="s">
        <v>43</v>
      </c>
      <c r="AG1513" t="s">
        <v>43</v>
      </c>
      <c r="AH1513" t="s">
        <v>43</v>
      </c>
      <c r="AI1513" t="s">
        <v>43</v>
      </c>
      <c r="AJ1513" t="s">
        <v>43</v>
      </c>
      <c r="AK1513" t="s">
        <v>43</v>
      </c>
      <c r="AL1513" t="s">
        <v>43</v>
      </c>
      <c r="AM1513" t="s">
        <v>43</v>
      </c>
      <c r="AN1513" t="str">
        <f>HYPERLINK("https://www.google.com/maps?q=11.05585861,79.06413269","Open Location")</f>
        <v>Open Location</v>
      </c>
    </row>
    <row r="1514" spans="1:40" x14ac:dyDescent="0.3">
      <c r="A1514" s="1">
        <v>46210.824537037035</v>
      </c>
      <c r="B1514" t="s">
        <v>40</v>
      </c>
      <c r="C1514" t="s">
        <v>41</v>
      </c>
      <c r="D1514" s="1">
        <v>46210.827430555553</v>
      </c>
      <c r="E1514" t="s">
        <v>42</v>
      </c>
      <c r="F1514" t="s">
        <v>43</v>
      </c>
      <c r="G1514" t="s">
        <v>43</v>
      </c>
      <c r="H1514" t="s">
        <v>43</v>
      </c>
      <c r="I1514" t="s">
        <v>740</v>
      </c>
      <c r="J1514" t="s">
        <v>43</v>
      </c>
      <c r="K1514" t="s">
        <v>43</v>
      </c>
      <c r="L1514" t="s">
        <v>43</v>
      </c>
      <c r="M1514" t="s">
        <v>43</v>
      </c>
      <c r="N1514" t="s">
        <v>45</v>
      </c>
      <c r="O1514" t="s">
        <v>43</v>
      </c>
      <c r="P1514" t="s">
        <v>43</v>
      </c>
      <c r="Q1514" t="s">
        <v>43</v>
      </c>
      <c r="R1514" t="s">
        <v>43</v>
      </c>
      <c r="S1514" t="s">
        <v>43</v>
      </c>
      <c r="T1514" t="s">
        <v>43</v>
      </c>
      <c r="U1514" t="s">
        <v>43</v>
      </c>
      <c r="V1514" t="s">
        <v>43</v>
      </c>
      <c r="W1514" t="s">
        <v>43</v>
      </c>
      <c r="X1514" t="s">
        <v>43</v>
      </c>
      <c r="Y1514" t="s">
        <v>43</v>
      </c>
      <c r="Z1514" t="s">
        <v>43</v>
      </c>
      <c r="AA1514" t="s">
        <v>43</v>
      </c>
      <c r="AB1514" t="s">
        <v>43</v>
      </c>
      <c r="AC1514" t="s">
        <v>43</v>
      </c>
      <c r="AD1514" t="s">
        <v>43</v>
      </c>
      <c r="AE1514" t="s">
        <v>43</v>
      </c>
      <c r="AF1514" t="s">
        <v>43</v>
      </c>
      <c r="AG1514" t="s">
        <v>43</v>
      </c>
      <c r="AH1514" t="s">
        <v>43</v>
      </c>
      <c r="AI1514" t="s">
        <v>43</v>
      </c>
      <c r="AJ1514" t="s">
        <v>43</v>
      </c>
      <c r="AK1514" t="s">
        <v>43</v>
      </c>
      <c r="AL1514" t="s">
        <v>43</v>
      </c>
      <c r="AM1514" t="s">
        <v>43</v>
      </c>
      <c r="AN1514" t="str">
        <f>HYPERLINK("https://www.google.com/maps?q=11.05586147,79.06413269","Open Location")</f>
        <v>Open Location</v>
      </c>
    </row>
    <row r="1515" spans="1:40" x14ac:dyDescent="0.3">
      <c r="A1515" s="1">
        <v>46210.824421296296</v>
      </c>
      <c r="B1515" t="s">
        <v>40</v>
      </c>
      <c r="C1515" t="s">
        <v>41</v>
      </c>
      <c r="D1515" s="1">
        <v>46210.827407407407</v>
      </c>
      <c r="E1515" t="s">
        <v>42</v>
      </c>
      <c r="F1515" t="s">
        <v>43</v>
      </c>
      <c r="G1515" t="s">
        <v>43</v>
      </c>
      <c r="H1515" t="s">
        <v>43</v>
      </c>
      <c r="I1515" t="s">
        <v>43</v>
      </c>
      <c r="J1515" t="s">
        <v>43</v>
      </c>
      <c r="K1515" t="s">
        <v>43</v>
      </c>
      <c r="L1515" t="s">
        <v>43</v>
      </c>
      <c r="M1515" t="s">
        <v>43</v>
      </c>
      <c r="N1515" t="s">
        <v>45</v>
      </c>
      <c r="O1515" t="s">
        <v>43</v>
      </c>
      <c r="P1515" t="s">
        <v>43</v>
      </c>
      <c r="Q1515" t="s">
        <v>43</v>
      </c>
      <c r="R1515" t="s">
        <v>43</v>
      </c>
      <c r="S1515" t="s">
        <v>43</v>
      </c>
      <c r="T1515" t="s">
        <v>43</v>
      </c>
      <c r="U1515" t="s">
        <v>43</v>
      </c>
      <c r="V1515" t="s">
        <v>43</v>
      </c>
      <c r="W1515" t="s">
        <v>43</v>
      </c>
      <c r="X1515" t="s">
        <v>43</v>
      </c>
      <c r="Y1515" t="s">
        <v>43</v>
      </c>
      <c r="Z1515" t="s">
        <v>43</v>
      </c>
      <c r="AA1515" t="s">
        <v>43</v>
      </c>
      <c r="AB1515" t="s">
        <v>43</v>
      </c>
      <c r="AC1515" t="s">
        <v>43</v>
      </c>
      <c r="AD1515" t="s">
        <v>43</v>
      </c>
      <c r="AE1515" t="s">
        <v>43</v>
      </c>
      <c r="AF1515" t="s">
        <v>43</v>
      </c>
      <c r="AG1515" t="s">
        <v>43</v>
      </c>
      <c r="AH1515" t="s">
        <v>43</v>
      </c>
      <c r="AI1515" t="s">
        <v>43</v>
      </c>
      <c r="AJ1515" t="s">
        <v>43</v>
      </c>
      <c r="AK1515" t="s">
        <v>43</v>
      </c>
      <c r="AL1515" t="s">
        <v>43</v>
      </c>
      <c r="AM1515" t="s">
        <v>43</v>
      </c>
      <c r="AN1515" t="s">
        <v>43</v>
      </c>
    </row>
    <row r="1516" spans="1:40" x14ac:dyDescent="0.3">
      <c r="A1516" s="1">
        <v>46210.824305555558</v>
      </c>
      <c r="B1516" t="s">
        <v>40</v>
      </c>
      <c r="C1516" t="s">
        <v>41</v>
      </c>
      <c r="D1516" s="1">
        <v>46210.827418981484</v>
      </c>
      <c r="E1516" t="s">
        <v>42</v>
      </c>
      <c r="F1516" t="s">
        <v>43</v>
      </c>
      <c r="G1516" t="s">
        <v>43</v>
      </c>
      <c r="H1516" t="s">
        <v>43</v>
      </c>
      <c r="I1516" t="s">
        <v>741</v>
      </c>
      <c r="J1516" t="s">
        <v>43</v>
      </c>
      <c r="K1516" t="s">
        <v>43</v>
      </c>
      <c r="L1516" t="s">
        <v>43</v>
      </c>
      <c r="M1516" t="s">
        <v>43</v>
      </c>
      <c r="N1516" t="s">
        <v>45</v>
      </c>
      <c r="O1516" t="s">
        <v>43</v>
      </c>
      <c r="P1516" t="s">
        <v>43</v>
      </c>
      <c r="Q1516" t="s">
        <v>43</v>
      </c>
      <c r="R1516" t="s">
        <v>43</v>
      </c>
      <c r="S1516" t="s">
        <v>43</v>
      </c>
      <c r="T1516" t="s">
        <v>43</v>
      </c>
      <c r="U1516" t="s">
        <v>43</v>
      </c>
      <c r="V1516" t="s">
        <v>43</v>
      </c>
      <c r="W1516" t="s">
        <v>43</v>
      </c>
      <c r="X1516" t="s">
        <v>43</v>
      </c>
      <c r="Y1516" t="s">
        <v>43</v>
      </c>
      <c r="Z1516" t="s">
        <v>43</v>
      </c>
      <c r="AA1516" t="s">
        <v>43</v>
      </c>
      <c r="AB1516" t="s">
        <v>43</v>
      </c>
      <c r="AC1516" t="s">
        <v>43</v>
      </c>
      <c r="AD1516" t="s">
        <v>43</v>
      </c>
      <c r="AE1516" t="s">
        <v>43</v>
      </c>
      <c r="AF1516" t="s">
        <v>43</v>
      </c>
      <c r="AG1516" t="s">
        <v>43</v>
      </c>
      <c r="AH1516" t="s">
        <v>43</v>
      </c>
      <c r="AI1516" t="s">
        <v>43</v>
      </c>
      <c r="AJ1516" t="s">
        <v>43</v>
      </c>
      <c r="AK1516" t="s">
        <v>43</v>
      </c>
      <c r="AL1516" t="s">
        <v>43</v>
      </c>
      <c r="AM1516" t="s">
        <v>43</v>
      </c>
      <c r="AN1516" t="str">
        <f>HYPERLINK("https://www.google.com/maps?q=11.05586529,79.06412506","Open Location")</f>
        <v>Open Location</v>
      </c>
    </row>
    <row r="1517" spans="1:40" x14ac:dyDescent="0.3">
      <c r="A1517" s="1">
        <v>46210.824189814812</v>
      </c>
      <c r="B1517" t="s">
        <v>40</v>
      </c>
      <c r="C1517" t="s">
        <v>41</v>
      </c>
      <c r="D1517" s="1">
        <v>46210.826979166668</v>
      </c>
      <c r="E1517" t="s">
        <v>42</v>
      </c>
      <c r="F1517" t="s">
        <v>43</v>
      </c>
      <c r="G1517" t="s">
        <v>43</v>
      </c>
      <c r="H1517" t="s">
        <v>43</v>
      </c>
      <c r="I1517" t="s">
        <v>742</v>
      </c>
      <c r="J1517" t="s">
        <v>43</v>
      </c>
      <c r="K1517" t="s">
        <v>43</v>
      </c>
      <c r="L1517" t="s">
        <v>43</v>
      </c>
      <c r="M1517" t="s">
        <v>43</v>
      </c>
      <c r="N1517" t="s">
        <v>45</v>
      </c>
      <c r="O1517" t="s">
        <v>43</v>
      </c>
      <c r="P1517" t="s">
        <v>43</v>
      </c>
      <c r="Q1517" t="s">
        <v>43</v>
      </c>
      <c r="R1517" t="s">
        <v>43</v>
      </c>
      <c r="S1517" t="s">
        <v>43</v>
      </c>
      <c r="T1517" t="s">
        <v>43</v>
      </c>
      <c r="U1517" t="s">
        <v>43</v>
      </c>
      <c r="V1517" t="s">
        <v>43</v>
      </c>
      <c r="W1517" t="s">
        <v>43</v>
      </c>
      <c r="X1517" t="s">
        <v>43</v>
      </c>
      <c r="Y1517" t="s">
        <v>43</v>
      </c>
      <c r="Z1517" t="s">
        <v>43</v>
      </c>
      <c r="AA1517" t="s">
        <v>43</v>
      </c>
      <c r="AB1517" t="s">
        <v>43</v>
      </c>
      <c r="AC1517" t="s">
        <v>43</v>
      </c>
      <c r="AD1517" t="s">
        <v>43</v>
      </c>
      <c r="AE1517" t="s">
        <v>43</v>
      </c>
      <c r="AF1517" t="s">
        <v>43</v>
      </c>
      <c r="AG1517" t="s">
        <v>43</v>
      </c>
      <c r="AH1517" t="s">
        <v>43</v>
      </c>
      <c r="AI1517" t="s">
        <v>43</v>
      </c>
      <c r="AJ1517" t="s">
        <v>43</v>
      </c>
      <c r="AK1517" t="s">
        <v>43</v>
      </c>
      <c r="AL1517" t="s">
        <v>43</v>
      </c>
      <c r="AM1517" t="s">
        <v>43</v>
      </c>
      <c r="AN1517" t="str">
        <f>HYPERLINK("https://www.google.com/maps?q=11.05586624,79.06413269","Open Location")</f>
        <v>Open Location</v>
      </c>
    </row>
    <row r="1518" spans="1:40" x14ac:dyDescent="0.3">
      <c r="A1518" s="1">
        <v>46210.824074074073</v>
      </c>
      <c r="B1518" t="s">
        <v>40</v>
      </c>
      <c r="C1518" t="s">
        <v>41</v>
      </c>
      <c r="D1518" s="1">
        <v>46210.827048611114</v>
      </c>
      <c r="E1518" t="s">
        <v>42</v>
      </c>
      <c r="F1518" t="s">
        <v>43</v>
      </c>
      <c r="G1518" t="s">
        <v>43</v>
      </c>
      <c r="H1518" t="s">
        <v>43</v>
      </c>
      <c r="I1518" t="s">
        <v>739</v>
      </c>
      <c r="J1518" t="s">
        <v>43</v>
      </c>
      <c r="K1518" t="s">
        <v>43</v>
      </c>
      <c r="L1518" t="s">
        <v>43</v>
      </c>
      <c r="M1518" t="s">
        <v>43</v>
      </c>
      <c r="N1518" t="s">
        <v>45</v>
      </c>
      <c r="O1518" t="s">
        <v>43</v>
      </c>
      <c r="P1518" t="s">
        <v>43</v>
      </c>
      <c r="Q1518" t="s">
        <v>43</v>
      </c>
      <c r="R1518" t="s">
        <v>43</v>
      </c>
      <c r="S1518" t="s">
        <v>43</v>
      </c>
      <c r="T1518" t="s">
        <v>43</v>
      </c>
      <c r="U1518" t="s">
        <v>43</v>
      </c>
      <c r="V1518" t="s">
        <v>43</v>
      </c>
      <c r="W1518" t="s">
        <v>43</v>
      </c>
      <c r="X1518" t="s">
        <v>43</v>
      </c>
      <c r="Y1518" t="s">
        <v>43</v>
      </c>
      <c r="Z1518" t="s">
        <v>43</v>
      </c>
      <c r="AA1518" t="s">
        <v>43</v>
      </c>
      <c r="AB1518" t="s">
        <v>43</v>
      </c>
      <c r="AC1518" t="s">
        <v>43</v>
      </c>
      <c r="AD1518" t="s">
        <v>43</v>
      </c>
      <c r="AE1518" t="s">
        <v>43</v>
      </c>
      <c r="AF1518" t="s">
        <v>43</v>
      </c>
      <c r="AG1518" t="s">
        <v>43</v>
      </c>
      <c r="AH1518" t="s">
        <v>43</v>
      </c>
      <c r="AI1518" t="s">
        <v>43</v>
      </c>
      <c r="AJ1518" t="s">
        <v>43</v>
      </c>
      <c r="AK1518" t="s">
        <v>43</v>
      </c>
      <c r="AL1518" t="s">
        <v>43</v>
      </c>
      <c r="AM1518" t="s">
        <v>43</v>
      </c>
      <c r="AN1518" t="str">
        <f>HYPERLINK("https://www.google.com/maps?q=11.05586147,79.06412506","Open Location")</f>
        <v>Open Location</v>
      </c>
    </row>
    <row r="1519" spans="1:40" x14ac:dyDescent="0.3">
      <c r="A1519" s="1">
        <v>46210.823958333334</v>
      </c>
      <c r="B1519" t="s">
        <v>40</v>
      </c>
      <c r="C1519" t="s">
        <v>41</v>
      </c>
      <c r="D1519" s="1">
        <v>46210.827025462961</v>
      </c>
      <c r="E1519" t="s">
        <v>42</v>
      </c>
      <c r="F1519" t="s">
        <v>43</v>
      </c>
      <c r="G1519" t="s">
        <v>43</v>
      </c>
      <c r="H1519" t="s">
        <v>43</v>
      </c>
      <c r="I1519" t="s">
        <v>743</v>
      </c>
      <c r="J1519" t="s">
        <v>43</v>
      </c>
      <c r="K1519" t="s">
        <v>43</v>
      </c>
      <c r="L1519" t="s">
        <v>43</v>
      </c>
      <c r="M1519" t="s">
        <v>43</v>
      </c>
      <c r="N1519" t="s">
        <v>45</v>
      </c>
      <c r="O1519" t="s">
        <v>43</v>
      </c>
      <c r="P1519" t="s">
        <v>43</v>
      </c>
      <c r="Q1519" t="s">
        <v>43</v>
      </c>
      <c r="R1519" t="s">
        <v>43</v>
      </c>
      <c r="S1519" t="s">
        <v>43</v>
      </c>
      <c r="T1519" t="s">
        <v>43</v>
      </c>
      <c r="U1519" t="s">
        <v>43</v>
      </c>
      <c r="V1519" t="s">
        <v>43</v>
      </c>
      <c r="W1519" t="s">
        <v>43</v>
      </c>
      <c r="X1519" t="s">
        <v>43</v>
      </c>
      <c r="Y1519" t="s">
        <v>43</v>
      </c>
      <c r="Z1519" t="s">
        <v>43</v>
      </c>
      <c r="AA1519" t="s">
        <v>43</v>
      </c>
      <c r="AB1519" t="s">
        <v>43</v>
      </c>
      <c r="AC1519" t="s">
        <v>43</v>
      </c>
      <c r="AD1519" t="s">
        <v>43</v>
      </c>
      <c r="AE1519" t="s">
        <v>43</v>
      </c>
      <c r="AF1519" t="s">
        <v>43</v>
      </c>
      <c r="AG1519" t="s">
        <v>43</v>
      </c>
      <c r="AH1519" t="s">
        <v>43</v>
      </c>
      <c r="AI1519" t="s">
        <v>43</v>
      </c>
      <c r="AJ1519" t="s">
        <v>43</v>
      </c>
      <c r="AK1519" t="s">
        <v>43</v>
      </c>
      <c r="AL1519" t="s">
        <v>43</v>
      </c>
      <c r="AM1519" t="s">
        <v>43</v>
      </c>
      <c r="AN1519" t="str">
        <f>HYPERLINK("https://www.google.com/maps?q=11.05586243,79.06412506","Open Location")</f>
        <v>Open Location</v>
      </c>
    </row>
    <row r="1520" spans="1:40" x14ac:dyDescent="0.3">
      <c r="A1520" s="1">
        <v>46210.823842592596</v>
      </c>
      <c r="B1520" t="s">
        <v>40</v>
      </c>
      <c r="C1520" t="s">
        <v>41</v>
      </c>
      <c r="D1520" s="1">
        <v>46210.826979166668</v>
      </c>
      <c r="E1520" t="s">
        <v>42</v>
      </c>
      <c r="F1520" t="s">
        <v>43</v>
      </c>
      <c r="G1520" t="s">
        <v>43</v>
      </c>
      <c r="H1520" t="s">
        <v>43</v>
      </c>
      <c r="I1520" t="s">
        <v>706</v>
      </c>
      <c r="J1520" t="s">
        <v>43</v>
      </c>
      <c r="K1520" t="s">
        <v>43</v>
      </c>
      <c r="L1520" t="s">
        <v>43</v>
      </c>
      <c r="M1520" t="s">
        <v>43</v>
      </c>
      <c r="N1520" t="s">
        <v>45</v>
      </c>
      <c r="O1520" t="s">
        <v>43</v>
      </c>
      <c r="P1520" t="s">
        <v>43</v>
      </c>
      <c r="Q1520" t="s">
        <v>43</v>
      </c>
      <c r="R1520" t="s">
        <v>43</v>
      </c>
      <c r="S1520" t="s">
        <v>43</v>
      </c>
      <c r="T1520" t="s">
        <v>43</v>
      </c>
      <c r="U1520" t="s">
        <v>43</v>
      </c>
      <c r="V1520" t="s">
        <v>43</v>
      </c>
      <c r="W1520" t="s">
        <v>43</v>
      </c>
      <c r="X1520" t="s">
        <v>43</v>
      </c>
      <c r="Y1520" t="s">
        <v>43</v>
      </c>
      <c r="Z1520" t="s">
        <v>43</v>
      </c>
      <c r="AA1520" t="s">
        <v>43</v>
      </c>
      <c r="AB1520" t="s">
        <v>43</v>
      </c>
      <c r="AC1520" t="s">
        <v>43</v>
      </c>
      <c r="AD1520" t="s">
        <v>43</v>
      </c>
      <c r="AE1520" t="s">
        <v>43</v>
      </c>
      <c r="AF1520" t="s">
        <v>43</v>
      </c>
      <c r="AG1520" t="s">
        <v>43</v>
      </c>
      <c r="AH1520" t="s">
        <v>43</v>
      </c>
      <c r="AI1520" t="s">
        <v>43</v>
      </c>
      <c r="AJ1520" t="s">
        <v>43</v>
      </c>
      <c r="AK1520" t="s">
        <v>43</v>
      </c>
      <c r="AL1520" t="s">
        <v>43</v>
      </c>
      <c r="AM1520" t="s">
        <v>43</v>
      </c>
      <c r="AN1520" t="str">
        <f>HYPERLINK("https://www.google.com/maps?q=11.05585957,79.06412506","Open Location")</f>
        <v>Open Location</v>
      </c>
    </row>
    <row r="1521" spans="1:40" x14ac:dyDescent="0.3">
      <c r="A1521" s="1">
        <v>46210.82372685185</v>
      </c>
      <c r="B1521" t="s">
        <v>40</v>
      </c>
      <c r="C1521" t="s">
        <v>41</v>
      </c>
      <c r="D1521" s="1">
        <v>46210.826539351852</v>
      </c>
      <c r="E1521" t="s">
        <v>42</v>
      </c>
      <c r="F1521" t="s">
        <v>43</v>
      </c>
      <c r="G1521" t="s">
        <v>43</v>
      </c>
      <c r="H1521" t="s">
        <v>43</v>
      </c>
      <c r="I1521" t="s">
        <v>43</v>
      </c>
      <c r="J1521" t="s">
        <v>43</v>
      </c>
      <c r="K1521" t="s">
        <v>43</v>
      </c>
      <c r="L1521" t="s">
        <v>43</v>
      </c>
      <c r="M1521" t="s">
        <v>43</v>
      </c>
      <c r="N1521" t="s">
        <v>45</v>
      </c>
      <c r="O1521" t="s">
        <v>43</v>
      </c>
      <c r="P1521" t="s">
        <v>43</v>
      </c>
      <c r="Q1521" t="s">
        <v>43</v>
      </c>
      <c r="R1521" t="s">
        <v>43</v>
      </c>
      <c r="S1521" t="s">
        <v>43</v>
      </c>
      <c r="T1521" t="s">
        <v>43</v>
      </c>
      <c r="U1521" t="s">
        <v>43</v>
      </c>
      <c r="V1521" t="s">
        <v>43</v>
      </c>
      <c r="W1521" t="s">
        <v>43</v>
      </c>
      <c r="X1521" t="s">
        <v>43</v>
      </c>
      <c r="Y1521" t="s">
        <v>43</v>
      </c>
      <c r="Z1521" t="s">
        <v>43</v>
      </c>
      <c r="AA1521" t="s">
        <v>43</v>
      </c>
      <c r="AB1521" t="s">
        <v>43</v>
      </c>
      <c r="AC1521" t="s">
        <v>43</v>
      </c>
      <c r="AD1521" t="s">
        <v>43</v>
      </c>
      <c r="AE1521" t="s">
        <v>43</v>
      </c>
      <c r="AF1521" t="s">
        <v>43</v>
      </c>
      <c r="AG1521" t="s">
        <v>43</v>
      </c>
      <c r="AH1521" t="s">
        <v>43</v>
      </c>
      <c r="AI1521" t="s">
        <v>43</v>
      </c>
      <c r="AJ1521" t="s">
        <v>43</v>
      </c>
      <c r="AK1521" t="s">
        <v>43</v>
      </c>
      <c r="AL1521" t="s">
        <v>43</v>
      </c>
      <c r="AM1521" t="s">
        <v>43</v>
      </c>
      <c r="AN1521" t="s">
        <v>43</v>
      </c>
    </row>
    <row r="1522" spans="1:40" x14ac:dyDescent="0.3">
      <c r="A1522" s="1">
        <v>46210.823611111111</v>
      </c>
      <c r="B1522" t="s">
        <v>40</v>
      </c>
      <c r="C1522" t="s">
        <v>41</v>
      </c>
      <c r="D1522" s="1">
        <v>46210.82644675926</v>
      </c>
      <c r="E1522" t="s">
        <v>42</v>
      </c>
      <c r="F1522" t="s">
        <v>43</v>
      </c>
      <c r="G1522" t="s">
        <v>43</v>
      </c>
      <c r="H1522" t="s">
        <v>43</v>
      </c>
      <c r="I1522" t="s">
        <v>743</v>
      </c>
      <c r="J1522" t="s">
        <v>43</v>
      </c>
      <c r="K1522" t="s">
        <v>43</v>
      </c>
      <c r="L1522" t="s">
        <v>43</v>
      </c>
      <c r="M1522" t="s">
        <v>43</v>
      </c>
      <c r="N1522" t="s">
        <v>45</v>
      </c>
      <c r="O1522" t="s">
        <v>43</v>
      </c>
      <c r="P1522" t="s">
        <v>43</v>
      </c>
      <c r="Q1522" t="s">
        <v>43</v>
      </c>
      <c r="R1522" t="s">
        <v>43</v>
      </c>
      <c r="S1522" t="s">
        <v>43</v>
      </c>
      <c r="T1522" t="s">
        <v>43</v>
      </c>
      <c r="U1522" t="s">
        <v>43</v>
      </c>
      <c r="V1522" t="s">
        <v>43</v>
      </c>
      <c r="W1522" t="s">
        <v>43</v>
      </c>
      <c r="X1522" t="s">
        <v>43</v>
      </c>
      <c r="Y1522" t="s">
        <v>43</v>
      </c>
      <c r="Z1522" t="s">
        <v>43</v>
      </c>
      <c r="AA1522" t="s">
        <v>43</v>
      </c>
      <c r="AB1522" t="s">
        <v>43</v>
      </c>
      <c r="AC1522" t="s">
        <v>43</v>
      </c>
      <c r="AD1522" t="s">
        <v>43</v>
      </c>
      <c r="AE1522" t="s">
        <v>43</v>
      </c>
      <c r="AF1522" t="s">
        <v>43</v>
      </c>
      <c r="AG1522" t="s">
        <v>43</v>
      </c>
      <c r="AH1522" t="s">
        <v>43</v>
      </c>
      <c r="AI1522" t="s">
        <v>43</v>
      </c>
      <c r="AJ1522" t="s">
        <v>43</v>
      </c>
      <c r="AK1522" t="s">
        <v>43</v>
      </c>
      <c r="AL1522" t="s">
        <v>43</v>
      </c>
      <c r="AM1522" t="s">
        <v>43</v>
      </c>
      <c r="AN1522" t="str">
        <f>HYPERLINK("https://www.google.com/maps?q=11.05586243,79.06412506","Open Location")</f>
        <v>Open Location</v>
      </c>
    </row>
    <row r="1523" spans="1:40" x14ac:dyDescent="0.3">
      <c r="A1523" s="1">
        <v>46210.823495370372</v>
      </c>
      <c r="B1523" t="s">
        <v>40</v>
      </c>
      <c r="C1523" t="s">
        <v>41</v>
      </c>
      <c r="D1523" s="1">
        <v>46210.826412037037</v>
      </c>
      <c r="E1523" t="s">
        <v>42</v>
      </c>
      <c r="F1523" t="s">
        <v>43</v>
      </c>
      <c r="G1523" t="s">
        <v>43</v>
      </c>
      <c r="H1523" t="s">
        <v>43</v>
      </c>
      <c r="I1523" t="s">
        <v>743</v>
      </c>
      <c r="J1523" t="s">
        <v>43</v>
      </c>
      <c r="K1523" t="s">
        <v>43</v>
      </c>
      <c r="L1523" t="s">
        <v>43</v>
      </c>
      <c r="M1523" t="s">
        <v>43</v>
      </c>
      <c r="N1523" t="s">
        <v>45</v>
      </c>
      <c r="O1523" t="s">
        <v>43</v>
      </c>
      <c r="P1523" t="s">
        <v>43</v>
      </c>
      <c r="Q1523" t="s">
        <v>43</v>
      </c>
      <c r="R1523" t="s">
        <v>43</v>
      </c>
      <c r="S1523" t="s">
        <v>43</v>
      </c>
      <c r="T1523" t="s">
        <v>43</v>
      </c>
      <c r="U1523" t="s">
        <v>43</v>
      </c>
      <c r="V1523" t="s">
        <v>43</v>
      </c>
      <c r="W1523" t="s">
        <v>43</v>
      </c>
      <c r="X1523" t="s">
        <v>43</v>
      </c>
      <c r="Y1523" t="s">
        <v>43</v>
      </c>
      <c r="Z1523" t="s">
        <v>43</v>
      </c>
      <c r="AA1523" t="s">
        <v>43</v>
      </c>
      <c r="AB1523" t="s">
        <v>43</v>
      </c>
      <c r="AC1523" t="s">
        <v>43</v>
      </c>
      <c r="AD1523" t="s">
        <v>43</v>
      </c>
      <c r="AE1523" t="s">
        <v>43</v>
      </c>
      <c r="AF1523" t="s">
        <v>43</v>
      </c>
      <c r="AG1523" t="s">
        <v>43</v>
      </c>
      <c r="AH1523" t="s">
        <v>43</v>
      </c>
      <c r="AI1523" t="s">
        <v>43</v>
      </c>
      <c r="AJ1523" t="s">
        <v>43</v>
      </c>
      <c r="AK1523" t="s">
        <v>43</v>
      </c>
      <c r="AL1523" t="s">
        <v>43</v>
      </c>
      <c r="AM1523" t="s">
        <v>43</v>
      </c>
      <c r="AN1523" t="str">
        <f>HYPERLINK("https://www.google.com/maps?q=11.05586243,79.06412506","Open Location")</f>
        <v>Open Location</v>
      </c>
    </row>
    <row r="1524" spans="1:40" x14ac:dyDescent="0.3">
      <c r="A1524" s="1">
        <v>46210.823379629626</v>
      </c>
      <c r="B1524" t="s">
        <v>40</v>
      </c>
      <c r="C1524" t="s">
        <v>41</v>
      </c>
      <c r="D1524" s="1">
        <v>46210.826319444444</v>
      </c>
      <c r="E1524" t="s">
        <v>42</v>
      </c>
      <c r="F1524" t="s">
        <v>43</v>
      </c>
      <c r="G1524" t="s">
        <v>43</v>
      </c>
      <c r="H1524" t="s">
        <v>43</v>
      </c>
      <c r="I1524" t="s">
        <v>744</v>
      </c>
      <c r="J1524" t="s">
        <v>43</v>
      </c>
      <c r="K1524" t="s">
        <v>43</v>
      </c>
      <c r="L1524" t="s">
        <v>43</v>
      </c>
      <c r="M1524" t="s">
        <v>43</v>
      </c>
      <c r="N1524" t="s">
        <v>45</v>
      </c>
      <c r="O1524" t="s">
        <v>43</v>
      </c>
      <c r="P1524" t="s">
        <v>43</v>
      </c>
      <c r="Q1524" t="s">
        <v>43</v>
      </c>
      <c r="R1524" t="s">
        <v>43</v>
      </c>
      <c r="S1524" t="s">
        <v>43</v>
      </c>
      <c r="T1524" t="s">
        <v>43</v>
      </c>
      <c r="U1524" t="s">
        <v>43</v>
      </c>
      <c r="V1524" t="s">
        <v>43</v>
      </c>
      <c r="W1524" t="s">
        <v>43</v>
      </c>
      <c r="X1524" t="s">
        <v>43</v>
      </c>
      <c r="Y1524" t="s">
        <v>43</v>
      </c>
      <c r="Z1524" t="s">
        <v>43</v>
      </c>
      <c r="AA1524" t="s">
        <v>43</v>
      </c>
      <c r="AB1524" t="s">
        <v>43</v>
      </c>
      <c r="AC1524" t="s">
        <v>43</v>
      </c>
      <c r="AD1524" t="s">
        <v>43</v>
      </c>
      <c r="AE1524" t="s">
        <v>43</v>
      </c>
      <c r="AF1524" t="s">
        <v>43</v>
      </c>
      <c r="AG1524" t="s">
        <v>43</v>
      </c>
      <c r="AH1524" t="s">
        <v>43</v>
      </c>
      <c r="AI1524" t="s">
        <v>43</v>
      </c>
      <c r="AJ1524" t="s">
        <v>43</v>
      </c>
      <c r="AK1524" t="s">
        <v>43</v>
      </c>
      <c r="AL1524" t="s">
        <v>43</v>
      </c>
      <c r="AM1524" t="s">
        <v>43</v>
      </c>
      <c r="AN1524" t="str">
        <f>HYPERLINK("https://www.google.com/maps?q=11.0558691,79.06412506","Open Location")</f>
        <v>Open Location</v>
      </c>
    </row>
    <row r="1525" spans="1:40" x14ac:dyDescent="0.3">
      <c r="A1525" s="1">
        <v>46210.823263888888</v>
      </c>
      <c r="B1525" t="s">
        <v>40</v>
      </c>
      <c r="C1525" t="s">
        <v>41</v>
      </c>
      <c r="D1525" s="1">
        <v>46210.826307870368</v>
      </c>
      <c r="E1525" t="s">
        <v>42</v>
      </c>
      <c r="F1525" t="s">
        <v>43</v>
      </c>
      <c r="G1525" t="s">
        <v>43</v>
      </c>
      <c r="H1525" t="s">
        <v>43</v>
      </c>
      <c r="I1525" t="s">
        <v>669</v>
      </c>
      <c r="J1525" t="s">
        <v>43</v>
      </c>
      <c r="K1525" t="s">
        <v>43</v>
      </c>
      <c r="L1525" t="s">
        <v>43</v>
      </c>
      <c r="M1525" t="s">
        <v>43</v>
      </c>
      <c r="N1525" t="s">
        <v>45</v>
      </c>
      <c r="O1525" t="s">
        <v>43</v>
      </c>
      <c r="P1525" t="s">
        <v>43</v>
      </c>
      <c r="Q1525" t="s">
        <v>43</v>
      </c>
      <c r="R1525" t="s">
        <v>43</v>
      </c>
      <c r="S1525" t="s">
        <v>43</v>
      </c>
      <c r="T1525" t="s">
        <v>43</v>
      </c>
      <c r="U1525" t="s">
        <v>43</v>
      </c>
      <c r="V1525" t="s">
        <v>43</v>
      </c>
      <c r="W1525" t="s">
        <v>43</v>
      </c>
      <c r="X1525" t="s">
        <v>43</v>
      </c>
      <c r="Y1525" t="s">
        <v>43</v>
      </c>
      <c r="Z1525" t="s">
        <v>43</v>
      </c>
      <c r="AA1525" t="s">
        <v>43</v>
      </c>
      <c r="AB1525" t="s">
        <v>43</v>
      </c>
      <c r="AC1525" t="s">
        <v>43</v>
      </c>
      <c r="AD1525" t="s">
        <v>43</v>
      </c>
      <c r="AE1525" t="s">
        <v>43</v>
      </c>
      <c r="AF1525" t="s">
        <v>43</v>
      </c>
      <c r="AG1525" t="s">
        <v>43</v>
      </c>
      <c r="AH1525" t="s">
        <v>43</v>
      </c>
      <c r="AI1525" t="s">
        <v>43</v>
      </c>
      <c r="AJ1525" t="s">
        <v>43</v>
      </c>
      <c r="AK1525" t="s">
        <v>43</v>
      </c>
      <c r="AL1525" t="s">
        <v>43</v>
      </c>
      <c r="AM1525" t="s">
        <v>43</v>
      </c>
      <c r="AN1525" t="str">
        <f>HYPERLINK("https://www.google.com/maps?q=11.05587101,79.06413269","Open Location")</f>
        <v>Open Location</v>
      </c>
    </row>
    <row r="1526" spans="1:40" x14ac:dyDescent="0.3">
      <c r="A1526" s="1">
        <v>46210.823148148149</v>
      </c>
      <c r="B1526" t="s">
        <v>40</v>
      </c>
      <c r="C1526" t="s">
        <v>41</v>
      </c>
      <c r="D1526" s="1">
        <v>46210.82608796296</v>
      </c>
      <c r="E1526" t="s">
        <v>42</v>
      </c>
      <c r="F1526" t="s">
        <v>43</v>
      </c>
      <c r="G1526" t="s">
        <v>43</v>
      </c>
      <c r="H1526" t="s">
        <v>43</v>
      </c>
      <c r="I1526" t="s">
        <v>43</v>
      </c>
      <c r="J1526" t="s">
        <v>43</v>
      </c>
      <c r="K1526" t="s">
        <v>43</v>
      </c>
      <c r="L1526" t="s">
        <v>43</v>
      </c>
      <c r="M1526" t="s">
        <v>43</v>
      </c>
      <c r="N1526" t="s">
        <v>45</v>
      </c>
      <c r="O1526" t="s">
        <v>43</v>
      </c>
      <c r="P1526" t="s">
        <v>43</v>
      </c>
      <c r="Q1526" t="s">
        <v>43</v>
      </c>
      <c r="R1526" t="s">
        <v>43</v>
      </c>
      <c r="S1526" t="s">
        <v>43</v>
      </c>
      <c r="T1526" t="s">
        <v>43</v>
      </c>
      <c r="U1526" t="s">
        <v>43</v>
      </c>
      <c r="V1526" t="s">
        <v>43</v>
      </c>
      <c r="W1526" t="s">
        <v>43</v>
      </c>
      <c r="X1526" t="s">
        <v>43</v>
      </c>
      <c r="Y1526" t="s">
        <v>43</v>
      </c>
      <c r="Z1526" t="s">
        <v>43</v>
      </c>
      <c r="AA1526" t="s">
        <v>43</v>
      </c>
      <c r="AB1526" t="s">
        <v>43</v>
      </c>
      <c r="AC1526" t="s">
        <v>43</v>
      </c>
      <c r="AD1526" t="s">
        <v>43</v>
      </c>
      <c r="AE1526" t="s">
        <v>43</v>
      </c>
      <c r="AF1526" t="s">
        <v>43</v>
      </c>
      <c r="AG1526" t="s">
        <v>43</v>
      </c>
      <c r="AH1526" t="s">
        <v>43</v>
      </c>
      <c r="AI1526" t="s">
        <v>43</v>
      </c>
      <c r="AJ1526" t="s">
        <v>43</v>
      </c>
      <c r="AK1526" t="s">
        <v>43</v>
      </c>
      <c r="AL1526" t="s">
        <v>43</v>
      </c>
      <c r="AM1526" t="s">
        <v>43</v>
      </c>
      <c r="AN1526" t="s">
        <v>43</v>
      </c>
    </row>
    <row r="1527" spans="1:40" x14ac:dyDescent="0.3">
      <c r="A1527" s="1">
        <v>46210.82303240741</v>
      </c>
      <c r="B1527" t="s">
        <v>40</v>
      </c>
      <c r="C1527" t="s">
        <v>41</v>
      </c>
      <c r="D1527" s="1">
        <v>46210.825983796298</v>
      </c>
      <c r="E1527" t="s">
        <v>42</v>
      </c>
      <c r="F1527" t="s">
        <v>43</v>
      </c>
      <c r="G1527" t="s">
        <v>43</v>
      </c>
      <c r="H1527" t="s">
        <v>43</v>
      </c>
      <c r="I1527" t="s">
        <v>666</v>
      </c>
      <c r="J1527" t="s">
        <v>43</v>
      </c>
      <c r="K1527" t="s">
        <v>43</v>
      </c>
      <c r="L1527" t="s">
        <v>43</v>
      </c>
      <c r="M1527" t="s">
        <v>43</v>
      </c>
      <c r="N1527" t="s">
        <v>45</v>
      </c>
      <c r="O1527" t="s">
        <v>43</v>
      </c>
      <c r="P1527" t="s">
        <v>43</v>
      </c>
      <c r="Q1527" t="s">
        <v>43</v>
      </c>
      <c r="R1527" t="s">
        <v>43</v>
      </c>
      <c r="S1527" t="s">
        <v>43</v>
      </c>
      <c r="T1527" t="s">
        <v>43</v>
      </c>
      <c r="U1527" t="s">
        <v>43</v>
      </c>
      <c r="V1527" t="s">
        <v>43</v>
      </c>
      <c r="W1527" t="s">
        <v>43</v>
      </c>
      <c r="X1527" t="s">
        <v>43</v>
      </c>
      <c r="Y1527" t="s">
        <v>43</v>
      </c>
      <c r="Z1527" t="s">
        <v>43</v>
      </c>
      <c r="AA1527" t="s">
        <v>43</v>
      </c>
      <c r="AB1527" t="s">
        <v>43</v>
      </c>
      <c r="AC1527" t="s">
        <v>43</v>
      </c>
      <c r="AD1527" t="s">
        <v>43</v>
      </c>
      <c r="AE1527" t="s">
        <v>43</v>
      </c>
      <c r="AF1527" t="s">
        <v>43</v>
      </c>
      <c r="AG1527" t="s">
        <v>43</v>
      </c>
      <c r="AH1527" t="s">
        <v>43</v>
      </c>
      <c r="AI1527" t="s">
        <v>43</v>
      </c>
      <c r="AJ1527" t="s">
        <v>43</v>
      </c>
      <c r="AK1527" t="s">
        <v>43</v>
      </c>
      <c r="AL1527" t="s">
        <v>43</v>
      </c>
      <c r="AM1527" t="s">
        <v>43</v>
      </c>
      <c r="AN1527" t="str">
        <f>HYPERLINK("https://www.google.com/maps?q=11.05587292,79.06412506","Open Location")</f>
        <v>Open Location</v>
      </c>
    </row>
    <row r="1528" spans="1:40" x14ac:dyDescent="0.3">
      <c r="A1528" s="1">
        <v>46210.822916666664</v>
      </c>
      <c r="B1528" t="s">
        <v>40</v>
      </c>
      <c r="C1528" t="s">
        <v>41</v>
      </c>
      <c r="D1528" s="1">
        <v>46210.82576388889</v>
      </c>
      <c r="E1528" t="s">
        <v>42</v>
      </c>
      <c r="F1528" t="s">
        <v>43</v>
      </c>
      <c r="G1528" t="s">
        <v>43</v>
      </c>
      <c r="H1528" t="s">
        <v>43</v>
      </c>
      <c r="I1528" t="s">
        <v>669</v>
      </c>
      <c r="J1528" t="s">
        <v>43</v>
      </c>
      <c r="K1528" t="s">
        <v>43</v>
      </c>
      <c r="L1528" t="s">
        <v>43</v>
      </c>
      <c r="M1528" t="s">
        <v>43</v>
      </c>
      <c r="N1528" t="s">
        <v>45</v>
      </c>
      <c r="O1528" t="s">
        <v>43</v>
      </c>
      <c r="P1528" t="s">
        <v>43</v>
      </c>
      <c r="Q1528" t="s">
        <v>43</v>
      </c>
      <c r="R1528" t="s">
        <v>43</v>
      </c>
      <c r="S1528" t="s">
        <v>43</v>
      </c>
      <c r="T1528" t="s">
        <v>43</v>
      </c>
      <c r="U1528" t="s">
        <v>43</v>
      </c>
      <c r="V1528" t="s">
        <v>43</v>
      </c>
      <c r="W1528" t="s">
        <v>43</v>
      </c>
      <c r="X1528" t="s">
        <v>43</v>
      </c>
      <c r="Y1528" t="s">
        <v>43</v>
      </c>
      <c r="Z1528" t="s">
        <v>43</v>
      </c>
      <c r="AA1528" t="s">
        <v>43</v>
      </c>
      <c r="AB1528" t="s">
        <v>43</v>
      </c>
      <c r="AC1528" t="s">
        <v>43</v>
      </c>
      <c r="AD1528" t="s">
        <v>43</v>
      </c>
      <c r="AE1528" t="s">
        <v>43</v>
      </c>
      <c r="AF1528" t="s">
        <v>43</v>
      </c>
      <c r="AG1528" t="s">
        <v>43</v>
      </c>
      <c r="AH1528" t="s">
        <v>43</v>
      </c>
      <c r="AI1528" t="s">
        <v>43</v>
      </c>
      <c r="AJ1528" t="s">
        <v>43</v>
      </c>
      <c r="AK1528" t="s">
        <v>43</v>
      </c>
      <c r="AL1528" t="s">
        <v>43</v>
      </c>
      <c r="AM1528" t="s">
        <v>43</v>
      </c>
      <c r="AN1528" t="str">
        <f>HYPERLINK("https://www.google.com/maps?q=11.05587101,79.06413269","Open Location")</f>
        <v>Open Location</v>
      </c>
    </row>
    <row r="1529" spans="1:40" x14ac:dyDescent="0.3">
      <c r="A1529" s="1">
        <v>46210.822800925926</v>
      </c>
      <c r="B1529" t="s">
        <v>40</v>
      </c>
      <c r="C1529" t="s">
        <v>41</v>
      </c>
      <c r="D1529" s="1">
        <v>46210.825706018521</v>
      </c>
      <c r="E1529" t="s">
        <v>42</v>
      </c>
      <c r="F1529" t="s">
        <v>43</v>
      </c>
      <c r="G1529" t="s">
        <v>43</v>
      </c>
      <c r="H1529" t="s">
        <v>43</v>
      </c>
      <c r="I1529" t="s">
        <v>745</v>
      </c>
      <c r="J1529" t="s">
        <v>43</v>
      </c>
      <c r="K1529" t="s">
        <v>43</v>
      </c>
      <c r="L1529" t="s">
        <v>43</v>
      </c>
      <c r="M1529" t="s">
        <v>43</v>
      </c>
      <c r="N1529" t="s">
        <v>45</v>
      </c>
      <c r="O1529" t="s">
        <v>43</v>
      </c>
      <c r="P1529" t="s">
        <v>43</v>
      </c>
      <c r="Q1529" t="s">
        <v>43</v>
      </c>
      <c r="R1529" t="s">
        <v>43</v>
      </c>
      <c r="S1529" t="s">
        <v>43</v>
      </c>
      <c r="T1529" t="s">
        <v>43</v>
      </c>
      <c r="U1529" t="s">
        <v>43</v>
      </c>
      <c r="V1529" t="s">
        <v>43</v>
      </c>
      <c r="W1529" t="s">
        <v>43</v>
      </c>
      <c r="X1529" t="s">
        <v>43</v>
      </c>
      <c r="Y1529" t="s">
        <v>43</v>
      </c>
      <c r="Z1529" t="s">
        <v>43</v>
      </c>
      <c r="AA1529" t="s">
        <v>43</v>
      </c>
      <c r="AB1529" t="s">
        <v>43</v>
      </c>
      <c r="AC1529" t="s">
        <v>43</v>
      </c>
      <c r="AD1529" t="s">
        <v>43</v>
      </c>
      <c r="AE1529" t="s">
        <v>43</v>
      </c>
      <c r="AF1529" t="s">
        <v>43</v>
      </c>
      <c r="AG1529" t="s">
        <v>43</v>
      </c>
      <c r="AH1529" t="s">
        <v>43</v>
      </c>
      <c r="AI1529" t="s">
        <v>43</v>
      </c>
      <c r="AJ1529" t="s">
        <v>43</v>
      </c>
      <c r="AK1529" t="s">
        <v>43</v>
      </c>
      <c r="AL1529" t="s">
        <v>43</v>
      </c>
      <c r="AM1529" t="s">
        <v>43</v>
      </c>
      <c r="AN1529" t="str">
        <f>HYPERLINK("https://www.google.com/maps?q=11.05587387,79.06413269","Open Location")</f>
        <v>Open Location</v>
      </c>
    </row>
    <row r="1530" spans="1:40" x14ac:dyDescent="0.3">
      <c r="A1530" s="1">
        <v>46210.822685185187</v>
      </c>
      <c r="B1530" t="s">
        <v>40</v>
      </c>
      <c r="C1530" t="s">
        <v>41</v>
      </c>
      <c r="D1530" s="1">
        <v>46210.82571759259</v>
      </c>
      <c r="E1530" t="s">
        <v>42</v>
      </c>
      <c r="F1530" t="s">
        <v>43</v>
      </c>
      <c r="G1530" t="s">
        <v>43</v>
      </c>
      <c r="H1530" t="s">
        <v>43</v>
      </c>
      <c r="I1530" t="s">
        <v>745</v>
      </c>
      <c r="J1530" t="s">
        <v>43</v>
      </c>
      <c r="K1530" t="s">
        <v>43</v>
      </c>
      <c r="L1530" t="s">
        <v>43</v>
      </c>
      <c r="M1530" t="s">
        <v>43</v>
      </c>
      <c r="N1530" t="s">
        <v>45</v>
      </c>
      <c r="O1530" t="s">
        <v>43</v>
      </c>
      <c r="P1530" t="s">
        <v>43</v>
      </c>
      <c r="Q1530" t="s">
        <v>43</v>
      </c>
      <c r="R1530" t="s">
        <v>43</v>
      </c>
      <c r="S1530" t="s">
        <v>43</v>
      </c>
      <c r="T1530" t="s">
        <v>43</v>
      </c>
      <c r="U1530" t="s">
        <v>43</v>
      </c>
      <c r="V1530" t="s">
        <v>43</v>
      </c>
      <c r="W1530" t="s">
        <v>43</v>
      </c>
      <c r="X1530" t="s">
        <v>43</v>
      </c>
      <c r="Y1530" t="s">
        <v>43</v>
      </c>
      <c r="Z1530" t="s">
        <v>43</v>
      </c>
      <c r="AA1530" t="s">
        <v>43</v>
      </c>
      <c r="AB1530" t="s">
        <v>43</v>
      </c>
      <c r="AC1530" t="s">
        <v>43</v>
      </c>
      <c r="AD1530" t="s">
        <v>43</v>
      </c>
      <c r="AE1530" t="s">
        <v>43</v>
      </c>
      <c r="AF1530" t="s">
        <v>43</v>
      </c>
      <c r="AG1530" t="s">
        <v>43</v>
      </c>
      <c r="AH1530" t="s">
        <v>43</v>
      </c>
      <c r="AI1530" t="s">
        <v>43</v>
      </c>
      <c r="AJ1530" t="s">
        <v>43</v>
      </c>
      <c r="AK1530" t="s">
        <v>43</v>
      </c>
      <c r="AL1530" t="s">
        <v>43</v>
      </c>
      <c r="AM1530" t="s">
        <v>43</v>
      </c>
      <c r="AN1530" t="str">
        <f>HYPERLINK("https://www.google.com/maps?q=11.05587387,79.06413269","Open Location")</f>
        <v>Open Location</v>
      </c>
    </row>
    <row r="1531" spans="1:40" x14ac:dyDescent="0.3">
      <c r="A1531" s="1">
        <v>46210.822569444441</v>
      </c>
      <c r="B1531" t="s">
        <v>40</v>
      </c>
      <c r="C1531" t="s">
        <v>41</v>
      </c>
      <c r="D1531" s="1">
        <v>46210.825370370374</v>
      </c>
      <c r="E1531" t="s">
        <v>42</v>
      </c>
      <c r="F1531" t="s">
        <v>43</v>
      </c>
      <c r="G1531" t="s">
        <v>43</v>
      </c>
      <c r="H1531" t="s">
        <v>43</v>
      </c>
      <c r="I1531" t="s">
        <v>651</v>
      </c>
      <c r="J1531" t="s">
        <v>43</v>
      </c>
      <c r="K1531" t="s">
        <v>43</v>
      </c>
      <c r="L1531" t="s">
        <v>43</v>
      </c>
      <c r="M1531" t="s">
        <v>43</v>
      </c>
      <c r="N1531" t="s">
        <v>45</v>
      </c>
      <c r="O1531" t="s">
        <v>43</v>
      </c>
      <c r="P1531" t="s">
        <v>43</v>
      </c>
      <c r="Q1531" t="s">
        <v>43</v>
      </c>
      <c r="R1531" t="s">
        <v>43</v>
      </c>
      <c r="S1531" t="s">
        <v>43</v>
      </c>
      <c r="T1531" t="s">
        <v>43</v>
      </c>
      <c r="U1531" t="s">
        <v>43</v>
      </c>
      <c r="V1531" t="s">
        <v>43</v>
      </c>
      <c r="W1531" t="s">
        <v>43</v>
      </c>
      <c r="X1531" t="s">
        <v>43</v>
      </c>
      <c r="Y1531" t="s">
        <v>43</v>
      </c>
      <c r="Z1531" t="s">
        <v>43</v>
      </c>
      <c r="AA1531" t="s">
        <v>43</v>
      </c>
      <c r="AB1531" t="s">
        <v>43</v>
      </c>
      <c r="AC1531" t="s">
        <v>43</v>
      </c>
      <c r="AD1531" t="s">
        <v>43</v>
      </c>
      <c r="AE1531" t="s">
        <v>43</v>
      </c>
      <c r="AF1531" t="s">
        <v>43</v>
      </c>
      <c r="AG1531" t="s">
        <v>43</v>
      </c>
      <c r="AH1531" t="s">
        <v>43</v>
      </c>
      <c r="AI1531" t="s">
        <v>43</v>
      </c>
      <c r="AJ1531" t="s">
        <v>43</v>
      </c>
      <c r="AK1531" t="s">
        <v>43</v>
      </c>
      <c r="AL1531" t="s">
        <v>43</v>
      </c>
      <c r="AM1531" t="s">
        <v>43</v>
      </c>
      <c r="AN1531" t="str">
        <f>HYPERLINK("https://www.google.com/maps?q=11.05587482,79.06413269","Open Location")</f>
        <v>Open Location</v>
      </c>
    </row>
    <row r="1532" spans="1:40" x14ac:dyDescent="0.3">
      <c r="A1532" s="1">
        <v>46210.822453703702</v>
      </c>
      <c r="B1532" t="s">
        <v>40</v>
      </c>
      <c r="C1532" t="s">
        <v>41</v>
      </c>
      <c r="D1532" s="1">
        <v>46210.825659722221</v>
      </c>
      <c r="E1532" t="s">
        <v>42</v>
      </c>
      <c r="F1532" t="s">
        <v>43</v>
      </c>
      <c r="G1532" t="s">
        <v>43</v>
      </c>
      <c r="H1532" t="s">
        <v>43</v>
      </c>
      <c r="I1532" t="s">
        <v>43</v>
      </c>
      <c r="J1532" t="s">
        <v>43</v>
      </c>
      <c r="K1532" t="s">
        <v>43</v>
      </c>
      <c r="L1532" t="s">
        <v>43</v>
      </c>
      <c r="M1532" t="s">
        <v>43</v>
      </c>
      <c r="N1532" t="s">
        <v>45</v>
      </c>
      <c r="O1532" t="s">
        <v>43</v>
      </c>
      <c r="P1532" t="s">
        <v>43</v>
      </c>
      <c r="Q1532" t="s">
        <v>43</v>
      </c>
      <c r="R1532" t="s">
        <v>43</v>
      </c>
      <c r="S1532" t="s">
        <v>43</v>
      </c>
      <c r="T1532" t="s">
        <v>43</v>
      </c>
      <c r="U1532" t="s">
        <v>43</v>
      </c>
      <c r="V1532" t="s">
        <v>43</v>
      </c>
      <c r="W1532" t="s">
        <v>43</v>
      </c>
      <c r="X1532" t="s">
        <v>43</v>
      </c>
      <c r="Y1532" t="s">
        <v>43</v>
      </c>
      <c r="Z1532" t="s">
        <v>43</v>
      </c>
      <c r="AA1532" t="s">
        <v>43</v>
      </c>
      <c r="AB1532" t="s">
        <v>43</v>
      </c>
      <c r="AC1532" t="s">
        <v>43</v>
      </c>
      <c r="AD1532" t="s">
        <v>43</v>
      </c>
      <c r="AE1532" t="s">
        <v>43</v>
      </c>
      <c r="AF1532" t="s">
        <v>43</v>
      </c>
      <c r="AG1532" t="s">
        <v>43</v>
      </c>
      <c r="AH1532" t="s">
        <v>43</v>
      </c>
      <c r="AI1532" t="s">
        <v>43</v>
      </c>
      <c r="AJ1532" t="s">
        <v>43</v>
      </c>
      <c r="AK1532" t="s">
        <v>43</v>
      </c>
      <c r="AL1532" t="s">
        <v>43</v>
      </c>
      <c r="AM1532" t="s">
        <v>43</v>
      </c>
      <c r="AN1532" t="s">
        <v>43</v>
      </c>
    </row>
    <row r="1533" spans="1:40" x14ac:dyDescent="0.3">
      <c r="A1533" s="1">
        <v>46210.822337962964</v>
      </c>
      <c r="B1533" t="s">
        <v>40</v>
      </c>
      <c r="C1533" t="s">
        <v>41</v>
      </c>
      <c r="D1533" s="1">
        <v>46210.825358796297</v>
      </c>
      <c r="E1533" t="s">
        <v>42</v>
      </c>
      <c r="F1533" t="s">
        <v>43</v>
      </c>
      <c r="G1533" t="s">
        <v>43</v>
      </c>
      <c r="H1533" t="s">
        <v>43</v>
      </c>
      <c r="I1533" t="s">
        <v>746</v>
      </c>
      <c r="J1533" t="s">
        <v>43</v>
      </c>
      <c r="K1533" t="s">
        <v>43</v>
      </c>
      <c r="L1533" t="s">
        <v>43</v>
      </c>
      <c r="M1533" t="s">
        <v>43</v>
      </c>
      <c r="N1533" t="s">
        <v>45</v>
      </c>
      <c r="O1533" t="s">
        <v>43</v>
      </c>
      <c r="P1533" t="s">
        <v>43</v>
      </c>
      <c r="Q1533" t="s">
        <v>43</v>
      </c>
      <c r="R1533" t="s">
        <v>43</v>
      </c>
      <c r="S1533" t="s">
        <v>43</v>
      </c>
      <c r="T1533" t="s">
        <v>43</v>
      </c>
      <c r="U1533" t="s">
        <v>43</v>
      </c>
      <c r="V1533" t="s">
        <v>43</v>
      </c>
      <c r="W1533" t="s">
        <v>43</v>
      </c>
      <c r="X1533" t="s">
        <v>43</v>
      </c>
      <c r="Y1533" t="s">
        <v>43</v>
      </c>
      <c r="Z1533" t="s">
        <v>43</v>
      </c>
      <c r="AA1533" t="s">
        <v>43</v>
      </c>
      <c r="AB1533" t="s">
        <v>43</v>
      </c>
      <c r="AC1533" t="s">
        <v>43</v>
      </c>
      <c r="AD1533" t="s">
        <v>43</v>
      </c>
      <c r="AE1533" t="s">
        <v>43</v>
      </c>
      <c r="AF1533" t="s">
        <v>43</v>
      </c>
      <c r="AG1533" t="s">
        <v>43</v>
      </c>
      <c r="AH1533" t="s">
        <v>43</v>
      </c>
      <c r="AI1533" t="s">
        <v>43</v>
      </c>
      <c r="AJ1533" t="s">
        <v>43</v>
      </c>
      <c r="AK1533" t="s">
        <v>43</v>
      </c>
      <c r="AL1533" t="s">
        <v>43</v>
      </c>
      <c r="AM1533" t="s">
        <v>43</v>
      </c>
      <c r="AN1533" t="str">
        <f>HYPERLINK("https://www.google.com/maps?q=11.05587959,79.06413269","Open Location")</f>
        <v>Open Location</v>
      </c>
    </row>
    <row r="1534" spans="1:40" x14ac:dyDescent="0.3">
      <c r="A1534" s="1">
        <v>46210.822222222225</v>
      </c>
      <c r="B1534" t="s">
        <v>40</v>
      </c>
      <c r="C1534" t="s">
        <v>41</v>
      </c>
      <c r="D1534" s="1">
        <v>46210.825266203705</v>
      </c>
      <c r="E1534" t="s">
        <v>42</v>
      </c>
      <c r="F1534" t="s">
        <v>43</v>
      </c>
      <c r="G1534" t="s">
        <v>43</v>
      </c>
      <c r="H1534" t="s">
        <v>43</v>
      </c>
      <c r="I1534" t="s">
        <v>747</v>
      </c>
      <c r="J1534" t="s">
        <v>43</v>
      </c>
      <c r="K1534" t="s">
        <v>43</v>
      </c>
      <c r="L1534" t="s">
        <v>43</v>
      </c>
      <c r="M1534" t="s">
        <v>43</v>
      </c>
      <c r="N1534" t="s">
        <v>45</v>
      </c>
      <c r="O1534" t="s">
        <v>43</v>
      </c>
      <c r="P1534" t="s">
        <v>43</v>
      </c>
      <c r="Q1534" t="s">
        <v>43</v>
      </c>
      <c r="R1534" t="s">
        <v>43</v>
      </c>
      <c r="S1534" t="s">
        <v>43</v>
      </c>
      <c r="T1534" t="s">
        <v>43</v>
      </c>
      <c r="U1534" t="s">
        <v>43</v>
      </c>
      <c r="V1534" t="s">
        <v>43</v>
      </c>
      <c r="W1534" t="s">
        <v>43</v>
      </c>
      <c r="X1534" t="s">
        <v>43</v>
      </c>
      <c r="Y1534" t="s">
        <v>43</v>
      </c>
      <c r="Z1534" t="s">
        <v>43</v>
      </c>
      <c r="AA1534" t="s">
        <v>43</v>
      </c>
      <c r="AB1534" t="s">
        <v>43</v>
      </c>
      <c r="AC1534" t="s">
        <v>43</v>
      </c>
      <c r="AD1534" t="s">
        <v>43</v>
      </c>
      <c r="AE1534" t="s">
        <v>43</v>
      </c>
      <c r="AF1534" t="s">
        <v>43</v>
      </c>
      <c r="AG1534" t="s">
        <v>43</v>
      </c>
      <c r="AH1534" t="s">
        <v>43</v>
      </c>
      <c r="AI1534" t="s">
        <v>43</v>
      </c>
      <c r="AJ1534" t="s">
        <v>43</v>
      </c>
      <c r="AK1534" t="s">
        <v>43</v>
      </c>
      <c r="AL1534" t="s">
        <v>43</v>
      </c>
      <c r="AM1534" t="s">
        <v>43</v>
      </c>
      <c r="AN1534" t="str">
        <f>HYPERLINK("https://www.google.com/maps?q=11.05588627,79.06412506","Open Location")</f>
        <v>Open Location</v>
      </c>
    </row>
    <row r="1535" spans="1:40" x14ac:dyDescent="0.3">
      <c r="A1535" s="1">
        <v>46210.822106481479</v>
      </c>
      <c r="B1535" t="s">
        <v>40</v>
      </c>
      <c r="C1535" t="s">
        <v>41</v>
      </c>
      <c r="D1535" s="1">
        <v>46210.824884259258</v>
      </c>
      <c r="E1535" t="s">
        <v>42</v>
      </c>
      <c r="F1535" t="s">
        <v>43</v>
      </c>
      <c r="G1535" t="s">
        <v>43</v>
      </c>
      <c r="H1535" t="s">
        <v>43</v>
      </c>
      <c r="I1535" t="s">
        <v>729</v>
      </c>
      <c r="J1535" t="s">
        <v>43</v>
      </c>
      <c r="K1535" t="s">
        <v>43</v>
      </c>
      <c r="L1535" t="s">
        <v>43</v>
      </c>
      <c r="M1535" t="s">
        <v>43</v>
      </c>
      <c r="N1535" t="s">
        <v>45</v>
      </c>
      <c r="O1535" t="s">
        <v>43</v>
      </c>
      <c r="P1535" t="s">
        <v>43</v>
      </c>
      <c r="Q1535" t="s">
        <v>43</v>
      </c>
      <c r="R1535" t="s">
        <v>43</v>
      </c>
      <c r="S1535" t="s">
        <v>43</v>
      </c>
      <c r="T1535" t="s">
        <v>43</v>
      </c>
      <c r="U1535" t="s">
        <v>43</v>
      </c>
      <c r="V1535" t="s">
        <v>43</v>
      </c>
      <c r="W1535" t="s">
        <v>43</v>
      </c>
      <c r="X1535" t="s">
        <v>43</v>
      </c>
      <c r="Y1535" t="s">
        <v>43</v>
      </c>
      <c r="Z1535" t="s">
        <v>43</v>
      </c>
      <c r="AA1535" t="s">
        <v>43</v>
      </c>
      <c r="AB1535" t="s">
        <v>43</v>
      </c>
      <c r="AC1535" t="s">
        <v>43</v>
      </c>
      <c r="AD1535" t="s">
        <v>43</v>
      </c>
      <c r="AE1535" t="s">
        <v>43</v>
      </c>
      <c r="AF1535" t="s">
        <v>43</v>
      </c>
      <c r="AG1535" t="s">
        <v>43</v>
      </c>
      <c r="AH1535" t="s">
        <v>43</v>
      </c>
      <c r="AI1535" t="s">
        <v>43</v>
      </c>
      <c r="AJ1535" t="s">
        <v>43</v>
      </c>
      <c r="AK1535" t="s">
        <v>43</v>
      </c>
      <c r="AL1535" t="s">
        <v>43</v>
      </c>
      <c r="AM1535" t="s">
        <v>43</v>
      </c>
      <c r="AN1535" t="str">
        <f>HYPERLINK("https://www.google.com/maps?q=11.05588627,79.06413269","Open Location")</f>
        <v>Open Location</v>
      </c>
    </row>
    <row r="1536" spans="1:40" x14ac:dyDescent="0.3">
      <c r="A1536" s="1">
        <v>46210.82199074074</v>
      </c>
      <c r="B1536" t="s">
        <v>40</v>
      </c>
      <c r="C1536" t="s">
        <v>41</v>
      </c>
      <c r="D1536" s="1">
        <v>46210.824814814812</v>
      </c>
      <c r="E1536" t="s">
        <v>42</v>
      </c>
      <c r="F1536" t="s">
        <v>43</v>
      </c>
      <c r="G1536" t="s">
        <v>43</v>
      </c>
      <c r="H1536" t="s">
        <v>43</v>
      </c>
      <c r="I1536" t="s">
        <v>748</v>
      </c>
      <c r="J1536" t="s">
        <v>43</v>
      </c>
      <c r="K1536" t="s">
        <v>43</v>
      </c>
      <c r="L1536" t="s">
        <v>43</v>
      </c>
      <c r="M1536" t="s">
        <v>43</v>
      </c>
      <c r="N1536" t="s">
        <v>45</v>
      </c>
      <c r="O1536" t="s">
        <v>43</v>
      </c>
      <c r="P1536" t="s">
        <v>43</v>
      </c>
      <c r="Q1536" t="s">
        <v>43</v>
      </c>
      <c r="R1536" t="s">
        <v>43</v>
      </c>
      <c r="S1536" t="s">
        <v>43</v>
      </c>
      <c r="T1536" t="s">
        <v>43</v>
      </c>
      <c r="U1536" t="s">
        <v>43</v>
      </c>
      <c r="V1536" t="s">
        <v>43</v>
      </c>
      <c r="W1536" t="s">
        <v>43</v>
      </c>
      <c r="X1536" t="s">
        <v>43</v>
      </c>
      <c r="Y1536" t="s">
        <v>43</v>
      </c>
      <c r="Z1536" t="s">
        <v>43</v>
      </c>
      <c r="AA1536" t="s">
        <v>43</v>
      </c>
      <c r="AB1536" t="s">
        <v>43</v>
      </c>
      <c r="AC1536" t="s">
        <v>43</v>
      </c>
      <c r="AD1536" t="s">
        <v>43</v>
      </c>
      <c r="AE1536" t="s">
        <v>43</v>
      </c>
      <c r="AF1536" t="s">
        <v>43</v>
      </c>
      <c r="AG1536" t="s">
        <v>43</v>
      </c>
      <c r="AH1536" t="s">
        <v>43</v>
      </c>
      <c r="AI1536" t="s">
        <v>43</v>
      </c>
      <c r="AJ1536" t="s">
        <v>43</v>
      </c>
      <c r="AK1536" t="s">
        <v>43</v>
      </c>
      <c r="AL1536" t="s">
        <v>43</v>
      </c>
      <c r="AM1536" t="s">
        <v>43</v>
      </c>
      <c r="AN1536" t="str">
        <f>HYPERLINK("https://www.google.com/maps?q=11.05588341,79.06413269","Open Location")</f>
        <v>Open Location</v>
      </c>
    </row>
    <row r="1537" spans="1:40" x14ac:dyDescent="0.3">
      <c r="A1537" s="1">
        <v>46210.821875000001</v>
      </c>
      <c r="B1537" t="s">
        <v>40</v>
      </c>
      <c r="C1537" t="s">
        <v>41</v>
      </c>
      <c r="D1537" s="1">
        <v>46210.824791666666</v>
      </c>
      <c r="E1537" t="s">
        <v>42</v>
      </c>
      <c r="F1537" t="s">
        <v>43</v>
      </c>
      <c r="G1537" t="s">
        <v>43</v>
      </c>
      <c r="H1537" t="s">
        <v>43</v>
      </c>
      <c r="I1537" t="s">
        <v>749</v>
      </c>
      <c r="J1537" t="s">
        <v>43</v>
      </c>
      <c r="K1537" t="s">
        <v>43</v>
      </c>
      <c r="L1537" t="s">
        <v>43</v>
      </c>
      <c r="M1537" t="s">
        <v>43</v>
      </c>
      <c r="N1537" t="s">
        <v>45</v>
      </c>
      <c r="O1537" t="s">
        <v>43</v>
      </c>
      <c r="P1537" t="s">
        <v>43</v>
      </c>
      <c r="Q1537" t="s">
        <v>43</v>
      </c>
      <c r="R1537" t="s">
        <v>43</v>
      </c>
      <c r="S1537" t="s">
        <v>43</v>
      </c>
      <c r="T1537" t="s">
        <v>43</v>
      </c>
      <c r="U1537" t="s">
        <v>43</v>
      </c>
      <c r="V1537" t="s">
        <v>43</v>
      </c>
      <c r="W1537" t="s">
        <v>43</v>
      </c>
      <c r="X1537" t="s">
        <v>43</v>
      </c>
      <c r="Y1537" t="s">
        <v>43</v>
      </c>
      <c r="Z1537" t="s">
        <v>43</v>
      </c>
      <c r="AA1537" t="s">
        <v>43</v>
      </c>
      <c r="AB1537" t="s">
        <v>43</v>
      </c>
      <c r="AC1537" t="s">
        <v>43</v>
      </c>
      <c r="AD1537" t="s">
        <v>43</v>
      </c>
      <c r="AE1537" t="s">
        <v>43</v>
      </c>
      <c r="AF1537" t="s">
        <v>43</v>
      </c>
      <c r="AG1537" t="s">
        <v>43</v>
      </c>
      <c r="AH1537" t="s">
        <v>43</v>
      </c>
      <c r="AI1537" t="s">
        <v>43</v>
      </c>
      <c r="AJ1537" t="s">
        <v>43</v>
      </c>
      <c r="AK1537" t="s">
        <v>43</v>
      </c>
      <c r="AL1537" t="s">
        <v>43</v>
      </c>
      <c r="AM1537" t="s">
        <v>43</v>
      </c>
      <c r="AN1537" t="str">
        <f>HYPERLINK("https://www.google.com/maps?q=11.05587959,79.06414032","Open Location")</f>
        <v>Open Location</v>
      </c>
    </row>
    <row r="1538" spans="1:40" x14ac:dyDescent="0.3">
      <c r="A1538" s="1">
        <v>46210.821759259263</v>
      </c>
      <c r="B1538" t="s">
        <v>40</v>
      </c>
      <c r="C1538" t="s">
        <v>41</v>
      </c>
      <c r="D1538" s="1">
        <v>46210.824687499997</v>
      </c>
      <c r="E1538" t="s">
        <v>42</v>
      </c>
      <c r="F1538" t="s">
        <v>43</v>
      </c>
      <c r="G1538" t="s">
        <v>43</v>
      </c>
      <c r="H1538" t="s">
        <v>43</v>
      </c>
      <c r="I1538" t="s">
        <v>43</v>
      </c>
      <c r="J1538" t="s">
        <v>43</v>
      </c>
      <c r="K1538" t="s">
        <v>43</v>
      </c>
      <c r="L1538" t="s">
        <v>43</v>
      </c>
      <c r="M1538" t="s">
        <v>43</v>
      </c>
      <c r="N1538" t="s">
        <v>45</v>
      </c>
      <c r="O1538" t="s">
        <v>43</v>
      </c>
      <c r="P1538" t="s">
        <v>43</v>
      </c>
      <c r="Q1538" t="s">
        <v>43</v>
      </c>
      <c r="R1538" t="s">
        <v>43</v>
      </c>
      <c r="S1538" t="s">
        <v>43</v>
      </c>
      <c r="T1538" t="s">
        <v>43</v>
      </c>
      <c r="U1538" t="s">
        <v>43</v>
      </c>
      <c r="V1538" t="s">
        <v>43</v>
      </c>
      <c r="W1538" t="s">
        <v>43</v>
      </c>
      <c r="X1538" t="s">
        <v>43</v>
      </c>
      <c r="Y1538" t="s">
        <v>43</v>
      </c>
      <c r="Z1538" t="s">
        <v>43</v>
      </c>
      <c r="AA1538" t="s">
        <v>43</v>
      </c>
      <c r="AB1538" t="s">
        <v>43</v>
      </c>
      <c r="AC1538" t="s">
        <v>43</v>
      </c>
      <c r="AD1538" t="s">
        <v>43</v>
      </c>
      <c r="AE1538" t="s">
        <v>43</v>
      </c>
      <c r="AF1538" t="s">
        <v>43</v>
      </c>
      <c r="AG1538" t="s">
        <v>43</v>
      </c>
      <c r="AH1538" t="s">
        <v>43</v>
      </c>
      <c r="AI1538" t="s">
        <v>43</v>
      </c>
      <c r="AJ1538" t="s">
        <v>43</v>
      </c>
      <c r="AK1538" t="s">
        <v>43</v>
      </c>
      <c r="AL1538" t="s">
        <v>43</v>
      </c>
      <c r="AM1538" t="s">
        <v>43</v>
      </c>
      <c r="AN1538" t="s">
        <v>43</v>
      </c>
    </row>
    <row r="1539" spans="1:40" x14ac:dyDescent="0.3">
      <c r="A1539" s="1">
        <v>46210.821643518517</v>
      </c>
      <c r="B1539" t="s">
        <v>40</v>
      </c>
      <c r="C1539" t="s">
        <v>41</v>
      </c>
      <c r="D1539" s="1">
        <v>46210.824687499997</v>
      </c>
      <c r="E1539" t="s">
        <v>42</v>
      </c>
      <c r="F1539" t="s">
        <v>43</v>
      </c>
      <c r="G1539" t="s">
        <v>43</v>
      </c>
      <c r="H1539" t="s">
        <v>43</v>
      </c>
      <c r="I1539" t="s">
        <v>750</v>
      </c>
      <c r="J1539" t="s">
        <v>43</v>
      </c>
      <c r="K1539" t="s">
        <v>43</v>
      </c>
      <c r="L1539" t="s">
        <v>43</v>
      </c>
      <c r="M1539" t="s">
        <v>43</v>
      </c>
      <c r="N1539" t="s">
        <v>45</v>
      </c>
      <c r="O1539" t="s">
        <v>43</v>
      </c>
      <c r="P1539" t="s">
        <v>43</v>
      </c>
      <c r="Q1539" t="s">
        <v>43</v>
      </c>
      <c r="R1539" t="s">
        <v>43</v>
      </c>
      <c r="S1539" t="s">
        <v>43</v>
      </c>
      <c r="T1539" t="s">
        <v>43</v>
      </c>
      <c r="U1539" t="s">
        <v>43</v>
      </c>
      <c r="V1539" t="s">
        <v>43</v>
      </c>
      <c r="W1539" t="s">
        <v>43</v>
      </c>
      <c r="X1539" t="s">
        <v>43</v>
      </c>
      <c r="Y1539" t="s">
        <v>43</v>
      </c>
      <c r="Z1539" t="s">
        <v>43</v>
      </c>
      <c r="AA1539" t="s">
        <v>43</v>
      </c>
      <c r="AB1539" t="s">
        <v>43</v>
      </c>
      <c r="AC1539" t="s">
        <v>43</v>
      </c>
      <c r="AD1539" t="s">
        <v>43</v>
      </c>
      <c r="AE1539" t="s">
        <v>43</v>
      </c>
      <c r="AF1539" t="s">
        <v>43</v>
      </c>
      <c r="AG1539" t="s">
        <v>43</v>
      </c>
      <c r="AH1539" t="s">
        <v>43</v>
      </c>
      <c r="AI1539" t="s">
        <v>43</v>
      </c>
      <c r="AJ1539" t="s">
        <v>43</v>
      </c>
      <c r="AK1539" t="s">
        <v>43</v>
      </c>
      <c r="AL1539" t="s">
        <v>43</v>
      </c>
      <c r="AM1539" t="s">
        <v>43</v>
      </c>
      <c r="AN1539" t="str">
        <f>HYPERLINK("https://www.google.com/maps?q=11.05587864,79.06414032","Open Location")</f>
        <v>Open Location</v>
      </c>
    </row>
    <row r="1540" spans="1:40" x14ac:dyDescent="0.3">
      <c r="A1540" s="1">
        <v>46210.821527777778</v>
      </c>
      <c r="B1540" t="s">
        <v>40</v>
      </c>
      <c r="C1540" t="s">
        <v>41</v>
      </c>
      <c r="D1540" s="1">
        <v>46210.824687499997</v>
      </c>
      <c r="E1540" t="s">
        <v>42</v>
      </c>
      <c r="F1540" t="s">
        <v>43</v>
      </c>
      <c r="G1540" t="s">
        <v>43</v>
      </c>
      <c r="H1540" t="s">
        <v>43</v>
      </c>
      <c r="I1540" t="s">
        <v>751</v>
      </c>
      <c r="J1540" t="s">
        <v>43</v>
      </c>
      <c r="K1540" t="s">
        <v>43</v>
      </c>
      <c r="L1540" t="s">
        <v>43</v>
      </c>
      <c r="M1540" t="s">
        <v>43</v>
      </c>
      <c r="N1540" t="s">
        <v>45</v>
      </c>
      <c r="O1540" t="s">
        <v>43</v>
      </c>
      <c r="P1540" t="s">
        <v>43</v>
      </c>
      <c r="Q1540" t="s">
        <v>43</v>
      </c>
      <c r="R1540" t="s">
        <v>43</v>
      </c>
      <c r="S1540" t="s">
        <v>43</v>
      </c>
      <c r="T1540" t="s">
        <v>43</v>
      </c>
      <c r="U1540" t="s">
        <v>43</v>
      </c>
      <c r="V1540" t="s">
        <v>43</v>
      </c>
      <c r="W1540" t="s">
        <v>43</v>
      </c>
      <c r="X1540" t="s">
        <v>43</v>
      </c>
      <c r="Y1540" t="s">
        <v>43</v>
      </c>
      <c r="Z1540" t="s">
        <v>43</v>
      </c>
      <c r="AA1540" t="s">
        <v>43</v>
      </c>
      <c r="AB1540" t="s">
        <v>43</v>
      </c>
      <c r="AC1540" t="s">
        <v>43</v>
      </c>
      <c r="AD1540" t="s">
        <v>43</v>
      </c>
      <c r="AE1540" t="s">
        <v>43</v>
      </c>
      <c r="AF1540" t="s">
        <v>43</v>
      </c>
      <c r="AG1540" t="s">
        <v>43</v>
      </c>
      <c r="AH1540" t="s">
        <v>43</v>
      </c>
      <c r="AI1540" t="s">
        <v>43</v>
      </c>
      <c r="AJ1540" t="s">
        <v>43</v>
      </c>
      <c r="AK1540" t="s">
        <v>43</v>
      </c>
      <c r="AL1540" t="s">
        <v>43</v>
      </c>
      <c r="AM1540" t="s">
        <v>43</v>
      </c>
      <c r="AN1540" t="str">
        <f>HYPERLINK("https://www.google.com/maps?q=11.05587769,79.06414032","Open Location")</f>
        <v>Open Location</v>
      </c>
    </row>
    <row r="1541" spans="1:40" x14ac:dyDescent="0.3">
      <c r="A1541" s="1">
        <v>46210.821412037039</v>
      </c>
      <c r="B1541" t="s">
        <v>40</v>
      </c>
      <c r="C1541" t="s">
        <v>41</v>
      </c>
      <c r="D1541" s="1">
        <v>46210.824189814812</v>
      </c>
      <c r="E1541" t="s">
        <v>42</v>
      </c>
      <c r="F1541" t="s">
        <v>43</v>
      </c>
      <c r="G1541" t="s">
        <v>43</v>
      </c>
      <c r="H1541" t="s">
        <v>43</v>
      </c>
      <c r="I1541" t="s">
        <v>752</v>
      </c>
      <c r="J1541" t="s">
        <v>43</v>
      </c>
      <c r="K1541" t="s">
        <v>43</v>
      </c>
      <c r="L1541" t="s">
        <v>43</v>
      </c>
      <c r="M1541" t="s">
        <v>43</v>
      </c>
      <c r="N1541" t="s">
        <v>45</v>
      </c>
      <c r="O1541" t="s">
        <v>43</v>
      </c>
      <c r="P1541" t="s">
        <v>43</v>
      </c>
      <c r="Q1541" t="s">
        <v>43</v>
      </c>
      <c r="R1541" t="s">
        <v>43</v>
      </c>
      <c r="S1541" t="s">
        <v>43</v>
      </c>
      <c r="T1541" t="s">
        <v>43</v>
      </c>
      <c r="U1541" t="s">
        <v>43</v>
      </c>
      <c r="V1541" t="s">
        <v>43</v>
      </c>
      <c r="W1541" t="s">
        <v>43</v>
      </c>
      <c r="X1541" t="s">
        <v>43</v>
      </c>
      <c r="Y1541" t="s">
        <v>43</v>
      </c>
      <c r="Z1541" t="s">
        <v>43</v>
      </c>
      <c r="AA1541" t="s">
        <v>43</v>
      </c>
      <c r="AB1541" t="s">
        <v>43</v>
      </c>
      <c r="AC1541" t="s">
        <v>43</v>
      </c>
      <c r="AD1541" t="s">
        <v>43</v>
      </c>
      <c r="AE1541" t="s">
        <v>43</v>
      </c>
      <c r="AF1541" t="s">
        <v>43</v>
      </c>
      <c r="AG1541" t="s">
        <v>43</v>
      </c>
      <c r="AH1541" t="s">
        <v>43</v>
      </c>
      <c r="AI1541" t="s">
        <v>43</v>
      </c>
      <c r="AJ1541" t="s">
        <v>43</v>
      </c>
      <c r="AK1541" t="s">
        <v>43</v>
      </c>
      <c r="AL1541" t="s">
        <v>43</v>
      </c>
      <c r="AM1541" t="s">
        <v>43</v>
      </c>
      <c r="AN1541" t="str">
        <f>HYPERLINK("https://www.google.com/maps?q=11.05587673,79.06415558","Open Location")</f>
        <v>Open Location</v>
      </c>
    </row>
    <row r="1542" spans="1:40" x14ac:dyDescent="0.3">
      <c r="A1542" s="1">
        <v>46210.821296296293</v>
      </c>
      <c r="B1542" t="s">
        <v>40</v>
      </c>
      <c r="C1542" t="s">
        <v>41</v>
      </c>
      <c r="D1542" s="1">
        <v>46210.824189814812</v>
      </c>
      <c r="E1542" t="s">
        <v>42</v>
      </c>
      <c r="F1542" t="s">
        <v>43</v>
      </c>
      <c r="G1542" t="s">
        <v>43</v>
      </c>
      <c r="H1542" t="s">
        <v>43</v>
      </c>
      <c r="I1542" t="s">
        <v>647</v>
      </c>
      <c r="J1542" t="s">
        <v>43</v>
      </c>
      <c r="K1542" t="s">
        <v>43</v>
      </c>
      <c r="L1542" t="s">
        <v>43</v>
      </c>
      <c r="M1542" t="s">
        <v>43</v>
      </c>
      <c r="N1542" t="s">
        <v>45</v>
      </c>
      <c r="O1542" t="s">
        <v>43</v>
      </c>
      <c r="P1542" t="s">
        <v>43</v>
      </c>
      <c r="Q1542" t="s">
        <v>43</v>
      </c>
      <c r="R1542" t="s">
        <v>43</v>
      </c>
      <c r="S1542" t="s">
        <v>43</v>
      </c>
      <c r="T1542" t="s">
        <v>43</v>
      </c>
      <c r="U1542" t="s">
        <v>43</v>
      </c>
      <c r="V1542" t="s">
        <v>43</v>
      </c>
      <c r="W1542" t="s">
        <v>43</v>
      </c>
      <c r="X1542" t="s">
        <v>43</v>
      </c>
      <c r="Y1542" t="s">
        <v>43</v>
      </c>
      <c r="Z1542" t="s">
        <v>43</v>
      </c>
      <c r="AA1542" t="s">
        <v>43</v>
      </c>
      <c r="AB1542" t="s">
        <v>43</v>
      </c>
      <c r="AC1542" t="s">
        <v>43</v>
      </c>
      <c r="AD1542" t="s">
        <v>43</v>
      </c>
      <c r="AE1542" t="s">
        <v>43</v>
      </c>
      <c r="AF1542" t="s">
        <v>43</v>
      </c>
      <c r="AG1542" t="s">
        <v>43</v>
      </c>
      <c r="AH1542" t="s">
        <v>43</v>
      </c>
      <c r="AI1542" t="s">
        <v>43</v>
      </c>
      <c r="AJ1542" t="s">
        <v>43</v>
      </c>
      <c r="AK1542" t="s">
        <v>43</v>
      </c>
      <c r="AL1542" t="s">
        <v>43</v>
      </c>
      <c r="AM1542" t="s">
        <v>43</v>
      </c>
      <c r="AN1542" t="str">
        <f>HYPERLINK("https://www.google.com/maps?q=11.05587769,79.06415558","Open Location")</f>
        <v>Open Location</v>
      </c>
    </row>
    <row r="1543" spans="1:40" x14ac:dyDescent="0.3">
      <c r="A1543" s="1">
        <v>46210.821180555555</v>
      </c>
      <c r="B1543" t="s">
        <v>40</v>
      </c>
      <c r="C1543" t="s">
        <v>41</v>
      </c>
      <c r="D1543" s="1">
        <v>46210.82408564815</v>
      </c>
      <c r="E1543" t="s">
        <v>42</v>
      </c>
      <c r="F1543" t="s">
        <v>43</v>
      </c>
      <c r="G1543" t="s">
        <v>43</v>
      </c>
      <c r="H1543" t="s">
        <v>43</v>
      </c>
      <c r="I1543" t="s">
        <v>43</v>
      </c>
      <c r="J1543" t="s">
        <v>43</v>
      </c>
      <c r="K1543" t="s">
        <v>43</v>
      </c>
      <c r="L1543" t="s">
        <v>43</v>
      </c>
      <c r="M1543" t="s">
        <v>43</v>
      </c>
      <c r="N1543" t="s">
        <v>45</v>
      </c>
      <c r="O1543" t="s">
        <v>43</v>
      </c>
      <c r="P1543" t="s">
        <v>43</v>
      </c>
      <c r="Q1543" t="s">
        <v>43</v>
      </c>
      <c r="R1543" t="s">
        <v>43</v>
      </c>
      <c r="S1543" t="s">
        <v>43</v>
      </c>
      <c r="T1543" t="s">
        <v>43</v>
      </c>
      <c r="U1543" t="s">
        <v>43</v>
      </c>
      <c r="V1543" t="s">
        <v>43</v>
      </c>
      <c r="W1543" t="s">
        <v>43</v>
      </c>
      <c r="X1543" t="s">
        <v>43</v>
      </c>
      <c r="Y1543" t="s">
        <v>43</v>
      </c>
      <c r="Z1543" t="s">
        <v>43</v>
      </c>
      <c r="AA1543" t="s">
        <v>43</v>
      </c>
      <c r="AB1543" t="s">
        <v>43</v>
      </c>
      <c r="AC1543" t="s">
        <v>43</v>
      </c>
      <c r="AD1543" t="s">
        <v>43</v>
      </c>
      <c r="AE1543" t="s">
        <v>43</v>
      </c>
      <c r="AF1543" t="s">
        <v>43</v>
      </c>
      <c r="AG1543" t="s">
        <v>43</v>
      </c>
      <c r="AH1543" t="s">
        <v>43</v>
      </c>
      <c r="AI1543" t="s">
        <v>43</v>
      </c>
      <c r="AJ1543" t="s">
        <v>43</v>
      </c>
      <c r="AK1543" t="s">
        <v>43</v>
      </c>
      <c r="AL1543" t="s">
        <v>43</v>
      </c>
      <c r="AM1543" t="s">
        <v>43</v>
      </c>
      <c r="AN1543" t="s">
        <v>43</v>
      </c>
    </row>
    <row r="1544" spans="1:40" x14ac:dyDescent="0.3">
      <c r="A1544" s="1">
        <v>46210.821064814816</v>
      </c>
      <c r="B1544" t="s">
        <v>40</v>
      </c>
      <c r="C1544" t="s">
        <v>41</v>
      </c>
      <c r="D1544" s="1">
        <v>46210.824074074073</v>
      </c>
      <c r="E1544" t="s">
        <v>42</v>
      </c>
      <c r="F1544" t="s">
        <v>43</v>
      </c>
      <c r="G1544" t="s">
        <v>43</v>
      </c>
      <c r="H1544" t="s">
        <v>43</v>
      </c>
      <c r="I1544" t="s">
        <v>677</v>
      </c>
      <c r="J1544" t="s">
        <v>43</v>
      </c>
      <c r="K1544" t="s">
        <v>43</v>
      </c>
      <c r="L1544" t="s">
        <v>43</v>
      </c>
      <c r="M1544" t="s">
        <v>43</v>
      </c>
      <c r="N1544" t="s">
        <v>45</v>
      </c>
      <c r="O1544" t="s">
        <v>43</v>
      </c>
      <c r="P1544" t="s">
        <v>43</v>
      </c>
      <c r="Q1544" t="s">
        <v>43</v>
      </c>
      <c r="R1544" t="s">
        <v>43</v>
      </c>
      <c r="S1544" t="s">
        <v>43</v>
      </c>
      <c r="T1544" t="s">
        <v>43</v>
      </c>
      <c r="U1544" t="s">
        <v>43</v>
      </c>
      <c r="V1544" t="s">
        <v>43</v>
      </c>
      <c r="W1544" t="s">
        <v>43</v>
      </c>
      <c r="X1544" t="s">
        <v>43</v>
      </c>
      <c r="Y1544" t="s">
        <v>43</v>
      </c>
      <c r="Z1544" t="s">
        <v>43</v>
      </c>
      <c r="AA1544" t="s">
        <v>43</v>
      </c>
      <c r="AB1544" t="s">
        <v>43</v>
      </c>
      <c r="AC1544" t="s">
        <v>43</v>
      </c>
      <c r="AD1544" t="s">
        <v>43</v>
      </c>
      <c r="AE1544" t="s">
        <v>43</v>
      </c>
      <c r="AF1544" t="s">
        <v>43</v>
      </c>
      <c r="AG1544" t="s">
        <v>43</v>
      </c>
      <c r="AH1544" t="s">
        <v>43</v>
      </c>
      <c r="AI1544" t="s">
        <v>43</v>
      </c>
      <c r="AJ1544" t="s">
        <v>43</v>
      </c>
      <c r="AK1544" t="s">
        <v>43</v>
      </c>
      <c r="AL1544" t="s">
        <v>43</v>
      </c>
      <c r="AM1544" t="s">
        <v>43</v>
      </c>
      <c r="AN1544" t="str">
        <f>HYPERLINK("https://www.google.com/maps?q=11.05587578,79.06415558","Open Location")</f>
        <v>Open Location</v>
      </c>
    </row>
    <row r="1545" spans="1:40" x14ac:dyDescent="0.3">
      <c r="A1545" s="1">
        <v>46210.820949074077</v>
      </c>
      <c r="B1545" t="s">
        <v>40</v>
      </c>
      <c r="C1545" t="s">
        <v>41</v>
      </c>
      <c r="D1545" s="1">
        <v>46210.823958333334</v>
      </c>
      <c r="E1545" t="s">
        <v>42</v>
      </c>
      <c r="F1545" t="s">
        <v>43</v>
      </c>
      <c r="G1545" t="s">
        <v>43</v>
      </c>
      <c r="H1545" t="s">
        <v>43</v>
      </c>
      <c r="I1545" t="s">
        <v>649</v>
      </c>
      <c r="J1545" t="s">
        <v>43</v>
      </c>
      <c r="K1545" t="s">
        <v>43</v>
      </c>
      <c r="L1545" t="s">
        <v>43</v>
      </c>
      <c r="M1545" t="s">
        <v>43</v>
      </c>
      <c r="N1545" t="s">
        <v>45</v>
      </c>
      <c r="O1545" t="s">
        <v>43</v>
      </c>
      <c r="P1545" t="s">
        <v>43</v>
      </c>
      <c r="Q1545" t="s">
        <v>43</v>
      </c>
      <c r="R1545" t="s">
        <v>43</v>
      </c>
      <c r="S1545" t="s">
        <v>43</v>
      </c>
      <c r="T1545" t="s">
        <v>43</v>
      </c>
      <c r="U1545" t="s">
        <v>43</v>
      </c>
      <c r="V1545" t="s">
        <v>43</v>
      </c>
      <c r="W1545" t="s">
        <v>43</v>
      </c>
      <c r="X1545" t="s">
        <v>43</v>
      </c>
      <c r="Y1545" t="s">
        <v>43</v>
      </c>
      <c r="Z1545" t="s">
        <v>43</v>
      </c>
      <c r="AA1545" t="s">
        <v>43</v>
      </c>
      <c r="AB1545" t="s">
        <v>43</v>
      </c>
      <c r="AC1545" t="s">
        <v>43</v>
      </c>
      <c r="AD1545" t="s">
        <v>43</v>
      </c>
      <c r="AE1545" t="s">
        <v>43</v>
      </c>
      <c r="AF1545" t="s">
        <v>43</v>
      </c>
      <c r="AG1545" t="s">
        <v>43</v>
      </c>
      <c r="AH1545" t="s">
        <v>43</v>
      </c>
      <c r="AI1545" t="s">
        <v>43</v>
      </c>
      <c r="AJ1545" t="s">
        <v>43</v>
      </c>
      <c r="AK1545" t="s">
        <v>43</v>
      </c>
      <c r="AL1545" t="s">
        <v>43</v>
      </c>
      <c r="AM1545" t="s">
        <v>43</v>
      </c>
      <c r="AN1545" t="str">
        <f>HYPERLINK("https://www.google.com/maps?q=11.05587482,79.06415558","Open Location")</f>
        <v>Open Location</v>
      </c>
    </row>
    <row r="1546" spans="1:40" x14ac:dyDescent="0.3">
      <c r="A1546" s="1">
        <v>46210.820833333331</v>
      </c>
      <c r="B1546" t="s">
        <v>40</v>
      </c>
      <c r="C1546" t="s">
        <v>41</v>
      </c>
      <c r="D1546" s="1">
        <v>46210.823958333334</v>
      </c>
      <c r="E1546" t="s">
        <v>42</v>
      </c>
      <c r="F1546" t="s">
        <v>43</v>
      </c>
      <c r="G1546" t="s">
        <v>43</v>
      </c>
      <c r="H1546" t="s">
        <v>43</v>
      </c>
      <c r="I1546" t="s">
        <v>676</v>
      </c>
      <c r="J1546" t="s">
        <v>43</v>
      </c>
      <c r="K1546" t="s">
        <v>43</v>
      </c>
      <c r="L1546" t="s">
        <v>43</v>
      </c>
      <c r="M1546" t="s">
        <v>43</v>
      </c>
      <c r="N1546" t="s">
        <v>45</v>
      </c>
      <c r="O1546" t="s">
        <v>43</v>
      </c>
      <c r="P1546" t="s">
        <v>43</v>
      </c>
      <c r="Q1546" t="s">
        <v>43</v>
      </c>
      <c r="R1546" t="s">
        <v>43</v>
      </c>
      <c r="S1546" t="s">
        <v>43</v>
      </c>
      <c r="T1546" t="s">
        <v>43</v>
      </c>
      <c r="U1546" t="s">
        <v>43</v>
      </c>
      <c r="V1546" t="s">
        <v>43</v>
      </c>
      <c r="W1546" t="s">
        <v>43</v>
      </c>
      <c r="X1546" t="s">
        <v>43</v>
      </c>
      <c r="Y1546" t="s">
        <v>43</v>
      </c>
      <c r="Z1546" t="s">
        <v>43</v>
      </c>
      <c r="AA1546" t="s">
        <v>43</v>
      </c>
      <c r="AB1546" t="s">
        <v>43</v>
      </c>
      <c r="AC1546" t="s">
        <v>43</v>
      </c>
      <c r="AD1546" t="s">
        <v>43</v>
      </c>
      <c r="AE1546" t="s">
        <v>43</v>
      </c>
      <c r="AF1546" t="s">
        <v>43</v>
      </c>
      <c r="AG1546" t="s">
        <v>43</v>
      </c>
      <c r="AH1546" t="s">
        <v>43</v>
      </c>
      <c r="AI1546" t="s">
        <v>43</v>
      </c>
      <c r="AJ1546" t="s">
        <v>43</v>
      </c>
      <c r="AK1546" t="s">
        <v>43</v>
      </c>
      <c r="AL1546" t="s">
        <v>43</v>
      </c>
      <c r="AM1546" t="s">
        <v>43</v>
      </c>
      <c r="AN1546" t="str">
        <f>HYPERLINK("https://www.google.com/maps?q=11.05587578,79.06414032","Open Location")</f>
        <v>Open Location</v>
      </c>
    </row>
    <row r="1547" spans="1:40" x14ac:dyDescent="0.3">
      <c r="A1547" s="1">
        <v>46210.820717592593</v>
      </c>
      <c r="B1547" t="s">
        <v>40</v>
      </c>
      <c r="C1547" t="s">
        <v>41</v>
      </c>
      <c r="D1547" s="1">
        <v>46210.823587962965</v>
      </c>
      <c r="E1547" t="s">
        <v>42</v>
      </c>
      <c r="F1547" t="s">
        <v>43</v>
      </c>
      <c r="G1547" t="s">
        <v>43</v>
      </c>
      <c r="H1547" t="s">
        <v>43</v>
      </c>
      <c r="I1547" t="s">
        <v>749</v>
      </c>
      <c r="J1547" t="s">
        <v>43</v>
      </c>
      <c r="K1547" t="s">
        <v>43</v>
      </c>
      <c r="L1547" t="s">
        <v>43</v>
      </c>
      <c r="M1547" t="s">
        <v>43</v>
      </c>
      <c r="N1547" t="s">
        <v>45</v>
      </c>
      <c r="O1547" t="s">
        <v>43</v>
      </c>
      <c r="P1547" t="s">
        <v>43</v>
      </c>
      <c r="Q1547" t="s">
        <v>43</v>
      </c>
      <c r="R1547" t="s">
        <v>43</v>
      </c>
      <c r="S1547" t="s">
        <v>43</v>
      </c>
      <c r="T1547" t="s">
        <v>43</v>
      </c>
      <c r="U1547" t="s">
        <v>43</v>
      </c>
      <c r="V1547" t="s">
        <v>43</v>
      </c>
      <c r="W1547" t="s">
        <v>43</v>
      </c>
      <c r="X1547" t="s">
        <v>43</v>
      </c>
      <c r="Y1547" t="s">
        <v>43</v>
      </c>
      <c r="Z1547" t="s">
        <v>43</v>
      </c>
      <c r="AA1547" t="s">
        <v>43</v>
      </c>
      <c r="AB1547" t="s">
        <v>43</v>
      </c>
      <c r="AC1547" t="s">
        <v>43</v>
      </c>
      <c r="AD1547" t="s">
        <v>43</v>
      </c>
      <c r="AE1547" t="s">
        <v>43</v>
      </c>
      <c r="AF1547" t="s">
        <v>43</v>
      </c>
      <c r="AG1547" t="s">
        <v>43</v>
      </c>
      <c r="AH1547" t="s">
        <v>43</v>
      </c>
      <c r="AI1547" t="s">
        <v>43</v>
      </c>
      <c r="AJ1547" t="s">
        <v>43</v>
      </c>
      <c r="AK1547" t="s">
        <v>43</v>
      </c>
      <c r="AL1547" t="s">
        <v>43</v>
      </c>
      <c r="AM1547" t="s">
        <v>43</v>
      </c>
      <c r="AN1547" t="str">
        <f>HYPERLINK("https://www.google.com/maps?q=11.05587959,79.06414032","Open Location")</f>
        <v>Open Location</v>
      </c>
    </row>
    <row r="1548" spans="1:40" x14ac:dyDescent="0.3">
      <c r="A1548" s="1">
        <v>46210.820601851854</v>
      </c>
      <c r="B1548" t="s">
        <v>40</v>
      </c>
      <c r="C1548" t="s">
        <v>41</v>
      </c>
      <c r="D1548" s="1">
        <v>46210.82371527778</v>
      </c>
      <c r="E1548" t="s">
        <v>42</v>
      </c>
      <c r="F1548" t="s">
        <v>43</v>
      </c>
      <c r="G1548" t="s">
        <v>43</v>
      </c>
      <c r="H1548" t="s">
        <v>43</v>
      </c>
      <c r="I1548" t="s">
        <v>753</v>
      </c>
      <c r="J1548" t="s">
        <v>43</v>
      </c>
      <c r="K1548" t="s">
        <v>43</v>
      </c>
      <c r="L1548" t="s">
        <v>43</v>
      </c>
      <c r="M1548" t="s">
        <v>43</v>
      </c>
      <c r="N1548" t="s">
        <v>45</v>
      </c>
      <c r="O1548" t="s">
        <v>43</v>
      </c>
      <c r="P1548" t="s">
        <v>43</v>
      </c>
      <c r="Q1548" t="s">
        <v>43</v>
      </c>
      <c r="R1548" t="s">
        <v>43</v>
      </c>
      <c r="S1548" t="s">
        <v>43</v>
      </c>
      <c r="T1548" t="s">
        <v>43</v>
      </c>
      <c r="U1548" t="s">
        <v>43</v>
      </c>
      <c r="V1548" t="s">
        <v>43</v>
      </c>
      <c r="W1548" t="s">
        <v>43</v>
      </c>
      <c r="X1548" t="s">
        <v>43</v>
      </c>
      <c r="Y1548" t="s">
        <v>43</v>
      </c>
      <c r="Z1548" t="s">
        <v>43</v>
      </c>
      <c r="AA1548" t="s">
        <v>43</v>
      </c>
      <c r="AB1548" t="s">
        <v>43</v>
      </c>
      <c r="AC1548" t="s">
        <v>43</v>
      </c>
      <c r="AD1548" t="s">
        <v>43</v>
      </c>
      <c r="AE1548" t="s">
        <v>43</v>
      </c>
      <c r="AF1548" t="s">
        <v>43</v>
      </c>
      <c r="AG1548" t="s">
        <v>43</v>
      </c>
      <c r="AH1548" t="s">
        <v>43</v>
      </c>
      <c r="AI1548" t="s">
        <v>43</v>
      </c>
      <c r="AJ1548" t="s">
        <v>43</v>
      </c>
      <c r="AK1548" t="s">
        <v>43</v>
      </c>
      <c r="AL1548" t="s">
        <v>43</v>
      </c>
      <c r="AM1548" t="s">
        <v>43</v>
      </c>
      <c r="AN1548" t="str">
        <f>HYPERLINK("https://www.google.com/maps?q=11.05588245,79.06414032","Open Location")</f>
        <v>Open Location</v>
      </c>
    </row>
    <row r="1549" spans="1:40" x14ac:dyDescent="0.3">
      <c r="A1549" s="1">
        <v>46210.820486111108</v>
      </c>
      <c r="B1549" t="s">
        <v>40</v>
      </c>
      <c r="C1549" t="s">
        <v>41</v>
      </c>
      <c r="D1549" s="1">
        <v>46210.823240740741</v>
      </c>
      <c r="E1549" t="s">
        <v>42</v>
      </c>
      <c r="F1549" t="s">
        <v>43</v>
      </c>
      <c r="G1549" t="s">
        <v>43</v>
      </c>
      <c r="H1549" t="s">
        <v>43</v>
      </c>
      <c r="I1549" t="s">
        <v>43</v>
      </c>
      <c r="J1549" t="s">
        <v>43</v>
      </c>
      <c r="K1549" t="s">
        <v>43</v>
      </c>
      <c r="L1549" t="s">
        <v>43</v>
      </c>
      <c r="M1549" t="s">
        <v>43</v>
      </c>
      <c r="N1549" t="s">
        <v>45</v>
      </c>
      <c r="O1549" t="s">
        <v>43</v>
      </c>
      <c r="P1549" t="s">
        <v>43</v>
      </c>
      <c r="Q1549" t="s">
        <v>43</v>
      </c>
      <c r="R1549" t="s">
        <v>43</v>
      </c>
      <c r="S1549" t="s">
        <v>43</v>
      </c>
      <c r="T1549" t="s">
        <v>43</v>
      </c>
      <c r="U1549" t="s">
        <v>43</v>
      </c>
      <c r="V1549" t="s">
        <v>43</v>
      </c>
      <c r="W1549" t="s">
        <v>43</v>
      </c>
      <c r="X1549" t="s">
        <v>43</v>
      </c>
      <c r="Y1549" t="s">
        <v>43</v>
      </c>
      <c r="Z1549" t="s">
        <v>43</v>
      </c>
      <c r="AA1549" t="s">
        <v>43</v>
      </c>
      <c r="AB1549" t="s">
        <v>43</v>
      </c>
      <c r="AC1549" t="s">
        <v>43</v>
      </c>
      <c r="AD1549" t="s">
        <v>43</v>
      </c>
      <c r="AE1549" t="s">
        <v>43</v>
      </c>
      <c r="AF1549" t="s">
        <v>43</v>
      </c>
      <c r="AG1549" t="s">
        <v>43</v>
      </c>
      <c r="AH1549" t="s">
        <v>43</v>
      </c>
      <c r="AI1549" t="s">
        <v>43</v>
      </c>
      <c r="AJ1549" t="s">
        <v>43</v>
      </c>
      <c r="AK1549" t="s">
        <v>43</v>
      </c>
      <c r="AL1549" t="s">
        <v>43</v>
      </c>
      <c r="AM1549" t="s">
        <v>43</v>
      </c>
      <c r="AN1549" t="s">
        <v>43</v>
      </c>
    </row>
    <row r="1550" spans="1:40" x14ac:dyDescent="0.3">
      <c r="A1550" s="1">
        <v>46210.820370370369</v>
      </c>
      <c r="B1550" t="s">
        <v>40</v>
      </c>
      <c r="C1550" t="s">
        <v>41</v>
      </c>
      <c r="D1550" s="1">
        <v>46210.823217592595</v>
      </c>
      <c r="E1550" t="s">
        <v>42</v>
      </c>
      <c r="F1550" t="s">
        <v>43</v>
      </c>
      <c r="G1550" t="s">
        <v>43</v>
      </c>
      <c r="H1550" t="s">
        <v>43</v>
      </c>
      <c r="I1550" t="s">
        <v>753</v>
      </c>
      <c r="J1550" t="s">
        <v>43</v>
      </c>
      <c r="K1550" t="s">
        <v>43</v>
      </c>
      <c r="L1550" t="s">
        <v>43</v>
      </c>
      <c r="M1550" t="s">
        <v>43</v>
      </c>
      <c r="N1550" t="s">
        <v>45</v>
      </c>
      <c r="O1550" t="s">
        <v>43</v>
      </c>
      <c r="P1550" t="s">
        <v>43</v>
      </c>
      <c r="Q1550" t="s">
        <v>43</v>
      </c>
      <c r="R1550" t="s">
        <v>43</v>
      </c>
      <c r="S1550" t="s">
        <v>43</v>
      </c>
      <c r="T1550" t="s">
        <v>43</v>
      </c>
      <c r="U1550" t="s">
        <v>43</v>
      </c>
      <c r="V1550" t="s">
        <v>43</v>
      </c>
      <c r="W1550" t="s">
        <v>43</v>
      </c>
      <c r="X1550" t="s">
        <v>43</v>
      </c>
      <c r="Y1550" t="s">
        <v>43</v>
      </c>
      <c r="Z1550" t="s">
        <v>43</v>
      </c>
      <c r="AA1550" t="s">
        <v>43</v>
      </c>
      <c r="AB1550" t="s">
        <v>43</v>
      </c>
      <c r="AC1550" t="s">
        <v>43</v>
      </c>
      <c r="AD1550" t="s">
        <v>43</v>
      </c>
      <c r="AE1550" t="s">
        <v>43</v>
      </c>
      <c r="AF1550" t="s">
        <v>43</v>
      </c>
      <c r="AG1550" t="s">
        <v>43</v>
      </c>
      <c r="AH1550" t="s">
        <v>43</v>
      </c>
      <c r="AI1550" t="s">
        <v>43</v>
      </c>
      <c r="AJ1550" t="s">
        <v>43</v>
      </c>
      <c r="AK1550" t="s">
        <v>43</v>
      </c>
      <c r="AL1550" t="s">
        <v>43</v>
      </c>
      <c r="AM1550" t="s">
        <v>43</v>
      </c>
      <c r="AN1550" t="str">
        <f>HYPERLINK("https://www.google.com/maps?q=11.05588245,79.06414032","Open Location")</f>
        <v>Open Location</v>
      </c>
    </row>
    <row r="1551" spans="1:40" x14ac:dyDescent="0.3">
      <c r="A1551" s="1">
        <v>46210.820254629631</v>
      </c>
      <c r="B1551" t="s">
        <v>40</v>
      </c>
      <c r="C1551" t="s">
        <v>41</v>
      </c>
      <c r="D1551" s="1">
        <v>46210.823159722226</v>
      </c>
      <c r="E1551" t="s">
        <v>42</v>
      </c>
      <c r="F1551" t="s">
        <v>43</v>
      </c>
      <c r="G1551" t="s">
        <v>43</v>
      </c>
      <c r="H1551" t="s">
        <v>43</v>
      </c>
      <c r="I1551" t="s">
        <v>753</v>
      </c>
      <c r="J1551" t="s">
        <v>43</v>
      </c>
      <c r="K1551" t="s">
        <v>43</v>
      </c>
      <c r="L1551" t="s">
        <v>43</v>
      </c>
      <c r="M1551" t="s">
        <v>43</v>
      </c>
      <c r="N1551" t="s">
        <v>45</v>
      </c>
      <c r="O1551" t="s">
        <v>43</v>
      </c>
      <c r="P1551" t="s">
        <v>43</v>
      </c>
      <c r="Q1551" t="s">
        <v>43</v>
      </c>
      <c r="R1551" t="s">
        <v>43</v>
      </c>
      <c r="S1551" t="s">
        <v>43</v>
      </c>
      <c r="T1551" t="s">
        <v>43</v>
      </c>
      <c r="U1551" t="s">
        <v>43</v>
      </c>
      <c r="V1551" t="s">
        <v>43</v>
      </c>
      <c r="W1551" t="s">
        <v>43</v>
      </c>
      <c r="X1551" t="s">
        <v>43</v>
      </c>
      <c r="Y1551" t="s">
        <v>43</v>
      </c>
      <c r="Z1551" t="s">
        <v>43</v>
      </c>
      <c r="AA1551" t="s">
        <v>43</v>
      </c>
      <c r="AB1551" t="s">
        <v>43</v>
      </c>
      <c r="AC1551" t="s">
        <v>43</v>
      </c>
      <c r="AD1551" t="s">
        <v>43</v>
      </c>
      <c r="AE1551" t="s">
        <v>43</v>
      </c>
      <c r="AF1551" t="s">
        <v>43</v>
      </c>
      <c r="AG1551" t="s">
        <v>43</v>
      </c>
      <c r="AH1551" t="s">
        <v>43</v>
      </c>
      <c r="AI1551" t="s">
        <v>43</v>
      </c>
      <c r="AJ1551" t="s">
        <v>43</v>
      </c>
      <c r="AK1551" t="s">
        <v>43</v>
      </c>
      <c r="AL1551" t="s">
        <v>43</v>
      </c>
      <c r="AM1551" t="s">
        <v>43</v>
      </c>
      <c r="AN1551" t="str">
        <f>HYPERLINK("https://www.google.com/maps?q=11.05588245,79.06414032","Open Location")</f>
        <v>Open Location</v>
      </c>
    </row>
    <row r="1552" spans="1:40" x14ac:dyDescent="0.3">
      <c r="A1552" s="1">
        <v>46210.820138888892</v>
      </c>
      <c r="B1552" t="s">
        <v>40</v>
      </c>
      <c r="C1552" t="s">
        <v>41</v>
      </c>
      <c r="D1552" s="1">
        <v>46210.823368055557</v>
      </c>
      <c r="E1552" t="s">
        <v>42</v>
      </c>
      <c r="F1552" t="s">
        <v>43</v>
      </c>
      <c r="G1552" t="s">
        <v>43</v>
      </c>
      <c r="H1552" t="s">
        <v>43</v>
      </c>
      <c r="I1552" t="s">
        <v>754</v>
      </c>
      <c r="J1552" t="s">
        <v>43</v>
      </c>
      <c r="K1552" t="s">
        <v>43</v>
      </c>
      <c r="L1552" t="s">
        <v>43</v>
      </c>
      <c r="M1552" t="s">
        <v>43</v>
      </c>
      <c r="N1552" t="s">
        <v>45</v>
      </c>
      <c r="O1552" t="s">
        <v>43</v>
      </c>
      <c r="P1552" t="s">
        <v>43</v>
      </c>
      <c r="Q1552" t="s">
        <v>43</v>
      </c>
      <c r="R1552" t="s">
        <v>43</v>
      </c>
      <c r="S1552" t="s">
        <v>43</v>
      </c>
      <c r="T1552" t="s">
        <v>43</v>
      </c>
      <c r="U1552" t="s">
        <v>43</v>
      </c>
      <c r="V1552" t="s">
        <v>43</v>
      </c>
      <c r="W1552" t="s">
        <v>43</v>
      </c>
      <c r="X1552" t="s">
        <v>43</v>
      </c>
      <c r="Y1552" t="s">
        <v>43</v>
      </c>
      <c r="Z1552" t="s">
        <v>43</v>
      </c>
      <c r="AA1552" t="s">
        <v>43</v>
      </c>
      <c r="AB1552" t="s">
        <v>43</v>
      </c>
      <c r="AC1552" t="s">
        <v>43</v>
      </c>
      <c r="AD1552" t="s">
        <v>43</v>
      </c>
      <c r="AE1552" t="s">
        <v>43</v>
      </c>
      <c r="AF1552" t="s">
        <v>43</v>
      </c>
      <c r="AG1552" t="s">
        <v>43</v>
      </c>
      <c r="AH1552" t="s">
        <v>43</v>
      </c>
      <c r="AI1552" t="s">
        <v>43</v>
      </c>
      <c r="AJ1552" t="s">
        <v>43</v>
      </c>
      <c r="AK1552" t="s">
        <v>43</v>
      </c>
      <c r="AL1552" t="s">
        <v>43</v>
      </c>
      <c r="AM1552" t="s">
        <v>43</v>
      </c>
      <c r="AN1552" t="str">
        <f>HYPERLINK("https://www.google.com/maps?q=11.05588055,79.06414032","Open Location")</f>
        <v>Open Location</v>
      </c>
    </row>
    <row r="1553" spans="1:40" x14ac:dyDescent="0.3">
      <c r="A1553" s="1">
        <v>46210.820023148146</v>
      </c>
      <c r="B1553" t="s">
        <v>40</v>
      </c>
      <c r="C1553" t="s">
        <v>41</v>
      </c>
      <c r="D1553" s="1">
        <v>46210.822858796295</v>
      </c>
      <c r="E1553" t="s">
        <v>42</v>
      </c>
      <c r="F1553" t="s">
        <v>43</v>
      </c>
      <c r="G1553" t="s">
        <v>43</v>
      </c>
      <c r="H1553" t="s">
        <v>43</v>
      </c>
      <c r="I1553" t="s">
        <v>749</v>
      </c>
      <c r="J1553" t="s">
        <v>43</v>
      </c>
      <c r="K1553" t="s">
        <v>43</v>
      </c>
      <c r="L1553" t="s">
        <v>43</v>
      </c>
      <c r="M1553" t="s">
        <v>43</v>
      </c>
      <c r="N1553" t="s">
        <v>45</v>
      </c>
      <c r="O1553" t="s">
        <v>43</v>
      </c>
      <c r="P1553" t="s">
        <v>43</v>
      </c>
      <c r="Q1553" t="s">
        <v>43</v>
      </c>
      <c r="R1553" t="s">
        <v>43</v>
      </c>
      <c r="S1553" t="s">
        <v>43</v>
      </c>
      <c r="T1553" t="s">
        <v>43</v>
      </c>
      <c r="U1553" t="s">
        <v>43</v>
      </c>
      <c r="V1553" t="s">
        <v>43</v>
      </c>
      <c r="W1553" t="s">
        <v>43</v>
      </c>
      <c r="X1553" t="s">
        <v>43</v>
      </c>
      <c r="Y1553" t="s">
        <v>43</v>
      </c>
      <c r="Z1553" t="s">
        <v>43</v>
      </c>
      <c r="AA1553" t="s">
        <v>43</v>
      </c>
      <c r="AB1553" t="s">
        <v>43</v>
      </c>
      <c r="AC1553" t="s">
        <v>43</v>
      </c>
      <c r="AD1553" t="s">
        <v>43</v>
      </c>
      <c r="AE1553" t="s">
        <v>43</v>
      </c>
      <c r="AF1553" t="s">
        <v>43</v>
      </c>
      <c r="AG1553" t="s">
        <v>43</v>
      </c>
      <c r="AH1553" t="s">
        <v>43</v>
      </c>
      <c r="AI1553" t="s">
        <v>43</v>
      </c>
      <c r="AJ1553" t="s">
        <v>43</v>
      </c>
      <c r="AK1553" t="s">
        <v>43</v>
      </c>
      <c r="AL1553" t="s">
        <v>43</v>
      </c>
      <c r="AM1553" t="s">
        <v>43</v>
      </c>
      <c r="AN1553" t="str">
        <f>HYPERLINK("https://www.google.com/maps?q=11.05587959,79.06414032","Open Location")</f>
        <v>Open Location</v>
      </c>
    </row>
    <row r="1554" spans="1:40" x14ac:dyDescent="0.3">
      <c r="A1554" s="1">
        <v>46210.819907407407</v>
      </c>
      <c r="B1554" t="s">
        <v>40</v>
      </c>
      <c r="C1554" t="s">
        <v>41</v>
      </c>
      <c r="D1554" s="1">
        <v>46210.822870370372</v>
      </c>
      <c r="E1554" t="s">
        <v>42</v>
      </c>
      <c r="F1554" t="s">
        <v>43</v>
      </c>
      <c r="G1554" t="s">
        <v>43</v>
      </c>
      <c r="H1554" t="s">
        <v>43</v>
      </c>
      <c r="I1554" t="s">
        <v>627</v>
      </c>
      <c r="J1554" t="s">
        <v>43</v>
      </c>
      <c r="K1554" t="s">
        <v>43</v>
      </c>
      <c r="L1554" t="s">
        <v>43</v>
      </c>
      <c r="M1554" t="s">
        <v>43</v>
      </c>
      <c r="N1554" t="s">
        <v>45</v>
      </c>
      <c r="O1554" t="s">
        <v>43</v>
      </c>
      <c r="P1554" t="s">
        <v>43</v>
      </c>
      <c r="Q1554" t="s">
        <v>43</v>
      </c>
      <c r="R1554" t="s">
        <v>43</v>
      </c>
      <c r="S1554" t="s">
        <v>43</v>
      </c>
      <c r="T1554" t="s">
        <v>43</v>
      </c>
      <c r="U1554" t="s">
        <v>43</v>
      </c>
      <c r="V1554" t="s">
        <v>43</v>
      </c>
      <c r="W1554" t="s">
        <v>43</v>
      </c>
      <c r="X1554" t="s">
        <v>43</v>
      </c>
      <c r="Y1554" t="s">
        <v>43</v>
      </c>
      <c r="Z1554" t="s">
        <v>43</v>
      </c>
      <c r="AA1554" t="s">
        <v>43</v>
      </c>
      <c r="AB1554" t="s">
        <v>43</v>
      </c>
      <c r="AC1554" t="s">
        <v>43</v>
      </c>
      <c r="AD1554" t="s">
        <v>43</v>
      </c>
      <c r="AE1554" t="s">
        <v>43</v>
      </c>
      <c r="AF1554" t="s">
        <v>43</v>
      </c>
      <c r="AG1554" t="s">
        <v>43</v>
      </c>
      <c r="AH1554" t="s">
        <v>43</v>
      </c>
      <c r="AI1554" t="s">
        <v>43</v>
      </c>
      <c r="AJ1554" t="s">
        <v>43</v>
      </c>
      <c r="AK1554" t="s">
        <v>43</v>
      </c>
      <c r="AL1554" t="s">
        <v>43</v>
      </c>
      <c r="AM1554" t="s">
        <v>43</v>
      </c>
      <c r="AN1554" t="str">
        <f>HYPERLINK("https://www.google.com/maps?q=11.05588341,79.06414032","Open Location")</f>
        <v>Open Location</v>
      </c>
    </row>
    <row r="1555" spans="1:40" x14ac:dyDescent="0.3">
      <c r="A1555" s="1">
        <v>46210.819791666669</v>
      </c>
      <c r="B1555" t="s">
        <v>40</v>
      </c>
      <c r="C1555" t="s">
        <v>41</v>
      </c>
      <c r="D1555" s="1">
        <v>46210.822870370372</v>
      </c>
      <c r="E1555" t="s">
        <v>42</v>
      </c>
      <c r="F1555" t="s">
        <v>43</v>
      </c>
      <c r="G1555" t="s">
        <v>43</v>
      </c>
      <c r="H1555" t="s">
        <v>43</v>
      </c>
      <c r="I1555" t="s">
        <v>43</v>
      </c>
      <c r="J1555" t="s">
        <v>43</v>
      </c>
      <c r="K1555" t="s">
        <v>43</v>
      </c>
      <c r="L1555" t="s">
        <v>43</v>
      </c>
      <c r="M1555" t="s">
        <v>43</v>
      </c>
      <c r="N1555" t="s">
        <v>45</v>
      </c>
      <c r="O1555" t="s">
        <v>43</v>
      </c>
      <c r="P1555" t="s">
        <v>43</v>
      </c>
      <c r="Q1555" t="s">
        <v>43</v>
      </c>
      <c r="R1555" t="s">
        <v>43</v>
      </c>
      <c r="S1555" t="s">
        <v>43</v>
      </c>
      <c r="T1555" t="s">
        <v>43</v>
      </c>
      <c r="U1555" t="s">
        <v>43</v>
      </c>
      <c r="V1555" t="s">
        <v>43</v>
      </c>
      <c r="W1555" t="s">
        <v>43</v>
      </c>
      <c r="X1555" t="s">
        <v>43</v>
      </c>
      <c r="Y1555" t="s">
        <v>43</v>
      </c>
      <c r="Z1555" t="s">
        <v>43</v>
      </c>
      <c r="AA1555" t="s">
        <v>43</v>
      </c>
      <c r="AB1555" t="s">
        <v>43</v>
      </c>
      <c r="AC1555" t="s">
        <v>43</v>
      </c>
      <c r="AD1555" t="s">
        <v>43</v>
      </c>
      <c r="AE1555" t="s">
        <v>43</v>
      </c>
      <c r="AF1555" t="s">
        <v>43</v>
      </c>
      <c r="AG1555" t="s">
        <v>43</v>
      </c>
      <c r="AH1555" t="s">
        <v>43</v>
      </c>
      <c r="AI1555" t="s">
        <v>43</v>
      </c>
      <c r="AJ1555" t="s">
        <v>43</v>
      </c>
      <c r="AK1555" t="s">
        <v>43</v>
      </c>
      <c r="AL1555" t="s">
        <v>43</v>
      </c>
      <c r="AM1555" t="s">
        <v>43</v>
      </c>
      <c r="AN1555" t="s">
        <v>43</v>
      </c>
    </row>
    <row r="1556" spans="1:40" x14ac:dyDescent="0.3">
      <c r="A1556" s="1">
        <v>46210.819675925923</v>
      </c>
      <c r="B1556" t="s">
        <v>40</v>
      </c>
      <c r="C1556" t="s">
        <v>41</v>
      </c>
      <c r="D1556" s="1">
        <v>46210.822557870371</v>
      </c>
      <c r="E1556" t="s">
        <v>42</v>
      </c>
      <c r="F1556" t="s">
        <v>43</v>
      </c>
      <c r="G1556" t="s">
        <v>43</v>
      </c>
      <c r="H1556" t="s">
        <v>43</v>
      </c>
      <c r="I1556" t="s">
        <v>755</v>
      </c>
      <c r="J1556" t="s">
        <v>43</v>
      </c>
      <c r="K1556" t="s">
        <v>43</v>
      </c>
      <c r="L1556" t="s">
        <v>43</v>
      </c>
      <c r="M1556" t="s">
        <v>43</v>
      </c>
      <c r="N1556" t="s">
        <v>45</v>
      </c>
      <c r="O1556" t="s">
        <v>43</v>
      </c>
      <c r="P1556" t="s">
        <v>43</v>
      </c>
      <c r="Q1556" t="s">
        <v>43</v>
      </c>
      <c r="R1556" t="s">
        <v>43</v>
      </c>
      <c r="S1556" t="s">
        <v>43</v>
      </c>
      <c r="T1556" t="s">
        <v>43</v>
      </c>
      <c r="U1556" t="s">
        <v>43</v>
      </c>
      <c r="V1556" t="s">
        <v>43</v>
      </c>
      <c r="W1556" t="s">
        <v>43</v>
      </c>
      <c r="X1556" t="s">
        <v>43</v>
      </c>
      <c r="Y1556" t="s">
        <v>43</v>
      </c>
      <c r="Z1556" t="s">
        <v>43</v>
      </c>
      <c r="AA1556" t="s">
        <v>43</v>
      </c>
      <c r="AB1556" t="s">
        <v>43</v>
      </c>
      <c r="AC1556" t="s">
        <v>43</v>
      </c>
      <c r="AD1556" t="s">
        <v>43</v>
      </c>
      <c r="AE1556" t="s">
        <v>43</v>
      </c>
      <c r="AF1556" t="s">
        <v>43</v>
      </c>
      <c r="AG1556" t="s">
        <v>43</v>
      </c>
      <c r="AH1556" t="s">
        <v>43</v>
      </c>
      <c r="AI1556" t="s">
        <v>43</v>
      </c>
      <c r="AJ1556" t="s">
        <v>43</v>
      </c>
      <c r="AK1556" t="s">
        <v>43</v>
      </c>
      <c r="AL1556" t="s">
        <v>43</v>
      </c>
      <c r="AM1556" t="s">
        <v>43</v>
      </c>
      <c r="AN1556" t="str">
        <f>HYPERLINK("https://www.google.com/maps?q=11.05588627,79.06414032","Open Location")</f>
        <v>Open Location</v>
      </c>
    </row>
    <row r="1557" spans="1:40" x14ac:dyDescent="0.3">
      <c r="A1557" s="1">
        <v>46210.819560185184</v>
      </c>
      <c r="B1557" t="s">
        <v>40</v>
      </c>
      <c r="C1557" t="s">
        <v>41</v>
      </c>
      <c r="D1557" s="1">
        <v>46210.82236111111</v>
      </c>
      <c r="E1557" t="s">
        <v>42</v>
      </c>
      <c r="F1557" t="s">
        <v>43</v>
      </c>
      <c r="G1557" t="s">
        <v>43</v>
      </c>
      <c r="H1557" t="s">
        <v>43</v>
      </c>
      <c r="I1557" t="s">
        <v>756</v>
      </c>
      <c r="J1557" t="s">
        <v>43</v>
      </c>
      <c r="K1557" t="s">
        <v>43</v>
      </c>
      <c r="L1557" t="s">
        <v>43</v>
      </c>
      <c r="M1557" t="s">
        <v>43</v>
      </c>
      <c r="N1557" t="s">
        <v>45</v>
      </c>
      <c r="O1557" t="s">
        <v>43</v>
      </c>
      <c r="P1557" t="s">
        <v>43</v>
      </c>
      <c r="Q1557" t="s">
        <v>43</v>
      </c>
      <c r="R1557" t="s">
        <v>43</v>
      </c>
      <c r="S1557" t="s">
        <v>43</v>
      </c>
      <c r="T1557" t="s">
        <v>43</v>
      </c>
      <c r="U1557" t="s">
        <v>43</v>
      </c>
      <c r="V1557" t="s">
        <v>43</v>
      </c>
      <c r="W1557" t="s">
        <v>43</v>
      </c>
      <c r="X1557" t="s">
        <v>43</v>
      </c>
      <c r="Y1557" t="s">
        <v>43</v>
      </c>
      <c r="Z1557" t="s">
        <v>43</v>
      </c>
      <c r="AA1557" t="s">
        <v>43</v>
      </c>
      <c r="AB1557" t="s">
        <v>43</v>
      </c>
      <c r="AC1557" t="s">
        <v>43</v>
      </c>
      <c r="AD1557" t="s">
        <v>43</v>
      </c>
      <c r="AE1557" t="s">
        <v>43</v>
      </c>
      <c r="AF1557" t="s">
        <v>43</v>
      </c>
      <c r="AG1557" t="s">
        <v>43</v>
      </c>
      <c r="AH1557" t="s">
        <v>43</v>
      </c>
      <c r="AI1557" t="s">
        <v>43</v>
      </c>
      <c r="AJ1557" t="s">
        <v>43</v>
      </c>
      <c r="AK1557" t="s">
        <v>43</v>
      </c>
      <c r="AL1557" t="s">
        <v>43</v>
      </c>
      <c r="AM1557" t="s">
        <v>43</v>
      </c>
      <c r="AN1557" t="str">
        <f>HYPERLINK("https://www.google.com/maps?q=11.05588531,79.06414032","Open Location")</f>
        <v>Open Location</v>
      </c>
    </row>
    <row r="1558" spans="1:40" x14ac:dyDescent="0.3">
      <c r="A1558" s="1">
        <v>46210.819444444445</v>
      </c>
      <c r="B1558" t="s">
        <v>40</v>
      </c>
      <c r="C1558" t="s">
        <v>41</v>
      </c>
      <c r="D1558" s="1">
        <v>46210.822395833333</v>
      </c>
      <c r="E1558" t="s">
        <v>42</v>
      </c>
      <c r="F1558" t="s">
        <v>43</v>
      </c>
      <c r="G1558" t="s">
        <v>43</v>
      </c>
      <c r="H1558" t="s">
        <v>43</v>
      </c>
      <c r="I1558" t="s">
        <v>755</v>
      </c>
      <c r="J1558" t="s">
        <v>43</v>
      </c>
      <c r="K1558" t="s">
        <v>43</v>
      </c>
      <c r="L1558" t="s">
        <v>43</v>
      </c>
      <c r="M1558" t="s">
        <v>43</v>
      </c>
      <c r="N1558" t="s">
        <v>45</v>
      </c>
      <c r="O1558" t="s">
        <v>43</v>
      </c>
      <c r="P1558" t="s">
        <v>43</v>
      </c>
      <c r="Q1558" t="s">
        <v>43</v>
      </c>
      <c r="R1558" t="s">
        <v>43</v>
      </c>
      <c r="S1558" t="s">
        <v>43</v>
      </c>
      <c r="T1558" t="s">
        <v>43</v>
      </c>
      <c r="U1558" t="s">
        <v>43</v>
      </c>
      <c r="V1558" t="s">
        <v>43</v>
      </c>
      <c r="W1558" t="s">
        <v>43</v>
      </c>
      <c r="X1558" t="s">
        <v>43</v>
      </c>
      <c r="Y1558" t="s">
        <v>43</v>
      </c>
      <c r="Z1558" t="s">
        <v>43</v>
      </c>
      <c r="AA1558" t="s">
        <v>43</v>
      </c>
      <c r="AB1558" t="s">
        <v>43</v>
      </c>
      <c r="AC1558" t="s">
        <v>43</v>
      </c>
      <c r="AD1558" t="s">
        <v>43</v>
      </c>
      <c r="AE1558" t="s">
        <v>43</v>
      </c>
      <c r="AF1558" t="s">
        <v>43</v>
      </c>
      <c r="AG1558" t="s">
        <v>43</v>
      </c>
      <c r="AH1558" t="s">
        <v>43</v>
      </c>
      <c r="AI1558" t="s">
        <v>43</v>
      </c>
      <c r="AJ1558" t="s">
        <v>43</v>
      </c>
      <c r="AK1558" t="s">
        <v>43</v>
      </c>
      <c r="AL1558" t="s">
        <v>43</v>
      </c>
      <c r="AM1558" t="s">
        <v>43</v>
      </c>
      <c r="AN1558" t="str">
        <f>HYPERLINK("https://www.google.com/maps?q=11.05588627,79.06414032","Open Location")</f>
        <v>Open Location</v>
      </c>
    </row>
    <row r="1559" spans="1:40" x14ac:dyDescent="0.3">
      <c r="A1559" s="1">
        <v>46210.819328703707</v>
      </c>
      <c r="B1559" t="s">
        <v>40</v>
      </c>
      <c r="C1559" t="s">
        <v>41</v>
      </c>
      <c r="D1559" s="1">
        <v>46210.822071759256</v>
      </c>
      <c r="E1559" t="s">
        <v>42</v>
      </c>
      <c r="F1559" t="s">
        <v>43</v>
      </c>
      <c r="G1559" t="s">
        <v>43</v>
      </c>
      <c r="H1559" t="s">
        <v>43</v>
      </c>
      <c r="I1559" t="s">
        <v>757</v>
      </c>
      <c r="J1559" t="s">
        <v>43</v>
      </c>
      <c r="K1559" t="s">
        <v>43</v>
      </c>
      <c r="L1559" t="s">
        <v>43</v>
      </c>
      <c r="M1559" t="s">
        <v>43</v>
      </c>
      <c r="N1559" t="s">
        <v>45</v>
      </c>
      <c r="O1559" t="s">
        <v>43</v>
      </c>
      <c r="P1559" t="s">
        <v>43</v>
      </c>
      <c r="Q1559" t="s">
        <v>43</v>
      </c>
      <c r="R1559" t="s">
        <v>43</v>
      </c>
      <c r="S1559" t="s">
        <v>43</v>
      </c>
      <c r="T1559" t="s">
        <v>43</v>
      </c>
      <c r="U1559" t="s">
        <v>43</v>
      </c>
      <c r="V1559" t="s">
        <v>43</v>
      </c>
      <c r="W1559" t="s">
        <v>43</v>
      </c>
      <c r="X1559" t="s">
        <v>43</v>
      </c>
      <c r="Y1559" t="s">
        <v>43</v>
      </c>
      <c r="Z1559" t="s">
        <v>43</v>
      </c>
      <c r="AA1559" t="s">
        <v>43</v>
      </c>
      <c r="AB1559" t="s">
        <v>43</v>
      </c>
      <c r="AC1559" t="s">
        <v>43</v>
      </c>
      <c r="AD1559" t="s">
        <v>43</v>
      </c>
      <c r="AE1559" t="s">
        <v>43</v>
      </c>
      <c r="AF1559" t="s">
        <v>43</v>
      </c>
      <c r="AG1559" t="s">
        <v>43</v>
      </c>
      <c r="AH1559" t="s">
        <v>43</v>
      </c>
      <c r="AI1559" t="s">
        <v>43</v>
      </c>
      <c r="AJ1559" t="s">
        <v>43</v>
      </c>
      <c r="AK1559" t="s">
        <v>43</v>
      </c>
      <c r="AL1559" t="s">
        <v>43</v>
      </c>
      <c r="AM1559" t="s">
        <v>43</v>
      </c>
      <c r="AN1559" t="str">
        <f>HYPERLINK("https://www.google.com/maps?q=11.05588436,79.06415558","Open Location")</f>
        <v>Open Location</v>
      </c>
    </row>
    <row r="1560" spans="1:40" x14ac:dyDescent="0.3">
      <c r="A1560" s="1">
        <v>46210.819212962961</v>
      </c>
      <c r="B1560" t="s">
        <v>40</v>
      </c>
      <c r="C1560" t="s">
        <v>41</v>
      </c>
      <c r="D1560" s="1">
        <v>46210.822060185186</v>
      </c>
      <c r="E1560" t="s">
        <v>42</v>
      </c>
      <c r="F1560" t="s">
        <v>43</v>
      </c>
      <c r="G1560" t="s">
        <v>43</v>
      </c>
      <c r="H1560" t="s">
        <v>43</v>
      </c>
      <c r="I1560" t="s">
        <v>43</v>
      </c>
      <c r="J1560" t="s">
        <v>43</v>
      </c>
      <c r="K1560" t="s">
        <v>43</v>
      </c>
      <c r="L1560" t="s">
        <v>43</v>
      </c>
      <c r="M1560" t="s">
        <v>43</v>
      </c>
      <c r="N1560" t="s">
        <v>45</v>
      </c>
      <c r="O1560" t="s">
        <v>43</v>
      </c>
      <c r="P1560" t="s">
        <v>43</v>
      </c>
      <c r="Q1560" t="s">
        <v>43</v>
      </c>
      <c r="R1560" t="s">
        <v>43</v>
      </c>
      <c r="S1560" t="s">
        <v>43</v>
      </c>
      <c r="T1560" t="s">
        <v>43</v>
      </c>
      <c r="U1560" t="s">
        <v>43</v>
      </c>
      <c r="V1560" t="s">
        <v>43</v>
      </c>
      <c r="W1560" t="s">
        <v>43</v>
      </c>
      <c r="X1560" t="s">
        <v>43</v>
      </c>
      <c r="Y1560" t="s">
        <v>43</v>
      </c>
      <c r="Z1560" t="s">
        <v>43</v>
      </c>
      <c r="AA1560" t="s">
        <v>43</v>
      </c>
      <c r="AB1560" t="s">
        <v>43</v>
      </c>
      <c r="AC1560" t="s">
        <v>43</v>
      </c>
      <c r="AD1560" t="s">
        <v>43</v>
      </c>
      <c r="AE1560" t="s">
        <v>43</v>
      </c>
      <c r="AF1560" t="s">
        <v>43</v>
      </c>
      <c r="AG1560" t="s">
        <v>43</v>
      </c>
      <c r="AH1560" t="s">
        <v>43</v>
      </c>
      <c r="AI1560" t="s">
        <v>43</v>
      </c>
      <c r="AJ1560" t="s">
        <v>43</v>
      </c>
      <c r="AK1560" t="s">
        <v>43</v>
      </c>
      <c r="AL1560" t="s">
        <v>43</v>
      </c>
      <c r="AM1560" t="s">
        <v>43</v>
      </c>
      <c r="AN1560" t="s">
        <v>43</v>
      </c>
    </row>
    <row r="1561" spans="1:40" x14ac:dyDescent="0.3">
      <c r="A1561" s="1">
        <v>46210.819097222222</v>
      </c>
      <c r="B1561" t="s">
        <v>40</v>
      </c>
      <c r="C1561" t="s">
        <v>41</v>
      </c>
      <c r="D1561" s="1">
        <v>46210.822141203702</v>
      </c>
      <c r="E1561" t="s">
        <v>42</v>
      </c>
      <c r="F1561" t="s">
        <v>43</v>
      </c>
      <c r="G1561" t="s">
        <v>43</v>
      </c>
      <c r="H1561" t="s">
        <v>43</v>
      </c>
      <c r="I1561" t="s">
        <v>628</v>
      </c>
      <c r="J1561" t="s">
        <v>43</v>
      </c>
      <c r="K1561" t="s">
        <v>43</v>
      </c>
      <c r="L1561" t="s">
        <v>43</v>
      </c>
      <c r="M1561" t="s">
        <v>43</v>
      </c>
      <c r="N1561" t="s">
        <v>45</v>
      </c>
      <c r="O1561" t="s">
        <v>43</v>
      </c>
      <c r="P1561" t="s">
        <v>43</v>
      </c>
      <c r="Q1561" t="s">
        <v>43</v>
      </c>
      <c r="R1561" t="s">
        <v>43</v>
      </c>
      <c r="S1561" t="s">
        <v>43</v>
      </c>
      <c r="T1561" t="s">
        <v>43</v>
      </c>
      <c r="U1561" t="s">
        <v>43</v>
      </c>
      <c r="V1561" t="s">
        <v>43</v>
      </c>
      <c r="W1561" t="s">
        <v>43</v>
      </c>
      <c r="X1561" t="s">
        <v>43</v>
      </c>
      <c r="Y1561" t="s">
        <v>43</v>
      </c>
      <c r="Z1561" t="s">
        <v>43</v>
      </c>
      <c r="AA1561" t="s">
        <v>43</v>
      </c>
      <c r="AB1561" t="s">
        <v>43</v>
      </c>
      <c r="AC1561" t="s">
        <v>43</v>
      </c>
      <c r="AD1561" t="s">
        <v>43</v>
      </c>
      <c r="AE1561" t="s">
        <v>43</v>
      </c>
      <c r="AF1561" t="s">
        <v>43</v>
      </c>
      <c r="AG1561" t="s">
        <v>43</v>
      </c>
      <c r="AH1561" t="s">
        <v>43</v>
      </c>
      <c r="AI1561" t="s">
        <v>43</v>
      </c>
      <c r="AJ1561" t="s">
        <v>43</v>
      </c>
      <c r="AK1561" t="s">
        <v>43</v>
      </c>
      <c r="AL1561" t="s">
        <v>43</v>
      </c>
      <c r="AM1561" t="s">
        <v>43</v>
      </c>
      <c r="AN1561" t="str">
        <f>HYPERLINK("https://www.google.com/maps?q=11.05588245,79.06415558","Open Location")</f>
        <v>Open Location</v>
      </c>
    </row>
    <row r="1562" spans="1:40" x14ac:dyDescent="0.3">
      <c r="A1562" s="1">
        <v>46210.818981481483</v>
      </c>
      <c r="B1562" t="s">
        <v>40</v>
      </c>
      <c r="C1562" t="s">
        <v>41</v>
      </c>
      <c r="D1562" s="1">
        <v>46210.821793981479</v>
      </c>
      <c r="E1562" t="s">
        <v>42</v>
      </c>
      <c r="F1562" t="s">
        <v>43</v>
      </c>
      <c r="G1562" t="s">
        <v>43</v>
      </c>
      <c r="H1562" t="s">
        <v>43</v>
      </c>
      <c r="I1562" t="s">
        <v>754</v>
      </c>
      <c r="J1562" t="s">
        <v>43</v>
      </c>
      <c r="K1562" t="s">
        <v>43</v>
      </c>
      <c r="L1562" t="s">
        <v>43</v>
      </c>
      <c r="M1562" t="s">
        <v>43</v>
      </c>
      <c r="N1562" t="s">
        <v>45</v>
      </c>
      <c r="O1562" t="s">
        <v>43</v>
      </c>
      <c r="P1562" t="s">
        <v>43</v>
      </c>
      <c r="Q1562" t="s">
        <v>43</v>
      </c>
      <c r="R1562" t="s">
        <v>43</v>
      </c>
      <c r="S1562" t="s">
        <v>43</v>
      </c>
      <c r="T1562" t="s">
        <v>43</v>
      </c>
      <c r="U1562" t="s">
        <v>43</v>
      </c>
      <c r="V1562" t="s">
        <v>43</v>
      </c>
      <c r="W1562" t="s">
        <v>43</v>
      </c>
      <c r="X1562" t="s">
        <v>43</v>
      </c>
      <c r="Y1562" t="s">
        <v>43</v>
      </c>
      <c r="Z1562" t="s">
        <v>43</v>
      </c>
      <c r="AA1562" t="s">
        <v>43</v>
      </c>
      <c r="AB1562" t="s">
        <v>43</v>
      </c>
      <c r="AC1562" t="s">
        <v>43</v>
      </c>
      <c r="AD1562" t="s">
        <v>43</v>
      </c>
      <c r="AE1562" t="s">
        <v>43</v>
      </c>
      <c r="AF1562" t="s">
        <v>43</v>
      </c>
      <c r="AG1562" t="s">
        <v>43</v>
      </c>
      <c r="AH1562" t="s">
        <v>43</v>
      </c>
      <c r="AI1562" t="s">
        <v>43</v>
      </c>
      <c r="AJ1562" t="s">
        <v>43</v>
      </c>
      <c r="AK1562" t="s">
        <v>43</v>
      </c>
      <c r="AL1562" t="s">
        <v>43</v>
      </c>
      <c r="AM1562" t="s">
        <v>43</v>
      </c>
      <c r="AN1562" t="str">
        <f>HYPERLINK("https://www.google.com/maps?q=11.05588055,79.06414032","Open Location")</f>
        <v>Open Location</v>
      </c>
    </row>
    <row r="1563" spans="1:40" x14ac:dyDescent="0.3">
      <c r="A1563" s="1">
        <v>46210.818865740737</v>
      </c>
      <c r="B1563" t="s">
        <v>40</v>
      </c>
      <c r="C1563" t="s">
        <v>41</v>
      </c>
      <c r="D1563" s="1">
        <v>46210.821921296294</v>
      </c>
      <c r="E1563" t="s">
        <v>42</v>
      </c>
      <c r="F1563" t="s">
        <v>43</v>
      </c>
      <c r="G1563" t="s">
        <v>43</v>
      </c>
      <c r="H1563" t="s">
        <v>43</v>
      </c>
      <c r="I1563" t="s">
        <v>758</v>
      </c>
      <c r="J1563" t="s">
        <v>43</v>
      </c>
      <c r="K1563" t="s">
        <v>43</v>
      </c>
      <c r="L1563" t="s">
        <v>43</v>
      </c>
      <c r="M1563" t="s">
        <v>43</v>
      </c>
      <c r="N1563" t="s">
        <v>45</v>
      </c>
      <c r="O1563" t="s">
        <v>43</v>
      </c>
      <c r="P1563" t="s">
        <v>43</v>
      </c>
      <c r="Q1563" t="s">
        <v>43</v>
      </c>
      <c r="R1563" t="s">
        <v>43</v>
      </c>
      <c r="S1563" t="s">
        <v>43</v>
      </c>
      <c r="T1563" t="s">
        <v>43</v>
      </c>
      <c r="U1563" t="s">
        <v>43</v>
      </c>
      <c r="V1563" t="s">
        <v>43</v>
      </c>
      <c r="W1563" t="s">
        <v>43</v>
      </c>
      <c r="X1563" t="s">
        <v>43</v>
      </c>
      <c r="Y1563" t="s">
        <v>43</v>
      </c>
      <c r="Z1563" t="s">
        <v>43</v>
      </c>
      <c r="AA1563" t="s">
        <v>43</v>
      </c>
      <c r="AB1563" t="s">
        <v>43</v>
      </c>
      <c r="AC1563" t="s">
        <v>43</v>
      </c>
      <c r="AD1563" t="s">
        <v>43</v>
      </c>
      <c r="AE1563" t="s">
        <v>43</v>
      </c>
      <c r="AF1563" t="s">
        <v>43</v>
      </c>
      <c r="AG1563" t="s">
        <v>43</v>
      </c>
      <c r="AH1563" t="s">
        <v>43</v>
      </c>
      <c r="AI1563" t="s">
        <v>43</v>
      </c>
      <c r="AJ1563" t="s">
        <v>43</v>
      </c>
      <c r="AK1563" t="s">
        <v>43</v>
      </c>
      <c r="AL1563" t="s">
        <v>43</v>
      </c>
      <c r="AM1563" t="s">
        <v>43</v>
      </c>
      <c r="AN1563" t="str">
        <f>HYPERLINK("https://www.google.com/maps?q=11.05587673,79.06414032","Open Location")</f>
        <v>Open Location</v>
      </c>
    </row>
    <row r="1564" spans="1:40" x14ac:dyDescent="0.3">
      <c r="A1564" s="1">
        <v>46210.818749999999</v>
      </c>
      <c r="B1564" t="s">
        <v>40</v>
      </c>
      <c r="C1564" t="s">
        <v>41</v>
      </c>
      <c r="D1564" s="1">
        <v>46210.821793981479</v>
      </c>
      <c r="E1564" t="s">
        <v>42</v>
      </c>
      <c r="F1564" t="s">
        <v>43</v>
      </c>
      <c r="G1564" t="s">
        <v>43</v>
      </c>
      <c r="H1564" t="s">
        <v>43</v>
      </c>
      <c r="I1564" t="s">
        <v>676</v>
      </c>
      <c r="J1564" t="s">
        <v>43</v>
      </c>
      <c r="K1564" t="s">
        <v>43</v>
      </c>
      <c r="L1564" t="s">
        <v>43</v>
      </c>
      <c r="M1564" t="s">
        <v>43</v>
      </c>
      <c r="N1564" t="s">
        <v>45</v>
      </c>
      <c r="O1564" t="s">
        <v>43</v>
      </c>
      <c r="P1564" t="s">
        <v>43</v>
      </c>
      <c r="Q1564" t="s">
        <v>43</v>
      </c>
      <c r="R1564" t="s">
        <v>43</v>
      </c>
      <c r="S1564" t="s">
        <v>43</v>
      </c>
      <c r="T1564" t="s">
        <v>43</v>
      </c>
      <c r="U1564" t="s">
        <v>43</v>
      </c>
      <c r="V1564" t="s">
        <v>43</v>
      </c>
      <c r="W1564" t="s">
        <v>43</v>
      </c>
      <c r="X1564" t="s">
        <v>43</v>
      </c>
      <c r="Y1564" t="s">
        <v>43</v>
      </c>
      <c r="Z1564" t="s">
        <v>43</v>
      </c>
      <c r="AA1564" t="s">
        <v>43</v>
      </c>
      <c r="AB1564" t="s">
        <v>43</v>
      </c>
      <c r="AC1564" t="s">
        <v>43</v>
      </c>
      <c r="AD1564" t="s">
        <v>43</v>
      </c>
      <c r="AE1564" t="s">
        <v>43</v>
      </c>
      <c r="AF1564" t="s">
        <v>43</v>
      </c>
      <c r="AG1564" t="s">
        <v>43</v>
      </c>
      <c r="AH1564" t="s">
        <v>43</v>
      </c>
      <c r="AI1564" t="s">
        <v>43</v>
      </c>
      <c r="AJ1564" t="s">
        <v>43</v>
      </c>
      <c r="AK1564" t="s">
        <v>43</v>
      </c>
      <c r="AL1564" t="s">
        <v>43</v>
      </c>
      <c r="AM1564" t="s">
        <v>43</v>
      </c>
      <c r="AN1564" t="str">
        <f>HYPERLINK("https://www.google.com/maps?q=11.05587578,79.06414032","Open Location")</f>
        <v>Open Location</v>
      </c>
    </row>
    <row r="1565" spans="1:40" x14ac:dyDescent="0.3">
      <c r="A1565" s="1">
        <v>46210.81863425926</v>
      </c>
      <c r="B1565" t="s">
        <v>40</v>
      </c>
      <c r="C1565" t="s">
        <v>41</v>
      </c>
      <c r="D1565" s="1">
        <v>46210.821435185186</v>
      </c>
      <c r="E1565" t="s">
        <v>42</v>
      </c>
      <c r="F1565" t="s">
        <v>43</v>
      </c>
      <c r="G1565" t="s">
        <v>43</v>
      </c>
      <c r="H1565" t="s">
        <v>43</v>
      </c>
      <c r="I1565" t="s">
        <v>649</v>
      </c>
      <c r="J1565" t="s">
        <v>43</v>
      </c>
      <c r="K1565" t="s">
        <v>43</v>
      </c>
      <c r="L1565" t="s">
        <v>43</v>
      </c>
      <c r="M1565" t="s">
        <v>43</v>
      </c>
      <c r="N1565" t="s">
        <v>45</v>
      </c>
      <c r="O1565" t="s">
        <v>43</v>
      </c>
      <c r="P1565" t="s">
        <v>43</v>
      </c>
      <c r="Q1565" t="s">
        <v>43</v>
      </c>
      <c r="R1565" t="s">
        <v>43</v>
      </c>
      <c r="S1565" t="s">
        <v>43</v>
      </c>
      <c r="T1565" t="s">
        <v>43</v>
      </c>
      <c r="U1565" t="s">
        <v>43</v>
      </c>
      <c r="V1565" t="s">
        <v>43</v>
      </c>
      <c r="W1565" t="s">
        <v>43</v>
      </c>
      <c r="X1565" t="s">
        <v>43</v>
      </c>
      <c r="Y1565" t="s">
        <v>43</v>
      </c>
      <c r="Z1565" t="s">
        <v>43</v>
      </c>
      <c r="AA1565" t="s">
        <v>43</v>
      </c>
      <c r="AB1565" t="s">
        <v>43</v>
      </c>
      <c r="AC1565" t="s">
        <v>43</v>
      </c>
      <c r="AD1565" t="s">
        <v>43</v>
      </c>
      <c r="AE1565" t="s">
        <v>43</v>
      </c>
      <c r="AF1565" t="s">
        <v>43</v>
      </c>
      <c r="AG1565" t="s">
        <v>43</v>
      </c>
      <c r="AH1565" t="s">
        <v>43</v>
      </c>
      <c r="AI1565" t="s">
        <v>43</v>
      </c>
      <c r="AJ1565" t="s">
        <v>43</v>
      </c>
      <c r="AK1565" t="s">
        <v>43</v>
      </c>
      <c r="AL1565" t="s">
        <v>43</v>
      </c>
      <c r="AM1565" t="s">
        <v>43</v>
      </c>
      <c r="AN1565" t="str">
        <f>HYPERLINK("https://www.google.com/maps?q=11.05587482,79.06415558","Open Location")</f>
        <v>Open Location</v>
      </c>
    </row>
    <row r="1566" spans="1:40" x14ac:dyDescent="0.3">
      <c r="A1566" s="1">
        <v>46210.818518518521</v>
      </c>
      <c r="B1566" t="s">
        <v>40</v>
      </c>
      <c r="C1566" t="s">
        <v>41</v>
      </c>
      <c r="D1566" s="1">
        <v>46210.821631944447</v>
      </c>
      <c r="E1566" t="s">
        <v>42</v>
      </c>
      <c r="F1566" t="s">
        <v>43</v>
      </c>
      <c r="G1566" t="s">
        <v>43</v>
      </c>
      <c r="H1566" t="s">
        <v>43</v>
      </c>
      <c r="I1566" t="s">
        <v>43</v>
      </c>
      <c r="J1566" t="s">
        <v>43</v>
      </c>
      <c r="K1566" t="s">
        <v>43</v>
      </c>
      <c r="L1566" t="s">
        <v>43</v>
      </c>
      <c r="M1566" t="s">
        <v>43</v>
      </c>
      <c r="N1566" t="s">
        <v>45</v>
      </c>
      <c r="O1566" t="s">
        <v>43</v>
      </c>
      <c r="P1566" t="s">
        <v>43</v>
      </c>
      <c r="Q1566" t="s">
        <v>43</v>
      </c>
      <c r="R1566" t="s">
        <v>43</v>
      </c>
      <c r="S1566" t="s">
        <v>43</v>
      </c>
      <c r="T1566" t="s">
        <v>43</v>
      </c>
      <c r="U1566" t="s">
        <v>43</v>
      </c>
      <c r="V1566" t="s">
        <v>43</v>
      </c>
      <c r="W1566" t="s">
        <v>43</v>
      </c>
      <c r="X1566" t="s">
        <v>43</v>
      </c>
      <c r="Y1566" t="s">
        <v>43</v>
      </c>
      <c r="Z1566" t="s">
        <v>43</v>
      </c>
      <c r="AA1566" t="s">
        <v>43</v>
      </c>
      <c r="AB1566" t="s">
        <v>43</v>
      </c>
      <c r="AC1566" t="s">
        <v>43</v>
      </c>
      <c r="AD1566" t="s">
        <v>43</v>
      </c>
      <c r="AE1566" t="s">
        <v>43</v>
      </c>
      <c r="AF1566" t="s">
        <v>43</v>
      </c>
      <c r="AG1566" t="s">
        <v>43</v>
      </c>
      <c r="AH1566" t="s">
        <v>43</v>
      </c>
      <c r="AI1566" t="s">
        <v>43</v>
      </c>
      <c r="AJ1566" t="s">
        <v>43</v>
      </c>
      <c r="AK1566" t="s">
        <v>43</v>
      </c>
      <c r="AL1566" t="s">
        <v>43</v>
      </c>
      <c r="AM1566" t="s">
        <v>43</v>
      </c>
      <c r="AN1566" t="s">
        <v>43</v>
      </c>
    </row>
    <row r="1567" spans="1:40" x14ac:dyDescent="0.3">
      <c r="A1567" s="1">
        <v>46210.818402777775</v>
      </c>
      <c r="B1567" t="s">
        <v>40</v>
      </c>
      <c r="C1567" t="s">
        <v>41</v>
      </c>
      <c r="D1567" s="1">
        <v>46210.821215277778</v>
      </c>
      <c r="E1567" t="s">
        <v>42</v>
      </c>
      <c r="F1567" t="s">
        <v>43</v>
      </c>
      <c r="G1567" t="s">
        <v>43</v>
      </c>
      <c r="H1567" t="s">
        <v>43</v>
      </c>
      <c r="I1567" t="s">
        <v>759</v>
      </c>
      <c r="J1567" t="s">
        <v>43</v>
      </c>
      <c r="K1567" t="s">
        <v>43</v>
      </c>
      <c r="L1567" t="s">
        <v>43</v>
      </c>
      <c r="M1567" t="s">
        <v>43</v>
      </c>
      <c r="N1567" t="s">
        <v>45</v>
      </c>
      <c r="O1567" t="s">
        <v>43</v>
      </c>
      <c r="P1567" t="s">
        <v>43</v>
      </c>
      <c r="Q1567" t="s">
        <v>43</v>
      </c>
      <c r="R1567" t="s">
        <v>43</v>
      </c>
      <c r="S1567" t="s">
        <v>43</v>
      </c>
      <c r="T1567" t="s">
        <v>43</v>
      </c>
      <c r="U1567" t="s">
        <v>43</v>
      </c>
      <c r="V1567" t="s">
        <v>43</v>
      </c>
      <c r="W1567" t="s">
        <v>43</v>
      </c>
      <c r="X1567" t="s">
        <v>43</v>
      </c>
      <c r="Y1567" t="s">
        <v>43</v>
      </c>
      <c r="Z1567" t="s">
        <v>43</v>
      </c>
      <c r="AA1567" t="s">
        <v>43</v>
      </c>
      <c r="AB1567" t="s">
        <v>43</v>
      </c>
      <c r="AC1567" t="s">
        <v>43</v>
      </c>
      <c r="AD1567" t="s">
        <v>43</v>
      </c>
      <c r="AE1567" t="s">
        <v>43</v>
      </c>
      <c r="AF1567" t="s">
        <v>43</v>
      </c>
      <c r="AG1567" t="s">
        <v>43</v>
      </c>
      <c r="AH1567" t="s">
        <v>43</v>
      </c>
      <c r="AI1567" t="s">
        <v>43</v>
      </c>
      <c r="AJ1567" t="s">
        <v>43</v>
      </c>
      <c r="AK1567" t="s">
        <v>43</v>
      </c>
      <c r="AL1567" t="s">
        <v>43</v>
      </c>
      <c r="AM1567" t="s">
        <v>43</v>
      </c>
      <c r="AN1567" t="str">
        <f>HYPERLINK("https://www.google.com/maps?q=11.05587196,79.06415558","Open Location")</f>
        <v>Open Location</v>
      </c>
    </row>
    <row r="1568" spans="1:40" x14ac:dyDescent="0.3">
      <c r="A1568" s="1">
        <v>46210.818287037036</v>
      </c>
      <c r="B1568" t="s">
        <v>40</v>
      </c>
      <c r="C1568" t="s">
        <v>41</v>
      </c>
      <c r="D1568" s="1">
        <v>46210.821331018517</v>
      </c>
      <c r="E1568" t="s">
        <v>42</v>
      </c>
      <c r="F1568" t="s">
        <v>43</v>
      </c>
      <c r="G1568" t="s">
        <v>43</v>
      </c>
      <c r="H1568" t="s">
        <v>43</v>
      </c>
      <c r="I1568" t="s">
        <v>760</v>
      </c>
      <c r="J1568" t="s">
        <v>43</v>
      </c>
      <c r="K1568" t="s">
        <v>43</v>
      </c>
      <c r="L1568" t="s">
        <v>43</v>
      </c>
      <c r="M1568" t="s">
        <v>43</v>
      </c>
      <c r="N1568" t="s">
        <v>45</v>
      </c>
      <c r="O1568" t="s">
        <v>43</v>
      </c>
      <c r="P1568" t="s">
        <v>43</v>
      </c>
      <c r="Q1568" t="s">
        <v>43</v>
      </c>
      <c r="R1568" t="s">
        <v>43</v>
      </c>
      <c r="S1568" t="s">
        <v>43</v>
      </c>
      <c r="T1568" t="s">
        <v>43</v>
      </c>
      <c r="U1568" t="s">
        <v>43</v>
      </c>
      <c r="V1568" t="s">
        <v>43</v>
      </c>
      <c r="W1568" t="s">
        <v>43</v>
      </c>
      <c r="X1568" t="s">
        <v>43</v>
      </c>
      <c r="Y1568" t="s">
        <v>43</v>
      </c>
      <c r="Z1568" t="s">
        <v>43</v>
      </c>
      <c r="AA1568" t="s">
        <v>43</v>
      </c>
      <c r="AB1568" t="s">
        <v>43</v>
      </c>
      <c r="AC1568" t="s">
        <v>43</v>
      </c>
      <c r="AD1568" t="s">
        <v>43</v>
      </c>
      <c r="AE1568" t="s">
        <v>43</v>
      </c>
      <c r="AF1568" t="s">
        <v>43</v>
      </c>
      <c r="AG1568" t="s">
        <v>43</v>
      </c>
      <c r="AH1568" t="s">
        <v>43</v>
      </c>
      <c r="AI1568" t="s">
        <v>43</v>
      </c>
      <c r="AJ1568" t="s">
        <v>43</v>
      </c>
      <c r="AK1568" t="s">
        <v>43</v>
      </c>
      <c r="AL1568" t="s">
        <v>43</v>
      </c>
      <c r="AM1568" t="s">
        <v>43</v>
      </c>
      <c r="AN1568" t="str">
        <f>HYPERLINK("https://www.google.com/maps?q=11.05587006,79.06415558","Open Location")</f>
        <v>Open Location</v>
      </c>
    </row>
    <row r="1569" spans="1:40" x14ac:dyDescent="0.3">
      <c r="A1569" s="1">
        <v>46210.818171296298</v>
      </c>
      <c r="B1569" t="s">
        <v>40</v>
      </c>
      <c r="C1569" t="s">
        <v>41</v>
      </c>
      <c r="D1569" s="1">
        <v>46210.820914351854</v>
      </c>
      <c r="E1569" t="s">
        <v>42</v>
      </c>
      <c r="F1569" t="s">
        <v>43</v>
      </c>
      <c r="G1569" t="s">
        <v>43</v>
      </c>
      <c r="H1569" t="s">
        <v>43</v>
      </c>
      <c r="I1569" t="s">
        <v>646</v>
      </c>
      <c r="J1569" t="s">
        <v>43</v>
      </c>
      <c r="K1569" t="s">
        <v>43</v>
      </c>
      <c r="L1569" t="s">
        <v>43</v>
      </c>
      <c r="M1569" t="s">
        <v>43</v>
      </c>
      <c r="N1569" t="s">
        <v>45</v>
      </c>
      <c r="O1569" t="s">
        <v>43</v>
      </c>
      <c r="P1569" t="s">
        <v>43</v>
      </c>
      <c r="Q1569" t="s">
        <v>43</v>
      </c>
      <c r="R1569" t="s">
        <v>43</v>
      </c>
      <c r="S1569" t="s">
        <v>43</v>
      </c>
      <c r="T1569" t="s">
        <v>43</v>
      </c>
      <c r="U1569" t="s">
        <v>43</v>
      </c>
      <c r="V1569" t="s">
        <v>43</v>
      </c>
      <c r="W1569" t="s">
        <v>43</v>
      </c>
      <c r="X1569" t="s">
        <v>43</v>
      </c>
      <c r="Y1569" t="s">
        <v>43</v>
      </c>
      <c r="Z1569" t="s">
        <v>43</v>
      </c>
      <c r="AA1569" t="s">
        <v>43</v>
      </c>
      <c r="AB1569" t="s">
        <v>43</v>
      </c>
      <c r="AC1569" t="s">
        <v>43</v>
      </c>
      <c r="AD1569" t="s">
        <v>43</v>
      </c>
      <c r="AE1569" t="s">
        <v>43</v>
      </c>
      <c r="AF1569" t="s">
        <v>43</v>
      </c>
      <c r="AG1569" t="s">
        <v>43</v>
      </c>
      <c r="AH1569" t="s">
        <v>43</v>
      </c>
      <c r="AI1569" t="s">
        <v>43</v>
      </c>
      <c r="AJ1569" t="s">
        <v>43</v>
      </c>
      <c r="AK1569" t="s">
        <v>43</v>
      </c>
      <c r="AL1569" t="s">
        <v>43</v>
      </c>
      <c r="AM1569" t="s">
        <v>43</v>
      </c>
      <c r="AN1569" t="str">
        <f>HYPERLINK("https://www.google.com/maps?q=11.05587292,79.06415558","Open Location")</f>
        <v>Open Location</v>
      </c>
    </row>
    <row r="1570" spans="1:40" x14ac:dyDescent="0.3">
      <c r="A1570" s="1">
        <v>46210.818055555559</v>
      </c>
      <c r="B1570" t="s">
        <v>40</v>
      </c>
      <c r="C1570" t="s">
        <v>41</v>
      </c>
      <c r="D1570" s="1">
        <v>46210.820914351854</v>
      </c>
      <c r="E1570" t="s">
        <v>42</v>
      </c>
      <c r="F1570" t="s">
        <v>43</v>
      </c>
      <c r="G1570" t="s">
        <v>43</v>
      </c>
      <c r="H1570" t="s">
        <v>43</v>
      </c>
      <c r="I1570" t="s">
        <v>760</v>
      </c>
      <c r="J1570" t="s">
        <v>43</v>
      </c>
      <c r="K1570" t="s">
        <v>43</v>
      </c>
      <c r="L1570" t="s">
        <v>43</v>
      </c>
      <c r="M1570" t="s">
        <v>43</v>
      </c>
      <c r="N1570" t="s">
        <v>45</v>
      </c>
      <c r="O1570" t="s">
        <v>43</v>
      </c>
      <c r="P1570" t="s">
        <v>43</v>
      </c>
      <c r="Q1570" t="s">
        <v>43</v>
      </c>
      <c r="R1570" t="s">
        <v>43</v>
      </c>
      <c r="S1570" t="s">
        <v>43</v>
      </c>
      <c r="T1570" t="s">
        <v>43</v>
      </c>
      <c r="U1570" t="s">
        <v>43</v>
      </c>
      <c r="V1570" t="s">
        <v>43</v>
      </c>
      <c r="W1570" t="s">
        <v>43</v>
      </c>
      <c r="X1570" t="s">
        <v>43</v>
      </c>
      <c r="Y1570" t="s">
        <v>43</v>
      </c>
      <c r="Z1570" t="s">
        <v>43</v>
      </c>
      <c r="AA1570" t="s">
        <v>43</v>
      </c>
      <c r="AB1570" t="s">
        <v>43</v>
      </c>
      <c r="AC1570" t="s">
        <v>43</v>
      </c>
      <c r="AD1570" t="s">
        <v>43</v>
      </c>
      <c r="AE1570" t="s">
        <v>43</v>
      </c>
      <c r="AF1570" t="s">
        <v>43</v>
      </c>
      <c r="AG1570" t="s">
        <v>43</v>
      </c>
      <c r="AH1570" t="s">
        <v>43</v>
      </c>
      <c r="AI1570" t="s">
        <v>43</v>
      </c>
      <c r="AJ1570" t="s">
        <v>43</v>
      </c>
      <c r="AK1570" t="s">
        <v>43</v>
      </c>
      <c r="AL1570" t="s">
        <v>43</v>
      </c>
      <c r="AM1570" t="s">
        <v>43</v>
      </c>
      <c r="AN1570" t="str">
        <f>HYPERLINK("https://www.google.com/maps?q=11.05587006,79.06415558","Open Location")</f>
        <v>Open Location</v>
      </c>
    </row>
    <row r="1571" spans="1:40" x14ac:dyDescent="0.3">
      <c r="A1571" s="1">
        <v>46210.817939814813</v>
      </c>
      <c r="B1571" t="s">
        <v>40</v>
      </c>
      <c r="C1571" t="s">
        <v>41</v>
      </c>
      <c r="D1571" s="1">
        <v>46210.820798611108</v>
      </c>
      <c r="E1571" t="s">
        <v>42</v>
      </c>
      <c r="F1571" t="s">
        <v>43</v>
      </c>
      <c r="G1571" t="s">
        <v>43</v>
      </c>
      <c r="H1571" t="s">
        <v>43</v>
      </c>
      <c r="I1571" t="s">
        <v>761</v>
      </c>
      <c r="J1571" t="s">
        <v>43</v>
      </c>
      <c r="K1571" t="s">
        <v>43</v>
      </c>
      <c r="L1571" t="s">
        <v>43</v>
      </c>
      <c r="M1571" t="s">
        <v>43</v>
      </c>
      <c r="N1571" t="s">
        <v>45</v>
      </c>
      <c r="O1571" t="s">
        <v>43</v>
      </c>
      <c r="P1571" t="s">
        <v>43</v>
      </c>
      <c r="Q1571" t="s">
        <v>43</v>
      </c>
      <c r="R1571" t="s">
        <v>43</v>
      </c>
      <c r="S1571" t="s">
        <v>43</v>
      </c>
      <c r="T1571" t="s">
        <v>43</v>
      </c>
      <c r="U1571" t="s">
        <v>43</v>
      </c>
      <c r="V1571" t="s">
        <v>43</v>
      </c>
      <c r="W1571" t="s">
        <v>43</v>
      </c>
      <c r="X1571" t="s">
        <v>43</v>
      </c>
      <c r="Y1571" t="s">
        <v>43</v>
      </c>
      <c r="Z1571" t="s">
        <v>43</v>
      </c>
      <c r="AA1571" t="s">
        <v>43</v>
      </c>
      <c r="AB1571" t="s">
        <v>43</v>
      </c>
      <c r="AC1571" t="s">
        <v>43</v>
      </c>
      <c r="AD1571" t="s">
        <v>43</v>
      </c>
      <c r="AE1571" t="s">
        <v>43</v>
      </c>
      <c r="AF1571" t="s">
        <v>43</v>
      </c>
      <c r="AG1571" t="s">
        <v>43</v>
      </c>
      <c r="AH1571" t="s">
        <v>43</v>
      </c>
      <c r="AI1571" t="s">
        <v>43</v>
      </c>
      <c r="AJ1571" t="s">
        <v>43</v>
      </c>
      <c r="AK1571" t="s">
        <v>43</v>
      </c>
      <c r="AL1571" t="s">
        <v>43</v>
      </c>
      <c r="AM1571" t="s">
        <v>43</v>
      </c>
      <c r="AN1571" t="str">
        <f>HYPERLINK("https://www.google.com/maps?q=11.05586815,79.06414032","Open Location")</f>
        <v>Open Location</v>
      </c>
    </row>
    <row r="1572" spans="1:40" x14ac:dyDescent="0.3">
      <c r="A1572" s="1">
        <v>46210.817824074074</v>
      </c>
      <c r="B1572" t="s">
        <v>40</v>
      </c>
      <c r="C1572" t="s">
        <v>41</v>
      </c>
      <c r="D1572" s="1">
        <v>46210.820949074077</v>
      </c>
      <c r="E1572" t="s">
        <v>42</v>
      </c>
      <c r="F1572" t="s">
        <v>43</v>
      </c>
      <c r="G1572" t="s">
        <v>43</v>
      </c>
      <c r="H1572" t="s">
        <v>43</v>
      </c>
      <c r="I1572" t="s">
        <v>43</v>
      </c>
      <c r="J1572" t="s">
        <v>43</v>
      </c>
      <c r="K1572" t="s">
        <v>43</v>
      </c>
      <c r="L1572" t="s">
        <v>43</v>
      </c>
      <c r="M1572" t="s">
        <v>43</v>
      </c>
      <c r="N1572" t="s">
        <v>45</v>
      </c>
      <c r="O1572" t="s">
        <v>43</v>
      </c>
      <c r="P1572" t="s">
        <v>43</v>
      </c>
      <c r="Q1572" t="s">
        <v>43</v>
      </c>
      <c r="R1572" t="s">
        <v>43</v>
      </c>
      <c r="S1572" t="s">
        <v>43</v>
      </c>
      <c r="T1572" t="s">
        <v>43</v>
      </c>
      <c r="U1572" t="s">
        <v>43</v>
      </c>
      <c r="V1572" t="s">
        <v>43</v>
      </c>
      <c r="W1572" t="s">
        <v>43</v>
      </c>
      <c r="X1572" t="s">
        <v>43</v>
      </c>
      <c r="Y1572" t="s">
        <v>43</v>
      </c>
      <c r="Z1572" t="s">
        <v>43</v>
      </c>
      <c r="AA1572" t="s">
        <v>43</v>
      </c>
      <c r="AB1572" t="s">
        <v>43</v>
      </c>
      <c r="AC1572" t="s">
        <v>43</v>
      </c>
      <c r="AD1572" t="s">
        <v>43</v>
      </c>
      <c r="AE1572" t="s">
        <v>43</v>
      </c>
      <c r="AF1572" t="s">
        <v>43</v>
      </c>
      <c r="AG1572" t="s">
        <v>43</v>
      </c>
      <c r="AH1572" t="s">
        <v>43</v>
      </c>
      <c r="AI1572" t="s">
        <v>43</v>
      </c>
      <c r="AJ1572" t="s">
        <v>43</v>
      </c>
      <c r="AK1572" t="s">
        <v>43</v>
      </c>
      <c r="AL1572" t="s">
        <v>43</v>
      </c>
      <c r="AM1572" t="s">
        <v>43</v>
      </c>
      <c r="AN1572" t="s">
        <v>43</v>
      </c>
    </row>
    <row r="1573" spans="1:40" x14ac:dyDescent="0.3">
      <c r="A1573" s="1">
        <v>46210.817708333336</v>
      </c>
      <c r="B1573" t="s">
        <v>40</v>
      </c>
      <c r="C1573" t="s">
        <v>41</v>
      </c>
      <c r="D1573" s="1">
        <v>46210.820520833331</v>
      </c>
      <c r="E1573" t="s">
        <v>42</v>
      </c>
      <c r="F1573" t="s">
        <v>43</v>
      </c>
      <c r="G1573" t="s">
        <v>43</v>
      </c>
      <c r="H1573" t="s">
        <v>43</v>
      </c>
      <c r="I1573" t="s">
        <v>762</v>
      </c>
      <c r="J1573" t="s">
        <v>43</v>
      </c>
      <c r="K1573" t="s">
        <v>43</v>
      </c>
      <c r="L1573" t="s">
        <v>43</v>
      </c>
      <c r="M1573" t="s">
        <v>43</v>
      </c>
      <c r="N1573" t="s">
        <v>45</v>
      </c>
      <c r="O1573" t="s">
        <v>43</v>
      </c>
      <c r="P1573" t="s">
        <v>43</v>
      </c>
      <c r="Q1573" t="s">
        <v>43</v>
      </c>
      <c r="R1573" t="s">
        <v>43</v>
      </c>
      <c r="S1573" t="s">
        <v>43</v>
      </c>
      <c r="T1573" t="s">
        <v>43</v>
      </c>
      <c r="U1573" t="s">
        <v>43</v>
      </c>
      <c r="V1573" t="s">
        <v>43</v>
      </c>
      <c r="W1573" t="s">
        <v>43</v>
      </c>
      <c r="X1573" t="s">
        <v>43</v>
      </c>
      <c r="Y1573" t="s">
        <v>43</v>
      </c>
      <c r="Z1573" t="s">
        <v>43</v>
      </c>
      <c r="AA1573" t="s">
        <v>43</v>
      </c>
      <c r="AB1573" t="s">
        <v>43</v>
      </c>
      <c r="AC1573" t="s">
        <v>43</v>
      </c>
      <c r="AD1573" t="s">
        <v>43</v>
      </c>
      <c r="AE1573" t="s">
        <v>43</v>
      </c>
      <c r="AF1573" t="s">
        <v>43</v>
      </c>
      <c r="AG1573" t="s">
        <v>43</v>
      </c>
      <c r="AH1573" t="s">
        <v>43</v>
      </c>
      <c r="AI1573" t="s">
        <v>43</v>
      </c>
      <c r="AJ1573" t="s">
        <v>43</v>
      </c>
      <c r="AK1573" t="s">
        <v>43</v>
      </c>
      <c r="AL1573" t="s">
        <v>43</v>
      </c>
      <c r="AM1573" t="s">
        <v>43</v>
      </c>
      <c r="AN1573" t="str">
        <f>HYPERLINK("https://www.google.com/maps?q=11.0558691,79.06414032","Open Location")</f>
        <v>Open Location</v>
      </c>
    </row>
    <row r="1574" spans="1:40" x14ac:dyDescent="0.3">
      <c r="A1574" s="1">
        <v>46210.81759259259</v>
      </c>
      <c r="B1574" t="s">
        <v>40</v>
      </c>
      <c r="C1574" t="s">
        <v>41</v>
      </c>
      <c r="D1574" s="1">
        <v>46210.820486111108</v>
      </c>
      <c r="E1574" t="s">
        <v>42</v>
      </c>
      <c r="F1574" t="s">
        <v>43</v>
      </c>
      <c r="G1574" t="s">
        <v>43</v>
      </c>
      <c r="H1574" t="s">
        <v>43</v>
      </c>
      <c r="I1574" t="s">
        <v>695</v>
      </c>
      <c r="J1574" t="s">
        <v>43</v>
      </c>
      <c r="K1574" t="s">
        <v>43</v>
      </c>
      <c r="L1574" t="s">
        <v>43</v>
      </c>
      <c r="M1574" t="s">
        <v>43</v>
      </c>
      <c r="N1574" t="s">
        <v>45</v>
      </c>
      <c r="O1574" t="s">
        <v>43</v>
      </c>
      <c r="P1574" t="s">
        <v>43</v>
      </c>
      <c r="Q1574" t="s">
        <v>43</v>
      </c>
      <c r="R1574" t="s">
        <v>43</v>
      </c>
      <c r="S1574" t="s">
        <v>43</v>
      </c>
      <c r="T1574" t="s">
        <v>43</v>
      </c>
      <c r="U1574" t="s">
        <v>43</v>
      </c>
      <c r="V1574" t="s">
        <v>43</v>
      </c>
      <c r="W1574" t="s">
        <v>43</v>
      </c>
      <c r="X1574" t="s">
        <v>43</v>
      </c>
      <c r="Y1574" t="s">
        <v>43</v>
      </c>
      <c r="Z1574" t="s">
        <v>43</v>
      </c>
      <c r="AA1574" t="s">
        <v>43</v>
      </c>
      <c r="AB1574" t="s">
        <v>43</v>
      </c>
      <c r="AC1574" t="s">
        <v>43</v>
      </c>
      <c r="AD1574" t="s">
        <v>43</v>
      </c>
      <c r="AE1574" t="s">
        <v>43</v>
      </c>
      <c r="AF1574" t="s">
        <v>43</v>
      </c>
      <c r="AG1574" t="s">
        <v>43</v>
      </c>
      <c r="AH1574" t="s">
        <v>43</v>
      </c>
      <c r="AI1574" t="s">
        <v>43</v>
      </c>
      <c r="AJ1574" t="s">
        <v>43</v>
      </c>
      <c r="AK1574" t="s">
        <v>43</v>
      </c>
      <c r="AL1574" t="s">
        <v>43</v>
      </c>
      <c r="AM1574" t="s">
        <v>43</v>
      </c>
      <c r="AN1574" t="str">
        <f>HYPERLINK("https://www.google.com/maps?q=11.05587101,79.06414032","Open Location")</f>
        <v>Open Location</v>
      </c>
    </row>
    <row r="1575" spans="1:40" x14ac:dyDescent="0.3">
      <c r="A1575" s="1">
        <v>46210.817476851851</v>
      </c>
      <c r="B1575" t="s">
        <v>40</v>
      </c>
      <c r="C1575" t="s">
        <v>41</v>
      </c>
      <c r="D1575" s="1">
        <v>46210.820127314815</v>
      </c>
      <c r="E1575" t="s">
        <v>42</v>
      </c>
      <c r="F1575" t="s">
        <v>43</v>
      </c>
      <c r="G1575" t="s">
        <v>43</v>
      </c>
      <c r="H1575" t="s">
        <v>43</v>
      </c>
      <c r="I1575" t="s">
        <v>761</v>
      </c>
      <c r="J1575" t="s">
        <v>43</v>
      </c>
      <c r="K1575" t="s">
        <v>43</v>
      </c>
      <c r="L1575" t="s">
        <v>43</v>
      </c>
      <c r="M1575" t="s">
        <v>43</v>
      </c>
      <c r="N1575" t="s">
        <v>45</v>
      </c>
      <c r="O1575" t="s">
        <v>43</v>
      </c>
      <c r="P1575" t="s">
        <v>43</v>
      </c>
      <c r="Q1575" t="s">
        <v>43</v>
      </c>
      <c r="R1575" t="s">
        <v>43</v>
      </c>
      <c r="S1575" t="s">
        <v>43</v>
      </c>
      <c r="T1575" t="s">
        <v>43</v>
      </c>
      <c r="U1575" t="s">
        <v>43</v>
      </c>
      <c r="V1575" t="s">
        <v>43</v>
      </c>
      <c r="W1575" t="s">
        <v>43</v>
      </c>
      <c r="X1575" t="s">
        <v>43</v>
      </c>
      <c r="Y1575" t="s">
        <v>43</v>
      </c>
      <c r="Z1575" t="s">
        <v>43</v>
      </c>
      <c r="AA1575" t="s">
        <v>43</v>
      </c>
      <c r="AB1575" t="s">
        <v>43</v>
      </c>
      <c r="AC1575" t="s">
        <v>43</v>
      </c>
      <c r="AD1575" t="s">
        <v>43</v>
      </c>
      <c r="AE1575" t="s">
        <v>43</v>
      </c>
      <c r="AF1575" t="s">
        <v>43</v>
      </c>
      <c r="AG1575" t="s">
        <v>43</v>
      </c>
      <c r="AH1575" t="s">
        <v>43</v>
      </c>
      <c r="AI1575" t="s">
        <v>43</v>
      </c>
      <c r="AJ1575" t="s">
        <v>43</v>
      </c>
      <c r="AK1575" t="s">
        <v>43</v>
      </c>
      <c r="AL1575" t="s">
        <v>43</v>
      </c>
      <c r="AM1575" t="s">
        <v>43</v>
      </c>
      <c r="AN1575" t="str">
        <f>HYPERLINK("https://www.google.com/maps?q=11.05586815,79.06414032","Open Location")</f>
        <v>Open Location</v>
      </c>
    </row>
    <row r="1576" spans="1:40" x14ac:dyDescent="0.3">
      <c r="A1576" s="1">
        <v>46210.817361111112</v>
      </c>
      <c r="B1576" t="s">
        <v>40</v>
      </c>
      <c r="C1576" t="s">
        <v>41</v>
      </c>
      <c r="D1576" s="1">
        <v>46210.820150462961</v>
      </c>
      <c r="E1576" t="s">
        <v>42</v>
      </c>
      <c r="F1576" t="s">
        <v>43</v>
      </c>
      <c r="G1576" t="s">
        <v>43</v>
      </c>
      <c r="H1576" t="s">
        <v>43</v>
      </c>
      <c r="I1576" t="s">
        <v>695</v>
      </c>
      <c r="J1576" t="s">
        <v>43</v>
      </c>
      <c r="K1576" t="s">
        <v>43</v>
      </c>
      <c r="L1576" t="s">
        <v>43</v>
      </c>
      <c r="M1576" t="s">
        <v>43</v>
      </c>
      <c r="N1576" t="s">
        <v>45</v>
      </c>
      <c r="O1576" t="s">
        <v>43</v>
      </c>
      <c r="P1576" t="s">
        <v>43</v>
      </c>
      <c r="Q1576" t="s">
        <v>43</v>
      </c>
      <c r="R1576" t="s">
        <v>43</v>
      </c>
      <c r="S1576" t="s">
        <v>43</v>
      </c>
      <c r="T1576" t="s">
        <v>43</v>
      </c>
      <c r="U1576" t="s">
        <v>43</v>
      </c>
      <c r="V1576" t="s">
        <v>43</v>
      </c>
      <c r="W1576" t="s">
        <v>43</v>
      </c>
      <c r="X1576" t="s">
        <v>43</v>
      </c>
      <c r="Y1576" t="s">
        <v>43</v>
      </c>
      <c r="Z1576" t="s">
        <v>43</v>
      </c>
      <c r="AA1576" t="s">
        <v>43</v>
      </c>
      <c r="AB1576" t="s">
        <v>43</v>
      </c>
      <c r="AC1576" t="s">
        <v>43</v>
      </c>
      <c r="AD1576" t="s">
        <v>43</v>
      </c>
      <c r="AE1576" t="s">
        <v>43</v>
      </c>
      <c r="AF1576" t="s">
        <v>43</v>
      </c>
      <c r="AG1576" t="s">
        <v>43</v>
      </c>
      <c r="AH1576" t="s">
        <v>43</v>
      </c>
      <c r="AI1576" t="s">
        <v>43</v>
      </c>
      <c r="AJ1576" t="s">
        <v>43</v>
      </c>
      <c r="AK1576" t="s">
        <v>43</v>
      </c>
      <c r="AL1576" t="s">
        <v>43</v>
      </c>
      <c r="AM1576" t="s">
        <v>43</v>
      </c>
      <c r="AN1576" t="str">
        <f>HYPERLINK("https://www.google.com/maps?q=11.05587101,79.06414032","Open Location")</f>
        <v>Open Location</v>
      </c>
    </row>
    <row r="1577" spans="1:40" x14ac:dyDescent="0.3">
      <c r="A1577" s="1">
        <v>46210.817245370374</v>
      </c>
      <c r="B1577" t="s">
        <v>40</v>
      </c>
      <c r="C1577" t="s">
        <v>41</v>
      </c>
      <c r="D1577" s="1">
        <v>46210.820138888892</v>
      </c>
      <c r="E1577" t="s">
        <v>42</v>
      </c>
      <c r="F1577" t="s">
        <v>43</v>
      </c>
      <c r="G1577" t="s">
        <v>43</v>
      </c>
      <c r="H1577" t="s">
        <v>43</v>
      </c>
      <c r="I1577" t="s">
        <v>43</v>
      </c>
      <c r="J1577" t="s">
        <v>43</v>
      </c>
      <c r="K1577" t="s">
        <v>43</v>
      </c>
      <c r="L1577" t="s">
        <v>43</v>
      </c>
      <c r="M1577" t="s">
        <v>43</v>
      </c>
      <c r="N1577" t="s">
        <v>45</v>
      </c>
      <c r="O1577" t="s">
        <v>43</v>
      </c>
      <c r="P1577" t="s">
        <v>43</v>
      </c>
      <c r="Q1577" t="s">
        <v>43</v>
      </c>
      <c r="R1577" t="s">
        <v>43</v>
      </c>
      <c r="S1577" t="s">
        <v>43</v>
      </c>
      <c r="T1577" t="s">
        <v>43</v>
      </c>
      <c r="U1577" t="s">
        <v>43</v>
      </c>
      <c r="V1577" t="s">
        <v>43</v>
      </c>
      <c r="W1577" t="s">
        <v>43</v>
      </c>
      <c r="X1577" t="s">
        <v>43</v>
      </c>
      <c r="Y1577" t="s">
        <v>43</v>
      </c>
      <c r="Z1577" t="s">
        <v>43</v>
      </c>
      <c r="AA1577" t="s">
        <v>43</v>
      </c>
      <c r="AB1577" t="s">
        <v>43</v>
      </c>
      <c r="AC1577" t="s">
        <v>43</v>
      </c>
      <c r="AD1577" t="s">
        <v>43</v>
      </c>
      <c r="AE1577" t="s">
        <v>43</v>
      </c>
      <c r="AF1577" t="s">
        <v>43</v>
      </c>
      <c r="AG1577" t="s">
        <v>43</v>
      </c>
      <c r="AH1577" t="s">
        <v>43</v>
      </c>
      <c r="AI1577" t="s">
        <v>43</v>
      </c>
      <c r="AJ1577" t="s">
        <v>43</v>
      </c>
      <c r="AK1577" t="s">
        <v>43</v>
      </c>
      <c r="AL1577" t="s">
        <v>43</v>
      </c>
      <c r="AM1577" t="s">
        <v>43</v>
      </c>
      <c r="AN1577" t="s">
        <v>43</v>
      </c>
    </row>
    <row r="1578" spans="1:40" x14ac:dyDescent="0.3">
      <c r="A1578" s="1">
        <v>46210.817129629628</v>
      </c>
      <c r="B1578" t="s">
        <v>40</v>
      </c>
      <c r="C1578" t="s">
        <v>41</v>
      </c>
      <c r="D1578" s="1">
        <v>46210.819895833331</v>
      </c>
      <c r="E1578" t="s">
        <v>42</v>
      </c>
      <c r="F1578" t="s">
        <v>43</v>
      </c>
      <c r="G1578" t="s">
        <v>43</v>
      </c>
      <c r="H1578" t="s">
        <v>43</v>
      </c>
      <c r="I1578" t="s">
        <v>763</v>
      </c>
      <c r="J1578" t="s">
        <v>43</v>
      </c>
      <c r="K1578" t="s">
        <v>43</v>
      </c>
      <c r="L1578" t="s">
        <v>43</v>
      </c>
      <c r="M1578" t="s">
        <v>43</v>
      </c>
      <c r="N1578" t="s">
        <v>45</v>
      </c>
      <c r="O1578" t="s">
        <v>43</v>
      </c>
      <c r="P1578" t="s">
        <v>43</v>
      </c>
      <c r="Q1578" t="s">
        <v>43</v>
      </c>
      <c r="R1578" t="s">
        <v>43</v>
      </c>
      <c r="S1578" t="s">
        <v>43</v>
      </c>
      <c r="T1578" t="s">
        <v>43</v>
      </c>
      <c r="U1578" t="s">
        <v>43</v>
      </c>
      <c r="V1578" t="s">
        <v>43</v>
      </c>
      <c r="W1578" t="s">
        <v>43</v>
      </c>
      <c r="X1578" t="s">
        <v>43</v>
      </c>
      <c r="Y1578" t="s">
        <v>43</v>
      </c>
      <c r="Z1578" t="s">
        <v>43</v>
      </c>
      <c r="AA1578" t="s">
        <v>43</v>
      </c>
      <c r="AB1578" t="s">
        <v>43</v>
      </c>
      <c r="AC1578" t="s">
        <v>43</v>
      </c>
      <c r="AD1578" t="s">
        <v>43</v>
      </c>
      <c r="AE1578" t="s">
        <v>43</v>
      </c>
      <c r="AF1578" t="s">
        <v>43</v>
      </c>
      <c r="AG1578" t="s">
        <v>43</v>
      </c>
      <c r="AH1578" t="s">
        <v>43</v>
      </c>
      <c r="AI1578" t="s">
        <v>43</v>
      </c>
      <c r="AJ1578" t="s">
        <v>43</v>
      </c>
      <c r="AK1578" t="s">
        <v>43</v>
      </c>
      <c r="AL1578" t="s">
        <v>43</v>
      </c>
      <c r="AM1578" t="s">
        <v>43</v>
      </c>
      <c r="AN1578" t="str">
        <f>HYPERLINK("https://www.google.com/maps?q=11.05587101,79.06415558","Open Location")</f>
        <v>Open Location</v>
      </c>
    </row>
    <row r="1579" spans="1:40" x14ac:dyDescent="0.3">
      <c r="A1579" s="1">
        <v>46210.817013888889</v>
      </c>
      <c r="B1579" t="s">
        <v>40</v>
      </c>
      <c r="C1579" t="s">
        <v>41</v>
      </c>
      <c r="D1579" s="1">
        <v>46210.819733796299</v>
      </c>
      <c r="E1579" t="s">
        <v>42</v>
      </c>
      <c r="F1579" t="s">
        <v>43</v>
      </c>
      <c r="G1579" t="s">
        <v>43</v>
      </c>
      <c r="H1579" t="s">
        <v>43</v>
      </c>
      <c r="I1579" t="s">
        <v>764</v>
      </c>
      <c r="J1579" t="s">
        <v>43</v>
      </c>
      <c r="K1579" t="s">
        <v>43</v>
      </c>
      <c r="L1579" t="s">
        <v>43</v>
      </c>
      <c r="M1579" t="s">
        <v>43</v>
      </c>
      <c r="N1579" t="s">
        <v>45</v>
      </c>
      <c r="O1579" t="s">
        <v>43</v>
      </c>
      <c r="P1579" t="s">
        <v>43</v>
      </c>
      <c r="Q1579" t="s">
        <v>43</v>
      </c>
      <c r="R1579" t="s">
        <v>43</v>
      </c>
      <c r="S1579" t="s">
        <v>43</v>
      </c>
      <c r="T1579" t="s">
        <v>43</v>
      </c>
      <c r="U1579" t="s">
        <v>43</v>
      </c>
      <c r="V1579" t="s">
        <v>43</v>
      </c>
      <c r="W1579" t="s">
        <v>43</v>
      </c>
      <c r="X1579" t="s">
        <v>43</v>
      </c>
      <c r="Y1579" t="s">
        <v>43</v>
      </c>
      <c r="Z1579" t="s">
        <v>43</v>
      </c>
      <c r="AA1579" t="s">
        <v>43</v>
      </c>
      <c r="AB1579" t="s">
        <v>43</v>
      </c>
      <c r="AC1579" t="s">
        <v>43</v>
      </c>
      <c r="AD1579" t="s">
        <v>43</v>
      </c>
      <c r="AE1579" t="s">
        <v>43</v>
      </c>
      <c r="AF1579" t="s">
        <v>43</v>
      </c>
      <c r="AG1579" t="s">
        <v>43</v>
      </c>
      <c r="AH1579" t="s">
        <v>43</v>
      </c>
      <c r="AI1579" t="s">
        <v>43</v>
      </c>
      <c r="AJ1579" t="s">
        <v>43</v>
      </c>
      <c r="AK1579" t="s">
        <v>43</v>
      </c>
      <c r="AL1579" t="s">
        <v>43</v>
      </c>
      <c r="AM1579" t="s">
        <v>43</v>
      </c>
      <c r="AN1579" t="str">
        <f>HYPERLINK("https://www.google.com/maps?q=11.05586815,79.06415558","Open Location")</f>
        <v>Open Location</v>
      </c>
    </row>
    <row r="1580" spans="1:40" x14ac:dyDescent="0.3">
      <c r="A1580" s="1">
        <v>46210.81689814815</v>
      </c>
      <c r="B1580" t="s">
        <v>40</v>
      </c>
      <c r="C1580" t="s">
        <v>41</v>
      </c>
      <c r="D1580" s="1">
        <v>46210.819756944446</v>
      </c>
      <c r="E1580" t="s">
        <v>42</v>
      </c>
      <c r="F1580" t="s">
        <v>43</v>
      </c>
      <c r="G1580" t="s">
        <v>43</v>
      </c>
      <c r="H1580" t="s">
        <v>43</v>
      </c>
      <c r="I1580" t="s">
        <v>765</v>
      </c>
      <c r="J1580" t="s">
        <v>43</v>
      </c>
      <c r="K1580" t="s">
        <v>43</v>
      </c>
      <c r="L1580" t="s">
        <v>43</v>
      </c>
      <c r="M1580" t="s">
        <v>43</v>
      </c>
      <c r="N1580" t="s">
        <v>45</v>
      </c>
      <c r="O1580" t="s">
        <v>43</v>
      </c>
      <c r="P1580" t="s">
        <v>43</v>
      </c>
      <c r="Q1580" t="s">
        <v>43</v>
      </c>
      <c r="R1580" t="s">
        <v>43</v>
      </c>
      <c r="S1580" t="s">
        <v>43</v>
      </c>
      <c r="T1580" t="s">
        <v>43</v>
      </c>
      <c r="U1580" t="s">
        <v>43</v>
      </c>
      <c r="V1580" t="s">
        <v>43</v>
      </c>
      <c r="W1580" t="s">
        <v>43</v>
      </c>
      <c r="X1580" t="s">
        <v>43</v>
      </c>
      <c r="Y1580" t="s">
        <v>43</v>
      </c>
      <c r="Z1580" t="s">
        <v>43</v>
      </c>
      <c r="AA1580" t="s">
        <v>43</v>
      </c>
      <c r="AB1580" t="s">
        <v>43</v>
      </c>
      <c r="AC1580" t="s">
        <v>43</v>
      </c>
      <c r="AD1580" t="s">
        <v>43</v>
      </c>
      <c r="AE1580" t="s">
        <v>43</v>
      </c>
      <c r="AF1580" t="s">
        <v>43</v>
      </c>
      <c r="AG1580" t="s">
        <v>43</v>
      </c>
      <c r="AH1580" t="s">
        <v>43</v>
      </c>
      <c r="AI1580" t="s">
        <v>43</v>
      </c>
      <c r="AJ1580" t="s">
        <v>43</v>
      </c>
      <c r="AK1580" t="s">
        <v>43</v>
      </c>
      <c r="AL1580" t="s">
        <v>43</v>
      </c>
      <c r="AM1580" t="s">
        <v>43</v>
      </c>
      <c r="AN1580" t="str">
        <f>HYPERLINK("https://www.google.com/maps?q=11.05587101,79.06416321","Open Location")</f>
        <v>Open Location</v>
      </c>
    </row>
    <row r="1581" spans="1:40" x14ac:dyDescent="0.3">
      <c r="A1581" s="1">
        <v>46210.816782407404</v>
      </c>
      <c r="B1581" t="s">
        <v>40</v>
      </c>
      <c r="C1581" t="s">
        <v>41</v>
      </c>
      <c r="D1581" s="1">
        <v>46210.819467592592</v>
      </c>
      <c r="E1581" t="s">
        <v>42</v>
      </c>
      <c r="F1581" t="s">
        <v>43</v>
      </c>
      <c r="G1581" t="s">
        <v>43</v>
      </c>
      <c r="H1581" t="s">
        <v>43</v>
      </c>
      <c r="I1581" t="s">
        <v>766</v>
      </c>
      <c r="J1581" t="s">
        <v>43</v>
      </c>
      <c r="K1581" t="s">
        <v>43</v>
      </c>
      <c r="L1581" t="s">
        <v>43</v>
      </c>
      <c r="M1581" t="s">
        <v>43</v>
      </c>
      <c r="N1581" t="s">
        <v>45</v>
      </c>
      <c r="O1581" t="s">
        <v>43</v>
      </c>
      <c r="P1581" t="s">
        <v>43</v>
      </c>
      <c r="Q1581" t="s">
        <v>43</v>
      </c>
      <c r="R1581" t="s">
        <v>43</v>
      </c>
      <c r="S1581" t="s">
        <v>43</v>
      </c>
      <c r="T1581" t="s">
        <v>43</v>
      </c>
      <c r="U1581" t="s">
        <v>43</v>
      </c>
      <c r="V1581" t="s">
        <v>43</v>
      </c>
      <c r="W1581" t="s">
        <v>43</v>
      </c>
      <c r="X1581" t="s">
        <v>43</v>
      </c>
      <c r="Y1581" t="s">
        <v>43</v>
      </c>
      <c r="Z1581" t="s">
        <v>43</v>
      </c>
      <c r="AA1581" t="s">
        <v>43</v>
      </c>
      <c r="AB1581" t="s">
        <v>43</v>
      </c>
      <c r="AC1581" t="s">
        <v>43</v>
      </c>
      <c r="AD1581" t="s">
        <v>43</v>
      </c>
      <c r="AE1581" t="s">
        <v>43</v>
      </c>
      <c r="AF1581" t="s">
        <v>43</v>
      </c>
      <c r="AG1581" t="s">
        <v>43</v>
      </c>
      <c r="AH1581" t="s">
        <v>43</v>
      </c>
      <c r="AI1581" t="s">
        <v>43</v>
      </c>
      <c r="AJ1581" t="s">
        <v>43</v>
      </c>
      <c r="AK1581" t="s">
        <v>43</v>
      </c>
      <c r="AL1581" t="s">
        <v>43</v>
      </c>
      <c r="AM1581" t="s">
        <v>43</v>
      </c>
      <c r="AN1581" t="str">
        <f>HYPERLINK("https://www.google.com/maps?q=11.05587006,79.06416321","Open Location")</f>
        <v>Open Location</v>
      </c>
    </row>
    <row r="1582" spans="1:40" x14ac:dyDescent="0.3">
      <c r="A1582" s="1">
        <v>46210.816666666666</v>
      </c>
      <c r="B1582" t="s">
        <v>40</v>
      </c>
      <c r="C1582" t="s">
        <v>41</v>
      </c>
      <c r="D1582" s="1">
        <v>46210.819907407407</v>
      </c>
      <c r="E1582" t="s">
        <v>42</v>
      </c>
      <c r="F1582" t="s">
        <v>43</v>
      </c>
      <c r="G1582" t="s">
        <v>43</v>
      </c>
      <c r="H1582" t="s">
        <v>43</v>
      </c>
      <c r="I1582" t="s">
        <v>764</v>
      </c>
      <c r="J1582" t="s">
        <v>43</v>
      </c>
      <c r="K1582" t="s">
        <v>43</v>
      </c>
      <c r="L1582" t="s">
        <v>43</v>
      </c>
      <c r="M1582" t="s">
        <v>43</v>
      </c>
      <c r="N1582" t="s">
        <v>45</v>
      </c>
      <c r="O1582" t="s">
        <v>43</v>
      </c>
      <c r="P1582" t="s">
        <v>43</v>
      </c>
      <c r="Q1582" t="s">
        <v>43</v>
      </c>
      <c r="R1582" t="s">
        <v>43</v>
      </c>
      <c r="S1582" t="s">
        <v>43</v>
      </c>
      <c r="T1582" t="s">
        <v>43</v>
      </c>
      <c r="U1582" t="s">
        <v>43</v>
      </c>
      <c r="V1582" t="s">
        <v>43</v>
      </c>
      <c r="W1582" t="s">
        <v>43</v>
      </c>
      <c r="X1582" t="s">
        <v>43</v>
      </c>
      <c r="Y1582" t="s">
        <v>43</v>
      </c>
      <c r="Z1582" t="s">
        <v>43</v>
      </c>
      <c r="AA1582" t="s">
        <v>43</v>
      </c>
      <c r="AB1582" t="s">
        <v>43</v>
      </c>
      <c r="AC1582" t="s">
        <v>43</v>
      </c>
      <c r="AD1582" t="s">
        <v>43</v>
      </c>
      <c r="AE1582" t="s">
        <v>43</v>
      </c>
      <c r="AF1582" t="s">
        <v>43</v>
      </c>
      <c r="AG1582" t="s">
        <v>43</v>
      </c>
      <c r="AH1582" t="s">
        <v>43</v>
      </c>
      <c r="AI1582" t="s">
        <v>43</v>
      </c>
      <c r="AJ1582" t="s">
        <v>43</v>
      </c>
      <c r="AK1582" t="s">
        <v>43</v>
      </c>
      <c r="AL1582" t="s">
        <v>43</v>
      </c>
      <c r="AM1582" t="s">
        <v>43</v>
      </c>
      <c r="AN1582" t="str">
        <f>HYPERLINK("https://www.google.com/maps?q=11.05586815,79.06415558","Open Location")</f>
        <v>Open Location</v>
      </c>
    </row>
    <row r="1583" spans="1:40" x14ac:dyDescent="0.3">
      <c r="A1583" s="1">
        <v>46210.816550925927</v>
      </c>
      <c r="B1583" t="s">
        <v>40</v>
      </c>
      <c r="C1583" t="s">
        <v>41</v>
      </c>
      <c r="D1583" s="1">
        <v>46210.819409722222</v>
      </c>
      <c r="E1583" t="s">
        <v>42</v>
      </c>
      <c r="F1583" t="s">
        <v>43</v>
      </c>
      <c r="G1583" t="s">
        <v>43</v>
      </c>
      <c r="H1583" t="s">
        <v>43</v>
      </c>
      <c r="I1583" t="s">
        <v>43</v>
      </c>
      <c r="J1583" t="s">
        <v>43</v>
      </c>
      <c r="K1583" t="s">
        <v>43</v>
      </c>
      <c r="L1583" t="s">
        <v>43</v>
      </c>
      <c r="M1583" t="s">
        <v>43</v>
      </c>
      <c r="N1583" t="s">
        <v>45</v>
      </c>
      <c r="O1583" t="s">
        <v>43</v>
      </c>
      <c r="P1583" t="s">
        <v>43</v>
      </c>
      <c r="Q1583" t="s">
        <v>43</v>
      </c>
      <c r="R1583" t="s">
        <v>43</v>
      </c>
      <c r="S1583" t="s">
        <v>43</v>
      </c>
      <c r="T1583" t="s">
        <v>43</v>
      </c>
      <c r="U1583" t="s">
        <v>43</v>
      </c>
      <c r="V1583" t="s">
        <v>43</v>
      </c>
      <c r="W1583" t="s">
        <v>43</v>
      </c>
      <c r="X1583" t="s">
        <v>43</v>
      </c>
      <c r="Y1583" t="s">
        <v>43</v>
      </c>
      <c r="Z1583" t="s">
        <v>43</v>
      </c>
      <c r="AA1583" t="s">
        <v>43</v>
      </c>
      <c r="AB1583" t="s">
        <v>43</v>
      </c>
      <c r="AC1583" t="s">
        <v>43</v>
      </c>
      <c r="AD1583" t="s">
        <v>43</v>
      </c>
      <c r="AE1583" t="s">
        <v>43</v>
      </c>
      <c r="AF1583" t="s">
        <v>43</v>
      </c>
      <c r="AG1583" t="s">
        <v>43</v>
      </c>
      <c r="AH1583" t="s">
        <v>43</v>
      </c>
      <c r="AI1583" t="s">
        <v>43</v>
      </c>
      <c r="AJ1583" t="s">
        <v>43</v>
      </c>
      <c r="AK1583" t="s">
        <v>43</v>
      </c>
      <c r="AL1583" t="s">
        <v>43</v>
      </c>
      <c r="AM1583" t="s">
        <v>43</v>
      </c>
      <c r="AN1583" t="s">
        <v>43</v>
      </c>
    </row>
    <row r="1584" spans="1:40" x14ac:dyDescent="0.3">
      <c r="A1584" s="1">
        <v>46210.816435185188</v>
      </c>
      <c r="B1584" t="s">
        <v>40</v>
      </c>
      <c r="C1584" t="s">
        <v>41</v>
      </c>
      <c r="D1584" s="1">
        <v>46210.819409722222</v>
      </c>
      <c r="E1584" t="s">
        <v>42</v>
      </c>
      <c r="F1584" t="s">
        <v>43</v>
      </c>
      <c r="G1584" t="s">
        <v>43</v>
      </c>
      <c r="H1584" t="s">
        <v>43</v>
      </c>
      <c r="I1584" t="s">
        <v>761</v>
      </c>
      <c r="J1584" t="s">
        <v>43</v>
      </c>
      <c r="K1584" t="s">
        <v>43</v>
      </c>
      <c r="L1584" t="s">
        <v>43</v>
      </c>
      <c r="M1584" t="s">
        <v>43</v>
      </c>
      <c r="N1584" t="s">
        <v>45</v>
      </c>
      <c r="O1584" t="s">
        <v>43</v>
      </c>
      <c r="P1584" t="s">
        <v>43</v>
      </c>
      <c r="Q1584" t="s">
        <v>43</v>
      </c>
      <c r="R1584" t="s">
        <v>43</v>
      </c>
      <c r="S1584" t="s">
        <v>43</v>
      </c>
      <c r="T1584" t="s">
        <v>43</v>
      </c>
      <c r="U1584" t="s">
        <v>43</v>
      </c>
      <c r="V1584" t="s">
        <v>43</v>
      </c>
      <c r="W1584" t="s">
        <v>43</v>
      </c>
      <c r="X1584" t="s">
        <v>43</v>
      </c>
      <c r="Y1584" t="s">
        <v>43</v>
      </c>
      <c r="Z1584" t="s">
        <v>43</v>
      </c>
      <c r="AA1584" t="s">
        <v>43</v>
      </c>
      <c r="AB1584" t="s">
        <v>43</v>
      </c>
      <c r="AC1584" t="s">
        <v>43</v>
      </c>
      <c r="AD1584" t="s">
        <v>43</v>
      </c>
      <c r="AE1584" t="s">
        <v>43</v>
      </c>
      <c r="AF1584" t="s">
        <v>43</v>
      </c>
      <c r="AG1584" t="s">
        <v>43</v>
      </c>
      <c r="AH1584" t="s">
        <v>43</v>
      </c>
      <c r="AI1584" t="s">
        <v>43</v>
      </c>
      <c r="AJ1584" t="s">
        <v>43</v>
      </c>
      <c r="AK1584" t="s">
        <v>43</v>
      </c>
      <c r="AL1584" t="s">
        <v>43</v>
      </c>
      <c r="AM1584" t="s">
        <v>43</v>
      </c>
      <c r="AN1584" t="str">
        <f>HYPERLINK("https://www.google.com/maps?q=11.05586815,79.06414032","Open Location")</f>
        <v>Open Location</v>
      </c>
    </row>
    <row r="1585" spans="1:40" x14ac:dyDescent="0.3">
      <c r="A1585" s="1">
        <v>46210.816319444442</v>
      </c>
      <c r="B1585" t="s">
        <v>40</v>
      </c>
      <c r="C1585" t="s">
        <v>41</v>
      </c>
      <c r="D1585" s="1">
        <v>46210.819456018522</v>
      </c>
      <c r="E1585" t="s">
        <v>42</v>
      </c>
      <c r="F1585" t="s">
        <v>43</v>
      </c>
      <c r="G1585" t="s">
        <v>43</v>
      </c>
      <c r="H1585" t="s">
        <v>43</v>
      </c>
      <c r="I1585" t="s">
        <v>767</v>
      </c>
      <c r="J1585" t="s">
        <v>43</v>
      </c>
      <c r="K1585" t="s">
        <v>43</v>
      </c>
      <c r="L1585" t="s">
        <v>43</v>
      </c>
      <c r="M1585" t="s">
        <v>43</v>
      </c>
      <c r="N1585" t="s">
        <v>45</v>
      </c>
      <c r="O1585" t="s">
        <v>43</v>
      </c>
      <c r="P1585" t="s">
        <v>43</v>
      </c>
      <c r="Q1585" t="s">
        <v>43</v>
      </c>
      <c r="R1585" t="s">
        <v>43</v>
      </c>
      <c r="S1585" t="s">
        <v>43</v>
      </c>
      <c r="T1585" t="s">
        <v>43</v>
      </c>
      <c r="U1585" t="s">
        <v>43</v>
      </c>
      <c r="V1585" t="s">
        <v>43</v>
      </c>
      <c r="W1585" t="s">
        <v>43</v>
      </c>
      <c r="X1585" t="s">
        <v>43</v>
      </c>
      <c r="Y1585" t="s">
        <v>43</v>
      </c>
      <c r="Z1585" t="s">
        <v>43</v>
      </c>
      <c r="AA1585" t="s">
        <v>43</v>
      </c>
      <c r="AB1585" t="s">
        <v>43</v>
      </c>
      <c r="AC1585" t="s">
        <v>43</v>
      </c>
      <c r="AD1585" t="s">
        <v>43</v>
      </c>
      <c r="AE1585" t="s">
        <v>43</v>
      </c>
      <c r="AF1585" t="s">
        <v>43</v>
      </c>
      <c r="AG1585" t="s">
        <v>43</v>
      </c>
      <c r="AH1585" t="s">
        <v>43</v>
      </c>
      <c r="AI1585" t="s">
        <v>43</v>
      </c>
      <c r="AJ1585" t="s">
        <v>43</v>
      </c>
      <c r="AK1585" t="s">
        <v>43</v>
      </c>
      <c r="AL1585" t="s">
        <v>43</v>
      </c>
      <c r="AM1585" t="s">
        <v>43</v>
      </c>
      <c r="AN1585" t="str">
        <f>HYPERLINK("https://www.google.com/maps?q=11.0558691,79.06415558","Open Location")</f>
        <v>Open Location</v>
      </c>
    </row>
    <row r="1586" spans="1:40" x14ac:dyDescent="0.3">
      <c r="A1586" s="1">
        <v>46210.816203703704</v>
      </c>
      <c r="B1586" t="s">
        <v>40</v>
      </c>
      <c r="C1586" t="s">
        <v>41</v>
      </c>
      <c r="D1586" s="1">
        <v>46210.819247685184</v>
      </c>
      <c r="E1586" t="s">
        <v>42</v>
      </c>
      <c r="F1586" t="s">
        <v>43</v>
      </c>
      <c r="G1586" t="s">
        <v>43</v>
      </c>
      <c r="H1586" t="s">
        <v>43</v>
      </c>
      <c r="I1586" t="s">
        <v>761</v>
      </c>
      <c r="J1586" t="s">
        <v>43</v>
      </c>
      <c r="K1586" t="s">
        <v>43</v>
      </c>
      <c r="L1586" t="s">
        <v>43</v>
      </c>
      <c r="M1586" t="s">
        <v>43</v>
      </c>
      <c r="N1586" t="s">
        <v>45</v>
      </c>
      <c r="O1586" t="s">
        <v>43</v>
      </c>
      <c r="P1586" t="s">
        <v>43</v>
      </c>
      <c r="Q1586" t="s">
        <v>43</v>
      </c>
      <c r="R1586" t="s">
        <v>43</v>
      </c>
      <c r="S1586" t="s">
        <v>43</v>
      </c>
      <c r="T1586" t="s">
        <v>43</v>
      </c>
      <c r="U1586" t="s">
        <v>43</v>
      </c>
      <c r="V1586" t="s">
        <v>43</v>
      </c>
      <c r="W1586" t="s">
        <v>43</v>
      </c>
      <c r="X1586" t="s">
        <v>43</v>
      </c>
      <c r="Y1586" t="s">
        <v>43</v>
      </c>
      <c r="Z1586" t="s">
        <v>43</v>
      </c>
      <c r="AA1586" t="s">
        <v>43</v>
      </c>
      <c r="AB1586" t="s">
        <v>43</v>
      </c>
      <c r="AC1586" t="s">
        <v>43</v>
      </c>
      <c r="AD1586" t="s">
        <v>43</v>
      </c>
      <c r="AE1586" t="s">
        <v>43</v>
      </c>
      <c r="AF1586" t="s">
        <v>43</v>
      </c>
      <c r="AG1586" t="s">
        <v>43</v>
      </c>
      <c r="AH1586" t="s">
        <v>43</v>
      </c>
      <c r="AI1586" t="s">
        <v>43</v>
      </c>
      <c r="AJ1586" t="s">
        <v>43</v>
      </c>
      <c r="AK1586" t="s">
        <v>43</v>
      </c>
      <c r="AL1586" t="s">
        <v>43</v>
      </c>
      <c r="AM1586" t="s">
        <v>43</v>
      </c>
      <c r="AN1586" t="str">
        <f>HYPERLINK("https://www.google.com/maps?q=11.05586815,79.06414032","Open Location")</f>
        <v>Open Location</v>
      </c>
    </row>
    <row r="1587" spans="1:40" x14ac:dyDescent="0.3">
      <c r="A1587" s="1">
        <v>46210.816087962965</v>
      </c>
      <c r="B1587" t="s">
        <v>40</v>
      </c>
      <c r="C1587" t="s">
        <v>41</v>
      </c>
      <c r="D1587" s="1">
        <v>46210.818807870368</v>
      </c>
      <c r="E1587" t="s">
        <v>42</v>
      </c>
      <c r="F1587" t="s">
        <v>43</v>
      </c>
      <c r="G1587" t="s">
        <v>43</v>
      </c>
      <c r="H1587" t="s">
        <v>43</v>
      </c>
      <c r="I1587" t="s">
        <v>762</v>
      </c>
      <c r="J1587" t="s">
        <v>43</v>
      </c>
      <c r="K1587" t="s">
        <v>43</v>
      </c>
      <c r="L1587" t="s">
        <v>43</v>
      </c>
      <c r="M1587" t="s">
        <v>43</v>
      </c>
      <c r="N1587" t="s">
        <v>45</v>
      </c>
      <c r="O1587" t="s">
        <v>43</v>
      </c>
      <c r="P1587" t="s">
        <v>43</v>
      </c>
      <c r="Q1587" t="s">
        <v>43</v>
      </c>
      <c r="R1587" t="s">
        <v>43</v>
      </c>
      <c r="S1587" t="s">
        <v>43</v>
      </c>
      <c r="T1587" t="s">
        <v>43</v>
      </c>
      <c r="U1587" t="s">
        <v>43</v>
      </c>
      <c r="V1587" t="s">
        <v>43</v>
      </c>
      <c r="W1587" t="s">
        <v>43</v>
      </c>
      <c r="X1587" t="s">
        <v>43</v>
      </c>
      <c r="Y1587" t="s">
        <v>43</v>
      </c>
      <c r="Z1587" t="s">
        <v>43</v>
      </c>
      <c r="AA1587" t="s">
        <v>43</v>
      </c>
      <c r="AB1587" t="s">
        <v>43</v>
      </c>
      <c r="AC1587" t="s">
        <v>43</v>
      </c>
      <c r="AD1587" t="s">
        <v>43</v>
      </c>
      <c r="AE1587" t="s">
        <v>43</v>
      </c>
      <c r="AF1587" t="s">
        <v>43</v>
      </c>
      <c r="AG1587" t="s">
        <v>43</v>
      </c>
      <c r="AH1587" t="s">
        <v>43</v>
      </c>
      <c r="AI1587" t="s">
        <v>43</v>
      </c>
      <c r="AJ1587" t="s">
        <v>43</v>
      </c>
      <c r="AK1587" t="s">
        <v>43</v>
      </c>
      <c r="AL1587" t="s">
        <v>43</v>
      </c>
      <c r="AM1587" t="s">
        <v>43</v>
      </c>
      <c r="AN1587" t="str">
        <f>HYPERLINK("https://www.google.com/maps?q=11.0558691,79.06414032","Open Location")</f>
        <v>Open Location</v>
      </c>
    </row>
    <row r="1588" spans="1:40" x14ac:dyDescent="0.3">
      <c r="A1588" s="1">
        <v>46210.815972222219</v>
      </c>
      <c r="B1588" t="s">
        <v>40</v>
      </c>
      <c r="C1588" t="s">
        <v>41</v>
      </c>
      <c r="D1588" s="1">
        <v>46210.818761574075</v>
      </c>
      <c r="E1588" t="s">
        <v>42</v>
      </c>
      <c r="F1588" t="s">
        <v>43</v>
      </c>
      <c r="G1588" t="s">
        <v>43</v>
      </c>
      <c r="H1588" t="s">
        <v>43</v>
      </c>
      <c r="I1588" t="s">
        <v>644</v>
      </c>
      <c r="J1588" t="s">
        <v>43</v>
      </c>
      <c r="K1588" t="s">
        <v>43</v>
      </c>
      <c r="L1588" t="s">
        <v>43</v>
      </c>
      <c r="M1588" t="s">
        <v>43</v>
      </c>
      <c r="N1588" t="s">
        <v>45</v>
      </c>
      <c r="O1588" t="s">
        <v>43</v>
      </c>
      <c r="P1588" t="s">
        <v>43</v>
      </c>
      <c r="Q1588" t="s">
        <v>43</v>
      </c>
      <c r="R1588" t="s">
        <v>43</v>
      </c>
      <c r="S1588" t="s">
        <v>43</v>
      </c>
      <c r="T1588" t="s">
        <v>43</v>
      </c>
      <c r="U1588" t="s">
        <v>43</v>
      </c>
      <c r="V1588" t="s">
        <v>43</v>
      </c>
      <c r="W1588" t="s">
        <v>43</v>
      </c>
      <c r="X1588" t="s">
        <v>43</v>
      </c>
      <c r="Y1588" t="s">
        <v>43</v>
      </c>
      <c r="Z1588" t="s">
        <v>43</v>
      </c>
      <c r="AA1588" t="s">
        <v>43</v>
      </c>
      <c r="AB1588" t="s">
        <v>43</v>
      </c>
      <c r="AC1588" t="s">
        <v>43</v>
      </c>
      <c r="AD1588" t="s">
        <v>43</v>
      </c>
      <c r="AE1588" t="s">
        <v>43</v>
      </c>
      <c r="AF1588" t="s">
        <v>43</v>
      </c>
      <c r="AG1588" t="s">
        <v>43</v>
      </c>
      <c r="AH1588" t="s">
        <v>43</v>
      </c>
      <c r="AI1588" t="s">
        <v>43</v>
      </c>
      <c r="AJ1588" t="s">
        <v>43</v>
      </c>
      <c r="AK1588" t="s">
        <v>43</v>
      </c>
      <c r="AL1588" t="s">
        <v>43</v>
      </c>
      <c r="AM1588" t="s">
        <v>43</v>
      </c>
      <c r="AN1588" t="str">
        <f>HYPERLINK("https://www.google.com/maps?q=11.0558672,79.06414032","Open Location")</f>
        <v>Open Location</v>
      </c>
    </row>
    <row r="1589" spans="1:40" x14ac:dyDescent="0.3">
      <c r="A1589" s="1">
        <v>46210.81585648148</v>
      </c>
      <c r="B1589" t="s">
        <v>40</v>
      </c>
      <c r="C1589" t="s">
        <v>41</v>
      </c>
      <c r="D1589" s="1">
        <v>46210.818807870368</v>
      </c>
      <c r="E1589" t="s">
        <v>42</v>
      </c>
      <c r="F1589" t="s">
        <v>43</v>
      </c>
      <c r="G1589" t="s">
        <v>43</v>
      </c>
      <c r="H1589" t="s">
        <v>43</v>
      </c>
      <c r="I1589" t="s">
        <v>43</v>
      </c>
      <c r="J1589" t="s">
        <v>43</v>
      </c>
      <c r="K1589" t="s">
        <v>43</v>
      </c>
      <c r="L1589" t="s">
        <v>43</v>
      </c>
      <c r="M1589" t="s">
        <v>43</v>
      </c>
      <c r="N1589" t="s">
        <v>45</v>
      </c>
      <c r="O1589" t="s">
        <v>43</v>
      </c>
      <c r="P1589" t="s">
        <v>43</v>
      </c>
      <c r="Q1589" t="s">
        <v>43</v>
      </c>
      <c r="R1589" t="s">
        <v>43</v>
      </c>
      <c r="S1589" t="s">
        <v>43</v>
      </c>
      <c r="T1589" t="s">
        <v>43</v>
      </c>
      <c r="U1589" t="s">
        <v>43</v>
      </c>
      <c r="V1589" t="s">
        <v>43</v>
      </c>
      <c r="W1589" t="s">
        <v>43</v>
      </c>
      <c r="X1589" t="s">
        <v>43</v>
      </c>
      <c r="Y1589" t="s">
        <v>43</v>
      </c>
      <c r="Z1589" t="s">
        <v>43</v>
      </c>
      <c r="AA1589" t="s">
        <v>43</v>
      </c>
      <c r="AB1589" t="s">
        <v>43</v>
      </c>
      <c r="AC1589" t="s">
        <v>43</v>
      </c>
      <c r="AD1589" t="s">
        <v>43</v>
      </c>
      <c r="AE1589" t="s">
        <v>43</v>
      </c>
      <c r="AF1589" t="s">
        <v>43</v>
      </c>
      <c r="AG1589" t="s">
        <v>43</v>
      </c>
      <c r="AH1589" t="s">
        <v>43</v>
      </c>
      <c r="AI1589" t="s">
        <v>43</v>
      </c>
      <c r="AJ1589" t="s">
        <v>43</v>
      </c>
      <c r="AK1589" t="s">
        <v>43</v>
      </c>
      <c r="AL1589" t="s">
        <v>43</v>
      </c>
      <c r="AM1589" t="s">
        <v>43</v>
      </c>
      <c r="AN1589" t="s">
        <v>43</v>
      </c>
    </row>
    <row r="1590" spans="1:40" x14ac:dyDescent="0.3">
      <c r="A1590" s="1">
        <v>46210.815740740742</v>
      </c>
      <c r="B1590" t="s">
        <v>40</v>
      </c>
      <c r="C1590" t="s">
        <v>41</v>
      </c>
      <c r="D1590" s="1">
        <v>46210.818888888891</v>
      </c>
      <c r="E1590" t="s">
        <v>42</v>
      </c>
      <c r="F1590" t="s">
        <v>43</v>
      </c>
      <c r="G1590" t="s">
        <v>43</v>
      </c>
      <c r="H1590" t="s">
        <v>43</v>
      </c>
      <c r="I1590" t="s">
        <v>644</v>
      </c>
      <c r="J1590" t="s">
        <v>43</v>
      </c>
      <c r="K1590" t="s">
        <v>43</v>
      </c>
      <c r="L1590" t="s">
        <v>43</v>
      </c>
      <c r="M1590" t="s">
        <v>43</v>
      </c>
      <c r="N1590" t="s">
        <v>45</v>
      </c>
      <c r="O1590" t="s">
        <v>43</v>
      </c>
      <c r="P1590" t="s">
        <v>43</v>
      </c>
      <c r="Q1590" t="s">
        <v>43</v>
      </c>
      <c r="R1590" t="s">
        <v>43</v>
      </c>
      <c r="S1590" t="s">
        <v>43</v>
      </c>
      <c r="T1590" t="s">
        <v>43</v>
      </c>
      <c r="U1590" t="s">
        <v>43</v>
      </c>
      <c r="V1590" t="s">
        <v>43</v>
      </c>
      <c r="W1590" t="s">
        <v>43</v>
      </c>
      <c r="X1590" t="s">
        <v>43</v>
      </c>
      <c r="Y1590" t="s">
        <v>43</v>
      </c>
      <c r="Z1590" t="s">
        <v>43</v>
      </c>
      <c r="AA1590" t="s">
        <v>43</v>
      </c>
      <c r="AB1590" t="s">
        <v>43</v>
      </c>
      <c r="AC1590" t="s">
        <v>43</v>
      </c>
      <c r="AD1590" t="s">
        <v>43</v>
      </c>
      <c r="AE1590" t="s">
        <v>43</v>
      </c>
      <c r="AF1590" t="s">
        <v>43</v>
      </c>
      <c r="AG1590" t="s">
        <v>43</v>
      </c>
      <c r="AH1590" t="s">
        <v>43</v>
      </c>
      <c r="AI1590" t="s">
        <v>43</v>
      </c>
      <c r="AJ1590" t="s">
        <v>43</v>
      </c>
      <c r="AK1590" t="s">
        <v>43</v>
      </c>
      <c r="AL1590" t="s">
        <v>43</v>
      </c>
      <c r="AM1590" t="s">
        <v>43</v>
      </c>
      <c r="AN1590" t="str">
        <f>HYPERLINK("https://www.google.com/maps?q=11.0558672,79.06414032","Open Location")</f>
        <v>Open Location</v>
      </c>
    </row>
    <row r="1591" spans="1:40" x14ac:dyDescent="0.3">
      <c r="A1591" s="1">
        <v>46210.815625000003</v>
      </c>
      <c r="B1591" t="s">
        <v>40</v>
      </c>
      <c r="C1591" t="s">
        <v>41</v>
      </c>
      <c r="D1591" s="1">
        <v>46210.81832175926</v>
      </c>
      <c r="E1591" t="s">
        <v>42</v>
      </c>
      <c r="F1591" t="s">
        <v>43</v>
      </c>
      <c r="G1591" t="s">
        <v>43</v>
      </c>
      <c r="H1591" t="s">
        <v>43</v>
      </c>
      <c r="I1591" t="s">
        <v>634</v>
      </c>
      <c r="J1591" t="s">
        <v>43</v>
      </c>
      <c r="K1591" t="s">
        <v>43</v>
      </c>
      <c r="L1591" t="s">
        <v>43</v>
      </c>
      <c r="M1591" t="s">
        <v>43</v>
      </c>
      <c r="N1591" t="s">
        <v>45</v>
      </c>
      <c r="O1591" t="s">
        <v>43</v>
      </c>
      <c r="P1591" t="s">
        <v>43</v>
      </c>
      <c r="Q1591" t="s">
        <v>43</v>
      </c>
      <c r="R1591" t="s">
        <v>43</v>
      </c>
      <c r="S1591" t="s">
        <v>43</v>
      </c>
      <c r="T1591" t="s">
        <v>43</v>
      </c>
      <c r="U1591" t="s">
        <v>43</v>
      </c>
      <c r="V1591" t="s">
        <v>43</v>
      </c>
      <c r="W1591" t="s">
        <v>43</v>
      </c>
      <c r="X1591" t="s">
        <v>43</v>
      </c>
      <c r="Y1591" t="s">
        <v>43</v>
      </c>
      <c r="Z1591" t="s">
        <v>43</v>
      </c>
      <c r="AA1591" t="s">
        <v>43</v>
      </c>
      <c r="AB1591" t="s">
        <v>43</v>
      </c>
      <c r="AC1591" t="s">
        <v>43</v>
      </c>
      <c r="AD1591" t="s">
        <v>43</v>
      </c>
      <c r="AE1591" t="s">
        <v>43</v>
      </c>
      <c r="AF1591" t="s">
        <v>43</v>
      </c>
      <c r="AG1591" t="s">
        <v>43</v>
      </c>
      <c r="AH1591" t="s">
        <v>43</v>
      </c>
      <c r="AI1591" t="s">
        <v>43</v>
      </c>
      <c r="AJ1591" t="s">
        <v>43</v>
      </c>
      <c r="AK1591" t="s">
        <v>43</v>
      </c>
      <c r="AL1591" t="s">
        <v>43</v>
      </c>
      <c r="AM1591" t="s">
        <v>43</v>
      </c>
      <c r="AN1591" t="str">
        <f>HYPERLINK("https://www.google.com/maps?q=11.05586815,79.06413269","Open Location")</f>
        <v>Open Location</v>
      </c>
    </row>
    <row r="1592" spans="1:40" x14ac:dyDescent="0.3">
      <c r="A1592" s="1">
        <v>46210.815509259257</v>
      </c>
      <c r="B1592" t="s">
        <v>40</v>
      </c>
      <c r="C1592" t="s">
        <v>41</v>
      </c>
      <c r="D1592" s="1">
        <v>46210.818402777775</v>
      </c>
      <c r="E1592" t="s">
        <v>42</v>
      </c>
      <c r="F1592" t="s">
        <v>43</v>
      </c>
      <c r="G1592" t="s">
        <v>43</v>
      </c>
      <c r="H1592" t="s">
        <v>43</v>
      </c>
      <c r="I1592" t="s">
        <v>651</v>
      </c>
      <c r="J1592" t="s">
        <v>43</v>
      </c>
      <c r="K1592" t="s">
        <v>43</v>
      </c>
      <c r="L1592" t="s">
        <v>43</v>
      </c>
      <c r="M1592" t="s">
        <v>43</v>
      </c>
      <c r="N1592" t="s">
        <v>45</v>
      </c>
      <c r="O1592" t="s">
        <v>43</v>
      </c>
      <c r="P1592" t="s">
        <v>43</v>
      </c>
      <c r="Q1592" t="s">
        <v>43</v>
      </c>
      <c r="R1592" t="s">
        <v>43</v>
      </c>
      <c r="S1592" t="s">
        <v>43</v>
      </c>
      <c r="T1592" t="s">
        <v>43</v>
      </c>
      <c r="U1592" t="s">
        <v>43</v>
      </c>
      <c r="V1592" t="s">
        <v>43</v>
      </c>
      <c r="W1592" t="s">
        <v>43</v>
      </c>
      <c r="X1592" t="s">
        <v>43</v>
      </c>
      <c r="Y1592" t="s">
        <v>43</v>
      </c>
      <c r="Z1592" t="s">
        <v>43</v>
      </c>
      <c r="AA1592" t="s">
        <v>43</v>
      </c>
      <c r="AB1592" t="s">
        <v>43</v>
      </c>
      <c r="AC1592" t="s">
        <v>43</v>
      </c>
      <c r="AD1592" t="s">
        <v>43</v>
      </c>
      <c r="AE1592" t="s">
        <v>43</v>
      </c>
      <c r="AF1592" t="s">
        <v>43</v>
      </c>
      <c r="AG1592" t="s">
        <v>43</v>
      </c>
      <c r="AH1592" t="s">
        <v>43</v>
      </c>
      <c r="AI1592" t="s">
        <v>43</v>
      </c>
      <c r="AJ1592" t="s">
        <v>43</v>
      </c>
      <c r="AK1592" t="s">
        <v>43</v>
      </c>
      <c r="AL1592" t="s">
        <v>43</v>
      </c>
      <c r="AM1592" t="s">
        <v>43</v>
      </c>
      <c r="AN1592" t="str">
        <f>HYPERLINK("https://www.google.com/maps?q=11.05587482,79.06413269","Open Location")</f>
        <v>Open Location</v>
      </c>
    </row>
    <row r="1593" spans="1:40" x14ac:dyDescent="0.3">
      <c r="A1593" s="1">
        <v>46210.815393518518</v>
      </c>
      <c r="B1593" t="s">
        <v>40</v>
      </c>
      <c r="C1593" t="s">
        <v>41</v>
      </c>
      <c r="D1593" s="1">
        <v>46210.818414351852</v>
      </c>
      <c r="E1593" t="s">
        <v>42</v>
      </c>
      <c r="F1593" t="s">
        <v>43</v>
      </c>
      <c r="G1593" t="s">
        <v>43</v>
      </c>
      <c r="H1593" t="s">
        <v>43</v>
      </c>
      <c r="I1593" t="s">
        <v>768</v>
      </c>
      <c r="J1593" t="s">
        <v>43</v>
      </c>
      <c r="K1593" t="s">
        <v>43</v>
      </c>
      <c r="L1593" t="s">
        <v>43</v>
      </c>
      <c r="M1593" t="s">
        <v>43</v>
      </c>
      <c r="N1593" t="s">
        <v>45</v>
      </c>
      <c r="O1593" t="s">
        <v>43</v>
      </c>
      <c r="P1593" t="s">
        <v>43</v>
      </c>
      <c r="Q1593" t="s">
        <v>43</v>
      </c>
      <c r="R1593" t="s">
        <v>43</v>
      </c>
      <c r="S1593" t="s">
        <v>43</v>
      </c>
      <c r="T1593" t="s">
        <v>43</v>
      </c>
      <c r="U1593" t="s">
        <v>43</v>
      </c>
      <c r="V1593" t="s">
        <v>43</v>
      </c>
      <c r="W1593" t="s">
        <v>43</v>
      </c>
      <c r="X1593" t="s">
        <v>43</v>
      </c>
      <c r="Y1593" t="s">
        <v>43</v>
      </c>
      <c r="Z1593" t="s">
        <v>43</v>
      </c>
      <c r="AA1593" t="s">
        <v>43</v>
      </c>
      <c r="AB1593" t="s">
        <v>43</v>
      </c>
      <c r="AC1593" t="s">
        <v>43</v>
      </c>
      <c r="AD1593" t="s">
        <v>43</v>
      </c>
      <c r="AE1593" t="s">
        <v>43</v>
      </c>
      <c r="AF1593" t="s">
        <v>43</v>
      </c>
      <c r="AG1593" t="s">
        <v>43</v>
      </c>
      <c r="AH1593" t="s">
        <v>43</v>
      </c>
      <c r="AI1593" t="s">
        <v>43</v>
      </c>
      <c r="AJ1593" t="s">
        <v>43</v>
      </c>
      <c r="AK1593" t="s">
        <v>43</v>
      </c>
      <c r="AL1593" t="s">
        <v>43</v>
      </c>
      <c r="AM1593" t="s">
        <v>43</v>
      </c>
      <c r="AN1593" t="str">
        <f>HYPERLINK("https://www.google.com/maps?q=11.05588055,79.06412506","Open Location")</f>
        <v>Open Location</v>
      </c>
    </row>
    <row r="1594" spans="1:40" x14ac:dyDescent="0.3">
      <c r="A1594" s="1">
        <v>46210.81527777778</v>
      </c>
      <c r="B1594" t="s">
        <v>40</v>
      </c>
      <c r="C1594" t="s">
        <v>41</v>
      </c>
      <c r="D1594" s="1">
        <v>46210.818368055552</v>
      </c>
      <c r="E1594" t="s">
        <v>42</v>
      </c>
      <c r="F1594" t="s">
        <v>43</v>
      </c>
      <c r="G1594" t="s">
        <v>43</v>
      </c>
      <c r="H1594" t="s">
        <v>43</v>
      </c>
      <c r="I1594" t="s">
        <v>43</v>
      </c>
      <c r="J1594" t="s">
        <v>43</v>
      </c>
      <c r="K1594" t="s">
        <v>43</v>
      </c>
      <c r="L1594" t="s">
        <v>43</v>
      </c>
      <c r="M1594" t="s">
        <v>43</v>
      </c>
      <c r="N1594" t="s">
        <v>45</v>
      </c>
      <c r="O1594" t="s">
        <v>43</v>
      </c>
      <c r="P1594" t="s">
        <v>43</v>
      </c>
      <c r="Q1594" t="s">
        <v>43</v>
      </c>
      <c r="R1594" t="s">
        <v>43</v>
      </c>
      <c r="S1594" t="s">
        <v>43</v>
      </c>
      <c r="T1594" t="s">
        <v>43</v>
      </c>
      <c r="U1594" t="s">
        <v>43</v>
      </c>
      <c r="V1594" t="s">
        <v>43</v>
      </c>
      <c r="W1594" t="s">
        <v>43</v>
      </c>
      <c r="X1594" t="s">
        <v>43</v>
      </c>
      <c r="Y1594" t="s">
        <v>43</v>
      </c>
      <c r="Z1594" t="s">
        <v>43</v>
      </c>
      <c r="AA1594" t="s">
        <v>43</v>
      </c>
      <c r="AB1594" t="s">
        <v>43</v>
      </c>
      <c r="AC1594" t="s">
        <v>43</v>
      </c>
      <c r="AD1594" t="s">
        <v>43</v>
      </c>
      <c r="AE1594" t="s">
        <v>43</v>
      </c>
      <c r="AF1594" t="s">
        <v>43</v>
      </c>
      <c r="AG1594" t="s">
        <v>43</v>
      </c>
      <c r="AH1594" t="s">
        <v>43</v>
      </c>
      <c r="AI1594" t="s">
        <v>43</v>
      </c>
      <c r="AJ1594" t="s">
        <v>43</v>
      </c>
      <c r="AK1594" t="s">
        <v>43</v>
      </c>
      <c r="AL1594" t="s">
        <v>43</v>
      </c>
      <c r="AM1594" t="s">
        <v>43</v>
      </c>
      <c r="AN1594" t="s">
        <v>43</v>
      </c>
    </row>
    <row r="1595" spans="1:40" x14ac:dyDescent="0.3">
      <c r="A1595" s="1">
        <v>46210.815162037034</v>
      </c>
      <c r="B1595" t="s">
        <v>40</v>
      </c>
      <c r="C1595" t="s">
        <v>41</v>
      </c>
      <c r="D1595" s="1">
        <v>46210.817812499998</v>
      </c>
      <c r="E1595" t="s">
        <v>42</v>
      </c>
      <c r="F1595" t="s">
        <v>43</v>
      </c>
      <c r="G1595" t="s">
        <v>43</v>
      </c>
      <c r="H1595" t="s">
        <v>43</v>
      </c>
      <c r="I1595" t="s">
        <v>727</v>
      </c>
      <c r="J1595" t="s">
        <v>43</v>
      </c>
      <c r="K1595" t="s">
        <v>43</v>
      </c>
      <c r="L1595" t="s">
        <v>43</v>
      </c>
      <c r="M1595" t="s">
        <v>43</v>
      </c>
      <c r="N1595" t="s">
        <v>45</v>
      </c>
      <c r="O1595" t="s">
        <v>43</v>
      </c>
      <c r="P1595" t="s">
        <v>43</v>
      </c>
      <c r="Q1595" t="s">
        <v>43</v>
      </c>
      <c r="R1595" t="s">
        <v>43</v>
      </c>
      <c r="S1595" t="s">
        <v>43</v>
      </c>
      <c r="T1595" t="s">
        <v>43</v>
      </c>
      <c r="U1595" t="s">
        <v>43</v>
      </c>
      <c r="V1595" t="s">
        <v>43</v>
      </c>
      <c r="W1595" t="s">
        <v>43</v>
      </c>
      <c r="X1595" t="s">
        <v>43</v>
      </c>
      <c r="Y1595" t="s">
        <v>43</v>
      </c>
      <c r="Z1595" t="s">
        <v>43</v>
      </c>
      <c r="AA1595" t="s">
        <v>43</v>
      </c>
      <c r="AB1595" t="s">
        <v>43</v>
      </c>
      <c r="AC1595" t="s">
        <v>43</v>
      </c>
      <c r="AD1595" t="s">
        <v>43</v>
      </c>
      <c r="AE1595" t="s">
        <v>43</v>
      </c>
      <c r="AF1595" t="s">
        <v>43</v>
      </c>
      <c r="AG1595" t="s">
        <v>43</v>
      </c>
      <c r="AH1595" t="s">
        <v>43</v>
      </c>
      <c r="AI1595" t="s">
        <v>43</v>
      </c>
      <c r="AJ1595" t="s">
        <v>43</v>
      </c>
      <c r="AK1595" t="s">
        <v>43</v>
      </c>
      <c r="AL1595" t="s">
        <v>43</v>
      </c>
      <c r="AM1595" t="s">
        <v>43</v>
      </c>
      <c r="AN1595" t="str">
        <f>HYPERLINK("https://www.google.com/maps?q=11.05588245,79.06412506","Open Location")</f>
        <v>Open Location</v>
      </c>
    </row>
    <row r="1596" spans="1:40" x14ac:dyDescent="0.3">
      <c r="A1596" s="1">
        <v>46210.815046296295</v>
      </c>
      <c r="B1596" t="s">
        <v>40</v>
      </c>
      <c r="C1596" t="s">
        <v>41</v>
      </c>
      <c r="D1596" s="1">
        <v>46210.817824074074</v>
      </c>
      <c r="E1596" t="s">
        <v>42</v>
      </c>
      <c r="F1596" t="s">
        <v>43</v>
      </c>
      <c r="G1596" t="s">
        <v>43</v>
      </c>
      <c r="H1596" t="s">
        <v>43</v>
      </c>
      <c r="I1596" t="s">
        <v>769</v>
      </c>
      <c r="J1596" t="s">
        <v>43</v>
      </c>
      <c r="K1596" t="s">
        <v>43</v>
      </c>
      <c r="L1596" t="s">
        <v>43</v>
      </c>
      <c r="M1596" t="s">
        <v>43</v>
      </c>
      <c r="N1596" t="s">
        <v>45</v>
      </c>
      <c r="O1596" t="s">
        <v>43</v>
      </c>
      <c r="P1596" t="s">
        <v>43</v>
      </c>
      <c r="Q1596" t="s">
        <v>43</v>
      </c>
      <c r="R1596" t="s">
        <v>43</v>
      </c>
      <c r="S1596" t="s">
        <v>43</v>
      </c>
      <c r="T1596" t="s">
        <v>43</v>
      </c>
      <c r="U1596" t="s">
        <v>43</v>
      </c>
      <c r="V1596" t="s">
        <v>43</v>
      </c>
      <c r="W1596" t="s">
        <v>43</v>
      </c>
      <c r="X1596" t="s">
        <v>43</v>
      </c>
      <c r="Y1596" t="s">
        <v>43</v>
      </c>
      <c r="Z1596" t="s">
        <v>43</v>
      </c>
      <c r="AA1596" t="s">
        <v>43</v>
      </c>
      <c r="AB1596" t="s">
        <v>43</v>
      </c>
      <c r="AC1596" t="s">
        <v>43</v>
      </c>
      <c r="AD1596" t="s">
        <v>43</v>
      </c>
      <c r="AE1596" t="s">
        <v>43</v>
      </c>
      <c r="AF1596" t="s">
        <v>43</v>
      </c>
      <c r="AG1596" t="s">
        <v>43</v>
      </c>
      <c r="AH1596" t="s">
        <v>43</v>
      </c>
      <c r="AI1596" t="s">
        <v>43</v>
      </c>
      <c r="AJ1596" t="s">
        <v>43</v>
      </c>
      <c r="AK1596" t="s">
        <v>43</v>
      </c>
      <c r="AL1596" t="s">
        <v>43</v>
      </c>
      <c r="AM1596" t="s">
        <v>43</v>
      </c>
      <c r="AN1596" t="str">
        <f>HYPERLINK("https://www.google.com/maps?q=11.05587769,79.06412506","Open Location")</f>
        <v>Open Location</v>
      </c>
    </row>
    <row r="1597" spans="1:40" x14ac:dyDescent="0.3">
      <c r="A1597" s="1">
        <v>46210.814930555556</v>
      </c>
      <c r="B1597" t="s">
        <v>40</v>
      </c>
      <c r="C1597" t="s">
        <v>41</v>
      </c>
      <c r="D1597" s="1">
        <v>46210.817708333336</v>
      </c>
      <c r="E1597" t="s">
        <v>42</v>
      </c>
      <c r="F1597" t="s">
        <v>43</v>
      </c>
      <c r="G1597" t="s">
        <v>43</v>
      </c>
      <c r="H1597" t="s">
        <v>43</v>
      </c>
      <c r="I1597" t="s">
        <v>726</v>
      </c>
      <c r="J1597" t="s">
        <v>43</v>
      </c>
      <c r="K1597" t="s">
        <v>43</v>
      </c>
      <c r="L1597" t="s">
        <v>43</v>
      </c>
      <c r="M1597" t="s">
        <v>43</v>
      </c>
      <c r="N1597" t="s">
        <v>45</v>
      </c>
      <c r="O1597" t="s">
        <v>43</v>
      </c>
      <c r="P1597" t="s">
        <v>43</v>
      </c>
      <c r="Q1597" t="s">
        <v>43</v>
      </c>
      <c r="R1597" t="s">
        <v>43</v>
      </c>
      <c r="S1597" t="s">
        <v>43</v>
      </c>
      <c r="T1597" t="s">
        <v>43</v>
      </c>
      <c r="U1597" t="s">
        <v>43</v>
      </c>
      <c r="V1597" t="s">
        <v>43</v>
      </c>
      <c r="W1597" t="s">
        <v>43</v>
      </c>
      <c r="X1597" t="s">
        <v>43</v>
      </c>
      <c r="Y1597" t="s">
        <v>43</v>
      </c>
      <c r="Z1597" t="s">
        <v>43</v>
      </c>
      <c r="AA1597" t="s">
        <v>43</v>
      </c>
      <c r="AB1597" t="s">
        <v>43</v>
      </c>
      <c r="AC1597" t="s">
        <v>43</v>
      </c>
      <c r="AD1597" t="s">
        <v>43</v>
      </c>
      <c r="AE1597" t="s">
        <v>43</v>
      </c>
      <c r="AF1597" t="s">
        <v>43</v>
      </c>
      <c r="AG1597" t="s">
        <v>43</v>
      </c>
      <c r="AH1597" t="s">
        <v>43</v>
      </c>
      <c r="AI1597" t="s">
        <v>43</v>
      </c>
      <c r="AJ1597" t="s">
        <v>43</v>
      </c>
      <c r="AK1597" t="s">
        <v>43</v>
      </c>
      <c r="AL1597" t="s">
        <v>43</v>
      </c>
      <c r="AM1597" t="s">
        <v>43</v>
      </c>
      <c r="AN1597" t="str">
        <f>HYPERLINK("https://www.google.com/maps?q=11.05587864,79.06412506","Open Location")</f>
        <v>Open Location</v>
      </c>
    </row>
    <row r="1598" spans="1:40" x14ac:dyDescent="0.3">
      <c r="A1598" s="1">
        <v>46210.814814814818</v>
      </c>
      <c r="B1598" t="s">
        <v>40</v>
      </c>
      <c r="C1598" t="s">
        <v>41</v>
      </c>
      <c r="D1598" s="1">
        <v>46210.817696759259</v>
      </c>
      <c r="E1598" t="s">
        <v>42</v>
      </c>
      <c r="F1598" t="s">
        <v>43</v>
      </c>
      <c r="G1598" t="s">
        <v>43</v>
      </c>
      <c r="H1598" t="s">
        <v>43</v>
      </c>
      <c r="I1598" t="s">
        <v>623</v>
      </c>
      <c r="J1598" t="s">
        <v>43</v>
      </c>
      <c r="K1598" t="s">
        <v>43</v>
      </c>
      <c r="L1598" t="s">
        <v>43</v>
      </c>
      <c r="M1598" t="s">
        <v>43</v>
      </c>
      <c r="N1598" t="s">
        <v>45</v>
      </c>
      <c r="O1598" t="s">
        <v>43</v>
      </c>
      <c r="P1598" t="s">
        <v>43</v>
      </c>
      <c r="Q1598" t="s">
        <v>43</v>
      </c>
      <c r="R1598" t="s">
        <v>43</v>
      </c>
      <c r="S1598" t="s">
        <v>43</v>
      </c>
      <c r="T1598" t="s">
        <v>43</v>
      </c>
      <c r="U1598" t="s">
        <v>43</v>
      </c>
      <c r="V1598" t="s">
        <v>43</v>
      </c>
      <c r="W1598" t="s">
        <v>43</v>
      </c>
      <c r="X1598" t="s">
        <v>43</v>
      </c>
      <c r="Y1598" t="s">
        <v>43</v>
      </c>
      <c r="Z1598" t="s">
        <v>43</v>
      </c>
      <c r="AA1598" t="s">
        <v>43</v>
      </c>
      <c r="AB1598" t="s">
        <v>43</v>
      </c>
      <c r="AC1598" t="s">
        <v>43</v>
      </c>
      <c r="AD1598" t="s">
        <v>43</v>
      </c>
      <c r="AE1598" t="s">
        <v>43</v>
      </c>
      <c r="AF1598" t="s">
        <v>43</v>
      </c>
      <c r="AG1598" t="s">
        <v>43</v>
      </c>
      <c r="AH1598" t="s">
        <v>43</v>
      </c>
      <c r="AI1598" t="s">
        <v>43</v>
      </c>
      <c r="AJ1598" t="s">
        <v>43</v>
      </c>
      <c r="AK1598" t="s">
        <v>43</v>
      </c>
      <c r="AL1598" t="s">
        <v>43</v>
      </c>
      <c r="AM1598" t="s">
        <v>43</v>
      </c>
      <c r="AN1598" t="str">
        <f>HYPERLINK("https://www.google.com/maps?q=11.05587959,79.06412506","Open Location")</f>
        <v>Open Location</v>
      </c>
    </row>
    <row r="1599" spans="1:40" x14ac:dyDescent="0.3">
      <c r="A1599" s="1">
        <v>46210.814699074072</v>
      </c>
      <c r="B1599" t="s">
        <v>40</v>
      </c>
      <c r="C1599" t="s">
        <v>41</v>
      </c>
      <c r="D1599" s="1">
        <v>46210.81758101852</v>
      </c>
      <c r="E1599" t="s">
        <v>42</v>
      </c>
      <c r="F1599" t="s">
        <v>43</v>
      </c>
      <c r="G1599" t="s">
        <v>43</v>
      </c>
      <c r="H1599" t="s">
        <v>43</v>
      </c>
      <c r="I1599" t="s">
        <v>768</v>
      </c>
      <c r="J1599" t="s">
        <v>43</v>
      </c>
      <c r="K1599" t="s">
        <v>43</v>
      </c>
      <c r="L1599" t="s">
        <v>43</v>
      </c>
      <c r="M1599" t="s">
        <v>43</v>
      </c>
      <c r="N1599" t="s">
        <v>45</v>
      </c>
      <c r="O1599" t="s">
        <v>43</v>
      </c>
      <c r="P1599" t="s">
        <v>43</v>
      </c>
      <c r="Q1599" t="s">
        <v>43</v>
      </c>
      <c r="R1599" t="s">
        <v>43</v>
      </c>
      <c r="S1599" t="s">
        <v>43</v>
      </c>
      <c r="T1599" t="s">
        <v>43</v>
      </c>
      <c r="U1599" t="s">
        <v>43</v>
      </c>
      <c r="V1599" t="s">
        <v>43</v>
      </c>
      <c r="W1599" t="s">
        <v>43</v>
      </c>
      <c r="X1599" t="s">
        <v>43</v>
      </c>
      <c r="Y1599" t="s">
        <v>43</v>
      </c>
      <c r="Z1599" t="s">
        <v>43</v>
      </c>
      <c r="AA1599" t="s">
        <v>43</v>
      </c>
      <c r="AB1599" t="s">
        <v>43</v>
      </c>
      <c r="AC1599" t="s">
        <v>43</v>
      </c>
      <c r="AD1599" t="s">
        <v>43</v>
      </c>
      <c r="AE1599" t="s">
        <v>43</v>
      </c>
      <c r="AF1599" t="s">
        <v>43</v>
      </c>
      <c r="AG1599" t="s">
        <v>43</v>
      </c>
      <c r="AH1599" t="s">
        <v>43</v>
      </c>
      <c r="AI1599" t="s">
        <v>43</v>
      </c>
      <c r="AJ1599" t="s">
        <v>43</v>
      </c>
      <c r="AK1599" t="s">
        <v>43</v>
      </c>
      <c r="AL1599" t="s">
        <v>43</v>
      </c>
      <c r="AM1599" t="s">
        <v>43</v>
      </c>
      <c r="AN1599" t="str">
        <f>HYPERLINK("https://www.google.com/maps?q=11.05588055,79.06412506","Open Location")</f>
        <v>Open Location</v>
      </c>
    </row>
    <row r="1600" spans="1:40" x14ac:dyDescent="0.3">
      <c r="A1600" s="1">
        <v>46210.814583333333</v>
      </c>
      <c r="B1600" t="s">
        <v>40</v>
      </c>
      <c r="C1600" t="s">
        <v>41</v>
      </c>
      <c r="D1600" s="1">
        <v>46210.817453703705</v>
      </c>
      <c r="E1600" t="s">
        <v>42</v>
      </c>
      <c r="F1600" t="s">
        <v>43</v>
      </c>
      <c r="G1600" t="s">
        <v>43</v>
      </c>
      <c r="H1600" t="s">
        <v>43</v>
      </c>
      <c r="I1600" t="s">
        <v>43</v>
      </c>
      <c r="J1600" t="s">
        <v>43</v>
      </c>
      <c r="K1600" t="s">
        <v>43</v>
      </c>
      <c r="L1600" t="s">
        <v>43</v>
      </c>
      <c r="M1600" t="s">
        <v>43</v>
      </c>
      <c r="N1600" t="s">
        <v>45</v>
      </c>
      <c r="O1600" t="s">
        <v>43</v>
      </c>
      <c r="P1600" t="s">
        <v>43</v>
      </c>
      <c r="Q1600" t="s">
        <v>43</v>
      </c>
      <c r="R1600" t="s">
        <v>43</v>
      </c>
      <c r="S1600" t="s">
        <v>43</v>
      </c>
      <c r="T1600" t="s">
        <v>43</v>
      </c>
      <c r="U1600" t="s">
        <v>43</v>
      </c>
      <c r="V1600" t="s">
        <v>43</v>
      </c>
      <c r="W1600" t="s">
        <v>43</v>
      </c>
      <c r="X1600" t="s">
        <v>43</v>
      </c>
      <c r="Y1600" t="s">
        <v>43</v>
      </c>
      <c r="Z1600" t="s">
        <v>43</v>
      </c>
      <c r="AA1600" t="s">
        <v>43</v>
      </c>
      <c r="AB1600" t="s">
        <v>43</v>
      </c>
      <c r="AC1600" t="s">
        <v>43</v>
      </c>
      <c r="AD1600" t="s">
        <v>43</v>
      </c>
      <c r="AE1600" t="s">
        <v>43</v>
      </c>
      <c r="AF1600" t="s">
        <v>43</v>
      </c>
      <c r="AG1600" t="s">
        <v>43</v>
      </c>
      <c r="AH1600" t="s">
        <v>43</v>
      </c>
      <c r="AI1600" t="s">
        <v>43</v>
      </c>
      <c r="AJ1600" t="s">
        <v>43</v>
      </c>
      <c r="AK1600" t="s">
        <v>43</v>
      </c>
      <c r="AL1600" t="s">
        <v>43</v>
      </c>
      <c r="AM1600" t="s">
        <v>43</v>
      </c>
      <c r="AN1600" t="s">
        <v>43</v>
      </c>
    </row>
    <row r="1601" spans="1:40" x14ac:dyDescent="0.3">
      <c r="A1601" s="1">
        <v>46210.814467592594</v>
      </c>
      <c r="B1601" t="s">
        <v>40</v>
      </c>
      <c r="C1601" t="s">
        <v>41</v>
      </c>
      <c r="D1601" s="1">
        <v>46210.817233796297</v>
      </c>
      <c r="E1601" t="s">
        <v>42</v>
      </c>
      <c r="F1601" t="s">
        <v>43</v>
      </c>
      <c r="G1601" t="s">
        <v>43</v>
      </c>
      <c r="H1601" t="s">
        <v>43</v>
      </c>
      <c r="I1601" t="s">
        <v>770</v>
      </c>
      <c r="J1601" t="s">
        <v>43</v>
      </c>
      <c r="K1601" t="s">
        <v>43</v>
      </c>
      <c r="L1601" t="s">
        <v>43</v>
      </c>
      <c r="M1601" t="s">
        <v>43</v>
      </c>
      <c r="N1601" t="s">
        <v>45</v>
      </c>
      <c r="O1601" t="s">
        <v>43</v>
      </c>
      <c r="P1601" t="s">
        <v>43</v>
      </c>
      <c r="Q1601" t="s">
        <v>43</v>
      </c>
      <c r="R1601" t="s">
        <v>43</v>
      </c>
      <c r="S1601" t="s">
        <v>43</v>
      </c>
      <c r="T1601" t="s">
        <v>43</v>
      </c>
      <c r="U1601" t="s">
        <v>43</v>
      </c>
      <c r="V1601" t="s">
        <v>43</v>
      </c>
      <c r="W1601" t="s">
        <v>43</v>
      </c>
      <c r="X1601" t="s">
        <v>43</v>
      </c>
      <c r="Y1601" t="s">
        <v>43</v>
      </c>
      <c r="Z1601" t="s">
        <v>43</v>
      </c>
      <c r="AA1601" t="s">
        <v>43</v>
      </c>
      <c r="AB1601" t="s">
        <v>43</v>
      </c>
      <c r="AC1601" t="s">
        <v>43</v>
      </c>
      <c r="AD1601" t="s">
        <v>43</v>
      </c>
      <c r="AE1601" t="s">
        <v>43</v>
      </c>
      <c r="AF1601" t="s">
        <v>43</v>
      </c>
      <c r="AG1601" t="s">
        <v>43</v>
      </c>
      <c r="AH1601" t="s">
        <v>43</v>
      </c>
      <c r="AI1601" t="s">
        <v>43</v>
      </c>
      <c r="AJ1601" t="s">
        <v>43</v>
      </c>
      <c r="AK1601" t="s">
        <v>43</v>
      </c>
      <c r="AL1601" t="s">
        <v>43</v>
      </c>
      <c r="AM1601" t="s">
        <v>43</v>
      </c>
      <c r="AN1601" t="str">
        <f>HYPERLINK("https://www.google.com/maps?q=11.05588055,79.06411743","Open Location")</f>
        <v>Open Location</v>
      </c>
    </row>
    <row r="1602" spans="1:40" x14ac:dyDescent="0.3">
      <c r="A1602" s="1">
        <v>46210.814351851855</v>
      </c>
      <c r="B1602" t="s">
        <v>40</v>
      </c>
      <c r="C1602" t="s">
        <v>41</v>
      </c>
      <c r="D1602" s="1">
        <v>46210.817152777781</v>
      </c>
      <c r="E1602" t="s">
        <v>42</v>
      </c>
      <c r="F1602" t="s">
        <v>43</v>
      </c>
      <c r="G1602" t="s">
        <v>43</v>
      </c>
      <c r="H1602" t="s">
        <v>43</v>
      </c>
      <c r="I1602" t="s">
        <v>771</v>
      </c>
      <c r="J1602" t="s">
        <v>43</v>
      </c>
      <c r="K1602" t="s">
        <v>43</v>
      </c>
      <c r="L1602" t="s">
        <v>43</v>
      </c>
      <c r="M1602" t="s">
        <v>43</v>
      </c>
      <c r="N1602" t="s">
        <v>45</v>
      </c>
      <c r="O1602" t="s">
        <v>43</v>
      </c>
      <c r="P1602" t="s">
        <v>43</v>
      </c>
      <c r="Q1602" t="s">
        <v>43</v>
      </c>
      <c r="R1602" t="s">
        <v>43</v>
      </c>
      <c r="S1602" t="s">
        <v>43</v>
      </c>
      <c r="T1602" t="s">
        <v>43</v>
      </c>
      <c r="U1602" t="s">
        <v>43</v>
      </c>
      <c r="V1602" t="s">
        <v>43</v>
      </c>
      <c r="W1602" t="s">
        <v>43</v>
      </c>
      <c r="X1602" t="s">
        <v>43</v>
      </c>
      <c r="Y1602" t="s">
        <v>43</v>
      </c>
      <c r="Z1602" t="s">
        <v>43</v>
      </c>
      <c r="AA1602" t="s">
        <v>43</v>
      </c>
      <c r="AB1602" t="s">
        <v>43</v>
      </c>
      <c r="AC1602" t="s">
        <v>43</v>
      </c>
      <c r="AD1602" t="s">
        <v>43</v>
      </c>
      <c r="AE1602" t="s">
        <v>43</v>
      </c>
      <c r="AF1602" t="s">
        <v>43</v>
      </c>
      <c r="AG1602" t="s">
        <v>43</v>
      </c>
      <c r="AH1602" t="s">
        <v>43</v>
      </c>
      <c r="AI1602" t="s">
        <v>43</v>
      </c>
      <c r="AJ1602" t="s">
        <v>43</v>
      </c>
      <c r="AK1602" t="s">
        <v>43</v>
      </c>
      <c r="AL1602" t="s">
        <v>43</v>
      </c>
      <c r="AM1602" t="s">
        <v>43</v>
      </c>
      <c r="AN1602" t="str">
        <f>HYPERLINK("https://www.google.com/maps?q=11.05587578,79.06411743","Open Location")</f>
        <v>Open Location</v>
      </c>
    </row>
    <row r="1603" spans="1:40" x14ac:dyDescent="0.3">
      <c r="A1603" s="1">
        <v>46210.814236111109</v>
      </c>
      <c r="B1603" t="s">
        <v>40</v>
      </c>
      <c r="C1603" t="s">
        <v>41</v>
      </c>
      <c r="D1603" s="1">
        <v>46210.817002314812</v>
      </c>
      <c r="E1603" t="s">
        <v>42</v>
      </c>
      <c r="F1603" t="s">
        <v>43</v>
      </c>
      <c r="G1603" t="s">
        <v>43</v>
      </c>
      <c r="H1603" t="s">
        <v>43</v>
      </c>
      <c r="I1603" t="s">
        <v>735</v>
      </c>
      <c r="J1603" t="s">
        <v>43</v>
      </c>
      <c r="K1603" t="s">
        <v>43</v>
      </c>
      <c r="L1603" t="s">
        <v>43</v>
      </c>
      <c r="M1603" t="s">
        <v>43</v>
      </c>
      <c r="N1603" t="s">
        <v>45</v>
      </c>
      <c r="O1603" t="s">
        <v>43</v>
      </c>
      <c r="P1603" t="s">
        <v>43</v>
      </c>
      <c r="Q1603" t="s">
        <v>43</v>
      </c>
      <c r="R1603" t="s">
        <v>43</v>
      </c>
      <c r="S1603" t="s">
        <v>43</v>
      </c>
      <c r="T1603" t="s">
        <v>43</v>
      </c>
      <c r="U1603" t="s">
        <v>43</v>
      </c>
      <c r="V1603" t="s">
        <v>43</v>
      </c>
      <c r="W1603" t="s">
        <v>43</v>
      </c>
      <c r="X1603" t="s">
        <v>43</v>
      </c>
      <c r="Y1603" t="s">
        <v>43</v>
      </c>
      <c r="Z1603" t="s">
        <v>43</v>
      </c>
      <c r="AA1603" t="s">
        <v>43</v>
      </c>
      <c r="AB1603" t="s">
        <v>43</v>
      </c>
      <c r="AC1603" t="s">
        <v>43</v>
      </c>
      <c r="AD1603" t="s">
        <v>43</v>
      </c>
      <c r="AE1603" t="s">
        <v>43</v>
      </c>
      <c r="AF1603" t="s">
        <v>43</v>
      </c>
      <c r="AG1603" t="s">
        <v>43</v>
      </c>
      <c r="AH1603" t="s">
        <v>43</v>
      </c>
      <c r="AI1603" t="s">
        <v>43</v>
      </c>
      <c r="AJ1603" t="s">
        <v>43</v>
      </c>
      <c r="AK1603" t="s">
        <v>43</v>
      </c>
      <c r="AL1603" t="s">
        <v>43</v>
      </c>
      <c r="AM1603" t="s">
        <v>43</v>
      </c>
      <c r="AN1603" t="str">
        <f>HYPERLINK("https://www.google.com/maps?q=11.05587482,79.06411743","Open Location")</f>
        <v>Open Location</v>
      </c>
    </row>
    <row r="1604" spans="1:40" x14ac:dyDescent="0.3">
      <c r="A1604" s="1">
        <v>46210.814120370371</v>
      </c>
      <c r="B1604" t="s">
        <v>40</v>
      </c>
      <c r="C1604" t="s">
        <v>41</v>
      </c>
      <c r="D1604" s="1">
        <v>46210.816944444443</v>
      </c>
      <c r="E1604" t="s">
        <v>42</v>
      </c>
      <c r="F1604" t="s">
        <v>43</v>
      </c>
      <c r="G1604" t="s">
        <v>43</v>
      </c>
      <c r="H1604" t="s">
        <v>43</v>
      </c>
      <c r="I1604" t="s">
        <v>735</v>
      </c>
      <c r="J1604" t="s">
        <v>43</v>
      </c>
      <c r="K1604" t="s">
        <v>43</v>
      </c>
      <c r="L1604" t="s">
        <v>43</v>
      </c>
      <c r="M1604" t="s">
        <v>43</v>
      </c>
      <c r="N1604" t="s">
        <v>45</v>
      </c>
      <c r="O1604" t="s">
        <v>43</v>
      </c>
      <c r="P1604" t="s">
        <v>43</v>
      </c>
      <c r="Q1604" t="s">
        <v>43</v>
      </c>
      <c r="R1604" t="s">
        <v>43</v>
      </c>
      <c r="S1604" t="s">
        <v>43</v>
      </c>
      <c r="T1604" t="s">
        <v>43</v>
      </c>
      <c r="U1604" t="s">
        <v>43</v>
      </c>
      <c r="V1604" t="s">
        <v>43</v>
      </c>
      <c r="W1604" t="s">
        <v>43</v>
      </c>
      <c r="X1604" t="s">
        <v>43</v>
      </c>
      <c r="Y1604" t="s">
        <v>43</v>
      </c>
      <c r="Z1604" t="s">
        <v>43</v>
      </c>
      <c r="AA1604" t="s">
        <v>43</v>
      </c>
      <c r="AB1604" t="s">
        <v>43</v>
      </c>
      <c r="AC1604" t="s">
        <v>43</v>
      </c>
      <c r="AD1604" t="s">
        <v>43</v>
      </c>
      <c r="AE1604" t="s">
        <v>43</v>
      </c>
      <c r="AF1604" t="s">
        <v>43</v>
      </c>
      <c r="AG1604" t="s">
        <v>43</v>
      </c>
      <c r="AH1604" t="s">
        <v>43</v>
      </c>
      <c r="AI1604" t="s">
        <v>43</v>
      </c>
      <c r="AJ1604" t="s">
        <v>43</v>
      </c>
      <c r="AK1604" t="s">
        <v>43</v>
      </c>
      <c r="AL1604" t="s">
        <v>43</v>
      </c>
      <c r="AM1604" t="s">
        <v>43</v>
      </c>
      <c r="AN1604" t="str">
        <f>HYPERLINK("https://www.google.com/maps?q=11.05587482,79.06411743","Open Location")</f>
        <v>Open Location</v>
      </c>
    </row>
    <row r="1605" spans="1:40" x14ac:dyDescent="0.3">
      <c r="A1605" s="1">
        <v>46210.814004629632</v>
      </c>
      <c r="B1605" t="s">
        <v>40</v>
      </c>
      <c r="C1605" t="s">
        <v>41</v>
      </c>
      <c r="D1605" s="1">
        <v>46210.81659722222</v>
      </c>
      <c r="E1605" t="s">
        <v>42</v>
      </c>
      <c r="F1605" t="s">
        <v>43</v>
      </c>
      <c r="G1605" t="s">
        <v>43</v>
      </c>
      <c r="H1605" t="s">
        <v>43</v>
      </c>
      <c r="I1605" t="s">
        <v>772</v>
      </c>
      <c r="J1605" t="s">
        <v>43</v>
      </c>
      <c r="K1605" t="s">
        <v>43</v>
      </c>
      <c r="L1605" t="s">
        <v>43</v>
      </c>
      <c r="M1605" t="s">
        <v>43</v>
      </c>
      <c r="N1605" t="s">
        <v>45</v>
      </c>
      <c r="O1605" t="s">
        <v>43</v>
      </c>
      <c r="P1605" t="s">
        <v>43</v>
      </c>
      <c r="Q1605" t="s">
        <v>43</v>
      </c>
      <c r="R1605" t="s">
        <v>43</v>
      </c>
      <c r="S1605" t="s">
        <v>43</v>
      </c>
      <c r="T1605" t="s">
        <v>43</v>
      </c>
      <c r="U1605" t="s">
        <v>43</v>
      </c>
      <c r="V1605" t="s">
        <v>43</v>
      </c>
      <c r="W1605" t="s">
        <v>43</v>
      </c>
      <c r="X1605" t="s">
        <v>43</v>
      </c>
      <c r="Y1605" t="s">
        <v>43</v>
      </c>
      <c r="Z1605" t="s">
        <v>43</v>
      </c>
      <c r="AA1605" t="s">
        <v>43</v>
      </c>
      <c r="AB1605" t="s">
        <v>43</v>
      </c>
      <c r="AC1605" t="s">
        <v>43</v>
      </c>
      <c r="AD1605" t="s">
        <v>43</v>
      </c>
      <c r="AE1605" t="s">
        <v>43</v>
      </c>
      <c r="AF1605" t="s">
        <v>43</v>
      </c>
      <c r="AG1605" t="s">
        <v>43</v>
      </c>
      <c r="AH1605" t="s">
        <v>43</v>
      </c>
      <c r="AI1605" t="s">
        <v>43</v>
      </c>
      <c r="AJ1605" t="s">
        <v>43</v>
      </c>
      <c r="AK1605" t="s">
        <v>43</v>
      </c>
      <c r="AL1605" t="s">
        <v>43</v>
      </c>
      <c r="AM1605" t="s">
        <v>43</v>
      </c>
      <c r="AN1605" t="str">
        <f>HYPERLINK("https://www.google.com/maps?q=11.05587006,79.06413269","Open Location")</f>
        <v>Open Location</v>
      </c>
    </row>
    <row r="1606" spans="1:40" x14ac:dyDescent="0.3">
      <c r="A1606" s="1">
        <v>46210.813888888886</v>
      </c>
      <c r="B1606" t="s">
        <v>40</v>
      </c>
      <c r="C1606" t="s">
        <v>41</v>
      </c>
      <c r="D1606" s="1">
        <v>46210.816608796296</v>
      </c>
      <c r="E1606" t="s">
        <v>42</v>
      </c>
      <c r="F1606" t="s">
        <v>43</v>
      </c>
      <c r="G1606" t="s">
        <v>43</v>
      </c>
      <c r="H1606" t="s">
        <v>43</v>
      </c>
      <c r="I1606" t="s">
        <v>43</v>
      </c>
      <c r="J1606" t="s">
        <v>43</v>
      </c>
      <c r="K1606" t="s">
        <v>43</v>
      </c>
      <c r="L1606" t="s">
        <v>43</v>
      </c>
      <c r="M1606" t="s">
        <v>43</v>
      </c>
      <c r="N1606" t="s">
        <v>45</v>
      </c>
      <c r="O1606" t="s">
        <v>43</v>
      </c>
      <c r="P1606" t="s">
        <v>43</v>
      </c>
      <c r="Q1606" t="s">
        <v>43</v>
      </c>
      <c r="R1606" t="s">
        <v>43</v>
      </c>
      <c r="S1606" t="s">
        <v>43</v>
      </c>
      <c r="T1606" t="s">
        <v>43</v>
      </c>
      <c r="U1606" t="s">
        <v>43</v>
      </c>
      <c r="V1606" t="s">
        <v>43</v>
      </c>
      <c r="W1606" t="s">
        <v>43</v>
      </c>
      <c r="X1606" t="s">
        <v>43</v>
      </c>
      <c r="Y1606" t="s">
        <v>43</v>
      </c>
      <c r="Z1606" t="s">
        <v>43</v>
      </c>
      <c r="AA1606" t="s">
        <v>43</v>
      </c>
      <c r="AB1606" t="s">
        <v>43</v>
      </c>
      <c r="AC1606" t="s">
        <v>43</v>
      </c>
      <c r="AD1606" t="s">
        <v>43</v>
      </c>
      <c r="AE1606" t="s">
        <v>43</v>
      </c>
      <c r="AF1606" t="s">
        <v>43</v>
      </c>
      <c r="AG1606" t="s">
        <v>43</v>
      </c>
      <c r="AH1606" t="s">
        <v>43</v>
      </c>
      <c r="AI1606" t="s">
        <v>43</v>
      </c>
      <c r="AJ1606" t="s">
        <v>43</v>
      </c>
      <c r="AK1606" t="s">
        <v>43</v>
      </c>
      <c r="AL1606" t="s">
        <v>43</v>
      </c>
      <c r="AM1606" t="s">
        <v>43</v>
      </c>
      <c r="AN1606" t="s">
        <v>43</v>
      </c>
    </row>
    <row r="1607" spans="1:40" x14ac:dyDescent="0.3">
      <c r="A1607" s="1">
        <v>46210.813773148147</v>
      </c>
      <c r="B1607" t="s">
        <v>40</v>
      </c>
      <c r="C1607" t="s">
        <v>41</v>
      </c>
      <c r="D1607" s="1">
        <v>46210.816701388889</v>
      </c>
      <c r="E1607" t="s">
        <v>42</v>
      </c>
      <c r="F1607" t="s">
        <v>43</v>
      </c>
      <c r="G1607" t="s">
        <v>43</v>
      </c>
      <c r="H1607" t="s">
        <v>43</v>
      </c>
      <c r="I1607" t="s">
        <v>773</v>
      </c>
      <c r="J1607" t="s">
        <v>43</v>
      </c>
      <c r="K1607" t="s">
        <v>43</v>
      </c>
      <c r="L1607" t="s">
        <v>43</v>
      </c>
      <c r="M1607" t="s">
        <v>43</v>
      </c>
      <c r="N1607" t="s">
        <v>45</v>
      </c>
      <c r="O1607" t="s">
        <v>43</v>
      </c>
      <c r="P1607" t="s">
        <v>43</v>
      </c>
      <c r="Q1607" t="s">
        <v>43</v>
      </c>
      <c r="R1607" t="s">
        <v>43</v>
      </c>
      <c r="S1607" t="s">
        <v>43</v>
      </c>
      <c r="T1607" t="s">
        <v>43</v>
      </c>
      <c r="U1607" t="s">
        <v>43</v>
      </c>
      <c r="V1607" t="s">
        <v>43</v>
      </c>
      <c r="W1607" t="s">
        <v>43</v>
      </c>
      <c r="X1607" t="s">
        <v>43</v>
      </c>
      <c r="Y1607" t="s">
        <v>43</v>
      </c>
      <c r="Z1607" t="s">
        <v>43</v>
      </c>
      <c r="AA1607" t="s">
        <v>43</v>
      </c>
      <c r="AB1607" t="s">
        <v>43</v>
      </c>
      <c r="AC1607" t="s">
        <v>43</v>
      </c>
      <c r="AD1607" t="s">
        <v>43</v>
      </c>
      <c r="AE1607" t="s">
        <v>43</v>
      </c>
      <c r="AF1607" t="s">
        <v>43</v>
      </c>
      <c r="AG1607" t="s">
        <v>43</v>
      </c>
      <c r="AH1607" t="s">
        <v>43</v>
      </c>
      <c r="AI1607" t="s">
        <v>43</v>
      </c>
      <c r="AJ1607" t="s">
        <v>43</v>
      </c>
      <c r="AK1607" t="s">
        <v>43</v>
      </c>
      <c r="AL1607" t="s">
        <v>43</v>
      </c>
      <c r="AM1607" t="s">
        <v>43</v>
      </c>
      <c r="AN1607" t="str">
        <f>HYPERLINK("https://www.google.com/maps?q=11.05587578,79.06412506","Open Location")</f>
        <v>Open Location</v>
      </c>
    </row>
    <row r="1608" spans="1:40" x14ac:dyDescent="0.3">
      <c r="A1608" s="1">
        <v>46210.813657407409</v>
      </c>
      <c r="B1608" t="s">
        <v>40</v>
      </c>
      <c r="C1608" t="s">
        <v>41</v>
      </c>
      <c r="D1608" s="1">
        <v>46210.816574074073</v>
      </c>
      <c r="E1608" t="s">
        <v>42</v>
      </c>
      <c r="F1608" t="s">
        <v>43</v>
      </c>
      <c r="G1608" t="s">
        <v>43</v>
      </c>
      <c r="H1608" t="s">
        <v>43</v>
      </c>
      <c r="I1608" t="s">
        <v>768</v>
      </c>
      <c r="J1608" t="s">
        <v>43</v>
      </c>
      <c r="K1608" t="s">
        <v>43</v>
      </c>
      <c r="L1608" t="s">
        <v>43</v>
      </c>
      <c r="M1608" t="s">
        <v>43</v>
      </c>
      <c r="N1608" t="s">
        <v>45</v>
      </c>
      <c r="O1608" t="s">
        <v>43</v>
      </c>
      <c r="P1608" t="s">
        <v>43</v>
      </c>
      <c r="Q1608" t="s">
        <v>43</v>
      </c>
      <c r="R1608" t="s">
        <v>43</v>
      </c>
      <c r="S1608" t="s">
        <v>43</v>
      </c>
      <c r="T1608" t="s">
        <v>43</v>
      </c>
      <c r="U1608" t="s">
        <v>43</v>
      </c>
      <c r="V1608" t="s">
        <v>43</v>
      </c>
      <c r="W1608" t="s">
        <v>43</v>
      </c>
      <c r="X1608" t="s">
        <v>43</v>
      </c>
      <c r="Y1608" t="s">
        <v>43</v>
      </c>
      <c r="Z1608" t="s">
        <v>43</v>
      </c>
      <c r="AA1608" t="s">
        <v>43</v>
      </c>
      <c r="AB1608" t="s">
        <v>43</v>
      </c>
      <c r="AC1608" t="s">
        <v>43</v>
      </c>
      <c r="AD1608" t="s">
        <v>43</v>
      </c>
      <c r="AE1608" t="s">
        <v>43</v>
      </c>
      <c r="AF1608" t="s">
        <v>43</v>
      </c>
      <c r="AG1608" t="s">
        <v>43</v>
      </c>
      <c r="AH1608" t="s">
        <v>43</v>
      </c>
      <c r="AI1608" t="s">
        <v>43</v>
      </c>
      <c r="AJ1608" t="s">
        <v>43</v>
      </c>
      <c r="AK1608" t="s">
        <v>43</v>
      </c>
      <c r="AL1608" t="s">
        <v>43</v>
      </c>
      <c r="AM1608" t="s">
        <v>43</v>
      </c>
      <c r="AN1608" t="str">
        <f>HYPERLINK("https://www.google.com/maps?q=11.05588055,79.06412506","Open Location")</f>
        <v>Open Location</v>
      </c>
    </row>
    <row r="1609" spans="1:40" x14ac:dyDescent="0.3">
      <c r="A1609" s="1">
        <v>46210.81354166667</v>
      </c>
      <c r="B1609" t="s">
        <v>40</v>
      </c>
      <c r="C1609" t="s">
        <v>41</v>
      </c>
      <c r="D1609" s="1">
        <v>46210.816435185188</v>
      </c>
      <c r="E1609" t="s">
        <v>42</v>
      </c>
      <c r="F1609" t="s">
        <v>43</v>
      </c>
      <c r="G1609" t="s">
        <v>43</v>
      </c>
      <c r="H1609" t="s">
        <v>43</v>
      </c>
      <c r="I1609" t="s">
        <v>727</v>
      </c>
      <c r="J1609" t="s">
        <v>43</v>
      </c>
      <c r="K1609" t="s">
        <v>43</v>
      </c>
      <c r="L1609" t="s">
        <v>43</v>
      </c>
      <c r="M1609" t="s">
        <v>43</v>
      </c>
      <c r="N1609" t="s">
        <v>45</v>
      </c>
      <c r="O1609" t="s">
        <v>43</v>
      </c>
      <c r="P1609" t="s">
        <v>43</v>
      </c>
      <c r="Q1609" t="s">
        <v>43</v>
      </c>
      <c r="R1609" t="s">
        <v>43</v>
      </c>
      <c r="S1609" t="s">
        <v>43</v>
      </c>
      <c r="T1609" t="s">
        <v>43</v>
      </c>
      <c r="U1609" t="s">
        <v>43</v>
      </c>
      <c r="V1609" t="s">
        <v>43</v>
      </c>
      <c r="W1609" t="s">
        <v>43</v>
      </c>
      <c r="X1609" t="s">
        <v>43</v>
      </c>
      <c r="Y1609" t="s">
        <v>43</v>
      </c>
      <c r="Z1609" t="s">
        <v>43</v>
      </c>
      <c r="AA1609" t="s">
        <v>43</v>
      </c>
      <c r="AB1609" t="s">
        <v>43</v>
      </c>
      <c r="AC1609" t="s">
        <v>43</v>
      </c>
      <c r="AD1609" t="s">
        <v>43</v>
      </c>
      <c r="AE1609" t="s">
        <v>43</v>
      </c>
      <c r="AF1609" t="s">
        <v>43</v>
      </c>
      <c r="AG1609" t="s">
        <v>43</v>
      </c>
      <c r="AH1609" t="s">
        <v>43</v>
      </c>
      <c r="AI1609" t="s">
        <v>43</v>
      </c>
      <c r="AJ1609" t="s">
        <v>43</v>
      </c>
      <c r="AK1609" t="s">
        <v>43</v>
      </c>
      <c r="AL1609" t="s">
        <v>43</v>
      </c>
      <c r="AM1609" t="s">
        <v>43</v>
      </c>
      <c r="AN1609" t="str">
        <f>HYPERLINK("https://www.google.com/maps?q=11.05588245,79.06412506","Open Location")</f>
        <v>Open Location</v>
      </c>
    </row>
    <row r="1610" spans="1:40" x14ac:dyDescent="0.3">
      <c r="A1610" s="1">
        <v>46210.813425925924</v>
      </c>
      <c r="B1610" t="s">
        <v>40</v>
      </c>
      <c r="C1610" t="s">
        <v>41</v>
      </c>
      <c r="D1610" s="1">
        <v>46210.816574074073</v>
      </c>
      <c r="E1610" t="s">
        <v>42</v>
      </c>
      <c r="F1610" t="s">
        <v>43</v>
      </c>
      <c r="G1610" t="s">
        <v>43</v>
      </c>
      <c r="H1610" t="s">
        <v>43</v>
      </c>
      <c r="I1610" t="s">
        <v>726</v>
      </c>
      <c r="J1610" t="s">
        <v>43</v>
      </c>
      <c r="K1610" t="s">
        <v>43</v>
      </c>
      <c r="L1610" t="s">
        <v>43</v>
      </c>
      <c r="M1610" t="s">
        <v>43</v>
      </c>
      <c r="N1610" t="s">
        <v>45</v>
      </c>
      <c r="O1610" t="s">
        <v>43</v>
      </c>
      <c r="P1610" t="s">
        <v>43</v>
      </c>
      <c r="Q1610" t="s">
        <v>43</v>
      </c>
      <c r="R1610" t="s">
        <v>43</v>
      </c>
      <c r="S1610" t="s">
        <v>43</v>
      </c>
      <c r="T1610" t="s">
        <v>43</v>
      </c>
      <c r="U1610" t="s">
        <v>43</v>
      </c>
      <c r="V1610" t="s">
        <v>43</v>
      </c>
      <c r="W1610" t="s">
        <v>43</v>
      </c>
      <c r="X1610" t="s">
        <v>43</v>
      </c>
      <c r="Y1610" t="s">
        <v>43</v>
      </c>
      <c r="Z1610" t="s">
        <v>43</v>
      </c>
      <c r="AA1610" t="s">
        <v>43</v>
      </c>
      <c r="AB1610" t="s">
        <v>43</v>
      </c>
      <c r="AC1610" t="s">
        <v>43</v>
      </c>
      <c r="AD1610" t="s">
        <v>43</v>
      </c>
      <c r="AE1610" t="s">
        <v>43</v>
      </c>
      <c r="AF1610" t="s">
        <v>43</v>
      </c>
      <c r="AG1610" t="s">
        <v>43</v>
      </c>
      <c r="AH1610" t="s">
        <v>43</v>
      </c>
      <c r="AI1610" t="s">
        <v>43</v>
      </c>
      <c r="AJ1610" t="s">
        <v>43</v>
      </c>
      <c r="AK1610" t="s">
        <v>43</v>
      </c>
      <c r="AL1610" t="s">
        <v>43</v>
      </c>
      <c r="AM1610" t="s">
        <v>43</v>
      </c>
      <c r="AN1610" t="str">
        <f>HYPERLINK("https://www.google.com/maps?q=11.05587864,79.06412506","Open Location")</f>
        <v>Open Location</v>
      </c>
    </row>
    <row r="1611" spans="1:40" x14ac:dyDescent="0.3">
      <c r="A1611" s="1">
        <v>46210.813310185185</v>
      </c>
      <c r="B1611" t="s">
        <v>40</v>
      </c>
      <c r="C1611" t="s">
        <v>41</v>
      </c>
      <c r="D1611" s="1">
        <v>46210.816041666665</v>
      </c>
      <c r="E1611" t="s">
        <v>42</v>
      </c>
      <c r="F1611" t="s">
        <v>43</v>
      </c>
      <c r="G1611" t="s">
        <v>43</v>
      </c>
      <c r="H1611" t="s">
        <v>43</v>
      </c>
      <c r="I1611" t="s">
        <v>43</v>
      </c>
      <c r="J1611" t="s">
        <v>43</v>
      </c>
      <c r="K1611" t="s">
        <v>43</v>
      </c>
      <c r="L1611" t="s">
        <v>43</v>
      </c>
      <c r="M1611" t="s">
        <v>43</v>
      </c>
      <c r="N1611" t="s">
        <v>45</v>
      </c>
      <c r="O1611" t="s">
        <v>43</v>
      </c>
      <c r="P1611" t="s">
        <v>43</v>
      </c>
      <c r="Q1611" t="s">
        <v>43</v>
      </c>
      <c r="R1611" t="s">
        <v>43</v>
      </c>
      <c r="S1611" t="s">
        <v>43</v>
      </c>
      <c r="T1611" t="s">
        <v>43</v>
      </c>
      <c r="U1611" t="s">
        <v>43</v>
      </c>
      <c r="V1611" t="s">
        <v>43</v>
      </c>
      <c r="W1611" t="s">
        <v>43</v>
      </c>
      <c r="X1611" t="s">
        <v>43</v>
      </c>
      <c r="Y1611" t="s">
        <v>43</v>
      </c>
      <c r="Z1611" t="s">
        <v>43</v>
      </c>
      <c r="AA1611" t="s">
        <v>43</v>
      </c>
      <c r="AB1611" t="s">
        <v>43</v>
      </c>
      <c r="AC1611" t="s">
        <v>43</v>
      </c>
      <c r="AD1611" t="s">
        <v>43</v>
      </c>
      <c r="AE1611" t="s">
        <v>43</v>
      </c>
      <c r="AF1611" t="s">
        <v>43</v>
      </c>
      <c r="AG1611" t="s">
        <v>43</v>
      </c>
      <c r="AH1611" t="s">
        <v>43</v>
      </c>
      <c r="AI1611" t="s">
        <v>43</v>
      </c>
      <c r="AJ1611" t="s">
        <v>43</v>
      </c>
      <c r="AK1611" t="s">
        <v>43</v>
      </c>
      <c r="AL1611" t="s">
        <v>43</v>
      </c>
      <c r="AM1611" t="s">
        <v>43</v>
      </c>
      <c r="AN1611" t="s">
        <v>43</v>
      </c>
    </row>
    <row r="1612" spans="1:40" x14ac:dyDescent="0.3">
      <c r="A1612" s="1">
        <v>46210.813194444447</v>
      </c>
      <c r="B1612" t="s">
        <v>40</v>
      </c>
      <c r="C1612" t="s">
        <v>41</v>
      </c>
      <c r="D1612" s="1">
        <v>46210.815949074073</v>
      </c>
      <c r="E1612" t="s">
        <v>42</v>
      </c>
      <c r="F1612" t="s">
        <v>43</v>
      </c>
      <c r="G1612" t="s">
        <v>43</v>
      </c>
      <c r="H1612" t="s">
        <v>43</v>
      </c>
      <c r="I1612" t="s">
        <v>664</v>
      </c>
      <c r="J1612" t="s">
        <v>43</v>
      </c>
      <c r="K1612" t="s">
        <v>43</v>
      </c>
      <c r="L1612" t="s">
        <v>43</v>
      </c>
      <c r="M1612" t="s">
        <v>43</v>
      </c>
      <c r="N1612" t="s">
        <v>45</v>
      </c>
      <c r="O1612" t="s">
        <v>43</v>
      </c>
      <c r="P1612" t="s">
        <v>43</v>
      </c>
      <c r="Q1612" t="s">
        <v>43</v>
      </c>
      <c r="R1612" t="s">
        <v>43</v>
      </c>
      <c r="S1612" t="s">
        <v>43</v>
      </c>
      <c r="T1612" t="s">
        <v>43</v>
      </c>
      <c r="U1612" t="s">
        <v>43</v>
      </c>
      <c r="V1612" t="s">
        <v>43</v>
      </c>
      <c r="W1612" t="s">
        <v>43</v>
      </c>
      <c r="X1612" t="s">
        <v>43</v>
      </c>
      <c r="Y1612" t="s">
        <v>43</v>
      </c>
      <c r="Z1612" t="s">
        <v>43</v>
      </c>
      <c r="AA1612" t="s">
        <v>43</v>
      </c>
      <c r="AB1612" t="s">
        <v>43</v>
      </c>
      <c r="AC1612" t="s">
        <v>43</v>
      </c>
      <c r="AD1612" t="s">
        <v>43</v>
      </c>
      <c r="AE1612" t="s">
        <v>43</v>
      </c>
      <c r="AF1612" t="s">
        <v>43</v>
      </c>
      <c r="AG1612" t="s">
        <v>43</v>
      </c>
      <c r="AH1612" t="s">
        <v>43</v>
      </c>
      <c r="AI1612" t="s">
        <v>43</v>
      </c>
      <c r="AJ1612" t="s">
        <v>43</v>
      </c>
      <c r="AK1612" t="s">
        <v>43</v>
      </c>
      <c r="AL1612" t="s">
        <v>43</v>
      </c>
      <c r="AM1612" t="s">
        <v>43</v>
      </c>
      <c r="AN1612" t="str">
        <f>HYPERLINK("https://www.google.com/maps?q=11.05587673,79.06412506","Open Location")</f>
        <v>Open Location</v>
      </c>
    </row>
    <row r="1613" spans="1:40" x14ac:dyDescent="0.3">
      <c r="A1613" s="1">
        <v>46210.813078703701</v>
      </c>
      <c r="B1613" t="s">
        <v>40</v>
      </c>
      <c r="C1613" t="s">
        <v>41</v>
      </c>
      <c r="D1613" s="1">
        <v>46210.815787037034</v>
      </c>
      <c r="E1613" t="s">
        <v>42</v>
      </c>
      <c r="F1613" t="s">
        <v>43</v>
      </c>
      <c r="G1613" t="s">
        <v>43</v>
      </c>
      <c r="H1613" t="s">
        <v>43</v>
      </c>
      <c r="I1613" t="s">
        <v>669</v>
      </c>
      <c r="J1613" t="s">
        <v>43</v>
      </c>
      <c r="K1613" t="s">
        <v>43</v>
      </c>
      <c r="L1613" t="s">
        <v>43</v>
      </c>
      <c r="M1613" t="s">
        <v>43</v>
      </c>
      <c r="N1613" t="s">
        <v>45</v>
      </c>
      <c r="O1613" t="s">
        <v>43</v>
      </c>
      <c r="P1613" t="s">
        <v>43</v>
      </c>
      <c r="Q1613" t="s">
        <v>43</v>
      </c>
      <c r="R1613" t="s">
        <v>43</v>
      </c>
      <c r="S1613" t="s">
        <v>43</v>
      </c>
      <c r="T1613" t="s">
        <v>43</v>
      </c>
      <c r="U1613" t="s">
        <v>43</v>
      </c>
      <c r="V1613" t="s">
        <v>43</v>
      </c>
      <c r="W1613" t="s">
        <v>43</v>
      </c>
      <c r="X1613" t="s">
        <v>43</v>
      </c>
      <c r="Y1613" t="s">
        <v>43</v>
      </c>
      <c r="Z1613" t="s">
        <v>43</v>
      </c>
      <c r="AA1613" t="s">
        <v>43</v>
      </c>
      <c r="AB1613" t="s">
        <v>43</v>
      </c>
      <c r="AC1613" t="s">
        <v>43</v>
      </c>
      <c r="AD1613" t="s">
        <v>43</v>
      </c>
      <c r="AE1613" t="s">
        <v>43</v>
      </c>
      <c r="AF1613" t="s">
        <v>43</v>
      </c>
      <c r="AG1613" t="s">
        <v>43</v>
      </c>
      <c r="AH1613" t="s">
        <v>43</v>
      </c>
      <c r="AI1613" t="s">
        <v>43</v>
      </c>
      <c r="AJ1613" t="s">
        <v>43</v>
      </c>
      <c r="AK1613" t="s">
        <v>43</v>
      </c>
      <c r="AL1613" t="s">
        <v>43</v>
      </c>
      <c r="AM1613" t="s">
        <v>43</v>
      </c>
      <c r="AN1613" t="str">
        <f>HYPERLINK("https://www.google.com/maps?q=11.05587101,79.06413269","Open Location")</f>
        <v>Open Location</v>
      </c>
    </row>
    <row r="1614" spans="1:40" x14ac:dyDescent="0.3">
      <c r="A1614" s="1">
        <v>46210.812962962962</v>
      </c>
      <c r="B1614" t="s">
        <v>40</v>
      </c>
      <c r="C1614" t="s">
        <v>41</v>
      </c>
      <c r="D1614" s="1">
        <v>46210.81590277778</v>
      </c>
      <c r="E1614" t="s">
        <v>42</v>
      </c>
      <c r="F1614" t="s">
        <v>43</v>
      </c>
      <c r="G1614" t="s">
        <v>43</v>
      </c>
      <c r="H1614" t="s">
        <v>43</v>
      </c>
      <c r="I1614" t="s">
        <v>669</v>
      </c>
      <c r="J1614" t="s">
        <v>43</v>
      </c>
      <c r="K1614" t="s">
        <v>43</v>
      </c>
      <c r="L1614" t="s">
        <v>43</v>
      </c>
      <c r="M1614" t="s">
        <v>43</v>
      </c>
      <c r="N1614" t="s">
        <v>45</v>
      </c>
      <c r="O1614" t="s">
        <v>43</v>
      </c>
      <c r="P1614" t="s">
        <v>43</v>
      </c>
      <c r="Q1614" t="s">
        <v>43</v>
      </c>
      <c r="R1614" t="s">
        <v>43</v>
      </c>
      <c r="S1614" t="s">
        <v>43</v>
      </c>
      <c r="T1614" t="s">
        <v>43</v>
      </c>
      <c r="U1614" t="s">
        <v>43</v>
      </c>
      <c r="V1614" t="s">
        <v>43</v>
      </c>
      <c r="W1614" t="s">
        <v>43</v>
      </c>
      <c r="X1614" t="s">
        <v>43</v>
      </c>
      <c r="Y1614" t="s">
        <v>43</v>
      </c>
      <c r="Z1614" t="s">
        <v>43</v>
      </c>
      <c r="AA1614" t="s">
        <v>43</v>
      </c>
      <c r="AB1614" t="s">
        <v>43</v>
      </c>
      <c r="AC1614" t="s">
        <v>43</v>
      </c>
      <c r="AD1614" t="s">
        <v>43</v>
      </c>
      <c r="AE1614" t="s">
        <v>43</v>
      </c>
      <c r="AF1614" t="s">
        <v>43</v>
      </c>
      <c r="AG1614" t="s">
        <v>43</v>
      </c>
      <c r="AH1614" t="s">
        <v>43</v>
      </c>
      <c r="AI1614" t="s">
        <v>43</v>
      </c>
      <c r="AJ1614" t="s">
        <v>43</v>
      </c>
      <c r="AK1614" t="s">
        <v>43</v>
      </c>
      <c r="AL1614" t="s">
        <v>43</v>
      </c>
      <c r="AM1614" t="s">
        <v>43</v>
      </c>
      <c r="AN1614" t="str">
        <f>HYPERLINK("https://www.google.com/maps?q=11.05587101,79.06413269","Open Location")</f>
        <v>Open Location</v>
      </c>
    </row>
    <row r="1615" spans="1:40" x14ac:dyDescent="0.3">
      <c r="A1615" s="1">
        <v>46210.812847222223</v>
      </c>
      <c r="B1615" t="s">
        <v>40</v>
      </c>
      <c r="C1615" t="s">
        <v>41</v>
      </c>
      <c r="D1615" s="1">
        <v>46210.815810185188</v>
      </c>
      <c r="E1615" t="s">
        <v>42</v>
      </c>
      <c r="F1615" t="s">
        <v>43</v>
      </c>
      <c r="G1615" t="s">
        <v>43</v>
      </c>
      <c r="H1615" t="s">
        <v>43</v>
      </c>
      <c r="I1615" t="s">
        <v>774</v>
      </c>
      <c r="J1615" t="s">
        <v>43</v>
      </c>
      <c r="K1615" t="s">
        <v>43</v>
      </c>
      <c r="L1615" t="s">
        <v>43</v>
      </c>
      <c r="M1615" t="s">
        <v>43</v>
      </c>
      <c r="N1615" t="s">
        <v>45</v>
      </c>
      <c r="O1615" t="s">
        <v>43</v>
      </c>
      <c r="P1615" t="s">
        <v>43</v>
      </c>
      <c r="Q1615" t="s">
        <v>43</v>
      </c>
      <c r="R1615" t="s">
        <v>43</v>
      </c>
      <c r="S1615" t="s">
        <v>43</v>
      </c>
      <c r="T1615" t="s">
        <v>43</v>
      </c>
      <c r="U1615" t="s">
        <v>43</v>
      </c>
      <c r="V1615" t="s">
        <v>43</v>
      </c>
      <c r="W1615" t="s">
        <v>43</v>
      </c>
      <c r="X1615" t="s">
        <v>43</v>
      </c>
      <c r="Y1615" t="s">
        <v>43</v>
      </c>
      <c r="Z1615" t="s">
        <v>43</v>
      </c>
      <c r="AA1615" t="s">
        <v>43</v>
      </c>
      <c r="AB1615" t="s">
        <v>43</v>
      </c>
      <c r="AC1615" t="s">
        <v>43</v>
      </c>
      <c r="AD1615" t="s">
        <v>43</v>
      </c>
      <c r="AE1615" t="s">
        <v>43</v>
      </c>
      <c r="AF1615" t="s">
        <v>43</v>
      </c>
      <c r="AG1615" t="s">
        <v>43</v>
      </c>
      <c r="AH1615" t="s">
        <v>43</v>
      </c>
      <c r="AI1615" t="s">
        <v>43</v>
      </c>
      <c r="AJ1615" t="s">
        <v>43</v>
      </c>
      <c r="AK1615" t="s">
        <v>43</v>
      </c>
      <c r="AL1615" t="s">
        <v>43</v>
      </c>
      <c r="AM1615" t="s">
        <v>43</v>
      </c>
      <c r="AN1615" t="str">
        <f>HYPERLINK("https://www.google.com/maps?q=11.05587196,79.06413269","Open Location")</f>
        <v>Open Location</v>
      </c>
    </row>
    <row r="1616" spans="1:40" x14ac:dyDescent="0.3">
      <c r="A1616" s="1">
        <v>46210.812731481485</v>
      </c>
      <c r="B1616" t="s">
        <v>40</v>
      </c>
      <c r="C1616" t="s">
        <v>41</v>
      </c>
      <c r="D1616" s="1">
        <v>46210.815625000003</v>
      </c>
      <c r="E1616" t="s">
        <v>42</v>
      </c>
      <c r="F1616" t="s">
        <v>43</v>
      </c>
      <c r="G1616" t="s">
        <v>43</v>
      </c>
      <c r="H1616" t="s">
        <v>43</v>
      </c>
      <c r="I1616" t="s">
        <v>775</v>
      </c>
      <c r="J1616" t="s">
        <v>43</v>
      </c>
      <c r="K1616" t="s">
        <v>43</v>
      </c>
      <c r="L1616" t="s">
        <v>43</v>
      </c>
      <c r="M1616" t="s">
        <v>43</v>
      </c>
      <c r="N1616" t="s">
        <v>45</v>
      </c>
      <c r="O1616" t="s">
        <v>43</v>
      </c>
      <c r="P1616" t="s">
        <v>43</v>
      </c>
      <c r="Q1616" t="s">
        <v>43</v>
      </c>
      <c r="R1616" t="s">
        <v>43</v>
      </c>
      <c r="S1616" t="s">
        <v>43</v>
      </c>
      <c r="T1616" t="s">
        <v>43</v>
      </c>
      <c r="U1616" t="s">
        <v>43</v>
      </c>
      <c r="V1616" t="s">
        <v>43</v>
      </c>
      <c r="W1616" t="s">
        <v>43</v>
      </c>
      <c r="X1616" t="s">
        <v>43</v>
      </c>
      <c r="Y1616" t="s">
        <v>43</v>
      </c>
      <c r="Z1616" t="s">
        <v>43</v>
      </c>
      <c r="AA1616" t="s">
        <v>43</v>
      </c>
      <c r="AB1616" t="s">
        <v>43</v>
      </c>
      <c r="AC1616" t="s">
        <v>43</v>
      </c>
      <c r="AD1616" t="s">
        <v>43</v>
      </c>
      <c r="AE1616" t="s">
        <v>43</v>
      </c>
      <c r="AF1616" t="s">
        <v>43</v>
      </c>
      <c r="AG1616" t="s">
        <v>43</v>
      </c>
      <c r="AH1616" t="s">
        <v>43</v>
      </c>
      <c r="AI1616" t="s">
        <v>43</v>
      </c>
      <c r="AJ1616" t="s">
        <v>43</v>
      </c>
      <c r="AK1616" t="s">
        <v>43</v>
      </c>
      <c r="AL1616" t="s">
        <v>43</v>
      </c>
      <c r="AM1616" t="s">
        <v>43</v>
      </c>
      <c r="AN1616" t="str">
        <f>HYPERLINK("https://www.google.com/maps?q=11.05587196,79.06414032","Open Location")</f>
        <v>Open Location</v>
      </c>
    </row>
    <row r="1617" spans="1:40" x14ac:dyDescent="0.3">
      <c r="A1617" s="1">
        <v>46210.812615740739</v>
      </c>
      <c r="B1617" t="s">
        <v>40</v>
      </c>
      <c r="C1617" t="s">
        <v>41</v>
      </c>
      <c r="D1617" s="1">
        <v>46210.815729166665</v>
      </c>
      <c r="E1617" t="s">
        <v>42</v>
      </c>
      <c r="F1617" t="s">
        <v>43</v>
      </c>
      <c r="G1617" t="s">
        <v>43</v>
      </c>
      <c r="H1617" t="s">
        <v>43</v>
      </c>
      <c r="I1617" t="s">
        <v>43</v>
      </c>
      <c r="J1617" t="s">
        <v>43</v>
      </c>
      <c r="K1617" t="s">
        <v>43</v>
      </c>
      <c r="L1617" t="s">
        <v>43</v>
      </c>
      <c r="M1617" t="s">
        <v>43</v>
      </c>
      <c r="N1617" t="s">
        <v>45</v>
      </c>
      <c r="O1617" t="s">
        <v>43</v>
      </c>
      <c r="P1617" t="s">
        <v>43</v>
      </c>
      <c r="Q1617" t="s">
        <v>43</v>
      </c>
      <c r="R1617" t="s">
        <v>43</v>
      </c>
      <c r="S1617" t="s">
        <v>43</v>
      </c>
      <c r="T1617" t="s">
        <v>43</v>
      </c>
      <c r="U1617" t="s">
        <v>43</v>
      </c>
      <c r="V1617" t="s">
        <v>43</v>
      </c>
      <c r="W1617" t="s">
        <v>43</v>
      </c>
      <c r="X1617" t="s">
        <v>43</v>
      </c>
      <c r="Y1617" t="s">
        <v>43</v>
      </c>
      <c r="Z1617" t="s">
        <v>43</v>
      </c>
      <c r="AA1617" t="s">
        <v>43</v>
      </c>
      <c r="AB1617" t="s">
        <v>43</v>
      </c>
      <c r="AC1617" t="s">
        <v>43</v>
      </c>
      <c r="AD1617" t="s">
        <v>43</v>
      </c>
      <c r="AE1617" t="s">
        <v>43</v>
      </c>
      <c r="AF1617" t="s">
        <v>43</v>
      </c>
      <c r="AG1617" t="s">
        <v>43</v>
      </c>
      <c r="AH1617" t="s">
        <v>43</v>
      </c>
      <c r="AI1617" t="s">
        <v>43</v>
      </c>
      <c r="AJ1617" t="s">
        <v>43</v>
      </c>
      <c r="AK1617" t="s">
        <v>43</v>
      </c>
      <c r="AL1617" t="s">
        <v>43</v>
      </c>
      <c r="AM1617" t="s">
        <v>43</v>
      </c>
      <c r="AN1617" t="s">
        <v>43</v>
      </c>
    </row>
    <row r="1618" spans="1:40" x14ac:dyDescent="0.3">
      <c r="A1618" s="1">
        <v>46210.8125</v>
      </c>
      <c r="B1618" t="s">
        <v>40</v>
      </c>
      <c r="C1618" t="s">
        <v>41</v>
      </c>
      <c r="D1618" s="1">
        <v>46210.815532407411</v>
      </c>
      <c r="E1618" t="s">
        <v>42</v>
      </c>
      <c r="F1618" t="s">
        <v>43</v>
      </c>
      <c r="G1618" t="s">
        <v>43</v>
      </c>
      <c r="H1618" t="s">
        <v>43</v>
      </c>
      <c r="I1618" t="s">
        <v>776</v>
      </c>
      <c r="J1618" t="s">
        <v>43</v>
      </c>
      <c r="K1618" t="s">
        <v>43</v>
      </c>
      <c r="L1618" t="s">
        <v>43</v>
      </c>
      <c r="M1618" t="s">
        <v>43</v>
      </c>
      <c r="N1618" t="s">
        <v>45</v>
      </c>
      <c r="O1618" t="s">
        <v>43</v>
      </c>
      <c r="P1618" t="s">
        <v>43</v>
      </c>
      <c r="Q1618" t="s">
        <v>43</v>
      </c>
      <c r="R1618" t="s">
        <v>43</v>
      </c>
      <c r="S1618" t="s">
        <v>43</v>
      </c>
      <c r="T1618" t="s">
        <v>43</v>
      </c>
      <c r="U1618" t="s">
        <v>43</v>
      </c>
      <c r="V1618" t="s">
        <v>43</v>
      </c>
      <c r="W1618" t="s">
        <v>43</v>
      </c>
      <c r="X1618" t="s">
        <v>43</v>
      </c>
      <c r="Y1618" t="s">
        <v>43</v>
      </c>
      <c r="Z1618" t="s">
        <v>43</v>
      </c>
      <c r="AA1618" t="s">
        <v>43</v>
      </c>
      <c r="AB1618" t="s">
        <v>43</v>
      </c>
      <c r="AC1618" t="s">
        <v>43</v>
      </c>
      <c r="AD1618" t="s">
        <v>43</v>
      </c>
      <c r="AE1618" t="s">
        <v>43</v>
      </c>
      <c r="AF1618" t="s">
        <v>43</v>
      </c>
      <c r="AG1618" t="s">
        <v>43</v>
      </c>
      <c r="AH1618" t="s">
        <v>43</v>
      </c>
      <c r="AI1618" t="s">
        <v>43</v>
      </c>
      <c r="AJ1618" t="s">
        <v>43</v>
      </c>
      <c r="AK1618" t="s">
        <v>43</v>
      </c>
      <c r="AL1618" t="s">
        <v>43</v>
      </c>
      <c r="AM1618" t="s">
        <v>43</v>
      </c>
      <c r="AN1618" t="str">
        <f>HYPERLINK("https://www.google.com/maps?q=11.05587387,79.06414032","Open Location")</f>
        <v>Open Location</v>
      </c>
    </row>
    <row r="1619" spans="1:40" x14ac:dyDescent="0.3">
      <c r="A1619" s="1">
        <v>46210.812384259261</v>
      </c>
      <c r="B1619" t="s">
        <v>40</v>
      </c>
      <c r="C1619" t="s">
        <v>41</v>
      </c>
      <c r="D1619" s="1">
        <v>46210.815057870372</v>
      </c>
      <c r="E1619" t="s">
        <v>42</v>
      </c>
      <c r="F1619" t="s">
        <v>43</v>
      </c>
      <c r="G1619" t="s">
        <v>43</v>
      </c>
      <c r="H1619" t="s">
        <v>43</v>
      </c>
      <c r="I1619" t="s">
        <v>777</v>
      </c>
      <c r="J1619" t="s">
        <v>43</v>
      </c>
      <c r="K1619" t="s">
        <v>43</v>
      </c>
      <c r="L1619" t="s">
        <v>43</v>
      </c>
      <c r="M1619" t="s">
        <v>43</v>
      </c>
      <c r="N1619" t="s">
        <v>45</v>
      </c>
      <c r="O1619" t="s">
        <v>43</v>
      </c>
      <c r="P1619" t="s">
        <v>43</v>
      </c>
      <c r="Q1619" t="s">
        <v>43</v>
      </c>
      <c r="R1619" t="s">
        <v>43</v>
      </c>
      <c r="S1619" t="s">
        <v>43</v>
      </c>
      <c r="T1619" t="s">
        <v>43</v>
      </c>
      <c r="U1619" t="s">
        <v>43</v>
      </c>
      <c r="V1619" t="s">
        <v>43</v>
      </c>
      <c r="W1619" t="s">
        <v>43</v>
      </c>
      <c r="X1619" t="s">
        <v>43</v>
      </c>
      <c r="Y1619" t="s">
        <v>43</v>
      </c>
      <c r="Z1619" t="s">
        <v>43</v>
      </c>
      <c r="AA1619" t="s">
        <v>43</v>
      </c>
      <c r="AB1619" t="s">
        <v>43</v>
      </c>
      <c r="AC1619" t="s">
        <v>43</v>
      </c>
      <c r="AD1619" t="s">
        <v>43</v>
      </c>
      <c r="AE1619" t="s">
        <v>43</v>
      </c>
      <c r="AF1619" t="s">
        <v>43</v>
      </c>
      <c r="AG1619" t="s">
        <v>43</v>
      </c>
      <c r="AH1619" t="s">
        <v>43</v>
      </c>
      <c r="AI1619" t="s">
        <v>43</v>
      </c>
      <c r="AJ1619" t="s">
        <v>43</v>
      </c>
      <c r="AK1619" t="s">
        <v>43</v>
      </c>
      <c r="AL1619" t="s">
        <v>43</v>
      </c>
      <c r="AM1619" t="s">
        <v>43</v>
      </c>
      <c r="AN1619" t="str">
        <f>HYPERLINK("https://www.google.com/maps?q=11.05587482,79.06414032","Open Location")</f>
        <v>Open Location</v>
      </c>
    </row>
    <row r="1620" spans="1:40" x14ac:dyDescent="0.3">
      <c r="A1620" s="1">
        <v>46210.812268518515</v>
      </c>
      <c r="B1620" t="s">
        <v>40</v>
      </c>
      <c r="C1620" t="s">
        <v>41</v>
      </c>
      <c r="D1620" s="1">
        <v>46210.815057870372</v>
      </c>
      <c r="E1620" t="s">
        <v>42</v>
      </c>
      <c r="F1620" t="s">
        <v>43</v>
      </c>
      <c r="G1620" t="s">
        <v>43</v>
      </c>
      <c r="H1620" t="s">
        <v>43</v>
      </c>
      <c r="I1620" t="s">
        <v>676</v>
      </c>
      <c r="J1620" t="s">
        <v>43</v>
      </c>
      <c r="K1620" t="s">
        <v>43</v>
      </c>
      <c r="L1620" t="s">
        <v>43</v>
      </c>
      <c r="M1620" t="s">
        <v>43</v>
      </c>
      <c r="N1620" t="s">
        <v>45</v>
      </c>
      <c r="O1620" t="s">
        <v>43</v>
      </c>
      <c r="P1620" t="s">
        <v>43</v>
      </c>
      <c r="Q1620" t="s">
        <v>43</v>
      </c>
      <c r="R1620" t="s">
        <v>43</v>
      </c>
      <c r="S1620" t="s">
        <v>43</v>
      </c>
      <c r="T1620" t="s">
        <v>43</v>
      </c>
      <c r="U1620" t="s">
        <v>43</v>
      </c>
      <c r="V1620" t="s">
        <v>43</v>
      </c>
      <c r="W1620" t="s">
        <v>43</v>
      </c>
      <c r="X1620" t="s">
        <v>43</v>
      </c>
      <c r="Y1620" t="s">
        <v>43</v>
      </c>
      <c r="Z1620" t="s">
        <v>43</v>
      </c>
      <c r="AA1620" t="s">
        <v>43</v>
      </c>
      <c r="AB1620" t="s">
        <v>43</v>
      </c>
      <c r="AC1620" t="s">
        <v>43</v>
      </c>
      <c r="AD1620" t="s">
        <v>43</v>
      </c>
      <c r="AE1620" t="s">
        <v>43</v>
      </c>
      <c r="AF1620" t="s">
        <v>43</v>
      </c>
      <c r="AG1620" t="s">
        <v>43</v>
      </c>
      <c r="AH1620" t="s">
        <v>43</v>
      </c>
      <c r="AI1620" t="s">
        <v>43</v>
      </c>
      <c r="AJ1620" t="s">
        <v>43</v>
      </c>
      <c r="AK1620" t="s">
        <v>43</v>
      </c>
      <c r="AL1620" t="s">
        <v>43</v>
      </c>
      <c r="AM1620" t="s">
        <v>43</v>
      </c>
      <c r="AN1620" t="str">
        <f>HYPERLINK("https://www.google.com/maps?q=11.05587578,79.06414032","Open Location")</f>
        <v>Open Location</v>
      </c>
    </row>
    <row r="1621" spans="1:40" x14ac:dyDescent="0.3">
      <c r="A1621" s="1">
        <v>46210.812152777777</v>
      </c>
      <c r="B1621" t="s">
        <v>40</v>
      </c>
      <c r="C1621" t="s">
        <v>41</v>
      </c>
      <c r="D1621" s="1">
        <v>46210.814872685187</v>
      </c>
      <c r="E1621" t="s">
        <v>42</v>
      </c>
      <c r="F1621" t="s">
        <v>43</v>
      </c>
      <c r="G1621" t="s">
        <v>43</v>
      </c>
      <c r="H1621" t="s">
        <v>43</v>
      </c>
      <c r="I1621" t="s">
        <v>646</v>
      </c>
      <c r="J1621" t="s">
        <v>43</v>
      </c>
      <c r="K1621" t="s">
        <v>43</v>
      </c>
      <c r="L1621" t="s">
        <v>43</v>
      </c>
      <c r="M1621" t="s">
        <v>43</v>
      </c>
      <c r="N1621" t="s">
        <v>45</v>
      </c>
      <c r="O1621" t="s">
        <v>43</v>
      </c>
      <c r="P1621" t="s">
        <v>43</v>
      </c>
      <c r="Q1621" t="s">
        <v>43</v>
      </c>
      <c r="R1621" t="s">
        <v>43</v>
      </c>
      <c r="S1621" t="s">
        <v>43</v>
      </c>
      <c r="T1621" t="s">
        <v>43</v>
      </c>
      <c r="U1621" t="s">
        <v>43</v>
      </c>
      <c r="V1621" t="s">
        <v>43</v>
      </c>
      <c r="W1621" t="s">
        <v>43</v>
      </c>
      <c r="X1621" t="s">
        <v>43</v>
      </c>
      <c r="Y1621" t="s">
        <v>43</v>
      </c>
      <c r="Z1621" t="s">
        <v>43</v>
      </c>
      <c r="AA1621" t="s">
        <v>43</v>
      </c>
      <c r="AB1621" t="s">
        <v>43</v>
      </c>
      <c r="AC1621" t="s">
        <v>43</v>
      </c>
      <c r="AD1621" t="s">
        <v>43</v>
      </c>
      <c r="AE1621" t="s">
        <v>43</v>
      </c>
      <c r="AF1621" t="s">
        <v>43</v>
      </c>
      <c r="AG1621" t="s">
        <v>43</v>
      </c>
      <c r="AH1621" t="s">
        <v>43</v>
      </c>
      <c r="AI1621" t="s">
        <v>43</v>
      </c>
      <c r="AJ1621" t="s">
        <v>43</v>
      </c>
      <c r="AK1621" t="s">
        <v>43</v>
      </c>
      <c r="AL1621" t="s">
        <v>43</v>
      </c>
      <c r="AM1621" t="s">
        <v>43</v>
      </c>
      <c r="AN1621" t="str">
        <f>HYPERLINK("https://www.google.com/maps?q=11.05587292,79.06415558","Open Location")</f>
        <v>Open Location</v>
      </c>
    </row>
    <row r="1622" spans="1:40" x14ac:dyDescent="0.3">
      <c r="A1622" s="1">
        <v>46210.812037037038</v>
      </c>
      <c r="B1622" t="s">
        <v>40</v>
      </c>
      <c r="C1622" t="s">
        <v>41</v>
      </c>
      <c r="D1622" s="1">
        <v>46210.814837962964</v>
      </c>
      <c r="E1622" t="s">
        <v>42</v>
      </c>
      <c r="F1622" t="s">
        <v>43</v>
      </c>
      <c r="G1622" t="s">
        <v>43</v>
      </c>
      <c r="H1622" t="s">
        <v>43</v>
      </c>
      <c r="I1622" t="s">
        <v>778</v>
      </c>
      <c r="J1622" t="s">
        <v>43</v>
      </c>
      <c r="K1622" t="s">
        <v>43</v>
      </c>
      <c r="L1622" t="s">
        <v>43</v>
      </c>
      <c r="M1622" t="s">
        <v>43</v>
      </c>
      <c r="N1622" t="s">
        <v>45</v>
      </c>
      <c r="O1622" t="s">
        <v>43</v>
      </c>
      <c r="P1622" t="s">
        <v>43</v>
      </c>
      <c r="Q1622" t="s">
        <v>43</v>
      </c>
      <c r="R1622" t="s">
        <v>43</v>
      </c>
      <c r="S1622" t="s">
        <v>43</v>
      </c>
      <c r="T1622" t="s">
        <v>43</v>
      </c>
      <c r="U1622" t="s">
        <v>43</v>
      </c>
      <c r="V1622" t="s">
        <v>43</v>
      </c>
      <c r="W1622" t="s">
        <v>43</v>
      </c>
      <c r="X1622" t="s">
        <v>43</v>
      </c>
      <c r="Y1622" t="s">
        <v>43</v>
      </c>
      <c r="Z1622" t="s">
        <v>43</v>
      </c>
      <c r="AA1622" t="s">
        <v>43</v>
      </c>
      <c r="AB1622" t="s">
        <v>43</v>
      </c>
      <c r="AC1622" t="s">
        <v>43</v>
      </c>
      <c r="AD1622" t="s">
        <v>43</v>
      </c>
      <c r="AE1622" t="s">
        <v>43</v>
      </c>
      <c r="AF1622" t="s">
        <v>43</v>
      </c>
      <c r="AG1622" t="s">
        <v>43</v>
      </c>
      <c r="AH1622" t="s">
        <v>43</v>
      </c>
      <c r="AI1622" t="s">
        <v>43</v>
      </c>
      <c r="AJ1622" t="s">
        <v>43</v>
      </c>
      <c r="AK1622" t="s">
        <v>43</v>
      </c>
      <c r="AL1622" t="s">
        <v>43</v>
      </c>
      <c r="AM1622" t="s">
        <v>43</v>
      </c>
      <c r="AN1622" t="str">
        <f>HYPERLINK("https://www.google.com/maps?q=11.0558672,79.06415558","Open Location")</f>
        <v>Open Location</v>
      </c>
    </row>
    <row r="1623" spans="1:40" x14ac:dyDescent="0.3">
      <c r="A1623" s="1">
        <v>46210.811921296299</v>
      </c>
      <c r="B1623" t="s">
        <v>40</v>
      </c>
      <c r="C1623" t="s">
        <v>41</v>
      </c>
      <c r="D1623" s="1">
        <v>46210.814629629633</v>
      </c>
      <c r="E1623" t="s">
        <v>42</v>
      </c>
      <c r="F1623" t="s">
        <v>43</v>
      </c>
      <c r="G1623" t="s">
        <v>43</v>
      </c>
      <c r="H1623" t="s">
        <v>43</v>
      </c>
      <c r="I1623" t="s">
        <v>43</v>
      </c>
      <c r="J1623" t="s">
        <v>43</v>
      </c>
      <c r="K1623" t="s">
        <v>43</v>
      </c>
      <c r="L1623" t="s">
        <v>43</v>
      </c>
      <c r="M1623" t="s">
        <v>43</v>
      </c>
      <c r="N1623" t="s">
        <v>45</v>
      </c>
      <c r="O1623" t="s">
        <v>43</v>
      </c>
      <c r="P1623" t="s">
        <v>43</v>
      </c>
      <c r="Q1623" t="s">
        <v>43</v>
      </c>
      <c r="R1623" t="s">
        <v>43</v>
      </c>
      <c r="S1623" t="s">
        <v>43</v>
      </c>
      <c r="T1623" t="s">
        <v>43</v>
      </c>
      <c r="U1623" t="s">
        <v>43</v>
      </c>
      <c r="V1623" t="s">
        <v>43</v>
      </c>
      <c r="W1623" t="s">
        <v>43</v>
      </c>
      <c r="X1623" t="s">
        <v>43</v>
      </c>
      <c r="Y1623" t="s">
        <v>43</v>
      </c>
      <c r="Z1623" t="s">
        <v>43</v>
      </c>
      <c r="AA1623" t="s">
        <v>43</v>
      </c>
      <c r="AB1623" t="s">
        <v>43</v>
      </c>
      <c r="AC1623" t="s">
        <v>43</v>
      </c>
      <c r="AD1623" t="s">
        <v>43</v>
      </c>
      <c r="AE1623" t="s">
        <v>43</v>
      </c>
      <c r="AF1623" t="s">
        <v>43</v>
      </c>
      <c r="AG1623" t="s">
        <v>43</v>
      </c>
      <c r="AH1623" t="s">
        <v>43</v>
      </c>
      <c r="AI1623" t="s">
        <v>43</v>
      </c>
      <c r="AJ1623" t="s">
        <v>43</v>
      </c>
      <c r="AK1623" t="s">
        <v>43</v>
      </c>
      <c r="AL1623" t="s">
        <v>43</v>
      </c>
      <c r="AM1623" t="s">
        <v>43</v>
      </c>
      <c r="AN1623" t="s">
        <v>43</v>
      </c>
    </row>
    <row r="1624" spans="1:40" x14ac:dyDescent="0.3">
      <c r="A1624" s="1">
        <v>46210.811805555553</v>
      </c>
      <c r="B1624" t="s">
        <v>40</v>
      </c>
      <c r="C1624" t="s">
        <v>41</v>
      </c>
      <c r="D1624" s="1">
        <v>46210.814687500002</v>
      </c>
      <c r="E1624" t="s">
        <v>42</v>
      </c>
      <c r="F1624" t="s">
        <v>43</v>
      </c>
      <c r="G1624" t="s">
        <v>43</v>
      </c>
      <c r="H1624" t="s">
        <v>43</v>
      </c>
      <c r="I1624" t="s">
        <v>779</v>
      </c>
      <c r="J1624" t="s">
        <v>43</v>
      </c>
      <c r="K1624" t="s">
        <v>43</v>
      </c>
      <c r="L1624" t="s">
        <v>43</v>
      </c>
      <c r="M1624" t="s">
        <v>43</v>
      </c>
      <c r="N1624" t="s">
        <v>45</v>
      </c>
      <c r="O1624" t="s">
        <v>43</v>
      </c>
      <c r="P1624" t="s">
        <v>43</v>
      </c>
      <c r="Q1624" t="s">
        <v>43</v>
      </c>
      <c r="R1624" t="s">
        <v>43</v>
      </c>
      <c r="S1624" t="s">
        <v>43</v>
      </c>
      <c r="T1624" t="s">
        <v>43</v>
      </c>
      <c r="U1624" t="s">
        <v>43</v>
      </c>
      <c r="V1624" t="s">
        <v>43</v>
      </c>
      <c r="W1624" t="s">
        <v>43</v>
      </c>
      <c r="X1624" t="s">
        <v>43</v>
      </c>
      <c r="Y1624" t="s">
        <v>43</v>
      </c>
      <c r="Z1624" t="s">
        <v>43</v>
      </c>
      <c r="AA1624" t="s">
        <v>43</v>
      </c>
      <c r="AB1624" t="s">
        <v>43</v>
      </c>
      <c r="AC1624" t="s">
        <v>43</v>
      </c>
      <c r="AD1624" t="s">
        <v>43</v>
      </c>
      <c r="AE1624" t="s">
        <v>43</v>
      </c>
      <c r="AF1624" t="s">
        <v>43</v>
      </c>
      <c r="AG1624" t="s">
        <v>43</v>
      </c>
      <c r="AH1624" t="s">
        <v>43</v>
      </c>
      <c r="AI1624" t="s">
        <v>43</v>
      </c>
      <c r="AJ1624" t="s">
        <v>43</v>
      </c>
      <c r="AK1624" t="s">
        <v>43</v>
      </c>
      <c r="AL1624" t="s">
        <v>43</v>
      </c>
      <c r="AM1624" t="s">
        <v>43</v>
      </c>
      <c r="AN1624" t="str">
        <f>HYPERLINK("https://www.google.com/maps?q=11.05586338,79.06415558","Open Location")</f>
        <v>Open Location</v>
      </c>
    </row>
    <row r="1625" spans="1:40" x14ac:dyDescent="0.3">
      <c r="A1625" s="1">
        <v>46210.811689814815</v>
      </c>
      <c r="B1625" t="s">
        <v>40</v>
      </c>
      <c r="C1625" t="s">
        <v>41</v>
      </c>
      <c r="D1625" s="1">
        <v>46210.814456018517</v>
      </c>
      <c r="E1625" t="s">
        <v>42</v>
      </c>
      <c r="F1625" t="s">
        <v>43</v>
      </c>
      <c r="G1625" t="s">
        <v>43</v>
      </c>
      <c r="H1625" t="s">
        <v>43</v>
      </c>
      <c r="I1625" t="s">
        <v>779</v>
      </c>
      <c r="J1625" t="s">
        <v>43</v>
      </c>
      <c r="K1625" t="s">
        <v>43</v>
      </c>
      <c r="L1625" t="s">
        <v>43</v>
      </c>
      <c r="M1625" t="s">
        <v>43</v>
      </c>
      <c r="N1625" t="s">
        <v>45</v>
      </c>
      <c r="O1625" t="s">
        <v>43</v>
      </c>
      <c r="P1625" t="s">
        <v>43</v>
      </c>
      <c r="Q1625" t="s">
        <v>43</v>
      </c>
      <c r="R1625" t="s">
        <v>43</v>
      </c>
      <c r="S1625" t="s">
        <v>43</v>
      </c>
      <c r="T1625" t="s">
        <v>43</v>
      </c>
      <c r="U1625" t="s">
        <v>43</v>
      </c>
      <c r="V1625" t="s">
        <v>43</v>
      </c>
      <c r="W1625" t="s">
        <v>43</v>
      </c>
      <c r="X1625" t="s">
        <v>43</v>
      </c>
      <c r="Y1625" t="s">
        <v>43</v>
      </c>
      <c r="Z1625" t="s">
        <v>43</v>
      </c>
      <c r="AA1625" t="s">
        <v>43</v>
      </c>
      <c r="AB1625" t="s">
        <v>43</v>
      </c>
      <c r="AC1625" t="s">
        <v>43</v>
      </c>
      <c r="AD1625" t="s">
        <v>43</v>
      </c>
      <c r="AE1625" t="s">
        <v>43</v>
      </c>
      <c r="AF1625" t="s">
        <v>43</v>
      </c>
      <c r="AG1625" t="s">
        <v>43</v>
      </c>
      <c r="AH1625" t="s">
        <v>43</v>
      </c>
      <c r="AI1625" t="s">
        <v>43</v>
      </c>
      <c r="AJ1625" t="s">
        <v>43</v>
      </c>
      <c r="AK1625" t="s">
        <v>43</v>
      </c>
      <c r="AL1625" t="s">
        <v>43</v>
      </c>
      <c r="AM1625" t="s">
        <v>43</v>
      </c>
      <c r="AN1625" t="str">
        <f>HYPERLINK("https://www.google.com/maps?q=11.05586338,79.06415558","Open Location")</f>
        <v>Open Location</v>
      </c>
    </row>
    <row r="1626" spans="1:40" x14ac:dyDescent="0.3">
      <c r="A1626" s="1">
        <v>46210.811574074076</v>
      </c>
      <c r="B1626" t="s">
        <v>40</v>
      </c>
      <c r="C1626" t="s">
        <v>41</v>
      </c>
      <c r="D1626" s="1">
        <v>46210.814513888887</v>
      </c>
      <c r="E1626" t="s">
        <v>42</v>
      </c>
      <c r="F1626" t="s">
        <v>43</v>
      </c>
      <c r="G1626" t="s">
        <v>43</v>
      </c>
      <c r="H1626" t="s">
        <v>43</v>
      </c>
      <c r="I1626" t="s">
        <v>780</v>
      </c>
      <c r="J1626" t="s">
        <v>43</v>
      </c>
      <c r="K1626" t="s">
        <v>43</v>
      </c>
      <c r="L1626" t="s">
        <v>43</v>
      </c>
      <c r="M1626" t="s">
        <v>43</v>
      </c>
      <c r="N1626" t="s">
        <v>45</v>
      </c>
      <c r="O1626" t="s">
        <v>43</v>
      </c>
      <c r="P1626" t="s">
        <v>43</v>
      </c>
      <c r="Q1626" t="s">
        <v>43</v>
      </c>
      <c r="R1626" t="s">
        <v>43</v>
      </c>
      <c r="S1626" t="s">
        <v>43</v>
      </c>
      <c r="T1626" t="s">
        <v>43</v>
      </c>
      <c r="U1626" t="s">
        <v>43</v>
      </c>
      <c r="V1626" t="s">
        <v>43</v>
      </c>
      <c r="W1626" t="s">
        <v>43</v>
      </c>
      <c r="X1626" t="s">
        <v>43</v>
      </c>
      <c r="Y1626" t="s">
        <v>43</v>
      </c>
      <c r="Z1626" t="s">
        <v>43</v>
      </c>
      <c r="AA1626" t="s">
        <v>43</v>
      </c>
      <c r="AB1626" t="s">
        <v>43</v>
      </c>
      <c r="AC1626" t="s">
        <v>43</v>
      </c>
      <c r="AD1626" t="s">
        <v>43</v>
      </c>
      <c r="AE1626" t="s">
        <v>43</v>
      </c>
      <c r="AF1626" t="s">
        <v>43</v>
      </c>
      <c r="AG1626" t="s">
        <v>43</v>
      </c>
      <c r="AH1626" t="s">
        <v>43</v>
      </c>
      <c r="AI1626" t="s">
        <v>43</v>
      </c>
      <c r="AJ1626" t="s">
        <v>43</v>
      </c>
      <c r="AK1626" t="s">
        <v>43</v>
      </c>
      <c r="AL1626" t="s">
        <v>43</v>
      </c>
      <c r="AM1626" t="s">
        <v>43</v>
      </c>
      <c r="AN1626" t="str">
        <f>HYPERLINK("https://www.google.com/maps?q=11.05586147,79.06414032","Open Location")</f>
        <v>Open Location</v>
      </c>
    </row>
    <row r="1627" spans="1:40" x14ac:dyDescent="0.3">
      <c r="A1627" s="1">
        <v>46210.81145833333</v>
      </c>
      <c r="B1627" t="s">
        <v>40</v>
      </c>
      <c r="C1627" t="s">
        <v>41</v>
      </c>
      <c r="D1627" s="1">
        <v>46210.814189814817</v>
      </c>
      <c r="E1627" t="s">
        <v>42</v>
      </c>
      <c r="F1627" t="s">
        <v>43</v>
      </c>
      <c r="G1627" t="s">
        <v>43</v>
      </c>
      <c r="H1627" t="s">
        <v>43</v>
      </c>
      <c r="I1627" t="s">
        <v>781</v>
      </c>
      <c r="J1627" t="s">
        <v>43</v>
      </c>
      <c r="K1627" t="s">
        <v>43</v>
      </c>
      <c r="L1627" t="s">
        <v>43</v>
      </c>
      <c r="M1627" t="s">
        <v>43</v>
      </c>
      <c r="N1627" t="s">
        <v>45</v>
      </c>
      <c r="O1627" t="s">
        <v>43</v>
      </c>
      <c r="P1627" t="s">
        <v>43</v>
      </c>
      <c r="Q1627" t="s">
        <v>43</v>
      </c>
      <c r="R1627" t="s">
        <v>43</v>
      </c>
      <c r="S1627" t="s">
        <v>43</v>
      </c>
      <c r="T1627" t="s">
        <v>43</v>
      </c>
      <c r="U1627" t="s">
        <v>43</v>
      </c>
      <c r="V1627" t="s">
        <v>43</v>
      </c>
      <c r="W1627" t="s">
        <v>43</v>
      </c>
      <c r="X1627" t="s">
        <v>43</v>
      </c>
      <c r="Y1627" t="s">
        <v>43</v>
      </c>
      <c r="Z1627" t="s">
        <v>43</v>
      </c>
      <c r="AA1627" t="s">
        <v>43</v>
      </c>
      <c r="AB1627" t="s">
        <v>43</v>
      </c>
      <c r="AC1627" t="s">
        <v>43</v>
      </c>
      <c r="AD1627" t="s">
        <v>43</v>
      </c>
      <c r="AE1627" t="s">
        <v>43</v>
      </c>
      <c r="AF1627" t="s">
        <v>43</v>
      </c>
      <c r="AG1627" t="s">
        <v>43</v>
      </c>
      <c r="AH1627" t="s">
        <v>43</v>
      </c>
      <c r="AI1627" t="s">
        <v>43</v>
      </c>
      <c r="AJ1627" t="s">
        <v>43</v>
      </c>
      <c r="AK1627" t="s">
        <v>43</v>
      </c>
      <c r="AL1627" t="s">
        <v>43</v>
      </c>
      <c r="AM1627" t="s">
        <v>43</v>
      </c>
      <c r="AN1627" t="str">
        <f>HYPERLINK("https://www.google.com/maps?q=11.05585861,79.06414032","Open Location")</f>
        <v>Open Location</v>
      </c>
    </row>
    <row r="1628" spans="1:40" x14ac:dyDescent="0.3">
      <c r="A1628" s="1">
        <v>46210.811342592591</v>
      </c>
      <c r="B1628" t="s">
        <v>40</v>
      </c>
      <c r="C1628" t="s">
        <v>41</v>
      </c>
      <c r="D1628" s="1">
        <v>46210.814166666663</v>
      </c>
      <c r="E1628" t="s">
        <v>42</v>
      </c>
      <c r="F1628" t="s">
        <v>43</v>
      </c>
      <c r="G1628" t="s">
        <v>43</v>
      </c>
      <c r="H1628" t="s">
        <v>43</v>
      </c>
      <c r="I1628" t="s">
        <v>43</v>
      </c>
      <c r="J1628" t="s">
        <v>43</v>
      </c>
      <c r="K1628" t="s">
        <v>43</v>
      </c>
      <c r="L1628" t="s">
        <v>43</v>
      </c>
      <c r="M1628" t="s">
        <v>43</v>
      </c>
      <c r="N1628" t="s">
        <v>45</v>
      </c>
      <c r="O1628" t="s">
        <v>43</v>
      </c>
      <c r="P1628" t="s">
        <v>43</v>
      </c>
      <c r="Q1628" t="s">
        <v>43</v>
      </c>
      <c r="R1628" t="s">
        <v>43</v>
      </c>
      <c r="S1628" t="s">
        <v>43</v>
      </c>
      <c r="T1628" t="s">
        <v>43</v>
      </c>
      <c r="U1628" t="s">
        <v>43</v>
      </c>
      <c r="V1628" t="s">
        <v>43</v>
      </c>
      <c r="W1628" t="s">
        <v>43</v>
      </c>
      <c r="X1628" t="s">
        <v>43</v>
      </c>
      <c r="Y1628" t="s">
        <v>43</v>
      </c>
      <c r="Z1628" t="s">
        <v>43</v>
      </c>
      <c r="AA1628" t="s">
        <v>43</v>
      </c>
      <c r="AB1628" t="s">
        <v>43</v>
      </c>
      <c r="AC1628" t="s">
        <v>43</v>
      </c>
      <c r="AD1628" t="s">
        <v>43</v>
      </c>
      <c r="AE1628" t="s">
        <v>43</v>
      </c>
      <c r="AF1628" t="s">
        <v>43</v>
      </c>
      <c r="AG1628" t="s">
        <v>43</v>
      </c>
      <c r="AH1628" t="s">
        <v>43</v>
      </c>
      <c r="AI1628" t="s">
        <v>43</v>
      </c>
      <c r="AJ1628" t="s">
        <v>43</v>
      </c>
      <c r="AK1628" t="s">
        <v>43</v>
      </c>
      <c r="AL1628" t="s">
        <v>43</v>
      </c>
      <c r="AM1628" t="s">
        <v>43</v>
      </c>
      <c r="AN1628" t="s">
        <v>43</v>
      </c>
    </row>
    <row r="1629" spans="1:40" x14ac:dyDescent="0.3">
      <c r="A1629" s="1">
        <v>46210.811226851853</v>
      </c>
      <c r="B1629" t="s">
        <v>40</v>
      </c>
      <c r="C1629" t="s">
        <v>41</v>
      </c>
      <c r="D1629" s="1">
        <v>46210.814201388886</v>
      </c>
      <c r="E1629" t="s">
        <v>42</v>
      </c>
      <c r="F1629" t="s">
        <v>43</v>
      </c>
      <c r="G1629" t="s">
        <v>43</v>
      </c>
      <c r="H1629" t="s">
        <v>43</v>
      </c>
      <c r="I1629" t="s">
        <v>782</v>
      </c>
      <c r="J1629" t="s">
        <v>43</v>
      </c>
      <c r="K1629" t="s">
        <v>43</v>
      </c>
      <c r="L1629" t="s">
        <v>43</v>
      </c>
      <c r="M1629" t="s">
        <v>43</v>
      </c>
      <c r="N1629" t="s">
        <v>45</v>
      </c>
      <c r="O1629" t="s">
        <v>43</v>
      </c>
      <c r="P1629" t="s">
        <v>43</v>
      </c>
      <c r="Q1629" t="s">
        <v>43</v>
      </c>
      <c r="R1629" t="s">
        <v>43</v>
      </c>
      <c r="S1629" t="s">
        <v>43</v>
      </c>
      <c r="T1629" t="s">
        <v>43</v>
      </c>
      <c r="U1629" t="s">
        <v>43</v>
      </c>
      <c r="V1629" t="s">
        <v>43</v>
      </c>
      <c r="W1629" t="s">
        <v>43</v>
      </c>
      <c r="X1629" t="s">
        <v>43</v>
      </c>
      <c r="Y1629" t="s">
        <v>43</v>
      </c>
      <c r="Z1629" t="s">
        <v>43</v>
      </c>
      <c r="AA1629" t="s">
        <v>43</v>
      </c>
      <c r="AB1629" t="s">
        <v>43</v>
      </c>
      <c r="AC1629" t="s">
        <v>43</v>
      </c>
      <c r="AD1629" t="s">
        <v>43</v>
      </c>
      <c r="AE1629" t="s">
        <v>43</v>
      </c>
      <c r="AF1629" t="s">
        <v>43</v>
      </c>
      <c r="AG1629" t="s">
        <v>43</v>
      </c>
      <c r="AH1629" t="s">
        <v>43</v>
      </c>
      <c r="AI1629" t="s">
        <v>43</v>
      </c>
      <c r="AJ1629" t="s">
        <v>43</v>
      </c>
      <c r="AK1629" t="s">
        <v>43</v>
      </c>
      <c r="AL1629" t="s">
        <v>43</v>
      </c>
      <c r="AM1629" t="s">
        <v>43</v>
      </c>
      <c r="AN1629" t="str">
        <f>HYPERLINK("https://www.google.com/maps?q=11.05585766,79.06414032","Open Location")</f>
        <v>Open Location</v>
      </c>
    </row>
    <row r="1630" spans="1:40" x14ac:dyDescent="0.3">
      <c r="A1630" s="1">
        <v>46210.811111111114</v>
      </c>
      <c r="B1630" t="s">
        <v>40</v>
      </c>
      <c r="C1630" t="s">
        <v>41</v>
      </c>
      <c r="D1630" s="1">
        <v>46210.814062500001</v>
      </c>
      <c r="E1630" t="s">
        <v>42</v>
      </c>
      <c r="F1630" t="s">
        <v>43</v>
      </c>
      <c r="G1630" t="s">
        <v>43</v>
      </c>
      <c r="H1630" t="s">
        <v>43</v>
      </c>
      <c r="I1630" t="s">
        <v>783</v>
      </c>
      <c r="J1630" t="s">
        <v>43</v>
      </c>
      <c r="K1630" t="s">
        <v>43</v>
      </c>
      <c r="L1630" t="s">
        <v>43</v>
      </c>
      <c r="M1630" t="s">
        <v>43</v>
      </c>
      <c r="N1630" t="s">
        <v>45</v>
      </c>
      <c r="O1630" t="s">
        <v>43</v>
      </c>
      <c r="P1630" t="s">
        <v>43</v>
      </c>
      <c r="Q1630" t="s">
        <v>43</v>
      </c>
      <c r="R1630" t="s">
        <v>43</v>
      </c>
      <c r="S1630" t="s">
        <v>43</v>
      </c>
      <c r="T1630" t="s">
        <v>43</v>
      </c>
      <c r="U1630" t="s">
        <v>43</v>
      </c>
      <c r="V1630" t="s">
        <v>43</v>
      </c>
      <c r="W1630" t="s">
        <v>43</v>
      </c>
      <c r="X1630" t="s">
        <v>43</v>
      </c>
      <c r="Y1630" t="s">
        <v>43</v>
      </c>
      <c r="Z1630" t="s">
        <v>43</v>
      </c>
      <c r="AA1630" t="s">
        <v>43</v>
      </c>
      <c r="AB1630" t="s">
        <v>43</v>
      </c>
      <c r="AC1630" t="s">
        <v>43</v>
      </c>
      <c r="AD1630" t="s">
        <v>43</v>
      </c>
      <c r="AE1630" t="s">
        <v>43</v>
      </c>
      <c r="AF1630" t="s">
        <v>43</v>
      </c>
      <c r="AG1630" t="s">
        <v>43</v>
      </c>
      <c r="AH1630" t="s">
        <v>43</v>
      </c>
      <c r="AI1630" t="s">
        <v>43</v>
      </c>
      <c r="AJ1630" t="s">
        <v>43</v>
      </c>
      <c r="AK1630" t="s">
        <v>43</v>
      </c>
      <c r="AL1630" t="s">
        <v>43</v>
      </c>
      <c r="AM1630" t="s">
        <v>43</v>
      </c>
      <c r="AN1630" t="str">
        <f>HYPERLINK("https://www.google.com/maps?q=11.05586243,79.06414032","Open Location")</f>
        <v>Open Location</v>
      </c>
    </row>
    <row r="1631" spans="1:40" x14ac:dyDescent="0.3">
      <c r="A1631" s="1">
        <v>46210.810995370368</v>
      </c>
      <c r="B1631" t="s">
        <v>40</v>
      </c>
      <c r="C1631" t="s">
        <v>41</v>
      </c>
      <c r="D1631" s="1">
        <v>46210.814027777778</v>
      </c>
      <c r="E1631" t="s">
        <v>42</v>
      </c>
      <c r="F1631" t="s">
        <v>43</v>
      </c>
      <c r="G1631" t="s">
        <v>43</v>
      </c>
      <c r="H1631" t="s">
        <v>43</v>
      </c>
      <c r="I1631" t="s">
        <v>738</v>
      </c>
      <c r="J1631" t="s">
        <v>43</v>
      </c>
      <c r="K1631" t="s">
        <v>43</v>
      </c>
      <c r="L1631" t="s">
        <v>43</v>
      </c>
      <c r="M1631" t="s">
        <v>43</v>
      </c>
      <c r="N1631" t="s">
        <v>45</v>
      </c>
      <c r="O1631" t="s">
        <v>43</v>
      </c>
      <c r="P1631" t="s">
        <v>43</v>
      </c>
      <c r="Q1631" t="s">
        <v>43</v>
      </c>
      <c r="R1631" t="s">
        <v>43</v>
      </c>
      <c r="S1631" t="s">
        <v>43</v>
      </c>
      <c r="T1631" t="s">
        <v>43</v>
      </c>
      <c r="U1631" t="s">
        <v>43</v>
      </c>
      <c r="V1631" t="s">
        <v>43</v>
      </c>
      <c r="W1631" t="s">
        <v>43</v>
      </c>
      <c r="X1631" t="s">
        <v>43</v>
      </c>
      <c r="Y1631" t="s">
        <v>43</v>
      </c>
      <c r="Z1631" t="s">
        <v>43</v>
      </c>
      <c r="AA1631" t="s">
        <v>43</v>
      </c>
      <c r="AB1631" t="s">
        <v>43</v>
      </c>
      <c r="AC1631" t="s">
        <v>43</v>
      </c>
      <c r="AD1631" t="s">
        <v>43</v>
      </c>
      <c r="AE1631" t="s">
        <v>43</v>
      </c>
      <c r="AF1631" t="s">
        <v>43</v>
      </c>
      <c r="AG1631" t="s">
        <v>43</v>
      </c>
      <c r="AH1631" t="s">
        <v>43</v>
      </c>
      <c r="AI1631" t="s">
        <v>43</v>
      </c>
      <c r="AJ1631" t="s">
        <v>43</v>
      </c>
      <c r="AK1631" t="s">
        <v>43</v>
      </c>
      <c r="AL1631" t="s">
        <v>43</v>
      </c>
      <c r="AM1631" t="s">
        <v>43</v>
      </c>
      <c r="AN1631" t="str">
        <f>HYPERLINK("https://www.google.com/maps?q=11.0558672,79.06412506","Open Location")</f>
        <v>Open Location</v>
      </c>
    </row>
    <row r="1632" spans="1:40" x14ac:dyDescent="0.3">
      <c r="A1632" s="1">
        <v>46210.810879629629</v>
      </c>
      <c r="B1632" t="s">
        <v>40</v>
      </c>
      <c r="C1632" t="s">
        <v>41</v>
      </c>
      <c r="D1632" s="1">
        <v>46210.814027777778</v>
      </c>
      <c r="E1632" t="s">
        <v>42</v>
      </c>
      <c r="F1632" t="s">
        <v>43</v>
      </c>
      <c r="G1632" t="s">
        <v>43</v>
      </c>
      <c r="H1632" t="s">
        <v>43</v>
      </c>
      <c r="I1632" t="s">
        <v>784</v>
      </c>
      <c r="J1632" t="s">
        <v>43</v>
      </c>
      <c r="K1632" t="s">
        <v>43</v>
      </c>
      <c r="L1632" t="s">
        <v>43</v>
      </c>
      <c r="M1632" t="s">
        <v>43</v>
      </c>
      <c r="N1632" t="s">
        <v>45</v>
      </c>
      <c r="O1632" t="s">
        <v>43</v>
      </c>
      <c r="P1632" t="s">
        <v>43</v>
      </c>
      <c r="Q1632" t="s">
        <v>43</v>
      </c>
      <c r="R1632" t="s">
        <v>43</v>
      </c>
      <c r="S1632" t="s">
        <v>43</v>
      </c>
      <c r="T1632" t="s">
        <v>43</v>
      </c>
      <c r="U1632" t="s">
        <v>43</v>
      </c>
      <c r="V1632" t="s">
        <v>43</v>
      </c>
      <c r="W1632" t="s">
        <v>43</v>
      </c>
      <c r="X1632" t="s">
        <v>43</v>
      </c>
      <c r="Y1632" t="s">
        <v>43</v>
      </c>
      <c r="Z1632" t="s">
        <v>43</v>
      </c>
      <c r="AA1632" t="s">
        <v>43</v>
      </c>
      <c r="AB1632" t="s">
        <v>43</v>
      </c>
      <c r="AC1632" t="s">
        <v>43</v>
      </c>
      <c r="AD1632" t="s">
        <v>43</v>
      </c>
      <c r="AE1632" t="s">
        <v>43</v>
      </c>
      <c r="AF1632" t="s">
        <v>43</v>
      </c>
      <c r="AG1632" t="s">
        <v>43</v>
      </c>
      <c r="AH1632" t="s">
        <v>43</v>
      </c>
      <c r="AI1632" t="s">
        <v>43</v>
      </c>
      <c r="AJ1632" t="s">
        <v>43</v>
      </c>
      <c r="AK1632" t="s">
        <v>43</v>
      </c>
      <c r="AL1632" t="s">
        <v>43</v>
      </c>
      <c r="AM1632" t="s">
        <v>43</v>
      </c>
      <c r="AN1632" t="str">
        <f>HYPERLINK("https://www.google.com/maps?q=11.05586815,79.06412506","Open Location")</f>
        <v>Open Location</v>
      </c>
    </row>
    <row r="1633" spans="1:40" x14ac:dyDescent="0.3">
      <c r="A1633" s="1">
        <v>46210.810763888891</v>
      </c>
      <c r="B1633" t="s">
        <v>40</v>
      </c>
      <c r="C1633" t="s">
        <v>41</v>
      </c>
      <c r="D1633" s="1">
        <v>46210.813437500001</v>
      </c>
      <c r="E1633" t="s">
        <v>42</v>
      </c>
      <c r="F1633" t="s">
        <v>43</v>
      </c>
      <c r="G1633" t="s">
        <v>43</v>
      </c>
      <c r="H1633" t="s">
        <v>43</v>
      </c>
      <c r="I1633" t="s">
        <v>661</v>
      </c>
      <c r="J1633" t="s">
        <v>43</v>
      </c>
      <c r="K1633" t="s">
        <v>43</v>
      </c>
      <c r="L1633" t="s">
        <v>43</v>
      </c>
      <c r="M1633" t="s">
        <v>43</v>
      </c>
      <c r="N1633" t="s">
        <v>45</v>
      </c>
      <c r="O1633" t="s">
        <v>43</v>
      </c>
      <c r="P1633" t="s">
        <v>43</v>
      </c>
      <c r="Q1633" t="s">
        <v>43</v>
      </c>
      <c r="R1633" t="s">
        <v>43</v>
      </c>
      <c r="S1633" t="s">
        <v>43</v>
      </c>
      <c r="T1633" t="s">
        <v>43</v>
      </c>
      <c r="U1633" t="s">
        <v>43</v>
      </c>
      <c r="V1633" t="s">
        <v>43</v>
      </c>
      <c r="W1633" t="s">
        <v>43</v>
      </c>
      <c r="X1633" t="s">
        <v>43</v>
      </c>
      <c r="Y1633" t="s">
        <v>43</v>
      </c>
      <c r="Z1633" t="s">
        <v>43</v>
      </c>
      <c r="AA1633" t="s">
        <v>43</v>
      </c>
      <c r="AB1633" t="s">
        <v>43</v>
      </c>
      <c r="AC1633" t="s">
        <v>43</v>
      </c>
      <c r="AD1633" t="s">
        <v>43</v>
      </c>
      <c r="AE1633" t="s">
        <v>43</v>
      </c>
      <c r="AF1633" t="s">
        <v>43</v>
      </c>
      <c r="AG1633" t="s">
        <v>43</v>
      </c>
      <c r="AH1633" t="s">
        <v>43</v>
      </c>
      <c r="AI1633" t="s">
        <v>43</v>
      </c>
      <c r="AJ1633" t="s">
        <v>43</v>
      </c>
      <c r="AK1633" t="s">
        <v>43</v>
      </c>
      <c r="AL1633" t="s">
        <v>43</v>
      </c>
      <c r="AM1633" t="s">
        <v>43</v>
      </c>
      <c r="AN1633" t="str">
        <f>HYPERLINK("https://www.google.com/maps?q=11.05587196,79.06411743","Open Location")</f>
        <v>Open Location</v>
      </c>
    </row>
    <row r="1634" spans="1:40" x14ac:dyDescent="0.3">
      <c r="A1634" s="1">
        <v>46210.810648148145</v>
      </c>
      <c r="B1634" t="s">
        <v>40</v>
      </c>
      <c r="C1634" t="s">
        <v>41</v>
      </c>
      <c r="D1634" s="1">
        <v>46210.813807870371</v>
      </c>
      <c r="E1634" t="s">
        <v>42</v>
      </c>
      <c r="F1634" t="s">
        <v>43</v>
      </c>
      <c r="G1634" t="s">
        <v>43</v>
      </c>
      <c r="H1634" t="s">
        <v>43</v>
      </c>
      <c r="I1634" t="s">
        <v>43</v>
      </c>
      <c r="J1634" t="s">
        <v>43</v>
      </c>
      <c r="K1634" t="s">
        <v>43</v>
      </c>
      <c r="L1634" t="s">
        <v>43</v>
      </c>
      <c r="M1634" t="s">
        <v>43</v>
      </c>
      <c r="N1634" t="s">
        <v>45</v>
      </c>
      <c r="O1634" t="s">
        <v>43</v>
      </c>
      <c r="P1634" t="s">
        <v>43</v>
      </c>
      <c r="Q1634" t="s">
        <v>43</v>
      </c>
      <c r="R1634" t="s">
        <v>43</v>
      </c>
      <c r="S1634" t="s">
        <v>43</v>
      </c>
      <c r="T1634" t="s">
        <v>43</v>
      </c>
      <c r="U1634" t="s">
        <v>43</v>
      </c>
      <c r="V1634" t="s">
        <v>43</v>
      </c>
      <c r="W1634" t="s">
        <v>43</v>
      </c>
      <c r="X1634" t="s">
        <v>43</v>
      </c>
      <c r="Y1634" t="s">
        <v>43</v>
      </c>
      <c r="Z1634" t="s">
        <v>43</v>
      </c>
      <c r="AA1634" t="s">
        <v>43</v>
      </c>
      <c r="AB1634" t="s">
        <v>43</v>
      </c>
      <c r="AC1634" t="s">
        <v>43</v>
      </c>
      <c r="AD1634" t="s">
        <v>43</v>
      </c>
      <c r="AE1634" t="s">
        <v>43</v>
      </c>
      <c r="AF1634" t="s">
        <v>43</v>
      </c>
      <c r="AG1634" t="s">
        <v>43</v>
      </c>
      <c r="AH1634" t="s">
        <v>43</v>
      </c>
      <c r="AI1634" t="s">
        <v>43</v>
      </c>
      <c r="AJ1634" t="s">
        <v>43</v>
      </c>
      <c r="AK1634" t="s">
        <v>43</v>
      </c>
      <c r="AL1634" t="s">
        <v>43</v>
      </c>
      <c r="AM1634" t="s">
        <v>43</v>
      </c>
      <c r="AN1634" t="s">
        <v>43</v>
      </c>
    </row>
    <row r="1635" spans="1:40" x14ac:dyDescent="0.3">
      <c r="A1635" s="1">
        <v>46210.810532407406</v>
      </c>
      <c r="B1635" t="s">
        <v>40</v>
      </c>
      <c r="C1635" t="s">
        <v>41</v>
      </c>
      <c r="D1635" s="1">
        <v>46210.813321759262</v>
      </c>
      <c r="E1635" t="s">
        <v>42</v>
      </c>
      <c r="F1635" t="s">
        <v>43</v>
      </c>
      <c r="G1635" t="s">
        <v>43</v>
      </c>
      <c r="H1635" t="s">
        <v>43</v>
      </c>
      <c r="I1635" t="s">
        <v>785</v>
      </c>
      <c r="J1635" t="s">
        <v>43</v>
      </c>
      <c r="K1635" t="s">
        <v>43</v>
      </c>
      <c r="L1635" t="s">
        <v>43</v>
      </c>
      <c r="M1635" t="s">
        <v>43</v>
      </c>
      <c r="N1635" t="s">
        <v>45</v>
      </c>
      <c r="O1635" t="s">
        <v>43</v>
      </c>
      <c r="P1635" t="s">
        <v>43</v>
      </c>
      <c r="Q1635" t="s">
        <v>43</v>
      </c>
      <c r="R1635" t="s">
        <v>43</v>
      </c>
      <c r="S1635" t="s">
        <v>43</v>
      </c>
      <c r="T1635" t="s">
        <v>43</v>
      </c>
      <c r="U1635" t="s">
        <v>43</v>
      </c>
      <c r="V1635" t="s">
        <v>43</v>
      </c>
      <c r="W1635" t="s">
        <v>43</v>
      </c>
      <c r="X1635" t="s">
        <v>43</v>
      </c>
      <c r="Y1635" t="s">
        <v>43</v>
      </c>
      <c r="Z1635" t="s">
        <v>43</v>
      </c>
      <c r="AA1635" t="s">
        <v>43</v>
      </c>
      <c r="AB1635" t="s">
        <v>43</v>
      </c>
      <c r="AC1635" t="s">
        <v>43</v>
      </c>
      <c r="AD1635" t="s">
        <v>43</v>
      </c>
      <c r="AE1635" t="s">
        <v>43</v>
      </c>
      <c r="AF1635" t="s">
        <v>43</v>
      </c>
      <c r="AG1635" t="s">
        <v>43</v>
      </c>
      <c r="AH1635" t="s">
        <v>43</v>
      </c>
      <c r="AI1635" t="s">
        <v>43</v>
      </c>
      <c r="AJ1635" t="s">
        <v>43</v>
      </c>
      <c r="AK1635" t="s">
        <v>43</v>
      </c>
      <c r="AL1635" t="s">
        <v>43</v>
      </c>
      <c r="AM1635" t="s">
        <v>43</v>
      </c>
      <c r="AN1635" t="str">
        <f>HYPERLINK("https://www.google.com/maps?q=11.05587482,79.0641098","Open Location")</f>
        <v>Open Location</v>
      </c>
    </row>
    <row r="1636" spans="1:40" x14ac:dyDescent="0.3">
      <c r="A1636" s="1">
        <v>46210.810416666667</v>
      </c>
      <c r="B1636" t="s">
        <v>40</v>
      </c>
      <c r="C1636" t="s">
        <v>41</v>
      </c>
      <c r="D1636" s="1">
        <v>46210.813217592593</v>
      </c>
      <c r="E1636" t="s">
        <v>42</v>
      </c>
      <c r="F1636" t="s">
        <v>43</v>
      </c>
      <c r="G1636" t="s">
        <v>43</v>
      </c>
      <c r="H1636" t="s">
        <v>43</v>
      </c>
      <c r="I1636" t="s">
        <v>604</v>
      </c>
      <c r="J1636" t="s">
        <v>43</v>
      </c>
      <c r="K1636" t="s">
        <v>43</v>
      </c>
      <c r="L1636" t="s">
        <v>43</v>
      </c>
      <c r="M1636" t="s">
        <v>43</v>
      </c>
      <c r="N1636" t="s">
        <v>45</v>
      </c>
      <c r="O1636" t="s">
        <v>43</v>
      </c>
      <c r="P1636" t="s">
        <v>43</v>
      </c>
      <c r="Q1636" t="s">
        <v>43</v>
      </c>
      <c r="R1636" t="s">
        <v>43</v>
      </c>
      <c r="S1636" t="s">
        <v>43</v>
      </c>
      <c r="T1636" t="s">
        <v>43</v>
      </c>
      <c r="U1636" t="s">
        <v>43</v>
      </c>
      <c r="V1636" t="s">
        <v>43</v>
      </c>
      <c r="W1636" t="s">
        <v>43</v>
      </c>
      <c r="X1636" t="s">
        <v>43</v>
      </c>
      <c r="Y1636" t="s">
        <v>43</v>
      </c>
      <c r="Z1636" t="s">
        <v>43</v>
      </c>
      <c r="AA1636" t="s">
        <v>43</v>
      </c>
      <c r="AB1636" t="s">
        <v>43</v>
      </c>
      <c r="AC1636" t="s">
        <v>43</v>
      </c>
      <c r="AD1636" t="s">
        <v>43</v>
      </c>
      <c r="AE1636" t="s">
        <v>43</v>
      </c>
      <c r="AF1636" t="s">
        <v>43</v>
      </c>
      <c r="AG1636" t="s">
        <v>43</v>
      </c>
      <c r="AH1636" t="s">
        <v>43</v>
      </c>
      <c r="AI1636" t="s">
        <v>43</v>
      </c>
      <c r="AJ1636" t="s">
        <v>43</v>
      </c>
      <c r="AK1636" t="s">
        <v>43</v>
      </c>
      <c r="AL1636" t="s">
        <v>43</v>
      </c>
      <c r="AM1636" t="s">
        <v>43</v>
      </c>
      <c r="AN1636" t="str">
        <f>HYPERLINK("https://www.google.com/maps?q=11.05587959,79.0641098","Open Location")</f>
        <v>Open Location</v>
      </c>
    </row>
    <row r="1637" spans="1:40" x14ac:dyDescent="0.3">
      <c r="A1637" s="1">
        <v>46210.810300925928</v>
      </c>
      <c r="B1637" t="s">
        <v>40</v>
      </c>
      <c r="C1637" t="s">
        <v>41</v>
      </c>
      <c r="D1637" s="1">
        <v>46210.813414351855</v>
      </c>
      <c r="E1637" t="s">
        <v>42</v>
      </c>
      <c r="F1637" t="s">
        <v>43</v>
      </c>
      <c r="G1637" t="s">
        <v>43</v>
      </c>
      <c r="H1637" t="s">
        <v>43</v>
      </c>
      <c r="I1637" t="s">
        <v>786</v>
      </c>
      <c r="J1637" t="s">
        <v>43</v>
      </c>
      <c r="K1637" t="s">
        <v>43</v>
      </c>
      <c r="L1637" t="s">
        <v>43</v>
      </c>
      <c r="M1637" t="s">
        <v>43</v>
      </c>
      <c r="N1637" t="s">
        <v>45</v>
      </c>
      <c r="O1637" t="s">
        <v>43</v>
      </c>
      <c r="P1637" t="s">
        <v>43</v>
      </c>
      <c r="Q1637" t="s">
        <v>43</v>
      </c>
      <c r="R1637" t="s">
        <v>43</v>
      </c>
      <c r="S1637" t="s">
        <v>43</v>
      </c>
      <c r="T1637" t="s">
        <v>43</v>
      </c>
      <c r="U1637" t="s">
        <v>43</v>
      </c>
      <c r="V1637" t="s">
        <v>43</v>
      </c>
      <c r="W1637" t="s">
        <v>43</v>
      </c>
      <c r="X1637" t="s">
        <v>43</v>
      </c>
      <c r="Y1637" t="s">
        <v>43</v>
      </c>
      <c r="Z1637" t="s">
        <v>43</v>
      </c>
      <c r="AA1637" t="s">
        <v>43</v>
      </c>
      <c r="AB1637" t="s">
        <v>43</v>
      </c>
      <c r="AC1637" t="s">
        <v>43</v>
      </c>
      <c r="AD1637" t="s">
        <v>43</v>
      </c>
      <c r="AE1637" t="s">
        <v>43</v>
      </c>
      <c r="AF1637" t="s">
        <v>43</v>
      </c>
      <c r="AG1637" t="s">
        <v>43</v>
      </c>
      <c r="AH1637" t="s">
        <v>43</v>
      </c>
      <c r="AI1637" t="s">
        <v>43</v>
      </c>
      <c r="AJ1637" t="s">
        <v>43</v>
      </c>
      <c r="AK1637" t="s">
        <v>43</v>
      </c>
      <c r="AL1637" t="s">
        <v>43</v>
      </c>
      <c r="AM1637" t="s">
        <v>43</v>
      </c>
      <c r="AN1637" t="str">
        <f>HYPERLINK("https://www.google.com/maps?q=11.05587769,79.0641098","Open Location")</f>
        <v>Open Location</v>
      </c>
    </row>
    <row r="1638" spans="1:40" x14ac:dyDescent="0.3">
      <c r="A1638" s="1">
        <v>46210.810185185182</v>
      </c>
      <c r="B1638" t="s">
        <v>40</v>
      </c>
      <c r="C1638" t="s">
        <v>41</v>
      </c>
      <c r="D1638" s="1">
        <v>46210.813090277778</v>
      </c>
      <c r="E1638" t="s">
        <v>42</v>
      </c>
      <c r="F1638" t="s">
        <v>43</v>
      </c>
      <c r="G1638" t="s">
        <v>43</v>
      </c>
      <c r="H1638" t="s">
        <v>43</v>
      </c>
      <c r="I1638" t="s">
        <v>660</v>
      </c>
      <c r="J1638" t="s">
        <v>43</v>
      </c>
      <c r="K1638" t="s">
        <v>43</v>
      </c>
      <c r="L1638" t="s">
        <v>43</v>
      </c>
      <c r="M1638" t="s">
        <v>43</v>
      </c>
      <c r="N1638" t="s">
        <v>45</v>
      </c>
      <c r="O1638" t="s">
        <v>43</v>
      </c>
      <c r="P1638" t="s">
        <v>43</v>
      </c>
      <c r="Q1638" t="s">
        <v>43</v>
      </c>
      <c r="R1638" t="s">
        <v>43</v>
      </c>
      <c r="S1638" t="s">
        <v>43</v>
      </c>
      <c r="T1638" t="s">
        <v>43</v>
      </c>
      <c r="U1638" t="s">
        <v>43</v>
      </c>
      <c r="V1638" t="s">
        <v>43</v>
      </c>
      <c r="W1638" t="s">
        <v>43</v>
      </c>
      <c r="X1638" t="s">
        <v>43</v>
      </c>
      <c r="Y1638" t="s">
        <v>43</v>
      </c>
      <c r="Z1638" t="s">
        <v>43</v>
      </c>
      <c r="AA1638" t="s">
        <v>43</v>
      </c>
      <c r="AB1638" t="s">
        <v>43</v>
      </c>
      <c r="AC1638" t="s">
        <v>43</v>
      </c>
      <c r="AD1638" t="s">
        <v>43</v>
      </c>
      <c r="AE1638" t="s">
        <v>43</v>
      </c>
      <c r="AF1638" t="s">
        <v>43</v>
      </c>
      <c r="AG1638" t="s">
        <v>43</v>
      </c>
      <c r="AH1638" t="s">
        <v>43</v>
      </c>
      <c r="AI1638" t="s">
        <v>43</v>
      </c>
      <c r="AJ1638" t="s">
        <v>43</v>
      </c>
      <c r="AK1638" t="s">
        <v>43</v>
      </c>
      <c r="AL1638" t="s">
        <v>43</v>
      </c>
      <c r="AM1638" t="s">
        <v>43</v>
      </c>
      <c r="AN1638" t="str">
        <f>HYPERLINK("https://www.google.com/maps?q=11.05587864,79.0641098","Open Location")</f>
        <v>Open Location</v>
      </c>
    </row>
    <row r="1639" spans="1:40" x14ac:dyDescent="0.3">
      <c r="A1639" s="1">
        <v>46210.810069444444</v>
      </c>
      <c r="B1639" t="s">
        <v>40</v>
      </c>
      <c r="C1639" t="s">
        <v>41</v>
      </c>
      <c r="D1639" s="1">
        <v>46210.812719907408</v>
      </c>
      <c r="E1639" t="s">
        <v>42</v>
      </c>
      <c r="F1639" t="s">
        <v>43</v>
      </c>
      <c r="G1639" t="s">
        <v>43</v>
      </c>
      <c r="H1639" t="s">
        <v>43</v>
      </c>
      <c r="I1639" t="s">
        <v>660</v>
      </c>
      <c r="J1639" t="s">
        <v>43</v>
      </c>
      <c r="K1639" t="s">
        <v>43</v>
      </c>
      <c r="L1639" t="s">
        <v>43</v>
      </c>
      <c r="M1639" t="s">
        <v>43</v>
      </c>
      <c r="N1639" t="s">
        <v>45</v>
      </c>
      <c r="O1639" t="s">
        <v>43</v>
      </c>
      <c r="P1639" t="s">
        <v>43</v>
      </c>
      <c r="Q1639" t="s">
        <v>43</v>
      </c>
      <c r="R1639" t="s">
        <v>43</v>
      </c>
      <c r="S1639" t="s">
        <v>43</v>
      </c>
      <c r="T1639" t="s">
        <v>43</v>
      </c>
      <c r="U1639" t="s">
        <v>43</v>
      </c>
      <c r="V1639" t="s">
        <v>43</v>
      </c>
      <c r="W1639" t="s">
        <v>43</v>
      </c>
      <c r="X1639" t="s">
        <v>43</v>
      </c>
      <c r="Y1639" t="s">
        <v>43</v>
      </c>
      <c r="Z1639" t="s">
        <v>43</v>
      </c>
      <c r="AA1639" t="s">
        <v>43</v>
      </c>
      <c r="AB1639" t="s">
        <v>43</v>
      </c>
      <c r="AC1639" t="s">
        <v>43</v>
      </c>
      <c r="AD1639" t="s">
        <v>43</v>
      </c>
      <c r="AE1639" t="s">
        <v>43</v>
      </c>
      <c r="AF1639" t="s">
        <v>43</v>
      </c>
      <c r="AG1639" t="s">
        <v>43</v>
      </c>
      <c r="AH1639" t="s">
        <v>43</v>
      </c>
      <c r="AI1639" t="s">
        <v>43</v>
      </c>
      <c r="AJ1639" t="s">
        <v>43</v>
      </c>
      <c r="AK1639" t="s">
        <v>43</v>
      </c>
      <c r="AL1639" t="s">
        <v>43</v>
      </c>
      <c r="AM1639" t="s">
        <v>43</v>
      </c>
      <c r="AN1639" t="str">
        <f>HYPERLINK("https://www.google.com/maps?q=11.05587864,79.0641098","Open Location")</f>
        <v>Open Location</v>
      </c>
    </row>
    <row r="1640" spans="1:40" x14ac:dyDescent="0.3">
      <c r="A1640" s="1">
        <v>46210.809953703705</v>
      </c>
      <c r="B1640" t="s">
        <v>40</v>
      </c>
      <c r="C1640" t="s">
        <v>41</v>
      </c>
      <c r="D1640" s="1">
        <v>46210.813009259262</v>
      </c>
      <c r="E1640" t="s">
        <v>42</v>
      </c>
      <c r="F1640" t="s">
        <v>43</v>
      </c>
      <c r="G1640" t="s">
        <v>43</v>
      </c>
      <c r="H1640" t="s">
        <v>43</v>
      </c>
      <c r="I1640" t="s">
        <v>43</v>
      </c>
      <c r="J1640" t="s">
        <v>43</v>
      </c>
      <c r="K1640" t="s">
        <v>43</v>
      </c>
      <c r="L1640" t="s">
        <v>43</v>
      </c>
      <c r="M1640" t="s">
        <v>43</v>
      </c>
      <c r="N1640" t="s">
        <v>45</v>
      </c>
      <c r="O1640" t="s">
        <v>43</v>
      </c>
      <c r="P1640" t="s">
        <v>43</v>
      </c>
      <c r="Q1640" t="s">
        <v>43</v>
      </c>
      <c r="R1640" t="s">
        <v>43</v>
      </c>
      <c r="S1640" t="s">
        <v>43</v>
      </c>
      <c r="T1640" t="s">
        <v>43</v>
      </c>
      <c r="U1640" t="s">
        <v>43</v>
      </c>
      <c r="V1640" t="s">
        <v>43</v>
      </c>
      <c r="W1640" t="s">
        <v>43</v>
      </c>
      <c r="X1640" t="s">
        <v>43</v>
      </c>
      <c r="Y1640" t="s">
        <v>43</v>
      </c>
      <c r="Z1640" t="s">
        <v>43</v>
      </c>
      <c r="AA1640" t="s">
        <v>43</v>
      </c>
      <c r="AB1640" t="s">
        <v>43</v>
      </c>
      <c r="AC1640" t="s">
        <v>43</v>
      </c>
      <c r="AD1640" t="s">
        <v>43</v>
      </c>
      <c r="AE1640" t="s">
        <v>43</v>
      </c>
      <c r="AF1640" t="s">
        <v>43</v>
      </c>
      <c r="AG1640" t="s">
        <v>43</v>
      </c>
      <c r="AH1640" t="s">
        <v>43</v>
      </c>
      <c r="AI1640" t="s">
        <v>43</v>
      </c>
      <c r="AJ1640" t="s">
        <v>43</v>
      </c>
      <c r="AK1640" t="s">
        <v>43</v>
      </c>
      <c r="AL1640" t="s">
        <v>43</v>
      </c>
      <c r="AM1640" t="s">
        <v>43</v>
      </c>
      <c r="AN1640" t="s">
        <v>43</v>
      </c>
    </row>
    <row r="1641" spans="1:40" x14ac:dyDescent="0.3">
      <c r="A1641" s="1">
        <v>46210.809837962966</v>
      </c>
      <c r="B1641" t="s">
        <v>40</v>
      </c>
      <c r="C1641" t="s">
        <v>41</v>
      </c>
      <c r="D1641" s="1">
        <v>46210.813009259262</v>
      </c>
      <c r="E1641" t="s">
        <v>42</v>
      </c>
      <c r="F1641" t="s">
        <v>43</v>
      </c>
      <c r="G1641" t="s">
        <v>43</v>
      </c>
      <c r="H1641" t="s">
        <v>43</v>
      </c>
      <c r="I1641" t="s">
        <v>787</v>
      </c>
      <c r="J1641" t="s">
        <v>43</v>
      </c>
      <c r="K1641" t="s">
        <v>43</v>
      </c>
      <c r="L1641" t="s">
        <v>43</v>
      </c>
      <c r="M1641" t="s">
        <v>43</v>
      </c>
      <c r="N1641" t="s">
        <v>45</v>
      </c>
      <c r="O1641" t="s">
        <v>43</v>
      </c>
      <c r="P1641" t="s">
        <v>43</v>
      </c>
      <c r="Q1641" t="s">
        <v>43</v>
      </c>
      <c r="R1641" t="s">
        <v>43</v>
      </c>
      <c r="S1641" t="s">
        <v>43</v>
      </c>
      <c r="T1641" t="s">
        <v>43</v>
      </c>
      <c r="U1641" t="s">
        <v>43</v>
      </c>
      <c r="V1641" t="s">
        <v>43</v>
      </c>
      <c r="W1641" t="s">
        <v>43</v>
      </c>
      <c r="X1641" t="s">
        <v>43</v>
      </c>
      <c r="Y1641" t="s">
        <v>43</v>
      </c>
      <c r="Z1641" t="s">
        <v>43</v>
      </c>
      <c r="AA1641" t="s">
        <v>43</v>
      </c>
      <c r="AB1641" t="s">
        <v>43</v>
      </c>
      <c r="AC1641" t="s">
        <v>43</v>
      </c>
      <c r="AD1641" t="s">
        <v>43</v>
      </c>
      <c r="AE1641" t="s">
        <v>43</v>
      </c>
      <c r="AF1641" t="s">
        <v>43</v>
      </c>
      <c r="AG1641" t="s">
        <v>43</v>
      </c>
      <c r="AH1641" t="s">
        <v>43</v>
      </c>
      <c r="AI1641" t="s">
        <v>43</v>
      </c>
      <c r="AJ1641" t="s">
        <v>43</v>
      </c>
      <c r="AK1641" t="s">
        <v>43</v>
      </c>
      <c r="AL1641" t="s">
        <v>43</v>
      </c>
      <c r="AM1641" t="s">
        <v>43</v>
      </c>
      <c r="AN1641" t="str">
        <f>HYPERLINK("https://www.google.com/maps?q=11.05588436,79.06410217","Open Location")</f>
        <v>Open Location</v>
      </c>
    </row>
    <row r="1642" spans="1:40" x14ac:dyDescent="0.3">
      <c r="A1642" s="1">
        <v>46210.80972222222</v>
      </c>
      <c r="B1642" t="s">
        <v>40</v>
      </c>
      <c r="C1642" t="s">
        <v>41</v>
      </c>
      <c r="D1642" s="1">
        <v>46210.812627314815</v>
      </c>
      <c r="E1642" t="s">
        <v>42</v>
      </c>
      <c r="F1642" t="s">
        <v>43</v>
      </c>
      <c r="G1642" t="s">
        <v>43</v>
      </c>
      <c r="H1642" t="s">
        <v>43</v>
      </c>
      <c r="I1642" t="s">
        <v>788</v>
      </c>
      <c r="J1642" t="s">
        <v>43</v>
      </c>
      <c r="K1642" t="s">
        <v>43</v>
      </c>
      <c r="L1642" t="s">
        <v>43</v>
      </c>
      <c r="M1642" t="s">
        <v>43</v>
      </c>
      <c r="N1642" t="s">
        <v>45</v>
      </c>
      <c r="O1642" t="s">
        <v>43</v>
      </c>
      <c r="P1642" t="s">
        <v>43</v>
      </c>
      <c r="Q1642" t="s">
        <v>43</v>
      </c>
      <c r="R1642" t="s">
        <v>43</v>
      </c>
      <c r="S1642" t="s">
        <v>43</v>
      </c>
      <c r="T1642" t="s">
        <v>43</v>
      </c>
      <c r="U1642" t="s">
        <v>43</v>
      </c>
      <c r="V1642" t="s">
        <v>43</v>
      </c>
      <c r="W1642" t="s">
        <v>43</v>
      </c>
      <c r="X1642" t="s">
        <v>43</v>
      </c>
      <c r="Y1642" t="s">
        <v>43</v>
      </c>
      <c r="Z1642" t="s">
        <v>43</v>
      </c>
      <c r="AA1642" t="s">
        <v>43</v>
      </c>
      <c r="AB1642" t="s">
        <v>43</v>
      </c>
      <c r="AC1642" t="s">
        <v>43</v>
      </c>
      <c r="AD1642" t="s">
        <v>43</v>
      </c>
      <c r="AE1642" t="s">
        <v>43</v>
      </c>
      <c r="AF1642" t="s">
        <v>43</v>
      </c>
      <c r="AG1642" t="s">
        <v>43</v>
      </c>
      <c r="AH1642" t="s">
        <v>43</v>
      </c>
      <c r="AI1642" t="s">
        <v>43</v>
      </c>
      <c r="AJ1642" t="s">
        <v>43</v>
      </c>
      <c r="AK1642" t="s">
        <v>43</v>
      </c>
      <c r="AL1642" t="s">
        <v>43</v>
      </c>
      <c r="AM1642" t="s">
        <v>43</v>
      </c>
      <c r="AN1642" t="str">
        <f>HYPERLINK("https://www.google.com/maps?q=11.05589008,79.06409454","Open Location")</f>
        <v>Open Location</v>
      </c>
    </row>
    <row r="1643" spans="1:40" x14ac:dyDescent="0.3">
      <c r="A1643" s="1">
        <v>46210.809606481482</v>
      </c>
      <c r="B1643" t="s">
        <v>40</v>
      </c>
      <c r="C1643" t="s">
        <v>41</v>
      </c>
      <c r="D1643" s="1">
        <v>46210.812268518515</v>
      </c>
      <c r="E1643" t="s">
        <v>42</v>
      </c>
      <c r="F1643" t="s">
        <v>43</v>
      </c>
      <c r="G1643" t="s">
        <v>43</v>
      </c>
      <c r="H1643" t="s">
        <v>43</v>
      </c>
      <c r="I1643" t="s">
        <v>789</v>
      </c>
      <c r="J1643" t="s">
        <v>43</v>
      </c>
      <c r="K1643" t="s">
        <v>43</v>
      </c>
      <c r="L1643" t="s">
        <v>43</v>
      </c>
      <c r="M1643" t="s">
        <v>43</v>
      </c>
      <c r="N1643" t="s">
        <v>45</v>
      </c>
      <c r="O1643" t="s">
        <v>43</v>
      </c>
      <c r="P1643" t="s">
        <v>43</v>
      </c>
      <c r="Q1643" t="s">
        <v>43</v>
      </c>
      <c r="R1643" t="s">
        <v>43</v>
      </c>
      <c r="S1643" t="s">
        <v>43</v>
      </c>
      <c r="T1643" t="s">
        <v>43</v>
      </c>
      <c r="U1643" t="s">
        <v>43</v>
      </c>
      <c r="V1643" t="s">
        <v>43</v>
      </c>
      <c r="W1643" t="s">
        <v>43</v>
      </c>
      <c r="X1643" t="s">
        <v>43</v>
      </c>
      <c r="Y1643" t="s">
        <v>43</v>
      </c>
      <c r="Z1643" t="s">
        <v>43</v>
      </c>
      <c r="AA1643" t="s">
        <v>43</v>
      </c>
      <c r="AB1643" t="s">
        <v>43</v>
      </c>
      <c r="AC1643" t="s">
        <v>43</v>
      </c>
      <c r="AD1643" t="s">
        <v>43</v>
      </c>
      <c r="AE1643" t="s">
        <v>43</v>
      </c>
      <c r="AF1643" t="s">
        <v>43</v>
      </c>
      <c r="AG1643" t="s">
        <v>43</v>
      </c>
      <c r="AH1643" t="s">
        <v>43</v>
      </c>
      <c r="AI1643" t="s">
        <v>43</v>
      </c>
      <c r="AJ1643" t="s">
        <v>43</v>
      </c>
      <c r="AK1643" t="s">
        <v>43</v>
      </c>
      <c r="AL1643" t="s">
        <v>43</v>
      </c>
      <c r="AM1643" t="s">
        <v>43</v>
      </c>
      <c r="AN1643" t="str">
        <f>HYPERLINK("https://www.google.com/maps?q=11.05589199,79.06409454","Open Location")</f>
        <v>Open Location</v>
      </c>
    </row>
    <row r="1644" spans="1:40" x14ac:dyDescent="0.3">
      <c r="A1644" s="1">
        <v>46210.809490740743</v>
      </c>
      <c r="B1644" t="s">
        <v>40</v>
      </c>
      <c r="C1644" t="s">
        <v>41</v>
      </c>
      <c r="D1644" s="1">
        <v>46210.812407407408</v>
      </c>
      <c r="E1644" t="s">
        <v>42</v>
      </c>
      <c r="F1644" t="s">
        <v>43</v>
      </c>
      <c r="G1644" t="s">
        <v>43</v>
      </c>
      <c r="H1644" t="s">
        <v>43</v>
      </c>
      <c r="I1644" t="s">
        <v>790</v>
      </c>
      <c r="J1644" t="s">
        <v>43</v>
      </c>
      <c r="K1644" t="s">
        <v>43</v>
      </c>
      <c r="L1644" t="s">
        <v>43</v>
      </c>
      <c r="M1644" t="s">
        <v>43</v>
      </c>
      <c r="N1644" t="s">
        <v>45</v>
      </c>
      <c r="O1644" t="s">
        <v>43</v>
      </c>
      <c r="P1644" t="s">
        <v>43</v>
      </c>
      <c r="Q1644" t="s">
        <v>43</v>
      </c>
      <c r="R1644" t="s">
        <v>43</v>
      </c>
      <c r="S1644" t="s">
        <v>43</v>
      </c>
      <c r="T1644" t="s">
        <v>43</v>
      </c>
      <c r="U1644" t="s">
        <v>43</v>
      </c>
      <c r="V1644" t="s">
        <v>43</v>
      </c>
      <c r="W1644" t="s">
        <v>43</v>
      </c>
      <c r="X1644" t="s">
        <v>43</v>
      </c>
      <c r="Y1644" t="s">
        <v>43</v>
      </c>
      <c r="Z1644" t="s">
        <v>43</v>
      </c>
      <c r="AA1644" t="s">
        <v>43</v>
      </c>
      <c r="AB1644" t="s">
        <v>43</v>
      </c>
      <c r="AC1644" t="s">
        <v>43</v>
      </c>
      <c r="AD1644" t="s">
        <v>43</v>
      </c>
      <c r="AE1644" t="s">
        <v>43</v>
      </c>
      <c r="AF1644" t="s">
        <v>43</v>
      </c>
      <c r="AG1644" t="s">
        <v>43</v>
      </c>
      <c r="AH1644" t="s">
        <v>43</v>
      </c>
      <c r="AI1644" t="s">
        <v>43</v>
      </c>
      <c r="AJ1644" t="s">
        <v>43</v>
      </c>
      <c r="AK1644" t="s">
        <v>43</v>
      </c>
      <c r="AL1644" t="s">
        <v>43</v>
      </c>
      <c r="AM1644" t="s">
        <v>43</v>
      </c>
      <c r="AN1644" t="str">
        <f>HYPERLINK("https://www.google.com/maps?q=11.0558939,79.06409454","Open Location")</f>
        <v>Open Location</v>
      </c>
    </row>
    <row r="1645" spans="1:40" x14ac:dyDescent="0.3">
      <c r="A1645" s="1">
        <v>46210.809374999997</v>
      </c>
      <c r="B1645" t="s">
        <v>40</v>
      </c>
      <c r="C1645" t="s">
        <v>41</v>
      </c>
      <c r="D1645" s="1">
        <v>46210.81212962963</v>
      </c>
      <c r="E1645" t="s">
        <v>42</v>
      </c>
      <c r="F1645" t="s">
        <v>43</v>
      </c>
      <c r="G1645" t="s">
        <v>43</v>
      </c>
      <c r="H1645" t="s">
        <v>43</v>
      </c>
      <c r="I1645" t="s">
        <v>43</v>
      </c>
      <c r="J1645" t="s">
        <v>43</v>
      </c>
      <c r="K1645" t="s">
        <v>43</v>
      </c>
      <c r="L1645" t="s">
        <v>43</v>
      </c>
      <c r="M1645" t="s">
        <v>43</v>
      </c>
      <c r="N1645" t="s">
        <v>45</v>
      </c>
      <c r="O1645" t="s">
        <v>43</v>
      </c>
      <c r="P1645" t="s">
        <v>43</v>
      </c>
      <c r="Q1645" t="s">
        <v>43</v>
      </c>
      <c r="R1645" t="s">
        <v>43</v>
      </c>
      <c r="S1645" t="s">
        <v>43</v>
      </c>
      <c r="T1645" t="s">
        <v>43</v>
      </c>
      <c r="U1645" t="s">
        <v>43</v>
      </c>
      <c r="V1645" t="s">
        <v>43</v>
      </c>
      <c r="W1645" t="s">
        <v>43</v>
      </c>
      <c r="X1645" t="s">
        <v>43</v>
      </c>
      <c r="Y1645" t="s">
        <v>43</v>
      </c>
      <c r="Z1645" t="s">
        <v>43</v>
      </c>
      <c r="AA1645" t="s">
        <v>43</v>
      </c>
      <c r="AB1645" t="s">
        <v>43</v>
      </c>
      <c r="AC1645" t="s">
        <v>43</v>
      </c>
      <c r="AD1645" t="s">
        <v>43</v>
      </c>
      <c r="AE1645" t="s">
        <v>43</v>
      </c>
      <c r="AF1645" t="s">
        <v>43</v>
      </c>
      <c r="AG1645" t="s">
        <v>43</v>
      </c>
      <c r="AH1645" t="s">
        <v>43</v>
      </c>
      <c r="AI1645" t="s">
        <v>43</v>
      </c>
      <c r="AJ1645" t="s">
        <v>43</v>
      </c>
      <c r="AK1645" t="s">
        <v>43</v>
      </c>
      <c r="AL1645" t="s">
        <v>43</v>
      </c>
      <c r="AM1645" t="s">
        <v>43</v>
      </c>
      <c r="AN1645" t="s">
        <v>43</v>
      </c>
    </row>
    <row r="1646" spans="1:40" x14ac:dyDescent="0.3">
      <c r="A1646" s="1">
        <v>46210.809259259258</v>
      </c>
      <c r="B1646" t="s">
        <v>40</v>
      </c>
      <c r="C1646" t="s">
        <v>41</v>
      </c>
      <c r="D1646" s="1">
        <v>46210.81212962963</v>
      </c>
      <c r="E1646" t="s">
        <v>42</v>
      </c>
      <c r="F1646" t="s">
        <v>43</v>
      </c>
      <c r="G1646" t="s">
        <v>43</v>
      </c>
      <c r="H1646" t="s">
        <v>43</v>
      </c>
      <c r="I1646" t="s">
        <v>791</v>
      </c>
      <c r="J1646" t="s">
        <v>43</v>
      </c>
      <c r="K1646" t="s">
        <v>43</v>
      </c>
      <c r="L1646" t="s">
        <v>43</v>
      </c>
      <c r="M1646" t="s">
        <v>43</v>
      </c>
      <c r="N1646" t="s">
        <v>45</v>
      </c>
      <c r="O1646" t="s">
        <v>43</v>
      </c>
      <c r="P1646" t="s">
        <v>43</v>
      </c>
      <c r="Q1646" t="s">
        <v>43</v>
      </c>
      <c r="R1646" t="s">
        <v>43</v>
      </c>
      <c r="S1646" t="s">
        <v>43</v>
      </c>
      <c r="T1646" t="s">
        <v>43</v>
      </c>
      <c r="U1646" t="s">
        <v>43</v>
      </c>
      <c r="V1646" t="s">
        <v>43</v>
      </c>
      <c r="W1646" t="s">
        <v>43</v>
      </c>
      <c r="X1646" t="s">
        <v>43</v>
      </c>
      <c r="Y1646" t="s">
        <v>43</v>
      </c>
      <c r="Z1646" t="s">
        <v>43</v>
      </c>
      <c r="AA1646" t="s">
        <v>43</v>
      </c>
      <c r="AB1646" t="s">
        <v>43</v>
      </c>
      <c r="AC1646" t="s">
        <v>43</v>
      </c>
      <c r="AD1646" t="s">
        <v>43</v>
      </c>
      <c r="AE1646" t="s">
        <v>43</v>
      </c>
      <c r="AF1646" t="s">
        <v>43</v>
      </c>
      <c r="AG1646" t="s">
        <v>43</v>
      </c>
      <c r="AH1646" t="s">
        <v>43</v>
      </c>
      <c r="AI1646" t="s">
        <v>43</v>
      </c>
      <c r="AJ1646" t="s">
        <v>43</v>
      </c>
      <c r="AK1646" t="s">
        <v>43</v>
      </c>
      <c r="AL1646" t="s">
        <v>43</v>
      </c>
      <c r="AM1646" t="s">
        <v>43</v>
      </c>
      <c r="AN1646" t="str">
        <f>HYPERLINK("https://www.google.com/maps?q=11.05589676,79.06408691","Open Location")</f>
        <v>Open Location</v>
      </c>
    </row>
    <row r="1647" spans="1:40" x14ac:dyDescent="0.3">
      <c r="A1647" s="1">
        <v>46210.80914351852</v>
      </c>
      <c r="B1647" t="s">
        <v>40</v>
      </c>
      <c r="C1647" t="s">
        <v>41</v>
      </c>
      <c r="D1647" s="1">
        <v>46210.811898148146</v>
      </c>
      <c r="E1647" t="s">
        <v>42</v>
      </c>
      <c r="F1647" t="s">
        <v>43</v>
      </c>
      <c r="G1647" t="s">
        <v>43</v>
      </c>
      <c r="H1647" t="s">
        <v>43</v>
      </c>
      <c r="I1647" t="s">
        <v>792</v>
      </c>
      <c r="J1647" t="s">
        <v>43</v>
      </c>
      <c r="K1647" t="s">
        <v>43</v>
      </c>
      <c r="L1647" t="s">
        <v>43</v>
      </c>
      <c r="M1647" t="s">
        <v>43</v>
      </c>
      <c r="N1647" t="s">
        <v>45</v>
      </c>
      <c r="O1647" t="s">
        <v>43</v>
      </c>
      <c r="P1647" t="s">
        <v>43</v>
      </c>
      <c r="Q1647" t="s">
        <v>43</v>
      </c>
      <c r="R1647" t="s">
        <v>43</v>
      </c>
      <c r="S1647" t="s">
        <v>43</v>
      </c>
      <c r="T1647" t="s">
        <v>43</v>
      </c>
      <c r="U1647" t="s">
        <v>43</v>
      </c>
      <c r="V1647" t="s">
        <v>43</v>
      </c>
      <c r="W1647" t="s">
        <v>43</v>
      </c>
      <c r="X1647" t="s">
        <v>43</v>
      </c>
      <c r="Y1647" t="s">
        <v>43</v>
      </c>
      <c r="Z1647" t="s">
        <v>43</v>
      </c>
      <c r="AA1647" t="s">
        <v>43</v>
      </c>
      <c r="AB1647" t="s">
        <v>43</v>
      </c>
      <c r="AC1647" t="s">
        <v>43</v>
      </c>
      <c r="AD1647" t="s">
        <v>43</v>
      </c>
      <c r="AE1647" t="s">
        <v>43</v>
      </c>
      <c r="AF1647" t="s">
        <v>43</v>
      </c>
      <c r="AG1647" t="s">
        <v>43</v>
      </c>
      <c r="AH1647" t="s">
        <v>43</v>
      </c>
      <c r="AI1647" t="s">
        <v>43</v>
      </c>
      <c r="AJ1647" t="s">
        <v>43</v>
      </c>
      <c r="AK1647" t="s">
        <v>43</v>
      </c>
      <c r="AL1647" t="s">
        <v>43</v>
      </c>
      <c r="AM1647" t="s">
        <v>43</v>
      </c>
      <c r="AN1647" t="str">
        <f>HYPERLINK("https://www.google.com/maps?q=11.05589294,79.06409454","Open Location")</f>
        <v>Open Location</v>
      </c>
    </row>
    <row r="1648" spans="1:40" x14ac:dyDescent="0.3">
      <c r="A1648" s="1">
        <v>46210.809027777781</v>
      </c>
      <c r="B1648" t="s">
        <v>40</v>
      </c>
      <c r="C1648" t="s">
        <v>41</v>
      </c>
      <c r="D1648" s="1">
        <v>46210.811886574076</v>
      </c>
      <c r="E1648" t="s">
        <v>42</v>
      </c>
      <c r="F1648" t="s">
        <v>43</v>
      </c>
      <c r="G1648" t="s">
        <v>43</v>
      </c>
      <c r="H1648" t="s">
        <v>43</v>
      </c>
      <c r="I1648" t="s">
        <v>793</v>
      </c>
      <c r="J1648" t="s">
        <v>43</v>
      </c>
      <c r="K1648" t="s">
        <v>43</v>
      </c>
      <c r="L1648" t="s">
        <v>43</v>
      </c>
      <c r="M1648" t="s">
        <v>43</v>
      </c>
      <c r="N1648" t="s">
        <v>45</v>
      </c>
      <c r="O1648" t="s">
        <v>43</v>
      </c>
      <c r="P1648" t="s">
        <v>43</v>
      </c>
      <c r="Q1648" t="s">
        <v>43</v>
      </c>
      <c r="R1648" t="s">
        <v>43</v>
      </c>
      <c r="S1648" t="s">
        <v>43</v>
      </c>
      <c r="T1648" t="s">
        <v>43</v>
      </c>
      <c r="U1648" t="s">
        <v>43</v>
      </c>
      <c r="V1648" t="s">
        <v>43</v>
      </c>
      <c r="W1648" t="s">
        <v>43</v>
      </c>
      <c r="X1648" t="s">
        <v>43</v>
      </c>
      <c r="Y1648" t="s">
        <v>43</v>
      </c>
      <c r="Z1648" t="s">
        <v>43</v>
      </c>
      <c r="AA1648" t="s">
        <v>43</v>
      </c>
      <c r="AB1648" t="s">
        <v>43</v>
      </c>
      <c r="AC1648" t="s">
        <v>43</v>
      </c>
      <c r="AD1648" t="s">
        <v>43</v>
      </c>
      <c r="AE1648" t="s">
        <v>43</v>
      </c>
      <c r="AF1648" t="s">
        <v>43</v>
      </c>
      <c r="AG1648" t="s">
        <v>43</v>
      </c>
      <c r="AH1648" t="s">
        <v>43</v>
      </c>
      <c r="AI1648" t="s">
        <v>43</v>
      </c>
      <c r="AJ1648" t="s">
        <v>43</v>
      </c>
      <c r="AK1648" t="s">
        <v>43</v>
      </c>
      <c r="AL1648" t="s">
        <v>43</v>
      </c>
      <c r="AM1648" t="s">
        <v>43</v>
      </c>
      <c r="AN1648" t="str">
        <f>HYPERLINK("https://www.google.com/maps?q=11.05589104,79.06409454","Open Location")</f>
        <v>Open Location</v>
      </c>
    </row>
    <row r="1649" spans="1:40" x14ac:dyDescent="0.3">
      <c r="A1649" s="1">
        <v>46210.808912037035</v>
      </c>
      <c r="B1649" t="s">
        <v>40</v>
      </c>
      <c r="C1649" t="s">
        <v>41</v>
      </c>
      <c r="D1649" s="1">
        <v>46210.811631944445</v>
      </c>
      <c r="E1649" t="s">
        <v>42</v>
      </c>
      <c r="F1649" t="s">
        <v>43</v>
      </c>
      <c r="G1649" t="s">
        <v>43</v>
      </c>
      <c r="H1649" t="s">
        <v>43</v>
      </c>
      <c r="I1649" t="s">
        <v>717</v>
      </c>
      <c r="J1649" t="s">
        <v>43</v>
      </c>
      <c r="K1649" t="s">
        <v>43</v>
      </c>
      <c r="L1649" t="s">
        <v>43</v>
      </c>
      <c r="M1649" t="s">
        <v>43</v>
      </c>
      <c r="N1649" t="s">
        <v>45</v>
      </c>
      <c r="O1649" t="s">
        <v>43</v>
      </c>
      <c r="P1649" t="s">
        <v>43</v>
      </c>
      <c r="Q1649" t="s">
        <v>43</v>
      </c>
      <c r="R1649" t="s">
        <v>43</v>
      </c>
      <c r="S1649" t="s">
        <v>43</v>
      </c>
      <c r="T1649" t="s">
        <v>43</v>
      </c>
      <c r="U1649" t="s">
        <v>43</v>
      </c>
      <c r="V1649" t="s">
        <v>43</v>
      </c>
      <c r="W1649" t="s">
        <v>43</v>
      </c>
      <c r="X1649" t="s">
        <v>43</v>
      </c>
      <c r="Y1649" t="s">
        <v>43</v>
      </c>
      <c r="Z1649" t="s">
        <v>43</v>
      </c>
      <c r="AA1649" t="s">
        <v>43</v>
      </c>
      <c r="AB1649" t="s">
        <v>43</v>
      </c>
      <c r="AC1649" t="s">
        <v>43</v>
      </c>
      <c r="AD1649" t="s">
        <v>43</v>
      </c>
      <c r="AE1649" t="s">
        <v>43</v>
      </c>
      <c r="AF1649" t="s">
        <v>43</v>
      </c>
      <c r="AG1649" t="s">
        <v>43</v>
      </c>
      <c r="AH1649" t="s">
        <v>43</v>
      </c>
      <c r="AI1649" t="s">
        <v>43</v>
      </c>
      <c r="AJ1649" t="s">
        <v>43</v>
      </c>
      <c r="AK1649" t="s">
        <v>43</v>
      </c>
      <c r="AL1649" t="s">
        <v>43</v>
      </c>
      <c r="AM1649" t="s">
        <v>43</v>
      </c>
      <c r="AN1649" t="str">
        <f>HYPERLINK("https://www.google.com/maps?q=11.05588913,79.06410217","Open Location")</f>
        <v>Open Location</v>
      </c>
    </row>
    <row r="1650" spans="1:40" x14ac:dyDescent="0.3">
      <c r="A1650" s="1">
        <v>46210.808796296296</v>
      </c>
      <c r="B1650" t="s">
        <v>40</v>
      </c>
      <c r="C1650" t="s">
        <v>41</v>
      </c>
      <c r="D1650" s="1">
        <v>46210.811597222222</v>
      </c>
      <c r="E1650" t="s">
        <v>42</v>
      </c>
      <c r="F1650" t="s">
        <v>43</v>
      </c>
      <c r="G1650" t="s">
        <v>43</v>
      </c>
      <c r="H1650" t="s">
        <v>43</v>
      </c>
      <c r="I1650" t="s">
        <v>605</v>
      </c>
      <c r="J1650" t="s">
        <v>43</v>
      </c>
      <c r="K1650" t="s">
        <v>43</v>
      </c>
      <c r="L1650" t="s">
        <v>43</v>
      </c>
      <c r="M1650" t="s">
        <v>43</v>
      </c>
      <c r="N1650" t="s">
        <v>45</v>
      </c>
      <c r="O1650" t="s">
        <v>43</v>
      </c>
      <c r="P1650" t="s">
        <v>43</v>
      </c>
      <c r="Q1650" t="s">
        <v>43</v>
      </c>
      <c r="R1650" t="s">
        <v>43</v>
      </c>
      <c r="S1650" t="s">
        <v>43</v>
      </c>
      <c r="T1650" t="s">
        <v>43</v>
      </c>
      <c r="U1650" t="s">
        <v>43</v>
      </c>
      <c r="V1650" t="s">
        <v>43</v>
      </c>
      <c r="W1650" t="s">
        <v>43</v>
      </c>
      <c r="X1650" t="s">
        <v>43</v>
      </c>
      <c r="Y1650" t="s">
        <v>43</v>
      </c>
      <c r="Z1650" t="s">
        <v>43</v>
      </c>
      <c r="AA1650" t="s">
        <v>43</v>
      </c>
      <c r="AB1650" t="s">
        <v>43</v>
      </c>
      <c r="AC1650" t="s">
        <v>43</v>
      </c>
      <c r="AD1650" t="s">
        <v>43</v>
      </c>
      <c r="AE1650" t="s">
        <v>43</v>
      </c>
      <c r="AF1650" t="s">
        <v>43</v>
      </c>
      <c r="AG1650" t="s">
        <v>43</v>
      </c>
      <c r="AH1650" t="s">
        <v>43</v>
      </c>
      <c r="AI1650" t="s">
        <v>43</v>
      </c>
      <c r="AJ1650" t="s">
        <v>43</v>
      </c>
      <c r="AK1650" t="s">
        <v>43</v>
      </c>
      <c r="AL1650" t="s">
        <v>43</v>
      </c>
      <c r="AM1650" t="s">
        <v>43</v>
      </c>
      <c r="AN1650" t="str">
        <f>HYPERLINK("https://www.google.com/maps?q=11.05588055,79.0641098","Open Location")</f>
        <v>Open Location</v>
      </c>
    </row>
    <row r="1651" spans="1:40" x14ac:dyDescent="0.3">
      <c r="A1651" s="1">
        <v>46210.808680555558</v>
      </c>
      <c r="B1651" t="s">
        <v>40</v>
      </c>
      <c r="C1651" t="s">
        <v>41</v>
      </c>
      <c r="D1651" s="1">
        <v>46210.811331018522</v>
      </c>
      <c r="E1651" t="s">
        <v>42</v>
      </c>
      <c r="F1651" t="s">
        <v>43</v>
      </c>
      <c r="G1651" t="s">
        <v>43</v>
      </c>
      <c r="H1651" t="s">
        <v>43</v>
      </c>
      <c r="I1651" t="s">
        <v>43</v>
      </c>
      <c r="J1651" t="s">
        <v>43</v>
      </c>
      <c r="K1651" t="s">
        <v>43</v>
      </c>
      <c r="L1651" t="s">
        <v>43</v>
      </c>
      <c r="M1651" t="s">
        <v>43</v>
      </c>
      <c r="N1651" t="s">
        <v>45</v>
      </c>
      <c r="O1651" t="s">
        <v>43</v>
      </c>
      <c r="P1651" t="s">
        <v>43</v>
      </c>
      <c r="Q1651" t="s">
        <v>43</v>
      </c>
      <c r="R1651" t="s">
        <v>43</v>
      </c>
      <c r="S1651" t="s">
        <v>43</v>
      </c>
      <c r="T1651" t="s">
        <v>43</v>
      </c>
      <c r="U1651" t="s">
        <v>43</v>
      </c>
      <c r="V1651" t="s">
        <v>43</v>
      </c>
      <c r="W1651" t="s">
        <v>43</v>
      </c>
      <c r="X1651" t="s">
        <v>43</v>
      </c>
      <c r="Y1651" t="s">
        <v>43</v>
      </c>
      <c r="Z1651" t="s">
        <v>43</v>
      </c>
      <c r="AA1651" t="s">
        <v>43</v>
      </c>
      <c r="AB1651" t="s">
        <v>43</v>
      </c>
      <c r="AC1651" t="s">
        <v>43</v>
      </c>
      <c r="AD1651" t="s">
        <v>43</v>
      </c>
      <c r="AE1651" t="s">
        <v>43</v>
      </c>
      <c r="AF1651" t="s">
        <v>43</v>
      </c>
      <c r="AG1651" t="s">
        <v>43</v>
      </c>
      <c r="AH1651" t="s">
        <v>43</v>
      </c>
      <c r="AI1651" t="s">
        <v>43</v>
      </c>
      <c r="AJ1651" t="s">
        <v>43</v>
      </c>
      <c r="AK1651" t="s">
        <v>43</v>
      </c>
      <c r="AL1651" t="s">
        <v>43</v>
      </c>
      <c r="AM1651" t="s">
        <v>43</v>
      </c>
      <c r="AN1651" t="s">
        <v>43</v>
      </c>
    </row>
    <row r="1652" spans="1:40" x14ac:dyDescent="0.3">
      <c r="A1652" s="1">
        <v>46210.808564814812</v>
      </c>
      <c r="B1652" t="s">
        <v>40</v>
      </c>
      <c r="C1652" t="s">
        <v>41</v>
      </c>
      <c r="D1652" s="1">
        <v>46210.811261574076</v>
      </c>
      <c r="E1652" t="s">
        <v>42</v>
      </c>
      <c r="F1652" t="s">
        <v>43</v>
      </c>
      <c r="G1652" t="s">
        <v>43</v>
      </c>
      <c r="H1652" t="s">
        <v>43</v>
      </c>
      <c r="I1652" t="s">
        <v>733</v>
      </c>
      <c r="J1652" t="s">
        <v>43</v>
      </c>
      <c r="K1652" t="s">
        <v>43</v>
      </c>
      <c r="L1652" t="s">
        <v>43</v>
      </c>
      <c r="M1652" t="s">
        <v>43</v>
      </c>
      <c r="N1652" t="s">
        <v>45</v>
      </c>
      <c r="O1652" t="s">
        <v>43</v>
      </c>
      <c r="P1652" t="s">
        <v>43</v>
      </c>
      <c r="Q1652" t="s">
        <v>43</v>
      </c>
      <c r="R1652" t="s">
        <v>43</v>
      </c>
      <c r="S1652" t="s">
        <v>43</v>
      </c>
      <c r="T1652" t="s">
        <v>43</v>
      </c>
      <c r="U1652" t="s">
        <v>43</v>
      </c>
      <c r="V1652" t="s">
        <v>43</v>
      </c>
      <c r="W1652" t="s">
        <v>43</v>
      </c>
      <c r="X1652" t="s">
        <v>43</v>
      </c>
      <c r="Y1652" t="s">
        <v>43</v>
      </c>
      <c r="Z1652" t="s">
        <v>43</v>
      </c>
      <c r="AA1652" t="s">
        <v>43</v>
      </c>
      <c r="AB1652" t="s">
        <v>43</v>
      </c>
      <c r="AC1652" t="s">
        <v>43</v>
      </c>
      <c r="AD1652" t="s">
        <v>43</v>
      </c>
      <c r="AE1652" t="s">
        <v>43</v>
      </c>
      <c r="AF1652" t="s">
        <v>43</v>
      </c>
      <c r="AG1652" t="s">
        <v>43</v>
      </c>
      <c r="AH1652" t="s">
        <v>43</v>
      </c>
      <c r="AI1652" t="s">
        <v>43</v>
      </c>
      <c r="AJ1652" t="s">
        <v>43</v>
      </c>
      <c r="AK1652" t="s">
        <v>43</v>
      </c>
      <c r="AL1652" t="s">
        <v>43</v>
      </c>
      <c r="AM1652" t="s">
        <v>43</v>
      </c>
      <c r="AN1652" t="str">
        <f>HYPERLINK("https://www.google.com/maps?q=11.05587673,79.06411743","Open Location")</f>
        <v>Open Location</v>
      </c>
    </row>
    <row r="1653" spans="1:40" x14ac:dyDescent="0.3">
      <c r="A1653" s="1">
        <v>46210.808449074073</v>
      </c>
      <c r="B1653" t="s">
        <v>40</v>
      </c>
      <c r="C1653" t="s">
        <v>41</v>
      </c>
      <c r="D1653" s="1">
        <v>46210.811215277776</v>
      </c>
      <c r="E1653" t="s">
        <v>42</v>
      </c>
      <c r="F1653" t="s">
        <v>43</v>
      </c>
      <c r="G1653" t="s">
        <v>43</v>
      </c>
      <c r="H1653" t="s">
        <v>43</v>
      </c>
      <c r="I1653" t="s">
        <v>663</v>
      </c>
      <c r="J1653" t="s">
        <v>43</v>
      </c>
      <c r="K1653" t="s">
        <v>43</v>
      </c>
      <c r="L1653" t="s">
        <v>43</v>
      </c>
      <c r="M1653" t="s">
        <v>43</v>
      </c>
      <c r="N1653" t="s">
        <v>45</v>
      </c>
      <c r="O1653" t="s">
        <v>43</v>
      </c>
      <c r="P1653" t="s">
        <v>43</v>
      </c>
      <c r="Q1653" t="s">
        <v>43</v>
      </c>
      <c r="R1653" t="s">
        <v>43</v>
      </c>
      <c r="S1653" t="s">
        <v>43</v>
      </c>
      <c r="T1653" t="s">
        <v>43</v>
      </c>
      <c r="U1653" t="s">
        <v>43</v>
      </c>
      <c r="V1653" t="s">
        <v>43</v>
      </c>
      <c r="W1653" t="s">
        <v>43</v>
      </c>
      <c r="X1653" t="s">
        <v>43</v>
      </c>
      <c r="Y1653" t="s">
        <v>43</v>
      </c>
      <c r="Z1653" t="s">
        <v>43</v>
      </c>
      <c r="AA1653" t="s">
        <v>43</v>
      </c>
      <c r="AB1653" t="s">
        <v>43</v>
      </c>
      <c r="AC1653" t="s">
        <v>43</v>
      </c>
      <c r="AD1653" t="s">
        <v>43</v>
      </c>
      <c r="AE1653" t="s">
        <v>43</v>
      </c>
      <c r="AF1653" t="s">
        <v>43</v>
      </c>
      <c r="AG1653" t="s">
        <v>43</v>
      </c>
      <c r="AH1653" t="s">
        <v>43</v>
      </c>
      <c r="AI1653" t="s">
        <v>43</v>
      </c>
      <c r="AJ1653" t="s">
        <v>43</v>
      </c>
      <c r="AK1653" t="s">
        <v>43</v>
      </c>
      <c r="AL1653" t="s">
        <v>43</v>
      </c>
      <c r="AM1653" t="s">
        <v>43</v>
      </c>
      <c r="AN1653" t="str">
        <f>HYPERLINK("https://www.google.com/maps?q=11.05587006,79.06412506","Open Location")</f>
        <v>Open Location</v>
      </c>
    </row>
    <row r="1654" spans="1:40" x14ac:dyDescent="0.3">
      <c r="A1654" s="1">
        <v>46210.808333333334</v>
      </c>
      <c r="B1654" t="s">
        <v>40</v>
      </c>
      <c r="C1654" t="s">
        <v>41</v>
      </c>
      <c r="D1654" s="1">
        <v>46210.811261574076</v>
      </c>
      <c r="E1654" t="s">
        <v>42</v>
      </c>
      <c r="F1654" t="s">
        <v>43</v>
      </c>
      <c r="G1654" t="s">
        <v>43</v>
      </c>
      <c r="H1654" t="s">
        <v>43</v>
      </c>
      <c r="I1654" t="s">
        <v>784</v>
      </c>
      <c r="J1654" t="s">
        <v>43</v>
      </c>
      <c r="K1654" t="s">
        <v>43</v>
      </c>
      <c r="L1654" t="s">
        <v>43</v>
      </c>
      <c r="M1654" t="s">
        <v>43</v>
      </c>
      <c r="N1654" t="s">
        <v>45</v>
      </c>
      <c r="O1654" t="s">
        <v>43</v>
      </c>
      <c r="P1654" t="s">
        <v>43</v>
      </c>
      <c r="Q1654" t="s">
        <v>43</v>
      </c>
      <c r="R1654" t="s">
        <v>43</v>
      </c>
      <c r="S1654" t="s">
        <v>43</v>
      </c>
      <c r="T1654" t="s">
        <v>43</v>
      </c>
      <c r="U1654" t="s">
        <v>43</v>
      </c>
      <c r="V1654" t="s">
        <v>43</v>
      </c>
      <c r="W1654" t="s">
        <v>43</v>
      </c>
      <c r="X1654" t="s">
        <v>43</v>
      </c>
      <c r="Y1654" t="s">
        <v>43</v>
      </c>
      <c r="Z1654" t="s">
        <v>43</v>
      </c>
      <c r="AA1654" t="s">
        <v>43</v>
      </c>
      <c r="AB1654" t="s">
        <v>43</v>
      </c>
      <c r="AC1654" t="s">
        <v>43</v>
      </c>
      <c r="AD1654" t="s">
        <v>43</v>
      </c>
      <c r="AE1654" t="s">
        <v>43</v>
      </c>
      <c r="AF1654" t="s">
        <v>43</v>
      </c>
      <c r="AG1654" t="s">
        <v>43</v>
      </c>
      <c r="AH1654" t="s">
        <v>43</v>
      </c>
      <c r="AI1654" t="s">
        <v>43</v>
      </c>
      <c r="AJ1654" t="s">
        <v>43</v>
      </c>
      <c r="AK1654" t="s">
        <v>43</v>
      </c>
      <c r="AL1654" t="s">
        <v>43</v>
      </c>
      <c r="AM1654" t="s">
        <v>43</v>
      </c>
      <c r="AN1654" t="str">
        <f>HYPERLINK("https://www.google.com/maps?q=11.05586815,79.06412506","Open Location")</f>
        <v>Open Location</v>
      </c>
    </row>
    <row r="1655" spans="1:40" x14ac:dyDescent="0.3">
      <c r="A1655" s="1">
        <v>46210.808217592596</v>
      </c>
      <c r="B1655" t="s">
        <v>40</v>
      </c>
      <c r="C1655" t="s">
        <v>41</v>
      </c>
      <c r="D1655" s="1">
        <v>46210.810902777775</v>
      </c>
      <c r="E1655" t="s">
        <v>42</v>
      </c>
      <c r="F1655" t="s">
        <v>43</v>
      </c>
      <c r="G1655" t="s">
        <v>43</v>
      </c>
      <c r="H1655" t="s">
        <v>43</v>
      </c>
      <c r="I1655" t="s">
        <v>738</v>
      </c>
      <c r="J1655" t="s">
        <v>43</v>
      </c>
      <c r="K1655" t="s">
        <v>43</v>
      </c>
      <c r="L1655" t="s">
        <v>43</v>
      </c>
      <c r="M1655" t="s">
        <v>43</v>
      </c>
      <c r="N1655" t="s">
        <v>45</v>
      </c>
      <c r="O1655" t="s">
        <v>43</v>
      </c>
      <c r="P1655" t="s">
        <v>43</v>
      </c>
      <c r="Q1655" t="s">
        <v>43</v>
      </c>
      <c r="R1655" t="s">
        <v>43</v>
      </c>
      <c r="S1655" t="s">
        <v>43</v>
      </c>
      <c r="T1655" t="s">
        <v>43</v>
      </c>
      <c r="U1655" t="s">
        <v>43</v>
      </c>
      <c r="V1655" t="s">
        <v>43</v>
      </c>
      <c r="W1655" t="s">
        <v>43</v>
      </c>
      <c r="X1655" t="s">
        <v>43</v>
      </c>
      <c r="Y1655" t="s">
        <v>43</v>
      </c>
      <c r="Z1655" t="s">
        <v>43</v>
      </c>
      <c r="AA1655" t="s">
        <v>43</v>
      </c>
      <c r="AB1655" t="s">
        <v>43</v>
      </c>
      <c r="AC1655" t="s">
        <v>43</v>
      </c>
      <c r="AD1655" t="s">
        <v>43</v>
      </c>
      <c r="AE1655" t="s">
        <v>43</v>
      </c>
      <c r="AF1655" t="s">
        <v>43</v>
      </c>
      <c r="AG1655" t="s">
        <v>43</v>
      </c>
      <c r="AH1655" t="s">
        <v>43</v>
      </c>
      <c r="AI1655" t="s">
        <v>43</v>
      </c>
      <c r="AJ1655" t="s">
        <v>43</v>
      </c>
      <c r="AK1655" t="s">
        <v>43</v>
      </c>
      <c r="AL1655" t="s">
        <v>43</v>
      </c>
      <c r="AM1655" t="s">
        <v>43</v>
      </c>
      <c r="AN1655" t="str">
        <f>HYPERLINK("https://www.google.com/maps?q=11.0558672,79.06412506","Open Location")</f>
        <v>Open Location</v>
      </c>
    </row>
    <row r="1656" spans="1:40" x14ac:dyDescent="0.3">
      <c r="A1656" s="1">
        <v>46210.80810185185</v>
      </c>
      <c r="B1656" t="s">
        <v>40</v>
      </c>
      <c r="C1656" t="s">
        <v>41</v>
      </c>
      <c r="D1656" s="1">
        <v>46210.811099537037</v>
      </c>
      <c r="E1656" t="s">
        <v>42</v>
      </c>
      <c r="F1656" t="s">
        <v>43</v>
      </c>
      <c r="G1656" t="s">
        <v>43</v>
      </c>
      <c r="H1656" t="s">
        <v>43</v>
      </c>
      <c r="I1656" t="s">
        <v>742</v>
      </c>
      <c r="J1656" t="s">
        <v>43</v>
      </c>
      <c r="K1656" t="s">
        <v>43</v>
      </c>
      <c r="L1656" t="s">
        <v>43</v>
      </c>
      <c r="M1656" t="s">
        <v>43</v>
      </c>
      <c r="N1656" t="s">
        <v>45</v>
      </c>
      <c r="O1656" t="s">
        <v>43</v>
      </c>
      <c r="P1656" t="s">
        <v>43</v>
      </c>
      <c r="Q1656" t="s">
        <v>43</v>
      </c>
      <c r="R1656" t="s">
        <v>43</v>
      </c>
      <c r="S1656" t="s">
        <v>43</v>
      </c>
      <c r="T1656" t="s">
        <v>43</v>
      </c>
      <c r="U1656" t="s">
        <v>43</v>
      </c>
      <c r="V1656" t="s">
        <v>43</v>
      </c>
      <c r="W1656" t="s">
        <v>43</v>
      </c>
      <c r="X1656" t="s">
        <v>43</v>
      </c>
      <c r="Y1656" t="s">
        <v>43</v>
      </c>
      <c r="Z1656" t="s">
        <v>43</v>
      </c>
      <c r="AA1656" t="s">
        <v>43</v>
      </c>
      <c r="AB1656" t="s">
        <v>43</v>
      </c>
      <c r="AC1656" t="s">
        <v>43</v>
      </c>
      <c r="AD1656" t="s">
        <v>43</v>
      </c>
      <c r="AE1656" t="s">
        <v>43</v>
      </c>
      <c r="AF1656" t="s">
        <v>43</v>
      </c>
      <c r="AG1656" t="s">
        <v>43</v>
      </c>
      <c r="AH1656" t="s">
        <v>43</v>
      </c>
      <c r="AI1656" t="s">
        <v>43</v>
      </c>
      <c r="AJ1656" t="s">
        <v>43</v>
      </c>
      <c r="AK1656" t="s">
        <v>43</v>
      </c>
      <c r="AL1656" t="s">
        <v>43</v>
      </c>
      <c r="AM1656" t="s">
        <v>43</v>
      </c>
      <c r="AN1656" t="str">
        <f>HYPERLINK("https://www.google.com/maps?q=11.05586624,79.06413269","Open Location")</f>
        <v>Open Location</v>
      </c>
    </row>
    <row r="1657" spans="1:40" x14ac:dyDescent="0.3">
      <c r="A1657" s="1">
        <v>46210.807986111111</v>
      </c>
      <c r="B1657" t="s">
        <v>40</v>
      </c>
      <c r="C1657" t="s">
        <v>41</v>
      </c>
      <c r="D1657" s="1">
        <v>46210.810659722221</v>
      </c>
      <c r="E1657" t="s">
        <v>42</v>
      </c>
      <c r="F1657" t="s">
        <v>43</v>
      </c>
      <c r="G1657" t="s">
        <v>43</v>
      </c>
      <c r="H1657" t="s">
        <v>43</v>
      </c>
      <c r="I1657" t="s">
        <v>43</v>
      </c>
      <c r="J1657" t="s">
        <v>43</v>
      </c>
      <c r="K1657" t="s">
        <v>43</v>
      </c>
      <c r="L1657" t="s">
        <v>43</v>
      </c>
      <c r="M1657" t="s">
        <v>43</v>
      </c>
      <c r="N1657" t="s">
        <v>45</v>
      </c>
      <c r="O1657" t="s">
        <v>43</v>
      </c>
      <c r="P1657" t="s">
        <v>43</v>
      </c>
      <c r="Q1657" t="s">
        <v>43</v>
      </c>
      <c r="R1657" t="s">
        <v>43</v>
      </c>
      <c r="S1657" t="s">
        <v>43</v>
      </c>
      <c r="T1657" t="s">
        <v>43</v>
      </c>
      <c r="U1657" t="s">
        <v>43</v>
      </c>
      <c r="V1657" t="s">
        <v>43</v>
      </c>
      <c r="W1657" t="s">
        <v>43</v>
      </c>
      <c r="X1657" t="s">
        <v>43</v>
      </c>
      <c r="Y1657" t="s">
        <v>43</v>
      </c>
      <c r="Z1657" t="s">
        <v>43</v>
      </c>
      <c r="AA1657" t="s">
        <v>43</v>
      </c>
      <c r="AB1657" t="s">
        <v>43</v>
      </c>
      <c r="AC1657" t="s">
        <v>43</v>
      </c>
      <c r="AD1657" t="s">
        <v>43</v>
      </c>
      <c r="AE1657" t="s">
        <v>43</v>
      </c>
      <c r="AF1657" t="s">
        <v>43</v>
      </c>
      <c r="AG1657" t="s">
        <v>43</v>
      </c>
      <c r="AH1657" t="s">
        <v>43</v>
      </c>
      <c r="AI1657" t="s">
        <v>43</v>
      </c>
      <c r="AJ1657" t="s">
        <v>43</v>
      </c>
      <c r="AK1657" t="s">
        <v>43</v>
      </c>
      <c r="AL1657" t="s">
        <v>43</v>
      </c>
      <c r="AM1657" t="s">
        <v>43</v>
      </c>
      <c r="AN1657" t="s">
        <v>43</v>
      </c>
    </row>
    <row r="1658" spans="1:40" x14ac:dyDescent="0.3">
      <c r="A1658" s="1">
        <v>46210.807870370372</v>
      </c>
      <c r="B1658" t="s">
        <v>40</v>
      </c>
      <c r="C1658" t="s">
        <v>41</v>
      </c>
      <c r="D1658" s="1">
        <v>46210.810659722221</v>
      </c>
      <c r="E1658" t="s">
        <v>42</v>
      </c>
      <c r="F1658" t="s">
        <v>43</v>
      </c>
      <c r="G1658" t="s">
        <v>43</v>
      </c>
      <c r="H1658" t="s">
        <v>43</v>
      </c>
      <c r="I1658" t="s">
        <v>699</v>
      </c>
      <c r="J1658" t="s">
        <v>43</v>
      </c>
      <c r="K1658" t="s">
        <v>43</v>
      </c>
      <c r="L1658" t="s">
        <v>43</v>
      </c>
      <c r="M1658" t="s">
        <v>43</v>
      </c>
      <c r="N1658" t="s">
        <v>45</v>
      </c>
      <c r="O1658" t="s">
        <v>43</v>
      </c>
      <c r="P1658" t="s">
        <v>43</v>
      </c>
      <c r="Q1658" t="s">
        <v>43</v>
      </c>
      <c r="R1658" t="s">
        <v>43</v>
      </c>
      <c r="S1658" t="s">
        <v>43</v>
      </c>
      <c r="T1658" t="s">
        <v>43</v>
      </c>
      <c r="U1658" t="s">
        <v>43</v>
      </c>
      <c r="V1658" t="s">
        <v>43</v>
      </c>
      <c r="W1658" t="s">
        <v>43</v>
      </c>
      <c r="X1658" t="s">
        <v>43</v>
      </c>
      <c r="Y1658" t="s">
        <v>43</v>
      </c>
      <c r="Z1658" t="s">
        <v>43</v>
      </c>
      <c r="AA1658" t="s">
        <v>43</v>
      </c>
      <c r="AB1658" t="s">
        <v>43</v>
      </c>
      <c r="AC1658" t="s">
        <v>43</v>
      </c>
      <c r="AD1658" t="s">
        <v>43</v>
      </c>
      <c r="AE1658" t="s">
        <v>43</v>
      </c>
      <c r="AF1658" t="s">
        <v>43</v>
      </c>
      <c r="AG1658" t="s">
        <v>43</v>
      </c>
      <c r="AH1658" t="s">
        <v>43</v>
      </c>
      <c r="AI1658" t="s">
        <v>43</v>
      </c>
      <c r="AJ1658" t="s">
        <v>43</v>
      </c>
      <c r="AK1658" t="s">
        <v>43</v>
      </c>
      <c r="AL1658" t="s">
        <v>43</v>
      </c>
      <c r="AM1658" t="s">
        <v>43</v>
      </c>
      <c r="AN1658" t="str">
        <f>HYPERLINK("https://www.google.com/maps?q=11.05586529,79.06413269","Open Location")</f>
        <v>Open Location</v>
      </c>
    </row>
    <row r="1659" spans="1:40" x14ac:dyDescent="0.3">
      <c r="A1659" s="1">
        <v>46210.807754629626</v>
      </c>
      <c r="B1659" t="s">
        <v>40</v>
      </c>
      <c r="C1659" t="s">
        <v>41</v>
      </c>
      <c r="D1659" s="1">
        <v>46210.81050925926</v>
      </c>
      <c r="E1659" t="s">
        <v>42</v>
      </c>
      <c r="F1659" t="s">
        <v>43</v>
      </c>
      <c r="G1659" t="s">
        <v>43</v>
      </c>
      <c r="H1659" t="s">
        <v>43</v>
      </c>
      <c r="I1659" t="s">
        <v>700</v>
      </c>
      <c r="J1659" t="s">
        <v>43</v>
      </c>
      <c r="K1659" t="s">
        <v>43</v>
      </c>
      <c r="L1659" t="s">
        <v>43</v>
      </c>
      <c r="M1659" t="s">
        <v>43</v>
      </c>
      <c r="N1659" t="s">
        <v>45</v>
      </c>
      <c r="O1659" t="s">
        <v>43</v>
      </c>
      <c r="P1659" t="s">
        <v>43</v>
      </c>
      <c r="Q1659" t="s">
        <v>43</v>
      </c>
      <c r="R1659" t="s">
        <v>43</v>
      </c>
      <c r="S1659" t="s">
        <v>43</v>
      </c>
      <c r="T1659" t="s">
        <v>43</v>
      </c>
      <c r="U1659" t="s">
        <v>43</v>
      </c>
      <c r="V1659" t="s">
        <v>43</v>
      </c>
      <c r="W1659" t="s">
        <v>43</v>
      </c>
      <c r="X1659" t="s">
        <v>43</v>
      </c>
      <c r="Y1659" t="s">
        <v>43</v>
      </c>
      <c r="Z1659" t="s">
        <v>43</v>
      </c>
      <c r="AA1659" t="s">
        <v>43</v>
      </c>
      <c r="AB1659" t="s">
        <v>43</v>
      </c>
      <c r="AC1659" t="s">
        <v>43</v>
      </c>
      <c r="AD1659" t="s">
        <v>43</v>
      </c>
      <c r="AE1659" t="s">
        <v>43</v>
      </c>
      <c r="AF1659" t="s">
        <v>43</v>
      </c>
      <c r="AG1659" t="s">
        <v>43</v>
      </c>
      <c r="AH1659" t="s">
        <v>43</v>
      </c>
      <c r="AI1659" t="s">
        <v>43</v>
      </c>
      <c r="AJ1659" t="s">
        <v>43</v>
      </c>
      <c r="AK1659" t="s">
        <v>43</v>
      </c>
      <c r="AL1659" t="s">
        <v>43</v>
      </c>
      <c r="AM1659" t="s">
        <v>43</v>
      </c>
      <c r="AN1659" t="str">
        <f>HYPERLINK("https://www.google.com/maps?q=11.0558672,79.06413269","Open Location")</f>
        <v>Open Location</v>
      </c>
    </row>
    <row r="1660" spans="1:40" x14ac:dyDescent="0.3">
      <c r="A1660" s="1">
        <v>46210.807638888888</v>
      </c>
      <c r="B1660" t="s">
        <v>40</v>
      </c>
      <c r="C1660" t="s">
        <v>41</v>
      </c>
      <c r="D1660" s="1">
        <v>46210.81045138889</v>
      </c>
      <c r="E1660" t="s">
        <v>42</v>
      </c>
      <c r="F1660" t="s">
        <v>43</v>
      </c>
      <c r="G1660" t="s">
        <v>43</v>
      </c>
      <c r="H1660" t="s">
        <v>43</v>
      </c>
      <c r="I1660" t="s">
        <v>701</v>
      </c>
      <c r="J1660" t="s">
        <v>43</v>
      </c>
      <c r="K1660" t="s">
        <v>43</v>
      </c>
      <c r="L1660" t="s">
        <v>43</v>
      </c>
      <c r="M1660" t="s">
        <v>43</v>
      </c>
      <c r="N1660" t="s">
        <v>45</v>
      </c>
      <c r="O1660" t="s">
        <v>43</v>
      </c>
      <c r="P1660" t="s">
        <v>43</v>
      </c>
      <c r="Q1660" t="s">
        <v>43</v>
      </c>
      <c r="R1660" t="s">
        <v>43</v>
      </c>
      <c r="S1660" t="s">
        <v>43</v>
      </c>
      <c r="T1660" t="s">
        <v>43</v>
      </c>
      <c r="U1660" t="s">
        <v>43</v>
      </c>
      <c r="V1660" t="s">
        <v>43</v>
      </c>
      <c r="W1660" t="s">
        <v>43</v>
      </c>
      <c r="X1660" t="s">
        <v>43</v>
      </c>
      <c r="Y1660" t="s">
        <v>43</v>
      </c>
      <c r="Z1660" t="s">
        <v>43</v>
      </c>
      <c r="AA1660" t="s">
        <v>43</v>
      </c>
      <c r="AB1660" t="s">
        <v>43</v>
      </c>
      <c r="AC1660" t="s">
        <v>43</v>
      </c>
      <c r="AD1660" t="s">
        <v>43</v>
      </c>
      <c r="AE1660" t="s">
        <v>43</v>
      </c>
      <c r="AF1660" t="s">
        <v>43</v>
      </c>
      <c r="AG1660" t="s">
        <v>43</v>
      </c>
      <c r="AH1660" t="s">
        <v>43</v>
      </c>
      <c r="AI1660" t="s">
        <v>43</v>
      </c>
      <c r="AJ1660" t="s">
        <v>43</v>
      </c>
      <c r="AK1660" t="s">
        <v>43</v>
      </c>
      <c r="AL1660" t="s">
        <v>43</v>
      </c>
      <c r="AM1660" t="s">
        <v>43</v>
      </c>
      <c r="AN1660" t="str">
        <f>HYPERLINK("https://www.google.com/maps?q=11.05586624,79.06412506","Open Location")</f>
        <v>Open Location</v>
      </c>
    </row>
    <row r="1661" spans="1:40" x14ac:dyDescent="0.3">
      <c r="A1661" s="1">
        <v>46210.807523148149</v>
      </c>
      <c r="B1661" t="s">
        <v>40</v>
      </c>
      <c r="C1661" t="s">
        <v>41</v>
      </c>
      <c r="D1661" s="1">
        <v>46210.810173611113</v>
      </c>
      <c r="E1661" t="s">
        <v>42</v>
      </c>
      <c r="F1661" t="s">
        <v>43</v>
      </c>
      <c r="G1661" t="s">
        <v>43</v>
      </c>
      <c r="H1661" t="s">
        <v>43</v>
      </c>
      <c r="I1661" t="s">
        <v>701</v>
      </c>
      <c r="J1661" t="s">
        <v>43</v>
      </c>
      <c r="K1661" t="s">
        <v>43</v>
      </c>
      <c r="L1661" t="s">
        <v>43</v>
      </c>
      <c r="M1661" t="s">
        <v>43</v>
      </c>
      <c r="N1661" t="s">
        <v>45</v>
      </c>
      <c r="O1661" t="s">
        <v>43</v>
      </c>
      <c r="P1661" t="s">
        <v>43</v>
      </c>
      <c r="Q1661" t="s">
        <v>43</v>
      </c>
      <c r="R1661" t="s">
        <v>43</v>
      </c>
      <c r="S1661" t="s">
        <v>43</v>
      </c>
      <c r="T1661" t="s">
        <v>43</v>
      </c>
      <c r="U1661" t="s">
        <v>43</v>
      </c>
      <c r="V1661" t="s">
        <v>43</v>
      </c>
      <c r="W1661" t="s">
        <v>43</v>
      </c>
      <c r="X1661" t="s">
        <v>43</v>
      </c>
      <c r="Y1661" t="s">
        <v>43</v>
      </c>
      <c r="Z1661" t="s">
        <v>43</v>
      </c>
      <c r="AA1661" t="s">
        <v>43</v>
      </c>
      <c r="AB1661" t="s">
        <v>43</v>
      </c>
      <c r="AC1661" t="s">
        <v>43</v>
      </c>
      <c r="AD1661" t="s">
        <v>43</v>
      </c>
      <c r="AE1661" t="s">
        <v>43</v>
      </c>
      <c r="AF1661" t="s">
        <v>43</v>
      </c>
      <c r="AG1661" t="s">
        <v>43</v>
      </c>
      <c r="AH1661" t="s">
        <v>43</v>
      </c>
      <c r="AI1661" t="s">
        <v>43</v>
      </c>
      <c r="AJ1661" t="s">
        <v>43</v>
      </c>
      <c r="AK1661" t="s">
        <v>43</v>
      </c>
      <c r="AL1661" t="s">
        <v>43</v>
      </c>
      <c r="AM1661" t="s">
        <v>43</v>
      </c>
      <c r="AN1661" t="str">
        <f>HYPERLINK("https://www.google.com/maps?q=11.05586624,79.06412506","Open Location")</f>
        <v>Open Location</v>
      </c>
    </row>
    <row r="1662" spans="1:40" x14ac:dyDescent="0.3">
      <c r="A1662" s="1">
        <v>46210.80740740741</v>
      </c>
      <c r="B1662" t="s">
        <v>40</v>
      </c>
      <c r="C1662" t="s">
        <v>41</v>
      </c>
      <c r="D1662" s="1">
        <v>46210.810474537036</v>
      </c>
      <c r="E1662" t="s">
        <v>42</v>
      </c>
      <c r="F1662" t="s">
        <v>43</v>
      </c>
      <c r="G1662" t="s">
        <v>43</v>
      </c>
      <c r="H1662" t="s">
        <v>43</v>
      </c>
      <c r="I1662" t="s">
        <v>43</v>
      </c>
      <c r="J1662" t="s">
        <v>43</v>
      </c>
      <c r="K1662" t="s">
        <v>43</v>
      </c>
      <c r="L1662" t="s">
        <v>43</v>
      </c>
      <c r="M1662" t="s">
        <v>43</v>
      </c>
      <c r="N1662" t="s">
        <v>45</v>
      </c>
      <c r="O1662" t="s">
        <v>43</v>
      </c>
      <c r="P1662" t="s">
        <v>43</v>
      </c>
      <c r="Q1662" t="s">
        <v>43</v>
      </c>
      <c r="R1662" t="s">
        <v>43</v>
      </c>
      <c r="S1662" t="s">
        <v>43</v>
      </c>
      <c r="T1662" t="s">
        <v>43</v>
      </c>
      <c r="U1662" t="s">
        <v>43</v>
      </c>
      <c r="V1662" t="s">
        <v>43</v>
      </c>
      <c r="W1662" t="s">
        <v>43</v>
      </c>
      <c r="X1662" t="s">
        <v>43</v>
      </c>
      <c r="Y1662" t="s">
        <v>43</v>
      </c>
      <c r="Z1662" t="s">
        <v>43</v>
      </c>
      <c r="AA1662" t="s">
        <v>43</v>
      </c>
      <c r="AB1662" t="s">
        <v>43</v>
      </c>
      <c r="AC1662" t="s">
        <v>43</v>
      </c>
      <c r="AD1662" t="s">
        <v>43</v>
      </c>
      <c r="AE1662" t="s">
        <v>43</v>
      </c>
      <c r="AF1662" t="s">
        <v>43</v>
      </c>
      <c r="AG1662" t="s">
        <v>43</v>
      </c>
      <c r="AH1662" t="s">
        <v>43</v>
      </c>
      <c r="AI1662" t="s">
        <v>43</v>
      </c>
      <c r="AJ1662" t="s">
        <v>43</v>
      </c>
      <c r="AK1662" t="s">
        <v>43</v>
      </c>
      <c r="AL1662" t="s">
        <v>43</v>
      </c>
      <c r="AM1662" t="s">
        <v>43</v>
      </c>
      <c r="AN1662" t="s">
        <v>43</v>
      </c>
    </row>
    <row r="1663" spans="1:40" x14ac:dyDescent="0.3">
      <c r="A1663" s="1">
        <v>46210.807291666664</v>
      </c>
      <c r="B1663" t="s">
        <v>40</v>
      </c>
      <c r="C1663" t="s">
        <v>41</v>
      </c>
      <c r="D1663" s="1">
        <v>46210.810104166667</v>
      </c>
      <c r="E1663" t="s">
        <v>42</v>
      </c>
      <c r="F1663" t="s">
        <v>43</v>
      </c>
      <c r="G1663" t="s">
        <v>43</v>
      </c>
      <c r="H1663" t="s">
        <v>43</v>
      </c>
      <c r="I1663" t="s">
        <v>741</v>
      </c>
      <c r="J1663" t="s">
        <v>43</v>
      </c>
      <c r="K1663" t="s">
        <v>43</v>
      </c>
      <c r="L1663" t="s">
        <v>43</v>
      </c>
      <c r="M1663" t="s">
        <v>43</v>
      </c>
      <c r="N1663" t="s">
        <v>45</v>
      </c>
      <c r="O1663" t="s">
        <v>43</v>
      </c>
      <c r="P1663" t="s">
        <v>43</v>
      </c>
      <c r="Q1663" t="s">
        <v>43</v>
      </c>
      <c r="R1663" t="s">
        <v>43</v>
      </c>
      <c r="S1663" t="s">
        <v>43</v>
      </c>
      <c r="T1663" t="s">
        <v>43</v>
      </c>
      <c r="U1663" t="s">
        <v>43</v>
      </c>
      <c r="V1663" t="s">
        <v>43</v>
      </c>
      <c r="W1663" t="s">
        <v>43</v>
      </c>
      <c r="X1663" t="s">
        <v>43</v>
      </c>
      <c r="Y1663" t="s">
        <v>43</v>
      </c>
      <c r="Z1663" t="s">
        <v>43</v>
      </c>
      <c r="AA1663" t="s">
        <v>43</v>
      </c>
      <c r="AB1663" t="s">
        <v>43</v>
      </c>
      <c r="AC1663" t="s">
        <v>43</v>
      </c>
      <c r="AD1663" t="s">
        <v>43</v>
      </c>
      <c r="AE1663" t="s">
        <v>43</v>
      </c>
      <c r="AF1663" t="s">
        <v>43</v>
      </c>
      <c r="AG1663" t="s">
        <v>43</v>
      </c>
      <c r="AH1663" t="s">
        <v>43</v>
      </c>
      <c r="AI1663" t="s">
        <v>43</v>
      </c>
      <c r="AJ1663" t="s">
        <v>43</v>
      </c>
      <c r="AK1663" t="s">
        <v>43</v>
      </c>
      <c r="AL1663" t="s">
        <v>43</v>
      </c>
      <c r="AM1663" t="s">
        <v>43</v>
      </c>
      <c r="AN1663" t="str">
        <f>HYPERLINK("https://www.google.com/maps?q=11.05586529,79.06412506","Open Location")</f>
        <v>Open Location</v>
      </c>
    </row>
    <row r="1664" spans="1:40" x14ac:dyDescent="0.3">
      <c r="A1664" s="1">
        <v>46210.807175925926</v>
      </c>
      <c r="B1664" t="s">
        <v>40</v>
      </c>
      <c r="C1664" t="s">
        <v>41</v>
      </c>
      <c r="D1664" s="1">
        <v>46210.81009259259</v>
      </c>
      <c r="E1664" t="s">
        <v>42</v>
      </c>
      <c r="F1664" t="s">
        <v>43</v>
      </c>
      <c r="G1664" t="s">
        <v>43</v>
      </c>
      <c r="H1664" t="s">
        <v>43</v>
      </c>
      <c r="I1664" t="s">
        <v>794</v>
      </c>
      <c r="J1664" t="s">
        <v>43</v>
      </c>
      <c r="K1664" t="s">
        <v>43</v>
      </c>
      <c r="L1664" t="s">
        <v>43</v>
      </c>
      <c r="M1664" t="s">
        <v>43</v>
      </c>
      <c r="N1664" t="s">
        <v>45</v>
      </c>
      <c r="O1664" t="s">
        <v>43</v>
      </c>
      <c r="P1664" t="s">
        <v>43</v>
      </c>
      <c r="Q1664" t="s">
        <v>43</v>
      </c>
      <c r="R1664" t="s">
        <v>43</v>
      </c>
      <c r="S1664" t="s">
        <v>43</v>
      </c>
      <c r="T1664" t="s">
        <v>43</v>
      </c>
      <c r="U1664" t="s">
        <v>43</v>
      </c>
      <c r="V1664" t="s">
        <v>43</v>
      </c>
      <c r="W1664" t="s">
        <v>43</v>
      </c>
      <c r="X1664" t="s">
        <v>43</v>
      </c>
      <c r="Y1664" t="s">
        <v>43</v>
      </c>
      <c r="Z1664" t="s">
        <v>43</v>
      </c>
      <c r="AA1664" t="s">
        <v>43</v>
      </c>
      <c r="AB1664" t="s">
        <v>43</v>
      </c>
      <c r="AC1664" t="s">
        <v>43</v>
      </c>
      <c r="AD1664" t="s">
        <v>43</v>
      </c>
      <c r="AE1664" t="s">
        <v>43</v>
      </c>
      <c r="AF1664" t="s">
        <v>43</v>
      </c>
      <c r="AG1664" t="s">
        <v>43</v>
      </c>
      <c r="AH1664" t="s">
        <v>43</v>
      </c>
      <c r="AI1664" t="s">
        <v>43</v>
      </c>
      <c r="AJ1664" t="s">
        <v>43</v>
      </c>
      <c r="AK1664" t="s">
        <v>43</v>
      </c>
      <c r="AL1664" t="s">
        <v>43</v>
      </c>
      <c r="AM1664" t="s">
        <v>43</v>
      </c>
      <c r="AN1664" t="str">
        <f>HYPERLINK("https://www.google.com/maps?q=11.05586529,79.06411743","Open Location")</f>
        <v>Open Location</v>
      </c>
    </row>
    <row r="1665" spans="1:40" x14ac:dyDescent="0.3">
      <c r="A1665" s="1">
        <v>46210.807060185187</v>
      </c>
      <c r="B1665" t="s">
        <v>40</v>
      </c>
      <c r="C1665" t="s">
        <v>41</v>
      </c>
      <c r="D1665" s="1">
        <v>46210.81009259259</v>
      </c>
      <c r="E1665" t="s">
        <v>42</v>
      </c>
      <c r="F1665" t="s">
        <v>43</v>
      </c>
      <c r="G1665" t="s">
        <v>43</v>
      </c>
      <c r="H1665" t="s">
        <v>43</v>
      </c>
      <c r="I1665" t="s">
        <v>795</v>
      </c>
      <c r="J1665" t="s">
        <v>43</v>
      </c>
      <c r="K1665" t="s">
        <v>43</v>
      </c>
      <c r="L1665" t="s">
        <v>43</v>
      </c>
      <c r="M1665" t="s">
        <v>43</v>
      </c>
      <c r="N1665" t="s">
        <v>45</v>
      </c>
      <c r="O1665" t="s">
        <v>43</v>
      </c>
      <c r="P1665" t="s">
        <v>43</v>
      </c>
      <c r="Q1665" t="s">
        <v>43</v>
      </c>
      <c r="R1665" t="s">
        <v>43</v>
      </c>
      <c r="S1665" t="s">
        <v>43</v>
      </c>
      <c r="T1665" t="s">
        <v>43</v>
      </c>
      <c r="U1665" t="s">
        <v>43</v>
      </c>
      <c r="V1665" t="s">
        <v>43</v>
      </c>
      <c r="W1665" t="s">
        <v>43</v>
      </c>
      <c r="X1665" t="s">
        <v>43</v>
      </c>
      <c r="Y1665" t="s">
        <v>43</v>
      </c>
      <c r="Z1665" t="s">
        <v>43</v>
      </c>
      <c r="AA1665" t="s">
        <v>43</v>
      </c>
      <c r="AB1665" t="s">
        <v>43</v>
      </c>
      <c r="AC1665" t="s">
        <v>43</v>
      </c>
      <c r="AD1665" t="s">
        <v>43</v>
      </c>
      <c r="AE1665" t="s">
        <v>43</v>
      </c>
      <c r="AF1665" t="s">
        <v>43</v>
      </c>
      <c r="AG1665" t="s">
        <v>43</v>
      </c>
      <c r="AH1665" t="s">
        <v>43</v>
      </c>
      <c r="AI1665" t="s">
        <v>43</v>
      </c>
      <c r="AJ1665" t="s">
        <v>43</v>
      </c>
      <c r="AK1665" t="s">
        <v>43</v>
      </c>
      <c r="AL1665" t="s">
        <v>43</v>
      </c>
      <c r="AM1665" t="s">
        <v>43</v>
      </c>
      <c r="AN1665" t="str">
        <f>HYPERLINK("https://www.google.com/maps?q=11.05586624,79.06411743","Open Location")</f>
        <v>Open Location</v>
      </c>
    </row>
    <row r="1666" spans="1:40" x14ac:dyDescent="0.3">
      <c r="A1666" s="1">
        <v>46210.806944444441</v>
      </c>
      <c r="B1666" t="s">
        <v>40</v>
      </c>
      <c r="C1666" t="s">
        <v>41</v>
      </c>
      <c r="D1666" s="1">
        <v>46210.81009259259</v>
      </c>
      <c r="E1666" t="s">
        <v>42</v>
      </c>
      <c r="F1666" t="s">
        <v>43</v>
      </c>
      <c r="G1666" t="s">
        <v>43</v>
      </c>
      <c r="H1666" t="s">
        <v>43</v>
      </c>
      <c r="I1666" t="s">
        <v>796</v>
      </c>
      <c r="J1666" t="s">
        <v>43</v>
      </c>
      <c r="K1666" t="s">
        <v>43</v>
      </c>
      <c r="L1666" t="s">
        <v>43</v>
      </c>
      <c r="M1666" t="s">
        <v>43</v>
      </c>
      <c r="N1666" t="s">
        <v>45</v>
      </c>
      <c r="O1666" t="s">
        <v>43</v>
      </c>
      <c r="P1666" t="s">
        <v>43</v>
      </c>
      <c r="Q1666" t="s">
        <v>43</v>
      </c>
      <c r="R1666" t="s">
        <v>43</v>
      </c>
      <c r="S1666" t="s">
        <v>43</v>
      </c>
      <c r="T1666" t="s">
        <v>43</v>
      </c>
      <c r="U1666" t="s">
        <v>43</v>
      </c>
      <c r="V1666" t="s">
        <v>43</v>
      </c>
      <c r="W1666" t="s">
        <v>43</v>
      </c>
      <c r="X1666" t="s">
        <v>43</v>
      </c>
      <c r="Y1666" t="s">
        <v>43</v>
      </c>
      <c r="Z1666" t="s">
        <v>43</v>
      </c>
      <c r="AA1666" t="s">
        <v>43</v>
      </c>
      <c r="AB1666" t="s">
        <v>43</v>
      </c>
      <c r="AC1666" t="s">
        <v>43</v>
      </c>
      <c r="AD1666" t="s">
        <v>43</v>
      </c>
      <c r="AE1666" t="s">
        <v>43</v>
      </c>
      <c r="AF1666" t="s">
        <v>43</v>
      </c>
      <c r="AG1666" t="s">
        <v>43</v>
      </c>
      <c r="AH1666" t="s">
        <v>43</v>
      </c>
      <c r="AI1666" t="s">
        <v>43</v>
      </c>
      <c r="AJ1666" t="s">
        <v>43</v>
      </c>
      <c r="AK1666" t="s">
        <v>43</v>
      </c>
      <c r="AL1666" t="s">
        <v>43</v>
      </c>
      <c r="AM1666" t="s">
        <v>43</v>
      </c>
      <c r="AN1666" t="str">
        <f>HYPERLINK("https://www.google.com/maps?q=11.0558691,79.0641098","Open Location")</f>
        <v>Open Location</v>
      </c>
    </row>
    <row r="1667" spans="1:40" x14ac:dyDescent="0.3">
      <c r="A1667" s="1">
        <v>46210.806828703702</v>
      </c>
      <c r="B1667" t="s">
        <v>40</v>
      </c>
      <c r="C1667" t="s">
        <v>41</v>
      </c>
      <c r="D1667" s="1">
        <v>46210.809444444443</v>
      </c>
      <c r="E1667" t="s">
        <v>42</v>
      </c>
      <c r="F1667" t="s">
        <v>43</v>
      </c>
      <c r="G1667" t="s">
        <v>43</v>
      </c>
      <c r="H1667" t="s">
        <v>43</v>
      </c>
      <c r="I1667" t="s">
        <v>797</v>
      </c>
      <c r="J1667" t="s">
        <v>43</v>
      </c>
      <c r="K1667" t="s">
        <v>43</v>
      </c>
      <c r="L1667" t="s">
        <v>43</v>
      </c>
      <c r="M1667" t="s">
        <v>43</v>
      </c>
      <c r="N1667" t="s">
        <v>45</v>
      </c>
      <c r="O1667" t="s">
        <v>43</v>
      </c>
      <c r="P1667" t="s">
        <v>43</v>
      </c>
      <c r="Q1667" t="s">
        <v>43</v>
      </c>
      <c r="R1667" t="s">
        <v>43</v>
      </c>
      <c r="S1667" t="s">
        <v>43</v>
      </c>
      <c r="T1667" t="s">
        <v>43</v>
      </c>
      <c r="U1667" t="s">
        <v>43</v>
      </c>
      <c r="V1667" t="s">
        <v>43</v>
      </c>
      <c r="W1667" t="s">
        <v>43</v>
      </c>
      <c r="X1667" t="s">
        <v>43</v>
      </c>
      <c r="Y1667" t="s">
        <v>43</v>
      </c>
      <c r="Z1667" t="s">
        <v>43</v>
      </c>
      <c r="AA1667" t="s">
        <v>43</v>
      </c>
      <c r="AB1667" t="s">
        <v>43</v>
      </c>
      <c r="AC1667" t="s">
        <v>43</v>
      </c>
      <c r="AD1667" t="s">
        <v>43</v>
      </c>
      <c r="AE1667" t="s">
        <v>43</v>
      </c>
      <c r="AF1667" t="s">
        <v>43</v>
      </c>
      <c r="AG1667" t="s">
        <v>43</v>
      </c>
      <c r="AH1667" t="s">
        <v>43</v>
      </c>
      <c r="AI1667" t="s">
        <v>43</v>
      </c>
      <c r="AJ1667" t="s">
        <v>43</v>
      </c>
      <c r="AK1667" t="s">
        <v>43</v>
      </c>
      <c r="AL1667" t="s">
        <v>43</v>
      </c>
      <c r="AM1667" t="s">
        <v>43</v>
      </c>
      <c r="AN1667" t="str">
        <f>HYPERLINK("https://www.google.com/maps?q=11.05587006,79.0641098","Open Location")</f>
        <v>Open Location</v>
      </c>
    </row>
    <row r="1668" spans="1:40" x14ac:dyDescent="0.3">
      <c r="A1668" s="1">
        <v>46210.806712962964</v>
      </c>
      <c r="B1668" t="s">
        <v>40</v>
      </c>
      <c r="C1668" t="s">
        <v>41</v>
      </c>
      <c r="D1668" s="1">
        <v>46210.809641203705</v>
      </c>
      <c r="E1668" t="s">
        <v>42</v>
      </c>
      <c r="F1668" t="s">
        <v>43</v>
      </c>
      <c r="G1668" t="s">
        <v>43</v>
      </c>
      <c r="H1668" t="s">
        <v>43</v>
      </c>
      <c r="I1668" t="s">
        <v>43</v>
      </c>
      <c r="J1668" t="s">
        <v>43</v>
      </c>
      <c r="K1668" t="s">
        <v>43</v>
      </c>
      <c r="L1668" t="s">
        <v>43</v>
      </c>
      <c r="M1668" t="s">
        <v>43</v>
      </c>
      <c r="N1668" t="s">
        <v>45</v>
      </c>
      <c r="O1668" t="s">
        <v>43</v>
      </c>
      <c r="P1668" t="s">
        <v>43</v>
      </c>
      <c r="Q1668" t="s">
        <v>43</v>
      </c>
      <c r="R1668" t="s">
        <v>43</v>
      </c>
      <c r="S1668" t="s">
        <v>43</v>
      </c>
      <c r="T1668" t="s">
        <v>43</v>
      </c>
      <c r="U1668" t="s">
        <v>43</v>
      </c>
      <c r="V1668" t="s">
        <v>43</v>
      </c>
      <c r="W1668" t="s">
        <v>43</v>
      </c>
      <c r="X1668" t="s">
        <v>43</v>
      </c>
      <c r="Y1668" t="s">
        <v>43</v>
      </c>
      <c r="Z1668" t="s">
        <v>43</v>
      </c>
      <c r="AA1668" t="s">
        <v>43</v>
      </c>
      <c r="AB1668" t="s">
        <v>43</v>
      </c>
      <c r="AC1668" t="s">
        <v>43</v>
      </c>
      <c r="AD1668" t="s">
        <v>43</v>
      </c>
      <c r="AE1668" t="s">
        <v>43</v>
      </c>
      <c r="AF1668" t="s">
        <v>43</v>
      </c>
      <c r="AG1668" t="s">
        <v>43</v>
      </c>
      <c r="AH1668" t="s">
        <v>43</v>
      </c>
      <c r="AI1668" t="s">
        <v>43</v>
      </c>
      <c r="AJ1668" t="s">
        <v>43</v>
      </c>
      <c r="AK1668" t="s">
        <v>43</v>
      </c>
      <c r="AL1668" t="s">
        <v>43</v>
      </c>
      <c r="AM1668" t="s">
        <v>43</v>
      </c>
      <c r="AN1668" t="s">
        <v>43</v>
      </c>
    </row>
    <row r="1669" spans="1:40" x14ac:dyDescent="0.3">
      <c r="A1669" s="1">
        <v>46210.806597222225</v>
      </c>
      <c r="B1669" t="s">
        <v>40</v>
      </c>
      <c r="C1669" t="s">
        <v>41</v>
      </c>
      <c r="D1669" s="1">
        <v>46210.809641203705</v>
      </c>
      <c r="E1669" t="s">
        <v>42</v>
      </c>
      <c r="F1669" t="s">
        <v>43</v>
      </c>
      <c r="G1669" t="s">
        <v>43</v>
      </c>
      <c r="H1669" t="s">
        <v>43</v>
      </c>
      <c r="I1669" t="s">
        <v>736</v>
      </c>
      <c r="J1669" t="s">
        <v>43</v>
      </c>
      <c r="K1669" t="s">
        <v>43</v>
      </c>
      <c r="L1669" t="s">
        <v>43</v>
      </c>
      <c r="M1669" t="s">
        <v>43</v>
      </c>
      <c r="N1669" t="s">
        <v>45</v>
      </c>
      <c r="O1669" t="s">
        <v>43</v>
      </c>
      <c r="P1669" t="s">
        <v>43</v>
      </c>
      <c r="Q1669" t="s">
        <v>43</v>
      </c>
      <c r="R1669" t="s">
        <v>43</v>
      </c>
      <c r="S1669" t="s">
        <v>43</v>
      </c>
      <c r="T1669" t="s">
        <v>43</v>
      </c>
      <c r="U1669" t="s">
        <v>43</v>
      </c>
      <c r="V1669" t="s">
        <v>43</v>
      </c>
      <c r="W1669" t="s">
        <v>43</v>
      </c>
      <c r="X1669" t="s">
        <v>43</v>
      </c>
      <c r="Y1669" t="s">
        <v>43</v>
      </c>
      <c r="Z1669" t="s">
        <v>43</v>
      </c>
      <c r="AA1669" t="s">
        <v>43</v>
      </c>
      <c r="AB1669" t="s">
        <v>43</v>
      </c>
      <c r="AC1669" t="s">
        <v>43</v>
      </c>
      <c r="AD1669" t="s">
        <v>43</v>
      </c>
      <c r="AE1669" t="s">
        <v>43</v>
      </c>
      <c r="AF1669" t="s">
        <v>43</v>
      </c>
      <c r="AG1669" t="s">
        <v>43</v>
      </c>
      <c r="AH1669" t="s">
        <v>43</v>
      </c>
      <c r="AI1669" t="s">
        <v>43</v>
      </c>
      <c r="AJ1669" t="s">
        <v>43</v>
      </c>
      <c r="AK1669" t="s">
        <v>43</v>
      </c>
      <c r="AL1669" t="s">
        <v>43</v>
      </c>
      <c r="AM1669" t="s">
        <v>43</v>
      </c>
      <c r="AN1669" t="str">
        <f>HYPERLINK("https://www.google.com/maps?q=11.05587196,79.0641098","Open Location")</f>
        <v>Open Location</v>
      </c>
    </row>
    <row r="1670" spans="1:40" x14ac:dyDescent="0.3">
      <c r="A1670" s="1">
        <v>46210.806481481479</v>
      </c>
      <c r="B1670" t="s">
        <v>40</v>
      </c>
      <c r="C1670" t="s">
        <v>41</v>
      </c>
      <c r="D1670" s="1">
        <v>46210.809467592589</v>
      </c>
      <c r="E1670" t="s">
        <v>42</v>
      </c>
      <c r="F1670" t="s">
        <v>43</v>
      </c>
      <c r="G1670" t="s">
        <v>43</v>
      </c>
      <c r="H1670" t="s">
        <v>43</v>
      </c>
      <c r="I1670" t="s">
        <v>798</v>
      </c>
      <c r="J1670" t="s">
        <v>43</v>
      </c>
      <c r="K1670" t="s">
        <v>43</v>
      </c>
      <c r="L1670" t="s">
        <v>43</v>
      </c>
      <c r="M1670" t="s">
        <v>43</v>
      </c>
      <c r="N1670" t="s">
        <v>45</v>
      </c>
      <c r="O1670" t="s">
        <v>43</v>
      </c>
      <c r="P1670" t="s">
        <v>43</v>
      </c>
      <c r="Q1670" t="s">
        <v>43</v>
      </c>
      <c r="R1670" t="s">
        <v>43</v>
      </c>
      <c r="S1670" t="s">
        <v>43</v>
      </c>
      <c r="T1670" t="s">
        <v>43</v>
      </c>
      <c r="U1670" t="s">
        <v>43</v>
      </c>
      <c r="V1670" t="s">
        <v>43</v>
      </c>
      <c r="W1670" t="s">
        <v>43</v>
      </c>
      <c r="X1670" t="s">
        <v>43</v>
      </c>
      <c r="Y1670" t="s">
        <v>43</v>
      </c>
      <c r="Z1670" t="s">
        <v>43</v>
      </c>
      <c r="AA1670" t="s">
        <v>43</v>
      </c>
      <c r="AB1670" t="s">
        <v>43</v>
      </c>
      <c r="AC1670" t="s">
        <v>43</v>
      </c>
      <c r="AD1670" t="s">
        <v>43</v>
      </c>
      <c r="AE1670" t="s">
        <v>43</v>
      </c>
      <c r="AF1670" t="s">
        <v>43</v>
      </c>
      <c r="AG1670" t="s">
        <v>43</v>
      </c>
      <c r="AH1670" t="s">
        <v>43</v>
      </c>
      <c r="AI1670" t="s">
        <v>43</v>
      </c>
      <c r="AJ1670" t="s">
        <v>43</v>
      </c>
      <c r="AK1670" t="s">
        <v>43</v>
      </c>
      <c r="AL1670" t="s">
        <v>43</v>
      </c>
      <c r="AM1670" t="s">
        <v>43</v>
      </c>
      <c r="AN1670" t="str">
        <f>HYPERLINK("https://www.google.com/maps?q=11.05587292,79.0641098","Open Location")</f>
        <v>Open Location</v>
      </c>
    </row>
    <row r="1671" spans="1:40" x14ac:dyDescent="0.3">
      <c r="A1671" s="1">
        <v>46210.80636574074</v>
      </c>
      <c r="B1671" t="s">
        <v>40</v>
      </c>
      <c r="C1671" t="s">
        <v>41</v>
      </c>
      <c r="D1671" s="1">
        <v>46210.809027777781</v>
      </c>
      <c r="E1671" t="s">
        <v>42</v>
      </c>
      <c r="F1671" t="s">
        <v>43</v>
      </c>
      <c r="G1671" t="s">
        <v>43</v>
      </c>
      <c r="H1671" t="s">
        <v>43</v>
      </c>
      <c r="I1671" t="s">
        <v>799</v>
      </c>
      <c r="J1671" t="s">
        <v>43</v>
      </c>
      <c r="K1671" t="s">
        <v>43</v>
      </c>
      <c r="L1671" t="s">
        <v>43</v>
      </c>
      <c r="M1671" t="s">
        <v>43</v>
      </c>
      <c r="N1671" t="s">
        <v>45</v>
      </c>
      <c r="O1671" t="s">
        <v>43</v>
      </c>
      <c r="P1671" t="s">
        <v>43</v>
      </c>
      <c r="Q1671" t="s">
        <v>43</v>
      </c>
      <c r="R1671" t="s">
        <v>43</v>
      </c>
      <c r="S1671" t="s">
        <v>43</v>
      </c>
      <c r="T1671" t="s">
        <v>43</v>
      </c>
      <c r="U1671" t="s">
        <v>43</v>
      </c>
      <c r="V1671" t="s">
        <v>43</v>
      </c>
      <c r="W1671" t="s">
        <v>43</v>
      </c>
      <c r="X1671" t="s">
        <v>43</v>
      </c>
      <c r="Y1671" t="s">
        <v>43</v>
      </c>
      <c r="Z1671" t="s">
        <v>43</v>
      </c>
      <c r="AA1671" t="s">
        <v>43</v>
      </c>
      <c r="AB1671" t="s">
        <v>43</v>
      </c>
      <c r="AC1671" t="s">
        <v>43</v>
      </c>
      <c r="AD1671" t="s">
        <v>43</v>
      </c>
      <c r="AE1671" t="s">
        <v>43</v>
      </c>
      <c r="AF1671" t="s">
        <v>43</v>
      </c>
      <c r="AG1671" t="s">
        <v>43</v>
      </c>
      <c r="AH1671" t="s">
        <v>43</v>
      </c>
      <c r="AI1671" t="s">
        <v>43</v>
      </c>
      <c r="AJ1671" t="s">
        <v>43</v>
      </c>
      <c r="AK1671" t="s">
        <v>43</v>
      </c>
      <c r="AL1671" t="s">
        <v>43</v>
      </c>
      <c r="AM1671" t="s">
        <v>43</v>
      </c>
      <c r="AN1671" t="str">
        <f>HYPERLINK("https://www.google.com/maps?q=11.05587387,79.0641098","Open Location")</f>
        <v>Open Location</v>
      </c>
    </row>
    <row r="1672" spans="1:40" x14ac:dyDescent="0.3">
      <c r="A1672" s="1">
        <v>46210.806250000001</v>
      </c>
      <c r="B1672" t="s">
        <v>40</v>
      </c>
      <c r="C1672" t="s">
        <v>41</v>
      </c>
      <c r="D1672" s="1">
        <v>46210.809340277781</v>
      </c>
      <c r="E1672" t="s">
        <v>42</v>
      </c>
      <c r="F1672" t="s">
        <v>43</v>
      </c>
      <c r="G1672" t="s">
        <v>43</v>
      </c>
      <c r="H1672" t="s">
        <v>43</v>
      </c>
      <c r="I1672" t="s">
        <v>800</v>
      </c>
      <c r="J1672" t="s">
        <v>43</v>
      </c>
      <c r="K1672" t="s">
        <v>43</v>
      </c>
      <c r="L1672" t="s">
        <v>43</v>
      </c>
      <c r="M1672" t="s">
        <v>43</v>
      </c>
      <c r="N1672" t="s">
        <v>45</v>
      </c>
      <c r="O1672" t="s">
        <v>43</v>
      </c>
      <c r="P1672" t="s">
        <v>43</v>
      </c>
      <c r="Q1672" t="s">
        <v>43</v>
      </c>
      <c r="R1672" t="s">
        <v>43</v>
      </c>
      <c r="S1672" t="s">
        <v>43</v>
      </c>
      <c r="T1672" t="s">
        <v>43</v>
      </c>
      <c r="U1672" t="s">
        <v>43</v>
      </c>
      <c r="V1672" t="s">
        <v>43</v>
      </c>
      <c r="W1672" t="s">
        <v>43</v>
      </c>
      <c r="X1672" t="s">
        <v>43</v>
      </c>
      <c r="Y1672" t="s">
        <v>43</v>
      </c>
      <c r="Z1672" t="s">
        <v>43</v>
      </c>
      <c r="AA1672" t="s">
        <v>43</v>
      </c>
      <c r="AB1672" t="s">
        <v>43</v>
      </c>
      <c r="AC1672" t="s">
        <v>43</v>
      </c>
      <c r="AD1672" t="s">
        <v>43</v>
      </c>
      <c r="AE1672" t="s">
        <v>43</v>
      </c>
      <c r="AF1672" t="s">
        <v>43</v>
      </c>
      <c r="AG1672" t="s">
        <v>43</v>
      </c>
      <c r="AH1672" t="s">
        <v>43</v>
      </c>
      <c r="AI1672" t="s">
        <v>43</v>
      </c>
      <c r="AJ1672" t="s">
        <v>43</v>
      </c>
      <c r="AK1672" t="s">
        <v>43</v>
      </c>
      <c r="AL1672" t="s">
        <v>43</v>
      </c>
      <c r="AM1672" t="s">
        <v>43</v>
      </c>
      <c r="AN1672" t="str">
        <f>HYPERLINK("https://www.google.com/maps?q=11.05587578,79.06410217","Open Location")</f>
        <v>Open Location</v>
      </c>
    </row>
    <row r="1673" spans="1:40" x14ac:dyDescent="0.3">
      <c r="A1673" s="1">
        <v>46210.806134259263</v>
      </c>
      <c r="B1673" t="s">
        <v>40</v>
      </c>
      <c r="C1673" t="s">
        <v>41</v>
      </c>
      <c r="D1673" s="1">
        <v>46210.809212962966</v>
      </c>
      <c r="E1673" t="s">
        <v>42</v>
      </c>
      <c r="F1673" t="s">
        <v>43</v>
      </c>
      <c r="G1673" t="s">
        <v>43</v>
      </c>
      <c r="H1673" t="s">
        <v>43</v>
      </c>
      <c r="I1673" t="s">
        <v>737</v>
      </c>
      <c r="J1673" t="s">
        <v>43</v>
      </c>
      <c r="K1673" t="s">
        <v>43</v>
      </c>
      <c r="L1673" t="s">
        <v>43</v>
      </c>
      <c r="M1673" t="s">
        <v>43</v>
      </c>
      <c r="N1673" t="s">
        <v>45</v>
      </c>
      <c r="O1673" t="s">
        <v>43</v>
      </c>
      <c r="P1673" t="s">
        <v>43</v>
      </c>
      <c r="Q1673" t="s">
        <v>43</v>
      </c>
      <c r="R1673" t="s">
        <v>43</v>
      </c>
      <c r="S1673" t="s">
        <v>43</v>
      </c>
      <c r="T1673" t="s">
        <v>43</v>
      </c>
      <c r="U1673" t="s">
        <v>43</v>
      </c>
      <c r="V1673" t="s">
        <v>43</v>
      </c>
      <c r="W1673" t="s">
        <v>43</v>
      </c>
      <c r="X1673" t="s">
        <v>43</v>
      </c>
      <c r="Y1673" t="s">
        <v>43</v>
      </c>
      <c r="Z1673" t="s">
        <v>43</v>
      </c>
      <c r="AA1673" t="s">
        <v>43</v>
      </c>
      <c r="AB1673" t="s">
        <v>43</v>
      </c>
      <c r="AC1673" t="s">
        <v>43</v>
      </c>
      <c r="AD1673" t="s">
        <v>43</v>
      </c>
      <c r="AE1673" t="s">
        <v>43</v>
      </c>
      <c r="AF1673" t="s">
        <v>43</v>
      </c>
      <c r="AG1673" t="s">
        <v>43</v>
      </c>
      <c r="AH1673" t="s">
        <v>43</v>
      </c>
      <c r="AI1673" t="s">
        <v>43</v>
      </c>
      <c r="AJ1673" t="s">
        <v>43</v>
      </c>
      <c r="AK1673" t="s">
        <v>43</v>
      </c>
      <c r="AL1673" t="s">
        <v>43</v>
      </c>
      <c r="AM1673" t="s">
        <v>43</v>
      </c>
      <c r="AN1673" t="str">
        <f>HYPERLINK("https://www.google.com/maps?q=11.05587578,79.0641098","Open Location")</f>
        <v>Open Location</v>
      </c>
    </row>
    <row r="1674" spans="1:40" x14ac:dyDescent="0.3">
      <c r="A1674" s="1">
        <v>46210.806018518517</v>
      </c>
      <c r="B1674" t="s">
        <v>40</v>
      </c>
      <c r="C1674" t="s">
        <v>41</v>
      </c>
      <c r="D1674" s="1">
        <v>46210.809305555558</v>
      </c>
      <c r="E1674" t="s">
        <v>42</v>
      </c>
      <c r="F1674" t="s">
        <v>43</v>
      </c>
      <c r="G1674" t="s">
        <v>43</v>
      </c>
      <c r="H1674" t="s">
        <v>43</v>
      </c>
      <c r="I1674" t="s">
        <v>43</v>
      </c>
      <c r="J1674" t="s">
        <v>43</v>
      </c>
      <c r="K1674" t="s">
        <v>43</v>
      </c>
      <c r="L1674" t="s">
        <v>43</v>
      </c>
      <c r="M1674" t="s">
        <v>43</v>
      </c>
      <c r="N1674" t="s">
        <v>45</v>
      </c>
      <c r="O1674" t="s">
        <v>43</v>
      </c>
      <c r="P1674" t="s">
        <v>43</v>
      </c>
      <c r="Q1674" t="s">
        <v>43</v>
      </c>
      <c r="R1674" t="s">
        <v>43</v>
      </c>
      <c r="S1674" t="s">
        <v>43</v>
      </c>
      <c r="T1674" t="s">
        <v>43</v>
      </c>
      <c r="U1674" t="s">
        <v>43</v>
      </c>
      <c r="V1674" t="s">
        <v>43</v>
      </c>
      <c r="W1674" t="s">
        <v>43</v>
      </c>
      <c r="X1674" t="s">
        <v>43</v>
      </c>
      <c r="Y1674" t="s">
        <v>43</v>
      </c>
      <c r="Z1674" t="s">
        <v>43</v>
      </c>
      <c r="AA1674" t="s">
        <v>43</v>
      </c>
      <c r="AB1674" t="s">
        <v>43</v>
      </c>
      <c r="AC1674" t="s">
        <v>43</v>
      </c>
      <c r="AD1674" t="s">
        <v>43</v>
      </c>
      <c r="AE1674" t="s">
        <v>43</v>
      </c>
      <c r="AF1674" t="s">
        <v>43</v>
      </c>
      <c r="AG1674" t="s">
        <v>43</v>
      </c>
      <c r="AH1674" t="s">
        <v>43</v>
      </c>
      <c r="AI1674" t="s">
        <v>43</v>
      </c>
      <c r="AJ1674" t="s">
        <v>43</v>
      </c>
      <c r="AK1674" t="s">
        <v>43</v>
      </c>
      <c r="AL1674" t="s">
        <v>43</v>
      </c>
      <c r="AM1674" t="s">
        <v>43</v>
      </c>
      <c r="AN1674" t="s">
        <v>43</v>
      </c>
    </row>
    <row r="1675" spans="1:40" x14ac:dyDescent="0.3">
      <c r="A1675" s="1">
        <v>46210.805902777778</v>
      </c>
      <c r="B1675" t="s">
        <v>40</v>
      </c>
      <c r="C1675" t="s">
        <v>41</v>
      </c>
      <c r="D1675" s="1">
        <v>46210.809317129628</v>
      </c>
      <c r="E1675" t="s">
        <v>42</v>
      </c>
      <c r="F1675" t="s">
        <v>43</v>
      </c>
      <c r="G1675" t="s">
        <v>43</v>
      </c>
      <c r="H1675" t="s">
        <v>43</v>
      </c>
      <c r="I1675" t="s">
        <v>801</v>
      </c>
      <c r="J1675" t="s">
        <v>43</v>
      </c>
      <c r="K1675" t="s">
        <v>43</v>
      </c>
      <c r="L1675" t="s">
        <v>43</v>
      </c>
      <c r="M1675" t="s">
        <v>43</v>
      </c>
      <c r="N1675" t="s">
        <v>45</v>
      </c>
      <c r="O1675" t="s">
        <v>43</v>
      </c>
      <c r="P1675" t="s">
        <v>43</v>
      </c>
      <c r="Q1675" t="s">
        <v>43</v>
      </c>
      <c r="R1675" t="s">
        <v>43</v>
      </c>
      <c r="S1675" t="s">
        <v>43</v>
      </c>
      <c r="T1675" t="s">
        <v>43</v>
      </c>
      <c r="U1675" t="s">
        <v>43</v>
      </c>
      <c r="V1675" t="s">
        <v>43</v>
      </c>
      <c r="W1675" t="s">
        <v>43</v>
      </c>
      <c r="X1675" t="s">
        <v>43</v>
      </c>
      <c r="Y1675" t="s">
        <v>43</v>
      </c>
      <c r="Z1675" t="s">
        <v>43</v>
      </c>
      <c r="AA1675" t="s">
        <v>43</v>
      </c>
      <c r="AB1675" t="s">
        <v>43</v>
      </c>
      <c r="AC1675" t="s">
        <v>43</v>
      </c>
      <c r="AD1675" t="s">
        <v>43</v>
      </c>
      <c r="AE1675" t="s">
        <v>43</v>
      </c>
      <c r="AF1675" t="s">
        <v>43</v>
      </c>
      <c r="AG1675" t="s">
        <v>43</v>
      </c>
      <c r="AH1675" t="s">
        <v>43</v>
      </c>
      <c r="AI1675" t="s">
        <v>43</v>
      </c>
      <c r="AJ1675" t="s">
        <v>43</v>
      </c>
      <c r="AK1675" t="s">
        <v>43</v>
      </c>
      <c r="AL1675" t="s">
        <v>43</v>
      </c>
      <c r="AM1675" t="s">
        <v>43</v>
      </c>
      <c r="AN1675" t="str">
        <f>HYPERLINK("https://www.google.com/maps?q=11.05587959,79.06410217","Open Location")</f>
        <v>Open Location</v>
      </c>
    </row>
    <row r="1676" spans="1:40" x14ac:dyDescent="0.3">
      <c r="A1676" s="1">
        <v>46210.805787037039</v>
      </c>
      <c r="B1676" t="s">
        <v>40</v>
      </c>
      <c r="C1676" t="s">
        <v>41</v>
      </c>
      <c r="D1676" s="1">
        <v>46210.809270833335</v>
      </c>
      <c r="E1676" t="s">
        <v>42</v>
      </c>
      <c r="F1676" t="s">
        <v>43</v>
      </c>
      <c r="G1676" t="s">
        <v>43</v>
      </c>
      <c r="H1676" t="s">
        <v>43</v>
      </c>
      <c r="I1676" t="s">
        <v>605</v>
      </c>
      <c r="J1676" t="s">
        <v>43</v>
      </c>
      <c r="K1676" t="s">
        <v>43</v>
      </c>
      <c r="L1676" t="s">
        <v>43</v>
      </c>
      <c r="M1676" t="s">
        <v>43</v>
      </c>
      <c r="N1676" t="s">
        <v>45</v>
      </c>
      <c r="O1676" t="s">
        <v>43</v>
      </c>
      <c r="P1676" t="s">
        <v>43</v>
      </c>
      <c r="Q1676" t="s">
        <v>43</v>
      </c>
      <c r="R1676" t="s">
        <v>43</v>
      </c>
      <c r="S1676" t="s">
        <v>43</v>
      </c>
      <c r="T1676" t="s">
        <v>43</v>
      </c>
      <c r="U1676" t="s">
        <v>43</v>
      </c>
      <c r="V1676" t="s">
        <v>43</v>
      </c>
      <c r="W1676" t="s">
        <v>43</v>
      </c>
      <c r="X1676" t="s">
        <v>43</v>
      </c>
      <c r="Y1676" t="s">
        <v>43</v>
      </c>
      <c r="Z1676" t="s">
        <v>43</v>
      </c>
      <c r="AA1676" t="s">
        <v>43</v>
      </c>
      <c r="AB1676" t="s">
        <v>43</v>
      </c>
      <c r="AC1676" t="s">
        <v>43</v>
      </c>
      <c r="AD1676" t="s">
        <v>43</v>
      </c>
      <c r="AE1676" t="s">
        <v>43</v>
      </c>
      <c r="AF1676" t="s">
        <v>43</v>
      </c>
      <c r="AG1676" t="s">
        <v>43</v>
      </c>
      <c r="AH1676" t="s">
        <v>43</v>
      </c>
      <c r="AI1676" t="s">
        <v>43</v>
      </c>
      <c r="AJ1676" t="s">
        <v>43</v>
      </c>
      <c r="AK1676" t="s">
        <v>43</v>
      </c>
      <c r="AL1676" t="s">
        <v>43</v>
      </c>
      <c r="AM1676" t="s">
        <v>43</v>
      </c>
      <c r="AN1676" t="str">
        <f>HYPERLINK("https://www.google.com/maps?q=11.05588055,79.0641098","Open Location")</f>
        <v>Open Location</v>
      </c>
    </row>
    <row r="1677" spans="1:40" x14ac:dyDescent="0.3">
      <c r="A1677" s="1">
        <v>46210.805671296293</v>
      </c>
      <c r="B1677" t="s">
        <v>40</v>
      </c>
      <c r="C1677" t="s">
        <v>41</v>
      </c>
      <c r="D1677" s="1">
        <v>46210.808333333334</v>
      </c>
      <c r="E1677" t="s">
        <v>42</v>
      </c>
      <c r="F1677" t="s">
        <v>43</v>
      </c>
      <c r="G1677" t="s">
        <v>43</v>
      </c>
      <c r="H1677" t="s">
        <v>43</v>
      </c>
      <c r="I1677" t="s">
        <v>802</v>
      </c>
      <c r="J1677" t="s">
        <v>43</v>
      </c>
      <c r="K1677" t="s">
        <v>43</v>
      </c>
      <c r="L1677" t="s">
        <v>43</v>
      </c>
      <c r="M1677" t="s">
        <v>43</v>
      </c>
      <c r="N1677" t="s">
        <v>45</v>
      </c>
      <c r="O1677" t="s">
        <v>43</v>
      </c>
      <c r="P1677" t="s">
        <v>43</v>
      </c>
      <c r="Q1677" t="s">
        <v>43</v>
      </c>
      <c r="R1677" t="s">
        <v>43</v>
      </c>
      <c r="S1677" t="s">
        <v>43</v>
      </c>
      <c r="T1677" t="s">
        <v>43</v>
      </c>
      <c r="U1677" t="s">
        <v>43</v>
      </c>
      <c r="V1677" t="s">
        <v>43</v>
      </c>
      <c r="W1677" t="s">
        <v>43</v>
      </c>
      <c r="X1677" t="s">
        <v>43</v>
      </c>
      <c r="Y1677" t="s">
        <v>43</v>
      </c>
      <c r="Z1677" t="s">
        <v>43</v>
      </c>
      <c r="AA1677" t="s">
        <v>43</v>
      </c>
      <c r="AB1677" t="s">
        <v>43</v>
      </c>
      <c r="AC1677" t="s">
        <v>43</v>
      </c>
      <c r="AD1677" t="s">
        <v>43</v>
      </c>
      <c r="AE1677" t="s">
        <v>43</v>
      </c>
      <c r="AF1677" t="s">
        <v>43</v>
      </c>
      <c r="AG1677" t="s">
        <v>43</v>
      </c>
      <c r="AH1677" t="s">
        <v>43</v>
      </c>
      <c r="AI1677" t="s">
        <v>43</v>
      </c>
      <c r="AJ1677" t="s">
        <v>43</v>
      </c>
      <c r="AK1677" t="s">
        <v>43</v>
      </c>
      <c r="AL1677" t="s">
        <v>43</v>
      </c>
      <c r="AM1677" t="s">
        <v>43</v>
      </c>
      <c r="AN1677" t="str">
        <f>HYPERLINK("https://www.google.com/maps?q=11.05588531,79.0641098","Open Location")</f>
        <v>Open Location</v>
      </c>
    </row>
    <row r="1678" spans="1:40" x14ac:dyDescent="0.3">
      <c r="A1678" s="1">
        <v>46210.805555555555</v>
      </c>
      <c r="B1678" t="s">
        <v>40</v>
      </c>
      <c r="C1678" t="s">
        <v>41</v>
      </c>
      <c r="D1678" s="1">
        <v>46210.808310185188</v>
      </c>
      <c r="E1678" t="s">
        <v>42</v>
      </c>
      <c r="F1678" t="s">
        <v>43</v>
      </c>
      <c r="G1678" t="s">
        <v>43</v>
      </c>
      <c r="H1678" t="s">
        <v>43</v>
      </c>
      <c r="I1678" t="s">
        <v>595</v>
      </c>
      <c r="J1678" t="s">
        <v>43</v>
      </c>
      <c r="K1678" t="s">
        <v>43</v>
      </c>
      <c r="L1678" t="s">
        <v>43</v>
      </c>
      <c r="M1678" t="s">
        <v>43</v>
      </c>
      <c r="N1678" t="s">
        <v>45</v>
      </c>
      <c r="O1678" t="s">
        <v>43</v>
      </c>
      <c r="P1678" t="s">
        <v>43</v>
      </c>
      <c r="Q1678" t="s">
        <v>43</v>
      </c>
      <c r="R1678" t="s">
        <v>43</v>
      </c>
      <c r="S1678" t="s">
        <v>43</v>
      </c>
      <c r="T1678" t="s">
        <v>43</v>
      </c>
      <c r="U1678" t="s">
        <v>43</v>
      </c>
      <c r="V1678" t="s">
        <v>43</v>
      </c>
      <c r="W1678" t="s">
        <v>43</v>
      </c>
      <c r="X1678" t="s">
        <v>43</v>
      </c>
      <c r="Y1678" t="s">
        <v>43</v>
      </c>
      <c r="Z1678" t="s">
        <v>43</v>
      </c>
      <c r="AA1678" t="s">
        <v>43</v>
      </c>
      <c r="AB1678" t="s">
        <v>43</v>
      </c>
      <c r="AC1678" t="s">
        <v>43</v>
      </c>
      <c r="AD1678" t="s">
        <v>43</v>
      </c>
      <c r="AE1678" t="s">
        <v>43</v>
      </c>
      <c r="AF1678" t="s">
        <v>43</v>
      </c>
      <c r="AG1678" t="s">
        <v>43</v>
      </c>
      <c r="AH1678" t="s">
        <v>43</v>
      </c>
      <c r="AI1678" t="s">
        <v>43</v>
      </c>
      <c r="AJ1678" t="s">
        <v>43</v>
      </c>
      <c r="AK1678" t="s">
        <v>43</v>
      </c>
      <c r="AL1678" t="s">
        <v>43</v>
      </c>
      <c r="AM1678" t="s">
        <v>43</v>
      </c>
      <c r="AN1678" t="str">
        <f>HYPERLINK("https://www.google.com/maps?q=11.05588722,79.06411743","Open Location")</f>
        <v>Open Location</v>
      </c>
    </row>
    <row r="1679" spans="1:40" x14ac:dyDescent="0.3">
      <c r="A1679" s="1">
        <v>46210.805439814816</v>
      </c>
      <c r="B1679" t="s">
        <v>40</v>
      </c>
      <c r="C1679" t="s">
        <v>41</v>
      </c>
      <c r="D1679" s="1">
        <v>46210.808333333334</v>
      </c>
      <c r="E1679" t="s">
        <v>42</v>
      </c>
      <c r="F1679" t="s">
        <v>43</v>
      </c>
      <c r="G1679" t="s">
        <v>43</v>
      </c>
      <c r="H1679" t="s">
        <v>43</v>
      </c>
      <c r="I1679" t="s">
        <v>724</v>
      </c>
      <c r="J1679" t="s">
        <v>43</v>
      </c>
      <c r="K1679" t="s">
        <v>43</v>
      </c>
      <c r="L1679" t="s">
        <v>43</v>
      </c>
      <c r="M1679" t="s">
        <v>43</v>
      </c>
      <c r="N1679" t="s">
        <v>45</v>
      </c>
      <c r="O1679" t="s">
        <v>43</v>
      </c>
      <c r="P1679" t="s">
        <v>43</v>
      </c>
      <c r="Q1679" t="s">
        <v>43</v>
      </c>
      <c r="R1679" t="s">
        <v>43</v>
      </c>
      <c r="S1679" t="s">
        <v>43</v>
      </c>
      <c r="T1679" t="s">
        <v>43</v>
      </c>
      <c r="U1679" t="s">
        <v>43</v>
      </c>
      <c r="V1679" t="s">
        <v>43</v>
      </c>
      <c r="W1679" t="s">
        <v>43</v>
      </c>
      <c r="X1679" t="s">
        <v>43</v>
      </c>
      <c r="Y1679" t="s">
        <v>43</v>
      </c>
      <c r="Z1679" t="s">
        <v>43</v>
      </c>
      <c r="AA1679" t="s">
        <v>43</v>
      </c>
      <c r="AB1679" t="s">
        <v>43</v>
      </c>
      <c r="AC1679" t="s">
        <v>43</v>
      </c>
      <c r="AD1679" t="s">
        <v>43</v>
      </c>
      <c r="AE1679" t="s">
        <v>43</v>
      </c>
      <c r="AF1679" t="s">
        <v>43</v>
      </c>
      <c r="AG1679" t="s">
        <v>43</v>
      </c>
      <c r="AH1679" t="s">
        <v>43</v>
      </c>
      <c r="AI1679" t="s">
        <v>43</v>
      </c>
      <c r="AJ1679" t="s">
        <v>43</v>
      </c>
      <c r="AK1679" t="s">
        <v>43</v>
      </c>
      <c r="AL1679" t="s">
        <v>43</v>
      </c>
      <c r="AM1679" t="s">
        <v>43</v>
      </c>
      <c r="AN1679" t="str">
        <f>HYPERLINK("https://www.google.com/maps?q=11.05589104,79.0641098","Open Location")</f>
        <v>Open Location</v>
      </c>
    </row>
    <row r="1680" spans="1:40" x14ac:dyDescent="0.3">
      <c r="A1680" s="1">
        <v>46210.805324074077</v>
      </c>
      <c r="B1680" t="s">
        <v>40</v>
      </c>
      <c r="C1680" t="s">
        <v>41</v>
      </c>
      <c r="D1680" s="1">
        <v>46210.808321759258</v>
      </c>
      <c r="E1680" t="s">
        <v>42</v>
      </c>
      <c r="F1680" t="s">
        <v>43</v>
      </c>
      <c r="G1680" t="s">
        <v>43</v>
      </c>
      <c r="H1680" t="s">
        <v>43</v>
      </c>
      <c r="I1680" t="s">
        <v>43</v>
      </c>
      <c r="J1680" t="s">
        <v>43</v>
      </c>
      <c r="K1680" t="s">
        <v>43</v>
      </c>
      <c r="L1680" t="s">
        <v>43</v>
      </c>
      <c r="M1680" t="s">
        <v>43</v>
      </c>
      <c r="N1680" t="s">
        <v>45</v>
      </c>
      <c r="O1680" t="s">
        <v>43</v>
      </c>
      <c r="P1680" t="s">
        <v>43</v>
      </c>
      <c r="Q1680" t="s">
        <v>43</v>
      </c>
      <c r="R1680" t="s">
        <v>43</v>
      </c>
      <c r="S1680" t="s">
        <v>43</v>
      </c>
      <c r="T1680" t="s">
        <v>43</v>
      </c>
      <c r="U1680" t="s">
        <v>43</v>
      </c>
      <c r="V1680" t="s">
        <v>43</v>
      </c>
      <c r="W1680" t="s">
        <v>43</v>
      </c>
      <c r="X1680" t="s">
        <v>43</v>
      </c>
      <c r="Y1680" t="s">
        <v>43</v>
      </c>
      <c r="Z1680" t="s">
        <v>43</v>
      </c>
      <c r="AA1680" t="s">
        <v>43</v>
      </c>
      <c r="AB1680" t="s">
        <v>43</v>
      </c>
      <c r="AC1680" t="s">
        <v>43</v>
      </c>
      <c r="AD1680" t="s">
        <v>43</v>
      </c>
      <c r="AE1680" t="s">
        <v>43</v>
      </c>
      <c r="AF1680" t="s">
        <v>43</v>
      </c>
      <c r="AG1680" t="s">
        <v>43</v>
      </c>
      <c r="AH1680" t="s">
        <v>43</v>
      </c>
      <c r="AI1680" t="s">
        <v>43</v>
      </c>
      <c r="AJ1680" t="s">
        <v>43</v>
      </c>
      <c r="AK1680" t="s">
        <v>43</v>
      </c>
      <c r="AL1680" t="s">
        <v>43</v>
      </c>
      <c r="AM1680" t="s">
        <v>43</v>
      </c>
      <c r="AN1680" t="s">
        <v>43</v>
      </c>
    </row>
    <row r="1681" spans="1:40" x14ac:dyDescent="0.3">
      <c r="A1681" s="1">
        <v>46210.805208333331</v>
      </c>
      <c r="B1681" t="s">
        <v>40</v>
      </c>
      <c r="C1681" t="s">
        <v>41</v>
      </c>
      <c r="D1681" s="1">
        <v>46210.807997685188</v>
      </c>
      <c r="E1681" t="s">
        <v>42</v>
      </c>
      <c r="F1681" t="s">
        <v>43</v>
      </c>
      <c r="G1681" t="s">
        <v>43</v>
      </c>
      <c r="H1681" t="s">
        <v>43</v>
      </c>
      <c r="I1681" t="s">
        <v>724</v>
      </c>
      <c r="J1681" t="s">
        <v>43</v>
      </c>
      <c r="K1681" t="s">
        <v>43</v>
      </c>
      <c r="L1681" t="s">
        <v>43</v>
      </c>
      <c r="M1681" t="s">
        <v>43</v>
      </c>
      <c r="N1681" t="s">
        <v>45</v>
      </c>
      <c r="O1681" t="s">
        <v>43</v>
      </c>
      <c r="P1681" t="s">
        <v>43</v>
      </c>
      <c r="Q1681" t="s">
        <v>43</v>
      </c>
      <c r="R1681" t="s">
        <v>43</v>
      </c>
      <c r="S1681" t="s">
        <v>43</v>
      </c>
      <c r="T1681" t="s">
        <v>43</v>
      </c>
      <c r="U1681" t="s">
        <v>43</v>
      </c>
      <c r="V1681" t="s">
        <v>43</v>
      </c>
      <c r="W1681" t="s">
        <v>43</v>
      </c>
      <c r="X1681" t="s">
        <v>43</v>
      </c>
      <c r="Y1681" t="s">
        <v>43</v>
      </c>
      <c r="Z1681" t="s">
        <v>43</v>
      </c>
      <c r="AA1681" t="s">
        <v>43</v>
      </c>
      <c r="AB1681" t="s">
        <v>43</v>
      </c>
      <c r="AC1681" t="s">
        <v>43</v>
      </c>
      <c r="AD1681" t="s">
        <v>43</v>
      </c>
      <c r="AE1681" t="s">
        <v>43</v>
      </c>
      <c r="AF1681" t="s">
        <v>43</v>
      </c>
      <c r="AG1681" t="s">
        <v>43</v>
      </c>
      <c r="AH1681" t="s">
        <v>43</v>
      </c>
      <c r="AI1681" t="s">
        <v>43</v>
      </c>
      <c r="AJ1681" t="s">
        <v>43</v>
      </c>
      <c r="AK1681" t="s">
        <v>43</v>
      </c>
      <c r="AL1681" t="s">
        <v>43</v>
      </c>
      <c r="AM1681" t="s">
        <v>43</v>
      </c>
      <c r="AN1681" t="str">
        <f>HYPERLINK("https://www.google.com/maps?q=11.05589104,79.0641098","Open Location")</f>
        <v>Open Location</v>
      </c>
    </row>
    <row r="1682" spans="1:40" x14ac:dyDescent="0.3">
      <c r="A1682" s="1">
        <v>46210.805092592593</v>
      </c>
      <c r="B1682" t="s">
        <v>40</v>
      </c>
      <c r="C1682" t="s">
        <v>41</v>
      </c>
      <c r="D1682" s="1">
        <v>46210.808032407411</v>
      </c>
      <c r="E1682" t="s">
        <v>42</v>
      </c>
      <c r="F1682" t="s">
        <v>43</v>
      </c>
      <c r="G1682" t="s">
        <v>43</v>
      </c>
      <c r="H1682" t="s">
        <v>43</v>
      </c>
      <c r="I1682" t="s">
        <v>803</v>
      </c>
      <c r="J1682" t="s">
        <v>43</v>
      </c>
      <c r="K1682" t="s">
        <v>43</v>
      </c>
      <c r="L1682" t="s">
        <v>43</v>
      </c>
      <c r="M1682" t="s">
        <v>43</v>
      </c>
      <c r="N1682" t="s">
        <v>45</v>
      </c>
      <c r="O1682" t="s">
        <v>43</v>
      </c>
      <c r="P1682" t="s">
        <v>43</v>
      </c>
      <c r="Q1682" t="s">
        <v>43</v>
      </c>
      <c r="R1682" t="s">
        <v>43</v>
      </c>
      <c r="S1682" t="s">
        <v>43</v>
      </c>
      <c r="T1682" t="s">
        <v>43</v>
      </c>
      <c r="U1682" t="s">
        <v>43</v>
      </c>
      <c r="V1682" t="s">
        <v>43</v>
      </c>
      <c r="W1682" t="s">
        <v>43</v>
      </c>
      <c r="X1682" t="s">
        <v>43</v>
      </c>
      <c r="Y1682" t="s">
        <v>43</v>
      </c>
      <c r="Z1682" t="s">
        <v>43</v>
      </c>
      <c r="AA1682" t="s">
        <v>43</v>
      </c>
      <c r="AB1682" t="s">
        <v>43</v>
      </c>
      <c r="AC1682" t="s">
        <v>43</v>
      </c>
      <c r="AD1682" t="s">
        <v>43</v>
      </c>
      <c r="AE1682" t="s">
        <v>43</v>
      </c>
      <c r="AF1682" t="s">
        <v>43</v>
      </c>
      <c r="AG1682" t="s">
        <v>43</v>
      </c>
      <c r="AH1682" t="s">
        <v>43</v>
      </c>
      <c r="AI1682" t="s">
        <v>43</v>
      </c>
      <c r="AJ1682" t="s">
        <v>43</v>
      </c>
      <c r="AK1682" t="s">
        <v>43</v>
      </c>
      <c r="AL1682" t="s">
        <v>43</v>
      </c>
      <c r="AM1682" t="s">
        <v>43</v>
      </c>
      <c r="AN1682" t="str">
        <f>HYPERLINK("https://www.google.com/maps?q=11.0558939,79.06410217","Open Location")</f>
        <v>Open Location</v>
      </c>
    </row>
    <row r="1683" spans="1:40" x14ac:dyDescent="0.3">
      <c r="A1683" s="1">
        <v>46210.804976851854</v>
      </c>
      <c r="B1683" t="s">
        <v>40</v>
      </c>
      <c r="C1683" t="s">
        <v>41</v>
      </c>
      <c r="D1683" s="1">
        <v>46210.807986111111</v>
      </c>
      <c r="E1683" t="s">
        <v>42</v>
      </c>
      <c r="F1683" t="s">
        <v>43</v>
      </c>
      <c r="G1683" t="s">
        <v>43</v>
      </c>
      <c r="H1683" t="s">
        <v>43</v>
      </c>
      <c r="I1683" t="s">
        <v>804</v>
      </c>
      <c r="J1683" t="s">
        <v>43</v>
      </c>
      <c r="K1683" t="s">
        <v>43</v>
      </c>
      <c r="L1683" t="s">
        <v>43</v>
      </c>
      <c r="M1683" t="s">
        <v>43</v>
      </c>
      <c r="N1683" t="s">
        <v>45</v>
      </c>
      <c r="O1683" t="s">
        <v>43</v>
      </c>
      <c r="P1683" t="s">
        <v>43</v>
      </c>
      <c r="Q1683" t="s">
        <v>43</v>
      </c>
      <c r="R1683" t="s">
        <v>43</v>
      </c>
      <c r="S1683" t="s">
        <v>43</v>
      </c>
      <c r="T1683" t="s">
        <v>43</v>
      </c>
      <c r="U1683" t="s">
        <v>43</v>
      </c>
      <c r="V1683" t="s">
        <v>43</v>
      </c>
      <c r="W1683" t="s">
        <v>43</v>
      </c>
      <c r="X1683" t="s">
        <v>43</v>
      </c>
      <c r="Y1683" t="s">
        <v>43</v>
      </c>
      <c r="Z1683" t="s">
        <v>43</v>
      </c>
      <c r="AA1683" t="s">
        <v>43</v>
      </c>
      <c r="AB1683" t="s">
        <v>43</v>
      </c>
      <c r="AC1683" t="s">
        <v>43</v>
      </c>
      <c r="AD1683" t="s">
        <v>43</v>
      </c>
      <c r="AE1683" t="s">
        <v>43</v>
      </c>
      <c r="AF1683" t="s">
        <v>43</v>
      </c>
      <c r="AG1683" t="s">
        <v>43</v>
      </c>
      <c r="AH1683" t="s">
        <v>43</v>
      </c>
      <c r="AI1683" t="s">
        <v>43</v>
      </c>
      <c r="AJ1683" t="s">
        <v>43</v>
      </c>
      <c r="AK1683" t="s">
        <v>43</v>
      </c>
      <c r="AL1683" t="s">
        <v>43</v>
      </c>
      <c r="AM1683" t="s">
        <v>43</v>
      </c>
      <c r="AN1683" t="str">
        <f>HYPERLINK("https://www.google.com/maps?q=11.05589104,79.06410217","Open Location")</f>
        <v>Open Location</v>
      </c>
    </row>
    <row r="1684" spans="1:40" x14ac:dyDescent="0.3">
      <c r="A1684" s="1">
        <v>46210.804861111108</v>
      </c>
      <c r="B1684" t="s">
        <v>40</v>
      </c>
      <c r="C1684" t="s">
        <v>41</v>
      </c>
      <c r="D1684" s="1">
        <v>46210.808055555557</v>
      </c>
      <c r="E1684" t="s">
        <v>42</v>
      </c>
      <c r="F1684" t="s">
        <v>43</v>
      </c>
      <c r="G1684" t="s">
        <v>43</v>
      </c>
      <c r="H1684" t="s">
        <v>43</v>
      </c>
      <c r="I1684" t="s">
        <v>805</v>
      </c>
      <c r="J1684" t="s">
        <v>43</v>
      </c>
      <c r="K1684" t="s">
        <v>43</v>
      </c>
      <c r="L1684" t="s">
        <v>43</v>
      </c>
      <c r="M1684" t="s">
        <v>43</v>
      </c>
      <c r="N1684" t="s">
        <v>45</v>
      </c>
      <c r="O1684" t="s">
        <v>43</v>
      </c>
      <c r="P1684" t="s">
        <v>43</v>
      </c>
      <c r="Q1684" t="s">
        <v>43</v>
      </c>
      <c r="R1684" t="s">
        <v>43</v>
      </c>
      <c r="S1684" t="s">
        <v>43</v>
      </c>
      <c r="T1684" t="s">
        <v>43</v>
      </c>
      <c r="U1684" t="s">
        <v>43</v>
      </c>
      <c r="V1684" t="s">
        <v>43</v>
      </c>
      <c r="W1684" t="s">
        <v>43</v>
      </c>
      <c r="X1684" t="s">
        <v>43</v>
      </c>
      <c r="Y1684" t="s">
        <v>43</v>
      </c>
      <c r="Z1684" t="s">
        <v>43</v>
      </c>
      <c r="AA1684" t="s">
        <v>43</v>
      </c>
      <c r="AB1684" t="s">
        <v>43</v>
      </c>
      <c r="AC1684" t="s">
        <v>43</v>
      </c>
      <c r="AD1684" t="s">
        <v>43</v>
      </c>
      <c r="AE1684" t="s">
        <v>43</v>
      </c>
      <c r="AF1684" t="s">
        <v>43</v>
      </c>
      <c r="AG1684" t="s">
        <v>43</v>
      </c>
      <c r="AH1684" t="s">
        <v>43</v>
      </c>
      <c r="AI1684" t="s">
        <v>43</v>
      </c>
      <c r="AJ1684" t="s">
        <v>43</v>
      </c>
      <c r="AK1684" t="s">
        <v>43</v>
      </c>
      <c r="AL1684" t="s">
        <v>43</v>
      </c>
      <c r="AM1684" t="s">
        <v>43</v>
      </c>
      <c r="AN1684" t="str">
        <f>HYPERLINK("https://www.google.com/maps?q=11.05588913,79.0641098","Open Location")</f>
        <v>Open Location</v>
      </c>
    </row>
    <row r="1685" spans="1:40" x14ac:dyDescent="0.3">
      <c r="A1685" s="1">
        <v>46210.804745370369</v>
      </c>
      <c r="B1685" t="s">
        <v>40</v>
      </c>
      <c r="C1685" t="s">
        <v>41</v>
      </c>
      <c r="D1685" s="1">
        <v>46210.807824074072</v>
      </c>
      <c r="E1685" t="s">
        <v>42</v>
      </c>
      <c r="F1685" t="s">
        <v>43</v>
      </c>
      <c r="G1685" t="s">
        <v>43</v>
      </c>
      <c r="H1685" t="s">
        <v>43</v>
      </c>
      <c r="I1685" t="s">
        <v>43</v>
      </c>
      <c r="J1685" t="s">
        <v>43</v>
      </c>
      <c r="K1685" t="s">
        <v>43</v>
      </c>
      <c r="L1685" t="s">
        <v>43</v>
      </c>
      <c r="M1685" t="s">
        <v>43</v>
      </c>
      <c r="N1685" t="s">
        <v>45</v>
      </c>
      <c r="O1685" t="s">
        <v>43</v>
      </c>
      <c r="P1685" t="s">
        <v>43</v>
      </c>
      <c r="Q1685" t="s">
        <v>43</v>
      </c>
      <c r="R1685" t="s">
        <v>43</v>
      </c>
      <c r="S1685" t="s">
        <v>43</v>
      </c>
      <c r="T1685" t="s">
        <v>43</v>
      </c>
      <c r="U1685" t="s">
        <v>43</v>
      </c>
      <c r="V1685" t="s">
        <v>43</v>
      </c>
      <c r="W1685" t="s">
        <v>43</v>
      </c>
      <c r="X1685" t="s">
        <v>43</v>
      </c>
      <c r="Y1685" t="s">
        <v>43</v>
      </c>
      <c r="Z1685" t="s">
        <v>43</v>
      </c>
      <c r="AA1685" t="s">
        <v>43</v>
      </c>
      <c r="AB1685" t="s">
        <v>43</v>
      </c>
      <c r="AC1685" t="s">
        <v>43</v>
      </c>
      <c r="AD1685" t="s">
        <v>43</v>
      </c>
      <c r="AE1685" t="s">
        <v>43</v>
      </c>
      <c r="AF1685" t="s">
        <v>43</v>
      </c>
      <c r="AG1685" t="s">
        <v>43</v>
      </c>
      <c r="AH1685" t="s">
        <v>43</v>
      </c>
      <c r="AI1685" t="s">
        <v>43</v>
      </c>
      <c r="AJ1685" t="s">
        <v>43</v>
      </c>
      <c r="AK1685" t="s">
        <v>43</v>
      </c>
      <c r="AL1685" t="s">
        <v>43</v>
      </c>
      <c r="AM1685" t="s">
        <v>43</v>
      </c>
      <c r="AN1685" t="s">
        <v>43</v>
      </c>
    </row>
    <row r="1686" spans="1:40" x14ac:dyDescent="0.3">
      <c r="A1686" s="1">
        <v>46210.804629629631</v>
      </c>
      <c r="B1686" t="s">
        <v>40</v>
      </c>
      <c r="C1686" t="s">
        <v>41</v>
      </c>
      <c r="D1686" s="1">
        <v>46210.807569444441</v>
      </c>
      <c r="E1686" t="s">
        <v>42</v>
      </c>
      <c r="F1686" t="s">
        <v>43</v>
      </c>
      <c r="G1686" t="s">
        <v>43</v>
      </c>
      <c r="H1686" t="s">
        <v>43</v>
      </c>
      <c r="I1686" t="s">
        <v>806</v>
      </c>
      <c r="J1686" t="s">
        <v>43</v>
      </c>
      <c r="K1686" t="s">
        <v>43</v>
      </c>
      <c r="L1686" t="s">
        <v>43</v>
      </c>
      <c r="M1686" t="s">
        <v>43</v>
      </c>
      <c r="N1686" t="s">
        <v>45</v>
      </c>
      <c r="O1686" t="s">
        <v>43</v>
      </c>
      <c r="P1686" t="s">
        <v>43</v>
      </c>
      <c r="Q1686" t="s">
        <v>43</v>
      </c>
      <c r="R1686" t="s">
        <v>43</v>
      </c>
      <c r="S1686" t="s">
        <v>43</v>
      </c>
      <c r="T1686" t="s">
        <v>43</v>
      </c>
      <c r="U1686" t="s">
        <v>43</v>
      </c>
      <c r="V1686" t="s">
        <v>43</v>
      </c>
      <c r="W1686" t="s">
        <v>43</v>
      </c>
      <c r="X1686" t="s">
        <v>43</v>
      </c>
      <c r="Y1686" t="s">
        <v>43</v>
      </c>
      <c r="Z1686" t="s">
        <v>43</v>
      </c>
      <c r="AA1686" t="s">
        <v>43</v>
      </c>
      <c r="AB1686" t="s">
        <v>43</v>
      </c>
      <c r="AC1686" t="s">
        <v>43</v>
      </c>
      <c r="AD1686" t="s">
        <v>43</v>
      </c>
      <c r="AE1686" t="s">
        <v>43</v>
      </c>
      <c r="AF1686" t="s">
        <v>43</v>
      </c>
      <c r="AG1686" t="s">
        <v>43</v>
      </c>
      <c r="AH1686" t="s">
        <v>43</v>
      </c>
      <c r="AI1686" t="s">
        <v>43</v>
      </c>
      <c r="AJ1686" t="s">
        <v>43</v>
      </c>
      <c r="AK1686" t="s">
        <v>43</v>
      </c>
      <c r="AL1686" t="s">
        <v>43</v>
      </c>
      <c r="AM1686" t="s">
        <v>43</v>
      </c>
      <c r="AN1686" t="str">
        <f>HYPERLINK("https://www.google.com/maps?q=11.05588818,79.0641098","Open Location")</f>
        <v>Open Location</v>
      </c>
    </row>
    <row r="1687" spans="1:40" x14ac:dyDescent="0.3">
      <c r="A1687" s="1">
        <v>46210.804513888892</v>
      </c>
      <c r="B1687" t="s">
        <v>40</v>
      </c>
      <c r="C1687" t="s">
        <v>41</v>
      </c>
      <c r="D1687" s="1">
        <v>46210.807581018518</v>
      </c>
      <c r="E1687" t="s">
        <v>42</v>
      </c>
      <c r="F1687" t="s">
        <v>43</v>
      </c>
      <c r="G1687" t="s">
        <v>43</v>
      </c>
      <c r="H1687" t="s">
        <v>43</v>
      </c>
      <c r="I1687" t="s">
        <v>807</v>
      </c>
      <c r="J1687" t="s">
        <v>43</v>
      </c>
      <c r="K1687" t="s">
        <v>43</v>
      </c>
      <c r="L1687" t="s">
        <v>43</v>
      </c>
      <c r="M1687" t="s">
        <v>43</v>
      </c>
      <c r="N1687" t="s">
        <v>45</v>
      </c>
      <c r="O1687" t="s">
        <v>43</v>
      </c>
      <c r="P1687" t="s">
        <v>43</v>
      </c>
      <c r="Q1687" t="s">
        <v>43</v>
      </c>
      <c r="R1687" t="s">
        <v>43</v>
      </c>
      <c r="S1687" t="s">
        <v>43</v>
      </c>
      <c r="T1687" t="s">
        <v>43</v>
      </c>
      <c r="U1687" t="s">
        <v>43</v>
      </c>
      <c r="V1687" t="s">
        <v>43</v>
      </c>
      <c r="W1687" t="s">
        <v>43</v>
      </c>
      <c r="X1687" t="s">
        <v>43</v>
      </c>
      <c r="Y1687" t="s">
        <v>43</v>
      </c>
      <c r="Z1687" t="s">
        <v>43</v>
      </c>
      <c r="AA1687" t="s">
        <v>43</v>
      </c>
      <c r="AB1687" t="s">
        <v>43</v>
      </c>
      <c r="AC1687" t="s">
        <v>43</v>
      </c>
      <c r="AD1687" t="s">
        <v>43</v>
      </c>
      <c r="AE1687" t="s">
        <v>43</v>
      </c>
      <c r="AF1687" t="s">
        <v>43</v>
      </c>
      <c r="AG1687" t="s">
        <v>43</v>
      </c>
      <c r="AH1687" t="s">
        <v>43</v>
      </c>
      <c r="AI1687" t="s">
        <v>43</v>
      </c>
      <c r="AJ1687" t="s">
        <v>43</v>
      </c>
      <c r="AK1687" t="s">
        <v>43</v>
      </c>
      <c r="AL1687" t="s">
        <v>43</v>
      </c>
      <c r="AM1687" t="s">
        <v>43</v>
      </c>
      <c r="AN1687" t="str">
        <f>HYPERLINK("https://www.google.com/maps?q=11.05588627,79.0641098","Open Location")</f>
        <v>Open Location</v>
      </c>
    </row>
    <row r="1688" spans="1:40" x14ac:dyDescent="0.3">
      <c r="A1688" s="1">
        <v>46210.804398148146</v>
      </c>
      <c r="B1688" t="s">
        <v>40</v>
      </c>
      <c r="C1688" t="s">
        <v>41</v>
      </c>
      <c r="D1688" s="1">
        <v>46210.807500000003</v>
      </c>
      <c r="E1688" t="s">
        <v>42</v>
      </c>
      <c r="F1688" t="s">
        <v>43</v>
      </c>
      <c r="G1688" t="s">
        <v>43</v>
      </c>
      <c r="H1688" t="s">
        <v>43</v>
      </c>
      <c r="I1688" t="s">
        <v>807</v>
      </c>
      <c r="J1688" t="s">
        <v>43</v>
      </c>
      <c r="K1688" t="s">
        <v>43</v>
      </c>
      <c r="L1688" t="s">
        <v>43</v>
      </c>
      <c r="M1688" t="s">
        <v>43</v>
      </c>
      <c r="N1688" t="s">
        <v>45</v>
      </c>
      <c r="O1688" t="s">
        <v>43</v>
      </c>
      <c r="P1688" t="s">
        <v>43</v>
      </c>
      <c r="Q1688" t="s">
        <v>43</v>
      </c>
      <c r="R1688" t="s">
        <v>43</v>
      </c>
      <c r="S1688" t="s">
        <v>43</v>
      </c>
      <c r="T1688" t="s">
        <v>43</v>
      </c>
      <c r="U1688" t="s">
        <v>43</v>
      </c>
      <c r="V1688" t="s">
        <v>43</v>
      </c>
      <c r="W1688" t="s">
        <v>43</v>
      </c>
      <c r="X1688" t="s">
        <v>43</v>
      </c>
      <c r="Y1688" t="s">
        <v>43</v>
      </c>
      <c r="Z1688" t="s">
        <v>43</v>
      </c>
      <c r="AA1688" t="s">
        <v>43</v>
      </c>
      <c r="AB1688" t="s">
        <v>43</v>
      </c>
      <c r="AC1688" t="s">
        <v>43</v>
      </c>
      <c r="AD1688" t="s">
        <v>43</v>
      </c>
      <c r="AE1688" t="s">
        <v>43</v>
      </c>
      <c r="AF1688" t="s">
        <v>43</v>
      </c>
      <c r="AG1688" t="s">
        <v>43</v>
      </c>
      <c r="AH1688" t="s">
        <v>43</v>
      </c>
      <c r="AI1688" t="s">
        <v>43</v>
      </c>
      <c r="AJ1688" t="s">
        <v>43</v>
      </c>
      <c r="AK1688" t="s">
        <v>43</v>
      </c>
      <c r="AL1688" t="s">
        <v>43</v>
      </c>
      <c r="AM1688" t="s">
        <v>43</v>
      </c>
      <c r="AN1688" t="str">
        <f>HYPERLINK("https://www.google.com/maps?q=11.05588627,79.0641098","Open Location")</f>
        <v>Open Location</v>
      </c>
    </row>
    <row r="1689" spans="1:40" x14ac:dyDescent="0.3">
      <c r="A1689" s="1">
        <v>46210.804282407407</v>
      </c>
      <c r="B1689" t="s">
        <v>40</v>
      </c>
      <c r="C1689" t="s">
        <v>41</v>
      </c>
      <c r="D1689" s="1">
        <v>46210.807233796295</v>
      </c>
      <c r="E1689" t="s">
        <v>42</v>
      </c>
      <c r="F1689" t="s">
        <v>43</v>
      </c>
      <c r="G1689" t="s">
        <v>43</v>
      </c>
      <c r="H1689" t="s">
        <v>43</v>
      </c>
      <c r="I1689" t="s">
        <v>808</v>
      </c>
      <c r="J1689" t="s">
        <v>43</v>
      </c>
      <c r="K1689" t="s">
        <v>43</v>
      </c>
      <c r="L1689" t="s">
        <v>43</v>
      </c>
      <c r="M1689" t="s">
        <v>43</v>
      </c>
      <c r="N1689" t="s">
        <v>45</v>
      </c>
      <c r="O1689" t="s">
        <v>43</v>
      </c>
      <c r="P1689" t="s">
        <v>43</v>
      </c>
      <c r="Q1689" t="s">
        <v>43</v>
      </c>
      <c r="R1689" t="s">
        <v>43</v>
      </c>
      <c r="S1689" t="s">
        <v>43</v>
      </c>
      <c r="T1689" t="s">
        <v>43</v>
      </c>
      <c r="U1689" t="s">
        <v>43</v>
      </c>
      <c r="V1689" t="s">
        <v>43</v>
      </c>
      <c r="W1689" t="s">
        <v>43</v>
      </c>
      <c r="X1689" t="s">
        <v>43</v>
      </c>
      <c r="Y1689" t="s">
        <v>43</v>
      </c>
      <c r="Z1689" t="s">
        <v>43</v>
      </c>
      <c r="AA1689" t="s">
        <v>43</v>
      </c>
      <c r="AB1689" t="s">
        <v>43</v>
      </c>
      <c r="AC1689" t="s">
        <v>43</v>
      </c>
      <c r="AD1689" t="s">
        <v>43</v>
      </c>
      <c r="AE1689" t="s">
        <v>43</v>
      </c>
      <c r="AF1689" t="s">
        <v>43</v>
      </c>
      <c r="AG1689" t="s">
        <v>43</v>
      </c>
      <c r="AH1689" t="s">
        <v>43</v>
      </c>
      <c r="AI1689" t="s">
        <v>43</v>
      </c>
      <c r="AJ1689" t="s">
        <v>43</v>
      </c>
      <c r="AK1689" t="s">
        <v>43</v>
      </c>
      <c r="AL1689" t="s">
        <v>43</v>
      </c>
      <c r="AM1689" t="s">
        <v>43</v>
      </c>
      <c r="AN1689" t="str">
        <f>HYPERLINK("https://www.google.com/maps?q=11.05588531,79.06411743","Open Location")</f>
        <v>Open Location</v>
      </c>
    </row>
    <row r="1690" spans="1:40" x14ac:dyDescent="0.3">
      <c r="A1690" s="1">
        <v>46210.804166666669</v>
      </c>
      <c r="B1690" t="s">
        <v>40</v>
      </c>
      <c r="C1690" t="s">
        <v>41</v>
      </c>
      <c r="D1690" s="1">
        <v>46210.807175925926</v>
      </c>
      <c r="E1690" t="s">
        <v>42</v>
      </c>
      <c r="F1690" t="s">
        <v>43</v>
      </c>
      <c r="G1690" t="s">
        <v>43</v>
      </c>
      <c r="H1690" t="s">
        <v>43</v>
      </c>
      <c r="I1690" t="s">
        <v>725</v>
      </c>
      <c r="J1690" t="s">
        <v>43</v>
      </c>
      <c r="K1690" t="s">
        <v>43</v>
      </c>
      <c r="L1690" t="s">
        <v>43</v>
      </c>
      <c r="M1690" t="s">
        <v>43</v>
      </c>
      <c r="N1690" t="s">
        <v>45</v>
      </c>
      <c r="O1690" t="s">
        <v>43</v>
      </c>
      <c r="P1690" t="s">
        <v>43</v>
      </c>
      <c r="Q1690" t="s">
        <v>43</v>
      </c>
      <c r="R1690" t="s">
        <v>43</v>
      </c>
      <c r="S1690" t="s">
        <v>43</v>
      </c>
      <c r="T1690" t="s">
        <v>43</v>
      </c>
      <c r="U1690" t="s">
        <v>43</v>
      </c>
      <c r="V1690" t="s">
        <v>43</v>
      </c>
      <c r="W1690" t="s">
        <v>43</v>
      </c>
      <c r="X1690" t="s">
        <v>43</v>
      </c>
      <c r="Y1690" t="s">
        <v>43</v>
      </c>
      <c r="Z1690" t="s">
        <v>43</v>
      </c>
      <c r="AA1690" t="s">
        <v>43</v>
      </c>
      <c r="AB1690" t="s">
        <v>43</v>
      </c>
      <c r="AC1690" t="s">
        <v>43</v>
      </c>
      <c r="AD1690" t="s">
        <v>43</v>
      </c>
      <c r="AE1690" t="s">
        <v>43</v>
      </c>
      <c r="AF1690" t="s">
        <v>43</v>
      </c>
      <c r="AG1690" t="s">
        <v>43</v>
      </c>
      <c r="AH1690" t="s">
        <v>43</v>
      </c>
      <c r="AI1690" t="s">
        <v>43</v>
      </c>
      <c r="AJ1690" t="s">
        <v>43</v>
      </c>
      <c r="AK1690" t="s">
        <v>43</v>
      </c>
      <c r="AL1690" t="s">
        <v>43</v>
      </c>
      <c r="AM1690" t="s">
        <v>43</v>
      </c>
      <c r="AN1690" t="str">
        <f>HYPERLINK("https://www.google.com/maps?q=11.05588818,79.06411743","Open Location")</f>
        <v>Open Location</v>
      </c>
    </row>
    <row r="1691" spans="1:40" x14ac:dyDescent="0.3">
      <c r="A1691" s="1">
        <v>46210.804050925923</v>
      </c>
      <c r="B1691" t="s">
        <v>40</v>
      </c>
      <c r="C1691" t="s">
        <v>41</v>
      </c>
      <c r="D1691" s="1">
        <v>46210.806759259256</v>
      </c>
      <c r="E1691" t="s">
        <v>42</v>
      </c>
      <c r="F1691" t="s">
        <v>43</v>
      </c>
      <c r="G1691" t="s">
        <v>43</v>
      </c>
      <c r="H1691" t="s">
        <v>43</v>
      </c>
      <c r="I1691" t="s">
        <v>43</v>
      </c>
      <c r="J1691" t="s">
        <v>43</v>
      </c>
      <c r="K1691" t="s">
        <v>43</v>
      </c>
      <c r="L1691" t="s">
        <v>43</v>
      </c>
      <c r="M1691" t="s">
        <v>43</v>
      </c>
      <c r="N1691" t="s">
        <v>45</v>
      </c>
      <c r="O1691" t="s">
        <v>43</v>
      </c>
      <c r="P1691" t="s">
        <v>43</v>
      </c>
      <c r="Q1691" t="s">
        <v>43</v>
      </c>
      <c r="R1691" t="s">
        <v>43</v>
      </c>
      <c r="S1691" t="s">
        <v>43</v>
      </c>
      <c r="T1691" t="s">
        <v>43</v>
      </c>
      <c r="U1691" t="s">
        <v>43</v>
      </c>
      <c r="V1691" t="s">
        <v>43</v>
      </c>
      <c r="W1691" t="s">
        <v>43</v>
      </c>
      <c r="X1691" t="s">
        <v>43</v>
      </c>
      <c r="Y1691" t="s">
        <v>43</v>
      </c>
      <c r="Z1691" t="s">
        <v>43</v>
      </c>
      <c r="AA1691" t="s">
        <v>43</v>
      </c>
      <c r="AB1691" t="s">
        <v>43</v>
      </c>
      <c r="AC1691" t="s">
        <v>43</v>
      </c>
      <c r="AD1691" t="s">
        <v>43</v>
      </c>
      <c r="AE1691" t="s">
        <v>43</v>
      </c>
      <c r="AF1691" t="s">
        <v>43</v>
      </c>
      <c r="AG1691" t="s">
        <v>43</v>
      </c>
      <c r="AH1691" t="s">
        <v>43</v>
      </c>
      <c r="AI1691" t="s">
        <v>43</v>
      </c>
      <c r="AJ1691" t="s">
        <v>43</v>
      </c>
      <c r="AK1691" t="s">
        <v>43</v>
      </c>
      <c r="AL1691" t="s">
        <v>43</v>
      </c>
      <c r="AM1691" t="s">
        <v>43</v>
      </c>
      <c r="AN1691" t="s">
        <v>43</v>
      </c>
    </row>
    <row r="1692" spans="1:40" x14ac:dyDescent="0.3">
      <c r="A1692" s="1">
        <v>46210.803935185184</v>
      </c>
      <c r="B1692" t="s">
        <v>40</v>
      </c>
      <c r="C1692" t="s">
        <v>41</v>
      </c>
      <c r="D1692" s="1">
        <v>46210.806898148148</v>
      </c>
      <c r="E1692" t="s">
        <v>42</v>
      </c>
      <c r="F1692" t="s">
        <v>43</v>
      </c>
      <c r="G1692" t="s">
        <v>43</v>
      </c>
      <c r="H1692" t="s">
        <v>43</v>
      </c>
      <c r="I1692" t="s">
        <v>724</v>
      </c>
      <c r="J1692" t="s">
        <v>43</v>
      </c>
      <c r="K1692" t="s">
        <v>43</v>
      </c>
      <c r="L1692" t="s">
        <v>43</v>
      </c>
      <c r="M1692" t="s">
        <v>43</v>
      </c>
      <c r="N1692" t="s">
        <v>45</v>
      </c>
      <c r="O1692" t="s">
        <v>43</v>
      </c>
      <c r="P1692" t="s">
        <v>43</v>
      </c>
      <c r="Q1692" t="s">
        <v>43</v>
      </c>
      <c r="R1692" t="s">
        <v>43</v>
      </c>
      <c r="S1692" t="s">
        <v>43</v>
      </c>
      <c r="T1692" t="s">
        <v>43</v>
      </c>
      <c r="U1692" t="s">
        <v>43</v>
      </c>
      <c r="V1692" t="s">
        <v>43</v>
      </c>
      <c r="W1692" t="s">
        <v>43</v>
      </c>
      <c r="X1692" t="s">
        <v>43</v>
      </c>
      <c r="Y1692" t="s">
        <v>43</v>
      </c>
      <c r="Z1692" t="s">
        <v>43</v>
      </c>
      <c r="AA1692" t="s">
        <v>43</v>
      </c>
      <c r="AB1692" t="s">
        <v>43</v>
      </c>
      <c r="AC1692" t="s">
        <v>43</v>
      </c>
      <c r="AD1692" t="s">
        <v>43</v>
      </c>
      <c r="AE1692" t="s">
        <v>43</v>
      </c>
      <c r="AF1692" t="s">
        <v>43</v>
      </c>
      <c r="AG1692" t="s">
        <v>43</v>
      </c>
      <c r="AH1692" t="s">
        <v>43</v>
      </c>
      <c r="AI1692" t="s">
        <v>43</v>
      </c>
      <c r="AJ1692" t="s">
        <v>43</v>
      </c>
      <c r="AK1692" t="s">
        <v>43</v>
      </c>
      <c r="AL1692" t="s">
        <v>43</v>
      </c>
      <c r="AM1692" t="s">
        <v>43</v>
      </c>
      <c r="AN1692" t="str">
        <f>HYPERLINK("https://www.google.com/maps?q=11.05589104,79.0641098","Open Location")</f>
        <v>Open Location</v>
      </c>
    </row>
    <row r="1693" spans="1:40" x14ac:dyDescent="0.3">
      <c r="A1693" s="1">
        <v>46210.803819444445</v>
      </c>
      <c r="B1693" t="s">
        <v>40</v>
      </c>
      <c r="C1693" t="s">
        <v>41</v>
      </c>
      <c r="D1693" s="1">
        <v>46210.806701388887</v>
      </c>
      <c r="E1693" t="s">
        <v>42</v>
      </c>
      <c r="F1693" t="s">
        <v>43</v>
      </c>
      <c r="G1693" t="s">
        <v>43</v>
      </c>
      <c r="H1693" t="s">
        <v>43</v>
      </c>
      <c r="I1693" t="s">
        <v>809</v>
      </c>
      <c r="J1693" t="s">
        <v>43</v>
      </c>
      <c r="K1693" t="s">
        <v>43</v>
      </c>
      <c r="L1693" t="s">
        <v>43</v>
      </c>
      <c r="M1693" t="s">
        <v>43</v>
      </c>
      <c r="N1693" t="s">
        <v>45</v>
      </c>
      <c r="O1693" t="s">
        <v>43</v>
      </c>
      <c r="P1693" t="s">
        <v>43</v>
      </c>
      <c r="Q1693" t="s">
        <v>43</v>
      </c>
      <c r="R1693" t="s">
        <v>43</v>
      </c>
      <c r="S1693" t="s">
        <v>43</v>
      </c>
      <c r="T1693" t="s">
        <v>43</v>
      </c>
      <c r="U1693" t="s">
        <v>43</v>
      </c>
      <c r="V1693" t="s">
        <v>43</v>
      </c>
      <c r="W1693" t="s">
        <v>43</v>
      </c>
      <c r="X1693" t="s">
        <v>43</v>
      </c>
      <c r="Y1693" t="s">
        <v>43</v>
      </c>
      <c r="Z1693" t="s">
        <v>43</v>
      </c>
      <c r="AA1693" t="s">
        <v>43</v>
      </c>
      <c r="AB1693" t="s">
        <v>43</v>
      </c>
      <c r="AC1693" t="s">
        <v>43</v>
      </c>
      <c r="AD1693" t="s">
        <v>43</v>
      </c>
      <c r="AE1693" t="s">
        <v>43</v>
      </c>
      <c r="AF1693" t="s">
        <v>43</v>
      </c>
      <c r="AG1693" t="s">
        <v>43</v>
      </c>
      <c r="AH1693" t="s">
        <v>43</v>
      </c>
      <c r="AI1693" t="s">
        <v>43</v>
      </c>
      <c r="AJ1693" t="s">
        <v>43</v>
      </c>
      <c r="AK1693" t="s">
        <v>43</v>
      </c>
      <c r="AL1693" t="s">
        <v>43</v>
      </c>
      <c r="AM1693" t="s">
        <v>43</v>
      </c>
      <c r="AN1693" t="str">
        <f>HYPERLINK("https://www.google.com/maps?q=11.05589294,79.0641098","Open Location")</f>
        <v>Open Location</v>
      </c>
    </row>
    <row r="1694" spans="1:40" x14ac:dyDescent="0.3">
      <c r="A1694" s="1">
        <v>46210.803703703707</v>
      </c>
      <c r="B1694" t="s">
        <v>40</v>
      </c>
      <c r="C1694" t="s">
        <v>41</v>
      </c>
      <c r="D1694" s="1">
        <v>46210.806701388887</v>
      </c>
      <c r="E1694" t="s">
        <v>42</v>
      </c>
      <c r="F1694" t="s">
        <v>43</v>
      </c>
      <c r="G1694" t="s">
        <v>43</v>
      </c>
      <c r="H1694" t="s">
        <v>43</v>
      </c>
      <c r="I1694" t="s">
        <v>722</v>
      </c>
      <c r="J1694" t="s">
        <v>43</v>
      </c>
      <c r="K1694" t="s">
        <v>43</v>
      </c>
      <c r="L1694" t="s">
        <v>43</v>
      </c>
      <c r="M1694" t="s">
        <v>43</v>
      </c>
      <c r="N1694" t="s">
        <v>45</v>
      </c>
      <c r="O1694" t="s">
        <v>43</v>
      </c>
      <c r="P1694" t="s">
        <v>43</v>
      </c>
      <c r="Q1694" t="s">
        <v>43</v>
      </c>
      <c r="R1694" t="s">
        <v>43</v>
      </c>
      <c r="S1694" t="s">
        <v>43</v>
      </c>
      <c r="T1694" t="s">
        <v>43</v>
      </c>
      <c r="U1694" t="s">
        <v>43</v>
      </c>
      <c r="V1694" t="s">
        <v>43</v>
      </c>
      <c r="W1694" t="s">
        <v>43</v>
      </c>
      <c r="X1694" t="s">
        <v>43</v>
      </c>
      <c r="Y1694" t="s">
        <v>43</v>
      </c>
      <c r="Z1694" t="s">
        <v>43</v>
      </c>
      <c r="AA1694" t="s">
        <v>43</v>
      </c>
      <c r="AB1694" t="s">
        <v>43</v>
      </c>
      <c r="AC1694" t="s">
        <v>43</v>
      </c>
      <c r="AD1694" t="s">
        <v>43</v>
      </c>
      <c r="AE1694" t="s">
        <v>43</v>
      </c>
      <c r="AF1694" t="s">
        <v>43</v>
      </c>
      <c r="AG1694" t="s">
        <v>43</v>
      </c>
      <c r="AH1694" t="s">
        <v>43</v>
      </c>
      <c r="AI1694" t="s">
        <v>43</v>
      </c>
      <c r="AJ1694" t="s">
        <v>43</v>
      </c>
      <c r="AK1694" t="s">
        <v>43</v>
      </c>
      <c r="AL1694" t="s">
        <v>43</v>
      </c>
      <c r="AM1694" t="s">
        <v>43</v>
      </c>
      <c r="AN1694" t="str">
        <f>HYPERLINK("https://www.google.com/maps?q=11.05589485,79.0641098","Open Location")</f>
        <v>Open Location</v>
      </c>
    </row>
    <row r="1695" spans="1:40" x14ac:dyDescent="0.3">
      <c r="A1695" s="1">
        <v>46210.803587962961</v>
      </c>
      <c r="B1695" t="s">
        <v>40</v>
      </c>
      <c r="C1695" t="s">
        <v>41</v>
      </c>
      <c r="D1695" s="1">
        <v>46210.806307870371</v>
      </c>
      <c r="E1695" t="s">
        <v>42</v>
      </c>
      <c r="F1695" t="s">
        <v>43</v>
      </c>
      <c r="G1695" t="s">
        <v>43</v>
      </c>
      <c r="H1695" t="s">
        <v>43</v>
      </c>
      <c r="I1695" t="s">
        <v>722</v>
      </c>
      <c r="J1695" t="s">
        <v>43</v>
      </c>
      <c r="K1695" t="s">
        <v>43</v>
      </c>
      <c r="L1695" t="s">
        <v>43</v>
      </c>
      <c r="M1695" t="s">
        <v>43</v>
      </c>
      <c r="N1695" t="s">
        <v>45</v>
      </c>
      <c r="O1695" t="s">
        <v>43</v>
      </c>
      <c r="P1695" t="s">
        <v>43</v>
      </c>
      <c r="Q1695" t="s">
        <v>43</v>
      </c>
      <c r="R1695" t="s">
        <v>43</v>
      </c>
      <c r="S1695" t="s">
        <v>43</v>
      </c>
      <c r="T1695" t="s">
        <v>43</v>
      </c>
      <c r="U1695" t="s">
        <v>43</v>
      </c>
      <c r="V1695" t="s">
        <v>43</v>
      </c>
      <c r="W1695" t="s">
        <v>43</v>
      </c>
      <c r="X1695" t="s">
        <v>43</v>
      </c>
      <c r="Y1695" t="s">
        <v>43</v>
      </c>
      <c r="Z1695" t="s">
        <v>43</v>
      </c>
      <c r="AA1695" t="s">
        <v>43</v>
      </c>
      <c r="AB1695" t="s">
        <v>43</v>
      </c>
      <c r="AC1695" t="s">
        <v>43</v>
      </c>
      <c r="AD1695" t="s">
        <v>43</v>
      </c>
      <c r="AE1695" t="s">
        <v>43</v>
      </c>
      <c r="AF1695" t="s">
        <v>43</v>
      </c>
      <c r="AG1695" t="s">
        <v>43</v>
      </c>
      <c r="AH1695" t="s">
        <v>43</v>
      </c>
      <c r="AI1695" t="s">
        <v>43</v>
      </c>
      <c r="AJ1695" t="s">
        <v>43</v>
      </c>
      <c r="AK1695" t="s">
        <v>43</v>
      </c>
      <c r="AL1695" t="s">
        <v>43</v>
      </c>
      <c r="AM1695" t="s">
        <v>43</v>
      </c>
      <c r="AN1695" t="str">
        <f>HYPERLINK("https://www.google.com/maps?q=11.05589485,79.0641098","Open Location")</f>
        <v>Open Location</v>
      </c>
    </row>
    <row r="1696" spans="1:40" x14ac:dyDescent="0.3">
      <c r="A1696" s="1">
        <v>46210.803472222222</v>
      </c>
      <c r="B1696" t="s">
        <v>40</v>
      </c>
      <c r="C1696" t="s">
        <v>41</v>
      </c>
      <c r="D1696" s="1">
        <v>46210.806284722225</v>
      </c>
      <c r="E1696" t="s">
        <v>42</v>
      </c>
      <c r="F1696" t="s">
        <v>43</v>
      </c>
      <c r="G1696" t="s">
        <v>43</v>
      </c>
      <c r="H1696" t="s">
        <v>43</v>
      </c>
      <c r="I1696" t="s">
        <v>722</v>
      </c>
      <c r="J1696" t="s">
        <v>43</v>
      </c>
      <c r="K1696" t="s">
        <v>43</v>
      </c>
      <c r="L1696" t="s">
        <v>43</v>
      </c>
      <c r="M1696" t="s">
        <v>43</v>
      </c>
      <c r="N1696" t="s">
        <v>45</v>
      </c>
      <c r="O1696" t="s">
        <v>43</v>
      </c>
      <c r="P1696" t="s">
        <v>43</v>
      </c>
      <c r="Q1696" t="s">
        <v>43</v>
      </c>
      <c r="R1696" t="s">
        <v>43</v>
      </c>
      <c r="S1696" t="s">
        <v>43</v>
      </c>
      <c r="T1696" t="s">
        <v>43</v>
      </c>
      <c r="U1696" t="s">
        <v>43</v>
      </c>
      <c r="V1696" t="s">
        <v>43</v>
      </c>
      <c r="W1696" t="s">
        <v>43</v>
      </c>
      <c r="X1696" t="s">
        <v>43</v>
      </c>
      <c r="Y1696" t="s">
        <v>43</v>
      </c>
      <c r="Z1696" t="s">
        <v>43</v>
      </c>
      <c r="AA1696" t="s">
        <v>43</v>
      </c>
      <c r="AB1696" t="s">
        <v>43</v>
      </c>
      <c r="AC1696" t="s">
        <v>43</v>
      </c>
      <c r="AD1696" t="s">
        <v>43</v>
      </c>
      <c r="AE1696" t="s">
        <v>43</v>
      </c>
      <c r="AF1696" t="s">
        <v>43</v>
      </c>
      <c r="AG1696" t="s">
        <v>43</v>
      </c>
      <c r="AH1696" t="s">
        <v>43</v>
      </c>
      <c r="AI1696" t="s">
        <v>43</v>
      </c>
      <c r="AJ1696" t="s">
        <v>43</v>
      </c>
      <c r="AK1696" t="s">
        <v>43</v>
      </c>
      <c r="AL1696" t="s">
        <v>43</v>
      </c>
      <c r="AM1696" t="s">
        <v>43</v>
      </c>
      <c r="AN1696" t="str">
        <f>HYPERLINK("https://www.google.com/maps?q=11.05589485,79.0641098","Open Location")</f>
        <v>Open Location</v>
      </c>
    </row>
    <row r="1697" spans="1:40" x14ac:dyDescent="0.3">
      <c r="A1697" s="1">
        <v>46210.803356481483</v>
      </c>
      <c r="B1697" t="s">
        <v>40</v>
      </c>
      <c r="C1697" t="s">
        <v>41</v>
      </c>
      <c r="D1697" s="1">
        <v>46210.806134259263</v>
      </c>
      <c r="E1697" t="s">
        <v>42</v>
      </c>
      <c r="F1697" t="s">
        <v>43</v>
      </c>
      <c r="G1697" t="s">
        <v>43</v>
      </c>
      <c r="H1697" t="s">
        <v>43</v>
      </c>
      <c r="I1697" t="s">
        <v>43</v>
      </c>
      <c r="J1697" t="s">
        <v>43</v>
      </c>
      <c r="K1697" t="s">
        <v>43</v>
      </c>
      <c r="L1697" t="s">
        <v>43</v>
      </c>
      <c r="M1697" t="s">
        <v>43</v>
      </c>
      <c r="N1697" t="s">
        <v>45</v>
      </c>
      <c r="O1697" t="s">
        <v>43</v>
      </c>
      <c r="P1697" t="s">
        <v>43</v>
      </c>
      <c r="Q1697" t="s">
        <v>43</v>
      </c>
      <c r="R1697" t="s">
        <v>43</v>
      </c>
      <c r="S1697" t="s">
        <v>43</v>
      </c>
      <c r="T1697" t="s">
        <v>43</v>
      </c>
      <c r="U1697" t="s">
        <v>43</v>
      </c>
      <c r="V1697" t="s">
        <v>43</v>
      </c>
      <c r="W1697" t="s">
        <v>43</v>
      </c>
      <c r="X1697" t="s">
        <v>43</v>
      </c>
      <c r="Y1697" t="s">
        <v>43</v>
      </c>
      <c r="Z1697" t="s">
        <v>43</v>
      </c>
      <c r="AA1697" t="s">
        <v>43</v>
      </c>
      <c r="AB1697" t="s">
        <v>43</v>
      </c>
      <c r="AC1697" t="s">
        <v>43</v>
      </c>
      <c r="AD1697" t="s">
        <v>43</v>
      </c>
      <c r="AE1697" t="s">
        <v>43</v>
      </c>
      <c r="AF1697" t="s">
        <v>43</v>
      </c>
      <c r="AG1697" t="s">
        <v>43</v>
      </c>
      <c r="AH1697" t="s">
        <v>43</v>
      </c>
      <c r="AI1697" t="s">
        <v>43</v>
      </c>
      <c r="AJ1697" t="s">
        <v>43</v>
      </c>
      <c r="AK1697" t="s">
        <v>43</v>
      </c>
      <c r="AL1697" t="s">
        <v>43</v>
      </c>
      <c r="AM1697" t="s">
        <v>43</v>
      </c>
      <c r="AN1697" t="s">
        <v>43</v>
      </c>
    </row>
    <row r="1698" spans="1:40" x14ac:dyDescent="0.3">
      <c r="A1698" s="1">
        <v>46210.803240740737</v>
      </c>
      <c r="B1698" t="s">
        <v>40</v>
      </c>
      <c r="C1698" t="s">
        <v>41</v>
      </c>
      <c r="D1698" s="1">
        <v>46210.806273148148</v>
      </c>
      <c r="E1698" t="s">
        <v>42</v>
      </c>
      <c r="F1698" t="s">
        <v>43</v>
      </c>
      <c r="G1698" t="s">
        <v>43</v>
      </c>
      <c r="H1698" t="s">
        <v>43</v>
      </c>
      <c r="I1698" t="s">
        <v>599</v>
      </c>
      <c r="J1698" t="s">
        <v>43</v>
      </c>
      <c r="K1698" t="s">
        <v>43</v>
      </c>
      <c r="L1698" t="s">
        <v>43</v>
      </c>
      <c r="M1698" t="s">
        <v>43</v>
      </c>
      <c r="N1698" t="s">
        <v>45</v>
      </c>
      <c r="O1698" t="s">
        <v>43</v>
      </c>
      <c r="P1698" t="s">
        <v>43</v>
      </c>
      <c r="Q1698" t="s">
        <v>43</v>
      </c>
      <c r="R1698" t="s">
        <v>43</v>
      </c>
      <c r="S1698" t="s">
        <v>43</v>
      </c>
      <c r="T1698" t="s">
        <v>43</v>
      </c>
      <c r="U1698" t="s">
        <v>43</v>
      </c>
      <c r="V1698" t="s">
        <v>43</v>
      </c>
      <c r="W1698" t="s">
        <v>43</v>
      </c>
      <c r="X1698" t="s">
        <v>43</v>
      </c>
      <c r="Y1698" t="s">
        <v>43</v>
      </c>
      <c r="Z1698" t="s">
        <v>43</v>
      </c>
      <c r="AA1698" t="s">
        <v>43</v>
      </c>
      <c r="AB1698" t="s">
        <v>43</v>
      </c>
      <c r="AC1698" t="s">
        <v>43</v>
      </c>
      <c r="AD1698" t="s">
        <v>43</v>
      </c>
      <c r="AE1698" t="s">
        <v>43</v>
      </c>
      <c r="AF1698" t="s">
        <v>43</v>
      </c>
      <c r="AG1698" t="s">
        <v>43</v>
      </c>
      <c r="AH1698" t="s">
        <v>43</v>
      </c>
      <c r="AI1698" t="s">
        <v>43</v>
      </c>
      <c r="AJ1698" t="s">
        <v>43</v>
      </c>
      <c r="AK1698" t="s">
        <v>43</v>
      </c>
      <c r="AL1698" t="s">
        <v>43</v>
      </c>
      <c r="AM1698" t="s">
        <v>43</v>
      </c>
      <c r="AN1698" t="str">
        <f>HYPERLINK("https://www.google.com/maps?q=11.05589676,79.0641098","Open Location")</f>
        <v>Open Location</v>
      </c>
    </row>
    <row r="1699" spans="1:40" x14ac:dyDescent="0.3">
      <c r="A1699" s="1">
        <v>46210.803124999999</v>
      </c>
      <c r="B1699" t="s">
        <v>40</v>
      </c>
      <c r="C1699" t="s">
        <v>41</v>
      </c>
      <c r="D1699" s="1">
        <v>46210.806087962963</v>
      </c>
      <c r="E1699" t="s">
        <v>42</v>
      </c>
      <c r="F1699" t="s">
        <v>43</v>
      </c>
      <c r="G1699" t="s">
        <v>43</v>
      </c>
      <c r="H1699" t="s">
        <v>43</v>
      </c>
      <c r="I1699" t="s">
        <v>810</v>
      </c>
      <c r="J1699" t="s">
        <v>43</v>
      </c>
      <c r="K1699" t="s">
        <v>43</v>
      </c>
      <c r="L1699" t="s">
        <v>43</v>
      </c>
      <c r="M1699" t="s">
        <v>43</v>
      </c>
      <c r="N1699" t="s">
        <v>45</v>
      </c>
      <c r="O1699" t="s">
        <v>43</v>
      </c>
      <c r="P1699" t="s">
        <v>43</v>
      </c>
      <c r="Q1699" t="s">
        <v>43</v>
      </c>
      <c r="R1699" t="s">
        <v>43</v>
      </c>
      <c r="S1699" t="s">
        <v>43</v>
      </c>
      <c r="T1699" t="s">
        <v>43</v>
      </c>
      <c r="U1699" t="s">
        <v>43</v>
      </c>
      <c r="V1699" t="s">
        <v>43</v>
      </c>
      <c r="W1699" t="s">
        <v>43</v>
      </c>
      <c r="X1699" t="s">
        <v>43</v>
      </c>
      <c r="Y1699" t="s">
        <v>43</v>
      </c>
      <c r="Z1699" t="s">
        <v>43</v>
      </c>
      <c r="AA1699" t="s">
        <v>43</v>
      </c>
      <c r="AB1699" t="s">
        <v>43</v>
      </c>
      <c r="AC1699" t="s">
        <v>43</v>
      </c>
      <c r="AD1699" t="s">
        <v>43</v>
      </c>
      <c r="AE1699" t="s">
        <v>43</v>
      </c>
      <c r="AF1699" t="s">
        <v>43</v>
      </c>
      <c r="AG1699" t="s">
        <v>43</v>
      </c>
      <c r="AH1699" t="s">
        <v>43</v>
      </c>
      <c r="AI1699" t="s">
        <v>43</v>
      </c>
      <c r="AJ1699" t="s">
        <v>43</v>
      </c>
      <c r="AK1699" t="s">
        <v>43</v>
      </c>
      <c r="AL1699" t="s">
        <v>43</v>
      </c>
      <c r="AM1699" t="s">
        <v>43</v>
      </c>
      <c r="AN1699" t="str">
        <f>HYPERLINK("https://www.google.com/maps?q=11.0558939,79.0641098","Open Location")</f>
        <v>Open Location</v>
      </c>
    </row>
    <row r="1700" spans="1:40" x14ac:dyDescent="0.3">
      <c r="A1700" s="1">
        <v>46210.80300925926</v>
      </c>
      <c r="B1700" t="s">
        <v>40</v>
      </c>
      <c r="C1700" t="s">
        <v>41</v>
      </c>
      <c r="D1700" s="1">
        <v>46210.806006944447</v>
      </c>
      <c r="E1700" t="s">
        <v>42</v>
      </c>
      <c r="F1700" t="s">
        <v>43</v>
      </c>
      <c r="G1700" t="s">
        <v>43</v>
      </c>
      <c r="H1700" t="s">
        <v>43</v>
      </c>
      <c r="I1700" t="s">
        <v>688</v>
      </c>
      <c r="J1700" t="s">
        <v>43</v>
      </c>
      <c r="K1700" t="s">
        <v>43</v>
      </c>
      <c r="L1700" t="s">
        <v>43</v>
      </c>
      <c r="M1700" t="s">
        <v>43</v>
      </c>
      <c r="N1700" t="s">
        <v>45</v>
      </c>
      <c r="O1700" t="s">
        <v>43</v>
      </c>
      <c r="P1700" t="s">
        <v>43</v>
      </c>
      <c r="Q1700" t="s">
        <v>43</v>
      </c>
      <c r="R1700" t="s">
        <v>43</v>
      </c>
      <c r="S1700" t="s">
        <v>43</v>
      </c>
      <c r="T1700" t="s">
        <v>43</v>
      </c>
      <c r="U1700" t="s">
        <v>43</v>
      </c>
      <c r="V1700" t="s">
        <v>43</v>
      </c>
      <c r="W1700" t="s">
        <v>43</v>
      </c>
      <c r="X1700" t="s">
        <v>43</v>
      </c>
      <c r="Y1700" t="s">
        <v>43</v>
      </c>
      <c r="Z1700" t="s">
        <v>43</v>
      </c>
      <c r="AA1700" t="s">
        <v>43</v>
      </c>
      <c r="AB1700" t="s">
        <v>43</v>
      </c>
      <c r="AC1700" t="s">
        <v>43</v>
      </c>
      <c r="AD1700" t="s">
        <v>43</v>
      </c>
      <c r="AE1700" t="s">
        <v>43</v>
      </c>
      <c r="AF1700" t="s">
        <v>43</v>
      </c>
      <c r="AG1700" t="s">
        <v>43</v>
      </c>
      <c r="AH1700" t="s">
        <v>43</v>
      </c>
      <c r="AI1700" t="s">
        <v>43</v>
      </c>
      <c r="AJ1700" t="s">
        <v>43</v>
      </c>
      <c r="AK1700" t="s">
        <v>43</v>
      </c>
      <c r="AL1700" t="s">
        <v>43</v>
      </c>
      <c r="AM1700" t="s">
        <v>43</v>
      </c>
      <c r="AN1700" t="str">
        <f>HYPERLINK("https://www.google.com/maps?q=11.05589104,79.06411743","Open Location")</f>
        <v>Open Location</v>
      </c>
    </row>
    <row r="1701" spans="1:40" x14ac:dyDescent="0.3">
      <c r="A1701" s="1">
        <v>46210.802893518521</v>
      </c>
      <c r="B1701" t="s">
        <v>40</v>
      </c>
      <c r="C1701" t="s">
        <v>41</v>
      </c>
      <c r="D1701" s="1">
        <v>46210.805659722224</v>
      </c>
      <c r="E1701" t="s">
        <v>42</v>
      </c>
      <c r="F1701" t="s">
        <v>43</v>
      </c>
      <c r="G1701" t="s">
        <v>43</v>
      </c>
      <c r="H1701" t="s">
        <v>43</v>
      </c>
      <c r="I1701" t="s">
        <v>688</v>
      </c>
      <c r="J1701" t="s">
        <v>43</v>
      </c>
      <c r="K1701" t="s">
        <v>43</v>
      </c>
      <c r="L1701" t="s">
        <v>43</v>
      </c>
      <c r="M1701" t="s">
        <v>43</v>
      </c>
      <c r="N1701" t="s">
        <v>45</v>
      </c>
      <c r="O1701" t="s">
        <v>43</v>
      </c>
      <c r="P1701" t="s">
        <v>43</v>
      </c>
      <c r="Q1701" t="s">
        <v>43</v>
      </c>
      <c r="R1701" t="s">
        <v>43</v>
      </c>
      <c r="S1701" t="s">
        <v>43</v>
      </c>
      <c r="T1701" t="s">
        <v>43</v>
      </c>
      <c r="U1701" t="s">
        <v>43</v>
      </c>
      <c r="V1701" t="s">
        <v>43</v>
      </c>
      <c r="W1701" t="s">
        <v>43</v>
      </c>
      <c r="X1701" t="s">
        <v>43</v>
      </c>
      <c r="Y1701" t="s">
        <v>43</v>
      </c>
      <c r="Z1701" t="s">
        <v>43</v>
      </c>
      <c r="AA1701" t="s">
        <v>43</v>
      </c>
      <c r="AB1701" t="s">
        <v>43</v>
      </c>
      <c r="AC1701" t="s">
        <v>43</v>
      </c>
      <c r="AD1701" t="s">
        <v>43</v>
      </c>
      <c r="AE1701" t="s">
        <v>43</v>
      </c>
      <c r="AF1701" t="s">
        <v>43</v>
      </c>
      <c r="AG1701" t="s">
        <v>43</v>
      </c>
      <c r="AH1701" t="s">
        <v>43</v>
      </c>
      <c r="AI1701" t="s">
        <v>43</v>
      </c>
      <c r="AJ1701" t="s">
        <v>43</v>
      </c>
      <c r="AK1701" t="s">
        <v>43</v>
      </c>
      <c r="AL1701" t="s">
        <v>43</v>
      </c>
      <c r="AM1701" t="s">
        <v>43</v>
      </c>
      <c r="AN1701" t="str">
        <f>HYPERLINK("https://www.google.com/maps?q=11.05589104,79.06411743","Open Location")</f>
        <v>Open Location</v>
      </c>
    </row>
    <row r="1702" spans="1:40" x14ac:dyDescent="0.3">
      <c r="A1702" s="1">
        <v>46210.802777777775</v>
      </c>
      <c r="B1702" t="s">
        <v>40</v>
      </c>
      <c r="C1702" t="s">
        <v>41</v>
      </c>
      <c r="D1702" s="1">
        <v>46210.805891203701</v>
      </c>
      <c r="E1702" t="s">
        <v>42</v>
      </c>
      <c r="F1702" t="s">
        <v>43</v>
      </c>
      <c r="G1702" t="s">
        <v>43</v>
      </c>
      <c r="H1702" t="s">
        <v>43</v>
      </c>
      <c r="I1702" t="s">
        <v>43</v>
      </c>
      <c r="J1702" t="s">
        <v>43</v>
      </c>
      <c r="K1702" t="s">
        <v>43</v>
      </c>
      <c r="L1702" t="s">
        <v>43</v>
      </c>
      <c r="M1702" t="s">
        <v>43</v>
      </c>
      <c r="N1702" t="s">
        <v>45</v>
      </c>
      <c r="O1702" t="s">
        <v>43</v>
      </c>
      <c r="P1702" t="s">
        <v>43</v>
      </c>
      <c r="Q1702" t="s">
        <v>43</v>
      </c>
      <c r="R1702" t="s">
        <v>43</v>
      </c>
      <c r="S1702" t="s">
        <v>43</v>
      </c>
      <c r="T1702" t="s">
        <v>43</v>
      </c>
      <c r="U1702" t="s">
        <v>43</v>
      </c>
      <c r="V1702" t="s">
        <v>43</v>
      </c>
      <c r="W1702" t="s">
        <v>43</v>
      </c>
      <c r="X1702" t="s">
        <v>43</v>
      </c>
      <c r="Y1702" t="s">
        <v>43</v>
      </c>
      <c r="Z1702" t="s">
        <v>43</v>
      </c>
      <c r="AA1702" t="s">
        <v>43</v>
      </c>
      <c r="AB1702" t="s">
        <v>43</v>
      </c>
      <c r="AC1702" t="s">
        <v>43</v>
      </c>
      <c r="AD1702" t="s">
        <v>43</v>
      </c>
      <c r="AE1702" t="s">
        <v>43</v>
      </c>
      <c r="AF1702" t="s">
        <v>43</v>
      </c>
      <c r="AG1702" t="s">
        <v>43</v>
      </c>
      <c r="AH1702" t="s">
        <v>43</v>
      </c>
      <c r="AI1702" t="s">
        <v>43</v>
      </c>
      <c r="AJ1702" t="s">
        <v>43</v>
      </c>
      <c r="AK1702" t="s">
        <v>43</v>
      </c>
      <c r="AL1702" t="s">
        <v>43</v>
      </c>
      <c r="AM1702" t="s">
        <v>43</v>
      </c>
      <c r="AN1702" t="s">
        <v>43</v>
      </c>
    </row>
    <row r="1703" spans="1:40" x14ac:dyDescent="0.3">
      <c r="A1703" s="1">
        <v>46210.802662037036</v>
      </c>
      <c r="B1703" t="s">
        <v>40</v>
      </c>
      <c r="C1703" t="s">
        <v>41</v>
      </c>
      <c r="D1703" s="1">
        <v>46210.805335648147</v>
      </c>
      <c r="E1703" t="s">
        <v>42</v>
      </c>
      <c r="F1703" t="s">
        <v>43</v>
      </c>
      <c r="G1703" t="s">
        <v>43</v>
      </c>
      <c r="H1703" t="s">
        <v>43</v>
      </c>
      <c r="I1703" t="s">
        <v>688</v>
      </c>
      <c r="J1703" t="s">
        <v>43</v>
      </c>
      <c r="K1703" t="s">
        <v>43</v>
      </c>
      <c r="L1703" t="s">
        <v>43</v>
      </c>
      <c r="M1703" t="s">
        <v>43</v>
      </c>
      <c r="N1703" t="s">
        <v>45</v>
      </c>
      <c r="O1703" t="s">
        <v>43</v>
      </c>
      <c r="P1703" t="s">
        <v>43</v>
      </c>
      <c r="Q1703" t="s">
        <v>43</v>
      </c>
      <c r="R1703" t="s">
        <v>43</v>
      </c>
      <c r="S1703" t="s">
        <v>43</v>
      </c>
      <c r="T1703" t="s">
        <v>43</v>
      </c>
      <c r="U1703" t="s">
        <v>43</v>
      </c>
      <c r="V1703" t="s">
        <v>43</v>
      </c>
      <c r="W1703" t="s">
        <v>43</v>
      </c>
      <c r="X1703" t="s">
        <v>43</v>
      </c>
      <c r="Y1703" t="s">
        <v>43</v>
      </c>
      <c r="Z1703" t="s">
        <v>43</v>
      </c>
      <c r="AA1703" t="s">
        <v>43</v>
      </c>
      <c r="AB1703" t="s">
        <v>43</v>
      </c>
      <c r="AC1703" t="s">
        <v>43</v>
      </c>
      <c r="AD1703" t="s">
        <v>43</v>
      </c>
      <c r="AE1703" t="s">
        <v>43</v>
      </c>
      <c r="AF1703" t="s">
        <v>43</v>
      </c>
      <c r="AG1703" t="s">
        <v>43</v>
      </c>
      <c r="AH1703" t="s">
        <v>43</v>
      </c>
      <c r="AI1703" t="s">
        <v>43</v>
      </c>
      <c r="AJ1703" t="s">
        <v>43</v>
      </c>
      <c r="AK1703" t="s">
        <v>43</v>
      </c>
      <c r="AL1703" t="s">
        <v>43</v>
      </c>
      <c r="AM1703" t="s">
        <v>43</v>
      </c>
      <c r="AN1703" t="str">
        <f>HYPERLINK("https://www.google.com/maps?q=11.05589104,79.06411743","Open Location")</f>
        <v>Open Location</v>
      </c>
    </row>
    <row r="1704" spans="1:40" x14ac:dyDescent="0.3">
      <c r="A1704" s="1">
        <v>46210.802546296298</v>
      </c>
      <c r="B1704" t="s">
        <v>40</v>
      </c>
      <c r="C1704" t="s">
        <v>41</v>
      </c>
      <c r="D1704" s="1">
        <v>46210.805671296293</v>
      </c>
      <c r="E1704" t="s">
        <v>42</v>
      </c>
      <c r="F1704" t="s">
        <v>43</v>
      </c>
      <c r="G1704" t="s">
        <v>43</v>
      </c>
      <c r="H1704" t="s">
        <v>43</v>
      </c>
      <c r="I1704" t="s">
        <v>659</v>
      </c>
      <c r="J1704" t="s">
        <v>43</v>
      </c>
      <c r="K1704" t="s">
        <v>43</v>
      </c>
      <c r="L1704" t="s">
        <v>43</v>
      </c>
      <c r="M1704" t="s">
        <v>43</v>
      </c>
      <c r="N1704" t="s">
        <v>45</v>
      </c>
      <c r="O1704" t="s">
        <v>43</v>
      </c>
      <c r="P1704" t="s">
        <v>43</v>
      </c>
      <c r="Q1704" t="s">
        <v>43</v>
      </c>
      <c r="R1704" t="s">
        <v>43</v>
      </c>
      <c r="S1704" t="s">
        <v>43</v>
      </c>
      <c r="T1704" t="s">
        <v>43</v>
      </c>
      <c r="U1704" t="s">
        <v>43</v>
      </c>
      <c r="V1704" t="s">
        <v>43</v>
      </c>
      <c r="W1704" t="s">
        <v>43</v>
      </c>
      <c r="X1704" t="s">
        <v>43</v>
      </c>
      <c r="Y1704" t="s">
        <v>43</v>
      </c>
      <c r="Z1704" t="s">
        <v>43</v>
      </c>
      <c r="AA1704" t="s">
        <v>43</v>
      </c>
      <c r="AB1704" t="s">
        <v>43</v>
      </c>
      <c r="AC1704" t="s">
        <v>43</v>
      </c>
      <c r="AD1704" t="s">
        <v>43</v>
      </c>
      <c r="AE1704" t="s">
        <v>43</v>
      </c>
      <c r="AF1704" t="s">
        <v>43</v>
      </c>
      <c r="AG1704" t="s">
        <v>43</v>
      </c>
      <c r="AH1704" t="s">
        <v>43</v>
      </c>
      <c r="AI1704" t="s">
        <v>43</v>
      </c>
      <c r="AJ1704" t="s">
        <v>43</v>
      </c>
      <c r="AK1704" t="s">
        <v>43</v>
      </c>
      <c r="AL1704" t="s">
        <v>43</v>
      </c>
      <c r="AM1704" t="s">
        <v>43</v>
      </c>
      <c r="AN1704" t="str">
        <f>HYPERLINK("https://www.google.com/maps?q=11.05589008,79.06411743","Open Location")</f>
        <v>Open Location</v>
      </c>
    </row>
    <row r="1705" spans="1:40" x14ac:dyDescent="0.3">
      <c r="A1705" s="1">
        <v>46210.802430555559</v>
      </c>
      <c r="B1705" t="s">
        <v>40</v>
      </c>
      <c r="C1705" t="s">
        <v>41</v>
      </c>
      <c r="D1705" s="1">
        <v>46210.805162037039</v>
      </c>
      <c r="E1705" t="s">
        <v>42</v>
      </c>
      <c r="F1705" t="s">
        <v>43</v>
      </c>
      <c r="G1705" t="s">
        <v>43</v>
      </c>
      <c r="H1705" t="s">
        <v>43</v>
      </c>
      <c r="I1705" t="s">
        <v>730</v>
      </c>
      <c r="J1705" t="s">
        <v>43</v>
      </c>
      <c r="K1705" t="s">
        <v>43</v>
      </c>
      <c r="L1705" t="s">
        <v>43</v>
      </c>
      <c r="M1705" t="s">
        <v>43</v>
      </c>
      <c r="N1705" t="s">
        <v>45</v>
      </c>
      <c r="O1705" t="s">
        <v>43</v>
      </c>
      <c r="P1705" t="s">
        <v>43</v>
      </c>
      <c r="Q1705" t="s">
        <v>43</v>
      </c>
      <c r="R1705" t="s">
        <v>43</v>
      </c>
      <c r="S1705" t="s">
        <v>43</v>
      </c>
      <c r="T1705" t="s">
        <v>43</v>
      </c>
      <c r="U1705" t="s">
        <v>43</v>
      </c>
      <c r="V1705" t="s">
        <v>43</v>
      </c>
      <c r="W1705" t="s">
        <v>43</v>
      </c>
      <c r="X1705" t="s">
        <v>43</v>
      </c>
      <c r="Y1705" t="s">
        <v>43</v>
      </c>
      <c r="Z1705" t="s">
        <v>43</v>
      </c>
      <c r="AA1705" t="s">
        <v>43</v>
      </c>
      <c r="AB1705" t="s">
        <v>43</v>
      </c>
      <c r="AC1705" t="s">
        <v>43</v>
      </c>
      <c r="AD1705" t="s">
        <v>43</v>
      </c>
      <c r="AE1705" t="s">
        <v>43</v>
      </c>
      <c r="AF1705" t="s">
        <v>43</v>
      </c>
      <c r="AG1705" t="s">
        <v>43</v>
      </c>
      <c r="AH1705" t="s">
        <v>43</v>
      </c>
      <c r="AI1705" t="s">
        <v>43</v>
      </c>
      <c r="AJ1705" t="s">
        <v>43</v>
      </c>
      <c r="AK1705" t="s">
        <v>43</v>
      </c>
      <c r="AL1705" t="s">
        <v>43</v>
      </c>
      <c r="AM1705" t="s">
        <v>43</v>
      </c>
      <c r="AN1705" t="str">
        <f>HYPERLINK("https://www.google.com/maps?q=11.05589008,79.06412506","Open Location")</f>
        <v>Open Location</v>
      </c>
    </row>
    <row r="1706" spans="1:40" x14ac:dyDescent="0.3">
      <c r="A1706" s="1">
        <v>46210.802314814813</v>
      </c>
      <c r="B1706" t="s">
        <v>40</v>
      </c>
      <c r="C1706" t="s">
        <v>41</v>
      </c>
      <c r="D1706" s="1">
        <v>46210.80505787037</v>
      </c>
      <c r="E1706" t="s">
        <v>42</v>
      </c>
      <c r="F1706" t="s">
        <v>43</v>
      </c>
      <c r="G1706" t="s">
        <v>43</v>
      </c>
      <c r="H1706" t="s">
        <v>43</v>
      </c>
      <c r="I1706" t="s">
        <v>731</v>
      </c>
      <c r="J1706" t="s">
        <v>43</v>
      </c>
      <c r="K1706" t="s">
        <v>43</v>
      </c>
      <c r="L1706" t="s">
        <v>43</v>
      </c>
      <c r="M1706" t="s">
        <v>43</v>
      </c>
      <c r="N1706" t="s">
        <v>45</v>
      </c>
      <c r="O1706" t="s">
        <v>43</v>
      </c>
      <c r="P1706" t="s">
        <v>43</v>
      </c>
      <c r="Q1706" t="s">
        <v>43</v>
      </c>
      <c r="R1706" t="s">
        <v>43</v>
      </c>
      <c r="S1706" t="s">
        <v>43</v>
      </c>
      <c r="T1706" t="s">
        <v>43</v>
      </c>
      <c r="U1706" t="s">
        <v>43</v>
      </c>
      <c r="V1706" t="s">
        <v>43</v>
      </c>
      <c r="W1706" t="s">
        <v>43</v>
      </c>
      <c r="X1706" t="s">
        <v>43</v>
      </c>
      <c r="Y1706" t="s">
        <v>43</v>
      </c>
      <c r="Z1706" t="s">
        <v>43</v>
      </c>
      <c r="AA1706" t="s">
        <v>43</v>
      </c>
      <c r="AB1706" t="s">
        <v>43</v>
      </c>
      <c r="AC1706" t="s">
        <v>43</v>
      </c>
      <c r="AD1706" t="s">
        <v>43</v>
      </c>
      <c r="AE1706" t="s">
        <v>43</v>
      </c>
      <c r="AF1706" t="s">
        <v>43</v>
      </c>
      <c r="AG1706" t="s">
        <v>43</v>
      </c>
      <c r="AH1706" t="s">
        <v>43</v>
      </c>
      <c r="AI1706" t="s">
        <v>43</v>
      </c>
      <c r="AJ1706" t="s">
        <v>43</v>
      </c>
      <c r="AK1706" t="s">
        <v>43</v>
      </c>
      <c r="AL1706" t="s">
        <v>43</v>
      </c>
      <c r="AM1706" t="s">
        <v>43</v>
      </c>
      <c r="AN1706" t="str">
        <f>HYPERLINK("https://www.google.com/maps?q=11.05588913,79.06412506","Open Location")</f>
        <v>Open Location</v>
      </c>
    </row>
    <row r="1707" spans="1:40" x14ac:dyDescent="0.3">
      <c r="A1707" s="1">
        <v>46210.802199074074</v>
      </c>
      <c r="B1707" t="s">
        <v>40</v>
      </c>
      <c r="C1707" t="s">
        <v>41</v>
      </c>
      <c r="D1707" s="1">
        <v>46210.805104166669</v>
      </c>
      <c r="E1707" t="s">
        <v>42</v>
      </c>
      <c r="F1707" t="s">
        <v>43</v>
      </c>
      <c r="G1707" t="s">
        <v>43</v>
      </c>
      <c r="H1707" t="s">
        <v>43</v>
      </c>
      <c r="I1707" t="s">
        <v>730</v>
      </c>
      <c r="J1707" t="s">
        <v>43</v>
      </c>
      <c r="K1707" t="s">
        <v>43</v>
      </c>
      <c r="L1707" t="s">
        <v>43</v>
      </c>
      <c r="M1707" t="s">
        <v>43</v>
      </c>
      <c r="N1707" t="s">
        <v>45</v>
      </c>
      <c r="O1707" t="s">
        <v>43</v>
      </c>
      <c r="P1707" t="s">
        <v>43</v>
      </c>
      <c r="Q1707" t="s">
        <v>43</v>
      </c>
      <c r="R1707" t="s">
        <v>43</v>
      </c>
      <c r="S1707" t="s">
        <v>43</v>
      </c>
      <c r="T1707" t="s">
        <v>43</v>
      </c>
      <c r="U1707" t="s">
        <v>43</v>
      </c>
      <c r="V1707" t="s">
        <v>43</v>
      </c>
      <c r="W1707" t="s">
        <v>43</v>
      </c>
      <c r="X1707" t="s">
        <v>43</v>
      </c>
      <c r="Y1707" t="s">
        <v>43</v>
      </c>
      <c r="Z1707" t="s">
        <v>43</v>
      </c>
      <c r="AA1707" t="s">
        <v>43</v>
      </c>
      <c r="AB1707" t="s">
        <v>43</v>
      </c>
      <c r="AC1707" t="s">
        <v>43</v>
      </c>
      <c r="AD1707" t="s">
        <v>43</v>
      </c>
      <c r="AE1707" t="s">
        <v>43</v>
      </c>
      <c r="AF1707" t="s">
        <v>43</v>
      </c>
      <c r="AG1707" t="s">
        <v>43</v>
      </c>
      <c r="AH1707" t="s">
        <v>43</v>
      </c>
      <c r="AI1707" t="s">
        <v>43</v>
      </c>
      <c r="AJ1707" t="s">
        <v>43</v>
      </c>
      <c r="AK1707" t="s">
        <v>43</v>
      </c>
      <c r="AL1707" t="s">
        <v>43</v>
      </c>
      <c r="AM1707" t="s">
        <v>43</v>
      </c>
      <c r="AN1707" t="str">
        <f>HYPERLINK("https://www.google.com/maps?q=11.05589008,79.06412506","Open Location")</f>
        <v>Open Location</v>
      </c>
    </row>
    <row r="1708" spans="1:40" x14ac:dyDescent="0.3">
      <c r="A1708" s="1">
        <v>46210.802083333336</v>
      </c>
      <c r="B1708" t="s">
        <v>40</v>
      </c>
      <c r="C1708" t="s">
        <v>41</v>
      </c>
      <c r="D1708" s="1">
        <v>46210.804988425924</v>
      </c>
      <c r="E1708" t="s">
        <v>42</v>
      </c>
      <c r="F1708" t="s">
        <v>43</v>
      </c>
      <c r="G1708" t="s">
        <v>43</v>
      </c>
      <c r="H1708" t="s">
        <v>43</v>
      </c>
      <c r="I1708" t="s">
        <v>43</v>
      </c>
      <c r="J1708" t="s">
        <v>43</v>
      </c>
      <c r="K1708" t="s">
        <v>43</v>
      </c>
      <c r="L1708" t="s">
        <v>43</v>
      </c>
      <c r="M1708" t="s">
        <v>43</v>
      </c>
      <c r="N1708" t="s">
        <v>45</v>
      </c>
      <c r="O1708" t="s">
        <v>43</v>
      </c>
      <c r="P1708" t="s">
        <v>43</v>
      </c>
      <c r="Q1708" t="s">
        <v>43</v>
      </c>
      <c r="R1708" t="s">
        <v>43</v>
      </c>
      <c r="S1708" t="s">
        <v>43</v>
      </c>
      <c r="T1708" t="s">
        <v>43</v>
      </c>
      <c r="U1708" t="s">
        <v>43</v>
      </c>
      <c r="V1708" t="s">
        <v>43</v>
      </c>
      <c r="W1708" t="s">
        <v>43</v>
      </c>
      <c r="X1708" t="s">
        <v>43</v>
      </c>
      <c r="Y1708" t="s">
        <v>43</v>
      </c>
      <c r="Z1708" t="s">
        <v>43</v>
      </c>
      <c r="AA1708" t="s">
        <v>43</v>
      </c>
      <c r="AB1708" t="s">
        <v>43</v>
      </c>
      <c r="AC1708" t="s">
        <v>43</v>
      </c>
      <c r="AD1708" t="s">
        <v>43</v>
      </c>
      <c r="AE1708" t="s">
        <v>43</v>
      </c>
      <c r="AF1708" t="s">
        <v>43</v>
      </c>
      <c r="AG1708" t="s">
        <v>43</v>
      </c>
      <c r="AH1708" t="s">
        <v>43</v>
      </c>
      <c r="AI1708" t="s">
        <v>43</v>
      </c>
      <c r="AJ1708" t="s">
        <v>43</v>
      </c>
      <c r="AK1708" t="s">
        <v>43</v>
      </c>
      <c r="AL1708" t="s">
        <v>43</v>
      </c>
      <c r="AM1708" t="s">
        <v>43</v>
      </c>
      <c r="AN1708" t="s">
        <v>43</v>
      </c>
    </row>
    <row r="1709" spans="1:40" x14ac:dyDescent="0.3">
      <c r="A1709" s="1">
        <v>46210.80196759259</v>
      </c>
      <c r="B1709" t="s">
        <v>40</v>
      </c>
      <c r="C1709" t="s">
        <v>41</v>
      </c>
      <c r="D1709" s="1">
        <v>46210.804722222223</v>
      </c>
      <c r="E1709" t="s">
        <v>42</v>
      </c>
      <c r="F1709" t="s">
        <v>43</v>
      </c>
      <c r="G1709" t="s">
        <v>43</v>
      </c>
      <c r="H1709" t="s">
        <v>43</v>
      </c>
      <c r="I1709" t="s">
        <v>43</v>
      </c>
      <c r="J1709" t="s">
        <v>43</v>
      </c>
      <c r="K1709" t="s">
        <v>43</v>
      </c>
      <c r="L1709" t="s">
        <v>43</v>
      </c>
      <c r="M1709" t="s">
        <v>43</v>
      </c>
      <c r="N1709" t="s">
        <v>45</v>
      </c>
      <c r="O1709" t="s">
        <v>43</v>
      </c>
      <c r="P1709" t="s">
        <v>43</v>
      </c>
      <c r="Q1709" t="s">
        <v>43</v>
      </c>
      <c r="R1709" t="s">
        <v>43</v>
      </c>
      <c r="S1709" t="s">
        <v>43</v>
      </c>
      <c r="T1709" t="s">
        <v>43</v>
      </c>
      <c r="U1709" t="s">
        <v>43</v>
      </c>
      <c r="V1709" t="s">
        <v>43</v>
      </c>
      <c r="W1709" t="s">
        <v>43</v>
      </c>
      <c r="X1709" t="s">
        <v>43</v>
      </c>
      <c r="Y1709" t="s">
        <v>43</v>
      </c>
      <c r="Z1709" t="s">
        <v>43</v>
      </c>
      <c r="AA1709" t="s">
        <v>43</v>
      </c>
      <c r="AB1709" t="s">
        <v>43</v>
      </c>
      <c r="AC1709" t="s">
        <v>43</v>
      </c>
      <c r="AD1709" t="s">
        <v>43</v>
      </c>
      <c r="AE1709" t="s">
        <v>43</v>
      </c>
      <c r="AF1709" t="s">
        <v>43</v>
      </c>
      <c r="AG1709" t="s">
        <v>43</v>
      </c>
      <c r="AH1709" t="s">
        <v>43</v>
      </c>
      <c r="AI1709" t="s">
        <v>43</v>
      </c>
      <c r="AJ1709" t="s">
        <v>43</v>
      </c>
      <c r="AK1709" t="s">
        <v>43</v>
      </c>
      <c r="AL1709" t="s">
        <v>43</v>
      </c>
      <c r="AM1709" t="s">
        <v>43</v>
      </c>
      <c r="AN1709" t="s">
        <v>43</v>
      </c>
    </row>
    <row r="1710" spans="1:40" x14ac:dyDescent="0.3">
      <c r="A1710" s="1">
        <v>46210.801851851851</v>
      </c>
      <c r="B1710" t="s">
        <v>40</v>
      </c>
      <c r="C1710" t="s">
        <v>41</v>
      </c>
      <c r="D1710" s="1">
        <v>46210.804722222223</v>
      </c>
      <c r="E1710" t="s">
        <v>42</v>
      </c>
      <c r="F1710" t="s">
        <v>43</v>
      </c>
      <c r="G1710" t="s">
        <v>43</v>
      </c>
      <c r="H1710" t="s">
        <v>43</v>
      </c>
      <c r="I1710" t="s">
        <v>811</v>
      </c>
      <c r="J1710" t="s">
        <v>43</v>
      </c>
      <c r="K1710" t="s">
        <v>43</v>
      </c>
      <c r="L1710" t="s">
        <v>43</v>
      </c>
      <c r="M1710" t="s">
        <v>43</v>
      </c>
      <c r="N1710" t="s">
        <v>45</v>
      </c>
      <c r="O1710" t="s">
        <v>43</v>
      </c>
      <c r="P1710" t="s">
        <v>43</v>
      </c>
      <c r="Q1710" t="s">
        <v>43</v>
      </c>
      <c r="R1710" t="s">
        <v>43</v>
      </c>
      <c r="S1710" t="s">
        <v>43</v>
      </c>
      <c r="T1710" t="s">
        <v>43</v>
      </c>
      <c r="U1710" t="s">
        <v>43</v>
      </c>
      <c r="V1710" t="s">
        <v>43</v>
      </c>
      <c r="W1710" t="s">
        <v>43</v>
      </c>
      <c r="X1710" t="s">
        <v>43</v>
      </c>
      <c r="Y1710" t="s">
        <v>43</v>
      </c>
      <c r="Z1710" t="s">
        <v>43</v>
      </c>
      <c r="AA1710" t="s">
        <v>43</v>
      </c>
      <c r="AB1710" t="s">
        <v>43</v>
      </c>
      <c r="AC1710" t="s">
        <v>43</v>
      </c>
      <c r="AD1710" t="s">
        <v>43</v>
      </c>
      <c r="AE1710" t="s">
        <v>43</v>
      </c>
      <c r="AF1710" t="s">
        <v>43</v>
      </c>
      <c r="AG1710" t="s">
        <v>43</v>
      </c>
      <c r="AH1710" t="s">
        <v>43</v>
      </c>
      <c r="AI1710" t="s">
        <v>43</v>
      </c>
      <c r="AJ1710" t="s">
        <v>43</v>
      </c>
      <c r="AK1710" t="s">
        <v>43</v>
      </c>
      <c r="AL1710" t="s">
        <v>43</v>
      </c>
      <c r="AM1710" t="s">
        <v>43</v>
      </c>
      <c r="AN1710" t="str">
        <f>HYPERLINK("https://www.google.com/maps?q=11.05589104,79.06412506","Open Location")</f>
        <v>Open Location</v>
      </c>
    </row>
    <row r="1711" spans="1:40" x14ac:dyDescent="0.3">
      <c r="A1711" s="1">
        <v>46210.801736111112</v>
      </c>
      <c r="B1711" t="s">
        <v>40</v>
      </c>
      <c r="C1711" t="s">
        <v>41</v>
      </c>
      <c r="D1711" s="1">
        <v>46210.804525462961</v>
      </c>
      <c r="E1711" t="s">
        <v>42</v>
      </c>
      <c r="F1711" t="s">
        <v>43</v>
      </c>
      <c r="G1711" t="s">
        <v>43</v>
      </c>
      <c r="H1711" t="s">
        <v>43</v>
      </c>
      <c r="I1711" t="s">
        <v>730</v>
      </c>
      <c r="J1711" t="s">
        <v>43</v>
      </c>
      <c r="K1711" t="s">
        <v>43</v>
      </c>
      <c r="L1711" t="s">
        <v>43</v>
      </c>
      <c r="M1711" t="s">
        <v>43</v>
      </c>
      <c r="N1711" t="s">
        <v>45</v>
      </c>
      <c r="O1711" t="s">
        <v>43</v>
      </c>
      <c r="P1711" t="s">
        <v>43</v>
      </c>
      <c r="Q1711" t="s">
        <v>43</v>
      </c>
      <c r="R1711" t="s">
        <v>43</v>
      </c>
      <c r="S1711" t="s">
        <v>43</v>
      </c>
      <c r="T1711" t="s">
        <v>43</v>
      </c>
      <c r="U1711" t="s">
        <v>43</v>
      </c>
      <c r="V1711" t="s">
        <v>43</v>
      </c>
      <c r="W1711" t="s">
        <v>43</v>
      </c>
      <c r="X1711" t="s">
        <v>43</v>
      </c>
      <c r="Y1711" t="s">
        <v>43</v>
      </c>
      <c r="Z1711" t="s">
        <v>43</v>
      </c>
      <c r="AA1711" t="s">
        <v>43</v>
      </c>
      <c r="AB1711" t="s">
        <v>43</v>
      </c>
      <c r="AC1711" t="s">
        <v>43</v>
      </c>
      <c r="AD1711" t="s">
        <v>43</v>
      </c>
      <c r="AE1711" t="s">
        <v>43</v>
      </c>
      <c r="AF1711" t="s">
        <v>43</v>
      </c>
      <c r="AG1711" t="s">
        <v>43</v>
      </c>
      <c r="AH1711" t="s">
        <v>43</v>
      </c>
      <c r="AI1711" t="s">
        <v>43</v>
      </c>
      <c r="AJ1711" t="s">
        <v>43</v>
      </c>
      <c r="AK1711" t="s">
        <v>43</v>
      </c>
      <c r="AL1711" t="s">
        <v>43</v>
      </c>
      <c r="AM1711" t="s">
        <v>43</v>
      </c>
      <c r="AN1711" t="str">
        <f>HYPERLINK("https://www.google.com/maps?q=11.05589008,79.06412506","Open Location")</f>
        <v>Open Location</v>
      </c>
    </row>
    <row r="1712" spans="1:40" x14ac:dyDescent="0.3">
      <c r="A1712" s="1">
        <v>46210.801620370374</v>
      </c>
      <c r="B1712" t="s">
        <v>40</v>
      </c>
      <c r="C1712" t="s">
        <v>41</v>
      </c>
      <c r="D1712" s="1">
        <v>46210.804618055554</v>
      </c>
      <c r="E1712" t="s">
        <v>42</v>
      </c>
      <c r="F1712" t="s">
        <v>43</v>
      </c>
      <c r="G1712" t="s">
        <v>43</v>
      </c>
      <c r="H1712" t="s">
        <v>43</v>
      </c>
      <c r="I1712" t="s">
        <v>43</v>
      </c>
      <c r="J1712" t="s">
        <v>43</v>
      </c>
      <c r="K1712" t="s">
        <v>43</v>
      </c>
      <c r="L1712" t="s">
        <v>43</v>
      </c>
      <c r="M1712" t="s">
        <v>43</v>
      </c>
      <c r="N1712" t="s">
        <v>45</v>
      </c>
      <c r="O1712" t="s">
        <v>43</v>
      </c>
      <c r="P1712" t="s">
        <v>43</v>
      </c>
      <c r="Q1712" t="s">
        <v>43</v>
      </c>
      <c r="R1712" t="s">
        <v>43</v>
      </c>
      <c r="S1712" t="s">
        <v>43</v>
      </c>
      <c r="T1712" t="s">
        <v>43</v>
      </c>
      <c r="U1712" t="s">
        <v>43</v>
      </c>
      <c r="V1712" t="s">
        <v>43</v>
      </c>
      <c r="W1712" t="s">
        <v>43</v>
      </c>
      <c r="X1712" t="s">
        <v>43</v>
      </c>
      <c r="Y1712" t="s">
        <v>43</v>
      </c>
      <c r="Z1712" t="s">
        <v>43</v>
      </c>
      <c r="AA1712" t="s">
        <v>43</v>
      </c>
      <c r="AB1712" t="s">
        <v>43</v>
      </c>
      <c r="AC1712" t="s">
        <v>43</v>
      </c>
      <c r="AD1712" t="s">
        <v>43</v>
      </c>
      <c r="AE1712" t="s">
        <v>43</v>
      </c>
      <c r="AF1712" t="s">
        <v>43</v>
      </c>
      <c r="AG1712" t="s">
        <v>43</v>
      </c>
      <c r="AH1712" t="s">
        <v>43</v>
      </c>
      <c r="AI1712" t="s">
        <v>43</v>
      </c>
      <c r="AJ1712" t="s">
        <v>43</v>
      </c>
      <c r="AK1712" t="s">
        <v>43</v>
      </c>
      <c r="AL1712" t="s">
        <v>43</v>
      </c>
      <c r="AM1712" t="s">
        <v>43</v>
      </c>
      <c r="AN1712" t="s">
        <v>43</v>
      </c>
    </row>
    <row r="1713" spans="1:40" x14ac:dyDescent="0.3">
      <c r="A1713" s="1">
        <v>46210.801504629628</v>
      </c>
      <c r="B1713" t="s">
        <v>40</v>
      </c>
      <c r="C1713" t="s">
        <v>41</v>
      </c>
      <c r="D1713" s="1">
        <v>46210.804305555554</v>
      </c>
      <c r="E1713" t="s">
        <v>42</v>
      </c>
      <c r="F1713" t="s">
        <v>43</v>
      </c>
      <c r="G1713" t="s">
        <v>43</v>
      </c>
      <c r="H1713" t="s">
        <v>43</v>
      </c>
      <c r="I1713" t="s">
        <v>730</v>
      </c>
      <c r="J1713" t="s">
        <v>43</v>
      </c>
      <c r="K1713" t="s">
        <v>43</v>
      </c>
      <c r="L1713" t="s">
        <v>43</v>
      </c>
      <c r="M1713" t="s">
        <v>43</v>
      </c>
      <c r="N1713" t="s">
        <v>45</v>
      </c>
      <c r="O1713" t="s">
        <v>43</v>
      </c>
      <c r="P1713" t="s">
        <v>43</v>
      </c>
      <c r="Q1713" t="s">
        <v>43</v>
      </c>
      <c r="R1713" t="s">
        <v>43</v>
      </c>
      <c r="S1713" t="s">
        <v>43</v>
      </c>
      <c r="T1713" t="s">
        <v>43</v>
      </c>
      <c r="U1713" t="s">
        <v>43</v>
      </c>
      <c r="V1713" t="s">
        <v>43</v>
      </c>
      <c r="W1713" t="s">
        <v>43</v>
      </c>
      <c r="X1713" t="s">
        <v>43</v>
      </c>
      <c r="Y1713" t="s">
        <v>43</v>
      </c>
      <c r="Z1713" t="s">
        <v>43</v>
      </c>
      <c r="AA1713" t="s">
        <v>43</v>
      </c>
      <c r="AB1713" t="s">
        <v>43</v>
      </c>
      <c r="AC1713" t="s">
        <v>43</v>
      </c>
      <c r="AD1713" t="s">
        <v>43</v>
      </c>
      <c r="AE1713" t="s">
        <v>43</v>
      </c>
      <c r="AF1713" t="s">
        <v>43</v>
      </c>
      <c r="AG1713" t="s">
        <v>43</v>
      </c>
      <c r="AH1713" t="s">
        <v>43</v>
      </c>
      <c r="AI1713" t="s">
        <v>43</v>
      </c>
      <c r="AJ1713" t="s">
        <v>43</v>
      </c>
      <c r="AK1713" t="s">
        <v>43</v>
      </c>
      <c r="AL1713" t="s">
        <v>43</v>
      </c>
      <c r="AM1713" t="s">
        <v>43</v>
      </c>
      <c r="AN1713" t="str">
        <f>HYPERLINK("https://www.google.com/maps?q=11.05589008,79.06412506","Open Location")</f>
        <v>Open Location</v>
      </c>
    </row>
    <row r="1714" spans="1:40" x14ac:dyDescent="0.3">
      <c r="A1714" s="1">
        <v>46210.801388888889</v>
      </c>
      <c r="B1714" t="s">
        <v>40</v>
      </c>
      <c r="C1714" t="s">
        <v>41</v>
      </c>
      <c r="D1714" s="1">
        <v>46210.80431712963</v>
      </c>
      <c r="E1714" t="s">
        <v>42</v>
      </c>
      <c r="F1714" t="s">
        <v>43</v>
      </c>
      <c r="G1714" t="s">
        <v>43</v>
      </c>
      <c r="H1714" t="s">
        <v>43</v>
      </c>
      <c r="I1714" t="s">
        <v>747</v>
      </c>
      <c r="J1714" t="s">
        <v>43</v>
      </c>
      <c r="K1714" t="s">
        <v>43</v>
      </c>
      <c r="L1714" t="s">
        <v>43</v>
      </c>
      <c r="M1714" t="s">
        <v>43</v>
      </c>
      <c r="N1714" t="s">
        <v>45</v>
      </c>
      <c r="O1714" t="s">
        <v>43</v>
      </c>
      <c r="P1714" t="s">
        <v>43</v>
      </c>
      <c r="Q1714" t="s">
        <v>43</v>
      </c>
      <c r="R1714" t="s">
        <v>43</v>
      </c>
      <c r="S1714" t="s">
        <v>43</v>
      </c>
      <c r="T1714" t="s">
        <v>43</v>
      </c>
      <c r="U1714" t="s">
        <v>43</v>
      </c>
      <c r="V1714" t="s">
        <v>43</v>
      </c>
      <c r="W1714" t="s">
        <v>43</v>
      </c>
      <c r="X1714" t="s">
        <v>43</v>
      </c>
      <c r="Y1714" t="s">
        <v>43</v>
      </c>
      <c r="Z1714" t="s">
        <v>43</v>
      </c>
      <c r="AA1714" t="s">
        <v>43</v>
      </c>
      <c r="AB1714" t="s">
        <v>43</v>
      </c>
      <c r="AC1714" t="s">
        <v>43</v>
      </c>
      <c r="AD1714" t="s">
        <v>43</v>
      </c>
      <c r="AE1714" t="s">
        <v>43</v>
      </c>
      <c r="AF1714" t="s">
        <v>43</v>
      </c>
      <c r="AG1714" t="s">
        <v>43</v>
      </c>
      <c r="AH1714" t="s">
        <v>43</v>
      </c>
      <c r="AI1714" t="s">
        <v>43</v>
      </c>
      <c r="AJ1714" t="s">
        <v>43</v>
      </c>
      <c r="AK1714" t="s">
        <v>43</v>
      </c>
      <c r="AL1714" t="s">
        <v>43</v>
      </c>
      <c r="AM1714" t="s">
        <v>43</v>
      </c>
      <c r="AN1714" t="str">
        <f>HYPERLINK("https://www.google.com/maps?q=11.05588627,79.06412506","Open Location")</f>
        <v>Open Location</v>
      </c>
    </row>
    <row r="1715" spans="1:40" x14ac:dyDescent="0.3">
      <c r="A1715" s="1">
        <v>46210.80127314815</v>
      </c>
      <c r="B1715" t="s">
        <v>40</v>
      </c>
      <c r="C1715" t="s">
        <v>41</v>
      </c>
      <c r="D1715" s="1">
        <v>46210.803935185184</v>
      </c>
      <c r="E1715" t="s">
        <v>42</v>
      </c>
      <c r="F1715" t="s">
        <v>43</v>
      </c>
      <c r="G1715" t="s">
        <v>43</v>
      </c>
      <c r="H1715" t="s">
        <v>43</v>
      </c>
      <c r="I1715" t="s">
        <v>626</v>
      </c>
      <c r="J1715" t="s">
        <v>43</v>
      </c>
      <c r="K1715" t="s">
        <v>43</v>
      </c>
      <c r="L1715" t="s">
        <v>43</v>
      </c>
      <c r="M1715" t="s">
        <v>43</v>
      </c>
      <c r="N1715" t="s">
        <v>45</v>
      </c>
      <c r="O1715" t="s">
        <v>43</v>
      </c>
      <c r="P1715" t="s">
        <v>43</v>
      </c>
      <c r="Q1715" t="s">
        <v>43</v>
      </c>
      <c r="R1715" t="s">
        <v>43</v>
      </c>
      <c r="S1715" t="s">
        <v>43</v>
      </c>
      <c r="T1715" t="s">
        <v>43</v>
      </c>
      <c r="U1715" t="s">
        <v>43</v>
      </c>
      <c r="V1715" t="s">
        <v>43</v>
      </c>
      <c r="W1715" t="s">
        <v>43</v>
      </c>
      <c r="X1715" t="s">
        <v>43</v>
      </c>
      <c r="Y1715" t="s">
        <v>43</v>
      </c>
      <c r="Z1715" t="s">
        <v>43</v>
      </c>
      <c r="AA1715" t="s">
        <v>43</v>
      </c>
      <c r="AB1715" t="s">
        <v>43</v>
      </c>
      <c r="AC1715" t="s">
        <v>43</v>
      </c>
      <c r="AD1715" t="s">
        <v>43</v>
      </c>
      <c r="AE1715" t="s">
        <v>43</v>
      </c>
      <c r="AF1715" t="s">
        <v>43</v>
      </c>
      <c r="AG1715" t="s">
        <v>43</v>
      </c>
      <c r="AH1715" t="s">
        <v>43</v>
      </c>
      <c r="AI1715" t="s">
        <v>43</v>
      </c>
      <c r="AJ1715" t="s">
        <v>43</v>
      </c>
      <c r="AK1715" t="s">
        <v>43</v>
      </c>
      <c r="AL1715" t="s">
        <v>43</v>
      </c>
      <c r="AM1715" t="s">
        <v>43</v>
      </c>
      <c r="AN1715" t="str">
        <f>HYPERLINK("https://www.google.com/maps?q=11.05588436,79.06413269","Open Location")</f>
        <v>Open Location</v>
      </c>
    </row>
    <row r="1716" spans="1:40" x14ac:dyDescent="0.3">
      <c r="A1716" s="1">
        <v>46210.801157407404</v>
      </c>
      <c r="B1716" t="s">
        <v>40</v>
      </c>
      <c r="C1716" t="s">
        <v>41</v>
      </c>
      <c r="D1716" s="1">
        <v>46210.804085648146</v>
      </c>
      <c r="E1716" t="s">
        <v>42</v>
      </c>
      <c r="F1716" t="s">
        <v>43</v>
      </c>
      <c r="G1716" t="s">
        <v>43</v>
      </c>
      <c r="H1716" t="s">
        <v>43</v>
      </c>
      <c r="I1716" t="s">
        <v>746</v>
      </c>
      <c r="J1716" t="s">
        <v>43</v>
      </c>
      <c r="K1716" t="s">
        <v>43</v>
      </c>
      <c r="L1716" t="s">
        <v>43</v>
      </c>
      <c r="M1716" t="s">
        <v>43</v>
      </c>
      <c r="N1716" t="s">
        <v>45</v>
      </c>
      <c r="O1716" t="s">
        <v>43</v>
      </c>
      <c r="P1716" t="s">
        <v>43</v>
      </c>
      <c r="Q1716" t="s">
        <v>43</v>
      </c>
      <c r="R1716" t="s">
        <v>43</v>
      </c>
      <c r="S1716" t="s">
        <v>43</v>
      </c>
      <c r="T1716" t="s">
        <v>43</v>
      </c>
      <c r="U1716" t="s">
        <v>43</v>
      </c>
      <c r="V1716" t="s">
        <v>43</v>
      </c>
      <c r="W1716" t="s">
        <v>43</v>
      </c>
      <c r="X1716" t="s">
        <v>43</v>
      </c>
      <c r="Y1716" t="s">
        <v>43</v>
      </c>
      <c r="Z1716" t="s">
        <v>43</v>
      </c>
      <c r="AA1716" t="s">
        <v>43</v>
      </c>
      <c r="AB1716" t="s">
        <v>43</v>
      </c>
      <c r="AC1716" t="s">
        <v>43</v>
      </c>
      <c r="AD1716" t="s">
        <v>43</v>
      </c>
      <c r="AE1716" t="s">
        <v>43</v>
      </c>
      <c r="AF1716" t="s">
        <v>43</v>
      </c>
      <c r="AG1716" t="s">
        <v>43</v>
      </c>
      <c r="AH1716" t="s">
        <v>43</v>
      </c>
      <c r="AI1716" t="s">
        <v>43</v>
      </c>
      <c r="AJ1716" t="s">
        <v>43</v>
      </c>
      <c r="AK1716" t="s">
        <v>43</v>
      </c>
      <c r="AL1716" t="s">
        <v>43</v>
      </c>
      <c r="AM1716" t="s">
        <v>43</v>
      </c>
      <c r="AN1716" t="str">
        <f>HYPERLINK("https://www.google.com/maps?q=11.05587959,79.06413269","Open Location")</f>
        <v>Open Location</v>
      </c>
    </row>
    <row r="1717" spans="1:40" x14ac:dyDescent="0.3">
      <c r="A1717" s="1">
        <v>46210.801041666666</v>
      </c>
      <c r="B1717" t="s">
        <v>40</v>
      </c>
      <c r="C1717" t="s">
        <v>41</v>
      </c>
      <c r="D1717" s="1">
        <v>46210.803819444445</v>
      </c>
      <c r="E1717" t="s">
        <v>42</v>
      </c>
      <c r="F1717" t="s">
        <v>43</v>
      </c>
      <c r="G1717" t="s">
        <v>43</v>
      </c>
      <c r="H1717" t="s">
        <v>43</v>
      </c>
      <c r="I1717" t="s">
        <v>726</v>
      </c>
      <c r="J1717" t="s">
        <v>43</v>
      </c>
      <c r="K1717" t="s">
        <v>43</v>
      </c>
      <c r="L1717" t="s">
        <v>43</v>
      </c>
      <c r="M1717" t="s">
        <v>43</v>
      </c>
      <c r="N1717" t="s">
        <v>45</v>
      </c>
      <c r="O1717" t="s">
        <v>43</v>
      </c>
      <c r="P1717" t="s">
        <v>43</v>
      </c>
      <c r="Q1717" t="s">
        <v>43</v>
      </c>
      <c r="R1717" t="s">
        <v>43</v>
      </c>
      <c r="S1717" t="s">
        <v>43</v>
      </c>
      <c r="T1717" t="s">
        <v>43</v>
      </c>
      <c r="U1717" t="s">
        <v>43</v>
      </c>
      <c r="V1717" t="s">
        <v>43</v>
      </c>
      <c r="W1717" t="s">
        <v>43</v>
      </c>
      <c r="X1717" t="s">
        <v>43</v>
      </c>
      <c r="Y1717" t="s">
        <v>43</v>
      </c>
      <c r="Z1717" t="s">
        <v>43</v>
      </c>
      <c r="AA1717" t="s">
        <v>43</v>
      </c>
      <c r="AB1717" t="s">
        <v>43</v>
      </c>
      <c r="AC1717" t="s">
        <v>43</v>
      </c>
      <c r="AD1717" t="s">
        <v>43</v>
      </c>
      <c r="AE1717" t="s">
        <v>43</v>
      </c>
      <c r="AF1717" t="s">
        <v>43</v>
      </c>
      <c r="AG1717" t="s">
        <v>43</v>
      </c>
      <c r="AH1717" t="s">
        <v>43</v>
      </c>
      <c r="AI1717" t="s">
        <v>43</v>
      </c>
      <c r="AJ1717" t="s">
        <v>43</v>
      </c>
      <c r="AK1717" t="s">
        <v>43</v>
      </c>
      <c r="AL1717" t="s">
        <v>43</v>
      </c>
      <c r="AM1717" t="s">
        <v>43</v>
      </c>
      <c r="AN1717" t="str">
        <f>HYPERLINK("https://www.google.com/maps?q=11.05587864,79.06412506","Open Location")</f>
        <v>Open Location</v>
      </c>
    </row>
    <row r="1718" spans="1:40" x14ac:dyDescent="0.3">
      <c r="A1718" s="1">
        <v>46210.800925925927</v>
      </c>
      <c r="B1718" t="s">
        <v>40</v>
      </c>
      <c r="C1718" t="s">
        <v>41</v>
      </c>
      <c r="D1718" s="1">
        <v>46210.803865740738</v>
      </c>
      <c r="E1718" t="s">
        <v>42</v>
      </c>
      <c r="F1718" t="s">
        <v>43</v>
      </c>
      <c r="G1718" t="s">
        <v>43</v>
      </c>
      <c r="H1718" t="s">
        <v>43</v>
      </c>
      <c r="I1718" t="s">
        <v>43</v>
      </c>
      <c r="J1718" t="s">
        <v>43</v>
      </c>
      <c r="K1718" t="s">
        <v>43</v>
      </c>
      <c r="L1718" t="s">
        <v>43</v>
      </c>
      <c r="M1718" t="s">
        <v>43</v>
      </c>
      <c r="N1718" t="s">
        <v>45</v>
      </c>
      <c r="O1718" t="s">
        <v>43</v>
      </c>
      <c r="P1718" t="s">
        <v>43</v>
      </c>
      <c r="Q1718" t="s">
        <v>43</v>
      </c>
      <c r="R1718" t="s">
        <v>43</v>
      </c>
      <c r="S1718" t="s">
        <v>43</v>
      </c>
      <c r="T1718" t="s">
        <v>43</v>
      </c>
      <c r="U1718" t="s">
        <v>43</v>
      </c>
      <c r="V1718" t="s">
        <v>43</v>
      </c>
      <c r="W1718" t="s">
        <v>43</v>
      </c>
      <c r="X1718" t="s">
        <v>43</v>
      </c>
      <c r="Y1718" t="s">
        <v>43</v>
      </c>
      <c r="Z1718" t="s">
        <v>43</v>
      </c>
      <c r="AA1718" t="s">
        <v>43</v>
      </c>
      <c r="AB1718" t="s">
        <v>43</v>
      </c>
      <c r="AC1718" t="s">
        <v>43</v>
      </c>
      <c r="AD1718" t="s">
        <v>43</v>
      </c>
      <c r="AE1718" t="s">
        <v>43</v>
      </c>
      <c r="AF1718" t="s">
        <v>43</v>
      </c>
      <c r="AG1718" t="s">
        <v>43</v>
      </c>
      <c r="AH1718" t="s">
        <v>43</v>
      </c>
      <c r="AI1718" t="s">
        <v>43</v>
      </c>
      <c r="AJ1718" t="s">
        <v>43</v>
      </c>
      <c r="AK1718" t="s">
        <v>43</v>
      </c>
      <c r="AL1718" t="s">
        <v>43</v>
      </c>
      <c r="AM1718" t="s">
        <v>43</v>
      </c>
      <c r="AN1718" t="s">
        <v>43</v>
      </c>
    </row>
    <row r="1719" spans="1:40" x14ac:dyDescent="0.3">
      <c r="A1719" s="1">
        <v>46210.800810185188</v>
      </c>
      <c r="B1719" t="s">
        <v>40</v>
      </c>
      <c r="C1719" t="s">
        <v>41</v>
      </c>
      <c r="D1719" s="1">
        <v>46210.803749999999</v>
      </c>
      <c r="E1719" t="s">
        <v>42</v>
      </c>
      <c r="F1719" t="s">
        <v>43</v>
      </c>
      <c r="G1719" t="s">
        <v>43</v>
      </c>
      <c r="H1719" t="s">
        <v>43</v>
      </c>
      <c r="I1719" t="s">
        <v>726</v>
      </c>
      <c r="J1719" t="s">
        <v>43</v>
      </c>
      <c r="K1719" t="s">
        <v>43</v>
      </c>
      <c r="L1719" t="s">
        <v>43</v>
      </c>
      <c r="M1719" t="s">
        <v>43</v>
      </c>
      <c r="N1719" t="s">
        <v>45</v>
      </c>
      <c r="O1719" t="s">
        <v>43</v>
      </c>
      <c r="P1719" t="s">
        <v>43</v>
      </c>
      <c r="Q1719" t="s">
        <v>43</v>
      </c>
      <c r="R1719" t="s">
        <v>43</v>
      </c>
      <c r="S1719" t="s">
        <v>43</v>
      </c>
      <c r="T1719" t="s">
        <v>43</v>
      </c>
      <c r="U1719" t="s">
        <v>43</v>
      </c>
      <c r="V1719" t="s">
        <v>43</v>
      </c>
      <c r="W1719" t="s">
        <v>43</v>
      </c>
      <c r="X1719" t="s">
        <v>43</v>
      </c>
      <c r="Y1719" t="s">
        <v>43</v>
      </c>
      <c r="Z1719" t="s">
        <v>43</v>
      </c>
      <c r="AA1719" t="s">
        <v>43</v>
      </c>
      <c r="AB1719" t="s">
        <v>43</v>
      </c>
      <c r="AC1719" t="s">
        <v>43</v>
      </c>
      <c r="AD1719" t="s">
        <v>43</v>
      </c>
      <c r="AE1719" t="s">
        <v>43</v>
      </c>
      <c r="AF1719" t="s">
        <v>43</v>
      </c>
      <c r="AG1719" t="s">
        <v>43</v>
      </c>
      <c r="AH1719" t="s">
        <v>43</v>
      </c>
      <c r="AI1719" t="s">
        <v>43</v>
      </c>
      <c r="AJ1719" t="s">
        <v>43</v>
      </c>
      <c r="AK1719" t="s">
        <v>43</v>
      </c>
      <c r="AL1719" t="s">
        <v>43</v>
      </c>
      <c r="AM1719" t="s">
        <v>43</v>
      </c>
      <c r="AN1719" t="str">
        <f>HYPERLINK("https://www.google.com/maps?q=11.05587864,79.06412506","Open Location")</f>
        <v>Open Location</v>
      </c>
    </row>
    <row r="1720" spans="1:40" x14ac:dyDescent="0.3">
      <c r="A1720" s="1">
        <v>46210.800694444442</v>
      </c>
      <c r="B1720" t="s">
        <v>40</v>
      </c>
      <c r="C1720" t="s">
        <v>41</v>
      </c>
      <c r="D1720" s="1">
        <v>46210.803564814814</v>
      </c>
      <c r="E1720" t="s">
        <v>42</v>
      </c>
      <c r="F1720" t="s">
        <v>43</v>
      </c>
      <c r="G1720" t="s">
        <v>43</v>
      </c>
      <c r="H1720" t="s">
        <v>43</v>
      </c>
      <c r="I1720" t="s">
        <v>773</v>
      </c>
      <c r="J1720" t="s">
        <v>43</v>
      </c>
      <c r="K1720" t="s">
        <v>43</v>
      </c>
      <c r="L1720" t="s">
        <v>43</v>
      </c>
      <c r="M1720" t="s">
        <v>43</v>
      </c>
      <c r="N1720" t="s">
        <v>45</v>
      </c>
      <c r="O1720" t="s">
        <v>43</v>
      </c>
      <c r="P1720" t="s">
        <v>43</v>
      </c>
      <c r="Q1720" t="s">
        <v>43</v>
      </c>
      <c r="R1720" t="s">
        <v>43</v>
      </c>
      <c r="S1720" t="s">
        <v>43</v>
      </c>
      <c r="T1720" t="s">
        <v>43</v>
      </c>
      <c r="U1720" t="s">
        <v>43</v>
      </c>
      <c r="V1720" t="s">
        <v>43</v>
      </c>
      <c r="W1720" t="s">
        <v>43</v>
      </c>
      <c r="X1720" t="s">
        <v>43</v>
      </c>
      <c r="Y1720" t="s">
        <v>43</v>
      </c>
      <c r="Z1720" t="s">
        <v>43</v>
      </c>
      <c r="AA1720" t="s">
        <v>43</v>
      </c>
      <c r="AB1720" t="s">
        <v>43</v>
      </c>
      <c r="AC1720" t="s">
        <v>43</v>
      </c>
      <c r="AD1720" t="s">
        <v>43</v>
      </c>
      <c r="AE1720" t="s">
        <v>43</v>
      </c>
      <c r="AF1720" t="s">
        <v>43</v>
      </c>
      <c r="AG1720" t="s">
        <v>43</v>
      </c>
      <c r="AH1720" t="s">
        <v>43</v>
      </c>
      <c r="AI1720" t="s">
        <v>43</v>
      </c>
      <c r="AJ1720" t="s">
        <v>43</v>
      </c>
      <c r="AK1720" t="s">
        <v>43</v>
      </c>
      <c r="AL1720" t="s">
        <v>43</v>
      </c>
      <c r="AM1720" t="s">
        <v>43</v>
      </c>
      <c r="AN1720" t="str">
        <f>HYPERLINK("https://www.google.com/maps?q=11.05587578,79.06412506","Open Location")</f>
        <v>Open Location</v>
      </c>
    </row>
    <row r="1721" spans="1:40" x14ac:dyDescent="0.3">
      <c r="A1721" s="1">
        <v>46210.800578703704</v>
      </c>
      <c r="B1721" t="s">
        <v>40</v>
      </c>
      <c r="C1721" t="s">
        <v>41</v>
      </c>
      <c r="D1721" s="1">
        <v>46210.803379629629</v>
      </c>
      <c r="E1721" t="s">
        <v>42</v>
      </c>
      <c r="F1721" t="s">
        <v>43</v>
      </c>
      <c r="G1721" t="s">
        <v>43</v>
      </c>
      <c r="H1721" t="s">
        <v>43</v>
      </c>
      <c r="I1721" t="s">
        <v>633</v>
      </c>
      <c r="J1721" t="s">
        <v>43</v>
      </c>
      <c r="K1721" t="s">
        <v>43</v>
      </c>
      <c r="L1721" t="s">
        <v>43</v>
      </c>
      <c r="M1721" t="s">
        <v>43</v>
      </c>
      <c r="N1721" t="s">
        <v>45</v>
      </c>
      <c r="O1721" t="s">
        <v>43</v>
      </c>
      <c r="P1721" t="s">
        <v>43</v>
      </c>
      <c r="Q1721" t="s">
        <v>43</v>
      </c>
      <c r="R1721" t="s">
        <v>43</v>
      </c>
      <c r="S1721" t="s">
        <v>43</v>
      </c>
      <c r="T1721" t="s">
        <v>43</v>
      </c>
      <c r="U1721" t="s">
        <v>43</v>
      </c>
      <c r="V1721" t="s">
        <v>43</v>
      </c>
      <c r="W1721" t="s">
        <v>43</v>
      </c>
      <c r="X1721" t="s">
        <v>43</v>
      </c>
      <c r="Y1721" t="s">
        <v>43</v>
      </c>
      <c r="Z1721" t="s">
        <v>43</v>
      </c>
      <c r="AA1721" t="s">
        <v>43</v>
      </c>
      <c r="AB1721" t="s">
        <v>43</v>
      </c>
      <c r="AC1721" t="s">
        <v>43</v>
      </c>
      <c r="AD1721" t="s">
        <v>43</v>
      </c>
      <c r="AE1721" t="s">
        <v>43</v>
      </c>
      <c r="AF1721" t="s">
        <v>43</v>
      </c>
      <c r="AG1721" t="s">
        <v>43</v>
      </c>
      <c r="AH1721" t="s">
        <v>43</v>
      </c>
      <c r="AI1721" t="s">
        <v>43</v>
      </c>
      <c r="AJ1721" t="s">
        <v>43</v>
      </c>
      <c r="AK1721" t="s">
        <v>43</v>
      </c>
      <c r="AL1721" t="s">
        <v>43</v>
      </c>
      <c r="AM1721" t="s">
        <v>43</v>
      </c>
      <c r="AN1721" t="str">
        <f>HYPERLINK("https://www.google.com/maps?q=11.05587482,79.06412506","Open Location")</f>
        <v>Open Location</v>
      </c>
    </row>
    <row r="1722" spans="1:40" x14ac:dyDescent="0.3">
      <c r="A1722" s="1">
        <v>46210.800462962965</v>
      </c>
      <c r="B1722" t="s">
        <v>40</v>
      </c>
      <c r="C1722" t="s">
        <v>41</v>
      </c>
      <c r="D1722" s="1">
        <v>46210.803379629629</v>
      </c>
      <c r="E1722" t="s">
        <v>42</v>
      </c>
      <c r="F1722" t="s">
        <v>43</v>
      </c>
      <c r="G1722" t="s">
        <v>43</v>
      </c>
      <c r="H1722" t="s">
        <v>43</v>
      </c>
      <c r="I1722" t="s">
        <v>773</v>
      </c>
      <c r="J1722" t="s">
        <v>43</v>
      </c>
      <c r="K1722" t="s">
        <v>43</v>
      </c>
      <c r="L1722" t="s">
        <v>43</v>
      </c>
      <c r="M1722" t="s">
        <v>43</v>
      </c>
      <c r="N1722" t="s">
        <v>45</v>
      </c>
      <c r="O1722" t="s">
        <v>43</v>
      </c>
      <c r="P1722" t="s">
        <v>43</v>
      </c>
      <c r="Q1722" t="s">
        <v>43</v>
      </c>
      <c r="R1722" t="s">
        <v>43</v>
      </c>
      <c r="S1722" t="s">
        <v>43</v>
      </c>
      <c r="T1722" t="s">
        <v>43</v>
      </c>
      <c r="U1722" t="s">
        <v>43</v>
      </c>
      <c r="V1722" t="s">
        <v>43</v>
      </c>
      <c r="W1722" t="s">
        <v>43</v>
      </c>
      <c r="X1722" t="s">
        <v>43</v>
      </c>
      <c r="Y1722" t="s">
        <v>43</v>
      </c>
      <c r="Z1722" t="s">
        <v>43</v>
      </c>
      <c r="AA1722" t="s">
        <v>43</v>
      </c>
      <c r="AB1722" t="s">
        <v>43</v>
      </c>
      <c r="AC1722" t="s">
        <v>43</v>
      </c>
      <c r="AD1722" t="s">
        <v>43</v>
      </c>
      <c r="AE1722" t="s">
        <v>43</v>
      </c>
      <c r="AF1722" t="s">
        <v>43</v>
      </c>
      <c r="AG1722" t="s">
        <v>43</v>
      </c>
      <c r="AH1722" t="s">
        <v>43</v>
      </c>
      <c r="AI1722" t="s">
        <v>43</v>
      </c>
      <c r="AJ1722" t="s">
        <v>43</v>
      </c>
      <c r="AK1722" t="s">
        <v>43</v>
      </c>
      <c r="AL1722" t="s">
        <v>43</v>
      </c>
      <c r="AM1722" t="s">
        <v>43</v>
      </c>
      <c r="AN1722" t="str">
        <f>HYPERLINK("https://www.google.com/maps?q=11.05587578,79.06412506","Open Location")</f>
        <v>Open Location</v>
      </c>
    </row>
    <row r="1723" spans="1:40" x14ac:dyDescent="0.3">
      <c r="A1723" s="1">
        <v>46210.800347222219</v>
      </c>
      <c r="B1723" t="s">
        <v>40</v>
      </c>
      <c r="C1723" t="s">
        <v>41</v>
      </c>
      <c r="D1723" s="1">
        <v>46210.803148148145</v>
      </c>
      <c r="E1723" t="s">
        <v>42</v>
      </c>
      <c r="F1723" t="s">
        <v>43</v>
      </c>
      <c r="G1723" t="s">
        <v>43</v>
      </c>
      <c r="H1723" t="s">
        <v>43</v>
      </c>
      <c r="I1723" t="s">
        <v>43</v>
      </c>
      <c r="J1723" t="s">
        <v>43</v>
      </c>
      <c r="K1723" t="s">
        <v>43</v>
      </c>
      <c r="L1723" t="s">
        <v>43</v>
      </c>
      <c r="M1723" t="s">
        <v>43</v>
      </c>
      <c r="N1723" t="s">
        <v>45</v>
      </c>
      <c r="O1723" t="s">
        <v>43</v>
      </c>
      <c r="P1723" t="s">
        <v>43</v>
      </c>
      <c r="Q1723" t="s">
        <v>43</v>
      </c>
      <c r="R1723" t="s">
        <v>43</v>
      </c>
      <c r="S1723" t="s">
        <v>43</v>
      </c>
      <c r="T1723" t="s">
        <v>43</v>
      </c>
      <c r="U1723" t="s">
        <v>43</v>
      </c>
      <c r="V1723" t="s">
        <v>43</v>
      </c>
      <c r="W1723" t="s">
        <v>43</v>
      </c>
      <c r="X1723" t="s">
        <v>43</v>
      </c>
      <c r="Y1723" t="s">
        <v>43</v>
      </c>
      <c r="Z1723" t="s">
        <v>43</v>
      </c>
      <c r="AA1723" t="s">
        <v>43</v>
      </c>
      <c r="AB1723" t="s">
        <v>43</v>
      </c>
      <c r="AC1723" t="s">
        <v>43</v>
      </c>
      <c r="AD1723" t="s">
        <v>43</v>
      </c>
      <c r="AE1723" t="s">
        <v>43</v>
      </c>
      <c r="AF1723" t="s">
        <v>43</v>
      </c>
      <c r="AG1723" t="s">
        <v>43</v>
      </c>
      <c r="AH1723" t="s">
        <v>43</v>
      </c>
      <c r="AI1723" t="s">
        <v>43</v>
      </c>
      <c r="AJ1723" t="s">
        <v>43</v>
      </c>
      <c r="AK1723" t="s">
        <v>43</v>
      </c>
      <c r="AL1723" t="s">
        <v>43</v>
      </c>
      <c r="AM1723" t="s">
        <v>43</v>
      </c>
      <c r="AN1723" t="s">
        <v>43</v>
      </c>
    </row>
    <row r="1724" spans="1:40" x14ac:dyDescent="0.3">
      <c r="A1724" s="1">
        <v>46210.80023148148</v>
      </c>
      <c r="B1724" t="s">
        <v>40</v>
      </c>
      <c r="C1724" t="s">
        <v>41</v>
      </c>
      <c r="D1724" s="1">
        <v>46210.803206018521</v>
      </c>
      <c r="E1724" t="s">
        <v>42</v>
      </c>
      <c r="F1724" t="s">
        <v>43</v>
      </c>
      <c r="G1724" t="s">
        <v>43</v>
      </c>
      <c r="H1724" t="s">
        <v>43</v>
      </c>
      <c r="I1724" t="s">
        <v>726</v>
      </c>
      <c r="J1724" t="s">
        <v>43</v>
      </c>
      <c r="K1724" t="s">
        <v>43</v>
      </c>
      <c r="L1724" t="s">
        <v>43</v>
      </c>
      <c r="M1724" t="s">
        <v>43</v>
      </c>
      <c r="N1724" t="s">
        <v>45</v>
      </c>
      <c r="O1724" t="s">
        <v>43</v>
      </c>
      <c r="P1724" t="s">
        <v>43</v>
      </c>
      <c r="Q1724" t="s">
        <v>43</v>
      </c>
      <c r="R1724" t="s">
        <v>43</v>
      </c>
      <c r="S1724" t="s">
        <v>43</v>
      </c>
      <c r="T1724" t="s">
        <v>43</v>
      </c>
      <c r="U1724" t="s">
        <v>43</v>
      </c>
      <c r="V1724" t="s">
        <v>43</v>
      </c>
      <c r="W1724" t="s">
        <v>43</v>
      </c>
      <c r="X1724" t="s">
        <v>43</v>
      </c>
      <c r="Y1724" t="s">
        <v>43</v>
      </c>
      <c r="Z1724" t="s">
        <v>43</v>
      </c>
      <c r="AA1724" t="s">
        <v>43</v>
      </c>
      <c r="AB1724" t="s">
        <v>43</v>
      </c>
      <c r="AC1724" t="s">
        <v>43</v>
      </c>
      <c r="AD1724" t="s">
        <v>43</v>
      </c>
      <c r="AE1724" t="s">
        <v>43</v>
      </c>
      <c r="AF1724" t="s">
        <v>43</v>
      </c>
      <c r="AG1724" t="s">
        <v>43</v>
      </c>
      <c r="AH1724" t="s">
        <v>43</v>
      </c>
      <c r="AI1724" t="s">
        <v>43</v>
      </c>
      <c r="AJ1724" t="s">
        <v>43</v>
      </c>
      <c r="AK1724" t="s">
        <v>43</v>
      </c>
      <c r="AL1724" t="s">
        <v>43</v>
      </c>
      <c r="AM1724" t="s">
        <v>43</v>
      </c>
      <c r="AN1724" t="str">
        <f>HYPERLINK("https://www.google.com/maps?q=11.05587864,79.06412506","Open Location")</f>
        <v>Open Location</v>
      </c>
    </row>
    <row r="1725" spans="1:40" x14ac:dyDescent="0.3">
      <c r="A1725" s="1">
        <v>46210.800115740742</v>
      </c>
      <c r="B1725" t="s">
        <v>40</v>
      </c>
      <c r="C1725" t="s">
        <v>41</v>
      </c>
      <c r="D1725" s="1">
        <v>46210.802847222221</v>
      </c>
      <c r="E1725" t="s">
        <v>42</v>
      </c>
      <c r="F1725" t="s">
        <v>43</v>
      </c>
      <c r="G1725" t="s">
        <v>43</v>
      </c>
      <c r="H1725" t="s">
        <v>43</v>
      </c>
      <c r="I1725" t="s">
        <v>692</v>
      </c>
      <c r="J1725" t="s">
        <v>43</v>
      </c>
      <c r="K1725" t="s">
        <v>43</v>
      </c>
      <c r="L1725" t="s">
        <v>43</v>
      </c>
      <c r="M1725" t="s">
        <v>43</v>
      </c>
      <c r="N1725" t="s">
        <v>45</v>
      </c>
      <c r="O1725" t="s">
        <v>43</v>
      </c>
      <c r="P1725" t="s">
        <v>43</v>
      </c>
      <c r="Q1725" t="s">
        <v>43</v>
      </c>
      <c r="R1725" t="s">
        <v>43</v>
      </c>
      <c r="S1725" t="s">
        <v>43</v>
      </c>
      <c r="T1725" t="s">
        <v>43</v>
      </c>
      <c r="U1725" t="s">
        <v>43</v>
      </c>
      <c r="V1725" t="s">
        <v>43</v>
      </c>
      <c r="W1725" t="s">
        <v>43</v>
      </c>
      <c r="X1725" t="s">
        <v>43</v>
      </c>
      <c r="Y1725" t="s">
        <v>43</v>
      </c>
      <c r="Z1725" t="s">
        <v>43</v>
      </c>
      <c r="AA1725" t="s">
        <v>43</v>
      </c>
      <c r="AB1725" t="s">
        <v>43</v>
      </c>
      <c r="AC1725" t="s">
        <v>43</v>
      </c>
      <c r="AD1725" t="s">
        <v>43</v>
      </c>
      <c r="AE1725" t="s">
        <v>43</v>
      </c>
      <c r="AF1725" t="s">
        <v>43</v>
      </c>
      <c r="AG1725" t="s">
        <v>43</v>
      </c>
      <c r="AH1725" t="s">
        <v>43</v>
      </c>
      <c r="AI1725" t="s">
        <v>43</v>
      </c>
      <c r="AJ1725" t="s">
        <v>43</v>
      </c>
      <c r="AK1725" t="s">
        <v>43</v>
      </c>
      <c r="AL1725" t="s">
        <v>43</v>
      </c>
      <c r="AM1725" t="s">
        <v>43</v>
      </c>
      <c r="AN1725" t="str">
        <f>HYPERLINK("https://www.google.com/maps?q=11.05588341,79.06411743","Open Location")</f>
        <v>Open Location</v>
      </c>
    </row>
    <row r="1726" spans="1:40" x14ac:dyDescent="0.3">
      <c r="A1726" s="1">
        <v>46210.8</v>
      </c>
      <c r="B1726" t="s">
        <v>40</v>
      </c>
      <c r="C1726" t="s">
        <v>41</v>
      </c>
      <c r="D1726" s="1">
        <v>46210.803148148145</v>
      </c>
      <c r="E1726" t="s">
        <v>42</v>
      </c>
      <c r="F1726" t="s">
        <v>43</v>
      </c>
      <c r="G1726" t="s">
        <v>43</v>
      </c>
      <c r="H1726" t="s">
        <v>43</v>
      </c>
      <c r="I1726" t="s">
        <v>664</v>
      </c>
      <c r="J1726" t="s">
        <v>43</v>
      </c>
      <c r="K1726" t="s">
        <v>43</v>
      </c>
      <c r="L1726" t="s">
        <v>43</v>
      </c>
      <c r="M1726" t="s">
        <v>43</v>
      </c>
      <c r="N1726" t="s">
        <v>45</v>
      </c>
      <c r="O1726" t="s">
        <v>43</v>
      </c>
      <c r="P1726" t="s">
        <v>43</v>
      </c>
      <c r="Q1726" t="s">
        <v>43</v>
      </c>
      <c r="R1726" t="s">
        <v>43</v>
      </c>
      <c r="S1726" t="s">
        <v>43</v>
      </c>
      <c r="T1726" t="s">
        <v>43</v>
      </c>
      <c r="U1726" t="s">
        <v>43</v>
      </c>
      <c r="V1726" t="s">
        <v>43</v>
      </c>
      <c r="W1726" t="s">
        <v>43</v>
      </c>
      <c r="X1726" t="s">
        <v>43</v>
      </c>
      <c r="Y1726" t="s">
        <v>43</v>
      </c>
      <c r="Z1726" t="s">
        <v>43</v>
      </c>
      <c r="AA1726" t="s">
        <v>43</v>
      </c>
      <c r="AB1726" t="s">
        <v>43</v>
      </c>
      <c r="AC1726" t="s">
        <v>43</v>
      </c>
      <c r="AD1726" t="s">
        <v>43</v>
      </c>
      <c r="AE1726" t="s">
        <v>43</v>
      </c>
      <c r="AF1726" t="s">
        <v>43</v>
      </c>
      <c r="AG1726" t="s">
        <v>43</v>
      </c>
      <c r="AH1726" t="s">
        <v>43</v>
      </c>
      <c r="AI1726" t="s">
        <v>43</v>
      </c>
      <c r="AJ1726" t="s">
        <v>43</v>
      </c>
      <c r="AK1726" t="s">
        <v>43</v>
      </c>
      <c r="AL1726" t="s">
        <v>43</v>
      </c>
      <c r="AM1726" t="s">
        <v>43</v>
      </c>
      <c r="AN1726" t="str">
        <f>HYPERLINK("https://www.google.com/maps?q=11.05587673,79.06412506","Open Location")</f>
        <v>Open Location</v>
      </c>
    </row>
    <row r="1727" spans="1:40" x14ac:dyDescent="0.3">
      <c r="A1727" s="1">
        <v>46210.799884259257</v>
      </c>
      <c r="B1727" t="s">
        <v>40</v>
      </c>
      <c r="C1727" t="s">
        <v>41</v>
      </c>
      <c r="D1727" s="1">
        <v>46210.802708333336</v>
      </c>
      <c r="E1727" t="s">
        <v>42</v>
      </c>
      <c r="F1727" t="s">
        <v>43</v>
      </c>
      <c r="G1727" t="s">
        <v>43</v>
      </c>
      <c r="H1727" t="s">
        <v>43</v>
      </c>
      <c r="I1727" t="s">
        <v>623</v>
      </c>
      <c r="J1727" t="s">
        <v>43</v>
      </c>
      <c r="K1727" t="s">
        <v>43</v>
      </c>
      <c r="L1727" t="s">
        <v>43</v>
      </c>
      <c r="M1727" t="s">
        <v>43</v>
      </c>
      <c r="N1727" t="s">
        <v>45</v>
      </c>
      <c r="O1727" t="s">
        <v>43</v>
      </c>
      <c r="P1727" t="s">
        <v>43</v>
      </c>
      <c r="Q1727" t="s">
        <v>43</v>
      </c>
      <c r="R1727" t="s">
        <v>43</v>
      </c>
      <c r="S1727" t="s">
        <v>43</v>
      </c>
      <c r="T1727" t="s">
        <v>43</v>
      </c>
      <c r="U1727" t="s">
        <v>43</v>
      </c>
      <c r="V1727" t="s">
        <v>43</v>
      </c>
      <c r="W1727" t="s">
        <v>43</v>
      </c>
      <c r="X1727" t="s">
        <v>43</v>
      </c>
      <c r="Y1727" t="s">
        <v>43</v>
      </c>
      <c r="Z1727" t="s">
        <v>43</v>
      </c>
      <c r="AA1727" t="s">
        <v>43</v>
      </c>
      <c r="AB1727" t="s">
        <v>43</v>
      </c>
      <c r="AC1727" t="s">
        <v>43</v>
      </c>
      <c r="AD1727" t="s">
        <v>43</v>
      </c>
      <c r="AE1727" t="s">
        <v>43</v>
      </c>
      <c r="AF1727" t="s">
        <v>43</v>
      </c>
      <c r="AG1727" t="s">
        <v>43</v>
      </c>
      <c r="AH1727" t="s">
        <v>43</v>
      </c>
      <c r="AI1727" t="s">
        <v>43</v>
      </c>
      <c r="AJ1727" t="s">
        <v>43</v>
      </c>
      <c r="AK1727" t="s">
        <v>43</v>
      </c>
      <c r="AL1727" t="s">
        <v>43</v>
      </c>
      <c r="AM1727" t="s">
        <v>43</v>
      </c>
      <c r="AN1727" t="str">
        <f>HYPERLINK("https://www.google.com/maps?q=11.05587959,79.06412506","Open Location")</f>
        <v>Open Location</v>
      </c>
    </row>
    <row r="1728" spans="1:40" x14ac:dyDescent="0.3">
      <c r="A1728" s="1">
        <v>46210.799768518518</v>
      </c>
      <c r="B1728" t="s">
        <v>40</v>
      </c>
      <c r="C1728" t="s">
        <v>41</v>
      </c>
      <c r="D1728" s="1">
        <v>46210.803032407406</v>
      </c>
      <c r="E1728" t="s">
        <v>42</v>
      </c>
      <c r="F1728" t="s">
        <v>43</v>
      </c>
      <c r="G1728" t="s">
        <v>43</v>
      </c>
      <c r="H1728" t="s">
        <v>43</v>
      </c>
      <c r="I1728" t="s">
        <v>812</v>
      </c>
      <c r="J1728" t="s">
        <v>43</v>
      </c>
      <c r="K1728" t="s">
        <v>43</v>
      </c>
      <c r="L1728" t="s">
        <v>43</v>
      </c>
      <c r="M1728" t="s">
        <v>43</v>
      </c>
      <c r="N1728" t="s">
        <v>45</v>
      </c>
      <c r="O1728" t="s">
        <v>43</v>
      </c>
      <c r="P1728" t="s">
        <v>43</v>
      </c>
      <c r="Q1728" t="s">
        <v>43</v>
      </c>
      <c r="R1728" t="s">
        <v>43</v>
      </c>
      <c r="S1728" t="s">
        <v>43</v>
      </c>
      <c r="T1728" t="s">
        <v>43</v>
      </c>
      <c r="U1728" t="s">
        <v>43</v>
      </c>
      <c r="V1728" t="s">
        <v>43</v>
      </c>
      <c r="W1728" t="s">
        <v>43</v>
      </c>
      <c r="X1728" t="s">
        <v>43</v>
      </c>
      <c r="Y1728" t="s">
        <v>43</v>
      </c>
      <c r="Z1728" t="s">
        <v>43</v>
      </c>
      <c r="AA1728" t="s">
        <v>43</v>
      </c>
      <c r="AB1728" t="s">
        <v>43</v>
      </c>
      <c r="AC1728" t="s">
        <v>43</v>
      </c>
      <c r="AD1728" t="s">
        <v>43</v>
      </c>
      <c r="AE1728" t="s">
        <v>43</v>
      </c>
      <c r="AF1728" t="s">
        <v>43</v>
      </c>
      <c r="AG1728" t="s">
        <v>43</v>
      </c>
      <c r="AH1728" t="s">
        <v>43</v>
      </c>
      <c r="AI1728" t="s">
        <v>43</v>
      </c>
      <c r="AJ1728" t="s">
        <v>43</v>
      </c>
      <c r="AK1728" t="s">
        <v>43</v>
      </c>
      <c r="AL1728" t="s">
        <v>43</v>
      </c>
      <c r="AM1728" t="s">
        <v>43</v>
      </c>
      <c r="AN1728" t="str">
        <f>HYPERLINK("https://www.google.com/maps?q=11.05587959,79.06411743","Open Location")</f>
        <v>Open Location</v>
      </c>
    </row>
    <row r="1729" spans="1:40" x14ac:dyDescent="0.3">
      <c r="A1729" s="1">
        <v>46210.79965277778</v>
      </c>
      <c r="B1729" t="s">
        <v>40</v>
      </c>
      <c r="C1729" t="s">
        <v>41</v>
      </c>
      <c r="D1729" s="1">
        <v>46210.802453703705</v>
      </c>
      <c r="E1729" t="s">
        <v>42</v>
      </c>
      <c r="F1729" t="s">
        <v>43</v>
      </c>
      <c r="G1729" t="s">
        <v>43</v>
      </c>
      <c r="H1729" t="s">
        <v>43</v>
      </c>
      <c r="I1729" t="s">
        <v>43</v>
      </c>
      <c r="J1729" t="s">
        <v>43</v>
      </c>
      <c r="K1729" t="s">
        <v>43</v>
      </c>
      <c r="L1729" t="s">
        <v>43</v>
      </c>
      <c r="M1729" t="s">
        <v>43</v>
      </c>
      <c r="N1729" t="s">
        <v>45</v>
      </c>
      <c r="O1729" t="s">
        <v>43</v>
      </c>
      <c r="P1729" t="s">
        <v>43</v>
      </c>
      <c r="Q1729" t="s">
        <v>43</v>
      </c>
      <c r="R1729" t="s">
        <v>43</v>
      </c>
      <c r="S1729" t="s">
        <v>43</v>
      </c>
      <c r="T1729" t="s">
        <v>43</v>
      </c>
      <c r="U1729" t="s">
        <v>43</v>
      </c>
      <c r="V1729" t="s">
        <v>43</v>
      </c>
      <c r="W1729" t="s">
        <v>43</v>
      </c>
      <c r="X1729" t="s">
        <v>43</v>
      </c>
      <c r="Y1729" t="s">
        <v>43</v>
      </c>
      <c r="Z1729" t="s">
        <v>43</v>
      </c>
      <c r="AA1729" t="s">
        <v>43</v>
      </c>
      <c r="AB1729" t="s">
        <v>43</v>
      </c>
      <c r="AC1729" t="s">
        <v>43</v>
      </c>
      <c r="AD1729" t="s">
        <v>43</v>
      </c>
      <c r="AE1729" t="s">
        <v>43</v>
      </c>
      <c r="AF1729" t="s">
        <v>43</v>
      </c>
      <c r="AG1729" t="s">
        <v>43</v>
      </c>
      <c r="AH1729" t="s">
        <v>43</v>
      </c>
      <c r="AI1729" t="s">
        <v>43</v>
      </c>
      <c r="AJ1729" t="s">
        <v>43</v>
      </c>
      <c r="AK1729" t="s">
        <v>43</v>
      </c>
      <c r="AL1729" t="s">
        <v>43</v>
      </c>
      <c r="AM1729" t="s">
        <v>43</v>
      </c>
      <c r="AN1729" t="s">
        <v>43</v>
      </c>
    </row>
    <row r="1730" spans="1:40" x14ac:dyDescent="0.3">
      <c r="A1730" s="1">
        <v>46210.799537037034</v>
      </c>
      <c r="B1730" t="s">
        <v>40</v>
      </c>
      <c r="C1730" t="s">
        <v>41</v>
      </c>
      <c r="D1730" s="1">
        <v>46210.802754629629</v>
      </c>
      <c r="E1730" t="s">
        <v>42</v>
      </c>
      <c r="F1730" t="s">
        <v>43</v>
      </c>
      <c r="G1730" t="s">
        <v>43</v>
      </c>
      <c r="H1730" t="s">
        <v>43</v>
      </c>
      <c r="I1730" t="s">
        <v>692</v>
      </c>
      <c r="J1730" t="s">
        <v>43</v>
      </c>
      <c r="K1730" t="s">
        <v>43</v>
      </c>
      <c r="L1730" t="s">
        <v>43</v>
      </c>
      <c r="M1730" t="s">
        <v>43</v>
      </c>
      <c r="N1730" t="s">
        <v>45</v>
      </c>
      <c r="O1730" t="s">
        <v>43</v>
      </c>
      <c r="P1730" t="s">
        <v>43</v>
      </c>
      <c r="Q1730" t="s">
        <v>43</v>
      </c>
      <c r="R1730" t="s">
        <v>43</v>
      </c>
      <c r="S1730" t="s">
        <v>43</v>
      </c>
      <c r="T1730" t="s">
        <v>43</v>
      </c>
      <c r="U1730" t="s">
        <v>43</v>
      </c>
      <c r="V1730" t="s">
        <v>43</v>
      </c>
      <c r="W1730" t="s">
        <v>43</v>
      </c>
      <c r="X1730" t="s">
        <v>43</v>
      </c>
      <c r="Y1730" t="s">
        <v>43</v>
      </c>
      <c r="Z1730" t="s">
        <v>43</v>
      </c>
      <c r="AA1730" t="s">
        <v>43</v>
      </c>
      <c r="AB1730" t="s">
        <v>43</v>
      </c>
      <c r="AC1730" t="s">
        <v>43</v>
      </c>
      <c r="AD1730" t="s">
        <v>43</v>
      </c>
      <c r="AE1730" t="s">
        <v>43</v>
      </c>
      <c r="AF1730" t="s">
        <v>43</v>
      </c>
      <c r="AG1730" t="s">
        <v>43</v>
      </c>
      <c r="AH1730" t="s">
        <v>43</v>
      </c>
      <c r="AI1730" t="s">
        <v>43</v>
      </c>
      <c r="AJ1730" t="s">
        <v>43</v>
      </c>
      <c r="AK1730" t="s">
        <v>43</v>
      </c>
      <c r="AL1730" t="s">
        <v>43</v>
      </c>
      <c r="AM1730" t="s">
        <v>43</v>
      </c>
      <c r="AN1730" t="str">
        <f>HYPERLINK("https://www.google.com/maps?q=11.05588341,79.06411743","Open Location")</f>
        <v>Open Location</v>
      </c>
    </row>
    <row r="1731" spans="1:40" x14ac:dyDescent="0.3">
      <c r="A1731" s="1">
        <v>46210.799421296295</v>
      </c>
      <c r="B1731" t="s">
        <v>40</v>
      </c>
      <c r="C1731" t="s">
        <v>41</v>
      </c>
      <c r="D1731" s="1">
        <v>46210.802222222221</v>
      </c>
      <c r="E1731" t="s">
        <v>42</v>
      </c>
      <c r="F1731" t="s">
        <v>43</v>
      </c>
      <c r="G1731" t="s">
        <v>43</v>
      </c>
      <c r="H1731" t="s">
        <v>43</v>
      </c>
      <c r="I1731" t="s">
        <v>691</v>
      </c>
      <c r="J1731" t="s">
        <v>43</v>
      </c>
      <c r="K1731" t="s">
        <v>43</v>
      </c>
      <c r="L1731" t="s">
        <v>43</v>
      </c>
      <c r="M1731" t="s">
        <v>43</v>
      </c>
      <c r="N1731" t="s">
        <v>45</v>
      </c>
      <c r="O1731" t="s">
        <v>43</v>
      </c>
      <c r="P1731" t="s">
        <v>43</v>
      </c>
      <c r="Q1731" t="s">
        <v>43</v>
      </c>
      <c r="R1731" t="s">
        <v>43</v>
      </c>
      <c r="S1731" t="s">
        <v>43</v>
      </c>
      <c r="T1731" t="s">
        <v>43</v>
      </c>
      <c r="U1731" t="s">
        <v>43</v>
      </c>
      <c r="V1731" t="s">
        <v>43</v>
      </c>
      <c r="W1731" t="s">
        <v>43</v>
      </c>
      <c r="X1731" t="s">
        <v>43</v>
      </c>
      <c r="Y1731" t="s">
        <v>43</v>
      </c>
      <c r="Z1731" t="s">
        <v>43</v>
      </c>
      <c r="AA1731" t="s">
        <v>43</v>
      </c>
      <c r="AB1731" t="s">
        <v>43</v>
      </c>
      <c r="AC1731" t="s">
        <v>43</v>
      </c>
      <c r="AD1731" t="s">
        <v>43</v>
      </c>
      <c r="AE1731" t="s">
        <v>43</v>
      </c>
      <c r="AF1731" t="s">
        <v>43</v>
      </c>
      <c r="AG1731" t="s">
        <v>43</v>
      </c>
      <c r="AH1731" t="s">
        <v>43</v>
      </c>
      <c r="AI1731" t="s">
        <v>43</v>
      </c>
      <c r="AJ1731" t="s">
        <v>43</v>
      </c>
      <c r="AK1731" t="s">
        <v>43</v>
      </c>
      <c r="AL1731" t="s">
        <v>43</v>
      </c>
      <c r="AM1731" t="s">
        <v>43</v>
      </c>
      <c r="AN1731" t="str">
        <f>HYPERLINK("https://www.google.com/maps?q=11.05588245,79.06411743","Open Location")</f>
        <v>Open Location</v>
      </c>
    </row>
    <row r="1732" spans="1:40" x14ac:dyDescent="0.3">
      <c r="A1732" s="1">
        <v>46210.799305555556</v>
      </c>
      <c r="B1732" t="s">
        <v>40</v>
      </c>
      <c r="C1732" t="s">
        <v>41</v>
      </c>
      <c r="D1732" s="1">
        <v>46210.802210648151</v>
      </c>
      <c r="E1732" t="s">
        <v>42</v>
      </c>
      <c r="F1732" t="s">
        <v>43</v>
      </c>
      <c r="G1732" t="s">
        <v>43</v>
      </c>
      <c r="H1732" t="s">
        <v>43</v>
      </c>
      <c r="I1732" t="s">
        <v>813</v>
      </c>
      <c r="J1732" t="s">
        <v>43</v>
      </c>
      <c r="K1732" t="s">
        <v>43</v>
      </c>
      <c r="L1732" t="s">
        <v>43</v>
      </c>
      <c r="M1732" t="s">
        <v>43</v>
      </c>
      <c r="N1732" t="s">
        <v>45</v>
      </c>
      <c r="O1732" t="s">
        <v>43</v>
      </c>
      <c r="P1732" t="s">
        <v>43</v>
      </c>
      <c r="Q1732" t="s">
        <v>43</v>
      </c>
      <c r="R1732" t="s">
        <v>43</v>
      </c>
      <c r="S1732" t="s">
        <v>43</v>
      </c>
      <c r="T1732" t="s">
        <v>43</v>
      </c>
      <c r="U1732" t="s">
        <v>43</v>
      </c>
      <c r="V1732" t="s">
        <v>43</v>
      </c>
      <c r="W1732" t="s">
        <v>43</v>
      </c>
      <c r="X1732" t="s">
        <v>43</v>
      </c>
      <c r="Y1732" t="s">
        <v>43</v>
      </c>
      <c r="Z1732" t="s">
        <v>43</v>
      </c>
      <c r="AA1732" t="s">
        <v>43</v>
      </c>
      <c r="AB1732" t="s">
        <v>43</v>
      </c>
      <c r="AC1732" t="s">
        <v>43</v>
      </c>
      <c r="AD1732" t="s">
        <v>43</v>
      </c>
      <c r="AE1732" t="s">
        <v>43</v>
      </c>
      <c r="AF1732" t="s">
        <v>43</v>
      </c>
      <c r="AG1732" t="s">
        <v>43</v>
      </c>
      <c r="AH1732" t="s">
        <v>43</v>
      </c>
      <c r="AI1732" t="s">
        <v>43</v>
      </c>
      <c r="AJ1732" t="s">
        <v>43</v>
      </c>
      <c r="AK1732" t="s">
        <v>43</v>
      </c>
      <c r="AL1732" t="s">
        <v>43</v>
      </c>
      <c r="AM1732" t="s">
        <v>43</v>
      </c>
      <c r="AN1732" t="str">
        <f>HYPERLINK("https://www.google.com/maps?q=11.05588436,79.0641098","Open Location")</f>
        <v>Open Location</v>
      </c>
    </row>
    <row r="1733" spans="1:40" x14ac:dyDescent="0.3">
      <c r="A1733" s="1">
        <v>46210.799189814818</v>
      </c>
      <c r="B1733" t="s">
        <v>40</v>
      </c>
      <c r="C1733" t="s">
        <v>41</v>
      </c>
      <c r="D1733" s="1">
        <v>46210.802175925928</v>
      </c>
      <c r="E1733" t="s">
        <v>42</v>
      </c>
      <c r="F1733" t="s">
        <v>43</v>
      </c>
      <c r="G1733" t="s">
        <v>43</v>
      </c>
      <c r="H1733" t="s">
        <v>43</v>
      </c>
      <c r="I1733" t="s">
        <v>813</v>
      </c>
      <c r="J1733" t="s">
        <v>43</v>
      </c>
      <c r="K1733" t="s">
        <v>43</v>
      </c>
      <c r="L1733" t="s">
        <v>43</v>
      </c>
      <c r="M1733" t="s">
        <v>43</v>
      </c>
      <c r="N1733" t="s">
        <v>45</v>
      </c>
      <c r="O1733" t="s">
        <v>43</v>
      </c>
      <c r="P1733" t="s">
        <v>43</v>
      </c>
      <c r="Q1733" t="s">
        <v>43</v>
      </c>
      <c r="R1733" t="s">
        <v>43</v>
      </c>
      <c r="S1733" t="s">
        <v>43</v>
      </c>
      <c r="T1733" t="s">
        <v>43</v>
      </c>
      <c r="U1733" t="s">
        <v>43</v>
      </c>
      <c r="V1733" t="s">
        <v>43</v>
      </c>
      <c r="W1733" t="s">
        <v>43</v>
      </c>
      <c r="X1733" t="s">
        <v>43</v>
      </c>
      <c r="Y1733" t="s">
        <v>43</v>
      </c>
      <c r="Z1733" t="s">
        <v>43</v>
      </c>
      <c r="AA1733" t="s">
        <v>43</v>
      </c>
      <c r="AB1733" t="s">
        <v>43</v>
      </c>
      <c r="AC1733" t="s">
        <v>43</v>
      </c>
      <c r="AD1733" t="s">
        <v>43</v>
      </c>
      <c r="AE1733" t="s">
        <v>43</v>
      </c>
      <c r="AF1733" t="s">
        <v>43</v>
      </c>
      <c r="AG1733" t="s">
        <v>43</v>
      </c>
      <c r="AH1733" t="s">
        <v>43</v>
      </c>
      <c r="AI1733" t="s">
        <v>43</v>
      </c>
      <c r="AJ1733" t="s">
        <v>43</v>
      </c>
      <c r="AK1733" t="s">
        <v>43</v>
      </c>
      <c r="AL1733" t="s">
        <v>43</v>
      </c>
      <c r="AM1733" t="s">
        <v>43</v>
      </c>
      <c r="AN1733" t="str">
        <f>HYPERLINK("https://www.google.com/maps?q=11.05588436,79.0641098","Open Location")</f>
        <v>Open Location</v>
      </c>
    </row>
    <row r="1734" spans="1:40" x14ac:dyDescent="0.3">
      <c r="A1734" s="1">
        <v>46210.799074074072</v>
      </c>
      <c r="B1734" t="s">
        <v>40</v>
      </c>
      <c r="C1734" t="s">
        <v>41</v>
      </c>
      <c r="D1734" s="1">
        <v>46210.80232638889</v>
      </c>
      <c r="E1734" t="s">
        <v>42</v>
      </c>
      <c r="F1734" t="s">
        <v>43</v>
      </c>
      <c r="G1734" t="s">
        <v>43</v>
      </c>
      <c r="H1734" t="s">
        <v>43</v>
      </c>
      <c r="I1734" t="s">
        <v>692</v>
      </c>
      <c r="J1734" t="s">
        <v>43</v>
      </c>
      <c r="K1734" t="s">
        <v>43</v>
      </c>
      <c r="L1734" t="s">
        <v>43</v>
      </c>
      <c r="M1734" t="s">
        <v>43</v>
      </c>
      <c r="N1734" t="s">
        <v>45</v>
      </c>
      <c r="O1734" t="s">
        <v>43</v>
      </c>
      <c r="P1734" t="s">
        <v>43</v>
      </c>
      <c r="Q1734" t="s">
        <v>43</v>
      </c>
      <c r="R1734" t="s">
        <v>43</v>
      </c>
      <c r="S1734" t="s">
        <v>43</v>
      </c>
      <c r="T1734" t="s">
        <v>43</v>
      </c>
      <c r="U1734" t="s">
        <v>43</v>
      </c>
      <c r="V1734" t="s">
        <v>43</v>
      </c>
      <c r="W1734" t="s">
        <v>43</v>
      </c>
      <c r="X1734" t="s">
        <v>43</v>
      </c>
      <c r="Y1734" t="s">
        <v>43</v>
      </c>
      <c r="Z1734" t="s">
        <v>43</v>
      </c>
      <c r="AA1734" t="s">
        <v>43</v>
      </c>
      <c r="AB1734" t="s">
        <v>43</v>
      </c>
      <c r="AC1734" t="s">
        <v>43</v>
      </c>
      <c r="AD1734" t="s">
        <v>43</v>
      </c>
      <c r="AE1734" t="s">
        <v>43</v>
      </c>
      <c r="AF1734" t="s">
        <v>43</v>
      </c>
      <c r="AG1734" t="s">
        <v>43</v>
      </c>
      <c r="AH1734" t="s">
        <v>43</v>
      </c>
      <c r="AI1734" t="s">
        <v>43</v>
      </c>
      <c r="AJ1734" t="s">
        <v>43</v>
      </c>
      <c r="AK1734" t="s">
        <v>43</v>
      </c>
      <c r="AL1734" t="s">
        <v>43</v>
      </c>
      <c r="AM1734" t="s">
        <v>43</v>
      </c>
      <c r="AN1734" t="str">
        <f>HYPERLINK("https://www.google.com/maps?q=11.05588341,79.06411743","Open Location")</f>
        <v>Open Location</v>
      </c>
    </row>
    <row r="1735" spans="1:40" x14ac:dyDescent="0.3">
      <c r="A1735" s="1">
        <v>46210.798958333333</v>
      </c>
      <c r="B1735" t="s">
        <v>40</v>
      </c>
      <c r="C1735" t="s">
        <v>41</v>
      </c>
      <c r="D1735" s="1">
        <v>46210.801620370374</v>
      </c>
      <c r="E1735" t="s">
        <v>42</v>
      </c>
      <c r="F1735" t="s">
        <v>43</v>
      </c>
      <c r="G1735" t="s">
        <v>43</v>
      </c>
      <c r="H1735" t="s">
        <v>43</v>
      </c>
      <c r="I1735" t="s">
        <v>43</v>
      </c>
      <c r="J1735" t="s">
        <v>43</v>
      </c>
      <c r="K1735" t="s">
        <v>43</v>
      </c>
      <c r="L1735" t="s">
        <v>43</v>
      </c>
      <c r="M1735" t="s">
        <v>43</v>
      </c>
      <c r="N1735" t="s">
        <v>45</v>
      </c>
      <c r="O1735" t="s">
        <v>43</v>
      </c>
      <c r="P1735" t="s">
        <v>43</v>
      </c>
      <c r="Q1735" t="s">
        <v>43</v>
      </c>
      <c r="R1735" t="s">
        <v>43</v>
      </c>
      <c r="S1735" t="s">
        <v>43</v>
      </c>
      <c r="T1735" t="s">
        <v>43</v>
      </c>
      <c r="U1735" t="s">
        <v>43</v>
      </c>
      <c r="V1735" t="s">
        <v>43</v>
      </c>
      <c r="W1735" t="s">
        <v>43</v>
      </c>
      <c r="X1735" t="s">
        <v>43</v>
      </c>
      <c r="Y1735" t="s">
        <v>43</v>
      </c>
      <c r="Z1735" t="s">
        <v>43</v>
      </c>
      <c r="AA1735" t="s">
        <v>43</v>
      </c>
      <c r="AB1735" t="s">
        <v>43</v>
      </c>
      <c r="AC1735" t="s">
        <v>43</v>
      </c>
      <c r="AD1735" t="s">
        <v>43</v>
      </c>
      <c r="AE1735" t="s">
        <v>43</v>
      </c>
      <c r="AF1735" t="s">
        <v>43</v>
      </c>
      <c r="AG1735" t="s">
        <v>43</v>
      </c>
      <c r="AH1735" t="s">
        <v>43</v>
      </c>
      <c r="AI1735" t="s">
        <v>43</v>
      </c>
      <c r="AJ1735" t="s">
        <v>43</v>
      </c>
      <c r="AK1735" t="s">
        <v>43</v>
      </c>
      <c r="AL1735" t="s">
        <v>43</v>
      </c>
      <c r="AM1735" t="s">
        <v>43</v>
      </c>
      <c r="AN1735" t="s">
        <v>43</v>
      </c>
    </row>
    <row r="1736" spans="1:40" x14ac:dyDescent="0.3">
      <c r="A1736" s="1">
        <v>46210.798842592594</v>
      </c>
      <c r="B1736" t="s">
        <v>40</v>
      </c>
      <c r="C1736" t="s">
        <v>41</v>
      </c>
      <c r="D1736" s="1">
        <v>46210.801620370374</v>
      </c>
      <c r="E1736" t="s">
        <v>42</v>
      </c>
      <c r="F1736" t="s">
        <v>43</v>
      </c>
      <c r="G1736" t="s">
        <v>43</v>
      </c>
      <c r="H1736" t="s">
        <v>43</v>
      </c>
      <c r="I1736" t="s">
        <v>691</v>
      </c>
      <c r="J1736" t="s">
        <v>43</v>
      </c>
      <c r="K1736" t="s">
        <v>43</v>
      </c>
      <c r="L1736" t="s">
        <v>43</v>
      </c>
      <c r="M1736" t="s">
        <v>43</v>
      </c>
      <c r="N1736" t="s">
        <v>45</v>
      </c>
      <c r="O1736" t="s">
        <v>43</v>
      </c>
      <c r="P1736" t="s">
        <v>43</v>
      </c>
      <c r="Q1736" t="s">
        <v>43</v>
      </c>
      <c r="R1736" t="s">
        <v>43</v>
      </c>
      <c r="S1736" t="s">
        <v>43</v>
      </c>
      <c r="T1736" t="s">
        <v>43</v>
      </c>
      <c r="U1736" t="s">
        <v>43</v>
      </c>
      <c r="V1736" t="s">
        <v>43</v>
      </c>
      <c r="W1736" t="s">
        <v>43</v>
      </c>
      <c r="X1736" t="s">
        <v>43</v>
      </c>
      <c r="Y1736" t="s">
        <v>43</v>
      </c>
      <c r="Z1736" t="s">
        <v>43</v>
      </c>
      <c r="AA1736" t="s">
        <v>43</v>
      </c>
      <c r="AB1736" t="s">
        <v>43</v>
      </c>
      <c r="AC1736" t="s">
        <v>43</v>
      </c>
      <c r="AD1736" t="s">
        <v>43</v>
      </c>
      <c r="AE1736" t="s">
        <v>43</v>
      </c>
      <c r="AF1736" t="s">
        <v>43</v>
      </c>
      <c r="AG1736" t="s">
        <v>43</v>
      </c>
      <c r="AH1736" t="s">
        <v>43</v>
      </c>
      <c r="AI1736" t="s">
        <v>43</v>
      </c>
      <c r="AJ1736" t="s">
        <v>43</v>
      </c>
      <c r="AK1736" t="s">
        <v>43</v>
      </c>
      <c r="AL1736" t="s">
        <v>43</v>
      </c>
      <c r="AM1736" t="s">
        <v>43</v>
      </c>
      <c r="AN1736" t="str">
        <f>HYPERLINK("https://www.google.com/maps?q=11.05588245,79.06411743","Open Location")</f>
        <v>Open Location</v>
      </c>
    </row>
    <row r="1737" spans="1:40" x14ac:dyDescent="0.3">
      <c r="A1737" s="1">
        <v>46210.798726851855</v>
      </c>
      <c r="B1737" t="s">
        <v>40</v>
      </c>
      <c r="C1737" t="s">
        <v>41</v>
      </c>
      <c r="D1737" s="1">
        <v>46210.801747685182</v>
      </c>
      <c r="E1737" t="s">
        <v>42</v>
      </c>
      <c r="F1737" t="s">
        <v>43</v>
      </c>
      <c r="G1737" t="s">
        <v>43</v>
      </c>
      <c r="H1737" t="s">
        <v>43</v>
      </c>
      <c r="I1737" t="s">
        <v>691</v>
      </c>
      <c r="J1737" t="s">
        <v>43</v>
      </c>
      <c r="K1737" t="s">
        <v>43</v>
      </c>
      <c r="L1737" t="s">
        <v>43</v>
      </c>
      <c r="M1737" t="s">
        <v>43</v>
      </c>
      <c r="N1737" t="s">
        <v>45</v>
      </c>
      <c r="O1737" t="s">
        <v>43</v>
      </c>
      <c r="P1737" t="s">
        <v>43</v>
      </c>
      <c r="Q1737" t="s">
        <v>43</v>
      </c>
      <c r="R1737" t="s">
        <v>43</v>
      </c>
      <c r="S1737" t="s">
        <v>43</v>
      </c>
      <c r="T1737" t="s">
        <v>43</v>
      </c>
      <c r="U1737" t="s">
        <v>43</v>
      </c>
      <c r="V1737" t="s">
        <v>43</v>
      </c>
      <c r="W1737" t="s">
        <v>43</v>
      </c>
      <c r="X1737" t="s">
        <v>43</v>
      </c>
      <c r="Y1737" t="s">
        <v>43</v>
      </c>
      <c r="Z1737" t="s">
        <v>43</v>
      </c>
      <c r="AA1737" t="s">
        <v>43</v>
      </c>
      <c r="AB1737" t="s">
        <v>43</v>
      </c>
      <c r="AC1737" t="s">
        <v>43</v>
      </c>
      <c r="AD1737" t="s">
        <v>43</v>
      </c>
      <c r="AE1737" t="s">
        <v>43</v>
      </c>
      <c r="AF1737" t="s">
        <v>43</v>
      </c>
      <c r="AG1737" t="s">
        <v>43</v>
      </c>
      <c r="AH1737" t="s">
        <v>43</v>
      </c>
      <c r="AI1737" t="s">
        <v>43</v>
      </c>
      <c r="AJ1737" t="s">
        <v>43</v>
      </c>
      <c r="AK1737" t="s">
        <v>43</v>
      </c>
      <c r="AL1737" t="s">
        <v>43</v>
      </c>
      <c r="AM1737" t="s">
        <v>43</v>
      </c>
      <c r="AN1737" t="str">
        <f>HYPERLINK("https://www.google.com/maps?q=11.05588245,79.06411743","Open Location")</f>
        <v>Open Location</v>
      </c>
    </row>
    <row r="1738" spans="1:40" x14ac:dyDescent="0.3">
      <c r="A1738" s="1">
        <v>46210.798611111109</v>
      </c>
      <c r="B1738" t="s">
        <v>40</v>
      </c>
      <c r="C1738" t="s">
        <v>41</v>
      </c>
      <c r="D1738" s="1">
        <v>46210.801747685182</v>
      </c>
      <c r="E1738" t="s">
        <v>42</v>
      </c>
      <c r="F1738" t="s">
        <v>43</v>
      </c>
      <c r="G1738" t="s">
        <v>43</v>
      </c>
      <c r="H1738" t="s">
        <v>43</v>
      </c>
      <c r="I1738" t="s">
        <v>623</v>
      </c>
      <c r="J1738" t="s">
        <v>43</v>
      </c>
      <c r="K1738" t="s">
        <v>43</v>
      </c>
      <c r="L1738" t="s">
        <v>43</v>
      </c>
      <c r="M1738" t="s">
        <v>43</v>
      </c>
      <c r="N1738" t="s">
        <v>45</v>
      </c>
      <c r="O1738" t="s">
        <v>43</v>
      </c>
      <c r="P1738" t="s">
        <v>43</v>
      </c>
      <c r="Q1738" t="s">
        <v>43</v>
      </c>
      <c r="R1738" t="s">
        <v>43</v>
      </c>
      <c r="S1738" t="s">
        <v>43</v>
      </c>
      <c r="T1738" t="s">
        <v>43</v>
      </c>
      <c r="U1738" t="s">
        <v>43</v>
      </c>
      <c r="V1738" t="s">
        <v>43</v>
      </c>
      <c r="W1738" t="s">
        <v>43</v>
      </c>
      <c r="X1738" t="s">
        <v>43</v>
      </c>
      <c r="Y1738" t="s">
        <v>43</v>
      </c>
      <c r="Z1738" t="s">
        <v>43</v>
      </c>
      <c r="AA1738" t="s">
        <v>43</v>
      </c>
      <c r="AB1738" t="s">
        <v>43</v>
      </c>
      <c r="AC1738" t="s">
        <v>43</v>
      </c>
      <c r="AD1738" t="s">
        <v>43</v>
      </c>
      <c r="AE1738" t="s">
        <v>43</v>
      </c>
      <c r="AF1738" t="s">
        <v>43</v>
      </c>
      <c r="AG1738" t="s">
        <v>43</v>
      </c>
      <c r="AH1738" t="s">
        <v>43</v>
      </c>
      <c r="AI1738" t="s">
        <v>43</v>
      </c>
      <c r="AJ1738" t="s">
        <v>43</v>
      </c>
      <c r="AK1738" t="s">
        <v>43</v>
      </c>
      <c r="AL1738" t="s">
        <v>43</v>
      </c>
      <c r="AM1738" t="s">
        <v>43</v>
      </c>
      <c r="AN1738" t="str">
        <f>HYPERLINK("https://www.google.com/maps?q=11.05587959,79.06412506","Open Location")</f>
        <v>Open Location</v>
      </c>
    </row>
    <row r="1739" spans="1:40" x14ac:dyDescent="0.3">
      <c r="A1739" s="1">
        <v>46210.798495370371</v>
      </c>
      <c r="B1739" t="s">
        <v>40</v>
      </c>
      <c r="C1739" t="s">
        <v>41</v>
      </c>
      <c r="D1739" s="1">
        <v>46210.801354166666</v>
      </c>
      <c r="E1739" t="s">
        <v>42</v>
      </c>
      <c r="F1739" t="s">
        <v>43</v>
      </c>
      <c r="G1739" t="s">
        <v>43</v>
      </c>
      <c r="H1739" t="s">
        <v>43</v>
      </c>
      <c r="I1739" t="s">
        <v>728</v>
      </c>
      <c r="J1739" t="s">
        <v>43</v>
      </c>
      <c r="K1739" t="s">
        <v>43</v>
      </c>
      <c r="L1739" t="s">
        <v>43</v>
      </c>
      <c r="M1739" t="s">
        <v>43</v>
      </c>
      <c r="N1739" t="s">
        <v>45</v>
      </c>
      <c r="O1739" t="s">
        <v>43</v>
      </c>
      <c r="P1739" t="s">
        <v>43</v>
      </c>
      <c r="Q1739" t="s">
        <v>43</v>
      </c>
      <c r="R1739" t="s">
        <v>43</v>
      </c>
      <c r="S1739" t="s">
        <v>43</v>
      </c>
      <c r="T1739" t="s">
        <v>43</v>
      </c>
      <c r="U1739" t="s">
        <v>43</v>
      </c>
      <c r="V1739" t="s">
        <v>43</v>
      </c>
      <c r="W1739" t="s">
        <v>43</v>
      </c>
      <c r="X1739" t="s">
        <v>43</v>
      </c>
      <c r="Y1739" t="s">
        <v>43</v>
      </c>
      <c r="Z1739" t="s">
        <v>43</v>
      </c>
      <c r="AA1739" t="s">
        <v>43</v>
      </c>
      <c r="AB1739" t="s">
        <v>43</v>
      </c>
      <c r="AC1739" t="s">
        <v>43</v>
      </c>
      <c r="AD1739" t="s">
        <v>43</v>
      </c>
      <c r="AE1739" t="s">
        <v>43</v>
      </c>
      <c r="AF1739" t="s">
        <v>43</v>
      </c>
      <c r="AG1739" t="s">
        <v>43</v>
      </c>
      <c r="AH1739" t="s">
        <v>43</v>
      </c>
      <c r="AI1739" t="s">
        <v>43</v>
      </c>
      <c r="AJ1739" t="s">
        <v>43</v>
      </c>
      <c r="AK1739" t="s">
        <v>43</v>
      </c>
      <c r="AL1739" t="s">
        <v>43</v>
      </c>
      <c r="AM1739" t="s">
        <v>43</v>
      </c>
      <c r="AN1739" t="str">
        <f>HYPERLINK("https://www.google.com/maps?q=11.05588436,79.06412506","Open Location")</f>
        <v>Open Location</v>
      </c>
    </row>
    <row r="1740" spans="1:40" x14ac:dyDescent="0.3">
      <c r="A1740" s="1">
        <v>46210.798379629632</v>
      </c>
      <c r="B1740" t="s">
        <v>40</v>
      </c>
      <c r="C1740" t="s">
        <v>41</v>
      </c>
      <c r="D1740" s="1">
        <v>46210.801377314812</v>
      </c>
      <c r="E1740" t="s">
        <v>42</v>
      </c>
      <c r="F1740" t="s">
        <v>43</v>
      </c>
      <c r="G1740" t="s">
        <v>43</v>
      </c>
      <c r="H1740" t="s">
        <v>43</v>
      </c>
      <c r="I1740" t="s">
        <v>43</v>
      </c>
      <c r="J1740" t="s">
        <v>43</v>
      </c>
      <c r="K1740" t="s">
        <v>43</v>
      </c>
      <c r="L1740" t="s">
        <v>43</v>
      </c>
      <c r="M1740" t="s">
        <v>43</v>
      </c>
      <c r="N1740" t="s">
        <v>45</v>
      </c>
      <c r="O1740" t="s">
        <v>43</v>
      </c>
      <c r="P1740" t="s">
        <v>43</v>
      </c>
      <c r="Q1740" t="s">
        <v>43</v>
      </c>
      <c r="R1740" t="s">
        <v>43</v>
      </c>
      <c r="S1740" t="s">
        <v>43</v>
      </c>
      <c r="T1740" t="s">
        <v>43</v>
      </c>
      <c r="U1740" t="s">
        <v>43</v>
      </c>
      <c r="V1740" t="s">
        <v>43</v>
      </c>
      <c r="W1740" t="s">
        <v>43</v>
      </c>
      <c r="X1740" t="s">
        <v>43</v>
      </c>
      <c r="Y1740" t="s">
        <v>43</v>
      </c>
      <c r="Z1740" t="s">
        <v>43</v>
      </c>
      <c r="AA1740" t="s">
        <v>43</v>
      </c>
      <c r="AB1740" t="s">
        <v>43</v>
      </c>
      <c r="AC1740" t="s">
        <v>43</v>
      </c>
      <c r="AD1740" t="s">
        <v>43</v>
      </c>
      <c r="AE1740" t="s">
        <v>43</v>
      </c>
      <c r="AF1740" t="s">
        <v>43</v>
      </c>
      <c r="AG1740" t="s">
        <v>43</v>
      </c>
      <c r="AH1740" t="s">
        <v>43</v>
      </c>
      <c r="AI1740" t="s">
        <v>43</v>
      </c>
      <c r="AJ1740" t="s">
        <v>43</v>
      </c>
      <c r="AK1740" t="s">
        <v>43</v>
      </c>
      <c r="AL1740" t="s">
        <v>43</v>
      </c>
      <c r="AM1740" t="s">
        <v>43</v>
      </c>
      <c r="AN1740" t="s">
        <v>43</v>
      </c>
    </row>
    <row r="1741" spans="1:40" x14ac:dyDescent="0.3">
      <c r="A1741" s="1">
        <v>46210.798263888886</v>
      </c>
      <c r="B1741" t="s">
        <v>40</v>
      </c>
      <c r="C1741" t="s">
        <v>41</v>
      </c>
      <c r="D1741" s="1">
        <v>46210.80097222222</v>
      </c>
      <c r="E1741" t="s">
        <v>42</v>
      </c>
      <c r="F1741" t="s">
        <v>43</v>
      </c>
      <c r="G1741" t="s">
        <v>43</v>
      </c>
      <c r="H1741" t="s">
        <v>43</v>
      </c>
      <c r="I1741" t="s">
        <v>728</v>
      </c>
      <c r="J1741" t="s">
        <v>43</v>
      </c>
      <c r="K1741" t="s">
        <v>43</v>
      </c>
      <c r="L1741" t="s">
        <v>43</v>
      </c>
      <c r="M1741" t="s">
        <v>43</v>
      </c>
      <c r="N1741" t="s">
        <v>45</v>
      </c>
      <c r="O1741" t="s">
        <v>43</v>
      </c>
      <c r="P1741" t="s">
        <v>43</v>
      </c>
      <c r="Q1741" t="s">
        <v>43</v>
      </c>
      <c r="R1741" t="s">
        <v>43</v>
      </c>
      <c r="S1741" t="s">
        <v>43</v>
      </c>
      <c r="T1741" t="s">
        <v>43</v>
      </c>
      <c r="U1741" t="s">
        <v>43</v>
      </c>
      <c r="V1741" t="s">
        <v>43</v>
      </c>
      <c r="W1741" t="s">
        <v>43</v>
      </c>
      <c r="X1741" t="s">
        <v>43</v>
      </c>
      <c r="Y1741" t="s">
        <v>43</v>
      </c>
      <c r="Z1741" t="s">
        <v>43</v>
      </c>
      <c r="AA1741" t="s">
        <v>43</v>
      </c>
      <c r="AB1741" t="s">
        <v>43</v>
      </c>
      <c r="AC1741" t="s">
        <v>43</v>
      </c>
      <c r="AD1741" t="s">
        <v>43</v>
      </c>
      <c r="AE1741" t="s">
        <v>43</v>
      </c>
      <c r="AF1741" t="s">
        <v>43</v>
      </c>
      <c r="AG1741" t="s">
        <v>43</v>
      </c>
      <c r="AH1741" t="s">
        <v>43</v>
      </c>
      <c r="AI1741" t="s">
        <v>43</v>
      </c>
      <c r="AJ1741" t="s">
        <v>43</v>
      </c>
      <c r="AK1741" t="s">
        <v>43</v>
      </c>
      <c r="AL1741" t="s">
        <v>43</v>
      </c>
      <c r="AM1741" t="s">
        <v>43</v>
      </c>
      <c r="AN1741" t="str">
        <f>HYPERLINK("https://www.google.com/maps?q=11.05588436,79.06412506","Open Location")</f>
        <v>Open Location</v>
      </c>
    </row>
    <row r="1742" spans="1:40" x14ac:dyDescent="0.3">
      <c r="A1742" s="1">
        <v>46210.798148148147</v>
      </c>
      <c r="B1742" t="s">
        <v>40</v>
      </c>
      <c r="C1742" t="s">
        <v>41</v>
      </c>
      <c r="D1742" s="1">
        <v>46210.80097222222</v>
      </c>
      <c r="E1742" t="s">
        <v>42</v>
      </c>
      <c r="F1742" t="s">
        <v>43</v>
      </c>
      <c r="G1742" t="s">
        <v>43</v>
      </c>
      <c r="H1742" t="s">
        <v>43</v>
      </c>
      <c r="I1742" t="s">
        <v>732</v>
      </c>
      <c r="J1742" t="s">
        <v>43</v>
      </c>
      <c r="K1742" t="s">
        <v>43</v>
      </c>
      <c r="L1742" t="s">
        <v>43</v>
      </c>
      <c r="M1742" t="s">
        <v>43</v>
      </c>
      <c r="N1742" t="s">
        <v>45</v>
      </c>
      <c r="O1742" t="s">
        <v>43</v>
      </c>
      <c r="P1742" t="s">
        <v>43</v>
      </c>
      <c r="Q1742" t="s">
        <v>43</v>
      </c>
      <c r="R1742" t="s">
        <v>43</v>
      </c>
      <c r="S1742" t="s">
        <v>43</v>
      </c>
      <c r="T1742" t="s">
        <v>43</v>
      </c>
      <c r="U1742" t="s">
        <v>43</v>
      </c>
      <c r="V1742" t="s">
        <v>43</v>
      </c>
      <c r="W1742" t="s">
        <v>43</v>
      </c>
      <c r="X1742" t="s">
        <v>43</v>
      </c>
      <c r="Y1742" t="s">
        <v>43</v>
      </c>
      <c r="Z1742" t="s">
        <v>43</v>
      </c>
      <c r="AA1742" t="s">
        <v>43</v>
      </c>
      <c r="AB1742" t="s">
        <v>43</v>
      </c>
      <c r="AC1742" t="s">
        <v>43</v>
      </c>
      <c r="AD1742" t="s">
        <v>43</v>
      </c>
      <c r="AE1742" t="s">
        <v>43</v>
      </c>
      <c r="AF1742" t="s">
        <v>43</v>
      </c>
      <c r="AG1742" t="s">
        <v>43</v>
      </c>
      <c r="AH1742" t="s">
        <v>43</v>
      </c>
      <c r="AI1742" t="s">
        <v>43</v>
      </c>
      <c r="AJ1742" t="s">
        <v>43</v>
      </c>
      <c r="AK1742" t="s">
        <v>43</v>
      </c>
      <c r="AL1742" t="s">
        <v>43</v>
      </c>
      <c r="AM1742" t="s">
        <v>43</v>
      </c>
      <c r="AN1742" t="str">
        <f>HYPERLINK("https://www.google.com/maps?q=11.05588341,79.06412506","Open Location")</f>
        <v>Open Location</v>
      </c>
    </row>
    <row r="1743" spans="1:40" x14ac:dyDescent="0.3">
      <c r="A1743" s="1">
        <v>46210.798032407409</v>
      </c>
      <c r="B1743" t="s">
        <v>40</v>
      </c>
      <c r="C1743" t="s">
        <v>41</v>
      </c>
      <c r="D1743" s="1">
        <v>46210.801041666666</v>
      </c>
      <c r="E1743" t="s">
        <v>42</v>
      </c>
      <c r="F1743" t="s">
        <v>43</v>
      </c>
      <c r="G1743" t="s">
        <v>43</v>
      </c>
      <c r="H1743" t="s">
        <v>43</v>
      </c>
      <c r="I1743" t="s">
        <v>624</v>
      </c>
      <c r="J1743" t="s">
        <v>43</v>
      </c>
      <c r="K1743" t="s">
        <v>43</v>
      </c>
      <c r="L1743" t="s">
        <v>43</v>
      </c>
      <c r="M1743" t="s">
        <v>43</v>
      </c>
      <c r="N1743" t="s">
        <v>45</v>
      </c>
      <c r="O1743" t="s">
        <v>43</v>
      </c>
      <c r="P1743" t="s">
        <v>43</v>
      </c>
      <c r="Q1743" t="s">
        <v>43</v>
      </c>
      <c r="R1743" t="s">
        <v>43</v>
      </c>
      <c r="S1743" t="s">
        <v>43</v>
      </c>
      <c r="T1743" t="s">
        <v>43</v>
      </c>
      <c r="U1743" t="s">
        <v>43</v>
      </c>
      <c r="V1743" t="s">
        <v>43</v>
      </c>
      <c r="W1743" t="s">
        <v>43</v>
      </c>
      <c r="X1743" t="s">
        <v>43</v>
      </c>
      <c r="Y1743" t="s">
        <v>43</v>
      </c>
      <c r="Z1743" t="s">
        <v>43</v>
      </c>
      <c r="AA1743" t="s">
        <v>43</v>
      </c>
      <c r="AB1743" t="s">
        <v>43</v>
      </c>
      <c r="AC1743" t="s">
        <v>43</v>
      </c>
      <c r="AD1743" t="s">
        <v>43</v>
      </c>
      <c r="AE1743" t="s">
        <v>43</v>
      </c>
      <c r="AF1743" t="s">
        <v>43</v>
      </c>
      <c r="AG1743" t="s">
        <v>43</v>
      </c>
      <c r="AH1743" t="s">
        <v>43</v>
      </c>
      <c r="AI1743" t="s">
        <v>43</v>
      </c>
      <c r="AJ1743" t="s">
        <v>43</v>
      </c>
      <c r="AK1743" t="s">
        <v>43</v>
      </c>
      <c r="AL1743" t="s">
        <v>43</v>
      </c>
      <c r="AM1743" t="s">
        <v>43</v>
      </c>
      <c r="AN1743" t="str">
        <f>HYPERLINK("https://www.google.com/maps?q=11.05588531,79.06412506","Open Location")</f>
        <v>Open Location</v>
      </c>
    </row>
    <row r="1744" spans="1:40" x14ac:dyDescent="0.3">
      <c r="A1744" s="1">
        <v>46210.79791666667</v>
      </c>
      <c r="B1744" t="s">
        <v>40</v>
      </c>
      <c r="C1744" t="s">
        <v>41</v>
      </c>
      <c r="D1744" s="1">
        <v>46210.801041666666</v>
      </c>
      <c r="E1744" t="s">
        <v>42</v>
      </c>
      <c r="F1744" t="s">
        <v>43</v>
      </c>
      <c r="G1744" t="s">
        <v>43</v>
      </c>
      <c r="H1744" t="s">
        <v>43</v>
      </c>
      <c r="I1744" t="s">
        <v>654</v>
      </c>
      <c r="J1744" t="s">
        <v>43</v>
      </c>
      <c r="K1744" t="s">
        <v>43</v>
      </c>
      <c r="L1744" t="s">
        <v>43</v>
      </c>
      <c r="M1744" t="s">
        <v>43</v>
      </c>
      <c r="N1744" t="s">
        <v>45</v>
      </c>
      <c r="O1744" t="s">
        <v>43</v>
      </c>
      <c r="P1744" t="s">
        <v>43</v>
      </c>
      <c r="Q1744" t="s">
        <v>43</v>
      </c>
      <c r="R1744" t="s">
        <v>43</v>
      </c>
      <c r="S1744" t="s">
        <v>43</v>
      </c>
      <c r="T1744" t="s">
        <v>43</v>
      </c>
      <c r="U1744" t="s">
        <v>43</v>
      </c>
      <c r="V1744" t="s">
        <v>43</v>
      </c>
      <c r="W1744" t="s">
        <v>43</v>
      </c>
      <c r="X1744" t="s">
        <v>43</v>
      </c>
      <c r="Y1744" t="s">
        <v>43</v>
      </c>
      <c r="Z1744" t="s">
        <v>43</v>
      </c>
      <c r="AA1744" t="s">
        <v>43</v>
      </c>
      <c r="AB1744" t="s">
        <v>43</v>
      </c>
      <c r="AC1744" t="s">
        <v>43</v>
      </c>
      <c r="AD1744" t="s">
        <v>43</v>
      </c>
      <c r="AE1744" t="s">
        <v>43</v>
      </c>
      <c r="AF1744" t="s">
        <v>43</v>
      </c>
      <c r="AG1744" t="s">
        <v>43</v>
      </c>
      <c r="AH1744" t="s">
        <v>43</v>
      </c>
      <c r="AI1744" t="s">
        <v>43</v>
      </c>
      <c r="AJ1744" t="s">
        <v>43</v>
      </c>
      <c r="AK1744" t="s">
        <v>43</v>
      </c>
      <c r="AL1744" t="s">
        <v>43</v>
      </c>
      <c r="AM1744" t="s">
        <v>43</v>
      </c>
      <c r="AN1744" t="str">
        <f>HYPERLINK("https://www.google.com/maps?q=11.05588722,79.06412506","Open Location")</f>
        <v>Open Location</v>
      </c>
    </row>
    <row r="1745" spans="1:40" x14ac:dyDescent="0.3">
      <c r="A1745" s="1">
        <v>46210.797800925924</v>
      </c>
      <c r="B1745" t="s">
        <v>40</v>
      </c>
      <c r="C1745" t="s">
        <v>41</v>
      </c>
      <c r="D1745" s="1">
        <v>46210.80059027778</v>
      </c>
      <c r="E1745" t="s">
        <v>42</v>
      </c>
      <c r="F1745" t="s">
        <v>43</v>
      </c>
      <c r="G1745" t="s">
        <v>43</v>
      </c>
      <c r="H1745" t="s">
        <v>43</v>
      </c>
      <c r="I1745" t="s">
        <v>731</v>
      </c>
      <c r="J1745" t="s">
        <v>43</v>
      </c>
      <c r="K1745" t="s">
        <v>43</v>
      </c>
      <c r="L1745" t="s">
        <v>43</v>
      </c>
      <c r="M1745" t="s">
        <v>43</v>
      </c>
      <c r="N1745" t="s">
        <v>45</v>
      </c>
      <c r="O1745" t="s">
        <v>43</v>
      </c>
      <c r="P1745" t="s">
        <v>43</v>
      </c>
      <c r="Q1745" t="s">
        <v>43</v>
      </c>
      <c r="R1745" t="s">
        <v>43</v>
      </c>
      <c r="S1745" t="s">
        <v>43</v>
      </c>
      <c r="T1745" t="s">
        <v>43</v>
      </c>
      <c r="U1745" t="s">
        <v>43</v>
      </c>
      <c r="V1745" t="s">
        <v>43</v>
      </c>
      <c r="W1745" t="s">
        <v>43</v>
      </c>
      <c r="X1745" t="s">
        <v>43</v>
      </c>
      <c r="Y1745" t="s">
        <v>43</v>
      </c>
      <c r="Z1745" t="s">
        <v>43</v>
      </c>
      <c r="AA1745" t="s">
        <v>43</v>
      </c>
      <c r="AB1745" t="s">
        <v>43</v>
      </c>
      <c r="AC1745" t="s">
        <v>43</v>
      </c>
      <c r="AD1745" t="s">
        <v>43</v>
      </c>
      <c r="AE1745" t="s">
        <v>43</v>
      </c>
      <c r="AF1745" t="s">
        <v>43</v>
      </c>
      <c r="AG1745" t="s">
        <v>43</v>
      </c>
      <c r="AH1745" t="s">
        <v>43</v>
      </c>
      <c r="AI1745" t="s">
        <v>43</v>
      </c>
      <c r="AJ1745" t="s">
        <v>43</v>
      </c>
      <c r="AK1745" t="s">
        <v>43</v>
      </c>
      <c r="AL1745" t="s">
        <v>43</v>
      </c>
      <c r="AM1745" t="s">
        <v>43</v>
      </c>
      <c r="AN1745" t="str">
        <f>HYPERLINK("https://www.google.com/maps?q=11.05588913,79.06412506","Open Location")</f>
        <v>Open Location</v>
      </c>
    </row>
    <row r="1746" spans="1:40" x14ac:dyDescent="0.3">
      <c r="A1746" s="1">
        <v>46210.797685185185</v>
      </c>
      <c r="B1746" t="s">
        <v>40</v>
      </c>
      <c r="C1746" t="s">
        <v>41</v>
      </c>
      <c r="D1746" s="1">
        <v>46210.800520833334</v>
      </c>
      <c r="E1746" t="s">
        <v>42</v>
      </c>
      <c r="F1746" t="s">
        <v>43</v>
      </c>
      <c r="G1746" t="s">
        <v>43</v>
      </c>
      <c r="H1746" t="s">
        <v>43</v>
      </c>
      <c r="I1746" t="s">
        <v>43</v>
      </c>
      <c r="J1746" t="s">
        <v>43</v>
      </c>
      <c r="K1746" t="s">
        <v>43</v>
      </c>
      <c r="L1746" t="s">
        <v>43</v>
      </c>
      <c r="M1746" t="s">
        <v>43</v>
      </c>
      <c r="N1746" t="s">
        <v>45</v>
      </c>
      <c r="O1746" t="s">
        <v>43</v>
      </c>
      <c r="P1746" t="s">
        <v>43</v>
      </c>
      <c r="Q1746" t="s">
        <v>43</v>
      </c>
      <c r="R1746" t="s">
        <v>43</v>
      </c>
      <c r="S1746" t="s">
        <v>43</v>
      </c>
      <c r="T1746" t="s">
        <v>43</v>
      </c>
      <c r="U1746" t="s">
        <v>43</v>
      </c>
      <c r="V1746" t="s">
        <v>43</v>
      </c>
      <c r="W1746" t="s">
        <v>43</v>
      </c>
      <c r="X1746" t="s">
        <v>43</v>
      </c>
      <c r="Y1746" t="s">
        <v>43</v>
      </c>
      <c r="Z1746" t="s">
        <v>43</v>
      </c>
      <c r="AA1746" t="s">
        <v>43</v>
      </c>
      <c r="AB1746" t="s">
        <v>43</v>
      </c>
      <c r="AC1746" t="s">
        <v>43</v>
      </c>
      <c r="AD1746" t="s">
        <v>43</v>
      </c>
      <c r="AE1746" t="s">
        <v>43</v>
      </c>
      <c r="AF1746" t="s">
        <v>43</v>
      </c>
      <c r="AG1746" t="s">
        <v>43</v>
      </c>
      <c r="AH1746" t="s">
        <v>43</v>
      </c>
      <c r="AI1746" t="s">
        <v>43</v>
      </c>
      <c r="AJ1746" t="s">
        <v>43</v>
      </c>
      <c r="AK1746" t="s">
        <v>43</v>
      </c>
      <c r="AL1746" t="s">
        <v>43</v>
      </c>
      <c r="AM1746" t="s">
        <v>43</v>
      </c>
      <c r="AN1746" t="s">
        <v>43</v>
      </c>
    </row>
    <row r="1747" spans="1:40" x14ac:dyDescent="0.3">
      <c r="A1747" s="1">
        <v>46210.797569444447</v>
      </c>
      <c r="B1747" t="s">
        <v>40</v>
      </c>
      <c r="C1747" t="s">
        <v>41</v>
      </c>
      <c r="D1747" s="1">
        <v>46210.800381944442</v>
      </c>
      <c r="E1747" t="s">
        <v>42</v>
      </c>
      <c r="F1747" t="s">
        <v>43</v>
      </c>
      <c r="G1747" t="s">
        <v>43</v>
      </c>
      <c r="H1747" t="s">
        <v>43</v>
      </c>
      <c r="I1747" t="s">
        <v>730</v>
      </c>
      <c r="J1747" t="s">
        <v>43</v>
      </c>
      <c r="K1747" t="s">
        <v>43</v>
      </c>
      <c r="L1747" t="s">
        <v>43</v>
      </c>
      <c r="M1747" t="s">
        <v>43</v>
      </c>
      <c r="N1747" t="s">
        <v>45</v>
      </c>
      <c r="O1747" t="s">
        <v>43</v>
      </c>
      <c r="P1747" t="s">
        <v>43</v>
      </c>
      <c r="Q1747" t="s">
        <v>43</v>
      </c>
      <c r="R1747" t="s">
        <v>43</v>
      </c>
      <c r="S1747" t="s">
        <v>43</v>
      </c>
      <c r="T1747" t="s">
        <v>43</v>
      </c>
      <c r="U1747" t="s">
        <v>43</v>
      </c>
      <c r="V1747" t="s">
        <v>43</v>
      </c>
      <c r="W1747" t="s">
        <v>43</v>
      </c>
      <c r="X1747" t="s">
        <v>43</v>
      </c>
      <c r="Y1747" t="s">
        <v>43</v>
      </c>
      <c r="Z1747" t="s">
        <v>43</v>
      </c>
      <c r="AA1747" t="s">
        <v>43</v>
      </c>
      <c r="AB1747" t="s">
        <v>43</v>
      </c>
      <c r="AC1747" t="s">
        <v>43</v>
      </c>
      <c r="AD1747" t="s">
        <v>43</v>
      </c>
      <c r="AE1747" t="s">
        <v>43</v>
      </c>
      <c r="AF1747" t="s">
        <v>43</v>
      </c>
      <c r="AG1747" t="s">
        <v>43</v>
      </c>
      <c r="AH1747" t="s">
        <v>43</v>
      </c>
      <c r="AI1747" t="s">
        <v>43</v>
      </c>
      <c r="AJ1747" t="s">
        <v>43</v>
      </c>
      <c r="AK1747" t="s">
        <v>43</v>
      </c>
      <c r="AL1747" t="s">
        <v>43</v>
      </c>
      <c r="AM1747" t="s">
        <v>43</v>
      </c>
      <c r="AN1747" t="str">
        <f>HYPERLINK("https://www.google.com/maps?q=11.05589008,79.06412506","Open Location")</f>
        <v>Open Location</v>
      </c>
    </row>
    <row r="1748" spans="1:40" x14ac:dyDescent="0.3">
      <c r="A1748" s="1">
        <v>46210.797453703701</v>
      </c>
      <c r="B1748" t="s">
        <v>40</v>
      </c>
      <c r="C1748" t="s">
        <v>41</v>
      </c>
      <c r="D1748" s="1">
        <v>46210.80027777778</v>
      </c>
      <c r="E1748" t="s">
        <v>42</v>
      </c>
      <c r="F1748" t="s">
        <v>43</v>
      </c>
      <c r="G1748" t="s">
        <v>43</v>
      </c>
      <c r="H1748" t="s">
        <v>43</v>
      </c>
      <c r="I1748" t="s">
        <v>814</v>
      </c>
      <c r="J1748" t="s">
        <v>43</v>
      </c>
      <c r="K1748" t="s">
        <v>43</v>
      </c>
      <c r="L1748" t="s">
        <v>43</v>
      </c>
      <c r="M1748" t="s">
        <v>43</v>
      </c>
      <c r="N1748" t="s">
        <v>45</v>
      </c>
      <c r="O1748" t="s">
        <v>43</v>
      </c>
      <c r="P1748" t="s">
        <v>43</v>
      </c>
      <c r="Q1748" t="s">
        <v>43</v>
      </c>
      <c r="R1748" t="s">
        <v>43</v>
      </c>
      <c r="S1748" t="s">
        <v>43</v>
      </c>
      <c r="T1748" t="s">
        <v>43</v>
      </c>
      <c r="U1748" t="s">
        <v>43</v>
      </c>
      <c r="V1748" t="s">
        <v>43</v>
      </c>
      <c r="W1748" t="s">
        <v>43</v>
      </c>
      <c r="X1748" t="s">
        <v>43</v>
      </c>
      <c r="Y1748" t="s">
        <v>43</v>
      </c>
      <c r="Z1748" t="s">
        <v>43</v>
      </c>
      <c r="AA1748" t="s">
        <v>43</v>
      </c>
      <c r="AB1748" t="s">
        <v>43</v>
      </c>
      <c r="AC1748" t="s">
        <v>43</v>
      </c>
      <c r="AD1748" t="s">
        <v>43</v>
      </c>
      <c r="AE1748" t="s">
        <v>43</v>
      </c>
      <c r="AF1748" t="s">
        <v>43</v>
      </c>
      <c r="AG1748" t="s">
        <v>43</v>
      </c>
      <c r="AH1748" t="s">
        <v>43</v>
      </c>
      <c r="AI1748" t="s">
        <v>43</v>
      </c>
      <c r="AJ1748" t="s">
        <v>43</v>
      </c>
      <c r="AK1748" t="s">
        <v>43</v>
      </c>
      <c r="AL1748" t="s">
        <v>43</v>
      </c>
      <c r="AM1748" t="s">
        <v>43</v>
      </c>
      <c r="AN1748" t="str">
        <f>HYPERLINK("https://www.google.com/maps?q=11.05589199,79.06411743","Open Location")</f>
        <v>Open Location</v>
      </c>
    </row>
    <row r="1749" spans="1:40" x14ac:dyDescent="0.3">
      <c r="A1749" s="1">
        <v>46210.797337962962</v>
      </c>
      <c r="B1749" t="s">
        <v>40</v>
      </c>
      <c r="C1749" t="s">
        <v>41</v>
      </c>
      <c r="D1749" s="1">
        <v>46210.800150462965</v>
      </c>
      <c r="E1749" t="s">
        <v>42</v>
      </c>
      <c r="F1749" t="s">
        <v>43</v>
      </c>
      <c r="G1749" t="s">
        <v>43</v>
      </c>
      <c r="H1749" t="s">
        <v>43</v>
      </c>
      <c r="I1749" t="s">
        <v>689</v>
      </c>
      <c r="J1749" t="s">
        <v>43</v>
      </c>
      <c r="K1749" t="s">
        <v>43</v>
      </c>
      <c r="L1749" t="s">
        <v>43</v>
      </c>
      <c r="M1749" t="s">
        <v>43</v>
      </c>
      <c r="N1749" t="s">
        <v>45</v>
      </c>
      <c r="O1749" t="s">
        <v>43</v>
      </c>
      <c r="P1749" t="s">
        <v>43</v>
      </c>
      <c r="Q1749" t="s">
        <v>43</v>
      </c>
      <c r="R1749" t="s">
        <v>43</v>
      </c>
      <c r="S1749" t="s">
        <v>43</v>
      </c>
      <c r="T1749" t="s">
        <v>43</v>
      </c>
      <c r="U1749" t="s">
        <v>43</v>
      </c>
      <c r="V1749" t="s">
        <v>43</v>
      </c>
      <c r="W1749" t="s">
        <v>43</v>
      </c>
      <c r="X1749" t="s">
        <v>43</v>
      </c>
      <c r="Y1749" t="s">
        <v>43</v>
      </c>
      <c r="Z1749" t="s">
        <v>43</v>
      </c>
      <c r="AA1749" t="s">
        <v>43</v>
      </c>
      <c r="AB1749" t="s">
        <v>43</v>
      </c>
      <c r="AC1749" t="s">
        <v>43</v>
      </c>
      <c r="AD1749" t="s">
        <v>43</v>
      </c>
      <c r="AE1749" t="s">
        <v>43</v>
      </c>
      <c r="AF1749" t="s">
        <v>43</v>
      </c>
      <c r="AG1749" t="s">
        <v>43</v>
      </c>
      <c r="AH1749" t="s">
        <v>43</v>
      </c>
      <c r="AI1749" t="s">
        <v>43</v>
      </c>
      <c r="AJ1749" t="s">
        <v>43</v>
      </c>
      <c r="AK1749" t="s">
        <v>43</v>
      </c>
      <c r="AL1749" t="s">
        <v>43</v>
      </c>
      <c r="AM1749" t="s">
        <v>43</v>
      </c>
      <c r="AN1749" t="str">
        <f>HYPERLINK("https://www.google.com/maps?q=11.05588913,79.06411743","Open Location")</f>
        <v>Open Location</v>
      </c>
    </row>
    <row r="1750" spans="1:40" x14ac:dyDescent="0.3">
      <c r="A1750" s="1">
        <v>46210.797222222223</v>
      </c>
      <c r="B1750" t="s">
        <v>40</v>
      </c>
      <c r="C1750" t="s">
        <v>41</v>
      </c>
      <c r="D1750" s="1">
        <v>46210.800173611111</v>
      </c>
      <c r="E1750" t="s">
        <v>42</v>
      </c>
      <c r="F1750" t="s">
        <v>43</v>
      </c>
      <c r="G1750" t="s">
        <v>43</v>
      </c>
      <c r="H1750" t="s">
        <v>43</v>
      </c>
      <c r="I1750" t="s">
        <v>659</v>
      </c>
      <c r="J1750" t="s">
        <v>43</v>
      </c>
      <c r="K1750" t="s">
        <v>43</v>
      </c>
      <c r="L1750" t="s">
        <v>43</v>
      </c>
      <c r="M1750" t="s">
        <v>43</v>
      </c>
      <c r="N1750" t="s">
        <v>45</v>
      </c>
      <c r="O1750" t="s">
        <v>43</v>
      </c>
      <c r="P1750" t="s">
        <v>43</v>
      </c>
      <c r="Q1750" t="s">
        <v>43</v>
      </c>
      <c r="R1750" t="s">
        <v>43</v>
      </c>
      <c r="S1750" t="s">
        <v>43</v>
      </c>
      <c r="T1750" t="s">
        <v>43</v>
      </c>
      <c r="U1750" t="s">
        <v>43</v>
      </c>
      <c r="V1750" t="s">
        <v>43</v>
      </c>
      <c r="W1750" t="s">
        <v>43</v>
      </c>
      <c r="X1750" t="s">
        <v>43</v>
      </c>
      <c r="Y1750" t="s">
        <v>43</v>
      </c>
      <c r="Z1750" t="s">
        <v>43</v>
      </c>
      <c r="AA1750" t="s">
        <v>43</v>
      </c>
      <c r="AB1750" t="s">
        <v>43</v>
      </c>
      <c r="AC1750" t="s">
        <v>43</v>
      </c>
      <c r="AD1750" t="s">
        <v>43</v>
      </c>
      <c r="AE1750" t="s">
        <v>43</v>
      </c>
      <c r="AF1750" t="s">
        <v>43</v>
      </c>
      <c r="AG1750" t="s">
        <v>43</v>
      </c>
      <c r="AH1750" t="s">
        <v>43</v>
      </c>
      <c r="AI1750" t="s">
        <v>43</v>
      </c>
      <c r="AJ1750" t="s">
        <v>43</v>
      </c>
      <c r="AK1750" t="s">
        <v>43</v>
      </c>
      <c r="AL1750" t="s">
        <v>43</v>
      </c>
      <c r="AM1750" t="s">
        <v>43</v>
      </c>
      <c r="AN1750" t="str">
        <f>HYPERLINK("https://www.google.com/maps?q=11.05589008,79.06411743","Open Location")</f>
        <v>Open Location</v>
      </c>
    </row>
    <row r="1751" spans="1:40" x14ac:dyDescent="0.3">
      <c r="A1751" s="1">
        <v>46210.797106481485</v>
      </c>
      <c r="B1751" t="s">
        <v>40</v>
      </c>
      <c r="C1751" t="s">
        <v>41</v>
      </c>
      <c r="D1751" s="1">
        <v>46210.799942129626</v>
      </c>
      <c r="E1751" t="s">
        <v>42</v>
      </c>
      <c r="F1751" t="s">
        <v>43</v>
      </c>
      <c r="G1751" t="s">
        <v>43</v>
      </c>
      <c r="H1751" t="s">
        <v>43</v>
      </c>
      <c r="I1751" t="s">
        <v>722</v>
      </c>
      <c r="J1751" t="s">
        <v>43</v>
      </c>
      <c r="K1751" t="s">
        <v>43</v>
      </c>
      <c r="L1751" t="s">
        <v>43</v>
      </c>
      <c r="M1751" t="s">
        <v>43</v>
      </c>
      <c r="N1751" t="s">
        <v>45</v>
      </c>
      <c r="O1751" t="s">
        <v>43</v>
      </c>
      <c r="P1751" t="s">
        <v>43</v>
      </c>
      <c r="Q1751" t="s">
        <v>43</v>
      </c>
      <c r="R1751" t="s">
        <v>43</v>
      </c>
      <c r="S1751" t="s">
        <v>43</v>
      </c>
      <c r="T1751" t="s">
        <v>43</v>
      </c>
      <c r="U1751" t="s">
        <v>43</v>
      </c>
      <c r="V1751" t="s">
        <v>43</v>
      </c>
      <c r="W1751" t="s">
        <v>43</v>
      </c>
      <c r="X1751" t="s">
        <v>43</v>
      </c>
      <c r="Y1751" t="s">
        <v>43</v>
      </c>
      <c r="Z1751" t="s">
        <v>43</v>
      </c>
      <c r="AA1751" t="s">
        <v>43</v>
      </c>
      <c r="AB1751" t="s">
        <v>43</v>
      </c>
      <c r="AC1751" t="s">
        <v>43</v>
      </c>
      <c r="AD1751" t="s">
        <v>43</v>
      </c>
      <c r="AE1751" t="s">
        <v>43</v>
      </c>
      <c r="AF1751" t="s">
        <v>43</v>
      </c>
      <c r="AG1751" t="s">
        <v>43</v>
      </c>
      <c r="AH1751" t="s">
        <v>43</v>
      </c>
      <c r="AI1751" t="s">
        <v>43</v>
      </c>
      <c r="AJ1751" t="s">
        <v>43</v>
      </c>
      <c r="AK1751" t="s">
        <v>43</v>
      </c>
      <c r="AL1751" t="s">
        <v>43</v>
      </c>
      <c r="AM1751" t="s">
        <v>43</v>
      </c>
      <c r="AN1751" t="str">
        <f>HYPERLINK("https://www.google.com/maps?q=11.05589485,79.0641098","Open Location")</f>
        <v>Open Location</v>
      </c>
    </row>
    <row r="1752" spans="1:40" x14ac:dyDescent="0.3">
      <c r="A1752" s="1">
        <v>46210.796990740739</v>
      </c>
      <c r="B1752" t="s">
        <v>40</v>
      </c>
      <c r="C1752" t="s">
        <v>41</v>
      </c>
      <c r="D1752" s="1">
        <v>46210.799942129626</v>
      </c>
      <c r="E1752" t="s">
        <v>42</v>
      </c>
      <c r="F1752" t="s">
        <v>43</v>
      </c>
      <c r="G1752" t="s">
        <v>43</v>
      </c>
      <c r="H1752" t="s">
        <v>43</v>
      </c>
      <c r="I1752" t="s">
        <v>43</v>
      </c>
      <c r="J1752" t="s">
        <v>43</v>
      </c>
      <c r="K1752" t="s">
        <v>43</v>
      </c>
      <c r="L1752" t="s">
        <v>43</v>
      </c>
      <c r="M1752" t="s">
        <v>43</v>
      </c>
      <c r="N1752" t="s">
        <v>45</v>
      </c>
      <c r="O1752" t="s">
        <v>43</v>
      </c>
      <c r="P1752" t="s">
        <v>43</v>
      </c>
      <c r="Q1752" t="s">
        <v>43</v>
      </c>
      <c r="R1752" t="s">
        <v>43</v>
      </c>
      <c r="S1752" t="s">
        <v>43</v>
      </c>
      <c r="T1752" t="s">
        <v>43</v>
      </c>
      <c r="U1752" t="s">
        <v>43</v>
      </c>
      <c r="V1752" t="s">
        <v>43</v>
      </c>
      <c r="W1752" t="s">
        <v>43</v>
      </c>
      <c r="X1752" t="s">
        <v>43</v>
      </c>
      <c r="Y1752" t="s">
        <v>43</v>
      </c>
      <c r="Z1752" t="s">
        <v>43</v>
      </c>
      <c r="AA1752" t="s">
        <v>43</v>
      </c>
      <c r="AB1752" t="s">
        <v>43</v>
      </c>
      <c r="AC1752" t="s">
        <v>43</v>
      </c>
      <c r="AD1752" t="s">
        <v>43</v>
      </c>
      <c r="AE1752" t="s">
        <v>43</v>
      </c>
      <c r="AF1752" t="s">
        <v>43</v>
      </c>
      <c r="AG1752" t="s">
        <v>43</v>
      </c>
      <c r="AH1752" t="s">
        <v>43</v>
      </c>
      <c r="AI1752" t="s">
        <v>43</v>
      </c>
      <c r="AJ1752" t="s">
        <v>43</v>
      </c>
      <c r="AK1752" t="s">
        <v>43</v>
      </c>
      <c r="AL1752" t="s">
        <v>43</v>
      </c>
      <c r="AM1752" t="s">
        <v>43</v>
      </c>
      <c r="AN1752" t="s">
        <v>43</v>
      </c>
    </row>
    <row r="1753" spans="1:40" x14ac:dyDescent="0.3">
      <c r="A1753" s="1">
        <v>46210.796875</v>
      </c>
      <c r="B1753" t="s">
        <v>40</v>
      </c>
      <c r="C1753" t="s">
        <v>41</v>
      </c>
      <c r="D1753" s="1">
        <v>46210.799710648149</v>
      </c>
      <c r="E1753" t="s">
        <v>42</v>
      </c>
      <c r="F1753" t="s">
        <v>43</v>
      </c>
      <c r="G1753" t="s">
        <v>43</v>
      </c>
      <c r="H1753" t="s">
        <v>43</v>
      </c>
      <c r="I1753" t="s">
        <v>815</v>
      </c>
      <c r="J1753" t="s">
        <v>43</v>
      </c>
      <c r="K1753" t="s">
        <v>43</v>
      </c>
      <c r="L1753" t="s">
        <v>43</v>
      </c>
      <c r="M1753" t="s">
        <v>43</v>
      </c>
      <c r="N1753" t="s">
        <v>45</v>
      </c>
      <c r="O1753" t="s">
        <v>43</v>
      </c>
      <c r="P1753" t="s">
        <v>43</v>
      </c>
      <c r="Q1753" t="s">
        <v>43</v>
      </c>
      <c r="R1753" t="s">
        <v>43</v>
      </c>
      <c r="S1753" t="s">
        <v>43</v>
      </c>
      <c r="T1753" t="s">
        <v>43</v>
      </c>
      <c r="U1753" t="s">
        <v>43</v>
      </c>
      <c r="V1753" t="s">
        <v>43</v>
      </c>
      <c r="W1753" t="s">
        <v>43</v>
      </c>
      <c r="X1753" t="s">
        <v>43</v>
      </c>
      <c r="Y1753" t="s">
        <v>43</v>
      </c>
      <c r="Z1753" t="s">
        <v>43</v>
      </c>
      <c r="AA1753" t="s">
        <v>43</v>
      </c>
      <c r="AB1753" t="s">
        <v>43</v>
      </c>
      <c r="AC1753" t="s">
        <v>43</v>
      </c>
      <c r="AD1753" t="s">
        <v>43</v>
      </c>
      <c r="AE1753" t="s">
        <v>43</v>
      </c>
      <c r="AF1753" t="s">
        <v>43</v>
      </c>
      <c r="AG1753" t="s">
        <v>43</v>
      </c>
      <c r="AH1753" t="s">
        <v>43</v>
      </c>
      <c r="AI1753" t="s">
        <v>43</v>
      </c>
      <c r="AJ1753" t="s">
        <v>43</v>
      </c>
      <c r="AK1753" t="s">
        <v>43</v>
      </c>
      <c r="AL1753" t="s">
        <v>43</v>
      </c>
      <c r="AM1753" t="s">
        <v>43</v>
      </c>
      <c r="AN1753" t="str">
        <f>HYPERLINK("https://www.google.com/maps?q=11.05589962,79.0641098","Open Location")</f>
        <v>Open Location</v>
      </c>
    </row>
    <row r="1754" spans="1:40" x14ac:dyDescent="0.3">
      <c r="A1754" s="1">
        <v>46210.796759259261</v>
      </c>
      <c r="B1754" t="s">
        <v>40</v>
      </c>
      <c r="C1754" t="s">
        <v>41</v>
      </c>
      <c r="D1754" s="1">
        <v>46210.799745370372</v>
      </c>
      <c r="E1754" t="s">
        <v>42</v>
      </c>
      <c r="F1754" t="s">
        <v>43</v>
      </c>
      <c r="G1754" t="s">
        <v>43</v>
      </c>
      <c r="H1754" t="s">
        <v>43</v>
      </c>
      <c r="I1754" t="s">
        <v>816</v>
      </c>
      <c r="J1754" t="s">
        <v>43</v>
      </c>
      <c r="K1754" t="s">
        <v>43</v>
      </c>
      <c r="L1754" t="s">
        <v>43</v>
      </c>
      <c r="M1754" t="s">
        <v>43</v>
      </c>
      <c r="N1754" t="s">
        <v>45</v>
      </c>
      <c r="O1754" t="s">
        <v>43</v>
      </c>
      <c r="P1754" t="s">
        <v>43</v>
      </c>
      <c r="Q1754" t="s">
        <v>43</v>
      </c>
      <c r="R1754" t="s">
        <v>43</v>
      </c>
      <c r="S1754" t="s">
        <v>43</v>
      </c>
      <c r="T1754" t="s">
        <v>43</v>
      </c>
      <c r="U1754" t="s">
        <v>43</v>
      </c>
      <c r="V1754" t="s">
        <v>43</v>
      </c>
      <c r="W1754" t="s">
        <v>43</v>
      </c>
      <c r="X1754" t="s">
        <v>43</v>
      </c>
      <c r="Y1754" t="s">
        <v>43</v>
      </c>
      <c r="Z1754" t="s">
        <v>43</v>
      </c>
      <c r="AA1754" t="s">
        <v>43</v>
      </c>
      <c r="AB1754" t="s">
        <v>43</v>
      </c>
      <c r="AC1754" t="s">
        <v>43</v>
      </c>
      <c r="AD1754" t="s">
        <v>43</v>
      </c>
      <c r="AE1754" t="s">
        <v>43</v>
      </c>
      <c r="AF1754" t="s">
        <v>43</v>
      </c>
      <c r="AG1754" t="s">
        <v>43</v>
      </c>
      <c r="AH1754" t="s">
        <v>43</v>
      </c>
      <c r="AI1754" t="s">
        <v>43</v>
      </c>
      <c r="AJ1754" t="s">
        <v>43</v>
      </c>
      <c r="AK1754" t="s">
        <v>43</v>
      </c>
      <c r="AL1754" t="s">
        <v>43</v>
      </c>
      <c r="AM1754" t="s">
        <v>43</v>
      </c>
      <c r="AN1754" t="str">
        <f>HYPERLINK("https://www.google.com/maps?q=11.05590725,79.0641098","Open Location")</f>
        <v>Open Location</v>
      </c>
    </row>
    <row r="1755" spans="1:40" x14ac:dyDescent="0.3">
      <c r="A1755" s="1">
        <v>46210.796643518515</v>
      </c>
      <c r="B1755" t="s">
        <v>40</v>
      </c>
      <c r="C1755" t="s">
        <v>41</v>
      </c>
      <c r="D1755" s="1">
        <v>46210.799490740741</v>
      </c>
      <c r="E1755" t="s">
        <v>42</v>
      </c>
      <c r="F1755" t="s">
        <v>43</v>
      </c>
      <c r="G1755" t="s">
        <v>43</v>
      </c>
      <c r="H1755" t="s">
        <v>43</v>
      </c>
      <c r="I1755" t="s">
        <v>817</v>
      </c>
      <c r="J1755" t="s">
        <v>43</v>
      </c>
      <c r="K1755" t="s">
        <v>43</v>
      </c>
      <c r="L1755" t="s">
        <v>43</v>
      </c>
      <c r="M1755" t="s">
        <v>43</v>
      </c>
      <c r="N1755" t="s">
        <v>45</v>
      </c>
      <c r="O1755" t="s">
        <v>43</v>
      </c>
      <c r="P1755" t="s">
        <v>43</v>
      </c>
      <c r="Q1755" t="s">
        <v>43</v>
      </c>
      <c r="R1755" t="s">
        <v>43</v>
      </c>
      <c r="S1755" t="s">
        <v>43</v>
      </c>
      <c r="T1755" t="s">
        <v>43</v>
      </c>
      <c r="U1755" t="s">
        <v>43</v>
      </c>
      <c r="V1755" t="s">
        <v>43</v>
      </c>
      <c r="W1755" t="s">
        <v>43</v>
      </c>
      <c r="X1755" t="s">
        <v>43</v>
      </c>
      <c r="Y1755" t="s">
        <v>43</v>
      </c>
      <c r="Z1755" t="s">
        <v>43</v>
      </c>
      <c r="AA1755" t="s">
        <v>43</v>
      </c>
      <c r="AB1755" t="s">
        <v>43</v>
      </c>
      <c r="AC1755" t="s">
        <v>43</v>
      </c>
      <c r="AD1755" t="s">
        <v>43</v>
      </c>
      <c r="AE1755" t="s">
        <v>43</v>
      </c>
      <c r="AF1755" t="s">
        <v>43</v>
      </c>
      <c r="AG1755" t="s">
        <v>43</v>
      </c>
      <c r="AH1755" t="s">
        <v>43</v>
      </c>
      <c r="AI1755" t="s">
        <v>43</v>
      </c>
      <c r="AJ1755" t="s">
        <v>43</v>
      </c>
      <c r="AK1755" t="s">
        <v>43</v>
      </c>
      <c r="AL1755" t="s">
        <v>43</v>
      </c>
      <c r="AM1755" t="s">
        <v>43</v>
      </c>
      <c r="AN1755" t="str">
        <f>HYPERLINK("https://www.google.com/maps?q=11.05591202,79.06410217","Open Location")</f>
        <v>Open Location</v>
      </c>
    </row>
    <row r="1756" spans="1:40" x14ac:dyDescent="0.3">
      <c r="A1756" s="1">
        <v>46210.796527777777</v>
      </c>
      <c r="B1756" t="s">
        <v>40</v>
      </c>
      <c r="C1756" t="s">
        <v>41</v>
      </c>
      <c r="D1756" s="1">
        <v>46210.799456018518</v>
      </c>
      <c r="E1756" t="s">
        <v>42</v>
      </c>
      <c r="F1756" t="s">
        <v>43</v>
      </c>
      <c r="G1756" t="s">
        <v>43</v>
      </c>
      <c r="H1756" t="s">
        <v>43</v>
      </c>
      <c r="I1756" t="s">
        <v>818</v>
      </c>
      <c r="J1756" t="s">
        <v>43</v>
      </c>
      <c r="K1756" t="s">
        <v>43</v>
      </c>
      <c r="L1756" t="s">
        <v>43</v>
      </c>
      <c r="M1756" t="s">
        <v>43</v>
      </c>
      <c r="N1756" t="s">
        <v>45</v>
      </c>
      <c r="O1756" t="s">
        <v>43</v>
      </c>
      <c r="P1756" t="s">
        <v>43</v>
      </c>
      <c r="Q1756" t="s">
        <v>43</v>
      </c>
      <c r="R1756" t="s">
        <v>43</v>
      </c>
      <c r="S1756" t="s">
        <v>43</v>
      </c>
      <c r="T1756" t="s">
        <v>43</v>
      </c>
      <c r="U1756" t="s">
        <v>43</v>
      </c>
      <c r="V1756" t="s">
        <v>43</v>
      </c>
      <c r="W1756" t="s">
        <v>43</v>
      </c>
      <c r="X1756" t="s">
        <v>43</v>
      </c>
      <c r="Y1756" t="s">
        <v>43</v>
      </c>
      <c r="Z1756" t="s">
        <v>43</v>
      </c>
      <c r="AA1756" t="s">
        <v>43</v>
      </c>
      <c r="AB1756" t="s">
        <v>43</v>
      </c>
      <c r="AC1756" t="s">
        <v>43</v>
      </c>
      <c r="AD1756" t="s">
        <v>43</v>
      </c>
      <c r="AE1756" t="s">
        <v>43</v>
      </c>
      <c r="AF1756" t="s">
        <v>43</v>
      </c>
      <c r="AG1756" t="s">
        <v>43</v>
      </c>
      <c r="AH1756" t="s">
        <v>43</v>
      </c>
      <c r="AI1756" t="s">
        <v>43</v>
      </c>
      <c r="AJ1756" t="s">
        <v>43</v>
      </c>
      <c r="AK1756" t="s">
        <v>43</v>
      </c>
      <c r="AL1756" t="s">
        <v>43</v>
      </c>
      <c r="AM1756" t="s">
        <v>43</v>
      </c>
      <c r="AN1756" t="str">
        <f>HYPERLINK("https://www.google.com/maps?q=11.05591488,79.06410217","Open Location")</f>
        <v>Open Location</v>
      </c>
    </row>
    <row r="1757" spans="1:40" x14ac:dyDescent="0.3">
      <c r="A1757" s="1">
        <v>46210.796412037038</v>
      </c>
      <c r="B1757" t="s">
        <v>40</v>
      </c>
      <c r="C1757" t="s">
        <v>41</v>
      </c>
      <c r="D1757" s="1">
        <v>46210.799201388887</v>
      </c>
      <c r="E1757" t="s">
        <v>42</v>
      </c>
      <c r="F1757" t="s">
        <v>43</v>
      </c>
      <c r="G1757" t="s">
        <v>43</v>
      </c>
      <c r="H1757" t="s">
        <v>43</v>
      </c>
      <c r="I1757" t="s">
        <v>819</v>
      </c>
      <c r="J1757" t="s">
        <v>43</v>
      </c>
      <c r="K1757" t="s">
        <v>43</v>
      </c>
      <c r="L1757" t="s">
        <v>43</v>
      </c>
      <c r="M1757" t="s">
        <v>43</v>
      </c>
      <c r="N1757" t="s">
        <v>45</v>
      </c>
      <c r="O1757" t="s">
        <v>43</v>
      </c>
      <c r="P1757" t="s">
        <v>43</v>
      </c>
      <c r="Q1757" t="s">
        <v>43</v>
      </c>
      <c r="R1757" t="s">
        <v>43</v>
      </c>
      <c r="S1757" t="s">
        <v>43</v>
      </c>
      <c r="T1757" t="s">
        <v>43</v>
      </c>
      <c r="U1757" t="s">
        <v>43</v>
      </c>
      <c r="V1757" t="s">
        <v>43</v>
      </c>
      <c r="W1757" t="s">
        <v>43</v>
      </c>
      <c r="X1757" t="s">
        <v>43</v>
      </c>
      <c r="Y1757" t="s">
        <v>43</v>
      </c>
      <c r="Z1757" t="s">
        <v>43</v>
      </c>
      <c r="AA1757" t="s">
        <v>43</v>
      </c>
      <c r="AB1757" t="s">
        <v>43</v>
      </c>
      <c r="AC1757" t="s">
        <v>43</v>
      </c>
      <c r="AD1757" t="s">
        <v>43</v>
      </c>
      <c r="AE1757" t="s">
        <v>43</v>
      </c>
      <c r="AF1757" t="s">
        <v>43</v>
      </c>
      <c r="AG1757" t="s">
        <v>43</v>
      </c>
      <c r="AH1757" t="s">
        <v>43</v>
      </c>
      <c r="AI1757" t="s">
        <v>43</v>
      </c>
      <c r="AJ1757" t="s">
        <v>43</v>
      </c>
      <c r="AK1757" t="s">
        <v>43</v>
      </c>
      <c r="AL1757" t="s">
        <v>43</v>
      </c>
      <c r="AM1757" t="s">
        <v>43</v>
      </c>
      <c r="AN1757" t="str">
        <f>HYPERLINK("https://www.google.com/maps?q=11.05591393,79.06410217","Open Location")</f>
        <v>Open Location</v>
      </c>
    </row>
    <row r="1758" spans="1:40" x14ac:dyDescent="0.3">
      <c r="A1758" s="1">
        <v>46210.796296296299</v>
      </c>
      <c r="B1758" t="s">
        <v>40</v>
      </c>
      <c r="C1758" t="s">
        <v>41</v>
      </c>
      <c r="D1758" s="1">
        <v>46210.79928240741</v>
      </c>
      <c r="E1758" t="s">
        <v>42</v>
      </c>
      <c r="F1758" t="s">
        <v>43</v>
      </c>
      <c r="G1758" t="s">
        <v>43</v>
      </c>
      <c r="H1758" t="s">
        <v>43</v>
      </c>
      <c r="I1758" t="s">
        <v>43</v>
      </c>
      <c r="J1758" t="s">
        <v>43</v>
      </c>
      <c r="K1758" t="s">
        <v>43</v>
      </c>
      <c r="L1758" t="s">
        <v>43</v>
      </c>
      <c r="M1758" t="s">
        <v>43</v>
      </c>
      <c r="N1758" t="s">
        <v>45</v>
      </c>
      <c r="O1758" t="s">
        <v>43</v>
      </c>
      <c r="P1758" t="s">
        <v>43</v>
      </c>
      <c r="Q1758" t="s">
        <v>43</v>
      </c>
      <c r="R1758" t="s">
        <v>43</v>
      </c>
      <c r="S1758" t="s">
        <v>43</v>
      </c>
      <c r="T1758" t="s">
        <v>43</v>
      </c>
      <c r="U1758" t="s">
        <v>43</v>
      </c>
      <c r="V1758" t="s">
        <v>43</v>
      </c>
      <c r="W1758" t="s">
        <v>43</v>
      </c>
      <c r="X1758" t="s">
        <v>43</v>
      </c>
      <c r="Y1758" t="s">
        <v>43</v>
      </c>
      <c r="Z1758" t="s">
        <v>43</v>
      </c>
      <c r="AA1758" t="s">
        <v>43</v>
      </c>
      <c r="AB1758" t="s">
        <v>43</v>
      </c>
      <c r="AC1758" t="s">
        <v>43</v>
      </c>
      <c r="AD1758" t="s">
        <v>43</v>
      </c>
      <c r="AE1758" t="s">
        <v>43</v>
      </c>
      <c r="AF1758" t="s">
        <v>43</v>
      </c>
      <c r="AG1758" t="s">
        <v>43</v>
      </c>
      <c r="AH1758" t="s">
        <v>43</v>
      </c>
      <c r="AI1758" t="s">
        <v>43</v>
      </c>
      <c r="AJ1758" t="s">
        <v>43</v>
      </c>
      <c r="AK1758" t="s">
        <v>43</v>
      </c>
      <c r="AL1758" t="s">
        <v>43</v>
      </c>
      <c r="AM1758" t="s">
        <v>43</v>
      </c>
      <c r="AN1758" t="s">
        <v>43</v>
      </c>
    </row>
    <row r="1759" spans="1:40" x14ac:dyDescent="0.3">
      <c r="A1759" s="1">
        <v>46210.796180555553</v>
      </c>
      <c r="B1759" t="s">
        <v>40</v>
      </c>
      <c r="C1759" t="s">
        <v>41</v>
      </c>
      <c r="D1759" s="1">
        <v>46210.79891203704</v>
      </c>
      <c r="E1759" t="s">
        <v>42</v>
      </c>
      <c r="F1759" t="s">
        <v>43</v>
      </c>
      <c r="G1759" t="s">
        <v>43</v>
      </c>
      <c r="H1759" t="s">
        <v>43</v>
      </c>
      <c r="I1759" t="s">
        <v>820</v>
      </c>
      <c r="J1759" t="s">
        <v>43</v>
      </c>
      <c r="K1759" t="s">
        <v>43</v>
      </c>
      <c r="L1759" t="s">
        <v>43</v>
      </c>
      <c r="M1759" t="s">
        <v>43</v>
      </c>
      <c r="N1759" t="s">
        <v>45</v>
      </c>
      <c r="O1759" t="s">
        <v>43</v>
      </c>
      <c r="P1759" t="s">
        <v>43</v>
      </c>
      <c r="Q1759" t="s">
        <v>43</v>
      </c>
      <c r="R1759" t="s">
        <v>43</v>
      </c>
      <c r="S1759" t="s">
        <v>43</v>
      </c>
      <c r="T1759" t="s">
        <v>43</v>
      </c>
      <c r="U1759" t="s">
        <v>43</v>
      </c>
      <c r="V1759" t="s">
        <v>43</v>
      </c>
      <c r="W1759" t="s">
        <v>43</v>
      </c>
      <c r="X1759" t="s">
        <v>43</v>
      </c>
      <c r="Y1759" t="s">
        <v>43</v>
      </c>
      <c r="Z1759" t="s">
        <v>43</v>
      </c>
      <c r="AA1759" t="s">
        <v>43</v>
      </c>
      <c r="AB1759" t="s">
        <v>43</v>
      </c>
      <c r="AC1759" t="s">
        <v>43</v>
      </c>
      <c r="AD1759" t="s">
        <v>43</v>
      </c>
      <c r="AE1759" t="s">
        <v>43</v>
      </c>
      <c r="AF1759" t="s">
        <v>43</v>
      </c>
      <c r="AG1759" t="s">
        <v>43</v>
      </c>
      <c r="AH1759" t="s">
        <v>43</v>
      </c>
      <c r="AI1759" t="s">
        <v>43</v>
      </c>
      <c r="AJ1759" t="s">
        <v>43</v>
      </c>
      <c r="AK1759" t="s">
        <v>43</v>
      </c>
      <c r="AL1759" t="s">
        <v>43</v>
      </c>
      <c r="AM1759" t="s">
        <v>43</v>
      </c>
      <c r="AN1759" t="str">
        <f>HYPERLINK("https://www.google.com/maps?q=11.05591583,79.06410217","Open Location")</f>
        <v>Open Location</v>
      </c>
    </row>
    <row r="1760" spans="1:40" x14ac:dyDescent="0.3">
      <c r="A1760" s="1">
        <v>46210.796064814815</v>
      </c>
      <c r="B1760" t="s">
        <v>40</v>
      </c>
      <c r="C1760" t="s">
        <v>41</v>
      </c>
      <c r="D1760" s="1">
        <v>46210.79892361111</v>
      </c>
      <c r="E1760" t="s">
        <v>42</v>
      </c>
      <c r="F1760" t="s">
        <v>43</v>
      </c>
      <c r="G1760" t="s">
        <v>43</v>
      </c>
      <c r="H1760" t="s">
        <v>43</v>
      </c>
      <c r="I1760" t="s">
        <v>821</v>
      </c>
      <c r="J1760" t="s">
        <v>43</v>
      </c>
      <c r="K1760" t="s">
        <v>43</v>
      </c>
      <c r="L1760" t="s">
        <v>43</v>
      </c>
      <c r="M1760" t="s">
        <v>43</v>
      </c>
      <c r="N1760" t="s">
        <v>45</v>
      </c>
      <c r="O1760" t="s">
        <v>43</v>
      </c>
      <c r="P1760" t="s">
        <v>43</v>
      </c>
      <c r="Q1760" t="s">
        <v>43</v>
      </c>
      <c r="R1760" t="s">
        <v>43</v>
      </c>
      <c r="S1760" t="s">
        <v>43</v>
      </c>
      <c r="T1760" t="s">
        <v>43</v>
      </c>
      <c r="U1760" t="s">
        <v>43</v>
      </c>
      <c r="V1760" t="s">
        <v>43</v>
      </c>
      <c r="W1760" t="s">
        <v>43</v>
      </c>
      <c r="X1760" t="s">
        <v>43</v>
      </c>
      <c r="Y1760" t="s">
        <v>43</v>
      </c>
      <c r="Z1760" t="s">
        <v>43</v>
      </c>
      <c r="AA1760" t="s">
        <v>43</v>
      </c>
      <c r="AB1760" t="s">
        <v>43</v>
      </c>
      <c r="AC1760" t="s">
        <v>43</v>
      </c>
      <c r="AD1760" t="s">
        <v>43</v>
      </c>
      <c r="AE1760" t="s">
        <v>43</v>
      </c>
      <c r="AF1760" t="s">
        <v>43</v>
      </c>
      <c r="AG1760" t="s">
        <v>43</v>
      </c>
      <c r="AH1760" t="s">
        <v>43</v>
      </c>
      <c r="AI1760" t="s">
        <v>43</v>
      </c>
      <c r="AJ1760" t="s">
        <v>43</v>
      </c>
      <c r="AK1760" t="s">
        <v>43</v>
      </c>
      <c r="AL1760" t="s">
        <v>43</v>
      </c>
      <c r="AM1760" t="s">
        <v>43</v>
      </c>
      <c r="AN1760" t="str">
        <f>HYPERLINK("https://www.google.com/maps?q=11.05591393,79.06409454","Open Location")</f>
        <v>Open Location</v>
      </c>
    </row>
    <row r="1761" spans="1:40" x14ac:dyDescent="0.3">
      <c r="A1761" s="1">
        <v>46210.795949074076</v>
      </c>
      <c r="B1761" t="s">
        <v>40</v>
      </c>
      <c r="C1761" t="s">
        <v>41</v>
      </c>
      <c r="D1761" s="1">
        <v>46210.798703703702</v>
      </c>
      <c r="E1761" t="s">
        <v>42</v>
      </c>
      <c r="F1761" t="s">
        <v>43</v>
      </c>
      <c r="G1761" t="s">
        <v>43</v>
      </c>
      <c r="H1761" t="s">
        <v>43</v>
      </c>
      <c r="I1761" t="s">
        <v>822</v>
      </c>
      <c r="J1761" t="s">
        <v>43</v>
      </c>
      <c r="K1761" t="s">
        <v>43</v>
      </c>
      <c r="L1761" t="s">
        <v>43</v>
      </c>
      <c r="M1761" t="s">
        <v>43</v>
      </c>
      <c r="N1761" t="s">
        <v>45</v>
      </c>
      <c r="O1761" t="s">
        <v>43</v>
      </c>
      <c r="P1761" t="s">
        <v>43</v>
      </c>
      <c r="Q1761" t="s">
        <v>43</v>
      </c>
      <c r="R1761" t="s">
        <v>43</v>
      </c>
      <c r="S1761" t="s">
        <v>43</v>
      </c>
      <c r="T1761" t="s">
        <v>43</v>
      </c>
      <c r="U1761" t="s">
        <v>43</v>
      </c>
      <c r="V1761" t="s">
        <v>43</v>
      </c>
      <c r="W1761" t="s">
        <v>43</v>
      </c>
      <c r="X1761" t="s">
        <v>43</v>
      </c>
      <c r="Y1761" t="s">
        <v>43</v>
      </c>
      <c r="Z1761" t="s">
        <v>43</v>
      </c>
      <c r="AA1761" t="s">
        <v>43</v>
      </c>
      <c r="AB1761" t="s">
        <v>43</v>
      </c>
      <c r="AC1761" t="s">
        <v>43</v>
      </c>
      <c r="AD1761" t="s">
        <v>43</v>
      </c>
      <c r="AE1761" t="s">
        <v>43</v>
      </c>
      <c r="AF1761" t="s">
        <v>43</v>
      </c>
      <c r="AG1761" t="s">
        <v>43</v>
      </c>
      <c r="AH1761" t="s">
        <v>43</v>
      </c>
      <c r="AI1761" t="s">
        <v>43</v>
      </c>
      <c r="AJ1761" t="s">
        <v>43</v>
      </c>
      <c r="AK1761" t="s">
        <v>43</v>
      </c>
      <c r="AL1761" t="s">
        <v>43</v>
      </c>
      <c r="AM1761" t="s">
        <v>43</v>
      </c>
      <c r="AN1761" t="str">
        <f>HYPERLINK("https://www.google.com/maps?q=11.05591202,79.06409454","Open Location")</f>
        <v>Open Location</v>
      </c>
    </row>
    <row r="1762" spans="1:40" x14ac:dyDescent="0.3">
      <c r="A1762" s="1">
        <v>46210.79583333333</v>
      </c>
      <c r="B1762" t="s">
        <v>40</v>
      </c>
      <c r="C1762" t="s">
        <v>41</v>
      </c>
      <c r="D1762" s="1">
        <v>46210.798900462964</v>
      </c>
      <c r="E1762" t="s">
        <v>42</v>
      </c>
      <c r="F1762" t="s">
        <v>43</v>
      </c>
      <c r="G1762" t="s">
        <v>43</v>
      </c>
      <c r="H1762" t="s">
        <v>43</v>
      </c>
      <c r="I1762" t="s">
        <v>823</v>
      </c>
      <c r="J1762" t="s">
        <v>43</v>
      </c>
      <c r="K1762" t="s">
        <v>43</v>
      </c>
      <c r="L1762" t="s">
        <v>43</v>
      </c>
      <c r="M1762" t="s">
        <v>43</v>
      </c>
      <c r="N1762" t="s">
        <v>45</v>
      </c>
      <c r="O1762" t="s">
        <v>43</v>
      </c>
      <c r="P1762" t="s">
        <v>43</v>
      </c>
      <c r="Q1762" t="s">
        <v>43</v>
      </c>
      <c r="R1762" t="s">
        <v>43</v>
      </c>
      <c r="S1762" t="s">
        <v>43</v>
      </c>
      <c r="T1762" t="s">
        <v>43</v>
      </c>
      <c r="U1762" t="s">
        <v>43</v>
      </c>
      <c r="V1762" t="s">
        <v>43</v>
      </c>
      <c r="W1762" t="s">
        <v>43</v>
      </c>
      <c r="X1762" t="s">
        <v>43</v>
      </c>
      <c r="Y1762" t="s">
        <v>43</v>
      </c>
      <c r="Z1762" t="s">
        <v>43</v>
      </c>
      <c r="AA1762" t="s">
        <v>43</v>
      </c>
      <c r="AB1762" t="s">
        <v>43</v>
      </c>
      <c r="AC1762" t="s">
        <v>43</v>
      </c>
      <c r="AD1762" t="s">
        <v>43</v>
      </c>
      <c r="AE1762" t="s">
        <v>43</v>
      </c>
      <c r="AF1762" t="s">
        <v>43</v>
      </c>
      <c r="AG1762" t="s">
        <v>43</v>
      </c>
      <c r="AH1762" t="s">
        <v>43</v>
      </c>
      <c r="AI1762" t="s">
        <v>43</v>
      </c>
      <c r="AJ1762" t="s">
        <v>43</v>
      </c>
      <c r="AK1762" t="s">
        <v>43</v>
      </c>
      <c r="AL1762" t="s">
        <v>43</v>
      </c>
      <c r="AM1762" t="s">
        <v>43</v>
      </c>
      <c r="AN1762" t="str">
        <f>HYPERLINK("https://www.google.com/maps?q=11.05590439,79.06409454","Open Location")</f>
        <v>Open Location</v>
      </c>
    </row>
    <row r="1763" spans="1:40" x14ac:dyDescent="0.3">
      <c r="A1763" s="1">
        <v>46210.795717592591</v>
      </c>
      <c r="B1763" t="s">
        <v>40</v>
      </c>
      <c r="C1763" t="s">
        <v>41</v>
      </c>
      <c r="D1763" s="1">
        <v>46210.798831018517</v>
      </c>
      <c r="E1763" t="s">
        <v>42</v>
      </c>
      <c r="F1763" t="s">
        <v>43</v>
      </c>
      <c r="G1763" t="s">
        <v>43</v>
      </c>
      <c r="H1763" t="s">
        <v>43</v>
      </c>
      <c r="I1763" t="s">
        <v>43</v>
      </c>
      <c r="J1763" t="s">
        <v>43</v>
      </c>
      <c r="K1763" t="s">
        <v>43</v>
      </c>
      <c r="L1763" t="s">
        <v>43</v>
      </c>
      <c r="M1763" t="s">
        <v>43</v>
      </c>
      <c r="N1763" t="s">
        <v>45</v>
      </c>
      <c r="O1763" t="s">
        <v>43</v>
      </c>
      <c r="P1763" t="s">
        <v>43</v>
      </c>
      <c r="Q1763" t="s">
        <v>43</v>
      </c>
      <c r="R1763" t="s">
        <v>43</v>
      </c>
      <c r="S1763" t="s">
        <v>43</v>
      </c>
      <c r="T1763" t="s">
        <v>43</v>
      </c>
      <c r="U1763" t="s">
        <v>43</v>
      </c>
      <c r="V1763" t="s">
        <v>43</v>
      </c>
      <c r="W1763" t="s">
        <v>43</v>
      </c>
      <c r="X1763" t="s">
        <v>43</v>
      </c>
      <c r="Y1763" t="s">
        <v>43</v>
      </c>
      <c r="Z1763" t="s">
        <v>43</v>
      </c>
      <c r="AA1763" t="s">
        <v>43</v>
      </c>
      <c r="AB1763" t="s">
        <v>43</v>
      </c>
      <c r="AC1763" t="s">
        <v>43</v>
      </c>
      <c r="AD1763" t="s">
        <v>43</v>
      </c>
      <c r="AE1763" t="s">
        <v>43</v>
      </c>
      <c r="AF1763" t="s">
        <v>43</v>
      </c>
      <c r="AG1763" t="s">
        <v>43</v>
      </c>
      <c r="AH1763" t="s">
        <v>43</v>
      </c>
      <c r="AI1763" t="s">
        <v>43</v>
      </c>
      <c r="AJ1763" t="s">
        <v>43</v>
      </c>
      <c r="AK1763" t="s">
        <v>43</v>
      </c>
      <c r="AL1763" t="s">
        <v>43</v>
      </c>
      <c r="AM1763" t="s">
        <v>43</v>
      </c>
      <c r="AN1763" t="s">
        <v>43</v>
      </c>
    </row>
    <row r="1764" spans="1:40" x14ac:dyDescent="0.3">
      <c r="A1764" s="1">
        <v>46210.795601851853</v>
      </c>
      <c r="B1764" t="s">
        <v>40</v>
      </c>
      <c r="C1764" t="s">
        <v>41</v>
      </c>
      <c r="D1764" s="1">
        <v>46210.798703703702</v>
      </c>
      <c r="E1764" t="s">
        <v>42</v>
      </c>
      <c r="F1764" t="s">
        <v>43</v>
      </c>
      <c r="G1764" t="s">
        <v>43</v>
      </c>
      <c r="H1764" t="s">
        <v>43</v>
      </c>
      <c r="I1764" t="s">
        <v>719</v>
      </c>
      <c r="J1764" t="s">
        <v>43</v>
      </c>
      <c r="K1764" t="s">
        <v>43</v>
      </c>
      <c r="L1764" t="s">
        <v>43</v>
      </c>
      <c r="M1764" t="s">
        <v>43</v>
      </c>
      <c r="N1764" t="s">
        <v>45</v>
      </c>
      <c r="O1764" t="s">
        <v>43</v>
      </c>
      <c r="P1764" t="s">
        <v>43</v>
      </c>
      <c r="Q1764" t="s">
        <v>43</v>
      </c>
      <c r="R1764" t="s">
        <v>43</v>
      </c>
      <c r="S1764" t="s">
        <v>43</v>
      </c>
      <c r="T1764" t="s">
        <v>43</v>
      </c>
      <c r="U1764" t="s">
        <v>43</v>
      </c>
      <c r="V1764" t="s">
        <v>43</v>
      </c>
      <c r="W1764" t="s">
        <v>43</v>
      </c>
      <c r="X1764" t="s">
        <v>43</v>
      </c>
      <c r="Y1764" t="s">
        <v>43</v>
      </c>
      <c r="Z1764" t="s">
        <v>43</v>
      </c>
      <c r="AA1764" t="s">
        <v>43</v>
      </c>
      <c r="AB1764" t="s">
        <v>43</v>
      </c>
      <c r="AC1764" t="s">
        <v>43</v>
      </c>
      <c r="AD1764" t="s">
        <v>43</v>
      </c>
      <c r="AE1764" t="s">
        <v>43</v>
      </c>
      <c r="AF1764" t="s">
        <v>43</v>
      </c>
      <c r="AG1764" t="s">
        <v>43</v>
      </c>
      <c r="AH1764" t="s">
        <v>43</v>
      </c>
      <c r="AI1764" t="s">
        <v>43</v>
      </c>
      <c r="AJ1764" t="s">
        <v>43</v>
      </c>
      <c r="AK1764" t="s">
        <v>43</v>
      </c>
      <c r="AL1764" t="s">
        <v>43</v>
      </c>
      <c r="AM1764" t="s">
        <v>43</v>
      </c>
      <c r="AN1764" t="str">
        <f>HYPERLINK("https://www.google.com/maps?q=11.05589581,79.06410217","Open Location")</f>
        <v>Open Location</v>
      </c>
    </row>
    <row r="1765" spans="1:40" x14ac:dyDescent="0.3">
      <c r="A1765" s="1">
        <v>46210.795486111114</v>
      </c>
      <c r="B1765" t="s">
        <v>40</v>
      </c>
      <c r="C1765" t="s">
        <v>41</v>
      </c>
      <c r="D1765" s="1">
        <v>46210.798402777778</v>
      </c>
      <c r="E1765" t="s">
        <v>42</v>
      </c>
      <c r="F1765" t="s">
        <v>43</v>
      </c>
      <c r="G1765" t="s">
        <v>43</v>
      </c>
      <c r="H1765" t="s">
        <v>43</v>
      </c>
      <c r="I1765" t="s">
        <v>824</v>
      </c>
      <c r="J1765" t="s">
        <v>43</v>
      </c>
      <c r="K1765" t="s">
        <v>43</v>
      </c>
      <c r="L1765" t="s">
        <v>43</v>
      </c>
      <c r="M1765" t="s">
        <v>43</v>
      </c>
      <c r="N1765" t="s">
        <v>45</v>
      </c>
      <c r="O1765" t="s">
        <v>43</v>
      </c>
      <c r="P1765" t="s">
        <v>43</v>
      </c>
      <c r="Q1765" t="s">
        <v>43</v>
      </c>
      <c r="R1765" t="s">
        <v>43</v>
      </c>
      <c r="S1765" t="s">
        <v>43</v>
      </c>
      <c r="T1765" t="s">
        <v>43</v>
      </c>
      <c r="U1765" t="s">
        <v>43</v>
      </c>
      <c r="V1765" t="s">
        <v>43</v>
      </c>
      <c r="W1765" t="s">
        <v>43</v>
      </c>
      <c r="X1765" t="s">
        <v>43</v>
      </c>
      <c r="Y1765" t="s">
        <v>43</v>
      </c>
      <c r="Z1765" t="s">
        <v>43</v>
      </c>
      <c r="AA1765" t="s">
        <v>43</v>
      </c>
      <c r="AB1765" t="s">
        <v>43</v>
      </c>
      <c r="AC1765" t="s">
        <v>43</v>
      </c>
      <c r="AD1765" t="s">
        <v>43</v>
      </c>
      <c r="AE1765" t="s">
        <v>43</v>
      </c>
      <c r="AF1765" t="s">
        <v>43</v>
      </c>
      <c r="AG1765" t="s">
        <v>43</v>
      </c>
      <c r="AH1765" t="s">
        <v>43</v>
      </c>
      <c r="AI1765" t="s">
        <v>43</v>
      </c>
      <c r="AJ1765" t="s">
        <v>43</v>
      </c>
      <c r="AK1765" t="s">
        <v>43</v>
      </c>
      <c r="AL1765" t="s">
        <v>43</v>
      </c>
      <c r="AM1765" t="s">
        <v>43</v>
      </c>
      <c r="AN1765" t="str">
        <f>HYPERLINK("https://www.google.com/maps?q=11.05589962,79.06410217","Open Location")</f>
        <v>Open Location</v>
      </c>
    </row>
    <row r="1766" spans="1:40" x14ac:dyDescent="0.3">
      <c r="A1766" s="1">
        <v>46210.795370370368</v>
      </c>
      <c r="B1766" t="s">
        <v>40</v>
      </c>
      <c r="C1766" t="s">
        <v>41</v>
      </c>
      <c r="D1766" s="1">
        <v>46210.798125000001</v>
      </c>
      <c r="E1766" t="s">
        <v>42</v>
      </c>
      <c r="F1766" t="s">
        <v>43</v>
      </c>
      <c r="G1766" t="s">
        <v>43</v>
      </c>
      <c r="H1766" t="s">
        <v>43</v>
      </c>
      <c r="I1766" t="s">
        <v>825</v>
      </c>
      <c r="J1766" t="s">
        <v>43</v>
      </c>
      <c r="K1766" t="s">
        <v>43</v>
      </c>
      <c r="L1766" t="s">
        <v>43</v>
      </c>
      <c r="M1766" t="s">
        <v>43</v>
      </c>
      <c r="N1766" t="s">
        <v>45</v>
      </c>
      <c r="O1766" t="s">
        <v>43</v>
      </c>
      <c r="P1766" t="s">
        <v>43</v>
      </c>
      <c r="Q1766" t="s">
        <v>43</v>
      </c>
      <c r="R1766" t="s">
        <v>43</v>
      </c>
      <c r="S1766" t="s">
        <v>43</v>
      </c>
      <c r="T1766" t="s">
        <v>43</v>
      </c>
      <c r="U1766" t="s">
        <v>43</v>
      </c>
      <c r="V1766" t="s">
        <v>43</v>
      </c>
      <c r="W1766" t="s">
        <v>43</v>
      </c>
      <c r="X1766" t="s">
        <v>43</v>
      </c>
      <c r="Y1766" t="s">
        <v>43</v>
      </c>
      <c r="Z1766" t="s">
        <v>43</v>
      </c>
      <c r="AA1766" t="s">
        <v>43</v>
      </c>
      <c r="AB1766" t="s">
        <v>43</v>
      </c>
      <c r="AC1766" t="s">
        <v>43</v>
      </c>
      <c r="AD1766" t="s">
        <v>43</v>
      </c>
      <c r="AE1766" t="s">
        <v>43</v>
      </c>
      <c r="AF1766" t="s">
        <v>43</v>
      </c>
      <c r="AG1766" t="s">
        <v>43</v>
      </c>
      <c r="AH1766" t="s">
        <v>43</v>
      </c>
      <c r="AI1766" t="s">
        <v>43</v>
      </c>
      <c r="AJ1766" t="s">
        <v>43</v>
      </c>
      <c r="AK1766" t="s">
        <v>43</v>
      </c>
      <c r="AL1766" t="s">
        <v>43</v>
      </c>
      <c r="AM1766" t="s">
        <v>43</v>
      </c>
      <c r="AN1766" t="str">
        <f>HYPERLINK("https://www.google.com/maps?q=11.05590343,79.06410217","Open Location")</f>
        <v>Open Location</v>
      </c>
    </row>
    <row r="1767" spans="1:40" x14ac:dyDescent="0.3">
      <c r="A1767" s="1">
        <v>46210.795254629629</v>
      </c>
      <c r="B1767" t="s">
        <v>40</v>
      </c>
      <c r="C1767" t="s">
        <v>41</v>
      </c>
      <c r="D1767" s="1">
        <v>46210.798055555555</v>
      </c>
      <c r="E1767" t="s">
        <v>42</v>
      </c>
      <c r="F1767" t="s">
        <v>43</v>
      </c>
      <c r="G1767" t="s">
        <v>43</v>
      </c>
      <c r="H1767" t="s">
        <v>43</v>
      </c>
      <c r="I1767" t="s">
        <v>826</v>
      </c>
      <c r="J1767" t="s">
        <v>43</v>
      </c>
      <c r="K1767" t="s">
        <v>43</v>
      </c>
      <c r="L1767" t="s">
        <v>43</v>
      </c>
      <c r="M1767" t="s">
        <v>43</v>
      </c>
      <c r="N1767" t="s">
        <v>45</v>
      </c>
      <c r="O1767" t="s">
        <v>43</v>
      </c>
      <c r="P1767" t="s">
        <v>43</v>
      </c>
      <c r="Q1767" t="s">
        <v>43</v>
      </c>
      <c r="R1767" t="s">
        <v>43</v>
      </c>
      <c r="S1767" t="s">
        <v>43</v>
      </c>
      <c r="T1767" t="s">
        <v>43</v>
      </c>
      <c r="U1767" t="s">
        <v>43</v>
      </c>
      <c r="V1767" t="s">
        <v>43</v>
      </c>
      <c r="W1767" t="s">
        <v>43</v>
      </c>
      <c r="X1767" t="s">
        <v>43</v>
      </c>
      <c r="Y1767" t="s">
        <v>43</v>
      </c>
      <c r="Z1767" t="s">
        <v>43</v>
      </c>
      <c r="AA1767" t="s">
        <v>43</v>
      </c>
      <c r="AB1767" t="s">
        <v>43</v>
      </c>
      <c r="AC1767" t="s">
        <v>43</v>
      </c>
      <c r="AD1767" t="s">
        <v>43</v>
      </c>
      <c r="AE1767" t="s">
        <v>43</v>
      </c>
      <c r="AF1767" t="s">
        <v>43</v>
      </c>
      <c r="AG1767" t="s">
        <v>43</v>
      </c>
      <c r="AH1767" t="s">
        <v>43</v>
      </c>
      <c r="AI1767" t="s">
        <v>43</v>
      </c>
      <c r="AJ1767" t="s">
        <v>43</v>
      </c>
      <c r="AK1767" t="s">
        <v>43</v>
      </c>
      <c r="AL1767" t="s">
        <v>43</v>
      </c>
      <c r="AM1767" t="s">
        <v>43</v>
      </c>
      <c r="AN1767" t="str">
        <f>HYPERLINK("https://www.google.com/maps?q=11.05590439,79.06410217","Open Location")</f>
        <v>Open Location</v>
      </c>
    </row>
    <row r="1768" spans="1:40" x14ac:dyDescent="0.3">
      <c r="A1768" s="1">
        <v>46210.795138888891</v>
      </c>
      <c r="B1768" t="s">
        <v>40</v>
      </c>
      <c r="C1768" t="s">
        <v>41</v>
      </c>
      <c r="D1768" s="1">
        <v>46210.798194444447</v>
      </c>
      <c r="E1768" t="s">
        <v>42</v>
      </c>
      <c r="F1768" t="s">
        <v>43</v>
      </c>
      <c r="G1768" t="s">
        <v>43</v>
      </c>
      <c r="H1768" t="s">
        <v>43</v>
      </c>
      <c r="I1768" t="s">
        <v>817</v>
      </c>
      <c r="J1768" t="s">
        <v>43</v>
      </c>
      <c r="K1768" t="s">
        <v>43</v>
      </c>
      <c r="L1768" t="s">
        <v>43</v>
      </c>
      <c r="M1768" t="s">
        <v>43</v>
      </c>
      <c r="N1768" t="s">
        <v>45</v>
      </c>
      <c r="O1768" t="s">
        <v>43</v>
      </c>
      <c r="P1768" t="s">
        <v>43</v>
      </c>
      <c r="Q1768" t="s">
        <v>43</v>
      </c>
      <c r="R1768" t="s">
        <v>43</v>
      </c>
      <c r="S1768" t="s">
        <v>43</v>
      </c>
      <c r="T1768" t="s">
        <v>43</v>
      </c>
      <c r="U1768" t="s">
        <v>43</v>
      </c>
      <c r="V1768" t="s">
        <v>43</v>
      </c>
      <c r="W1768" t="s">
        <v>43</v>
      </c>
      <c r="X1768" t="s">
        <v>43</v>
      </c>
      <c r="Y1768" t="s">
        <v>43</v>
      </c>
      <c r="Z1768" t="s">
        <v>43</v>
      </c>
      <c r="AA1768" t="s">
        <v>43</v>
      </c>
      <c r="AB1768" t="s">
        <v>43</v>
      </c>
      <c r="AC1768" t="s">
        <v>43</v>
      </c>
      <c r="AD1768" t="s">
        <v>43</v>
      </c>
      <c r="AE1768" t="s">
        <v>43</v>
      </c>
      <c r="AF1768" t="s">
        <v>43</v>
      </c>
      <c r="AG1768" t="s">
        <v>43</v>
      </c>
      <c r="AH1768" t="s">
        <v>43</v>
      </c>
      <c r="AI1768" t="s">
        <v>43</v>
      </c>
      <c r="AJ1768" t="s">
        <v>43</v>
      </c>
      <c r="AK1768" t="s">
        <v>43</v>
      </c>
      <c r="AL1768" t="s">
        <v>43</v>
      </c>
      <c r="AM1768" t="s">
        <v>43</v>
      </c>
      <c r="AN1768" t="str">
        <f>HYPERLINK("https://www.google.com/maps?q=11.05591202,79.06410217","Open Location")</f>
        <v>Open Location</v>
      </c>
    </row>
    <row r="1769" spans="1:40" x14ac:dyDescent="0.3">
      <c r="A1769" s="1">
        <v>46210.795023148145</v>
      </c>
      <c r="B1769" t="s">
        <v>40</v>
      </c>
      <c r="C1769" t="s">
        <v>41</v>
      </c>
      <c r="D1769" s="1">
        <v>46210.797974537039</v>
      </c>
      <c r="E1769" t="s">
        <v>42</v>
      </c>
      <c r="F1769" t="s">
        <v>43</v>
      </c>
      <c r="G1769" t="s">
        <v>43</v>
      </c>
      <c r="H1769" t="s">
        <v>43</v>
      </c>
      <c r="I1769" t="s">
        <v>43</v>
      </c>
      <c r="J1769" t="s">
        <v>43</v>
      </c>
      <c r="K1769" t="s">
        <v>43</v>
      </c>
      <c r="L1769" t="s">
        <v>43</v>
      </c>
      <c r="M1769" t="s">
        <v>43</v>
      </c>
      <c r="N1769" t="s">
        <v>45</v>
      </c>
      <c r="O1769" t="s">
        <v>43</v>
      </c>
      <c r="P1769" t="s">
        <v>43</v>
      </c>
      <c r="Q1769" t="s">
        <v>43</v>
      </c>
      <c r="R1769" t="s">
        <v>43</v>
      </c>
      <c r="S1769" t="s">
        <v>43</v>
      </c>
      <c r="T1769" t="s">
        <v>43</v>
      </c>
      <c r="U1769" t="s">
        <v>43</v>
      </c>
      <c r="V1769" t="s">
        <v>43</v>
      </c>
      <c r="W1769" t="s">
        <v>43</v>
      </c>
      <c r="X1769" t="s">
        <v>43</v>
      </c>
      <c r="Y1769" t="s">
        <v>43</v>
      </c>
      <c r="Z1769" t="s">
        <v>43</v>
      </c>
      <c r="AA1769" t="s">
        <v>43</v>
      </c>
      <c r="AB1769" t="s">
        <v>43</v>
      </c>
      <c r="AC1769" t="s">
        <v>43</v>
      </c>
      <c r="AD1769" t="s">
        <v>43</v>
      </c>
      <c r="AE1769" t="s">
        <v>43</v>
      </c>
      <c r="AF1769" t="s">
        <v>43</v>
      </c>
      <c r="AG1769" t="s">
        <v>43</v>
      </c>
      <c r="AH1769" t="s">
        <v>43</v>
      </c>
      <c r="AI1769" t="s">
        <v>43</v>
      </c>
      <c r="AJ1769" t="s">
        <v>43</v>
      </c>
      <c r="AK1769" t="s">
        <v>43</v>
      </c>
      <c r="AL1769" t="s">
        <v>43</v>
      </c>
      <c r="AM1769" t="s">
        <v>43</v>
      </c>
      <c r="AN1769" t="s">
        <v>43</v>
      </c>
    </row>
    <row r="1770" spans="1:40" x14ac:dyDescent="0.3">
      <c r="A1770" s="1">
        <v>46210.794907407406</v>
      </c>
      <c r="B1770" t="s">
        <v>40</v>
      </c>
      <c r="C1770" t="s">
        <v>41</v>
      </c>
      <c r="D1770" s="1">
        <v>46210.797974537039</v>
      </c>
      <c r="E1770" t="s">
        <v>42</v>
      </c>
      <c r="F1770" t="s">
        <v>43</v>
      </c>
      <c r="G1770" t="s">
        <v>43</v>
      </c>
      <c r="H1770" t="s">
        <v>43</v>
      </c>
      <c r="I1770" t="s">
        <v>827</v>
      </c>
      <c r="J1770" t="s">
        <v>43</v>
      </c>
      <c r="K1770" t="s">
        <v>43</v>
      </c>
      <c r="L1770" t="s">
        <v>43</v>
      </c>
      <c r="M1770" t="s">
        <v>43</v>
      </c>
      <c r="N1770" t="s">
        <v>45</v>
      </c>
      <c r="O1770" t="s">
        <v>43</v>
      </c>
      <c r="P1770" t="s">
        <v>43</v>
      </c>
      <c r="Q1770" t="s">
        <v>43</v>
      </c>
      <c r="R1770" t="s">
        <v>43</v>
      </c>
      <c r="S1770" t="s">
        <v>43</v>
      </c>
      <c r="T1770" t="s">
        <v>43</v>
      </c>
      <c r="U1770" t="s">
        <v>43</v>
      </c>
      <c r="V1770" t="s">
        <v>43</v>
      </c>
      <c r="W1770" t="s">
        <v>43</v>
      </c>
      <c r="X1770" t="s">
        <v>43</v>
      </c>
      <c r="Y1770" t="s">
        <v>43</v>
      </c>
      <c r="Z1770" t="s">
        <v>43</v>
      </c>
      <c r="AA1770" t="s">
        <v>43</v>
      </c>
      <c r="AB1770" t="s">
        <v>43</v>
      </c>
      <c r="AC1770" t="s">
        <v>43</v>
      </c>
      <c r="AD1770" t="s">
        <v>43</v>
      </c>
      <c r="AE1770" t="s">
        <v>43</v>
      </c>
      <c r="AF1770" t="s">
        <v>43</v>
      </c>
      <c r="AG1770" t="s">
        <v>43</v>
      </c>
      <c r="AH1770" t="s">
        <v>43</v>
      </c>
      <c r="AI1770" t="s">
        <v>43</v>
      </c>
      <c r="AJ1770" t="s">
        <v>43</v>
      </c>
      <c r="AK1770" t="s">
        <v>43</v>
      </c>
      <c r="AL1770" t="s">
        <v>43</v>
      </c>
      <c r="AM1770" t="s">
        <v>43</v>
      </c>
      <c r="AN1770" t="str">
        <f>HYPERLINK("https://www.google.com/maps?q=11.05590725,79.06410217","Open Location")</f>
        <v>Open Location</v>
      </c>
    </row>
    <row r="1771" spans="1:40" x14ac:dyDescent="0.3">
      <c r="A1771" s="1">
        <v>46210.794791666667</v>
      </c>
      <c r="B1771" t="s">
        <v>40</v>
      </c>
      <c r="C1771" t="s">
        <v>41</v>
      </c>
      <c r="D1771" s="1">
        <v>46210.797534722224</v>
      </c>
      <c r="E1771" t="s">
        <v>42</v>
      </c>
      <c r="F1771" t="s">
        <v>43</v>
      </c>
      <c r="G1771" t="s">
        <v>43</v>
      </c>
      <c r="H1771" t="s">
        <v>43</v>
      </c>
      <c r="I1771" t="s">
        <v>828</v>
      </c>
      <c r="J1771" t="s">
        <v>43</v>
      </c>
      <c r="K1771" t="s">
        <v>43</v>
      </c>
      <c r="L1771" t="s">
        <v>43</v>
      </c>
      <c r="M1771" t="s">
        <v>43</v>
      </c>
      <c r="N1771" t="s">
        <v>45</v>
      </c>
      <c r="O1771" t="s">
        <v>43</v>
      </c>
      <c r="P1771" t="s">
        <v>43</v>
      </c>
      <c r="Q1771" t="s">
        <v>43</v>
      </c>
      <c r="R1771" t="s">
        <v>43</v>
      </c>
      <c r="S1771" t="s">
        <v>43</v>
      </c>
      <c r="T1771" t="s">
        <v>43</v>
      </c>
      <c r="U1771" t="s">
        <v>43</v>
      </c>
      <c r="V1771" t="s">
        <v>43</v>
      </c>
      <c r="W1771" t="s">
        <v>43</v>
      </c>
      <c r="X1771" t="s">
        <v>43</v>
      </c>
      <c r="Y1771" t="s">
        <v>43</v>
      </c>
      <c r="Z1771" t="s">
        <v>43</v>
      </c>
      <c r="AA1771" t="s">
        <v>43</v>
      </c>
      <c r="AB1771" t="s">
        <v>43</v>
      </c>
      <c r="AC1771" t="s">
        <v>43</v>
      </c>
      <c r="AD1771" t="s">
        <v>43</v>
      </c>
      <c r="AE1771" t="s">
        <v>43</v>
      </c>
      <c r="AF1771" t="s">
        <v>43</v>
      </c>
      <c r="AG1771" t="s">
        <v>43</v>
      </c>
      <c r="AH1771" t="s">
        <v>43</v>
      </c>
      <c r="AI1771" t="s">
        <v>43</v>
      </c>
      <c r="AJ1771" t="s">
        <v>43</v>
      </c>
      <c r="AK1771" t="s">
        <v>43</v>
      </c>
      <c r="AL1771" t="s">
        <v>43</v>
      </c>
      <c r="AM1771" t="s">
        <v>43</v>
      </c>
      <c r="AN1771" t="str">
        <f>HYPERLINK("https://www.google.com/maps?q=11.05590725,79.06409454","Open Location")</f>
        <v>Open Location</v>
      </c>
    </row>
    <row r="1772" spans="1:40" x14ac:dyDescent="0.3">
      <c r="A1772" s="1">
        <v>46210.794675925928</v>
      </c>
      <c r="B1772" t="s">
        <v>40</v>
      </c>
      <c r="C1772" t="s">
        <v>41</v>
      </c>
      <c r="D1772" s="1">
        <v>46210.797476851854</v>
      </c>
      <c r="E1772" t="s">
        <v>42</v>
      </c>
      <c r="F1772" t="s">
        <v>43</v>
      </c>
      <c r="G1772" t="s">
        <v>43</v>
      </c>
      <c r="H1772" t="s">
        <v>43</v>
      </c>
      <c r="I1772" t="s">
        <v>829</v>
      </c>
      <c r="J1772" t="s">
        <v>43</v>
      </c>
      <c r="K1772" t="s">
        <v>43</v>
      </c>
      <c r="L1772" t="s">
        <v>43</v>
      </c>
      <c r="M1772" t="s">
        <v>43</v>
      </c>
      <c r="N1772" t="s">
        <v>45</v>
      </c>
      <c r="O1772" t="s">
        <v>43</v>
      </c>
      <c r="P1772" t="s">
        <v>43</v>
      </c>
      <c r="Q1772" t="s">
        <v>43</v>
      </c>
      <c r="R1772" t="s">
        <v>43</v>
      </c>
      <c r="S1772" t="s">
        <v>43</v>
      </c>
      <c r="T1772" t="s">
        <v>43</v>
      </c>
      <c r="U1772" t="s">
        <v>43</v>
      </c>
      <c r="V1772" t="s">
        <v>43</v>
      </c>
      <c r="W1772" t="s">
        <v>43</v>
      </c>
      <c r="X1772" t="s">
        <v>43</v>
      </c>
      <c r="Y1772" t="s">
        <v>43</v>
      </c>
      <c r="Z1772" t="s">
        <v>43</v>
      </c>
      <c r="AA1772" t="s">
        <v>43</v>
      </c>
      <c r="AB1772" t="s">
        <v>43</v>
      </c>
      <c r="AC1772" t="s">
        <v>43</v>
      </c>
      <c r="AD1772" t="s">
        <v>43</v>
      </c>
      <c r="AE1772" t="s">
        <v>43</v>
      </c>
      <c r="AF1772" t="s">
        <v>43</v>
      </c>
      <c r="AG1772" t="s">
        <v>43</v>
      </c>
      <c r="AH1772" t="s">
        <v>43</v>
      </c>
      <c r="AI1772" t="s">
        <v>43</v>
      </c>
      <c r="AJ1772" t="s">
        <v>43</v>
      </c>
      <c r="AK1772" t="s">
        <v>43</v>
      </c>
      <c r="AL1772" t="s">
        <v>43</v>
      </c>
      <c r="AM1772" t="s">
        <v>43</v>
      </c>
      <c r="AN1772" t="str">
        <f>HYPERLINK("https://www.google.com/maps?q=11.05590343,79.06409454","Open Location")</f>
        <v>Open Location</v>
      </c>
    </row>
    <row r="1773" spans="1:40" x14ac:dyDescent="0.3">
      <c r="A1773" s="1">
        <v>46210.794560185182</v>
      </c>
      <c r="B1773" t="s">
        <v>40</v>
      </c>
      <c r="C1773" t="s">
        <v>41</v>
      </c>
      <c r="D1773" s="1">
        <v>46210.797534722224</v>
      </c>
      <c r="E1773" t="s">
        <v>42</v>
      </c>
      <c r="F1773" t="s">
        <v>43</v>
      </c>
      <c r="G1773" t="s">
        <v>43</v>
      </c>
      <c r="H1773" t="s">
        <v>43</v>
      </c>
      <c r="I1773" t="s">
        <v>722</v>
      </c>
      <c r="J1773" t="s">
        <v>43</v>
      </c>
      <c r="K1773" t="s">
        <v>43</v>
      </c>
      <c r="L1773" t="s">
        <v>43</v>
      </c>
      <c r="M1773" t="s">
        <v>43</v>
      </c>
      <c r="N1773" t="s">
        <v>45</v>
      </c>
      <c r="O1773" t="s">
        <v>43</v>
      </c>
      <c r="P1773" t="s">
        <v>43</v>
      </c>
      <c r="Q1773" t="s">
        <v>43</v>
      </c>
      <c r="R1773" t="s">
        <v>43</v>
      </c>
      <c r="S1773" t="s">
        <v>43</v>
      </c>
      <c r="T1773" t="s">
        <v>43</v>
      </c>
      <c r="U1773" t="s">
        <v>43</v>
      </c>
      <c r="V1773" t="s">
        <v>43</v>
      </c>
      <c r="W1773" t="s">
        <v>43</v>
      </c>
      <c r="X1773" t="s">
        <v>43</v>
      </c>
      <c r="Y1773" t="s">
        <v>43</v>
      </c>
      <c r="Z1773" t="s">
        <v>43</v>
      </c>
      <c r="AA1773" t="s">
        <v>43</v>
      </c>
      <c r="AB1773" t="s">
        <v>43</v>
      </c>
      <c r="AC1773" t="s">
        <v>43</v>
      </c>
      <c r="AD1773" t="s">
        <v>43</v>
      </c>
      <c r="AE1773" t="s">
        <v>43</v>
      </c>
      <c r="AF1773" t="s">
        <v>43</v>
      </c>
      <c r="AG1773" t="s">
        <v>43</v>
      </c>
      <c r="AH1773" t="s">
        <v>43</v>
      </c>
      <c r="AI1773" t="s">
        <v>43</v>
      </c>
      <c r="AJ1773" t="s">
        <v>43</v>
      </c>
      <c r="AK1773" t="s">
        <v>43</v>
      </c>
      <c r="AL1773" t="s">
        <v>43</v>
      </c>
      <c r="AM1773" t="s">
        <v>43</v>
      </c>
      <c r="AN1773" t="str">
        <f>HYPERLINK("https://www.google.com/maps?q=11.05589485,79.0641098","Open Location")</f>
        <v>Open Location</v>
      </c>
    </row>
    <row r="1774" spans="1:40" x14ac:dyDescent="0.3">
      <c r="A1774" s="1">
        <v>46210.794444444444</v>
      </c>
      <c r="B1774" t="s">
        <v>40</v>
      </c>
      <c r="C1774" t="s">
        <v>41</v>
      </c>
      <c r="D1774" s="1">
        <v>46210.797361111108</v>
      </c>
      <c r="E1774" t="s">
        <v>42</v>
      </c>
      <c r="F1774" t="s">
        <v>43</v>
      </c>
      <c r="G1774" t="s">
        <v>43</v>
      </c>
      <c r="H1774" t="s">
        <v>43</v>
      </c>
      <c r="I1774" t="s">
        <v>830</v>
      </c>
      <c r="J1774" t="s">
        <v>43</v>
      </c>
      <c r="K1774" t="s">
        <v>43</v>
      </c>
      <c r="L1774" t="s">
        <v>43</v>
      </c>
      <c r="M1774" t="s">
        <v>43</v>
      </c>
      <c r="N1774" t="s">
        <v>45</v>
      </c>
      <c r="O1774" t="s">
        <v>43</v>
      </c>
      <c r="P1774" t="s">
        <v>43</v>
      </c>
      <c r="Q1774" t="s">
        <v>43</v>
      </c>
      <c r="R1774" t="s">
        <v>43</v>
      </c>
      <c r="S1774" t="s">
        <v>43</v>
      </c>
      <c r="T1774" t="s">
        <v>43</v>
      </c>
      <c r="U1774" t="s">
        <v>43</v>
      </c>
      <c r="V1774" t="s">
        <v>43</v>
      </c>
      <c r="W1774" t="s">
        <v>43</v>
      </c>
      <c r="X1774" t="s">
        <v>43</v>
      </c>
      <c r="Y1774" t="s">
        <v>43</v>
      </c>
      <c r="Z1774" t="s">
        <v>43</v>
      </c>
      <c r="AA1774" t="s">
        <v>43</v>
      </c>
      <c r="AB1774" t="s">
        <v>43</v>
      </c>
      <c r="AC1774" t="s">
        <v>43</v>
      </c>
      <c r="AD1774" t="s">
        <v>43</v>
      </c>
      <c r="AE1774" t="s">
        <v>43</v>
      </c>
      <c r="AF1774" t="s">
        <v>43</v>
      </c>
      <c r="AG1774" t="s">
        <v>43</v>
      </c>
      <c r="AH1774" t="s">
        <v>43</v>
      </c>
      <c r="AI1774" t="s">
        <v>43</v>
      </c>
      <c r="AJ1774" t="s">
        <v>43</v>
      </c>
      <c r="AK1774" t="s">
        <v>43</v>
      </c>
      <c r="AL1774" t="s">
        <v>43</v>
      </c>
      <c r="AM1774" t="s">
        <v>43</v>
      </c>
      <c r="AN1774" t="str">
        <f>HYPERLINK("https://www.google.com/maps?q=11.05589008,79.0641098","Open Location")</f>
        <v>Open Location</v>
      </c>
    </row>
    <row r="1775" spans="1:40" x14ac:dyDescent="0.3">
      <c r="A1775" s="1">
        <v>46210.794328703705</v>
      </c>
      <c r="B1775" t="s">
        <v>40</v>
      </c>
      <c r="C1775" t="s">
        <v>41</v>
      </c>
      <c r="D1775" s="1">
        <v>46210.797002314815</v>
      </c>
      <c r="E1775" t="s">
        <v>42</v>
      </c>
      <c r="F1775" t="s">
        <v>43</v>
      </c>
      <c r="G1775" t="s">
        <v>43</v>
      </c>
      <c r="H1775" t="s">
        <v>43</v>
      </c>
      <c r="I1775" t="s">
        <v>43</v>
      </c>
      <c r="J1775" t="s">
        <v>43</v>
      </c>
      <c r="K1775" t="s">
        <v>43</v>
      </c>
      <c r="L1775" t="s">
        <v>43</v>
      </c>
      <c r="M1775" t="s">
        <v>43</v>
      </c>
      <c r="N1775" t="s">
        <v>45</v>
      </c>
      <c r="O1775" t="s">
        <v>43</v>
      </c>
      <c r="P1775" t="s">
        <v>43</v>
      </c>
      <c r="Q1775" t="s">
        <v>43</v>
      </c>
      <c r="R1775" t="s">
        <v>43</v>
      </c>
      <c r="S1775" t="s">
        <v>43</v>
      </c>
      <c r="T1775" t="s">
        <v>43</v>
      </c>
      <c r="U1775" t="s">
        <v>43</v>
      </c>
      <c r="V1775" t="s">
        <v>43</v>
      </c>
      <c r="W1775" t="s">
        <v>43</v>
      </c>
      <c r="X1775" t="s">
        <v>43</v>
      </c>
      <c r="Y1775" t="s">
        <v>43</v>
      </c>
      <c r="Z1775" t="s">
        <v>43</v>
      </c>
      <c r="AA1775" t="s">
        <v>43</v>
      </c>
      <c r="AB1775" t="s">
        <v>43</v>
      </c>
      <c r="AC1775" t="s">
        <v>43</v>
      </c>
      <c r="AD1775" t="s">
        <v>43</v>
      </c>
      <c r="AE1775" t="s">
        <v>43</v>
      </c>
      <c r="AF1775" t="s">
        <v>43</v>
      </c>
      <c r="AG1775" t="s">
        <v>43</v>
      </c>
      <c r="AH1775" t="s">
        <v>43</v>
      </c>
      <c r="AI1775" t="s">
        <v>43</v>
      </c>
      <c r="AJ1775" t="s">
        <v>43</v>
      </c>
      <c r="AK1775" t="s">
        <v>43</v>
      </c>
      <c r="AL1775" t="s">
        <v>43</v>
      </c>
      <c r="AM1775" t="s">
        <v>43</v>
      </c>
      <c r="AN1775" t="s">
        <v>43</v>
      </c>
    </row>
    <row r="1776" spans="1:40" x14ac:dyDescent="0.3">
      <c r="A1776" s="1">
        <v>46210.794212962966</v>
      </c>
      <c r="B1776" t="s">
        <v>40</v>
      </c>
      <c r="C1776" t="s">
        <v>41</v>
      </c>
      <c r="D1776" s="1">
        <v>46210.797106481485</v>
      </c>
      <c r="E1776" t="s">
        <v>42</v>
      </c>
      <c r="F1776" t="s">
        <v>43</v>
      </c>
      <c r="G1776" t="s">
        <v>43</v>
      </c>
      <c r="H1776" t="s">
        <v>43</v>
      </c>
      <c r="I1776" t="s">
        <v>805</v>
      </c>
      <c r="J1776" t="s">
        <v>43</v>
      </c>
      <c r="K1776" t="s">
        <v>43</v>
      </c>
      <c r="L1776" t="s">
        <v>43</v>
      </c>
      <c r="M1776" t="s">
        <v>43</v>
      </c>
      <c r="N1776" t="s">
        <v>45</v>
      </c>
      <c r="O1776" t="s">
        <v>43</v>
      </c>
      <c r="P1776" t="s">
        <v>43</v>
      </c>
      <c r="Q1776" t="s">
        <v>43</v>
      </c>
      <c r="R1776" t="s">
        <v>43</v>
      </c>
      <c r="S1776" t="s">
        <v>43</v>
      </c>
      <c r="T1776" t="s">
        <v>43</v>
      </c>
      <c r="U1776" t="s">
        <v>43</v>
      </c>
      <c r="V1776" t="s">
        <v>43</v>
      </c>
      <c r="W1776" t="s">
        <v>43</v>
      </c>
      <c r="X1776" t="s">
        <v>43</v>
      </c>
      <c r="Y1776" t="s">
        <v>43</v>
      </c>
      <c r="Z1776" t="s">
        <v>43</v>
      </c>
      <c r="AA1776" t="s">
        <v>43</v>
      </c>
      <c r="AB1776" t="s">
        <v>43</v>
      </c>
      <c r="AC1776" t="s">
        <v>43</v>
      </c>
      <c r="AD1776" t="s">
        <v>43</v>
      </c>
      <c r="AE1776" t="s">
        <v>43</v>
      </c>
      <c r="AF1776" t="s">
        <v>43</v>
      </c>
      <c r="AG1776" t="s">
        <v>43</v>
      </c>
      <c r="AH1776" t="s">
        <v>43</v>
      </c>
      <c r="AI1776" t="s">
        <v>43</v>
      </c>
      <c r="AJ1776" t="s">
        <v>43</v>
      </c>
      <c r="AK1776" t="s">
        <v>43</v>
      </c>
      <c r="AL1776" t="s">
        <v>43</v>
      </c>
      <c r="AM1776" t="s">
        <v>43</v>
      </c>
      <c r="AN1776" t="str">
        <f>HYPERLINK("https://www.google.com/maps?q=11.05588913,79.0641098","Open Location")</f>
        <v>Open Location</v>
      </c>
    </row>
    <row r="1777" spans="1:40" x14ac:dyDescent="0.3">
      <c r="A1777" s="1">
        <v>46210.79409722222</v>
      </c>
      <c r="B1777" t="s">
        <v>40</v>
      </c>
      <c r="C1777" t="s">
        <v>41</v>
      </c>
      <c r="D1777" s="1">
        <v>46210.796759259261</v>
      </c>
      <c r="E1777" t="s">
        <v>42</v>
      </c>
      <c r="F1777" t="s">
        <v>43</v>
      </c>
      <c r="G1777" t="s">
        <v>43</v>
      </c>
      <c r="H1777" t="s">
        <v>43</v>
      </c>
      <c r="I1777" t="s">
        <v>603</v>
      </c>
      <c r="J1777" t="s">
        <v>43</v>
      </c>
      <c r="K1777" t="s">
        <v>43</v>
      </c>
      <c r="L1777" t="s">
        <v>43</v>
      </c>
      <c r="M1777" t="s">
        <v>43</v>
      </c>
      <c r="N1777" t="s">
        <v>45</v>
      </c>
      <c r="O1777" t="s">
        <v>43</v>
      </c>
      <c r="P1777" t="s">
        <v>43</v>
      </c>
      <c r="Q1777" t="s">
        <v>43</v>
      </c>
      <c r="R1777" t="s">
        <v>43</v>
      </c>
      <c r="S1777" t="s">
        <v>43</v>
      </c>
      <c r="T1777" t="s">
        <v>43</v>
      </c>
      <c r="U1777" t="s">
        <v>43</v>
      </c>
      <c r="V1777" t="s">
        <v>43</v>
      </c>
      <c r="W1777" t="s">
        <v>43</v>
      </c>
      <c r="X1777" t="s">
        <v>43</v>
      </c>
      <c r="Y1777" t="s">
        <v>43</v>
      </c>
      <c r="Z1777" t="s">
        <v>43</v>
      </c>
      <c r="AA1777" t="s">
        <v>43</v>
      </c>
      <c r="AB1777" t="s">
        <v>43</v>
      </c>
      <c r="AC1777" t="s">
        <v>43</v>
      </c>
      <c r="AD1777" t="s">
        <v>43</v>
      </c>
      <c r="AE1777" t="s">
        <v>43</v>
      </c>
      <c r="AF1777" t="s">
        <v>43</v>
      </c>
      <c r="AG1777" t="s">
        <v>43</v>
      </c>
      <c r="AH1777" t="s">
        <v>43</v>
      </c>
      <c r="AI1777" t="s">
        <v>43</v>
      </c>
      <c r="AJ1777" t="s">
        <v>43</v>
      </c>
      <c r="AK1777" t="s">
        <v>43</v>
      </c>
      <c r="AL1777" t="s">
        <v>43</v>
      </c>
      <c r="AM1777" t="s">
        <v>43</v>
      </c>
      <c r="AN1777" t="str">
        <f>HYPERLINK("https://www.google.com/maps?q=11.05588722,79.0641098","Open Location")</f>
        <v>Open Location</v>
      </c>
    </row>
    <row r="1778" spans="1:40" x14ac:dyDescent="0.3">
      <c r="A1778" s="1">
        <v>46210.793981481482</v>
      </c>
      <c r="B1778" t="s">
        <v>40</v>
      </c>
      <c r="C1778" t="s">
        <v>41</v>
      </c>
      <c r="D1778" s="1">
        <v>46210.796805555554</v>
      </c>
      <c r="E1778" t="s">
        <v>42</v>
      </c>
      <c r="F1778" t="s">
        <v>43</v>
      </c>
      <c r="G1778" t="s">
        <v>43</v>
      </c>
      <c r="H1778" t="s">
        <v>43</v>
      </c>
      <c r="I1778" t="s">
        <v>595</v>
      </c>
      <c r="J1778" t="s">
        <v>43</v>
      </c>
      <c r="K1778" t="s">
        <v>43</v>
      </c>
      <c r="L1778" t="s">
        <v>43</v>
      </c>
      <c r="M1778" t="s">
        <v>43</v>
      </c>
      <c r="N1778" t="s">
        <v>45</v>
      </c>
      <c r="O1778" t="s">
        <v>43</v>
      </c>
      <c r="P1778" t="s">
        <v>43</v>
      </c>
      <c r="Q1778" t="s">
        <v>43</v>
      </c>
      <c r="R1778" t="s">
        <v>43</v>
      </c>
      <c r="S1778" t="s">
        <v>43</v>
      </c>
      <c r="T1778" t="s">
        <v>43</v>
      </c>
      <c r="U1778" t="s">
        <v>43</v>
      </c>
      <c r="V1778" t="s">
        <v>43</v>
      </c>
      <c r="W1778" t="s">
        <v>43</v>
      </c>
      <c r="X1778" t="s">
        <v>43</v>
      </c>
      <c r="Y1778" t="s">
        <v>43</v>
      </c>
      <c r="Z1778" t="s">
        <v>43</v>
      </c>
      <c r="AA1778" t="s">
        <v>43</v>
      </c>
      <c r="AB1778" t="s">
        <v>43</v>
      </c>
      <c r="AC1778" t="s">
        <v>43</v>
      </c>
      <c r="AD1778" t="s">
        <v>43</v>
      </c>
      <c r="AE1778" t="s">
        <v>43</v>
      </c>
      <c r="AF1778" t="s">
        <v>43</v>
      </c>
      <c r="AG1778" t="s">
        <v>43</v>
      </c>
      <c r="AH1778" t="s">
        <v>43</v>
      </c>
      <c r="AI1778" t="s">
        <v>43</v>
      </c>
      <c r="AJ1778" t="s">
        <v>43</v>
      </c>
      <c r="AK1778" t="s">
        <v>43</v>
      </c>
      <c r="AL1778" t="s">
        <v>43</v>
      </c>
      <c r="AM1778" t="s">
        <v>43</v>
      </c>
      <c r="AN1778" t="str">
        <f>HYPERLINK("https://www.google.com/maps?q=11.05588722,79.06411743","Open Location")</f>
        <v>Open Location</v>
      </c>
    </row>
    <row r="1779" spans="1:40" x14ac:dyDescent="0.3">
      <c r="A1779" s="1">
        <v>46210.793865740743</v>
      </c>
      <c r="B1779" t="s">
        <v>40</v>
      </c>
      <c r="C1779" t="s">
        <v>41</v>
      </c>
      <c r="D1779" s="1">
        <v>46210.796712962961</v>
      </c>
      <c r="E1779" t="s">
        <v>42</v>
      </c>
      <c r="F1779" t="s">
        <v>43</v>
      </c>
      <c r="G1779" t="s">
        <v>43</v>
      </c>
      <c r="H1779" t="s">
        <v>43</v>
      </c>
      <c r="I1779" t="s">
        <v>812</v>
      </c>
      <c r="J1779" t="s">
        <v>43</v>
      </c>
      <c r="K1779" t="s">
        <v>43</v>
      </c>
      <c r="L1779" t="s">
        <v>43</v>
      </c>
      <c r="M1779" t="s">
        <v>43</v>
      </c>
      <c r="N1779" t="s">
        <v>45</v>
      </c>
      <c r="O1779" t="s">
        <v>43</v>
      </c>
      <c r="P1779" t="s">
        <v>43</v>
      </c>
      <c r="Q1779" t="s">
        <v>43</v>
      </c>
      <c r="R1779" t="s">
        <v>43</v>
      </c>
      <c r="S1779" t="s">
        <v>43</v>
      </c>
      <c r="T1779" t="s">
        <v>43</v>
      </c>
      <c r="U1779" t="s">
        <v>43</v>
      </c>
      <c r="V1779" t="s">
        <v>43</v>
      </c>
      <c r="W1779" t="s">
        <v>43</v>
      </c>
      <c r="X1779" t="s">
        <v>43</v>
      </c>
      <c r="Y1779" t="s">
        <v>43</v>
      </c>
      <c r="Z1779" t="s">
        <v>43</v>
      </c>
      <c r="AA1779" t="s">
        <v>43</v>
      </c>
      <c r="AB1779" t="s">
        <v>43</v>
      </c>
      <c r="AC1779" t="s">
        <v>43</v>
      </c>
      <c r="AD1779" t="s">
        <v>43</v>
      </c>
      <c r="AE1779" t="s">
        <v>43</v>
      </c>
      <c r="AF1779" t="s">
        <v>43</v>
      </c>
      <c r="AG1779" t="s">
        <v>43</v>
      </c>
      <c r="AH1779" t="s">
        <v>43</v>
      </c>
      <c r="AI1779" t="s">
        <v>43</v>
      </c>
      <c r="AJ1779" t="s">
        <v>43</v>
      </c>
      <c r="AK1779" t="s">
        <v>43</v>
      </c>
      <c r="AL1779" t="s">
        <v>43</v>
      </c>
      <c r="AM1779" t="s">
        <v>43</v>
      </c>
      <c r="AN1779" t="str">
        <f>HYPERLINK("https://www.google.com/maps?q=11.05587959,79.06411743","Open Location")</f>
        <v>Open Location</v>
      </c>
    </row>
    <row r="1780" spans="1:40" x14ac:dyDescent="0.3">
      <c r="A1780" s="1">
        <v>46210.793749999997</v>
      </c>
      <c r="B1780" t="s">
        <v>40</v>
      </c>
      <c r="C1780" t="s">
        <v>41</v>
      </c>
      <c r="D1780" s="1">
        <v>46210.796875</v>
      </c>
      <c r="E1780" t="s">
        <v>42</v>
      </c>
      <c r="F1780" t="s">
        <v>43</v>
      </c>
      <c r="G1780" t="s">
        <v>43</v>
      </c>
      <c r="H1780" t="s">
        <v>43</v>
      </c>
      <c r="I1780" t="s">
        <v>43</v>
      </c>
      <c r="J1780" t="s">
        <v>43</v>
      </c>
      <c r="K1780" t="s">
        <v>43</v>
      </c>
      <c r="L1780" t="s">
        <v>43</v>
      </c>
      <c r="M1780" t="s">
        <v>43</v>
      </c>
      <c r="N1780" t="s">
        <v>45</v>
      </c>
      <c r="O1780" t="s">
        <v>43</v>
      </c>
      <c r="P1780" t="s">
        <v>43</v>
      </c>
      <c r="Q1780" t="s">
        <v>43</v>
      </c>
      <c r="R1780" t="s">
        <v>43</v>
      </c>
      <c r="S1780" t="s">
        <v>43</v>
      </c>
      <c r="T1780" t="s">
        <v>43</v>
      </c>
      <c r="U1780" t="s">
        <v>43</v>
      </c>
      <c r="V1780" t="s">
        <v>43</v>
      </c>
      <c r="W1780" t="s">
        <v>43</v>
      </c>
      <c r="X1780" t="s">
        <v>43</v>
      </c>
      <c r="Y1780" t="s">
        <v>43</v>
      </c>
      <c r="Z1780" t="s">
        <v>43</v>
      </c>
      <c r="AA1780" t="s">
        <v>43</v>
      </c>
      <c r="AB1780" t="s">
        <v>43</v>
      </c>
      <c r="AC1780" t="s">
        <v>43</v>
      </c>
      <c r="AD1780" t="s">
        <v>43</v>
      </c>
      <c r="AE1780" t="s">
        <v>43</v>
      </c>
      <c r="AF1780" t="s">
        <v>43</v>
      </c>
      <c r="AG1780" t="s">
        <v>43</v>
      </c>
      <c r="AH1780" t="s">
        <v>43</v>
      </c>
      <c r="AI1780" t="s">
        <v>43</v>
      </c>
      <c r="AJ1780" t="s">
        <v>43</v>
      </c>
      <c r="AK1780" t="s">
        <v>43</v>
      </c>
      <c r="AL1780" t="s">
        <v>43</v>
      </c>
      <c r="AM1780" t="s">
        <v>43</v>
      </c>
      <c r="AN1780" t="s">
        <v>43</v>
      </c>
    </row>
    <row r="1781" spans="1:40" x14ac:dyDescent="0.3">
      <c r="A1781" s="1">
        <v>46210.793634259258</v>
      </c>
      <c r="B1781" t="s">
        <v>40</v>
      </c>
      <c r="C1781" t="s">
        <v>41</v>
      </c>
      <c r="D1781" s="1">
        <v>46210.796446759261</v>
      </c>
      <c r="E1781" t="s">
        <v>42</v>
      </c>
      <c r="F1781" t="s">
        <v>43</v>
      </c>
      <c r="G1781" t="s">
        <v>43</v>
      </c>
      <c r="H1781" t="s">
        <v>43</v>
      </c>
      <c r="I1781" t="s">
        <v>734</v>
      </c>
      <c r="J1781" t="s">
        <v>43</v>
      </c>
      <c r="K1781" t="s">
        <v>43</v>
      </c>
      <c r="L1781" t="s">
        <v>43</v>
      </c>
      <c r="M1781" t="s">
        <v>43</v>
      </c>
      <c r="N1781" t="s">
        <v>45</v>
      </c>
      <c r="O1781" t="s">
        <v>43</v>
      </c>
      <c r="P1781" t="s">
        <v>43</v>
      </c>
      <c r="Q1781" t="s">
        <v>43</v>
      </c>
      <c r="R1781" t="s">
        <v>43</v>
      </c>
      <c r="S1781" t="s">
        <v>43</v>
      </c>
      <c r="T1781" t="s">
        <v>43</v>
      </c>
      <c r="U1781" t="s">
        <v>43</v>
      </c>
      <c r="V1781" t="s">
        <v>43</v>
      </c>
      <c r="W1781" t="s">
        <v>43</v>
      </c>
      <c r="X1781" t="s">
        <v>43</v>
      </c>
      <c r="Y1781" t="s">
        <v>43</v>
      </c>
      <c r="Z1781" t="s">
        <v>43</v>
      </c>
      <c r="AA1781" t="s">
        <v>43</v>
      </c>
      <c r="AB1781" t="s">
        <v>43</v>
      </c>
      <c r="AC1781" t="s">
        <v>43</v>
      </c>
      <c r="AD1781" t="s">
        <v>43</v>
      </c>
      <c r="AE1781" t="s">
        <v>43</v>
      </c>
      <c r="AF1781" t="s">
        <v>43</v>
      </c>
      <c r="AG1781" t="s">
        <v>43</v>
      </c>
      <c r="AH1781" t="s">
        <v>43</v>
      </c>
      <c r="AI1781" t="s">
        <v>43</v>
      </c>
      <c r="AJ1781" t="s">
        <v>43</v>
      </c>
      <c r="AK1781" t="s">
        <v>43</v>
      </c>
      <c r="AL1781" t="s">
        <v>43</v>
      </c>
      <c r="AM1781" t="s">
        <v>43</v>
      </c>
      <c r="AN1781" t="str">
        <f>HYPERLINK("https://www.google.com/maps?q=11.05587769,79.06411743","Open Location")</f>
        <v>Open Location</v>
      </c>
    </row>
    <row r="1782" spans="1:40" x14ac:dyDescent="0.3">
      <c r="A1782" s="1">
        <v>46210.79351851852</v>
      </c>
      <c r="B1782" t="s">
        <v>40</v>
      </c>
      <c r="C1782" t="s">
        <v>41</v>
      </c>
      <c r="D1782" s="1">
        <v>46210.796678240738</v>
      </c>
      <c r="E1782" t="s">
        <v>42</v>
      </c>
      <c r="F1782" t="s">
        <v>43</v>
      </c>
      <c r="G1782" t="s">
        <v>43</v>
      </c>
      <c r="H1782" t="s">
        <v>43</v>
      </c>
      <c r="I1782" t="s">
        <v>605</v>
      </c>
      <c r="J1782" t="s">
        <v>43</v>
      </c>
      <c r="K1782" t="s">
        <v>43</v>
      </c>
      <c r="L1782" t="s">
        <v>43</v>
      </c>
      <c r="M1782" t="s">
        <v>43</v>
      </c>
      <c r="N1782" t="s">
        <v>45</v>
      </c>
      <c r="O1782" t="s">
        <v>43</v>
      </c>
      <c r="P1782" t="s">
        <v>43</v>
      </c>
      <c r="Q1782" t="s">
        <v>43</v>
      </c>
      <c r="R1782" t="s">
        <v>43</v>
      </c>
      <c r="S1782" t="s">
        <v>43</v>
      </c>
      <c r="T1782" t="s">
        <v>43</v>
      </c>
      <c r="U1782" t="s">
        <v>43</v>
      </c>
      <c r="V1782" t="s">
        <v>43</v>
      </c>
      <c r="W1782" t="s">
        <v>43</v>
      </c>
      <c r="X1782" t="s">
        <v>43</v>
      </c>
      <c r="Y1782" t="s">
        <v>43</v>
      </c>
      <c r="Z1782" t="s">
        <v>43</v>
      </c>
      <c r="AA1782" t="s">
        <v>43</v>
      </c>
      <c r="AB1782" t="s">
        <v>43</v>
      </c>
      <c r="AC1782" t="s">
        <v>43</v>
      </c>
      <c r="AD1782" t="s">
        <v>43</v>
      </c>
      <c r="AE1782" t="s">
        <v>43</v>
      </c>
      <c r="AF1782" t="s">
        <v>43</v>
      </c>
      <c r="AG1782" t="s">
        <v>43</v>
      </c>
      <c r="AH1782" t="s">
        <v>43</v>
      </c>
      <c r="AI1782" t="s">
        <v>43</v>
      </c>
      <c r="AJ1782" t="s">
        <v>43</v>
      </c>
      <c r="AK1782" t="s">
        <v>43</v>
      </c>
      <c r="AL1782" t="s">
        <v>43</v>
      </c>
      <c r="AM1782" t="s">
        <v>43</v>
      </c>
      <c r="AN1782" t="str">
        <f>HYPERLINK("https://www.google.com/maps?q=11.05588055,79.0641098","Open Location")</f>
        <v>Open Location</v>
      </c>
    </row>
    <row r="1783" spans="1:40" x14ac:dyDescent="0.3">
      <c r="A1783" s="1">
        <v>46210.793402777781</v>
      </c>
      <c r="B1783" t="s">
        <v>40</v>
      </c>
      <c r="C1783" t="s">
        <v>41</v>
      </c>
      <c r="D1783" s="1">
        <v>46210.796122685184</v>
      </c>
      <c r="E1783" t="s">
        <v>42</v>
      </c>
      <c r="F1783" t="s">
        <v>43</v>
      </c>
      <c r="G1783" t="s">
        <v>43</v>
      </c>
      <c r="H1783" t="s">
        <v>43</v>
      </c>
      <c r="I1783" t="s">
        <v>813</v>
      </c>
      <c r="J1783" t="s">
        <v>43</v>
      </c>
      <c r="K1783" t="s">
        <v>43</v>
      </c>
      <c r="L1783" t="s">
        <v>43</v>
      </c>
      <c r="M1783" t="s">
        <v>43</v>
      </c>
      <c r="N1783" t="s">
        <v>45</v>
      </c>
      <c r="O1783" t="s">
        <v>43</v>
      </c>
      <c r="P1783" t="s">
        <v>43</v>
      </c>
      <c r="Q1783" t="s">
        <v>43</v>
      </c>
      <c r="R1783" t="s">
        <v>43</v>
      </c>
      <c r="S1783" t="s">
        <v>43</v>
      </c>
      <c r="T1783" t="s">
        <v>43</v>
      </c>
      <c r="U1783" t="s">
        <v>43</v>
      </c>
      <c r="V1783" t="s">
        <v>43</v>
      </c>
      <c r="W1783" t="s">
        <v>43</v>
      </c>
      <c r="X1783" t="s">
        <v>43</v>
      </c>
      <c r="Y1783" t="s">
        <v>43</v>
      </c>
      <c r="Z1783" t="s">
        <v>43</v>
      </c>
      <c r="AA1783" t="s">
        <v>43</v>
      </c>
      <c r="AB1783" t="s">
        <v>43</v>
      </c>
      <c r="AC1783" t="s">
        <v>43</v>
      </c>
      <c r="AD1783" t="s">
        <v>43</v>
      </c>
      <c r="AE1783" t="s">
        <v>43</v>
      </c>
      <c r="AF1783" t="s">
        <v>43</v>
      </c>
      <c r="AG1783" t="s">
        <v>43</v>
      </c>
      <c r="AH1783" t="s">
        <v>43</v>
      </c>
      <c r="AI1783" t="s">
        <v>43</v>
      </c>
      <c r="AJ1783" t="s">
        <v>43</v>
      </c>
      <c r="AK1783" t="s">
        <v>43</v>
      </c>
      <c r="AL1783" t="s">
        <v>43</v>
      </c>
      <c r="AM1783" t="s">
        <v>43</v>
      </c>
      <c r="AN1783" t="str">
        <f>HYPERLINK("https://www.google.com/maps?q=11.05588436,79.0641098","Open Location")</f>
        <v>Open Location</v>
      </c>
    </row>
    <row r="1784" spans="1:40" x14ac:dyDescent="0.3">
      <c r="A1784" s="1">
        <v>46210.793287037035</v>
      </c>
      <c r="B1784" t="s">
        <v>40</v>
      </c>
      <c r="C1784" t="s">
        <v>41</v>
      </c>
      <c r="D1784" s="1">
        <v>46210.796446759261</v>
      </c>
      <c r="E1784" t="s">
        <v>42</v>
      </c>
      <c r="F1784" t="s">
        <v>43</v>
      </c>
      <c r="G1784" t="s">
        <v>43</v>
      </c>
      <c r="H1784" t="s">
        <v>43</v>
      </c>
      <c r="I1784" t="s">
        <v>831</v>
      </c>
      <c r="J1784" t="s">
        <v>43</v>
      </c>
      <c r="K1784" t="s">
        <v>43</v>
      </c>
      <c r="L1784" t="s">
        <v>43</v>
      </c>
      <c r="M1784" t="s">
        <v>43</v>
      </c>
      <c r="N1784" t="s">
        <v>45</v>
      </c>
      <c r="O1784" t="s">
        <v>43</v>
      </c>
      <c r="P1784" t="s">
        <v>43</v>
      </c>
      <c r="Q1784" t="s">
        <v>43</v>
      </c>
      <c r="R1784" t="s">
        <v>43</v>
      </c>
      <c r="S1784" t="s">
        <v>43</v>
      </c>
      <c r="T1784" t="s">
        <v>43</v>
      </c>
      <c r="U1784" t="s">
        <v>43</v>
      </c>
      <c r="V1784" t="s">
        <v>43</v>
      </c>
      <c r="W1784" t="s">
        <v>43</v>
      </c>
      <c r="X1784" t="s">
        <v>43</v>
      </c>
      <c r="Y1784" t="s">
        <v>43</v>
      </c>
      <c r="Z1784" t="s">
        <v>43</v>
      </c>
      <c r="AA1784" t="s">
        <v>43</v>
      </c>
      <c r="AB1784" t="s">
        <v>43</v>
      </c>
      <c r="AC1784" t="s">
        <v>43</v>
      </c>
      <c r="AD1784" t="s">
        <v>43</v>
      </c>
      <c r="AE1784" t="s">
        <v>43</v>
      </c>
      <c r="AF1784" t="s">
        <v>43</v>
      </c>
      <c r="AG1784" t="s">
        <v>43</v>
      </c>
      <c r="AH1784" t="s">
        <v>43</v>
      </c>
      <c r="AI1784" t="s">
        <v>43</v>
      </c>
      <c r="AJ1784" t="s">
        <v>43</v>
      </c>
      <c r="AK1784" t="s">
        <v>43</v>
      </c>
      <c r="AL1784" t="s">
        <v>43</v>
      </c>
      <c r="AM1784" t="s">
        <v>43</v>
      </c>
      <c r="AN1784" t="str">
        <f>HYPERLINK("https://www.google.com/maps?q=11.05588722,79.06410217","Open Location")</f>
        <v>Open Location</v>
      </c>
    </row>
    <row r="1785" spans="1:40" x14ac:dyDescent="0.3">
      <c r="A1785" s="1">
        <v>46210.793171296296</v>
      </c>
      <c r="B1785" t="s">
        <v>40</v>
      </c>
      <c r="C1785" t="s">
        <v>41</v>
      </c>
      <c r="D1785" s="1">
        <v>46210.795902777776</v>
      </c>
      <c r="E1785" t="s">
        <v>42</v>
      </c>
      <c r="F1785" t="s">
        <v>43</v>
      </c>
      <c r="G1785" t="s">
        <v>43</v>
      </c>
      <c r="H1785" t="s">
        <v>43</v>
      </c>
      <c r="I1785" t="s">
        <v>603</v>
      </c>
      <c r="J1785" t="s">
        <v>43</v>
      </c>
      <c r="K1785" t="s">
        <v>43</v>
      </c>
      <c r="L1785" t="s">
        <v>43</v>
      </c>
      <c r="M1785" t="s">
        <v>43</v>
      </c>
      <c r="N1785" t="s">
        <v>45</v>
      </c>
      <c r="O1785" t="s">
        <v>43</v>
      </c>
      <c r="P1785" t="s">
        <v>43</v>
      </c>
      <c r="Q1785" t="s">
        <v>43</v>
      </c>
      <c r="R1785" t="s">
        <v>43</v>
      </c>
      <c r="S1785" t="s">
        <v>43</v>
      </c>
      <c r="T1785" t="s">
        <v>43</v>
      </c>
      <c r="U1785" t="s">
        <v>43</v>
      </c>
      <c r="V1785" t="s">
        <v>43</v>
      </c>
      <c r="W1785" t="s">
        <v>43</v>
      </c>
      <c r="X1785" t="s">
        <v>43</v>
      </c>
      <c r="Y1785" t="s">
        <v>43</v>
      </c>
      <c r="Z1785" t="s">
        <v>43</v>
      </c>
      <c r="AA1785" t="s">
        <v>43</v>
      </c>
      <c r="AB1785" t="s">
        <v>43</v>
      </c>
      <c r="AC1785" t="s">
        <v>43</v>
      </c>
      <c r="AD1785" t="s">
        <v>43</v>
      </c>
      <c r="AE1785" t="s">
        <v>43</v>
      </c>
      <c r="AF1785" t="s">
        <v>43</v>
      </c>
      <c r="AG1785" t="s">
        <v>43</v>
      </c>
      <c r="AH1785" t="s">
        <v>43</v>
      </c>
      <c r="AI1785" t="s">
        <v>43</v>
      </c>
      <c r="AJ1785" t="s">
        <v>43</v>
      </c>
      <c r="AK1785" t="s">
        <v>43</v>
      </c>
      <c r="AL1785" t="s">
        <v>43</v>
      </c>
      <c r="AM1785" t="s">
        <v>43</v>
      </c>
      <c r="AN1785" t="str">
        <f>HYPERLINK("https://www.google.com/maps?q=11.05588722,79.0641098","Open Location")</f>
        <v>Open Location</v>
      </c>
    </row>
    <row r="1786" spans="1:40" x14ac:dyDescent="0.3">
      <c r="A1786" s="1">
        <v>46210.793055555558</v>
      </c>
      <c r="B1786" t="s">
        <v>40</v>
      </c>
      <c r="C1786" t="s">
        <v>41</v>
      </c>
      <c r="D1786" s="1">
        <v>46210.796006944445</v>
      </c>
      <c r="E1786" t="s">
        <v>42</v>
      </c>
      <c r="F1786" t="s">
        <v>43</v>
      </c>
      <c r="G1786" t="s">
        <v>43</v>
      </c>
      <c r="H1786" t="s">
        <v>43</v>
      </c>
      <c r="I1786" t="s">
        <v>43</v>
      </c>
      <c r="J1786" t="s">
        <v>43</v>
      </c>
      <c r="K1786" t="s">
        <v>43</v>
      </c>
      <c r="L1786" t="s">
        <v>43</v>
      </c>
      <c r="M1786" t="s">
        <v>43</v>
      </c>
      <c r="N1786" t="s">
        <v>45</v>
      </c>
      <c r="O1786" t="s">
        <v>43</v>
      </c>
      <c r="P1786" t="s">
        <v>43</v>
      </c>
      <c r="Q1786" t="s">
        <v>43</v>
      </c>
      <c r="R1786" t="s">
        <v>43</v>
      </c>
      <c r="S1786" t="s">
        <v>43</v>
      </c>
      <c r="T1786" t="s">
        <v>43</v>
      </c>
      <c r="U1786" t="s">
        <v>43</v>
      </c>
      <c r="V1786" t="s">
        <v>43</v>
      </c>
      <c r="W1786" t="s">
        <v>43</v>
      </c>
      <c r="X1786" t="s">
        <v>43</v>
      </c>
      <c r="Y1786" t="s">
        <v>43</v>
      </c>
      <c r="Z1786" t="s">
        <v>43</v>
      </c>
      <c r="AA1786" t="s">
        <v>43</v>
      </c>
      <c r="AB1786" t="s">
        <v>43</v>
      </c>
      <c r="AC1786" t="s">
        <v>43</v>
      </c>
      <c r="AD1786" t="s">
        <v>43</v>
      </c>
      <c r="AE1786" t="s">
        <v>43</v>
      </c>
      <c r="AF1786" t="s">
        <v>43</v>
      </c>
      <c r="AG1786" t="s">
        <v>43</v>
      </c>
      <c r="AH1786" t="s">
        <v>43</v>
      </c>
      <c r="AI1786" t="s">
        <v>43</v>
      </c>
      <c r="AJ1786" t="s">
        <v>43</v>
      </c>
      <c r="AK1786" t="s">
        <v>43</v>
      </c>
      <c r="AL1786" t="s">
        <v>43</v>
      </c>
      <c r="AM1786" t="s">
        <v>43</v>
      </c>
      <c r="AN1786" t="s">
        <v>43</v>
      </c>
    </row>
    <row r="1787" spans="1:40" x14ac:dyDescent="0.3">
      <c r="A1787" s="1">
        <v>46210.792939814812</v>
      </c>
      <c r="B1787" t="s">
        <v>40</v>
      </c>
      <c r="C1787" t="s">
        <v>41</v>
      </c>
      <c r="D1787" s="1">
        <v>46210.795844907407</v>
      </c>
      <c r="E1787" t="s">
        <v>42</v>
      </c>
      <c r="F1787" t="s">
        <v>43</v>
      </c>
      <c r="G1787" t="s">
        <v>43</v>
      </c>
      <c r="H1787" t="s">
        <v>43</v>
      </c>
      <c r="I1787" t="s">
        <v>603</v>
      </c>
      <c r="J1787" t="s">
        <v>43</v>
      </c>
      <c r="K1787" t="s">
        <v>43</v>
      </c>
      <c r="L1787" t="s">
        <v>43</v>
      </c>
      <c r="M1787" t="s">
        <v>43</v>
      </c>
      <c r="N1787" t="s">
        <v>45</v>
      </c>
      <c r="O1787" t="s">
        <v>43</v>
      </c>
      <c r="P1787" t="s">
        <v>43</v>
      </c>
      <c r="Q1787" t="s">
        <v>43</v>
      </c>
      <c r="R1787" t="s">
        <v>43</v>
      </c>
      <c r="S1787" t="s">
        <v>43</v>
      </c>
      <c r="T1787" t="s">
        <v>43</v>
      </c>
      <c r="U1787" t="s">
        <v>43</v>
      </c>
      <c r="V1787" t="s">
        <v>43</v>
      </c>
      <c r="W1787" t="s">
        <v>43</v>
      </c>
      <c r="X1787" t="s">
        <v>43</v>
      </c>
      <c r="Y1787" t="s">
        <v>43</v>
      </c>
      <c r="Z1787" t="s">
        <v>43</v>
      </c>
      <c r="AA1787" t="s">
        <v>43</v>
      </c>
      <c r="AB1787" t="s">
        <v>43</v>
      </c>
      <c r="AC1787" t="s">
        <v>43</v>
      </c>
      <c r="AD1787" t="s">
        <v>43</v>
      </c>
      <c r="AE1787" t="s">
        <v>43</v>
      </c>
      <c r="AF1787" t="s">
        <v>43</v>
      </c>
      <c r="AG1787" t="s">
        <v>43</v>
      </c>
      <c r="AH1787" t="s">
        <v>43</v>
      </c>
      <c r="AI1787" t="s">
        <v>43</v>
      </c>
      <c r="AJ1787" t="s">
        <v>43</v>
      </c>
      <c r="AK1787" t="s">
        <v>43</v>
      </c>
      <c r="AL1787" t="s">
        <v>43</v>
      </c>
      <c r="AM1787" t="s">
        <v>43</v>
      </c>
      <c r="AN1787" t="str">
        <f>HYPERLINK("https://www.google.com/maps?q=11.05588722,79.0641098","Open Location")</f>
        <v>Open Location</v>
      </c>
    </row>
    <row r="1788" spans="1:40" x14ac:dyDescent="0.3">
      <c r="A1788" s="1">
        <v>46210.792824074073</v>
      </c>
      <c r="B1788" t="s">
        <v>40</v>
      </c>
      <c r="C1788" t="s">
        <v>41</v>
      </c>
      <c r="D1788" s="1">
        <v>46210.795787037037</v>
      </c>
      <c r="E1788" t="s">
        <v>42</v>
      </c>
      <c r="F1788" t="s">
        <v>43</v>
      </c>
      <c r="G1788" t="s">
        <v>43</v>
      </c>
      <c r="H1788" t="s">
        <v>43</v>
      </c>
      <c r="I1788" t="s">
        <v>806</v>
      </c>
      <c r="J1788" t="s">
        <v>43</v>
      </c>
      <c r="K1788" t="s">
        <v>43</v>
      </c>
      <c r="L1788" t="s">
        <v>43</v>
      </c>
      <c r="M1788" t="s">
        <v>43</v>
      </c>
      <c r="N1788" t="s">
        <v>45</v>
      </c>
      <c r="O1788" t="s">
        <v>43</v>
      </c>
      <c r="P1788" t="s">
        <v>43</v>
      </c>
      <c r="Q1788" t="s">
        <v>43</v>
      </c>
      <c r="R1788" t="s">
        <v>43</v>
      </c>
      <c r="S1788" t="s">
        <v>43</v>
      </c>
      <c r="T1788" t="s">
        <v>43</v>
      </c>
      <c r="U1788" t="s">
        <v>43</v>
      </c>
      <c r="V1788" t="s">
        <v>43</v>
      </c>
      <c r="W1788" t="s">
        <v>43</v>
      </c>
      <c r="X1788" t="s">
        <v>43</v>
      </c>
      <c r="Y1788" t="s">
        <v>43</v>
      </c>
      <c r="Z1788" t="s">
        <v>43</v>
      </c>
      <c r="AA1788" t="s">
        <v>43</v>
      </c>
      <c r="AB1788" t="s">
        <v>43</v>
      </c>
      <c r="AC1788" t="s">
        <v>43</v>
      </c>
      <c r="AD1788" t="s">
        <v>43</v>
      </c>
      <c r="AE1788" t="s">
        <v>43</v>
      </c>
      <c r="AF1788" t="s">
        <v>43</v>
      </c>
      <c r="AG1788" t="s">
        <v>43</v>
      </c>
      <c r="AH1788" t="s">
        <v>43</v>
      </c>
      <c r="AI1788" t="s">
        <v>43</v>
      </c>
      <c r="AJ1788" t="s">
        <v>43</v>
      </c>
      <c r="AK1788" t="s">
        <v>43</v>
      </c>
      <c r="AL1788" t="s">
        <v>43</v>
      </c>
      <c r="AM1788" t="s">
        <v>43</v>
      </c>
      <c r="AN1788" t="str">
        <f>HYPERLINK("https://www.google.com/maps?q=11.05588818,79.0641098","Open Location")</f>
        <v>Open Location</v>
      </c>
    </row>
    <row r="1789" spans="1:40" x14ac:dyDescent="0.3">
      <c r="A1789" s="1">
        <v>46210.792708333334</v>
      </c>
      <c r="B1789" t="s">
        <v>40</v>
      </c>
      <c r="C1789" t="s">
        <v>41</v>
      </c>
      <c r="D1789" s="1">
        <v>46210.795648148145</v>
      </c>
      <c r="E1789" t="s">
        <v>42</v>
      </c>
      <c r="F1789" t="s">
        <v>43</v>
      </c>
      <c r="G1789" t="s">
        <v>43</v>
      </c>
      <c r="H1789" t="s">
        <v>43</v>
      </c>
      <c r="I1789" t="s">
        <v>806</v>
      </c>
      <c r="J1789" t="s">
        <v>43</v>
      </c>
      <c r="K1789" t="s">
        <v>43</v>
      </c>
      <c r="L1789" t="s">
        <v>43</v>
      </c>
      <c r="M1789" t="s">
        <v>43</v>
      </c>
      <c r="N1789" t="s">
        <v>45</v>
      </c>
      <c r="O1789" t="s">
        <v>43</v>
      </c>
      <c r="P1789" t="s">
        <v>43</v>
      </c>
      <c r="Q1789" t="s">
        <v>43</v>
      </c>
      <c r="R1789" t="s">
        <v>43</v>
      </c>
      <c r="S1789" t="s">
        <v>43</v>
      </c>
      <c r="T1789" t="s">
        <v>43</v>
      </c>
      <c r="U1789" t="s">
        <v>43</v>
      </c>
      <c r="V1789" t="s">
        <v>43</v>
      </c>
      <c r="W1789" t="s">
        <v>43</v>
      </c>
      <c r="X1789" t="s">
        <v>43</v>
      </c>
      <c r="Y1789" t="s">
        <v>43</v>
      </c>
      <c r="Z1789" t="s">
        <v>43</v>
      </c>
      <c r="AA1789" t="s">
        <v>43</v>
      </c>
      <c r="AB1789" t="s">
        <v>43</v>
      </c>
      <c r="AC1789" t="s">
        <v>43</v>
      </c>
      <c r="AD1789" t="s">
        <v>43</v>
      </c>
      <c r="AE1789" t="s">
        <v>43</v>
      </c>
      <c r="AF1789" t="s">
        <v>43</v>
      </c>
      <c r="AG1789" t="s">
        <v>43</v>
      </c>
      <c r="AH1789" t="s">
        <v>43</v>
      </c>
      <c r="AI1789" t="s">
        <v>43</v>
      </c>
      <c r="AJ1789" t="s">
        <v>43</v>
      </c>
      <c r="AK1789" t="s">
        <v>43</v>
      </c>
      <c r="AL1789" t="s">
        <v>43</v>
      </c>
      <c r="AM1789" t="s">
        <v>43</v>
      </c>
      <c r="AN1789" t="str">
        <f>HYPERLINK("https://www.google.com/maps?q=11.05588818,79.0641098","Open Location")</f>
        <v>Open Location</v>
      </c>
    </row>
    <row r="1790" spans="1:40" x14ac:dyDescent="0.3">
      <c r="A1790" s="1">
        <v>46210.792592592596</v>
      </c>
      <c r="B1790" t="s">
        <v>40</v>
      </c>
      <c r="C1790" t="s">
        <v>41</v>
      </c>
      <c r="D1790" s="1">
        <v>46210.795567129629</v>
      </c>
      <c r="E1790" t="s">
        <v>42</v>
      </c>
      <c r="F1790" t="s">
        <v>43</v>
      </c>
      <c r="G1790" t="s">
        <v>43</v>
      </c>
      <c r="H1790" t="s">
        <v>43</v>
      </c>
      <c r="I1790" t="s">
        <v>725</v>
      </c>
      <c r="J1790" t="s">
        <v>43</v>
      </c>
      <c r="K1790" t="s">
        <v>43</v>
      </c>
      <c r="L1790" t="s">
        <v>43</v>
      </c>
      <c r="M1790" t="s">
        <v>43</v>
      </c>
      <c r="N1790" t="s">
        <v>45</v>
      </c>
      <c r="O1790" t="s">
        <v>43</v>
      </c>
      <c r="P1790" t="s">
        <v>43</v>
      </c>
      <c r="Q1790" t="s">
        <v>43</v>
      </c>
      <c r="R1790" t="s">
        <v>43</v>
      </c>
      <c r="S1790" t="s">
        <v>43</v>
      </c>
      <c r="T1790" t="s">
        <v>43</v>
      </c>
      <c r="U1790" t="s">
        <v>43</v>
      </c>
      <c r="V1790" t="s">
        <v>43</v>
      </c>
      <c r="W1790" t="s">
        <v>43</v>
      </c>
      <c r="X1790" t="s">
        <v>43</v>
      </c>
      <c r="Y1790" t="s">
        <v>43</v>
      </c>
      <c r="Z1790" t="s">
        <v>43</v>
      </c>
      <c r="AA1790" t="s">
        <v>43</v>
      </c>
      <c r="AB1790" t="s">
        <v>43</v>
      </c>
      <c r="AC1790" t="s">
        <v>43</v>
      </c>
      <c r="AD1790" t="s">
        <v>43</v>
      </c>
      <c r="AE1790" t="s">
        <v>43</v>
      </c>
      <c r="AF1790" t="s">
        <v>43</v>
      </c>
      <c r="AG1790" t="s">
        <v>43</v>
      </c>
      <c r="AH1790" t="s">
        <v>43</v>
      </c>
      <c r="AI1790" t="s">
        <v>43</v>
      </c>
      <c r="AJ1790" t="s">
        <v>43</v>
      </c>
      <c r="AK1790" t="s">
        <v>43</v>
      </c>
      <c r="AL1790" t="s">
        <v>43</v>
      </c>
      <c r="AM1790" t="s">
        <v>43</v>
      </c>
      <c r="AN1790" t="str">
        <f>HYPERLINK("https://www.google.com/maps?q=11.05588818,79.06411743","Open Location")</f>
        <v>Open Location</v>
      </c>
    </row>
    <row r="1791" spans="1:40" x14ac:dyDescent="0.3">
      <c r="A1791" s="1">
        <v>46210.79247685185</v>
      </c>
      <c r="B1791" t="s">
        <v>40</v>
      </c>
      <c r="C1791" t="s">
        <v>41</v>
      </c>
      <c r="D1791" s="1">
        <v>46210.795300925929</v>
      </c>
      <c r="E1791" t="s">
        <v>42</v>
      </c>
      <c r="F1791" t="s">
        <v>43</v>
      </c>
      <c r="G1791" t="s">
        <v>43</v>
      </c>
      <c r="H1791" t="s">
        <v>43</v>
      </c>
      <c r="I1791" t="s">
        <v>689</v>
      </c>
      <c r="J1791" t="s">
        <v>43</v>
      </c>
      <c r="K1791" t="s">
        <v>43</v>
      </c>
      <c r="L1791" t="s">
        <v>43</v>
      </c>
      <c r="M1791" t="s">
        <v>43</v>
      </c>
      <c r="N1791" t="s">
        <v>45</v>
      </c>
      <c r="O1791" t="s">
        <v>43</v>
      </c>
      <c r="P1791" t="s">
        <v>43</v>
      </c>
      <c r="Q1791" t="s">
        <v>43</v>
      </c>
      <c r="R1791" t="s">
        <v>43</v>
      </c>
      <c r="S1791" t="s">
        <v>43</v>
      </c>
      <c r="T1791" t="s">
        <v>43</v>
      </c>
      <c r="U1791" t="s">
        <v>43</v>
      </c>
      <c r="V1791" t="s">
        <v>43</v>
      </c>
      <c r="W1791" t="s">
        <v>43</v>
      </c>
      <c r="X1791" t="s">
        <v>43</v>
      </c>
      <c r="Y1791" t="s">
        <v>43</v>
      </c>
      <c r="Z1791" t="s">
        <v>43</v>
      </c>
      <c r="AA1791" t="s">
        <v>43</v>
      </c>
      <c r="AB1791" t="s">
        <v>43</v>
      </c>
      <c r="AC1791" t="s">
        <v>43</v>
      </c>
      <c r="AD1791" t="s">
        <v>43</v>
      </c>
      <c r="AE1791" t="s">
        <v>43</v>
      </c>
      <c r="AF1791" t="s">
        <v>43</v>
      </c>
      <c r="AG1791" t="s">
        <v>43</v>
      </c>
      <c r="AH1791" t="s">
        <v>43</v>
      </c>
      <c r="AI1791" t="s">
        <v>43</v>
      </c>
      <c r="AJ1791" t="s">
        <v>43</v>
      </c>
      <c r="AK1791" t="s">
        <v>43</v>
      </c>
      <c r="AL1791" t="s">
        <v>43</v>
      </c>
      <c r="AM1791" t="s">
        <v>43</v>
      </c>
      <c r="AN1791" t="str">
        <f>HYPERLINK("https://www.google.com/maps?q=11.05588913,79.06411743","Open Location")</f>
        <v>Open Location</v>
      </c>
    </row>
    <row r="1792" spans="1:40" x14ac:dyDescent="0.3">
      <c r="A1792" s="1">
        <v>46210.792361111111</v>
      </c>
      <c r="B1792" t="s">
        <v>40</v>
      </c>
      <c r="C1792" t="s">
        <v>41</v>
      </c>
      <c r="D1792" s="1">
        <v>46210.79519675926</v>
      </c>
      <c r="E1792" t="s">
        <v>42</v>
      </c>
      <c r="F1792" t="s">
        <v>43</v>
      </c>
      <c r="G1792" t="s">
        <v>43</v>
      </c>
      <c r="H1792" t="s">
        <v>43</v>
      </c>
      <c r="I1792" t="s">
        <v>43</v>
      </c>
      <c r="J1792" t="s">
        <v>43</v>
      </c>
      <c r="K1792" t="s">
        <v>43</v>
      </c>
      <c r="L1792" t="s">
        <v>43</v>
      </c>
      <c r="M1792" t="s">
        <v>43</v>
      </c>
      <c r="N1792" t="s">
        <v>45</v>
      </c>
      <c r="O1792" t="s">
        <v>43</v>
      </c>
      <c r="P1792" t="s">
        <v>43</v>
      </c>
      <c r="Q1792" t="s">
        <v>43</v>
      </c>
      <c r="R1792" t="s">
        <v>43</v>
      </c>
      <c r="S1792" t="s">
        <v>43</v>
      </c>
      <c r="T1792" t="s">
        <v>43</v>
      </c>
      <c r="U1792" t="s">
        <v>43</v>
      </c>
      <c r="V1792" t="s">
        <v>43</v>
      </c>
      <c r="W1792" t="s">
        <v>43</v>
      </c>
      <c r="X1792" t="s">
        <v>43</v>
      </c>
      <c r="Y1792" t="s">
        <v>43</v>
      </c>
      <c r="Z1792" t="s">
        <v>43</v>
      </c>
      <c r="AA1792" t="s">
        <v>43</v>
      </c>
      <c r="AB1792" t="s">
        <v>43</v>
      </c>
      <c r="AC1792" t="s">
        <v>43</v>
      </c>
      <c r="AD1792" t="s">
        <v>43</v>
      </c>
      <c r="AE1792" t="s">
        <v>43</v>
      </c>
      <c r="AF1792" t="s">
        <v>43</v>
      </c>
      <c r="AG1792" t="s">
        <v>43</v>
      </c>
      <c r="AH1792" t="s">
        <v>43</v>
      </c>
      <c r="AI1792" t="s">
        <v>43</v>
      </c>
      <c r="AJ1792" t="s">
        <v>43</v>
      </c>
      <c r="AK1792" t="s">
        <v>43</v>
      </c>
      <c r="AL1792" t="s">
        <v>43</v>
      </c>
      <c r="AM1792" t="s">
        <v>43</v>
      </c>
      <c r="AN1792" t="s">
        <v>43</v>
      </c>
    </row>
    <row r="1793" spans="1:40" x14ac:dyDescent="0.3">
      <c r="A1793" s="1">
        <v>46210.792245370372</v>
      </c>
      <c r="B1793" t="s">
        <v>40</v>
      </c>
      <c r="C1793" t="s">
        <v>41</v>
      </c>
      <c r="D1793" s="1">
        <v>46210.794953703706</v>
      </c>
      <c r="E1793" t="s">
        <v>42</v>
      </c>
      <c r="F1793" t="s">
        <v>43</v>
      </c>
      <c r="G1793" t="s">
        <v>43</v>
      </c>
      <c r="H1793" t="s">
        <v>43</v>
      </c>
      <c r="I1793" t="s">
        <v>655</v>
      </c>
      <c r="J1793" t="s">
        <v>43</v>
      </c>
      <c r="K1793" t="s">
        <v>43</v>
      </c>
      <c r="L1793" t="s">
        <v>43</v>
      </c>
      <c r="M1793" t="s">
        <v>43</v>
      </c>
      <c r="N1793" t="s">
        <v>45</v>
      </c>
      <c r="O1793" t="s">
        <v>43</v>
      </c>
      <c r="P1793" t="s">
        <v>43</v>
      </c>
      <c r="Q1793" t="s">
        <v>43</v>
      </c>
      <c r="R1793" t="s">
        <v>43</v>
      </c>
      <c r="S1793" t="s">
        <v>43</v>
      </c>
      <c r="T1793" t="s">
        <v>43</v>
      </c>
      <c r="U1793" t="s">
        <v>43</v>
      </c>
      <c r="V1793" t="s">
        <v>43</v>
      </c>
      <c r="W1793" t="s">
        <v>43</v>
      </c>
      <c r="X1793" t="s">
        <v>43</v>
      </c>
      <c r="Y1793" t="s">
        <v>43</v>
      </c>
      <c r="Z1793" t="s">
        <v>43</v>
      </c>
      <c r="AA1793" t="s">
        <v>43</v>
      </c>
      <c r="AB1793" t="s">
        <v>43</v>
      </c>
      <c r="AC1793" t="s">
        <v>43</v>
      </c>
      <c r="AD1793" t="s">
        <v>43</v>
      </c>
      <c r="AE1793" t="s">
        <v>43</v>
      </c>
      <c r="AF1793" t="s">
        <v>43</v>
      </c>
      <c r="AG1793" t="s">
        <v>43</v>
      </c>
      <c r="AH1793" t="s">
        <v>43</v>
      </c>
      <c r="AI1793" t="s">
        <v>43</v>
      </c>
      <c r="AJ1793" t="s">
        <v>43</v>
      </c>
      <c r="AK1793" t="s">
        <v>43</v>
      </c>
      <c r="AL1793" t="s">
        <v>43</v>
      </c>
      <c r="AM1793" t="s">
        <v>43</v>
      </c>
      <c r="AN1793" t="str">
        <f>HYPERLINK("https://www.google.com/maps?q=11.05588818,79.06412506","Open Location")</f>
        <v>Open Location</v>
      </c>
    </row>
    <row r="1794" spans="1:40" x14ac:dyDescent="0.3">
      <c r="A1794" s="1">
        <v>46210.792129629626</v>
      </c>
      <c r="B1794" t="s">
        <v>40</v>
      </c>
      <c r="C1794" t="s">
        <v>41</v>
      </c>
      <c r="D1794" s="1">
        <v>46210.795034722221</v>
      </c>
      <c r="E1794" t="s">
        <v>42</v>
      </c>
      <c r="F1794" t="s">
        <v>43</v>
      </c>
      <c r="G1794" t="s">
        <v>43</v>
      </c>
      <c r="H1794" t="s">
        <v>43</v>
      </c>
      <c r="I1794" t="s">
        <v>732</v>
      </c>
      <c r="J1794" t="s">
        <v>43</v>
      </c>
      <c r="K1794" t="s">
        <v>43</v>
      </c>
      <c r="L1794" t="s">
        <v>43</v>
      </c>
      <c r="M1794" t="s">
        <v>43</v>
      </c>
      <c r="N1794" t="s">
        <v>45</v>
      </c>
      <c r="O1794" t="s">
        <v>43</v>
      </c>
      <c r="P1794" t="s">
        <v>43</v>
      </c>
      <c r="Q1794" t="s">
        <v>43</v>
      </c>
      <c r="R1794" t="s">
        <v>43</v>
      </c>
      <c r="S1794" t="s">
        <v>43</v>
      </c>
      <c r="T1794" t="s">
        <v>43</v>
      </c>
      <c r="U1794" t="s">
        <v>43</v>
      </c>
      <c r="V1794" t="s">
        <v>43</v>
      </c>
      <c r="W1794" t="s">
        <v>43</v>
      </c>
      <c r="X1794" t="s">
        <v>43</v>
      </c>
      <c r="Y1794" t="s">
        <v>43</v>
      </c>
      <c r="Z1794" t="s">
        <v>43</v>
      </c>
      <c r="AA1794" t="s">
        <v>43</v>
      </c>
      <c r="AB1794" t="s">
        <v>43</v>
      </c>
      <c r="AC1794" t="s">
        <v>43</v>
      </c>
      <c r="AD1794" t="s">
        <v>43</v>
      </c>
      <c r="AE1794" t="s">
        <v>43</v>
      </c>
      <c r="AF1794" t="s">
        <v>43</v>
      </c>
      <c r="AG1794" t="s">
        <v>43</v>
      </c>
      <c r="AH1794" t="s">
        <v>43</v>
      </c>
      <c r="AI1794" t="s">
        <v>43</v>
      </c>
      <c r="AJ1794" t="s">
        <v>43</v>
      </c>
      <c r="AK1794" t="s">
        <v>43</v>
      </c>
      <c r="AL1794" t="s">
        <v>43</v>
      </c>
      <c r="AM1794" t="s">
        <v>43</v>
      </c>
      <c r="AN1794" t="str">
        <f>HYPERLINK("https://www.google.com/maps?q=11.05588341,79.06412506","Open Location")</f>
        <v>Open Location</v>
      </c>
    </row>
    <row r="1795" spans="1:40" x14ac:dyDescent="0.3">
      <c r="A1795" s="1">
        <v>46210.792013888888</v>
      </c>
      <c r="B1795" t="s">
        <v>40</v>
      </c>
      <c r="C1795" t="s">
        <v>41</v>
      </c>
      <c r="D1795" s="1">
        <v>46210.794999999998</v>
      </c>
      <c r="E1795" t="s">
        <v>42</v>
      </c>
      <c r="F1795" t="s">
        <v>43</v>
      </c>
      <c r="G1795" t="s">
        <v>43</v>
      </c>
      <c r="H1795" t="s">
        <v>43</v>
      </c>
      <c r="I1795" t="s">
        <v>654</v>
      </c>
      <c r="J1795" t="s">
        <v>43</v>
      </c>
      <c r="K1795" t="s">
        <v>43</v>
      </c>
      <c r="L1795" t="s">
        <v>43</v>
      </c>
      <c r="M1795" t="s">
        <v>43</v>
      </c>
      <c r="N1795" t="s">
        <v>45</v>
      </c>
      <c r="O1795" t="s">
        <v>43</v>
      </c>
      <c r="P1795" t="s">
        <v>43</v>
      </c>
      <c r="Q1795" t="s">
        <v>43</v>
      </c>
      <c r="R1795" t="s">
        <v>43</v>
      </c>
      <c r="S1795" t="s">
        <v>43</v>
      </c>
      <c r="T1795" t="s">
        <v>43</v>
      </c>
      <c r="U1795" t="s">
        <v>43</v>
      </c>
      <c r="V1795" t="s">
        <v>43</v>
      </c>
      <c r="W1795" t="s">
        <v>43</v>
      </c>
      <c r="X1795" t="s">
        <v>43</v>
      </c>
      <c r="Y1795" t="s">
        <v>43</v>
      </c>
      <c r="Z1795" t="s">
        <v>43</v>
      </c>
      <c r="AA1795" t="s">
        <v>43</v>
      </c>
      <c r="AB1795" t="s">
        <v>43</v>
      </c>
      <c r="AC1795" t="s">
        <v>43</v>
      </c>
      <c r="AD1795" t="s">
        <v>43</v>
      </c>
      <c r="AE1795" t="s">
        <v>43</v>
      </c>
      <c r="AF1795" t="s">
        <v>43</v>
      </c>
      <c r="AG1795" t="s">
        <v>43</v>
      </c>
      <c r="AH1795" t="s">
        <v>43</v>
      </c>
      <c r="AI1795" t="s">
        <v>43</v>
      </c>
      <c r="AJ1795" t="s">
        <v>43</v>
      </c>
      <c r="AK1795" t="s">
        <v>43</v>
      </c>
      <c r="AL1795" t="s">
        <v>43</v>
      </c>
      <c r="AM1795" t="s">
        <v>43</v>
      </c>
      <c r="AN1795" t="str">
        <f>HYPERLINK("https://www.google.com/maps?q=11.05588722,79.06412506","Open Location")</f>
        <v>Open Location</v>
      </c>
    </row>
    <row r="1796" spans="1:40" x14ac:dyDescent="0.3">
      <c r="A1796" s="1">
        <v>46210.791898148149</v>
      </c>
      <c r="B1796" t="s">
        <v>40</v>
      </c>
      <c r="C1796" t="s">
        <v>41</v>
      </c>
      <c r="D1796" s="1">
        <v>46210.794745370367</v>
      </c>
      <c r="E1796" t="s">
        <v>42</v>
      </c>
      <c r="F1796" t="s">
        <v>43</v>
      </c>
      <c r="G1796" t="s">
        <v>43</v>
      </c>
      <c r="H1796" t="s">
        <v>43</v>
      </c>
      <c r="I1796" t="s">
        <v>689</v>
      </c>
      <c r="J1796" t="s">
        <v>43</v>
      </c>
      <c r="K1796" t="s">
        <v>43</v>
      </c>
      <c r="L1796" t="s">
        <v>43</v>
      </c>
      <c r="M1796" t="s">
        <v>43</v>
      </c>
      <c r="N1796" t="s">
        <v>45</v>
      </c>
      <c r="O1796" t="s">
        <v>43</v>
      </c>
      <c r="P1796" t="s">
        <v>43</v>
      </c>
      <c r="Q1796" t="s">
        <v>43</v>
      </c>
      <c r="R1796" t="s">
        <v>43</v>
      </c>
      <c r="S1796" t="s">
        <v>43</v>
      </c>
      <c r="T1796" t="s">
        <v>43</v>
      </c>
      <c r="U1796" t="s">
        <v>43</v>
      </c>
      <c r="V1796" t="s">
        <v>43</v>
      </c>
      <c r="W1796" t="s">
        <v>43</v>
      </c>
      <c r="X1796" t="s">
        <v>43</v>
      </c>
      <c r="Y1796" t="s">
        <v>43</v>
      </c>
      <c r="Z1796" t="s">
        <v>43</v>
      </c>
      <c r="AA1796" t="s">
        <v>43</v>
      </c>
      <c r="AB1796" t="s">
        <v>43</v>
      </c>
      <c r="AC1796" t="s">
        <v>43</v>
      </c>
      <c r="AD1796" t="s">
        <v>43</v>
      </c>
      <c r="AE1796" t="s">
        <v>43</v>
      </c>
      <c r="AF1796" t="s">
        <v>43</v>
      </c>
      <c r="AG1796" t="s">
        <v>43</v>
      </c>
      <c r="AH1796" t="s">
        <v>43</v>
      </c>
      <c r="AI1796" t="s">
        <v>43</v>
      </c>
      <c r="AJ1796" t="s">
        <v>43</v>
      </c>
      <c r="AK1796" t="s">
        <v>43</v>
      </c>
      <c r="AL1796" t="s">
        <v>43</v>
      </c>
      <c r="AM1796" t="s">
        <v>43</v>
      </c>
      <c r="AN1796" t="str">
        <f>HYPERLINK("https://www.google.com/maps?q=11.05588913,79.06411743","Open Location")</f>
        <v>Open Location</v>
      </c>
    </row>
    <row r="1797" spans="1:40" x14ac:dyDescent="0.3">
      <c r="A1797" s="1">
        <v>46210.79178240741</v>
      </c>
      <c r="B1797" t="s">
        <v>40</v>
      </c>
      <c r="C1797" t="s">
        <v>41</v>
      </c>
      <c r="D1797" s="1">
        <v>46210.794733796298</v>
      </c>
      <c r="E1797" t="s">
        <v>42</v>
      </c>
      <c r="F1797" t="s">
        <v>43</v>
      </c>
      <c r="G1797" t="s">
        <v>43</v>
      </c>
      <c r="H1797" t="s">
        <v>43</v>
      </c>
      <c r="I1797" t="s">
        <v>43</v>
      </c>
      <c r="J1797" t="s">
        <v>43</v>
      </c>
      <c r="K1797" t="s">
        <v>43</v>
      </c>
      <c r="L1797" t="s">
        <v>43</v>
      </c>
      <c r="M1797" t="s">
        <v>43</v>
      </c>
      <c r="N1797" t="s">
        <v>45</v>
      </c>
      <c r="O1797" t="s">
        <v>43</v>
      </c>
      <c r="P1797" t="s">
        <v>43</v>
      </c>
      <c r="Q1797" t="s">
        <v>43</v>
      </c>
      <c r="R1797" t="s">
        <v>43</v>
      </c>
      <c r="S1797" t="s">
        <v>43</v>
      </c>
      <c r="T1797" t="s">
        <v>43</v>
      </c>
      <c r="U1797" t="s">
        <v>43</v>
      </c>
      <c r="V1797" t="s">
        <v>43</v>
      </c>
      <c r="W1797" t="s">
        <v>43</v>
      </c>
      <c r="X1797" t="s">
        <v>43</v>
      </c>
      <c r="Y1797" t="s">
        <v>43</v>
      </c>
      <c r="Z1797" t="s">
        <v>43</v>
      </c>
      <c r="AA1797" t="s">
        <v>43</v>
      </c>
      <c r="AB1797" t="s">
        <v>43</v>
      </c>
      <c r="AC1797" t="s">
        <v>43</v>
      </c>
      <c r="AD1797" t="s">
        <v>43</v>
      </c>
      <c r="AE1797" t="s">
        <v>43</v>
      </c>
      <c r="AF1797" t="s">
        <v>43</v>
      </c>
      <c r="AG1797" t="s">
        <v>43</v>
      </c>
      <c r="AH1797" t="s">
        <v>43</v>
      </c>
      <c r="AI1797" t="s">
        <v>43</v>
      </c>
      <c r="AJ1797" t="s">
        <v>43</v>
      </c>
      <c r="AK1797" t="s">
        <v>43</v>
      </c>
      <c r="AL1797" t="s">
        <v>43</v>
      </c>
      <c r="AM1797" t="s">
        <v>43</v>
      </c>
      <c r="AN1797" t="s">
        <v>43</v>
      </c>
    </row>
    <row r="1798" spans="1:40" x14ac:dyDescent="0.3">
      <c r="A1798" s="1">
        <v>46210.791666666664</v>
      </c>
      <c r="B1798" t="s">
        <v>40</v>
      </c>
      <c r="C1798" t="s">
        <v>41</v>
      </c>
      <c r="D1798" s="1">
        <v>46210.794594907406</v>
      </c>
      <c r="E1798" t="s">
        <v>42</v>
      </c>
      <c r="F1798" t="s">
        <v>43</v>
      </c>
      <c r="G1798" t="s">
        <v>43</v>
      </c>
      <c r="H1798" t="s">
        <v>43</v>
      </c>
      <c r="I1798" t="s">
        <v>832</v>
      </c>
      <c r="J1798" t="s">
        <v>43</v>
      </c>
      <c r="K1798" t="s">
        <v>43</v>
      </c>
      <c r="L1798" t="s">
        <v>43</v>
      </c>
      <c r="M1798" t="s">
        <v>43</v>
      </c>
      <c r="N1798" t="s">
        <v>45</v>
      </c>
      <c r="O1798" t="s">
        <v>43</v>
      </c>
      <c r="P1798" t="s">
        <v>43</v>
      </c>
      <c r="Q1798" t="s">
        <v>43</v>
      </c>
      <c r="R1798" t="s">
        <v>43</v>
      </c>
      <c r="S1798" t="s">
        <v>43</v>
      </c>
      <c r="T1798" t="s">
        <v>43</v>
      </c>
      <c r="U1798" t="s">
        <v>43</v>
      </c>
      <c r="V1798" t="s">
        <v>43</v>
      </c>
      <c r="W1798" t="s">
        <v>43</v>
      </c>
      <c r="X1798" t="s">
        <v>43</v>
      </c>
      <c r="Y1798" t="s">
        <v>43</v>
      </c>
      <c r="Z1798" t="s">
        <v>43</v>
      </c>
      <c r="AA1798" t="s">
        <v>43</v>
      </c>
      <c r="AB1798" t="s">
        <v>43</v>
      </c>
      <c r="AC1798" t="s">
        <v>43</v>
      </c>
      <c r="AD1798" t="s">
        <v>43</v>
      </c>
      <c r="AE1798" t="s">
        <v>43</v>
      </c>
      <c r="AF1798" t="s">
        <v>43</v>
      </c>
      <c r="AG1798" t="s">
        <v>43</v>
      </c>
      <c r="AH1798" t="s">
        <v>43</v>
      </c>
      <c r="AI1798" t="s">
        <v>43</v>
      </c>
      <c r="AJ1798" t="s">
        <v>43</v>
      </c>
      <c r="AK1798" t="s">
        <v>43</v>
      </c>
      <c r="AL1798" t="s">
        <v>43</v>
      </c>
      <c r="AM1798" t="s">
        <v>43</v>
      </c>
      <c r="AN1798" t="str">
        <f>HYPERLINK("https://www.google.com/maps?q=11.0558939,79.06411743","Open Location")</f>
        <v>Open Location</v>
      </c>
    </row>
    <row r="1799" spans="1:40" x14ac:dyDescent="0.3">
      <c r="A1799" s="1">
        <v>46210.791550925926</v>
      </c>
      <c r="B1799" t="s">
        <v>40</v>
      </c>
      <c r="C1799" t="s">
        <v>41</v>
      </c>
      <c r="D1799" s="1">
        <v>46210.794293981482</v>
      </c>
      <c r="E1799" t="s">
        <v>42</v>
      </c>
      <c r="F1799" t="s">
        <v>43</v>
      </c>
      <c r="G1799" t="s">
        <v>43</v>
      </c>
      <c r="H1799" t="s">
        <v>43</v>
      </c>
      <c r="I1799" t="s">
        <v>658</v>
      </c>
      <c r="J1799" t="s">
        <v>43</v>
      </c>
      <c r="K1799" t="s">
        <v>43</v>
      </c>
      <c r="L1799" t="s">
        <v>43</v>
      </c>
      <c r="M1799" t="s">
        <v>43</v>
      </c>
      <c r="N1799" t="s">
        <v>45</v>
      </c>
      <c r="O1799" t="s">
        <v>43</v>
      </c>
      <c r="P1799" t="s">
        <v>43</v>
      </c>
      <c r="Q1799" t="s">
        <v>43</v>
      </c>
      <c r="R1799" t="s">
        <v>43</v>
      </c>
      <c r="S1799" t="s">
        <v>43</v>
      </c>
      <c r="T1799" t="s">
        <v>43</v>
      </c>
      <c r="U1799" t="s">
        <v>43</v>
      </c>
      <c r="V1799" t="s">
        <v>43</v>
      </c>
      <c r="W1799" t="s">
        <v>43</v>
      </c>
      <c r="X1799" t="s">
        <v>43</v>
      </c>
      <c r="Y1799" t="s">
        <v>43</v>
      </c>
      <c r="Z1799" t="s">
        <v>43</v>
      </c>
      <c r="AA1799" t="s">
        <v>43</v>
      </c>
      <c r="AB1799" t="s">
        <v>43</v>
      </c>
      <c r="AC1799" t="s">
        <v>43</v>
      </c>
      <c r="AD1799" t="s">
        <v>43</v>
      </c>
      <c r="AE1799" t="s">
        <v>43</v>
      </c>
      <c r="AF1799" t="s">
        <v>43</v>
      </c>
      <c r="AG1799" t="s">
        <v>43</v>
      </c>
      <c r="AH1799" t="s">
        <v>43</v>
      </c>
      <c r="AI1799" t="s">
        <v>43</v>
      </c>
      <c r="AJ1799" t="s">
        <v>43</v>
      </c>
      <c r="AK1799" t="s">
        <v>43</v>
      </c>
      <c r="AL1799" t="s">
        <v>43</v>
      </c>
      <c r="AM1799" t="s">
        <v>43</v>
      </c>
      <c r="AN1799" t="str">
        <f>HYPERLINK("https://www.google.com/maps?q=11.05589294,79.06412506","Open Location")</f>
        <v>Open Location</v>
      </c>
    </row>
    <row r="1800" spans="1:40" x14ac:dyDescent="0.3">
      <c r="A1800" s="1">
        <v>46210.791435185187</v>
      </c>
      <c r="B1800" t="s">
        <v>40</v>
      </c>
      <c r="C1800" t="s">
        <v>41</v>
      </c>
      <c r="D1800" s="1">
        <v>46210.794386574074</v>
      </c>
      <c r="E1800" t="s">
        <v>42</v>
      </c>
      <c r="F1800" t="s">
        <v>43</v>
      </c>
      <c r="G1800" t="s">
        <v>43</v>
      </c>
      <c r="H1800" t="s">
        <v>43</v>
      </c>
      <c r="I1800" t="s">
        <v>598</v>
      </c>
      <c r="J1800" t="s">
        <v>43</v>
      </c>
      <c r="K1800" t="s">
        <v>43</v>
      </c>
      <c r="L1800" t="s">
        <v>43</v>
      </c>
      <c r="M1800" t="s">
        <v>43</v>
      </c>
      <c r="N1800" t="s">
        <v>45</v>
      </c>
      <c r="O1800" t="s">
        <v>43</v>
      </c>
      <c r="P1800" t="s">
        <v>43</v>
      </c>
      <c r="Q1800" t="s">
        <v>43</v>
      </c>
      <c r="R1800" t="s">
        <v>43</v>
      </c>
      <c r="S1800" t="s">
        <v>43</v>
      </c>
      <c r="T1800" t="s">
        <v>43</v>
      </c>
      <c r="U1800" t="s">
        <v>43</v>
      </c>
      <c r="V1800" t="s">
        <v>43</v>
      </c>
      <c r="W1800" t="s">
        <v>43</v>
      </c>
      <c r="X1800" t="s">
        <v>43</v>
      </c>
      <c r="Y1800" t="s">
        <v>43</v>
      </c>
      <c r="Z1800" t="s">
        <v>43</v>
      </c>
      <c r="AA1800" t="s">
        <v>43</v>
      </c>
      <c r="AB1800" t="s">
        <v>43</v>
      </c>
      <c r="AC1800" t="s">
        <v>43</v>
      </c>
      <c r="AD1800" t="s">
        <v>43</v>
      </c>
      <c r="AE1800" t="s">
        <v>43</v>
      </c>
      <c r="AF1800" t="s">
        <v>43</v>
      </c>
      <c r="AG1800" t="s">
        <v>43</v>
      </c>
      <c r="AH1800" t="s">
        <v>43</v>
      </c>
      <c r="AI1800" t="s">
        <v>43</v>
      </c>
      <c r="AJ1800" t="s">
        <v>43</v>
      </c>
      <c r="AK1800" t="s">
        <v>43</v>
      </c>
      <c r="AL1800" t="s">
        <v>43</v>
      </c>
      <c r="AM1800" t="s">
        <v>43</v>
      </c>
      <c r="AN1800" t="str">
        <f>HYPERLINK("https://www.google.com/maps?q=11.05590057,79.06411743","Open Location")</f>
        <v>Open Location</v>
      </c>
    </row>
    <row r="1801" spans="1:40" x14ac:dyDescent="0.3">
      <c r="A1801" s="1">
        <v>46210.791319444441</v>
      </c>
      <c r="B1801" t="s">
        <v>40</v>
      </c>
      <c r="C1801" t="s">
        <v>41</v>
      </c>
      <c r="D1801" s="1">
        <v>46210.794224537036</v>
      </c>
      <c r="E1801" t="s">
        <v>42</v>
      </c>
      <c r="F1801" t="s">
        <v>43</v>
      </c>
      <c r="G1801" t="s">
        <v>43</v>
      </c>
      <c r="H1801" t="s">
        <v>43</v>
      </c>
      <c r="I1801" t="s">
        <v>597</v>
      </c>
      <c r="J1801" t="s">
        <v>43</v>
      </c>
      <c r="K1801" t="s">
        <v>43</v>
      </c>
      <c r="L1801" t="s">
        <v>43</v>
      </c>
      <c r="M1801" t="s">
        <v>43</v>
      </c>
      <c r="N1801" t="s">
        <v>45</v>
      </c>
      <c r="O1801" t="s">
        <v>43</v>
      </c>
      <c r="P1801" t="s">
        <v>43</v>
      </c>
      <c r="Q1801" t="s">
        <v>43</v>
      </c>
      <c r="R1801" t="s">
        <v>43</v>
      </c>
      <c r="S1801" t="s">
        <v>43</v>
      </c>
      <c r="T1801" t="s">
        <v>43</v>
      </c>
      <c r="U1801" t="s">
        <v>43</v>
      </c>
      <c r="V1801" t="s">
        <v>43</v>
      </c>
      <c r="W1801" t="s">
        <v>43</v>
      </c>
      <c r="X1801" t="s">
        <v>43</v>
      </c>
      <c r="Y1801" t="s">
        <v>43</v>
      </c>
      <c r="Z1801" t="s">
        <v>43</v>
      </c>
      <c r="AA1801" t="s">
        <v>43</v>
      </c>
      <c r="AB1801" t="s">
        <v>43</v>
      </c>
      <c r="AC1801" t="s">
        <v>43</v>
      </c>
      <c r="AD1801" t="s">
        <v>43</v>
      </c>
      <c r="AE1801" t="s">
        <v>43</v>
      </c>
      <c r="AF1801" t="s">
        <v>43</v>
      </c>
      <c r="AG1801" t="s">
        <v>43</v>
      </c>
      <c r="AH1801" t="s">
        <v>43</v>
      </c>
      <c r="AI1801" t="s">
        <v>43</v>
      </c>
      <c r="AJ1801" t="s">
        <v>43</v>
      </c>
      <c r="AK1801" t="s">
        <v>43</v>
      </c>
      <c r="AL1801" t="s">
        <v>43</v>
      </c>
      <c r="AM1801" t="s">
        <v>43</v>
      </c>
      <c r="AN1801" t="str">
        <f>HYPERLINK("https://www.google.com/maps?q=11.05589771,79.06411743","Open Location")</f>
        <v>Open Location</v>
      </c>
    </row>
    <row r="1802" spans="1:40" x14ac:dyDescent="0.3">
      <c r="A1802" s="1">
        <v>46210.791203703702</v>
      </c>
      <c r="B1802" t="s">
        <v>40</v>
      </c>
      <c r="C1802" t="s">
        <v>41</v>
      </c>
      <c r="D1802" s="1">
        <v>46210.793993055559</v>
      </c>
      <c r="E1802" t="s">
        <v>42</v>
      </c>
      <c r="F1802" t="s">
        <v>43</v>
      </c>
      <c r="G1802" t="s">
        <v>43</v>
      </c>
      <c r="H1802" t="s">
        <v>43</v>
      </c>
      <c r="I1802" t="s">
        <v>597</v>
      </c>
      <c r="J1802" t="s">
        <v>43</v>
      </c>
      <c r="K1802" t="s">
        <v>43</v>
      </c>
      <c r="L1802" t="s">
        <v>43</v>
      </c>
      <c r="M1802" t="s">
        <v>43</v>
      </c>
      <c r="N1802" t="s">
        <v>45</v>
      </c>
      <c r="O1802" t="s">
        <v>43</v>
      </c>
      <c r="P1802" t="s">
        <v>43</v>
      </c>
      <c r="Q1802" t="s">
        <v>43</v>
      </c>
      <c r="R1802" t="s">
        <v>43</v>
      </c>
      <c r="S1802" t="s">
        <v>43</v>
      </c>
      <c r="T1802" t="s">
        <v>43</v>
      </c>
      <c r="U1802" t="s">
        <v>43</v>
      </c>
      <c r="V1802" t="s">
        <v>43</v>
      </c>
      <c r="W1802" t="s">
        <v>43</v>
      </c>
      <c r="X1802" t="s">
        <v>43</v>
      </c>
      <c r="Y1802" t="s">
        <v>43</v>
      </c>
      <c r="Z1802" t="s">
        <v>43</v>
      </c>
      <c r="AA1802" t="s">
        <v>43</v>
      </c>
      <c r="AB1802" t="s">
        <v>43</v>
      </c>
      <c r="AC1802" t="s">
        <v>43</v>
      </c>
      <c r="AD1802" t="s">
        <v>43</v>
      </c>
      <c r="AE1802" t="s">
        <v>43</v>
      </c>
      <c r="AF1802" t="s">
        <v>43</v>
      </c>
      <c r="AG1802" t="s">
        <v>43</v>
      </c>
      <c r="AH1802" t="s">
        <v>43</v>
      </c>
      <c r="AI1802" t="s">
        <v>43</v>
      </c>
      <c r="AJ1802" t="s">
        <v>43</v>
      </c>
      <c r="AK1802" t="s">
        <v>43</v>
      </c>
      <c r="AL1802" t="s">
        <v>43</v>
      </c>
      <c r="AM1802" t="s">
        <v>43</v>
      </c>
      <c r="AN1802" t="str">
        <f>HYPERLINK("https://www.google.com/maps?q=11.05589771,79.06411743","Open Location")</f>
        <v>Open Location</v>
      </c>
    </row>
    <row r="1803" spans="1:40" x14ac:dyDescent="0.3">
      <c r="A1803" s="1">
        <v>46210.791087962964</v>
      </c>
      <c r="B1803" t="s">
        <v>40</v>
      </c>
      <c r="C1803" t="s">
        <v>41</v>
      </c>
      <c r="D1803" s="1">
        <v>46210.793900462966</v>
      </c>
      <c r="E1803" t="s">
        <v>42</v>
      </c>
      <c r="F1803" t="s">
        <v>43</v>
      </c>
      <c r="G1803" t="s">
        <v>43</v>
      </c>
      <c r="H1803" t="s">
        <v>43</v>
      </c>
      <c r="I1803" t="s">
        <v>43</v>
      </c>
      <c r="J1803" t="s">
        <v>43</v>
      </c>
      <c r="K1803" t="s">
        <v>43</v>
      </c>
      <c r="L1803" t="s">
        <v>43</v>
      </c>
      <c r="M1803" t="s">
        <v>43</v>
      </c>
      <c r="N1803" t="s">
        <v>45</v>
      </c>
      <c r="O1803" t="s">
        <v>43</v>
      </c>
      <c r="P1803" t="s">
        <v>43</v>
      </c>
      <c r="Q1803" t="s">
        <v>43</v>
      </c>
      <c r="R1803" t="s">
        <v>43</v>
      </c>
      <c r="S1803" t="s">
        <v>43</v>
      </c>
      <c r="T1803" t="s">
        <v>43</v>
      </c>
      <c r="U1803" t="s">
        <v>43</v>
      </c>
      <c r="V1803" t="s">
        <v>43</v>
      </c>
      <c r="W1803" t="s">
        <v>43</v>
      </c>
      <c r="X1803" t="s">
        <v>43</v>
      </c>
      <c r="Y1803" t="s">
        <v>43</v>
      </c>
      <c r="Z1803" t="s">
        <v>43</v>
      </c>
      <c r="AA1803" t="s">
        <v>43</v>
      </c>
      <c r="AB1803" t="s">
        <v>43</v>
      </c>
      <c r="AC1803" t="s">
        <v>43</v>
      </c>
      <c r="AD1803" t="s">
        <v>43</v>
      </c>
      <c r="AE1803" t="s">
        <v>43</v>
      </c>
      <c r="AF1803" t="s">
        <v>43</v>
      </c>
      <c r="AG1803" t="s">
        <v>43</v>
      </c>
      <c r="AH1803" t="s">
        <v>43</v>
      </c>
      <c r="AI1803" t="s">
        <v>43</v>
      </c>
      <c r="AJ1803" t="s">
        <v>43</v>
      </c>
      <c r="AK1803" t="s">
        <v>43</v>
      </c>
      <c r="AL1803" t="s">
        <v>43</v>
      </c>
      <c r="AM1803" t="s">
        <v>43</v>
      </c>
      <c r="AN1803" t="s">
        <v>43</v>
      </c>
    </row>
    <row r="1804" spans="1:40" x14ac:dyDescent="0.3">
      <c r="A1804" s="1">
        <v>46210.790972222225</v>
      </c>
      <c r="B1804" t="s">
        <v>40</v>
      </c>
      <c r="C1804" t="s">
        <v>41</v>
      </c>
      <c r="D1804" s="1">
        <v>46210.793738425928</v>
      </c>
      <c r="E1804" t="s">
        <v>42</v>
      </c>
      <c r="F1804" t="s">
        <v>43</v>
      </c>
      <c r="G1804" t="s">
        <v>43</v>
      </c>
      <c r="H1804" t="s">
        <v>43</v>
      </c>
      <c r="I1804" t="s">
        <v>601</v>
      </c>
      <c r="J1804" t="s">
        <v>43</v>
      </c>
      <c r="K1804" t="s">
        <v>43</v>
      </c>
      <c r="L1804" t="s">
        <v>43</v>
      </c>
      <c r="M1804" t="s">
        <v>43</v>
      </c>
      <c r="N1804" t="s">
        <v>45</v>
      </c>
      <c r="O1804" t="s">
        <v>43</v>
      </c>
      <c r="P1804" t="s">
        <v>43</v>
      </c>
      <c r="Q1804" t="s">
        <v>43</v>
      </c>
      <c r="R1804" t="s">
        <v>43</v>
      </c>
      <c r="S1804" t="s">
        <v>43</v>
      </c>
      <c r="T1804" t="s">
        <v>43</v>
      </c>
      <c r="U1804" t="s">
        <v>43</v>
      </c>
      <c r="V1804" t="s">
        <v>43</v>
      </c>
      <c r="W1804" t="s">
        <v>43</v>
      </c>
      <c r="X1804" t="s">
        <v>43</v>
      </c>
      <c r="Y1804" t="s">
        <v>43</v>
      </c>
      <c r="Z1804" t="s">
        <v>43</v>
      </c>
      <c r="AA1804" t="s">
        <v>43</v>
      </c>
      <c r="AB1804" t="s">
        <v>43</v>
      </c>
      <c r="AC1804" t="s">
        <v>43</v>
      </c>
      <c r="AD1804" t="s">
        <v>43</v>
      </c>
      <c r="AE1804" t="s">
        <v>43</v>
      </c>
      <c r="AF1804" t="s">
        <v>43</v>
      </c>
      <c r="AG1804" t="s">
        <v>43</v>
      </c>
      <c r="AH1804" t="s">
        <v>43</v>
      </c>
      <c r="AI1804" t="s">
        <v>43</v>
      </c>
      <c r="AJ1804" t="s">
        <v>43</v>
      </c>
      <c r="AK1804" t="s">
        <v>43</v>
      </c>
      <c r="AL1804" t="s">
        <v>43</v>
      </c>
      <c r="AM1804" t="s">
        <v>43</v>
      </c>
      <c r="AN1804" t="str">
        <f>HYPERLINK("https://www.google.com/maps?q=11.05589867,79.06411743","Open Location")</f>
        <v>Open Location</v>
      </c>
    </row>
    <row r="1805" spans="1:40" x14ac:dyDescent="0.3">
      <c r="A1805" s="1">
        <v>46210.790856481479</v>
      </c>
      <c r="B1805" t="s">
        <v>40</v>
      </c>
      <c r="C1805" t="s">
        <v>41</v>
      </c>
      <c r="D1805" s="1">
        <v>46210.793622685182</v>
      </c>
      <c r="E1805" t="s">
        <v>42</v>
      </c>
      <c r="F1805" t="s">
        <v>43</v>
      </c>
      <c r="G1805" t="s">
        <v>43</v>
      </c>
      <c r="H1805" t="s">
        <v>43</v>
      </c>
      <c r="I1805" t="s">
        <v>833</v>
      </c>
      <c r="J1805" t="s">
        <v>43</v>
      </c>
      <c r="K1805" t="s">
        <v>43</v>
      </c>
      <c r="L1805" t="s">
        <v>43</v>
      </c>
      <c r="M1805" t="s">
        <v>43</v>
      </c>
      <c r="N1805" t="s">
        <v>45</v>
      </c>
      <c r="O1805" t="s">
        <v>43</v>
      </c>
      <c r="P1805" t="s">
        <v>43</v>
      </c>
      <c r="Q1805" t="s">
        <v>43</v>
      </c>
      <c r="R1805" t="s">
        <v>43</v>
      </c>
      <c r="S1805" t="s">
        <v>43</v>
      </c>
      <c r="T1805" t="s">
        <v>43</v>
      </c>
      <c r="U1805" t="s">
        <v>43</v>
      </c>
      <c r="V1805" t="s">
        <v>43</v>
      </c>
      <c r="W1805" t="s">
        <v>43</v>
      </c>
      <c r="X1805" t="s">
        <v>43</v>
      </c>
      <c r="Y1805" t="s">
        <v>43</v>
      </c>
      <c r="Z1805" t="s">
        <v>43</v>
      </c>
      <c r="AA1805" t="s">
        <v>43</v>
      </c>
      <c r="AB1805" t="s">
        <v>43</v>
      </c>
      <c r="AC1805" t="s">
        <v>43</v>
      </c>
      <c r="AD1805" t="s">
        <v>43</v>
      </c>
      <c r="AE1805" t="s">
        <v>43</v>
      </c>
      <c r="AF1805" t="s">
        <v>43</v>
      </c>
      <c r="AG1805" t="s">
        <v>43</v>
      </c>
      <c r="AH1805" t="s">
        <v>43</v>
      </c>
      <c r="AI1805" t="s">
        <v>43</v>
      </c>
      <c r="AJ1805" t="s">
        <v>43</v>
      </c>
      <c r="AK1805" t="s">
        <v>43</v>
      </c>
      <c r="AL1805" t="s">
        <v>43</v>
      </c>
      <c r="AM1805" t="s">
        <v>43</v>
      </c>
      <c r="AN1805" t="str">
        <f>HYPERLINK("https://www.google.com/maps?q=11.05589676,79.06411743","Open Location")</f>
        <v>Open Location</v>
      </c>
    </row>
    <row r="1806" spans="1:40" x14ac:dyDescent="0.3">
      <c r="A1806" s="1">
        <v>46210.79074074074</v>
      </c>
      <c r="B1806" t="s">
        <v>40</v>
      </c>
      <c r="C1806" t="s">
        <v>41</v>
      </c>
      <c r="D1806" s="1">
        <v>46210.79351851852</v>
      </c>
      <c r="E1806" t="s">
        <v>42</v>
      </c>
      <c r="F1806" t="s">
        <v>43</v>
      </c>
      <c r="G1806" t="s">
        <v>43</v>
      </c>
      <c r="H1806" t="s">
        <v>43</v>
      </c>
      <c r="I1806" t="s">
        <v>834</v>
      </c>
      <c r="J1806" t="s">
        <v>43</v>
      </c>
      <c r="K1806" t="s">
        <v>43</v>
      </c>
      <c r="L1806" t="s">
        <v>43</v>
      </c>
      <c r="M1806" t="s">
        <v>43</v>
      </c>
      <c r="N1806" t="s">
        <v>45</v>
      </c>
      <c r="O1806" t="s">
        <v>43</v>
      </c>
      <c r="P1806" t="s">
        <v>43</v>
      </c>
      <c r="Q1806" t="s">
        <v>43</v>
      </c>
      <c r="R1806" t="s">
        <v>43</v>
      </c>
      <c r="S1806" t="s">
        <v>43</v>
      </c>
      <c r="T1806" t="s">
        <v>43</v>
      </c>
      <c r="U1806" t="s">
        <v>43</v>
      </c>
      <c r="V1806" t="s">
        <v>43</v>
      </c>
      <c r="W1806" t="s">
        <v>43</v>
      </c>
      <c r="X1806" t="s">
        <v>43</v>
      </c>
      <c r="Y1806" t="s">
        <v>43</v>
      </c>
      <c r="Z1806" t="s">
        <v>43</v>
      </c>
      <c r="AA1806" t="s">
        <v>43</v>
      </c>
      <c r="AB1806" t="s">
        <v>43</v>
      </c>
      <c r="AC1806" t="s">
        <v>43</v>
      </c>
      <c r="AD1806" t="s">
        <v>43</v>
      </c>
      <c r="AE1806" t="s">
        <v>43</v>
      </c>
      <c r="AF1806" t="s">
        <v>43</v>
      </c>
      <c r="AG1806" t="s">
        <v>43</v>
      </c>
      <c r="AH1806" t="s">
        <v>43</v>
      </c>
      <c r="AI1806" t="s">
        <v>43</v>
      </c>
      <c r="AJ1806" t="s">
        <v>43</v>
      </c>
      <c r="AK1806" t="s">
        <v>43</v>
      </c>
      <c r="AL1806" t="s">
        <v>43</v>
      </c>
      <c r="AM1806" t="s">
        <v>43</v>
      </c>
      <c r="AN1806" t="str">
        <f>HYPERLINK("https://www.google.com/maps?q=11.05589485,79.06412506","Open Location")</f>
        <v>Open Location</v>
      </c>
    </row>
    <row r="1807" spans="1:40" x14ac:dyDescent="0.3">
      <c r="A1807" s="1">
        <v>46210.790625000001</v>
      </c>
      <c r="B1807" t="s">
        <v>40</v>
      </c>
      <c r="C1807" t="s">
        <v>41</v>
      </c>
      <c r="D1807" s="1">
        <v>46210.793495370373</v>
      </c>
      <c r="E1807" t="s">
        <v>42</v>
      </c>
      <c r="F1807" t="s">
        <v>43</v>
      </c>
      <c r="G1807" t="s">
        <v>43</v>
      </c>
      <c r="H1807" t="s">
        <v>43</v>
      </c>
      <c r="I1807" t="s">
        <v>834</v>
      </c>
      <c r="J1807" t="s">
        <v>43</v>
      </c>
      <c r="K1807" t="s">
        <v>43</v>
      </c>
      <c r="L1807" t="s">
        <v>43</v>
      </c>
      <c r="M1807" t="s">
        <v>43</v>
      </c>
      <c r="N1807" t="s">
        <v>45</v>
      </c>
      <c r="O1807" t="s">
        <v>43</v>
      </c>
      <c r="P1807" t="s">
        <v>43</v>
      </c>
      <c r="Q1807" t="s">
        <v>43</v>
      </c>
      <c r="R1807" t="s">
        <v>43</v>
      </c>
      <c r="S1807" t="s">
        <v>43</v>
      </c>
      <c r="T1807" t="s">
        <v>43</v>
      </c>
      <c r="U1807" t="s">
        <v>43</v>
      </c>
      <c r="V1807" t="s">
        <v>43</v>
      </c>
      <c r="W1807" t="s">
        <v>43</v>
      </c>
      <c r="X1807" t="s">
        <v>43</v>
      </c>
      <c r="Y1807" t="s">
        <v>43</v>
      </c>
      <c r="Z1807" t="s">
        <v>43</v>
      </c>
      <c r="AA1807" t="s">
        <v>43</v>
      </c>
      <c r="AB1807" t="s">
        <v>43</v>
      </c>
      <c r="AC1807" t="s">
        <v>43</v>
      </c>
      <c r="AD1807" t="s">
        <v>43</v>
      </c>
      <c r="AE1807" t="s">
        <v>43</v>
      </c>
      <c r="AF1807" t="s">
        <v>43</v>
      </c>
      <c r="AG1807" t="s">
        <v>43</v>
      </c>
      <c r="AH1807" t="s">
        <v>43</v>
      </c>
      <c r="AI1807" t="s">
        <v>43</v>
      </c>
      <c r="AJ1807" t="s">
        <v>43</v>
      </c>
      <c r="AK1807" t="s">
        <v>43</v>
      </c>
      <c r="AL1807" t="s">
        <v>43</v>
      </c>
      <c r="AM1807" t="s">
        <v>43</v>
      </c>
      <c r="AN1807" t="str">
        <f>HYPERLINK("https://www.google.com/maps?q=11.05589485,79.06412506","Open Location")</f>
        <v>Open Location</v>
      </c>
    </row>
    <row r="1808" spans="1:40" x14ac:dyDescent="0.3">
      <c r="A1808" s="1">
        <v>46210.790509259263</v>
      </c>
      <c r="B1808" t="s">
        <v>40</v>
      </c>
      <c r="C1808" t="s">
        <v>41</v>
      </c>
      <c r="D1808" s="1">
        <v>46210.793437499997</v>
      </c>
      <c r="E1808" t="s">
        <v>42</v>
      </c>
      <c r="F1808" t="s">
        <v>43</v>
      </c>
      <c r="G1808" t="s">
        <v>43</v>
      </c>
      <c r="H1808" t="s">
        <v>43</v>
      </c>
      <c r="I1808" t="s">
        <v>835</v>
      </c>
      <c r="J1808" t="s">
        <v>43</v>
      </c>
      <c r="K1808" t="s">
        <v>43</v>
      </c>
      <c r="L1808" t="s">
        <v>43</v>
      </c>
      <c r="M1808" t="s">
        <v>43</v>
      </c>
      <c r="N1808" t="s">
        <v>45</v>
      </c>
      <c r="O1808" t="s">
        <v>43</v>
      </c>
      <c r="P1808" t="s">
        <v>43</v>
      </c>
      <c r="Q1808" t="s">
        <v>43</v>
      </c>
      <c r="R1808" t="s">
        <v>43</v>
      </c>
      <c r="S1808" t="s">
        <v>43</v>
      </c>
      <c r="T1808" t="s">
        <v>43</v>
      </c>
      <c r="U1808" t="s">
        <v>43</v>
      </c>
      <c r="V1808" t="s">
        <v>43</v>
      </c>
      <c r="W1808" t="s">
        <v>43</v>
      </c>
      <c r="X1808" t="s">
        <v>43</v>
      </c>
      <c r="Y1808" t="s">
        <v>43</v>
      </c>
      <c r="Z1808" t="s">
        <v>43</v>
      </c>
      <c r="AA1808" t="s">
        <v>43</v>
      </c>
      <c r="AB1808" t="s">
        <v>43</v>
      </c>
      <c r="AC1808" t="s">
        <v>43</v>
      </c>
      <c r="AD1808" t="s">
        <v>43</v>
      </c>
      <c r="AE1808" t="s">
        <v>43</v>
      </c>
      <c r="AF1808" t="s">
        <v>43</v>
      </c>
      <c r="AG1808" t="s">
        <v>43</v>
      </c>
      <c r="AH1808" t="s">
        <v>43</v>
      </c>
      <c r="AI1808" t="s">
        <v>43</v>
      </c>
      <c r="AJ1808" t="s">
        <v>43</v>
      </c>
      <c r="AK1808" t="s">
        <v>43</v>
      </c>
      <c r="AL1808" t="s">
        <v>43</v>
      </c>
      <c r="AM1808" t="s">
        <v>43</v>
      </c>
      <c r="AN1808" t="str">
        <f>HYPERLINK("https://www.google.com/maps?q=11.05589962,79.06411743","Open Location")</f>
        <v>Open Location</v>
      </c>
    </row>
    <row r="1809" spans="1:40" x14ac:dyDescent="0.3">
      <c r="A1809" s="1">
        <v>46210.790393518517</v>
      </c>
      <c r="B1809" t="s">
        <v>40</v>
      </c>
      <c r="C1809" t="s">
        <v>41</v>
      </c>
      <c r="D1809" s="1">
        <v>46210.793124999997</v>
      </c>
      <c r="E1809" t="s">
        <v>42</v>
      </c>
      <c r="F1809" t="s">
        <v>43</v>
      </c>
      <c r="G1809" t="s">
        <v>43</v>
      </c>
      <c r="H1809" t="s">
        <v>43</v>
      </c>
      <c r="I1809" t="s">
        <v>43</v>
      </c>
      <c r="J1809" t="s">
        <v>43</v>
      </c>
      <c r="K1809" t="s">
        <v>43</v>
      </c>
      <c r="L1809" t="s">
        <v>43</v>
      </c>
      <c r="M1809" t="s">
        <v>43</v>
      </c>
      <c r="N1809" t="s">
        <v>45</v>
      </c>
      <c r="O1809" t="s">
        <v>43</v>
      </c>
      <c r="P1809" t="s">
        <v>43</v>
      </c>
      <c r="Q1809" t="s">
        <v>43</v>
      </c>
      <c r="R1809" t="s">
        <v>43</v>
      </c>
      <c r="S1809" t="s">
        <v>43</v>
      </c>
      <c r="T1809" t="s">
        <v>43</v>
      </c>
      <c r="U1809" t="s">
        <v>43</v>
      </c>
      <c r="V1809" t="s">
        <v>43</v>
      </c>
      <c r="W1809" t="s">
        <v>43</v>
      </c>
      <c r="X1809" t="s">
        <v>43</v>
      </c>
      <c r="Y1809" t="s">
        <v>43</v>
      </c>
      <c r="Z1809" t="s">
        <v>43</v>
      </c>
      <c r="AA1809" t="s">
        <v>43</v>
      </c>
      <c r="AB1809" t="s">
        <v>43</v>
      </c>
      <c r="AC1809" t="s">
        <v>43</v>
      </c>
      <c r="AD1809" t="s">
        <v>43</v>
      </c>
      <c r="AE1809" t="s">
        <v>43</v>
      </c>
      <c r="AF1809" t="s">
        <v>43</v>
      </c>
      <c r="AG1809" t="s">
        <v>43</v>
      </c>
      <c r="AH1809" t="s">
        <v>43</v>
      </c>
      <c r="AI1809" t="s">
        <v>43</v>
      </c>
      <c r="AJ1809" t="s">
        <v>43</v>
      </c>
      <c r="AK1809" t="s">
        <v>43</v>
      </c>
      <c r="AL1809" t="s">
        <v>43</v>
      </c>
      <c r="AM1809" t="s">
        <v>43</v>
      </c>
      <c r="AN1809" t="s">
        <v>43</v>
      </c>
    </row>
    <row r="1810" spans="1:40" x14ac:dyDescent="0.3">
      <c r="A1810" s="1">
        <v>46210.790277777778</v>
      </c>
      <c r="B1810" t="s">
        <v>40</v>
      </c>
      <c r="C1810" t="s">
        <v>41</v>
      </c>
      <c r="D1810" s="1">
        <v>46210.793171296296</v>
      </c>
      <c r="E1810" t="s">
        <v>42</v>
      </c>
      <c r="F1810" t="s">
        <v>43</v>
      </c>
      <c r="G1810" t="s">
        <v>43</v>
      </c>
      <c r="H1810" t="s">
        <v>43</v>
      </c>
      <c r="I1810" t="s">
        <v>836</v>
      </c>
      <c r="J1810" t="s">
        <v>43</v>
      </c>
      <c r="K1810" t="s">
        <v>43</v>
      </c>
      <c r="L1810" t="s">
        <v>43</v>
      </c>
      <c r="M1810" t="s">
        <v>43</v>
      </c>
      <c r="N1810" t="s">
        <v>45</v>
      </c>
      <c r="O1810" t="s">
        <v>43</v>
      </c>
      <c r="P1810" t="s">
        <v>43</v>
      </c>
      <c r="Q1810" t="s">
        <v>43</v>
      </c>
      <c r="R1810" t="s">
        <v>43</v>
      </c>
      <c r="S1810" t="s">
        <v>43</v>
      </c>
      <c r="T1810" t="s">
        <v>43</v>
      </c>
      <c r="U1810" t="s">
        <v>43</v>
      </c>
      <c r="V1810" t="s">
        <v>43</v>
      </c>
      <c r="W1810" t="s">
        <v>43</v>
      </c>
      <c r="X1810" t="s">
        <v>43</v>
      </c>
      <c r="Y1810" t="s">
        <v>43</v>
      </c>
      <c r="Z1810" t="s">
        <v>43</v>
      </c>
      <c r="AA1810" t="s">
        <v>43</v>
      </c>
      <c r="AB1810" t="s">
        <v>43</v>
      </c>
      <c r="AC1810" t="s">
        <v>43</v>
      </c>
      <c r="AD1810" t="s">
        <v>43</v>
      </c>
      <c r="AE1810" t="s">
        <v>43</v>
      </c>
      <c r="AF1810" t="s">
        <v>43</v>
      </c>
      <c r="AG1810" t="s">
        <v>43</v>
      </c>
      <c r="AH1810" t="s">
        <v>43</v>
      </c>
      <c r="AI1810" t="s">
        <v>43</v>
      </c>
      <c r="AJ1810" t="s">
        <v>43</v>
      </c>
      <c r="AK1810" t="s">
        <v>43</v>
      </c>
      <c r="AL1810" t="s">
        <v>43</v>
      </c>
      <c r="AM1810" t="s">
        <v>43</v>
      </c>
      <c r="AN1810" t="str">
        <f>HYPERLINK("https://www.google.com/maps?q=11.05590439,79.06411743","Open Location")</f>
        <v>Open Location</v>
      </c>
    </row>
    <row r="1811" spans="1:40" x14ac:dyDescent="0.3">
      <c r="A1811" s="1">
        <v>46210.790162037039</v>
      </c>
      <c r="B1811" t="s">
        <v>40</v>
      </c>
      <c r="C1811" t="s">
        <v>41</v>
      </c>
      <c r="D1811" s="1">
        <v>46210.792997685188</v>
      </c>
      <c r="E1811" t="s">
        <v>42</v>
      </c>
      <c r="F1811" t="s">
        <v>43</v>
      </c>
      <c r="G1811" t="s">
        <v>43</v>
      </c>
      <c r="H1811" t="s">
        <v>43</v>
      </c>
      <c r="I1811" t="s">
        <v>837</v>
      </c>
      <c r="J1811" t="s">
        <v>43</v>
      </c>
      <c r="K1811" t="s">
        <v>43</v>
      </c>
      <c r="L1811" t="s">
        <v>43</v>
      </c>
      <c r="M1811" t="s">
        <v>43</v>
      </c>
      <c r="N1811" t="s">
        <v>45</v>
      </c>
      <c r="O1811" t="s">
        <v>43</v>
      </c>
      <c r="P1811" t="s">
        <v>43</v>
      </c>
      <c r="Q1811" t="s">
        <v>43</v>
      </c>
      <c r="R1811" t="s">
        <v>43</v>
      </c>
      <c r="S1811" t="s">
        <v>43</v>
      </c>
      <c r="T1811" t="s">
        <v>43</v>
      </c>
      <c r="U1811" t="s">
        <v>43</v>
      </c>
      <c r="V1811" t="s">
        <v>43</v>
      </c>
      <c r="W1811" t="s">
        <v>43</v>
      </c>
      <c r="X1811" t="s">
        <v>43</v>
      </c>
      <c r="Y1811" t="s">
        <v>43</v>
      </c>
      <c r="Z1811" t="s">
        <v>43</v>
      </c>
      <c r="AA1811" t="s">
        <v>43</v>
      </c>
      <c r="AB1811" t="s">
        <v>43</v>
      </c>
      <c r="AC1811" t="s">
        <v>43</v>
      </c>
      <c r="AD1811" t="s">
        <v>43</v>
      </c>
      <c r="AE1811" t="s">
        <v>43</v>
      </c>
      <c r="AF1811" t="s">
        <v>43</v>
      </c>
      <c r="AG1811" t="s">
        <v>43</v>
      </c>
      <c r="AH1811" t="s">
        <v>43</v>
      </c>
      <c r="AI1811" t="s">
        <v>43</v>
      </c>
      <c r="AJ1811" t="s">
        <v>43</v>
      </c>
      <c r="AK1811" t="s">
        <v>43</v>
      </c>
      <c r="AL1811" t="s">
        <v>43</v>
      </c>
      <c r="AM1811" t="s">
        <v>43</v>
      </c>
      <c r="AN1811" t="str">
        <f>HYPERLINK("https://www.google.com/maps?q=11.0559082,79.0641098","Open Location")</f>
        <v>Open Location</v>
      </c>
    </row>
    <row r="1812" spans="1:40" x14ac:dyDescent="0.3">
      <c r="A1812" s="1">
        <v>46210.790046296293</v>
      </c>
      <c r="B1812" t="s">
        <v>40</v>
      </c>
      <c r="C1812" t="s">
        <v>41</v>
      </c>
      <c r="D1812" s="1">
        <v>46210.793020833335</v>
      </c>
      <c r="E1812" t="s">
        <v>42</v>
      </c>
      <c r="F1812" t="s">
        <v>43</v>
      </c>
      <c r="G1812" t="s">
        <v>43</v>
      </c>
      <c r="H1812" t="s">
        <v>43</v>
      </c>
      <c r="I1812" t="s">
        <v>838</v>
      </c>
      <c r="J1812" t="s">
        <v>43</v>
      </c>
      <c r="K1812" t="s">
        <v>43</v>
      </c>
      <c r="L1812" t="s">
        <v>43</v>
      </c>
      <c r="M1812" t="s">
        <v>43</v>
      </c>
      <c r="N1812" t="s">
        <v>45</v>
      </c>
      <c r="O1812" t="s">
        <v>43</v>
      </c>
      <c r="P1812" t="s">
        <v>43</v>
      </c>
      <c r="Q1812" t="s">
        <v>43</v>
      </c>
      <c r="R1812" t="s">
        <v>43</v>
      </c>
      <c r="S1812" t="s">
        <v>43</v>
      </c>
      <c r="T1812" t="s">
        <v>43</v>
      </c>
      <c r="U1812" t="s">
        <v>43</v>
      </c>
      <c r="V1812" t="s">
        <v>43</v>
      </c>
      <c r="W1812" t="s">
        <v>43</v>
      </c>
      <c r="X1812" t="s">
        <v>43</v>
      </c>
      <c r="Y1812" t="s">
        <v>43</v>
      </c>
      <c r="Z1812" t="s">
        <v>43</v>
      </c>
      <c r="AA1812" t="s">
        <v>43</v>
      </c>
      <c r="AB1812" t="s">
        <v>43</v>
      </c>
      <c r="AC1812" t="s">
        <v>43</v>
      </c>
      <c r="AD1812" t="s">
        <v>43</v>
      </c>
      <c r="AE1812" t="s">
        <v>43</v>
      </c>
      <c r="AF1812" t="s">
        <v>43</v>
      </c>
      <c r="AG1812" t="s">
        <v>43</v>
      </c>
      <c r="AH1812" t="s">
        <v>43</v>
      </c>
      <c r="AI1812" t="s">
        <v>43</v>
      </c>
      <c r="AJ1812" t="s">
        <v>43</v>
      </c>
      <c r="AK1812" t="s">
        <v>43</v>
      </c>
      <c r="AL1812" t="s">
        <v>43</v>
      </c>
      <c r="AM1812" t="s">
        <v>43</v>
      </c>
      <c r="AN1812" t="str">
        <f>HYPERLINK("https://www.google.com/maps?q=11.05590916,79.0641098","Open Location")</f>
        <v>Open Location</v>
      </c>
    </row>
    <row r="1813" spans="1:40" x14ac:dyDescent="0.3">
      <c r="A1813" s="1">
        <v>46210.789930555555</v>
      </c>
      <c r="B1813" t="s">
        <v>40</v>
      </c>
      <c r="C1813" t="s">
        <v>41</v>
      </c>
      <c r="D1813" s="1">
        <v>46210.792719907404</v>
      </c>
      <c r="E1813" t="s">
        <v>42</v>
      </c>
      <c r="F1813" t="s">
        <v>43</v>
      </c>
      <c r="G1813" t="s">
        <v>43</v>
      </c>
      <c r="H1813" t="s">
        <v>43</v>
      </c>
      <c r="I1813" t="s">
        <v>839</v>
      </c>
      <c r="J1813" t="s">
        <v>43</v>
      </c>
      <c r="K1813" t="s">
        <v>43</v>
      </c>
      <c r="L1813" t="s">
        <v>43</v>
      </c>
      <c r="M1813" t="s">
        <v>43</v>
      </c>
      <c r="N1813" t="s">
        <v>45</v>
      </c>
      <c r="O1813" t="s">
        <v>43</v>
      </c>
      <c r="P1813" t="s">
        <v>43</v>
      </c>
      <c r="Q1813" t="s">
        <v>43</v>
      </c>
      <c r="R1813" t="s">
        <v>43</v>
      </c>
      <c r="S1813" t="s">
        <v>43</v>
      </c>
      <c r="T1813" t="s">
        <v>43</v>
      </c>
      <c r="U1813" t="s">
        <v>43</v>
      </c>
      <c r="V1813" t="s">
        <v>43</v>
      </c>
      <c r="W1813" t="s">
        <v>43</v>
      </c>
      <c r="X1813" t="s">
        <v>43</v>
      </c>
      <c r="Y1813" t="s">
        <v>43</v>
      </c>
      <c r="Z1813" t="s">
        <v>43</v>
      </c>
      <c r="AA1813" t="s">
        <v>43</v>
      </c>
      <c r="AB1813" t="s">
        <v>43</v>
      </c>
      <c r="AC1813" t="s">
        <v>43</v>
      </c>
      <c r="AD1813" t="s">
        <v>43</v>
      </c>
      <c r="AE1813" t="s">
        <v>43</v>
      </c>
      <c r="AF1813" t="s">
        <v>43</v>
      </c>
      <c r="AG1813" t="s">
        <v>43</v>
      </c>
      <c r="AH1813" t="s">
        <v>43</v>
      </c>
      <c r="AI1813" t="s">
        <v>43</v>
      </c>
      <c r="AJ1813" t="s">
        <v>43</v>
      </c>
      <c r="AK1813" t="s">
        <v>43</v>
      </c>
      <c r="AL1813" t="s">
        <v>43</v>
      </c>
      <c r="AM1813" t="s">
        <v>43</v>
      </c>
      <c r="AN1813" t="str">
        <f>HYPERLINK("https://www.google.com/maps?q=11.05591297,79.06410217","Open Location")</f>
        <v>Open Location</v>
      </c>
    </row>
    <row r="1814" spans="1:40" x14ac:dyDescent="0.3">
      <c r="A1814" s="1">
        <v>46210.789814814816</v>
      </c>
      <c r="B1814" t="s">
        <v>40</v>
      </c>
      <c r="C1814" t="s">
        <v>41</v>
      </c>
      <c r="D1814" s="1">
        <v>46210.792650462965</v>
      </c>
      <c r="E1814" t="s">
        <v>42</v>
      </c>
      <c r="F1814" t="s">
        <v>43</v>
      </c>
      <c r="G1814" t="s">
        <v>43</v>
      </c>
      <c r="H1814" t="s">
        <v>43</v>
      </c>
      <c r="I1814" t="s">
        <v>43</v>
      </c>
      <c r="J1814" t="s">
        <v>43</v>
      </c>
      <c r="K1814" t="s">
        <v>43</v>
      </c>
      <c r="L1814" t="s">
        <v>43</v>
      </c>
      <c r="M1814" t="s">
        <v>43</v>
      </c>
      <c r="N1814" t="s">
        <v>45</v>
      </c>
      <c r="O1814" t="s">
        <v>43</v>
      </c>
      <c r="P1814" t="s">
        <v>43</v>
      </c>
      <c r="Q1814" t="s">
        <v>43</v>
      </c>
      <c r="R1814" t="s">
        <v>43</v>
      </c>
      <c r="S1814" t="s">
        <v>43</v>
      </c>
      <c r="T1814" t="s">
        <v>43</v>
      </c>
      <c r="U1814" t="s">
        <v>43</v>
      </c>
      <c r="V1814" t="s">
        <v>43</v>
      </c>
      <c r="W1814" t="s">
        <v>43</v>
      </c>
      <c r="X1814" t="s">
        <v>43</v>
      </c>
      <c r="Y1814" t="s">
        <v>43</v>
      </c>
      <c r="Z1814" t="s">
        <v>43</v>
      </c>
      <c r="AA1814" t="s">
        <v>43</v>
      </c>
      <c r="AB1814" t="s">
        <v>43</v>
      </c>
      <c r="AC1814" t="s">
        <v>43</v>
      </c>
      <c r="AD1814" t="s">
        <v>43</v>
      </c>
      <c r="AE1814" t="s">
        <v>43</v>
      </c>
      <c r="AF1814" t="s">
        <v>43</v>
      </c>
      <c r="AG1814" t="s">
        <v>43</v>
      </c>
      <c r="AH1814" t="s">
        <v>43</v>
      </c>
      <c r="AI1814" t="s">
        <v>43</v>
      </c>
      <c r="AJ1814" t="s">
        <v>43</v>
      </c>
      <c r="AK1814" t="s">
        <v>43</v>
      </c>
      <c r="AL1814" t="s">
        <v>43</v>
      </c>
      <c r="AM1814" t="s">
        <v>43</v>
      </c>
      <c r="AN1814" t="s">
        <v>43</v>
      </c>
    </row>
    <row r="1815" spans="1:40" x14ac:dyDescent="0.3">
      <c r="A1815" s="1">
        <v>46210.789699074077</v>
      </c>
      <c r="B1815" t="s">
        <v>40</v>
      </c>
      <c r="C1815" t="s">
        <v>41</v>
      </c>
      <c r="D1815" s="1">
        <v>46210.792384259257</v>
      </c>
      <c r="E1815" t="s">
        <v>42</v>
      </c>
      <c r="F1815" t="s">
        <v>43</v>
      </c>
      <c r="G1815" t="s">
        <v>43</v>
      </c>
      <c r="H1815" t="s">
        <v>43</v>
      </c>
      <c r="I1815" t="s">
        <v>840</v>
      </c>
      <c r="J1815" t="s">
        <v>43</v>
      </c>
      <c r="K1815" t="s">
        <v>43</v>
      </c>
      <c r="L1815" t="s">
        <v>43</v>
      </c>
      <c r="M1815" t="s">
        <v>43</v>
      </c>
      <c r="N1815" t="s">
        <v>45</v>
      </c>
      <c r="O1815" t="s">
        <v>43</v>
      </c>
      <c r="P1815" t="s">
        <v>43</v>
      </c>
      <c r="Q1815" t="s">
        <v>43</v>
      </c>
      <c r="R1815" t="s">
        <v>43</v>
      </c>
      <c r="S1815" t="s">
        <v>43</v>
      </c>
      <c r="T1815" t="s">
        <v>43</v>
      </c>
      <c r="U1815" t="s">
        <v>43</v>
      </c>
      <c r="V1815" t="s">
        <v>43</v>
      </c>
      <c r="W1815" t="s">
        <v>43</v>
      </c>
      <c r="X1815" t="s">
        <v>43</v>
      </c>
      <c r="Y1815" t="s">
        <v>43</v>
      </c>
      <c r="Z1815" t="s">
        <v>43</v>
      </c>
      <c r="AA1815" t="s">
        <v>43</v>
      </c>
      <c r="AB1815" t="s">
        <v>43</v>
      </c>
      <c r="AC1815" t="s">
        <v>43</v>
      </c>
      <c r="AD1815" t="s">
        <v>43</v>
      </c>
      <c r="AE1815" t="s">
        <v>43</v>
      </c>
      <c r="AF1815" t="s">
        <v>43</v>
      </c>
      <c r="AG1815" t="s">
        <v>43</v>
      </c>
      <c r="AH1815" t="s">
        <v>43</v>
      </c>
      <c r="AI1815" t="s">
        <v>43</v>
      </c>
      <c r="AJ1815" t="s">
        <v>43</v>
      </c>
      <c r="AK1815" t="s">
        <v>43</v>
      </c>
      <c r="AL1815" t="s">
        <v>43</v>
      </c>
      <c r="AM1815" t="s">
        <v>43</v>
      </c>
      <c r="AN1815" t="str">
        <f>HYPERLINK("https://www.google.com/maps?q=11.05590916,79.06410217","Open Location")</f>
        <v>Open Location</v>
      </c>
    </row>
    <row r="1816" spans="1:40" x14ac:dyDescent="0.3">
      <c r="A1816" s="1">
        <v>46210.789583333331</v>
      </c>
      <c r="B1816" t="s">
        <v>40</v>
      </c>
      <c r="C1816" t="s">
        <v>41</v>
      </c>
      <c r="D1816" s="1">
        <v>46210.792430555557</v>
      </c>
      <c r="E1816" t="s">
        <v>42</v>
      </c>
      <c r="F1816" t="s">
        <v>43</v>
      </c>
      <c r="G1816" t="s">
        <v>43</v>
      </c>
      <c r="H1816" t="s">
        <v>43</v>
      </c>
      <c r="I1816" t="s">
        <v>841</v>
      </c>
      <c r="J1816" t="s">
        <v>43</v>
      </c>
      <c r="K1816" t="s">
        <v>43</v>
      </c>
      <c r="L1816" t="s">
        <v>43</v>
      </c>
      <c r="M1816" t="s">
        <v>43</v>
      </c>
      <c r="N1816" t="s">
        <v>45</v>
      </c>
      <c r="O1816" t="s">
        <v>43</v>
      </c>
      <c r="P1816" t="s">
        <v>43</v>
      </c>
      <c r="Q1816" t="s">
        <v>43</v>
      </c>
      <c r="R1816" t="s">
        <v>43</v>
      </c>
      <c r="S1816" t="s">
        <v>43</v>
      </c>
      <c r="T1816" t="s">
        <v>43</v>
      </c>
      <c r="U1816" t="s">
        <v>43</v>
      </c>
      <c r="V1816" t="s">
        <v>43</v>
      </c>
      <c r="W1816" t="s">
        <v>43</v>
      </c>
      <c r="X1816" t="s">
        <v>43</v>
      </c>
      <c r="Y1816" t="s">
        <v>43</v>
      </c>
      <c r="Z1816" t="s">
        <v>43</v>
      </c>
      <c r="AA1816" t="s">
        <v>43</v>
      </c>
      <c r="AB1816" t="s">
        <v>43</v>
      </c>
      <c r="AC1816" t="s">
        <v>43</v>
      </c>
      <c r="AD1816" t="s">
        <v>43</v>
      </c>
      <c r="AE1816" t="s">
        <v>43</v>
      </c>
      <c r="AF1816" t="s">
        <v>43</v>
      </c>
      <c r="AG1816" t="s">
        <v>43</v>
      </c>
      <c r="AH1816" t="s">
        <v>43</v>
      </c>
      <c r="AI1816" t="s">
        <v>43</v>
      </c>
      <c r="AJ1816" t="s">
        <v>43</v>
      </c>
      <c r="AK1816" t="s">
        <v>43</v>
      </c>
      <c r="AL1816" t="s">
        <v>43</v>
      </c>
      <c r="AM1816" t="s">
        <v>43</v>
      </c>
      <c r="AN1816" t="str">
        <f>HYPERLINK("https://www.google.com/maps?q=11.05590534,79.0641098","Open Location")</f>
        <v>Open Location</v>
      </c>
    </row>
    <row r="1817" spans="1:40" x14ac:dyDescent="0.3">
      <c r="A1817" s="1">
        <v>46210.789467592593</v>
      </c>
      <c r="B1817" t="s">
        <v>40</v>
      </c>
      <c r="C1817" t="s">
        <v>41</v>
      </c>
      <c r="D1817" s="1">
        <v>46210.79215277778</v>
      </c>
      <c r="E1817" t="s">
        <v>42</v>
      </c>
      <c r="F1817" t="s">
        <v>43</v>
      </c>
      <c r="G1817" t="s">
        <v>43</v>
      </c>
      <c r="H1817" t="s">
        <v>43</v>
      </c>
      <c r="I1817" t="s">
        <v>600</v>
      </c>
      <c r="J1817" t="s">
        <v>43</v>
      </c>
      <c r="K1817" t="s">
        <v>43</v>
      </c>
      <c r="L1817" t="s">
        <v>43</v>
      </c>
      <c r="M1817" t="s">
        <v>43</v>
      </c>
      <c r="N1817" t="s">
        <v>45</v>
      </c>
      <c r="O1817" t="s">
        <v>43</v>
      </c>
      <c r="P1817" t="s">
        <v>43</v>
      </c>
      <c r="Q1817" t="s">
        <v>43</v>
      </c>
      <c r="R1817" t="s">
        <v>43</v>
      </c>
      <c r="S1817" t="s">
        <v>43</v>
      </c>
      <c r="T1817" t="s">
        <v>43</v>
      </c>
      <c r="U1817" t="s">
        <v>43</v>
      </c>
      <c r="V1817" t="s">
        <v>43</v>
      </c>
      <c r="W1817" t="s">
        <v>43</v>
      </c>
      <c r="X1817" t="s">
        <v>43</v>
      </c>
      <c r="Y1817" t="s">
        <v>43</v>
      </c>
      <c r="Z1817" t="s">
        <v>43</v>
      </c>
      <c r="AA1817" t="s">
        <v>43</v>
      </c>
      <c r="AB1817" t="s">
        <v>43</v>
      </c>
      <c r="AC1817" t="s">
        <v>43</v>
      </c>
      <c r="AD1817" t="s">
        <v>43</v>
      </c>
      <c r="AE1817" t="s">
        <v>43</v>
      </c>
      <c r="AF1817" t="s">
        <v>43</v>
      </c>
      <c r="AG1817" t="s">
        <v>43</v>
      </c>
      <c r="AH1817" t="s">
        <v>43</v>
      </c>
      <c r="AI1817" t="s">
        <v>43</v>
      </c>
      <c r="AJ1817" t="s">
        <v>43</v>
      </c>
      <c r="AK1817" t="s">
        <v>43</v>
      </c>
      <c r="AL1817" t="s">
        <v>43</v>
      </c>
      <c r="AM1817" t="s">
        <v>43</v>
      </c>
      <c r="AN1817" t="str">
        <f>HYPERLINK("https://www.google.com/maps?q=11.05589867,79.0641098","Open Location")</f>
        <v>Open Location</v>
      </c>
    </row>
    <row r="1818" spans="1:40" x14ac:dyDescent="0.3">
      <c r="A1818" s="1">
        <v>46210.789351851854</v>
      </c>
      <c r="B1818" t="s">
        <v>40</v>
      </c>
      <c r="C1818" t="s">
        <v>41</v>
      </c>
      <c r="D1818" s="1">
        <v>46210.79215277778</v>
      </c>
      <c r="E1818" t="s">
        <v>42</v>
      </c>
      <c r="F1818" t="s">
        <v>43</v>
      </c>
      <c r="G1818" t="s">
        <v>43</v>
      </c>
      <c r="H1818" t="s">
        <v>43</v>
      </c>
      <c r="I1818" t="s">
        <v>842</v>
      </c>
      <c r="J1818" t="s">
        <v>43</v>
      </c>
      <c r="K1818" t="s">
        <v>43</v>
      </c>
      <c r="L1818" t="s">
        <v>43</v>
      </c>
      <c r="M1818" t="s">
        <v>43</v>
      </c>
      <c r="N1818" t="s">
        <v>45</v>
      </c>
      <c r="O1818" t="s">
        <v>43</v>
      </c>
      <c r="P1818" t="s">
        <v>43</v>
      </c>
      <c r="Q1818" t="s">
        <v>43</v>
      </c>
      <c r="R1818" t="s">
        <v>43</v>
      </c>
      <c r="S1818" t="s">
        <v>43</v>
      </c>
      <c r="T1818" t="s">
        <v>43</v>
      </c>
      <c r="U1818" t="s">
        <v>43</v>
      </c>
      <c r="V1818" t="s">
        <v>43</v>
      </c>
      <c r="W1818" t="s">
        <v>43</v>
      </c>
      <c r="X1818" t="s">
        <v>43</v>
      </c>
      <c r="Y1818" t="s">
        <v>43</v>
      </c>
      <c r="Z1818" t="s">
        <v>43</v>
      </c>
      <c r="AA1818" t="s">
        <v>43</v>
      </c>
      <c r="AB1818" t="s">
        <v>43</v>
      </c>
      <c r="AC1818" t="s">
        <v>43</v>
      </c>
      <c r="AD1818" t="s">
        <v>43</v>
      </c>
      <c r="AE1818" t="s">
        <v>43</v>
      </c>
      <c r="AF1818" t="s">
        <v>43</v>
      </c>
      <c r="AG1818" t="s">
        <v>43</v>
      </c>
      <c r="AH1818" t="s">
        <v>43</v>
      </c>
      <c r="AI1818" t="s">
        <v>43</v>
      </c>
      <c r="AJ1818" t="s">
        <v>43</v>
      </c>
      <c r="AK1818" t="s">
        <v>43</v>
      </c>
      <c r="AL1818" t="s">
        <v>43</v>
      </c>
      <c r="AM1818" t="s">
        <v>43</v>
      </c>
      <c r="AN1818" t="str">
        <f>HYPERLINK("https://www.google.com/maps?q=11.05589581,79.06411743","Open Location")</f>
        <v>Open Location</v>
      </c>
    </row>
    <row r="1819" spans="1:40" x14ac:dyDescent="0.3">
      <c r="A1819" s="1">
        <v>46210.789236111108</v>
      </c>
      <c r="B1819" t="s">
        <v>40</v>
      </c>
      <c r="C1819" t="s">
        <v>41</v>
      </c>
      <c r="D1819" s="1">
        <v>46210.792071759257</v>
      </c>
      <c r="E1819" t="s">
        <v>42</v>
      </c>
      <c r="F1819" t="s">
        <v>43</v>
      </c>
      <c r="G1819" t="s">
        <v>43</v>
      </c>
      <c r="H1819" t="s">
        <v>43</v>
      </c>
      <c r="I1819" t="s">
        <v>724</v>
      </c>
      <c r="J1819" t="s">
        <v>43</v>
      </c>
      <c r="K1819" t="s">
        <v>43</v>
      </c>
      <c r="L1819" t="s">
        <v>43</v>
      </c>
      <c r="M1819" t="s">
        <v>43</v>
      </c>
      <c r="N1819" t="s">
        <v>45</v>
      </c>
      <c r="O1819" t="s">
        <v>43</v>
      </c>
      <c r="P1819" t="s">
        <v>43</v>
      </c>
      <c r="Q1819" t="s">
        <v>43</v>
      </c>
      <c r="R1819" t="s">
        <v>43</v>
      </c>
      <c r="S1819" t="s">
        <v>43</v>
      </c>
      <c r="T1819" t="s">
        <v>43</v>
      </c>
      <c r="U1819" t="s">
        <v>43</v>
      </c>
      <c r="V1819" t="s">
        <v>43</v>
      </c>
      <c r="W1819" t="s">
        <v>43</v>
      </c>
      <c r="X1819" t="s">
        <v>43</v>
      </c>
      <c r="Y1819" t="s">
        <v>43</v>
      </c>
      <c r="Z1819" t="s">
        <v>43</v>
      </c>
      <c r="AA1819" t="s">
        <v>43</v>
      </c>
      <c r="AB1819" t="s">
        <v>43</v>
      </c>
      <c r="AC1819" t="s">
        <v>43</v>
      </c>
      <c r="AD1819" t="s">
        <v>43</v>
      </c>
      <c r="AE1819" t="s">
        <v>43</v>
      </c>
      <c r="AF1819" t="s">
        <v>43</v>
      </c>
      <c r="AG1819" t="s">
        <v>43</v>
      </c>
      <c r="AH1819" t="s">
        <v>43</v>
      </c>
      <c r="AI1819" t="s">
        <v>43</v>
      </c>
      <c r="AJ1819" t="s">
        <v>43</v>
      </c>
      <c r="AK1819" t="s">
        <v>43</v>
      </c>
      <c r="AL1819" t="s">
        <v>43</v>
      </c>
      <c r="AM1819" t="s">
        <v>43</v>
      </c>
      <c r="AN1819" t="str">
        <f>HYPERLINK("https://www.google.com/maps?q=11.05589104,79.0641098","Open Location")</f>
        <v>Open Location</v>
      </c>
    </row>
    <row r="1820" spans="1:40" x14ac:dyDescent="0.3">
      <c r="A1820" s="1">
        <v>46210.789120370369</v>
      </c>
      <c r="B1820" t="s">
        <v>40</v>
      </c>
      <c r="C1820" t="s">
        <v>41</v>
      </c>
      <c r="D1820" s="1">
        <v>46210.792002314818</v>
      </c>
      <c r="E1820" t="s">
        <v>42</v>
      </c>
      <c r="F1820" t="s">
        <v>43</v>
      </c>
      <c r="G1820" t="s">
        <v>43</v>
      </c>
      <c r="H1820" t="s">
        <v>43</v>
      </c>
      <c r="I1820" t="s">
        <v>43</v>
      </c>
      <c r="J1820" t="s">
        <v>43</v>
      </c>
      <c r="K1820" t="s">
        <v>43</v>
      </c>
      <c r="L1820" t="s">
        <v>43</v>
      </c>
      <c r="M1820" t="s">
        <v>43</v>
      </c>
      <c r="N1820" t="s">
        <v>45</v>
      </c>
      <c r="O1820" t="s">
        <v>43</v>
      </c>
      <c r="P1820" t="s">
        <v>43</v>
      </c>
      <c r="Q1820" t="s">
        <v>43</v>
      </c>
      <c r="R1820" t="s">
        <v>43</v>
      </c>
      <c r="S1820" t="s">
        <v>43</v>
      </c>
      <c r="T1820" t="s">
        <v>43</v>
      </c>
      <c r="U1820" t="s">
        <v>43</v>
      </c>
      <c r="V1820" t="s">
        <v>43</v>
      </c>
      <c r="W1820" t="s">
        <v>43</v>
      </c>
      <c r="X1820" t="s">
        <v>43</v>
      </c>
      <c r="Y1820" t="s">
        <v>43</v>
      </c>
      <c r="Z1820" t="s">
        <v>43</v>
      </c>
      <c r="AA1820" t="s">
        <v>43</v>
      </c>
      <c r="AB1820" t="s">
        <v>43</v>
      </c>
      <c r="AC1820" t="s">
        <v>43</v>
      </c>
      <c r="AD1820" t="s">
        <v>43</v>
      </c>
      <c r="AE1820" t="s">
        <v>43</v>
      </c>
      <c r="AF1820" t="s">
        <v>43</v>
      </c>
      <c r="AG1820" t="s">
        <v>43</v>
      </c>
      <c r="AH1820" t="s">
        <v>43</v>
      </c>
      <c r="AI1820" t="s">
        <v>43</v>
      </c>
      <c r="AJ1820" t="s">
        <v>43</v>
      </c>
      <c r="AK1820" t="s">
        <v>43</v>
      </c>
      <c r="AL1820" t="s">
        <v>43</v>
      </c>
      <c r="AM1820" t="s">
        <v>43</v>
      </c>
      <c r="AN1820" t="s">
        <v>43</v>
      </c>
    </row>
    <row r="1821" spans="1:40" x14ac:dyDescent="0.3">
      <c r="A1821" s="1">
        <v>46210.789004629631</v>
      </c>
      <c r="B1821" t="s">
        <v>40</v>
      </c>
      <c r="C1821" t="s">
        <v>41</v>
      </c>
      <c r="D1821" s="1">
        <v>46210.791712962964</v>
      </c>
      <c r="E1821" t="s">
        <v>42</v>
      </c>
      <c r="F1821" t="s">
        <v>43</v>
      </c>
      <c r="G1821" t="s">
        <v>43</v>
      </c>
      <c r="H1821" t="s">
        <v>43</v>
      </c>
      <c r="I1821" t="s">
        <v>595</v>
      </c>
      <c r="J1821" t="s">
        <v>43</v>
      </c>
      <c r="K1821" t="s">
        <v>43</v>
      </c>
      <c r="L1821" t="s">
        <v>43</v>
      </c>
      <c r="M1821" t="s">
        <v>43</v>
      </c>
      <c r="N1821" t="s">
        <v>45</v>
      </c>
      <c r="O1821" t="s">
        <v>43</v>
      </c>
      <c r="P1821" t="s">
        <v>43</v>
      </c>
      <c r="Q1821" t="s">
        <v>43</v>
      </c>
      <c r="R1821" t="s">
        <v>43</v>
      </c>
      <c r="S1821" t="s">
        <v>43</v>
      </c>
      <c r="T1821" t="s">
        <v>43</v>
      </c>
      <c r="U1821" t="s">
        <v>43</v>
      </c>
      <c r="V1821" t="s">
        <v>43</v>
      </c>
      <c r="W1821" t="s">
        <v>43</v>
      </c>
      <c r="X1821" t="s">
        <v>43</v>
      </c>
      <c r="Y1821" t="s">
        <v>43</v>
      </c>
      <c r="Z1821" t="s">
        <v>43</v>
      </c>
      <c r="AA1821" t="s">
        <v>43</v>
      </c>
      <c r="AB1821" t="s">
        <v>43</v>
      </c>
      <c r="AC1821" t="s">
        <v>43</v>
      </c>
      <c r="AD1821" t="s">
        <v>43</v>
      </c>
      <c r="AE1821" t="s">
        <v>43</v>
      </c>
      <c r="AF1821" t="s">
        <v>43</v>
      </c>
      <c r="AG1821" t="s">
        <v>43</v>
      </c>
      <c r="AH1821" t="s">
        <v>43</v>
      </c>
      <c r="AI1821" t="s">
        <v>43</v>
      </c>
      <c r="AJ1821" t="s">
        <v>43</v>
      </c>
      <c r="AK1821" t="s">
        <v>43</v>
      </c>
      <c r="AL1821" t="s">
        <v>43</v>
      </c>
      <c r="AM1821" t="s">
        <v>43</v>
      </c>
      <c r="AN1821" t="str">
        <f>HYPERLINK("https://www.google.com/maps?q=11.05588722,79.06411743","Open Location")</f>
        <v>Open Location</v>
      </c>
    </row>
    <row r="1822" spans="1:40" x14ac:dyDescent="0.3">
      <c r="A1822" s="1">
        <v>46210.788888888892</v>
      </c>
      <c r="B1822" t="s">
        <v>40</v>
      </c>
      <c r="C1822" t="s">
        <v>41</v>
      </c>
      <c r="D1822" s="1">
        <v>46210.791817129626</v>
      </c>
      <c r="E1822" t="s">
        <v>42</v>
      </c>
      <c r="F1822" t="s">
        <v>43</v>
      </c>
      <c r="G1822" t="s">
        <v>43</v>
      </c>
      <c r="H1822" t="s">
        <v>43</v>
      </c>
      <c r="I1822" t="s">
        <v>732</v>
      </c>
      <c r="J1822" t="s">
        <v>43</v>
      </c>
      <c r="K1822" t="s">
        <v>43</v>
      </c>
      <c r="L1822" t="s">
        <v>43</v>
      </c>
      <c r="M1822" t="s">
        <v>43</v>
      </c>
      <c r="N1822" t="s">
        <v>45</v>
      </c>
      <c r="O1822" t="s">
        <v>43</v>
      </c>
      <c r="P1822" t="s">
        <v>43</v>
      </c>
      <c r="Q1822" t="s">
        <v>43</v>
      </c>
      <c r="R1822" t="s">
        <v>43</v>
      </c>
      <c r="S1822" t="s">
        <v>43</v>
      </c>
      <c r="T1822" t="s">
        <v>43</v>
      </c>
      <c r="U1822" t="s">
        <v>43</v>
      </c>
      <c r="V1822" t="s">
        <v>43</v>
      </c>
      <c r="W1822" t="s">
        <v>43</v>
      </c>
      <c r="X1822" t="s">
        <v>43</v>
      </c>
      <c r="Y1822" t="s">
        <v>43</v>
      </c>
      <c r="Z1822" t="s">
        <v>43</v>
      </c>
      <c r="AA1822" t="s">
        <v>43</v>
      </c>
      <c r="AB1822" t="s">
        <v>43</v>
      </c>
      <c r="AC1822" t="s">
        <v>43</v>
      </c>
      <c r="AD1822" t="s">
        <v>43</v>
      </c>
      <c r="AE1822" t="s">
        <v>43</v>
      </c>
      <c r="AF1822" t="s">
        <v>43</v>
      </c>
      <c r="AG1822" t="s">
        <v>43</v>
      </c>
      <c r="AH1822" t="s">
        <v>43</v>
      </c>
      <c r="AI1822" t="s">
        <v>43</v>
      </c>
      <c r="AJ1822" t="s">
        <v>43</v>
      </c>
      <c r="AK1822" t="s">
        <v>43</v>
      </c>
      <c r="AL1822" t="s">
        <v>43</v>
      </c>
      <c r="AM1822" t="s">
        <v>43</v>
      </c>
      <c r="AN1822" t="str">
        <f>HYPERLINK("https://www.google.com/maps?q=11.05588341,79.06412506","Open Location")</f>
        <v>Open Location</v>
      </c>
    </row>
    <row r="1823" spans="1:40" x14ac:dyDescent="0.3">
      <c r="A1823" s="1">
        <v>46210.788773148146</v>
      </c>
      <c r="B1823" t="s">
        <v>40</v>
      </c>
      <c r="C1823" t="s">
        <v>41</v>
      </c>
      <c r="D1823" s="1">
        <v>46210.79173611111</v>
      </c>
      <c r="E1823" t="s">
        <v>42</v>
      </c>
      <c r="F1823" t="s">
        <v>43</v>
      </c>
      <c r="G1823" t="s">
        <v>43</v>
      </c>
      <c r="H1823" t="s">
        <v>43</v>
      </c>
      <c r="I1823" t="s">
        <v>690</v>
      </c>
      <c r="J1823" t="s">
        <v>43</v>
      </c>
      <c r="K1823" t="s">
        <v>43</v>
      </c>
      <c r="L1823" t="s">
        <v>43</v>
      </c>
      <c r="M1823" t="s">
        <v>43</v>
      </c>
      <c r="N1823" t="s">
        <v>45</v>
      </c>
      <c r="O1823" t="s">
        <v>43</v>
      </c>
      <c r="P1823" t="s">
        <v>43</v>
      </c>
      <c r="Q1823" t="s">
        <v>43</v>
      </c>
      <c r="R1823" t="s">
        <v>43</v>
      </c>
      <c r="S1823" t="s">
        <v>43</v>
      </c>
      <c r="T1823" t="s">
        <v>43</v>
      </c>
      <c r="U1823" t="s">
        <v>43</v>
      </c>
      <c r="V1823" t="s">
        <v>43</v>
      </c>
      <c r="W1823" t="s">
        <v>43</v>
      </c>
      <c r="X1823" t="s">
        <v>43</v>
      </c>
      <c r="Y1823" t="s">
        <v>43</v>
      </c>
      <c r="Z1823" t="s">
        <v>43</v>
      </c>
      <c r="AA1823" t="s">
        <v>43</v>
      </c>
      <c r="AB1823" t="s">
        <v>43</v>
      </c>
      <c r="AC1823" t="s">
        <v>43</v>
      </c>
      <c r="AD1823" t="s">
        <v>43</v>
      </c>
      <c r="AE1823" t="s">
        <v>43</v>
      </c>
      <c r="AF1823" t="s">
        <v>43</v>
      </c>
      <c r="AG1823" t="s">
        <v>43</v>
      </c>
      <c r="AH1823" t="s">
        <v>43</v>
      </c>
      <c r="AI1823" t="s">
        <v>43</v>
      </c>
      <c r="AJ1823" t="s">
        <v>43</v>
      </c>
      <c r="AK1823" t="s">
        <v>43</v>
      </c>
      <c r="AL1823" t="s">
        <v>43</v>
      </c>
      <c r="AM1823" t="s">
        <v>43</v>
      </c>
      <c r="AN1823" t="str">
        <f>HYPERLINK("https://www.google.com/maps?q=11.05588627,79.06411743","Open Location")</f>
        <v>Open Location</v>
      </c>
    </row>
    <row r="1824" spans="1:40" x14ac:dyDescent="0.3">
      <c r="A1824" s="1">
        <v>46210.788657407407</v>
      </c>
      <c r="B1824" t="s">
        <v>40</v>
      </c>
      <c r="C1824" t="s">
        <v>41</v>
      </c>
      <c r="D1824" s="1">
        <v>46210.791562500002</v>
      </c>
      <c r="E1824" t="s">
        <v>42</v>
      </c>
      <c r="F1824" t="s">
        <v>43</v>
      </c>
      <c r="G1824" t="s">
        <v>43</v>
      </c>
      <c r="H1824" t="s">
        <v>43</v>
      </c>
      <c r="I1824" t="s">
        <v>688</v>
      </c>
      <c r="J1824" t="s">
        <v>43</v>
      </c>
      <c r="K1824" t="s">
        <v>43</v>
      </c>
      <c r="L1824" t="s">
        <v>43</v>
      </c>
      <c r="M1824" t="s">
        <v>43</v>
      </c>
      <c r="N1824" t="s">
        <v>45</v>
      </c>
      <c r="O1824" t="s">
        <v>43</v>
      </c>
      <c r="P1824" t="s">
        <v>43</v>
      </c>
      <c r="Q1824" t="s">
        <v>43</v>
      </c>
      <c r="R1824" t="s">
        <v>43</v>
      </c>
      <c r="S1824" t="s">
        <v>43</v>
      </c>
      <c r="T1824" t="s">
        <v>43</v>
      </c>
      <c r="U1824" t="s">
        <v>43</v>
      </c>
      <c r="V1824" t="s">
        <v>43</v>
      </c>
      <c r="W1824" t="s">
        <v>43</v>
      </c>
      <c r="X1824" t="s">
        <v>43</v>
      </c>
      <c r="Y1824" t="s">
        <v>43</v>
      </c>
      <c r="Z1824" t="s">
        <v>43</v>
      </c>
      <c r="AA1824" t="s">
        <v>43</v>
      </c>
      <c r="AB1824" t="s">
        <v>43</v>
      </c>
      <c r="AC1824" t="s">
        <v>43</v>
      </c>
      <c r="AD1824" t="s">
        <v>43</v>
      </c>
      <c r="AE1824" t="s">
        <v>43</v>
      </c>
      <c r="AF1824" t="s">
        <v>43</v>
      </c>
      <c r="AG1824" t="s">
        <v>43</v>
      </c>
      <c r="AH1824" t="s">
        <v>43</v>
      </c>
      <c r="AI1824" t="s">
        <v>43</v>
      </c>
      <c r="AJ1824" t="s">
        <v>43</v>
      </c>
      <c r="AK1824" t="s">
        <v>43</v>
      </c>
      <c r="AL1824" t="s">
        <v>43</v>
      </c>
      <c r="AM1824" t="s">
        <v>43</v>
      </c>
      <c r="AN1824" t="str">
        <f>HYPERLINK("https://www.google.com/maps?q=11.05589104,79.06411743","Open Location")</f>
        <v>Open Location</v>
      </c>
    </row>
    <row r="1825" spans="1:40" x14ac:dyDescent="0.3">
      <c r="A1825" s="1">
        <v>46210.788541666669</v>
      </c>
      <c r="B1825" t="s">
        <v>40</v>
      </c>
      <c r="C1825" t="s">
        <v>41</v>
      </c>
      <c r="D1825" s="1">
        <v>46210.791342592594</v>
      </c>
      <c r="E1825" t="s">
        <v>42</v>
      </c>
      <c r="F1825" t="s">
        <v>43</v>
      </c>
      <c r="G1825" t="s">
        <v>43</v>
      </c>
      <c r="H1825" t="s">
        <v>43</v>
      </c>
      <c r="I1825" t="s">
        <v>809</v>
      </c>
      <c r="J1825" t="s">
        <v>43</v>
      </c>
      <c r="K1825" t="s">
        <v>43</v>
      </c>
      <c r="L1825" t="s">
        <v>43</v>
      </c>
      <c r="M1825" t="s">
        <v>43</v>
      </c>
      <c r="N1825" t="s">
        <v>45</v>
      </c>
      <c r="O1825" t="s">
        <v>43</v>
      </c>
      <c r="P1825" t="s">
        <v>43</v>
      </c>
      <c r="Q1825" t="s">
        <v>43</v>
      </c>
      <c r="R1825" t="s">
        <v>43</v>
      </c>
      <c r="S1825" t="s">
        <v>43</v>
      </c>
      <c r="T1825" t="s">
        <v>43</v>
      </c>
      <c r="U1825" t="s">
        <v>43</v>
      </c>
      <c r="V1825" t="s">
        <v>43</v>
      </c>
      <c r="W1825" t="s">
        <v>43</v>
      </c>
      <c r="X1825" t="s">
        <v>43</v>
      </c>
      <c r="Y1825" t="s">
        <v>43</v>
      </c>
      <c r="Z1825" t="s">
        <v>43</v>
      </c>
      <c r="AA1825" t="s">
        <v>43</v>
      </c>
      <c r="AB1825" t="s">
        <v>43</v>
      </c>
      <c r="AC1825" t="s">
        <v>43</v>
      </c>
      <c r="AD1825" t="s">
        <v>43</v>
      </c>
      <c r="AE1825" t="s">
        <v>43</v>
      </c>
      <c r="AF1825" t="s">
        <v>43</v>
      </c>
      <c r="AG1825" t="s">
        <v>43</v>
      </c>
      <c r="AH1825" t="s">
        <v>43</v>
      </c>
      <c r="AI1825" t="s">
        <v>43</v>
      </c>
      <c r="AJ1825" t="s">
        <v>43</v>
      </c>
      <c r="AK1825" t="s">
        <v>43</v>
      </c>
      <c r="AL1825" t="s">
        <v>43</v>
      </c>
      <c r="AM1825" t="s">
        <v>43</v>
      </c>
      <c r="AN1825" t="str">
        <f>HYPERLINK("https://www.google.com/maps?q=11.05589294,79.0641098","Open Location")</f>
        <v>Open Location</v>
      </c>
    </row>
    <row r="1826" spans="1:40" x14ac:dyDescent="0.3">
      <c r="A1826" s="1">
        <v>46210.788425925923</v>
      </c>
      <c r="B1826" t="s">
        <v>40</v>
      </c>
      <c r="C1826" t="s">
        <v>41</v>
      </c>
      <c r="D1826" s="1">
        <v>46210.791504629633</v>
      </c>
      <c r="E1826" t="s">
        <v>42</v>
      </c>
      <c r="F1826" t="s">
        <v>43</v>
      </c>
      <c r="G1826" t="s">
        <v>43</v>
      </c>
      <c r="H1826" t="s">
        <v>43</v>
      </c>
      <c r="I1826" t="s">
        <v>43</v>
      </c>
      <c r="J1826" t="s">
        <v>43</v>
      </c>
      <c r="K1826" t="s">
        <v>43</v>
      </c>
      <c r="L1826" t="s">
        <v>43</v>
      </c>
      <c r="M1826" t="s">
        <v>43</v>
      </c>
      <c r="N1826" t="s">
        <v>45</v>
      </c>
      <c r="O1826" t="s">
        <v>43</v>
      </c>
      <c r="P1826" t="s">
        <v>43</v>
      </c>
      <c r="Q1826" t="s">
        <v>43</v>
      </c>
      <c r="R1826" t="s">
        <v>43</v>
      </c>
      <c r="S1826" t="s">
        <v>43</v>
      </c>
      <c r="T1826" t="s">
        <v>43</v>
      </c>
      <c r="U1826" t="s">
        <v>43</v>
      </c>
      <c r="V1826" t="s">
        <v>43</v>
      </c>
      <c r="W1826" t="s">
        <v>43</v>
      </c>
      <c r="X1826" t="s">
        <v>43</v>
      </c>
      <c r="Y1826" t="s">
        <v>43</v>
      </c>
      <c r="Z1826" t="s">
        <v>43</v>
      </c>
      <c r="AA1826" t="s">
        <v>43</v>
      </c>
      <c r="AB1826" t="s">
        <v>43</v>
      </c>
      <c r="AC1826" t="s">
        <v>43</v>
      </c>
      <c r="AD1826" t="s">
        <v>43</v>
      </c>
      <c r="AE1826" t="s">
        <v>43</v>
      </c>
      <c r="AF1826" t="s">
        <v>43</v>
      </c>
      <c r="AG1826" t="s">
        <v>43</v>
      </c>
      <c r="AH1826" t="s">
        <v>43</v>
      </c>
      <c r="AI1826" t="s">
        <v>43</v>
      </c>
      <c r="AJ1826" t="s">
        <v>43</v>
      </c>
      <c r="AK1826" t="s">
        <v>43</v>
      </c>
      <c r="AL1826" t="s">
        <v>43</v>
      </c>
      <c r="AM1826" t="s">
        <v>43</v>
      </c>
      <c r="AN1826" t="s">
        <v>43</v>
      </c>
    </row>
    <row r="1827" spans="1:40" x14ac:dyDescent="0.3">
      <c r="A1827" s="1">
        <v>46210.788310185184</v>
      </c>
      <c r="B1827" t="s">
        <v>40</v>
      </c>
      <c r="C1827" t="s">
        <v>41</v>
      </c>
      <c r="D1827" s="1">
        <v>46210.791504629633</v>
      </c>
      <c r="E1827" t="s">
        <v>42</v>
      </c>
      <c r="F1827" t="s">
        <v>43</v>
      </c>
      <c r="G1827" t="s">
        <v>43</v>
      </c>
      <c r="H1827" t="s">
        <v>43</v>
      </c>
      <c r="I1827" t="s">
        <v>659</v>
      </c>
      <c r="J1827" t="s">
        <v>43</v>
      </c>
      <c r="K1827" t="s">
        <v>43</v>
      </c>
      <c r="L1827" t="s">
        <v>43</v>
      </c>
      <c r="M1827" t="s">
        <v>43</v>
      </c>
      <c r="N1827" t="s">
        <v>45</v>
      </c>
      <c r="O1827" t="s">
        <v>43</v>
      </c>
      <c r="P1827" t="s">
        <v>43</v>
      </c>
      <c r="Q1827" t="s">
        <v>43</v>
      </c>
      <c r="R1827" t="s">
        <v>43</v>
      </c>
      <c r="S1827" t="s">
        <v>43</v>
      </c>
      <c r="T1827" t="s">
        <v>43</v>
      </c>
      <c r="U1827" t="s">
        <v>43</v>
      </c>
      <c r="V1827" t="s">
        <v>43</v>
      </c>
      <c r="W1827" t="s">
        <v>43</v>
      </c>
      <c r="X1827" t="s">
        <v>43</v>
      </c>
      <c r="Y1827" t="s">
        <v>43</v>
      </c>
      <c r="Z1827" t="s">
        <v>43</v>
      </c>
      <c r="AA1827" t="s">
        <v>43</v>
      </c>
      <c r="AB1827" t="s">
        <v>43</v>
      </c>
      <c r="AC1827" t="s">
        <v>43</v>
      </c>
      <c r="AD1827" t="s">
        <v>43</v>
      </c>
      <c r="AE1827" t="s">
        <v>43</v>
      </c>
      <c r="AF1827" t="s">
        <v>43</v>
      </c>
      <c r="AG1827" t="s">
        <v>43</v>
      </c>
      <c r="AH1827" t="s">
        <v>43</v>
      </c>
      <c r="AI1827" t="s">
        <v>43</v>
      </c>
      <c r="AJ1827" t="s">
        <v>43</v>
      </c>
      <c r="AK1827" t="s">
        <v>43</v>
      </c>
      <c r="AL1827" t="s">
        <v>43</v>
      </c>
      <c r="AM1827" t="s">
        <v>43</v>
      </c>
      <c r="AN1827" t="str">
        <f>HYPERLINK("https://www.google.com/maps?q=11.05589008,79.06411743","Open Location")</f>
        <v>Open Location</v>
      </c>
    </row>
    <row r="1828" spans="1:40" x14ac:dyDescent="0.3">
      <c r="A1828" s="1">
        <v>46210.788194444445</v>
      </c>
      <c r="B1828" t="s">
        <v>40</v>
      </c>
      <c r="C1828" t="s">
        <v>41</v>
      </c>
      <c r="D1828" s="1">
        <v>46210.791030092594</v>
      </c>
      <c r="E1828" t="s">
        <v>42</v>
      </c>
      <c r="F1828" t="s">
        <v>43</v>
      </c>
      <c r="G1828" t="s">
        <v>43</v>
      </c>
      <c r="H1828" t="s">
        <v>43</v>
      </c>
      <c r="I1828" t="s">
        <v>805</v>
      </c>
      <c r="J1828" t="s">
        <v>43</v>
      </c>
      <c r="K1828" t="s">
        <v>43</v>
      </c>
      <c r="L1828" t="s">
        <v>43</v>
      </c>
      <c r="M1828" t="s">
        <v>43</v>
      </c>
      <c r="N1828" t="s">
        <v>45</v>
      </c>
      <c r="O1828" t="s">
        <v>43</v>
      </c>
      <c r="P1828" t="s">
        <v>43</v>
      </c>
      <c r="Q1828" t="s">
        <v>43</v>
      </c>
      <c r="R1828" t="s">
        <v>43</v>
      </c>
      <c r="S1828" t="s">
        <v>43</v>
      </c>
      <c r="T1828" t="s">
        <v>43</v>
      </c>
      <c r="U1828" t="s">
        <v>43</v>
      </c>
      <c r="V1828" t="s">
        <v>43</v>
      </c>
      <c r="W1828" t="s">
        <v>43</v>
      </c>
      <c r="X1828" t="s">
        <v>43</v>
      </c>
      <c r="Y1828" t="s">
        <v>43</v>
      </c>
      <c r="Z1828" t="s">
        <v>43</v>
      </c>
      <c r="AA1828" t="s">
        <v>43</v>
      </c>
      <c r="AB1828" t="s">
        <v>43</v>
      </c>
      <c r="AC1828" t="s">
        <v>43</v>
      </c>
      <c r="AD1828" t="s">
        <v>43</v>
      </c>
      <c r="AE1828" t="s">
        <v>43</v>
      </c>
      <c r="AF1828" t="s">
        <v>43</v>
      </c>
      <c r="AG1828" t="s">
        <v>43</v>
      </c>
      <c r="AH1828" t="s">
        <v>43</v>
      </c>
      <c r="AI1828" t="s">
        <v>43</v>
      </c>
      <c r="AJ1828" t="s">
        <v>43</v>
      </c>
      <c r="AK1828" t="s">
        <v>43</v>
      </c>
      <c r="AL1828" t="s">
        <v>43</v>
      </c>
      <c r="AM1828" t="s">
        <v>43</v>
      </c>
      <c r="AN1828" t="str">
        <f>HYPERLINK("https://www.google.com/maps?q=11.05588913,79.0641098","Open Location")</f>
        <v>Open Location</v>
      </c>
    </row>
    <row r="1829" spans="1:40" x14ac:dyDescent="0.3">
      <c r="A1829" s="1">
        <v>46210.788078703707</v>
      </c>
      <c r="B1829" t="s">
        <v>40</v>
      </c>
      <c r="C1829" t="s">
        <v>41</v>
      </c>
      <c r="D1829" s="1">
        <v>46210.79109953704</v>
      </c>
      <c r="E1829" t="s">
        <v>42</v>
      </c>
      <c r="F1829" t="s">
        <v>43</v>
      </c>
      <c r="G1829" t="s">
        <v>43</v>
      </c>
      <c r="H1829" t="s">
        <v>43</v>
      </c>
      <c r="I1829" t="s">
        <v>722</v>
      </c>
      <c r="J1829" t="s">
        <v>43</v>
      </c>
      <c r="K1829" t="s">
        <v>43</v>
      </c>
      <c r="L1829" t="s">
        <v>43</v>
      </c>
      <c r="M1829" t="s">
        <v>43</v>
      </c>
      <c r="N1829" t="s">
        <v>45</v>
      </c>
      <c r="O1829" t="s">
        <v>43</v>
      </c>
      <c r="P1829" t="s">
        <v>43</v>
      </c>
      <c r="Q1829" t="s">
        <v>43</v>
      </c>
      <c r="R1829" t="s">
        <v>43</v>
      </c>
      <c r="S1829" t="s">
        <v>43</v>
      </c>
      <c r="T1829" t="s">
        <v>43</v>
      </c>
      <c r="U1829" t="s">
        <v>43</v>
      </c>
      <c r="V1829" t="s">
        <v>43</v>
      </c>
      <c r="W1829" t="s">
        <v>43</v>
      </c>
      <c r="X1829" t="s">
        <v>43</v>
      </c>
      <c r="Y1829" t="s">
        <v>43</v>
      </c>
      <c r="Z1829" t="s">
        <v>43</v>
      </c>
      <c r="AA1829" t="s">
        <v>43</v>
      </c>
      <c r="AB1829" t="s">
        <v>43</v>
      </c>
      <c r="AC1829" t="s">
        <v>43</v>
      </c>
      <c r="AD1829" t="s">
        <v>43</v>
      </c>
      <c r="AE1829" t="s">
        <v>43</v>
      </c>
      <c r="AF1829" t="s">
        <v>43</v>
      </c>
      <c r="AG1829" t="s">
        <v>43</v>
      </c>
      <c r="AH1829" t="s">
        <v>43</v>
      </c>
      <c r="AI1829" t="s">
        <v>43</v>
      </c>
      <c r="AJ1829" t="s">
        <v>43</v>
      </c>
      <c r="AK1829" t="s">
        <v>43</v>
      </c>
      <c r="AL1829" t="s">
        <v>43</v>
      </c>
      <c r="AM1829" t="s">
        <v>43</v>
      </c>
      <c r="AN1829" t="str">
        <f>HYPERLINK("https://www.google.com/maps?q=11.05589485,79.0641098","Open Location")</f>
        <v>Open Location</v>
      </c>
    </row>
    <row r="1830" spans="1:40" x14ac:dyDescent="0.3">
      <c r="A1830" s="1">
        <v>46210.787962962961</v>
      </c>
      <c r="B1830" t="s">
        <v>40</v>
      </c>
      <c r="C1830" t="s">
        <v>41</v>
      </c>
      <c r="D1830" s="1">
        <v>46210.791273148148</v>
      </c>
      <c r="E1830" t="s">
        <v>42</v>
      </c>
      <c r="F1830" t="s">
        <v>43</v>
      </c>
      <c r="G1830" t="s">
        <v>43</v>
      </c>
      <c r="H1830" t="s">
        <v>43</v>
      </c>
      <c r="I1830" t="s">
        <v>810</v>
      </c>
      <c r="J1830" t="s">
        <v>43</v>
      </c>
      <c r="K1830" t="s">
        <v>43</v>
      </c>
      <c r="L1830" t="s">
        <v>43</v>
      </c>
      <c r="M1830" t="s">
        <v>43</v>
      </c>
      <c r="N1830" t="s">
        <v>45</v>
      </c>
      <c r="O1830" t="s">
        <v>43</v>
      </c>
      <c r="P1830" t="s">
        <v>43</v>
      </c>
      <c r="Q1830" t="s">
        <v>43</v>
      </c>
      <c r="R1830" t="s">
        <v>43</v>
      </c>
      <c r="S1830" t="s">
        <v>43</v>
      </c>
      <c r="T1830" t="s">
        <v>43</v>
      </c>
      <c r="U1830" t="s">
        <v>43</v>
      </c>
      <c r="V1830" t="s">
        <v>43</v>
      </c>
      <c r="W1830" t="s">
        <v>43</v>
      </c>
      <c r="X1830" t="s">
        <v>43</v>
      </c>
      <c r="Y1830" t="s">
        <v>43</v>
      </c>
      <c r="Z1830" t="s">
        <v>43</v>
      </c>
      <c r="AA1830" t="s">
        <v>43</v>
      </c>
      <c r="AB1830" t="s">
        <v>43</v>
      </c>
      <c r="AC1830" t="s">
        <v>43</v>
      </c>
      <c r="AD1830" t="s">
        <v>43</v>
      </c>
      <c r="AE1830" t="s">
        <v>43</v>
      </c>
      <c r="AF1830" t="s">
        <v>43</v>
      </c>
      <c r="AG1830" t="s">
        <v>43</v>
      </c>
      <c r="AH1830" t="s">
        <v>43</v>
      </c>
      <c r="AI1830" t="s">
        <v>43</v>
      </c>
      <c r="AJ1830" t="s">
        <v>43</v>
      </c>
      <c r="AK1830" t="s">
        <v>43</v>
      </c>
      <c r="AL1830" t="s">
        <v>43</v>
      </c>
      <c r="AM1830" t="s">
        <v>43</v>
      </c>
      <c r="AN1830" t="str">
        <f>HYPERLINK("https://www.google.com/maps?q=11.0558939,79.0641098","Open Location")</f>
        <v>Open Location</v>
      </c>
    </row>
    <row r="1831" spans="1:40" x14ac:dyDescent="0.3">
      <c r="A1831" s="1">
        <v>46210.787847222222</v>
      </c>
      <c r="B1831" t="s">
        <v>40</v>
      </c>
      <c r="C1831" t="s">
        <v>41</v>
      </c>
      <c r="D1831" s="1">
        <v>46210.79047453704</v>
      </c>
      <c r="E1831" t="s">
        <v>42</v>
      </c>
      <c r="F1831" t="s">
        <v>43</v>
      </c>
      <c r="G1831" t="s">
        <v>43</v>
      </c>
      <c r="H1831" t="s">
        <v>43</v>
      </c>
      <c r="I1831" t="s">
        <v>43</v>
      </c>
      <c r="J1831" t="s">
        <v>43</v>
      </c>
      <c r="K1831" t="s">
        <v>43</v>
      </c>
      <c r="L1831" t="s">
        <v>43</v>
      </c>
      <c r="M1831" t="s">
        <v>43</v>
      </c>
      <c r="N1831" t="s">
        <v>45</v>
      </c>
      <c r="O1831" t="s">
        <v>43</v>
      </c>
      <c r="P1831" t="s">
        <v>43</v>
      </c>
      <c r="Q1831" t="s">
        <v>43</v>
      </c>
      <c r="R1831" t="s">
        <v>43</v>
      </c>
      <c r="S1831" t="s">
        <v>43</v>
      </c>
      <c r="T1831" t="s">
        <v>43</v>
      </c>
      <c r="U1831" t="s">
        <v>43</v>
      </c>
      <c r="V1831" t="s">
        <v>43</v>
      </c>
      <c r="W1831" t="s">
        <v>43</v>
      </c>
      <c r="X1831" t="s">
        <v>43</v>
      </c>
      <c r="Y1831" t="s">
        <v>43</v>
      </c>
      <c r="Z1831" t="s">
        <v>43</v>
      </c>
      <c r="AA1831" t="s">
        <v>43</v>
      </c>
      <c r="AB1831" t="s">
        <v>43</v>
      </c>
      <c r="AC1831" t="s">
        <v>43</v>
      </c>
      <c r="AD1831" t="s">
        <v>43</v>
      </c>
      <c r="AE1831" t="s">
        <v>43</v>
      </c>
      <c r="AF1831" t="s">
        <v>43</v>
      </c>
      <c r="AG1831" t="s">
        <v>43</v>
      </c>
      <c r="AH1831" t="s">
        <v>43</v>
      </c>
      <c r="AI1831" t="s">
        <v>43</v>
      </c>
      <c r="AJ1831" t="s">
        <v>43</v>
      </c>
      <c r="AK1831" t="s">
        <v>43</v>
      </c>
      <c r="AL1831" t="s">
        <v>43</v>
      </c>
      <c r="AM1831" t="s">
        <v>43</v>
      </c>
      <c r="AN1831" t="s">
        <v>43</v>
      </c>
    </row>
    <row r="1832" spans="1:40" x14ac:dyDescent="0.3">
      <c r="A1832" s="1">
        <v>46210.787731481483</v>
      </c>
      <c r="B1832" t="s">
        <v>40</v>
      </c>
      <c r="C1832" t="s">
        <v>41</v>
      </c>
      <c r="D1832" s="1">
        <v>46210.790567129632</v>
      </c>
      <c r="E1832" t="s">
        <v>42</v>
      </c>
      <c r="F1832" t="s">
        <v>43</v>
      </c>
      <c r="G1832" t="s">
        <v>43</v>
      </c>
      <c r="H1832" t="s">
        <v>43</v>
      </c>
      <c r="I1832" t="s">
        <v>805</v>
      </c>
      <c r="J1832" t="s">
        <v>43</v>
      </c>
      <c r="K1832" t="s">
        <v>43</v>
      </c>
      <c r="L1832" t="s">
        <v>43</v>
      </c>
      <c r="M1832" t="s">
        <v>43</v>
      </c>
      <c r="N1832" t="s">
        <v>45</v>
      </c>
      <c r="O1832" t="s">
        <v>43</v>
      </c>
      <c r="P1832" t="s">
        <v>43</v>
      </c>
      <c r="Q1832" t="s">
        <v>43</v>
      </c>
      <c r="R1832" t="s">
        <v>43</v>
      </c>
      <c r="S1832" t="s">
        <v>43</v>
      </c>
      <c r="T1832" t="s">
        <v>43</v>
      </c>
      <c r="U1832" t="s">
        <v>43</v>
      </c>
      <c r="V1832" t="s">
        <v>43</v>
      </c>
      <c r="W1832" t="s">
        <v>43</v>
      </c>
      <c r="X1832" t="s">
        <v>43</v>
      </c>
      <c r="Y1832" t="s">
        <v>43</v>
      </c>
      <c r="Z1832" t="s">
        <v>43</v>
      </c>
      <c r="AA1832" t="s">
        <v>43</v>
      </c>
      <c r="AB1832" t="s">
        <v>43</v>
      </c>
      <c r="AC1832" t="s">
        <v>43</v>
      </c>
      <c r="AD1832" t="s">
        <v>43</v>
      </c>
      <c r="AE1832" t="s">
        <v>43</v>
      </c>
      <c r="AF1832" t="s">
        <v>43</v>
      </c>
      <c r="AG1832" t="s">
        <v>43</v>
      </c>
      <c r="AH1832" t="s">
        <v>43</v>
      </c>
      <c r="AI1832" t="s">
        <v>43</v>
      </c>
      <c r="AJ1832" t="s">
        <v>43</v>
      </c>
      <c r="AK1832" t="s">
        <v>43</v>
      </c>
      <c r="AL1832" t="s">
        <v>43</v>
      </c>
      <c r="AM1832" t="s">
        <v>43</v>
      </c>
      <c r="AN1832" t="str">
        <f>HYPERLINK("https://www.google.com/maps?q=11.05588913,79.0641098","Open Location")</f>
        <v>Open Location</v>
      </c>
    </row>
    <row r="1833" spans="1:40" x14ac:dyDescent="0.3">
      <c r="A1833" s="1">
        <v>46210.787615740737</v>
      </c>
      <c r="B1833" t="s">
        <v>40</v>
      </c>
      <c r="C1833" t="s">
        <v>41</v>
      </c>
      <c r="D1833" s="1">
        <v>46210.790601851855</v>
      </c>
      <c r="E1833" t="s">
        <v>42</v>
      </c>
      <c r="F1833" t="s">
        <v>43</v>
      </c>
      <c r="G1833" t="s">
        <v>43</v>
      </c>
      <c r="H1833" t="s">
        <v>43</v>
      </c>
      <c r="I1833" t="s">
        <v>808</v>
      </c>
      <c r="J1833" t="s">
        <v>43</v>
      </c>
      <c r="K1833" t="s">
        <v>43</v>
      </c>
      <c r="L1833" t="s">
        <v>43</v>
      </c>
      <c r="M1833" t="s">
        <v>43</v>
      </c>
      <c r="N1833" t="s">
        <v>45</v>
      </c>
      <c r="O1833" t="s">
        <v>43</v>
      </c>
      <c r="P1833" t="s">
        <v>43</v>
      </c>
      <c r="Q1833" t="s">
        <v>43</v>
      </c>
      <c r="R1833" t="s">
        <v>43</v>
      </c>
      <c r="S1833" t="s">
        <v>43</v>
      </c>
      <c r="T1833" t="s">
        <v>43</v>
      </c>
      <c r="U1833" t="s">
        <v>43</v>
      </c>
      <c r="V1833" t="s">
        <v>43</v>
      </c>
      <c r="W1833" t="s">
        <v>43</v>
      </c>
      <c r="X1833" t="s">
        <v>43</v>
      </c>
      <c r="Y1833" t="s">
        <v>43</v>
      </c>
      <c r="Z1833" t="s">
        <v>43</v>
      </c>
      <c r="AA1833" t="s">
        <v>43</v>
      </c>
      <c r="AB1833" t="s">
        <v>43</v>
      </c>
      <c r="AC1833" t="s">
        <v>43</v>
      </c>
      <c r="AD1833" t="s">
        <v>43</v>
      </c>
      <c r="AE1833" t="s">
        <v>43</v>
      </c>
      <c r="AF1833" t="s">
        <v>43</v>
      </c>
      <c r="AG1833" t="s">
        <v>43</v>
      </c>
      <c r="AH1833" t="s">
        <v>43</v>
      </c>
      <c r="AI1833" t="s">
        <v>43</v>
      </c>
      <c r="AJ1833" t="s">
        <v>43</v>
      </c>
      <c r="AK1833" t="s">
        <v>43</v>
      </c>
      <c r="AL1833" t="s">
        <v>43</v>
      </c>
      <c r="AM1833" t="s">
        <v>43</v>
      </c>
      <c r="AN1833" t="str">
        <f>HYPERLINK("https://www.google.com/maps?q=11.05588531,79.06411743","Open Location")</f>
        <v>Open Location</v>
      </c>
    </row>
    <row r="1834" spans="1:40" x14ac:dyDescent="0.3">
      <c r="A1834" s="1">
        <v>46210.787499999999</v>
      </c>
      <c r="B1834" t="s">
        <v>40</v>
      </c>
      <c r="C1834" t="s">
        <v>41</v>
      </c>
      <c r="D1834" s="1">
        <v>46210.790659722225</v>
      </c>
      <c r="E1834" t="s">
        <v>42</v>
      </c>
      <c r="F1834" t="s">
        <v>43</v>
      </c>
      <c r="G1834" t="s">
        <v>43</v>
      </c>
      <c r="H1834" t="s">
        <v>43</v>
      </c>
      <c r="I1834" t="s">
        <v>692</v>
      </c>
      <c r="J1834" t="s">
        <v>43</v>
      </c>
      <c r="K1834" t="s">
        <v>43</v>
      </c>
      <c r="L1834" t="s">
        <v>43</v>
      </c>
      <c r="M1834" t="s">
        <v>43</v>
      </c>
      <c r="N1834" t="s">
        <v>45</v>
      </c>
      <c r="O1834" t="s">
        <v>43</v>
      </c>
      <c r="P1834" t="s">
        <v>43</v>
      </c>
      <c r="Q1834" t="s">
        <v>43</v>
      </c>
      <c r="R1834" t="s">
        <v>43</v>
      </c>
      <c r="S1834" t="s">
        <v>43</v>
      </c>
      <c r="T1834" t="s">
        <v>43</v>
      </c>
      <c r="U1834" t="s">
        <v>43</v>
      </c>
      <c r="V1834" t="s">
        <v>43</v>
      </c>
      <c r="W1834" t="s">
        <v>43</v>
      </c>
      <c r="X1834" t="s">
        <v>43</v>
      </c>
      <c r="Y1834" t="s">
        <v>43</v>
      </c>
      <c r="Z1834" t="s">
        <v>43</v>
      </c>
      <c r="AA1834" t="s">
        <v>43</v>
      </c>
      <c r="AB1834" t="s">
        <v>43</v>
      </c>
      <c r="AC1834" t="s">
        <v>43</v>
      </c>
      <c r="AD1834" t="s">
        <v>43</v>
      </c>
      <c r="AE1834" t="s">
        <v>43</v>
      </c>
      <c r="AF1834" t="s">
        <v>43</v>
      </c>
      <c r="AG1834" t="s">
        <v>43</v>
      </c>
      <c r="AH1834" t="s">
        <v>43</v>
      </c>
      <c r="AI1834" t="s">
        <v>43</v>
      </c>
      <c r="AJ1834" t="s">
        <v>43</v>
      </c>
      <c r="AK1834" t="s">
        <v>43</v>
      </c>
      <c r="AL1834" t="s">
        <v>43</v>
      </c>
      <c r="AM1834" t="s">
        <v>43</v>
      </c>
      <c r="AN1834" t="str">
        <f>HYPERLINK("https://www.google.com/maps?q=11.05588341,79.06411743","Open Location")</f>
        <v>Open Location</v>
      </c>
    </row>
    <row r="1835" spans="1:40" x14ac:dyDescent="0.3">
      <c r="A1835" s="1">
        <v>46210.78738425926</v>
      </c>
      <c r="B1835" t="s">
        <v>40</v>
      </c>
      <c r="C1835" t="s">
        <v>41</v>
      </c>
      <c r="D1835" s="1">
        <v>46210.790231481478</v>
      </c>
      <c r="E1835" t="s">
        <v>42</v>
      </c>
      <c r="F1835" t="s">
        <v>43</v>
      </c>
      <c r="G1835" t="s">
        <v>43</v>
      </c>
      <c r="H1835" t="s">
        <v>43</v>
      </c>
      <c r="I1835" t="s">
        <v>770</v>
      </c>
      <c r="J1835" t="s">
        <v>43</v>
      </c>
      <c r="K1835" t="s">
        <v>43</v>
      </c>
      <c r="L1835" t="s">
        <v>43</v>
      </c>
      <c r="M1835" t="s">
        <v>43</v>
      </c>
      <c r="N1835" t="s">
        <v>45</v>
      </c>
      <c r="O1835" t="s">
        <v>43</v>
      </c>
      <c r="P1835" t="s">
        <v>43</v>
      </c>
      <c r="Q1835" t="s">
        <v>43</v>
      </c>
      <c r="R1835" t="s">
        <v>43</v>
      </c>
      <c r="S1835" t="s">
        <v>43</v>
      </c>
      <c r="T1835" t="s">
        <v>43</v>
      </c>
      <c r="U1835" t="s">
        <v>43</v>
      </c>
      <c r="V1835" t="s">
        <v>43</v>
      </c>
      <c r="W1835" t="s">
        <v>43</v>
      </c>
      <c r="X1835" t="s">
        <v>43</v>
      </c>
      <c r="Y1835" t="s">
        <v>43</v>
      </c>
      <c r="Z1835" t="s">
        <v>43</v>
      </c>
      <c r="AA1835" t="s">
        <v>43</v>
      </c>
      <c r="AB1835" t="s">
        <v>43</v>
      </c>
      <c r="AC1835" t="s">
        <v>43</v>
      </c>
      <c r="AD1835" t="s">
        <v>43</v>
      </c>
      <c r="AE1835" t="s">
        <v>43</v>
      </c>
      <c r="AF1835" t="s">
        <v>43</v>
      </c>
      <c r="AG1835" t="s">
        <v>43</v>
      </c>
      <c r="AH1835" t="s">
        <v>43</v>
      </c>
      <c r="AI1835" t="s">
        <v>43</v>
      </c>
      <c r="AJ1835" t="s">
        <v>43</v>
      </c>
      <c r="AK1835" t="s">
        <v>43</v>
      </c>
      <c r="AL1835" t="s">
        <v>43</v>
      </c>
      <c r="AM1835" t="s">
        <v>43</v>
      </c>
      <c r="AN1835" t="str">
        <f>HYPERLINK("https://www.google.com/maps?q=11.05588055,79.06411743","Open Location")</f>
        <v>Open Location</v>
      </c>
    </row>
    <row r="1836" spans="1:40" x14ac:dyDescent="0.3">
      <c r="A1836" s="1">
        <v>46210.787268518521</v>
      </c>
      <c r="B1836" t="s">
        <v>40</v>
      </c>
      <c r="C1836" t="s">
        <v>41</v>
      </c>
      <c r="D1836" s="1">
        <v>46210.790277777778</v>
      </c>
      <c r="E1836" t="s">
        <v>42</v>
      </c>
      <c r="F1836" t="s">
        <v>43</v>
      </c>
      <c r="G1836" t="s">
        <v>43</v>
      </c>
      <c r="H1836" t="s">
        <v>43</v>
      </c>
      <c r="I1836" t="s">
        <v>691</v>
      </c>
      <c r="J1836" t="s">
        <v>43</v>
      </c>
      <c r="K1836" t="s">
        <v>43</v>
      </c>
      <c r="L1836" t="s">
        <v>43</v>
      </c>
      <c r="M1836" t="s">
        <v>43</v>
      </c>
      <c r="N1836" t="s">
        <v>45</v>
      </c>
      <c r="O1836" t="s">
        <v>43</v>
      </c>
      <c r="P1836" t="s">
        <v>43</v>
      </c>
      <c r="Q1836" t="s">
        <v>43</v>
      </c>
      <c r="R1836" t="s">
        <v>43</v>
      </c>
      <c r="S1836" t="s">
        <v>43</v>
      </c>
      <c r="T1836" t="s">
        <v>43</v>
      </c>
      <c r="U1836" t="s">
        <v>43</v>
      </c>
      <c r="V1836" t="s">
        <v>43</v>
      </c>
      <c r="W1836" t="s">
        <v>43</v>
      </c>
      <c r="X1836" t="s">
        <v>43</v>
      </c>
      <c r="Y1836" t="s">
        <v>43</v>
      </c>
      <c r="Z1836" t="s">
        <v>43</v>
      </c>
      <c r="AA1836" t="s">
        <v>43</v>
      </c>
      <c r="AB1836" t="s">
        <v>43</v>
      </c>
      <c r="AC1836" t="s">
        <v>43</v>
      </c>
      <c r="AD1836" t="s">
        <v>43</v>
      </c>
      <c r="AE1836" t="s">
        <v>43</v>
      </c>
      <c r="AF1836" t="s">
        <v>43</v>
      </c>
      <c r="AG1836" t="s">
        <v>43</v>
      </c>
      <c r="AH1836" t="s">
        <v>43</v>
      </c>
      <c r="AI1836" t="s">
        <v>43</v>
      </c>
      <c r="AJ1836" t="s">
        <v>43</v>
      </c>
      <c r="AK1836" t="s">
        <v>43</v>
      </c>
      <c r="AL1836" t="s">
        <v>43</v>
      </c>
      <c r="AM1836" t="s">
        <v>43</v>
      </c>
      <c r="AN1836" t="str">
        <f>HYPERLINK("https://www.google.com/maps?q=11.05588245,79.06411743","Open Location")</f>
        <v>Open Location</v>
      </c>
    </row>
    <row r="1837" spans="1:40" x14ac:dyDescent="0.3">
      <c r="A1837" s="1">
        <v>46210.787152777775</v>
      </c>
      <c r="B1837" t="s">
        <v>40</v>
      </c>
      <c r="C1837" t="s">
        <v>41</v>
      </c>
      <c r="D1837" s="1">
        <v>46210.789861111109</v>
      </c>
      <c r="E1837" t="s">
        <v>42</v>
      </c>
      <c r="F1837" t="s">
        <v>43</v>
      </c>
      <c r="G1837" t="s">
        <v>43</v>
      </c>
      <c r="H1837" t="s">
        <v>43</v>
      </c>
      <c r="I1837" t="s">
        <v>43</v>
      </c>
      <c r="J1837" t="s">
        <v>43</v>
      </c>
      <c r="K1837" t="s">
        <v>43</v>
      </c>
      <c r="L1837" t="s">
        <v>43</v>
      </c>
      <c r="M1837" t="s">
        <v>43</v>
      </c>
      <c r="N1837" t="s">
        <v>45</v>
      </c>
      <c r="O1837" t="s">
        <v>43</v>
      </c>
      <c r="P1837" t="s">
        <v>43</v>
      </c>
      <c r="Q1837" t="s">
        <v>43</v>
      </c>
      <c r="R1837" t="s">
        <v>43</v>
      </c>
      <c r="S1837" t="s">
        <v>43</v>
      </c>
      <c r="T1837" t="s">
        <v>43</v>
      </c>
      <c r="U1837" t="s">
        <v>43</v>
      </c>
      <c r="V1837" t="s">
        <v>43</v>
      </c>
      <c r="W1837" t="s">
        <v>43</v>
      </c>
      <c r="X1837" t="s">
        <v>43</v>
      </c>
      <c r="Y1837" t="s">
        <v>43</v>
      </c>
      <c r="Z1837" t="s">
        <v>43</v>
      </c>
      <c r="AA1837" t="s">
        <v>43</v>
      </c>
      <c r="AB1837" t="s">
        <v>43</v>
      </c>
      <c r="AC1837" t="s">
        <v>43</v>
      </c>
      <c r="AD1837" t="s">
        <v>43</v>
      </c>
      <c r="AE1837" t="s">
        <v>43</v>
      </c>
      <c r="AF1837" t="s">
        <v>43</v>
      </c>
      <c r="AG1837" t="s">
        <v>43</v>
      </c>
      <c r="AH1837" t="s">
        <v>43</v>
      </c>
      <c r="AI1837" t="s">
        <v>43</v>
      </c>
      <c r="AJ1837" t="s">
        <v>43</v>
      </c>
      <c r="AK1837" t="s">
        <v>43</v>
      </c>
      <c r="AL1837" t="s">
        <v>43</v>
      </c>
      <c r="AM1837" t="s">
        <v>43</v>
      </c>
      <c r="AN1837" t="s">
        <v>43</v>
      </c>
    </row>
    <row r="1838" spans="1:40" x14ac:dyDescent="0.3">
      <c r="A1838" s="1">
        <v>46210.787037037036</v>
      </c>
      <c r="B1838" t="s">
        <v>40</v>
      </c>
      <c r="C1838" t="s">
        <v>41</v>
      </c>
      <c r="D1838" s="1">
        <v>46210.789895833332</v>
      </c>
      <c r="E1838" t="s">
        <v>42</v>
      </c>
      <c r="F1838" t="s">
        <v>43</v>
      </c>
      <c r="G1838" t="s">
        <v>43</v>
      </c>
      <c r="H1838" t="s">
        <v>43</v>
      </c>
      <c r="I1838" t="s">
        <v>667</v>
      </c>
      <c r="J1838" t="s">
        <v>43</v>
      </c>
      <c r="K1838" t="s">
        <v>43</v>
      </c>
      <c r="L1838" t="s">
        <v>43</v>
      </c>
      <c r="M1838" t="s">
        <v>43</v>
      </c>
      <c r="N1838" t="s">
        <v>45</v>
      </c>
      <c r="O1838" t="s">
        <v>43</v>
      </c>
      <c r="P1838" t="s">
        <v>43</v>
      </c>
      <c r="Q1838" t="s">
        <v>43</v>
      </c>
      <c r="R1838" t="s">
        <v>43</v>
      </c>
      <c r="S1838" t="s">
        <v>43</v>
      </c>
      <c r="T1838" t="s">
        <v>43</v>
      </c>
      <c r="U1838" t="s">
        <v>43</v>
      </c>
      <c r="V1838" t="s">
        <v>43</v>
      </c>
      <c r="W1838" t="s">
        <v>43</v>
      </c>
      <c r="X1838" t="s">
        <v>43</v>
      </c>
      <c r="Y1838" t="s">
        <v>43</v>
      </c>
      <c r="Z1838" t="s">
        <v>43</v>
      </c>
      <c r="AA1838" t="s">
        <v>43</v>
      </c>
      <c r="AB1838" t="s">
        <v>43</v>
      </c>
      <c r="AC1838" t="s">
        <v>43</v>
      </c>
      <c r="AD1838" t="s">
        <v>43</v>
      </c>
      <c r="AE1838" t="s">
        <v>43</v>
      </c>
      <c r="AF1838" t="s">
        <v>43</v>
      </c>
      <c r="AG1838" t="s">
        <v>43</v>
      </c>
      <c r="AH1838" t="s">
        <v>43</v>
      </c>
      <c r="AI1838" t="s">
        <v>43</v>
      </c>
      <c r="AJ1838" t="s">
        <v>43</v>
      </c>
      <c r="AK1838" t="s">
        <v>43</v>
      </c>
      <c r="AL1838" t="s">
        <v>43</v>
      </c>
      <c r="AM1838" t="s">
        <v>43</v>
      </c>
      <c r="AN1838" t="str">
        <f>HYPERLINK("https://www.google.com/maps?q=11.05587864,79.06411743","Open Location")</f>
        <v>Open Location</v>
      </c>
    </row>
    <row r="1839" spans="1:40" x14ac:dyDescent="0.3">
      <c r="A1839" s="1">
        <v>46210.786921296298</v>
      </c>
      <c r="B1839" t="s">
        <v>40</v>
      </c>
      <c r="C1839" t="s">
        <v>41</v>
      </c>
      <c r="D1839" s="1">
        <v>46210.789861111109</v>
      </c>
      <c r="E1839" t="s">
        <v>42</v>
      </c>
      <c r="F1839" t="s">
        <v>43</v>
      </c>
      <c r="G1839" t="s">
        <v>43</v>
      </c>
      <c r="H1839" t="s">
        <v>43</v>
      </c>
      <c r="I1839" t="s">
        <v>771</v>
      </c>
      <c r="J1839" t="s">
        <v>43</v>
      </c>
      <c r="K1839" t="s">
        <v>43</v>
      </c>
      <c r="L1839" t="s">
        <v>43</v>
      </c>
      <c r="M1839" t="s">
        <v>43</v>
      </c>
      <c r="N1839" t="s">
        <v>45</v>
      </c>
      <c r="O1839" t="s">
        <v>43</v>
      </c>
      <c r="P1839" t="s">
        <v>43</v>
      </c>
      <c r="Q1839" t="s">
        <v>43</v>
      </c>
      <c r="R1839" t="s">
        <v>43</v>
      </c>
      <c r="S1839" t="s">
        <v>43</v>
      </c>
      <c r="T1839" t="s">
        <v>43</v>
      </c>
      <c r="U1839" t="s">
        <v>43</v>
      </c>
      <c r="V1839" t="s">
        <v>43</v>
      </c>
      <c r="W1839" t="s">
        <v>43</v>
      </c>
      <c r="X1839" t="s">
        <v>43</v>
      </c>
      <c r="Y1839" t="s">
        <v>43</v>
      </c>
      <c r="Z1839" t="s">
        <v>43</v>
      </c>
      <c r="AA1839" t="s">
        <v>43</v>
      </c>
      <c r="AB1839" t="s">
        <v>43</v>
      </c>
      <c r="AC1839" t="s">
        <v>43</v>
      </c>
      <c r="AD1839" t="s">
        <v>43</v>
      </c>
      <c r="AE1839" t="s">
        <v>43</v>
      </c>
      <c r="AF1839" t="s">
        <v>43</v>
      </c>
      <c r="AG1839" t="s">
        <v>43</v>
      </c>
      <c r="AH1839" t="s">
        <v>43</v>
      </c>
      <c r="AI1839" t="s">
        <v>43</v>
      </c>
      <c r="AJ1839" t="s">
        <v>43</v>
      </c>
      <c r="AK1839" t="s">
        <v>43</v>
      </c>
      <c r="AL1839" t="s">
        <v>43</v>
      </c>
      <c r="AM1839" t="s">
        <v>43</v>
      </c>
      <c r="AN1839" t="str">
        <f>HYPERLINK("https://www.google.com/maps?q=11.05587578,79.06411743","Open Location")</f>
        <v>Open Location</v>
      </c>
    </row>
    <row r="1840" spans="1:40" x14ac:dyDescent="0.3">
      <c r="A1840" s="1">
        <v>46210.786805555559</v>
      </c>
      <c r="B1840" t="s">
        <v>40</v>
      </c>
      <c r="C1840" t="s">
        <v>41</v>
      </c>
      <c r="D1840" s="1">
        <v>46210.789861111109</v>
      </c>
      <c r="E1840" t="s">
        <v>42</v>
      </c>
      <c r="F1840" t="s">
        <v>43</v>
      </c>
      <c r="G1840" t="s">
        <v>43</v>
      </c>
      <c r="H1840" t="s">
        <v>43</v>
      </c>
      <c r="I1840" t="s">
        <v>622</v>
      </c>
      <c r="J1840" t="s">
        <v>43</v>
      </c>
      <c r="K1840" t="s">
        <v>43</v>
      </c>
      <c r="L1840" t="s">
        <v>43</v>
      </c>
      <c r="M1840" t="s">
        <v>43</v>
      </c>
      <c r="N1840" t="s">
        <v>45</v>
      </c>
      <c r="O1840" t="s">
        <v>43</v>
      </c>
      <c r="P1840" t="s">
        <v>43</v>
      </c>
      <c r="Q1840" t="s">
        <v>43</v>
      </c>
      <c r="R1840" t="s">
        <v>43</v>
      </c>
      <c r="S1840" t="s">
        <v>43</v>
      </c>
      <c r="T1840" t="s">
        <v>43</v>
      </c>
      <c r="U1840" t="s">
        <v>43</v>
      </c>
      <c r="V1840" t="s">
        <v>43</v>
      </c>
      <c r="W1840" t="s">
        <v>43</v>
      </c>
      <c r="X1840" t="s">
        <v>43</v>
      </c>
      <c r="Y1840" t="s">
        <v>43</v>
      </c>
      <c r="Z1840" t="s">
        <v>43</v>
      </c>
      <c r="AA1840" t="s">
        <v>43</v>
      </c>
      <c r="AB1840" t="s">
        <v>43</v>
      </c>
      <c r="AC1840" t="s">
        <v>43</v>
      </c>
      <c r="AD1840" t="s">
        <v>43</v>
      </c>
      <c r="AE1840" t="s">
        <v>43</v>
      </c>
      <c r="AF1840" t="s">
        <v>43</v>
      </c>
      <c r="AG1840" t="s">
        <v>43</v>
      </c>
      <c r="AH1840" t="s">
        <v>43</v>
      </c>
      <c r="AI1840" t="s">
        <v>43</v>
      </c>
      <c r="AJ1840" t="s">
        <v>43</v>
      </c>
      <c r="AK1840" t="s">
        <v>43</v>
      </c>
      <c r="AL1840" t="s">
        <v>43</v>
      </c>
      <c r="AM1840" t="s">
        <v>43</v>
      </c>
      <c r="AN1840" t="str">
        <f>HYPERLINK("https://www.google.com/maps?q=11.05587387,79.06411743","Open Location")</f>
        <v>Open Location</v>
      </c>
    </row>
    <row r="1841" spans="1:40" x14ac:dyDescent="0.3">
      <c r="A1841" s="1">
        <v>46210.786689814813</v>
      </c>
      <c r="B1841" t="s">
        <v>40</v>
      </c>
      <c r="C1841" t="s">
        <v>41</v>
      </c>
      <c r="D1841" s="1">
        <v>46210.789525462962</v>
      </c>
      <c r="E1841" t="s">
        <v>42</v>
      </c>
      <c r="F1841" t="s">
        <v>43</v>
      </c>
      <c r="G1841" t="s">
        <v>43</v>
      </c>
      <c r="H1841" t="s">
        <v>43</v>
      </c>
      <c r="I1841" t="s">
        <v>812</v>
      </c>
      <c r="J1841" t="s">
        <v>43</v>
      </c>
      <c r="K1841" t="s">
        <v>43</v>
      </c>
      <c r="L1841" t="s">
        <v>43</v>
      </c>
      <c r="M1841" t="s">
        <v>43</v>
      </c>
      <c r="N1841" t="s">
        <v>45</v>
      </c>
      <c r="O1841" t="s">
        <v>43</v>
      </c>
      <c r="P1841" t="s">
        <v>43</v>
      </c>
      <c r="Q1841" t="s">
        <v>43</v>
      </c>
      <c r="R1841" t="s">
        <v>43</v>
      </c>
      <c r="S1841" t="s">
        <v>43</v>
      </c>
      <c r="T1841" t="s">
        <v>43</v>
      </c>
      <c r="U1841" t="s">
        <v>43</v>
      </c>
      <c r="V1841" t="s">
        <v>43</v>
      </c>
      <c r="W1841" t="s">
        <v>43</v>
      </c>
      <c r="X1841" t="s">
        <v>43</v>
      </c>
      <c r="Y1841" t="s">
        <v>43</v>
      </c>
      <c r="Z1841" t="s">
        <v>43</v>
      </c>
      <c r="AA1841" t="s">
        <v>43</v>
      </c>
      <c r="AB1841" t="s">
        <v>43</v>
      </c>
      <c r="AC1841" t="s">
        <v>43</v>
      </c>
      <c r="AD1841" t="s">
        <v>43</v>
      </c>
      <c r="AE1841" t="s">
        <v>43</v>
      </c>
      <c r="AF1841" t="s">
        <v>43</v>
      </c>
      <c r="AG1841" t="s">
        <v>43</v>
      </c>
      <c r="AH1841" t="s">
        <v>43</v>
      </c>
      <c r="AI1841" t="s">
        <v>43</v>
      </c>
      <c r="AJ1841" t="s">
        <v>43</v>
      </c>
      <c r="AK1841" t="s">
        <v>43</v>
      </c>
      <c r="AL1841" t="s">
        <v>43</v>
      </c>
      <c r="AM1841" t="s">
        <v>43</v>
      </c>
      <c r="AN1841" t="str">
        <f>HYPERLINK("https://www.google.com/maps?q=11.05587959,79.06411743","Open Location")</f>
        <v>Open Location</v>
      </c>
    </row>
    <row r="1842" spans="1:40" x14ac:dyDescent="0.3">
      <c r="A1842" s="1">
        <v>46210.786574074074</v>
      </c>
      <c r="B1842" t="s">
        <v>40</v>
      </c>
      <c r="C1842" t="s">
        <v>41</v>
      </c>
      <c r="D1842" s="1">
        <v>46210.789548611108</v>
      </c>
      <c r="E1842" t="s">
        <v>42</v>
      </c>
      <c r="F1842" t="s">
        <v>43</v>
      </c>
      <c r="G1842" t="s">
        <v>43</v>
      </c>
      <c r="H1842" t="s">
        <v>43</v>
      </c>
      <c r="I1842" t="s">
        <v>667</v>
      </c>
      <c r="J1842" t="s">
        <v>43</v>
      </c>
      <c r="K1842" t="s">
        <v>43</v>
      </c>
      <c r="L1842" t="s">
        <v>43</v>
      </c>
      <c r="M1842" t="s">
        <v>43</v>
      </c>
      <c r="N1842" t="s">
        <v>45</v>
      </c>
      <c r="O1842" t="s">
        <v>43</v>
      </c>
      <c r="P1842" t="s">
        <v>43</v>
      </c>
      <c r="Q1842" t="s">
        <v>43</v>
      </c>
      <c r="R1842" t="s">
        <v>43</v>
      </c>
      <c r="S1842" t="s">
        <v>43</v>
      </c>
      <c r="T1842" t="s">
        <v>43</v>
      </c>
      <c r="U1842" t="s">
        <v>43</v>
      </c>
      <c r="V1842" t="s">
        <v>43</v>
      </c>
      <c r="W1842" t="s">
        <v>43</v>
      </c>
      <c r="X1842" t="s">
        <v>43</v>
      </c>
      <c r="Y1842" t="s">
        <v>43</v>
      </c>
      <c r="Z1842" t="s">
        <v>43</v>
      </c>
      <c r="AA1842" t="s">
        <v>43</v>
      </c>
      <c r="AB1842" t="s">
        <v>43</v>
      </c>
      <c r="AC1842" t="s">
        <v>43</v>
      </c>
      <c r="AD1842" t="s">
        <v>43</v>
      </c>
      <c r="AE1842" t="s">
        <v>43</v>
      </c>
      <c r="AF1842" t="s">
        <v>43</v>
      </c>
      <c r="AG1842" t="s">
        <v>43</v>
      </c>
      <c r="AH1842" t="s">
        <v>43</v>
      </c>
      <c r="AI1842" t="s">
        <v>43</v>
      </c>
      <c r="AJ1842" t="s">
        <v>43</v>
      </c>
      <c r="AK1842" t="s">
        <v>43</v>
      </c>
      <c r="AL1842" t="s">
        <v>43</v>
      </c>
      <c r="AM1842" t="s">
        <v>43</v>
      </c>
      <c r="AN1842" t="str">
        <f>HYPERLINK("https://www.google.com/maps?q=11.05587864,79.06411743","Open Location")</f>
        <v>Open Location</v>
      </c>
    </row>
    <row r="1843" spans="1:40" x14ac:dyDescent="0.3">
      <c r="A1843" s="1">
        <v>46210.786458333336</v>
      </c>
      <c r="B1843" t="s">
        <v>40</v>
      </c>
      <c r="C1843" t="s">
        <v>41</v>
      </c>
      <c r="D1843" s="1">
        <v>46210.789143518516</v>
      </c>
      <c r="E1843" t="s">
        <v>42</v>
      </c>
      <c r="F1843" t="s">
        <v>43</v>
      </c>
      <c r="G1843" t="s">
        <v>43</v>
      </c>
      <c r="H1843" t="s">
        <v>43</v>
      </c>
      <c r="I1843" t="s">
        <v>43</v>
      </c>
      <c r="J1843" t="s">
        <v>43</v>
      </c>
      <c r="K1843" t="s">
        <v>43</v>
      </c>
      <c r="L1843" t="s">
        <v>43</v>
      </c>
      <c r="M1843" t="s">
        <v>43</v>
      </c>
      <c r="N1843" t="s">
        <v>45</v>
      </c>
      <c r="O1843" t="s">
        <v>43</v>
      </c>
      <c r="P1843" t="s">
        <v>43</v>
      </c>
      <c r="Q1843" t="s">
        <v>43</v>
      </c>
      <c r="R1843" t="s">
        <v>43</v>
      </c>
      <c r="S1843" t="s">
        <v>43</v>
      </c>
      <c r="T1843" t="s">
        <v>43</v>
      </c>
      <c r="U1843" t="s">
        <v>43</v>
      </c>
      <c r="V1843" t="s">
        <v>43</v>
      </c>
      <c r="W1843" t="s">
        <v>43</v>
      </c>
      <c r="X1843" t="s">
        <v>43</v>
      </c>
      <c r="Y1843" t="s">
        <v>43</v>
      </c>
      <c r="Z1843" t="s">
        <v>43</v>
      </c>
      <c r="AA1843" t="s">
        <v>43</v>
      </c>
      <c r="AB1843" t="s">
        <v>43</v>
      </c>
      <c r="AC1843" t="s">
        <v>43</v>
      </c>
      <c r="AD1843" t="s">
        <v>43</v>
      </c>
      <c r="AE1843" t="s">
        <v>43</v>
      </c>
      <c r="AF1843" t="s">
        <v>43</v>
      </c>
      <c r="AG1843" t="s">
        <v>43</v>
      </c>
      <c r="AH1843" t="s">
        <v>43</v>
      </c>
      <c r="AI1843" t="s">
        <v>43</v>
      </c>
      <c r="AJ1843" t="s">
        <v>43</v>
      </c>
      <c r="AK1843" t="s">
        <v>43</v>
      </c>
      <c r="AL1843" t="s">
        <v>43</v>
      </c>
      <c r="AM1843" t="s">
        <v>43</v>
      </c>
      <c r="AN1843" t="s">
        <v>43</v>
      </c>
    </row>
    <row r="1844" spans="1:40" x14ac:dyDescent="0.3">
      <c r="A1844" s="1">
        <v>46210.78634259259</v>
      </c>
      <c r="B1844" t="s">
        <v>40</v>
      </c>
      <c r="C1844" t="s">
        <v>41</v>
      </c>
      <c r="D1844" s="1">
        <v>46210.789236111108</v>
      </c>
      <c r="E1844" t="s">
        <v>42</v>
      </c>
      <c r="F1844" t="s">
        <v>43</v>
      </c>
      <c r="G1844" t="s">
        <v>43</v>
      </c>
      <c r="H1844" t="s">
        <v>43</v>
      </c>
      <c r="I1844" t="s">
        <v>726</v>
      </c>
      <c r="J1844" t="s">
        <v>43</v>
      </c>
      <c r="K1844" t="s">
        <v>43</v>
      </c>
      <c r="L1844" t="s">
        <v>43</v>
      </c>
      <c r="M1844" t="s">
        <v>43</v>
      </c>
      <c r="N1844" t="s">
        <v>45</v>
      </c>
      <c r="O1844" t="s">
        <v>43</v>
      </c>
      <c r="P1844" t="s">
        <v>43</v>
      </c>
      <c r="Q1844" t="s">
        <v>43</v>
      </c>
      <c r="R1844" t="s">
        <v>43</v>
      </c>
      <c r="S1844" t="s">
        <v>43</v>
      </c>
      <c r="T1844" t="s">
        <v>43</v>
      </c>
      <c r="U1844" t="s">
        <v>43</v>
      </c>
      <c r="V1844" t="s">
        <v>43</v>
      </c>
      <c r="W1844" t="s">
        <v>43</v>
      </c>
      <c r="X1844" t="s">
        <v>43</v>
      </c>
      <c r="Y1844" t="s">
        <v>43</v>
      </c>
      <c r="Z1844" t="s">
        <v>43</v>
      </c>
      <c r="AA1844" t="s">
        <v>43</v>
      </c>
      <c r="AB1844" t="s">
        <v>43</v>
      </c>
      <c r="AC1844" t="s">
        <v>43</v>
      </c>
      <c r="AD1844" t="s">
        <v>43</v>
      </c>
      <c r="AE1844" t="s">
        <v>43</v>
      </c>
      <c r="AF1844" t="s">
        <v>43</v>
      </c>
      <c r="AG1844" t="s">
        <v>43</v>
      </c>
      <c r="AH1844" t="s">
        <v>43</v>
      </c>
      <c r="AI1844" t="s">
        <v>43</v>
      </c>
      <c r="AJ1844" t="s">
        <v>43</v>
      </c>
      <c r="AK1844" t="s">
        <v>43</v>
      </c>
      <c r="AL1844" t="s">
        <v>43</v>
      </c>
      <c r="AM1844" t="s">
        <v>43</v>
      </c>
      <c r="AN1844" t="str">
        <f>HYPERLINK("https://www.google.com/maps?q=11.05587864,79.06412506","Open Location")</f>
        <v>Open Location</v>
      </c>
    </row>
    <row r="1845" spans="1:40" x14ac:dyDescent="0.3">
      <c r="A1845" s="1">
        <v>46210.786226851851</v>
      </c>
      <c r="B1845" t="s">
        <v>40</v>
      </c>
      <c r="C1845" t="s">
        <v>41</v>
      </c>
      <c r="D1845" s="1">
        <v>46210.788981481484</v>
      </c>
      <c r="E1845" t="s">
        <v>42</v>
      </c>
      <c r="F1845" t="s">
        <v>43</v>
      </c>
      <c r="G1845" t="s">
        <v>43</v>
      </c>
      <c r="H1845" t="s">
        <v>43</v>
      </c>
      <c r="I1845" t="s">
        <v>843</v>
      </c>
      <c r="J1845" t="s">
        <v>43</v>
      </c>
      <c r="K1845" t="s">
        <v>43</v>
      </c>
      <c r="L1845" t="s">
        <v>43</v>
      </c>
      <c r="M1845" t="s">
        <v>43</v>
      </c>
      <c r="N1845" t="s">
        <v>45</v>
      </c>
      <c r="O1845" t="s">
        <v>43</v>
      </c>
      <c r="P1845" t="s">
        <v>43</v>
      </c>
      <c r="Q1845" t="s">
        <v>43</v>
      </c>
      <c r="R1845" t="s">
        <v>43</v>
      </c>
      <c r="S1845" t="s">
        <v>43</v>
      </c>
      <c r="T1845" t="s">
        <v>43</v>
      </c>
      <c r="U1845" t="s">
        <v>43</v>
      </c>
      <c r="V1845" t="s">
        <v>43</v>
      </c>
      <c r="W1845" t="s">
        <v>43</v>
      </c>
      <c r="X1845" t="s">
        <v>43</v>
      </c>
      <c r="Y1845" t="s">
        <v>43</v>
      </c>
      <c r="Z1845" t="s">
        <v>43</v>
      </c>
      <c r="AA1845" t="s">
        <v>43</v>
      </c>
      <c r="AB1845" t="s">
        <v>43</v>
      </c>
      <c r="AC1845" t="s">
        <v>43</v>
      </c>
      <c r="AD1845" t="s">
        <v>43</v>
      </c>
      <c r="AE1845" t="s">
        <v>43</v>
      </c>
      <c r="AF1845" t="s">
        <v>43</v>
      </c>
      <c r="AG1845" t="s">
        <v>43</v>
      </c>
      <c r="AH1845" t="s">
        <v>43</v>
      </c>
      <c r="AI1845" t="s">
        <v>43</v>
      </c>
      <c r="AJ1845" t="s">
        <v>43</v>
      </c>
      <c r="AK1845" t="s">
        <v>43</v>
      </c>
      <c r="AL1845" t="s">
        <v>43</v>
      </c>
      <c r="AM1845" t="s">
        <v>43</v>
      </c>
      <c r="AN1845" t="str">
        <f>HYPERLINK("https://www.google.com/maps?q=11.05587387,79.06412506","Open Location")</f>
        <v>Open Location</v>
      </c>
    </row>
    <row r="1846" spans="1:40" x14ac:dyDescent="0.3">
      <c r="A1846" s="1">
        <v>46210.786111111112</v>
      </c>
      <c r="B1846" t="s">
        <v>40</v>
      </c>
      <c r="C1846" t="s">
        <v>41</v>
      </c>
      <c r="D1846" s="1">
        <v>46210.788981481484</v>
      </c>
      <c r="E1846" t="s">
        <v>42</v>
      </c>
      <c r="F1846" t="s">
        <v>43</v>
      </c>
      <c r="G1846" t="s">
        <v>43</v>
      </c>
      <c r="H1846" t="s">
        <v>43</v>
      </c>
      <c r="I1846" t="s">
        <v>633</v>
      </c>
      <c r="J1846" t="s">
        <v>43</v>
      </c>
      <c r="K1846" t="s">
        <v>43</v>
      </c>
      <c r="L1846" t="s">
        <v>43</v>
      </c>
      <c r="M1846" t="s">
        <v>43</v>
      </c>
      <c r="N1846" t="s">
        <v>45</v>
      </c>
      <c r="O1846" t="s">
        <v>43</v>
      </c>
      <c r="P1846" t="s">
        <v>43</v>
      </c>
      <c r="Q1846" t="s">
        <v>43</v>
      </c>
      <c r="R1846" t="s">
        <v>43</v>
      </c>
      <c r="S1846">
        <v>0</v>
      </c>
      <c r="T1846">
        <v>-40</v>
      </c>
      <c r="U1846">
        <v>47</v>
      </c>
      <c r="V1846">
        <v>0</v>
      </c>
      <c r="W1846" t="s">
        <v>43</v>
      </c>
      <c r="X1846" t="s">
        <v>43</v>
      </c>
      <c r="Y1846" t="s">
        <v>43</v>
      </c>
      <c r="Z1846" t="s">
        <v>43</v>
      </c>
      <c r="AA1846" t="s">
        <v>43</v>
      </c>
      <c r="AB1846" t="s">
        <v>43</v>
      </c>
      <c r="AC1846" t="s">
        <v>43</v>
      </c>
      <c r="AD1846" t="s">
        <v>43</v>
      </c>
      <c r="AE1846" t="s">
        <v>43</v>
      </c>
      <c r="AF1846" t="s">
        <v>43</v>
      </c>
      <c r="AG1846" t="s">
        <v>43</v>
      </c>
      <c r="AH1846" t="s">
        <v>43</v>
      </c>
      <c r="AI1846" t="s">
        <v>43</v>
      </c>
      <c r="AJ1846" t="s">
        <v>43</v>
      </c>
      <c r="AK1846" t="s">
        <v>43</v>
      </c>
      <c r="AL1846" t="s">
        <v>43</v>
      </c>
      <c r="AM1846" t="s">
        <v>43</v>
      </c>
      <c r="AN1846" t="str">
        <f>HYPERLINK("https://www.google.com/maps?q=11.05587482,79.06412506","Open Location")</f>
        <v>Open Location</v>
      </c>
    </row>
    <row r="1847" spans="1:40" x14ac:dyDescent="0.3">
      <c r="A1847" s="1">
        <v>46210.785995370374</v>
      </c>
      <c r="B1847" t="s">
        <v>40</v>
      </c>
      <c r="C1847" t="s">
        <v>41</v>
      </c>
      <c r="D1847" s="1">
        <v>46210.789004629631</v>
      </c>
      <c r="E1847" t="s">
        <v>42</v>
      </c>
      <c r="F1847" t="s">
        <v>43</v>
      </c>
      <c r="G1847" t="s">
        <v>43</v>
      </c>
      <c r="H1847" t="s">
        <v>43</v>
      </c>
      <c r="I1847" t="s">
        <v>843</v>
      </c>
      <c r="J1847" t="s">
        <v>43</v>
      </c>
      <c r="K1847" t="s">
        <v>43</v>
      </c>
      <c r="L1847" t="s">
        <v>43</v>
      </c>
      <c r="M1847" t="s">
        <v>43</v>
      </c>
      <c r="N1847" t="s">
        <v>45</v>
      </c>
      <c r="O1847" t="s">
        <v>43</v>
      </c>
      <c r="P1847" t="s">
        <v>43</v>
      </c>
      <c r="Q1847" t="s">
        <v>43</v>
      </c>
      <c r="R1847" t="s">
        <v>43</v>
      </c>
      <c r="S1847">
        <v>0</v>
      </c>
      <c r="T1847">
        <v>-40</v>
      </c>
      <c r="U1847">
        <v>48</v>
      </c>
      <c r="V1847">
        <v>0</v>
      </c>
      <c r="W1847" t="s">
        <v>43</v>
      </c>
      <c r="X1847" t="s">
        <v>43</v>
      </c>
      <c r="Y1847" t="s">
        <v>43</v>
      </c>
      <c r="Z1847" t="s">
        <v>43</v>
      </c>
      <c r="AA1847" t="s">
        <v>43</v>
      </c>
      <c r="AB1847" t="s">
        <v>43</v>
      </c>
      <c r="AC1847" t="s">
        <v>43</v>
      </c>
      <c r="AD1847" t="s">
        <v>43</v>
      </c>
      <c r="AE1847" t="s">
        <v>43</v>
      </c>
      <c r="AF1847" t="s">
        <v>43</v>
      </c>
      <c r="AG1847" t="s">
        <v>43</v>
      </c>
      <c r="AH1847" t="s">
        <v>43</v>
      </c>
      <c r="AI1847" t="s">
        <v>43</v>
      </c>
      <c r="AJ1847" t="s">
        <v>43</v>
      </c>
      <c r="AK1847" t="s">
        <v>43</v>
      </c>
      <c r="AL1847" t="s">
        <v>43</v>
      </c>
      <c r="AM1847" t="s">
        <v>43</v>
      </c>
      <c r="AN1847" t="str">
        <f>HYPERLINK("https://www.google.com/maps?q=11.05587387,79.06412506","Open Location")</f>
        <v>Open Location</v>
      </c>
    </row>
    <row r="1848" spans="1:40" x14ac:dyDescent="0.3">
      <c r="A1848" s="1">
        <v>46210.785879629628</v>
      </c>
      <c r="B1848" t="s">
        <v>40</v>
      </c>
      <c r="C1848" t="s">
        <v>41</v>
      </c>
      <c r="D1848" s="1">
        <v>46210.789027777777</v>
      </c>
      <c r="E1848" t="s">
        <v>42</v>
      </c>
      <c r="F1848" t="s">
        <v>43</v>
      </c>
      <c r="G1848" t="s">
        <v>43</v>
      </c>
      <c r="H1848" t="s">
        <v>43</v>
      </c>
      <c r="I1848" t="s">
        <v>43</v>
      </c>
      <c r="J1848" t="s">
        <v>43</v>
      </c>
      <c r="K1848" t="s">
        <v>43</v>
      </c>
      <c r="L1848" t="s">
        <v>43</v>
      </c>
      <c r="M1848" t="s">
        <v>43</v>
      </c>
      <c r="N1848" t="s">
        <v>45</v>
      </c>
      <c r="O1848" t="s">
        <v>43</v>
      </c>
      <c r="P1848" t="s">
        <v>43</v>
      </c>
      <c r="Q1848" t="s">
        <v>43</v>
      </c>
      <c r="R1848" t="s">
        <v>43</v>
      </c>
      <c r="S1848">
        <v>0</v>
      </c>
      <c r="T1848">
        <v>-40</v>
      </c>
      <c r="U1848">
        <v>48</v>
      </c>
      <c r="V1848">
        <v>0</v>
      </c>
      <c r="W1848" t="s">
        <v>43</v>
      </c>
      <c r="X1848" t="s">
        <v>43</v>
      </c>
      <c r="Y1848" t="s">
        <v>43</v>
      </c>
      <c r="Z1848" t="s">
        <v>43</v>
      </c>
      <c r="AA1848" t="s">
        <v>43</v>
      </c>
      <c r="AB1848" t="s">
        <v>43</v>
      </c>
      <c r="AC1848" t="s">
        <v>43</v>
      </c>
      <c r="AD1848" t="s">
        <v>43</v>
      </c>
      <c r="AE1848" t="s">
        <v>43</v>
      </c>
      <c r="AF1848" t="s">
        <v>43</v>
      </c>
      <c r="AG1848" t="s">
        <v>43</v>
      </c>
      <c r="AH1848" t="s">
        <v>43</v>
      </c>
      <c r="AI1848" t="s">
        <v>43</v>
      </c>
      <c r="AJ1848" t="s">
        <v>43</v>
      </c>
      <c r="AK1848" t="s">
        <v>43</v>
      </c>
      <c r="AL1848" t="s">
        <v>43</v>
      </c>
      <c r="AM1848" t="s">
        <v>43</v>
      </c>
      <c r="AN1848" t="s">
        <v>43</v>
      </c>
    </row>
    <row r="1849" spans="1:40" x14ac:dyDescent="0.3">
      <c r="A1849" s="1">
        <v>46210.785763888889</v>
      </c>
      <c r="B1849" t="s">
        <v>40</v>
      </c>
      <c r="C1849" t="s">
        <v>41</v>
      </c>
      <c r="D1849" s="1">
        <v>46210.788564814815</v>
      </c>
      <c r="E1849" t="s">
        <v>42</v>
      </c>
      <c r="F1849" t="s">
        <v>43</v>
      </c>
      <c r="G1849" t="s">
        <v>43</v>
      </c>
      <c r="H1849" t="s">
        <v>43</v>
      </c>
      <c r="I1849" t="s">
        <v>844</v>
      </c>
      <c r="J1849" t="s">
        <v>43</v>
      </c>
      <c r="K1849" t="s">
        <v>43</v>
      </c>
      <c r="L1849" t="s">
        <v>43</v>
      </c>
      <c r="M1849" t="s">
        <v>43</v>
      </c>
      <c r="N1849" t="s">
        <v>45</v>
      </c>
      <c r="O1849" t="s">
        <v>43</v>
      </c>
      <c r="P1849" t="s">
        <v>43</v>
      </c>
      <c r="Q1849" t="s">
        <v>43</v>
      </c>
      <c r="R1849" t="s">
        <v>43</v>
      </c>
      <c r="S1849">
        <v>0</v>
      </c>
      <c r="T1849">
        <v>-40</v>
      </c>
      <c r="U1849">
        <v>48</v>
      </c>
      <c r="V1849">
        <v>0</v>
      </c>
      <c r="W1849" t="s">
        <v>43</v>
      </c>
      <c r="X1849" t="s">
        <v>43</v>
      </c>
      <c r="Y1849" t="s">
        <v>43</v>
      </c>
      <c r="Z1849" t="s">
        <v>43</v>
      </c>
      <c r="AA1849" t="s">
        <v>43</v>
      </c>
      <c r="AB1849" t="s">
        <v>43</v>
      </c>
      <c r="AC1849" t="s">
        <v>43</v>
      </c>
      <c r="AD1849" t="s">
        <v>43</v>
      </c>
      <c r="AE1849" t="s">
        <v>43</v>
      </c>
      <c r="AF1849" t="s">
        <v>43</v>
      </c>
      <c r="AG1849" t="s">
        <v>43</v>
      </c>
      <c r="AH1849" t="s">
        <v>43</v>
      </c>
      <c r="AI1849" t="s">
        <v>43</v>
      </c>
      <c r="AJ1849" t="s">
        <v>43</v>
      </c>
      <c r="AK1849" t="s">
        <v>43</v>
      </c>
      <c r="AL1849" t="s">
        <v>43</v>
      </c>
      <c r="AM1849" t="s">
        <v>43</v>
      </c>
      <c r="AN1849" t="str">
        <f>HYPERLINK("https://www.google.com/maps?q=11.05587292,79.06413269","Open Location")</f>
        <v>Open Location</v>
      </c>
    </row>
    <row r="1850" spans="1:40" x14ac:dyDescent="0.3">
      <c r="A1850" s="1">
        <v>46210.78564814815</v>
      </c>
      <c r="B1850" t="s">
        <v>40</v>
      </c>
      <c r="C1850" t="s">
        <v>41</v>
      </c>
      <c r="D1850" s="1">
        <v>46210.788576388892</v>
      </c>
      <c r="E1850" t="s">
        <v>42</v>
      </c>
      <c r="F1850" t="s">
        <v>43</v>
      </c>
      <c r="G1850" t="s">
        <v>43</v>
      </c>
      <c r="H1850" t="s">
        <v>43</v>
      </c>
      <c r="I1850" t="s">
        <v>669</v>
      </c>
      <c r="J1850" t="s">
        <v>43</v>
      </c>
      <c r="K1850" t="s">
        <v>43</v>
      </c>
      <c r="L1850" t="s">
        <v>43</v>
      </c>
      <c r="M1850" t="s">
        <v>43</v>
      </c>
      <c r="N1850" t="s">
        <v>45</v>
      </c>
      <c r="O1850" t="s">
        <v>43</v>
      </c>
      <c r="P1850" t="s">
        <v>43</v>
      </c>
      <c r="Q1850" t="s">
        <v>43</v>
      </c>
      <c r="R1850" t="s">
        <v>43</v>
      </c>
      <c r="S1850">
        <v>0</v>
      </c>
      <c r="T1850">
        <v>-40</v>
      </c>
      <c r="U1850">
        <v>48</v>
      </c>
      <c r="V1850">
        <v>0</v>
      </c>
      <c r="W1850" t="s">
        <v>43</v>
      </c>
      <c r="X1850" t="s">
        <v>43</v>
      </c>
      <c r="Y1850" t="s">
        <v>43</v>
      </c>
      <c r="Z1850" t="s">
        <v>43</v>
      </c>
      <c r="AA1850" t="s">
        <v>43</v>
      </c>
      <c r="AB1850" t="s">
        <v>43</v>
      </c>
      <c r="AC1850" t="s">
        <v>43</v>
      </c>
      <c r="AD1850" t="s">
        <v>43</v>
      </c>
      <c r="AE1850" t="s">
        <v>43</v>
      </c>
      <c r="AF1850" t="s">
        <v>43</v>
      </c>
      <c r="AG1850" t="s">
        <v>43</v>
      </c>
      <c r="AH1850" t="s">
        <v>43</v>
      </c>
      <c r="AI1850" t="s">
        <v>43</v>
      </c>
      <c r="AJ1850" t="s">
        <v>43</v>
      </c>
      <c r="AK1850" t="s">
        <v>43</v>
      </c>
      <c r="AL1850" t="s">
        <v>43</v>
      </c>
      <c r="AM1850" t="s">
        <v>43</v>
      </c>
      <c r="AN1850" t="str">
        <f>HYPERLINK("https://www.google.com/maps?q=11.05587101,79.06413269","Open Location")</f>
        <v>Open Location</v>
      </c>
    </row>
    <row r="1851" spans="1:40" x14ac:dyDescent="0.3">
      <c r="A1851" s="1">
        <v>46210.785532407404</v>
      </c>
      <c r="B1851" t="s">
        <v>40</v>
      </c>
      <c r="C1851" t="s">
        <v>41</v>
      </c>
      <c r="D1851" s="1">
        <v>46210.788368055553</v>
      </c>
      <c r="E1851" t="s">
        <v>42</v>
      </c>
      <c r="F1851" t="s">
        <v>43</v>
      </c>
      <c r="G1851" t="s">
        <v>43</v>
      </c>
      <c r="H1851" t="s">
        <v>43</v>
      </c>
      <c r="I1851" t="s">
        <v>662</v>
      </c>
      <c r="J1851" t="s">
        <v>43</v>
      </c>
      <c r="K1851" t="s">
        <v>43</v>
      </c>
      <c r="L1851" t="s">
        <v>43</v>
      </c>
      <c r="M1851" t="s">
        <v>43</v>
      </c>
      <c r="N1851" t="s">
        <v>45</v>
      </c>
      <c r="O1851" t="s">
        <v>43</v>
      </c>
      <c r="P1851" t="s">
        <v>43</v>
      </c>
      <c r="Q1851" t="s">
        <v>43</v>
      </c>
      <c r="R1851" t="s">
        <v>43</v>
      </c>
      <c r="S1851">
        <v>0</v>
      </c>
      <c r="T1851">
        <v>-40</v>
      </c>
      <c r="U1851">
        <v>48</v>
      </c>
      <c r="V1851">
        <v>0</v>
      </c>
      <c r="W1851" t="s">
        <v>43</v>
      </c>
      <c r="X1851" t="s">
        <v>43</v>
      </c>
      <c r="Y1851" t="s">
        <v>43</v>
      </c>
      <c r="Z1851" t="s">
        <v>43</v>
      </c>
      <c r="AA1851" t="s">
        <v>43</v>
      </c>
      <c r="AB1851" t="s">
        <v>43</v>
      </c>
      <c r="AC1851" t="s">
        <v>43</v>
      </c>
      <c r="AD1851" t="s">
        <v>43</v>
      </c>
      <c r="AE1851" t="s">
        <v>43</v>
      </c>
      <c r="AF1851" t="s">
        <v>43</v>
      </c>
      <c r="AG1851" t="s">
        <v>43</v>
      </c>
      <c r="AH1851" t="s">
        <v>43</v>
      </c>
      <c r="AI1851" t="s">
        <v>43</v>
      </c>
      <c r="AJ1851" t="s">
        <v>43</v>
      </c>
      <c r="AK1851" t="s">
        <v>43</v>
      </c>
      <c r="AL1851" t="s">
        <v>43</v>
      </c>
      <c r="AM1851" t="s">
        <v>43</v>
      </c>
      <c r="AN1851" t="str">
        <f>HYPERLINK("https://www.google.com/maps?q=11.05587101,79.06412506","Open Location")</f>
        <v>Open Location</v>
      </c>
    </row>
    <row r="1852" spans="1:40" x14ac:dyDescent="0.3">
      <c r="A1852" s="1">
        <v>46210.785416666666</v>
      </c>
      <c r="B1852" t="s">
        <v>40</v>
      </c>
      <c r="C1852" t="s">
        <v>41</v>
      </c>
      <c r="D1852" s="1">
        <v>46210.788298611114</v>
      </c>
      <c r="E1852" t="s">
        <v>42</v>
      </c>
      <c r="F1852" t="s">
        <v>43</v>
      </c>
      <c r="G1852" t="s">
        <v>43</v>
      </c>
      <c r="H1852" t="s">
        <v>43</v>
      </c>
      <c r="I1852" t="s">
        <v>666</v>
      </c>
      <c r="J1852" t="s">
        <v>43</v>
      </c>
      <c r="K1852" t="s">
        <v>43</v>
      </c>
      <c r="L1852" t="s">
        <v>43</v>
      </c>
      <c r="M1852" t="s">
        <v>43</v>
      </c>
      <c r="N1852" t="s">
        <v>45</v>
      </c>
      <c r="O1852" t="s">
        <v>43</v>
      </c>
      <c r="P1852" t="s">
        <v>43</v>
      </c>
      <c r="Q1852" t="s">
        <v>43</v>
      </c>
      <c r="R1852" t="s">
        <v>43</v>
      </c>
      <c r="S1852">
        <v>0</v>
      </c>
      <c r="T1852">
        <v>-40</v>
      </c>
      <c r="U1852">
        <v>48</v>
      </c>
      <c r="V1852">
        <v>0</v>
      </c>
      <c r="W1852" t="s">
        <v>43</v>
      </c>
      <c r="X1852" t="s">
        <v>43</v>
      </c>
      <c r="Y1852" t="s">
        <v>43</v>
      </c>
      <c r="Z1852" t="s">
        <v>43</v>
      </c>
      <c r="AA1852" t="s">
        <v>43</v>
      </c>
      <c r="AB1852" t="s">
        <v>43</v>
      </c>
      <c r="AC1852" t="s">
        <v>43</v>
      </c>
      <c r="AD1852" t="s">
        <v>43</v>
      </c>
      <c r="AE1852" t="s">
        <v>43</v>
      </c>
      <c r="AF1852" t="s">
        <v>43</v>
      </c>
      <c r="AG1852" t="s">
        <v>43</v>
      </c>
      <c r="AH1852" t="s">
        <v>43</v>
      </c>
      <c r="AI1852" t="s">
        <v>43</v>
      </c>
      <c r="AJ1852" t="s">
        <v>43</v>
      </c>
      <c r="AK1852" t="s">
        <v>43</v>
      </c>
      <c r="AL1852" t="s">
        <v>43</v>
      </c>
      <c r="AM1852" t="s">
        <v>43</v>
      </c>
      <c r="AN1852" t="str">
        <f>HYPERLINK("https://www.google.com/maps?q=11.05587292,79.06412506","Open Location")</f>
        <v>Open Location</v>
      </c>
    </row>
    <row r="1853" spans="1:40" x14ac:dyDescent="0.3">
      <c r="A1853" s="1">
        <v>46210.785300925927</v>
      </c>
      <c r="B1853" t="s">
        <v>40</v>
      </c>
      <c r="C1853" t="s">
        <v>41</v>
      </c>
      <c r="D1853" s="1">
        <v>46210.788043981483</v>
      </c>
      <c r="E1853" t="s">
        <v>42</v>
      </c>
      <c r="F1853" t="s">
        <v>43</v>
      </c>
      <c r="G1853" t="s">
        <v>43</v>
      </c>
      <c r="H1853" t="s">
        <v>43</v>
      </c>
      <c r="I1853" t="s">
        <v>844</v>
      </c>
      <c r="J1853" t="s">
        <v>43</v>
      </c>
      <c r="K1853" t="s">
        <v>43</v>
      </c>
      <c r="L1853" t="s">
        <v>43</v>
      </c>
      <c r="M1853" t="s">
        <v>43</v>
      </c>
      <c r="N1853" t="s">
        <v>45</v>
      </c>
      <c r="O1853" t="s">
        <v>43</v>
      </c>
      <c r="P1853" t="s">
        <v>43</v>
      </c>
      <c r="Q1853" t="s">
        <v>43</v>
      </c>
      <c r="R1853" t="s">
        <v>43</v>
      </c>
      <c r="S1853">
        <v>0</v>
      </c>
      <c r="T1853">
        <v>-40</v>
      </c>
      <c r="U1853">
        <v>48</v>
      </c>
      <c r="V1853">
        <v>0</v>
      </c>
      <c r="W1853" t="s">
        <v>43</v>
      </c>
      <c r="X1853" t="s">
        <v>43</v>
      </c>
      <c r="Y1853" t="s">
        <v>43</v>
      </c>
      <c r="Z1853" t="s">
        <v>43</v>
      </c>
      <c r="AA1853" t="s">
        <v>43</v>
      </c>
      <c r="AB1853" t="s">
        <v>43</v>
      </c>
      <c r="AC1853" t="s">
        <v>43</v>
      </c>
      <c r="AD1853" t="s">
        <v>43</v>
      </c>
      <c r="AE1853" t="s">
        <v>43</v>
      </c>
      <c r="AF1853" t="s">
        <v>43</v>
      </c>
      <c r="AG1853" t="s">
        <v>43</v>
      </c>
      <c r="AH1853" t="s">
        <v>43</v>
      </c>
      <c r="AI1853" t="s">
        <v>43</v>
      </c>
      <c r="AJ1853" t="s">
        <v>43</v>
      </c>
      <c r="AK1853" t="s">
        <v>43</v>
      </c>
      <c r="AL1853" t="s">
        <v>43</v>
      </c>
      <c r="AM1853" t="s">
        <v>43</v>
      </c>
      <c r="AN1853" t="str">
        <f>HYPERLINK("https://www.google.com/maps?q=11.05587292,79.06413269","Open Location")</f>
        <v>Open Location</v>
      </c>
    </row>
    <row r="1854" spans="1:40" x14ac:dyDescent="0.3">
      <c r="A1854" s="1">
        <v>46210.785185185188</v>
      </c>
      <c r="B1854" t="s">
        <v>40</v>
      </c>
      <c r="C1854" t="s">
        <v>41</v>
      </c>
      <c r="D1854" s="1">
        <v>46210.788043981483</v>
      </c>
      <c r="E1854" t="s">
        <v>42</v>
      </c>
      <c r="F1854" t="s">
        <v>43</v>
      </c>
      <c r="G1854" t="s">
        <v>43</v>
      </c>
      <c r="H1854" t="s">
        <v>43</v>
      </c>
      <c r="I1854" t="s">
        <v>43</v>
      </c>
      <c r="J1854" t="s">
        <v>43</v>
      </c>
      <c r="K1854" t="s">
        <v>43</v>
      </c>
      <c r="L1854" t="s">
        <v>43</v>
      </c>
      <c r="M1854" t="s">
        <v>43</v>
      </c>
      <c r="N1854" t="s">
        <v>45</v>
      </c>
      <c r="O1854" t="s">
        <v>43</v>
      </c>
      <c r="P1854" t="s">
        <v>43</v>
      </c>
      <c r="Q1854" t="s">
        <v>43</v>
      </c>
      <c r="R1854" t="s">
        <v>43</v>
      </c>
      <c r="S1854">
        <v>0</v>
      </c>
      <c r="T1854">
        <v>-40</v>
      </c>
      <c r="U1854">
        <v>48</v>
      </c>
      <c r="V1854">
        <v>0</v>
      </c>
      <c r="W1854" t="s">
        <v>43</v>
      </c>
      <c r="X1854" t="s">
        <v>43</v>
      </c>
      <c r="Y1854" t="s">
        <v>43</v>
      </c>
      <c r="Z1854" t="s">
        <v>43</v>
      </c>
      <c r="AA1854" t="s">
        <v>43</v>
      </c>
      <c r="AB1854" t="s">
        <v>43</v>
      </c>
      <c r="AC1854" t="s">
        <v>43</v>
      </c>
      <c r="AD1854" t="s">
        <v>43</v>
      </c>
      <c r="AE1854" t="s">
        <v>43</v>
      </c>
      <c r="AF1854" t="s">
        <v>43</v>
      </c>
      <c r="AG1854" t="s">
        <v>43</v>
      </c>
      <c r="AH1854" t="s">
        <v>43</v>
      </c>
      <c r="AI1854" t="s">
        <v>43</v>
      </c>
      <c r="AJ1854" t="s">
        <v>43</v>
      </c>
      <c r="AK1854" t="s">
        <v>43</v>
      </c>
      <c r="AL1854" t="s">
        <v>43</v>
      </c>
      <c r="AM1854" t="s">
        <v>43</v>
      </c>
      <c r="AN1854" t="s">
        <v>43</v>
      </c>
    </row>
    <row r="1855" spans="1:40" x14ac:dyDescent="0.3">
      <c r="A1855" s="1">
        <v>46210.785069444442</v>
      </c>
      <c r="B1855" t="s">
        <v>40</v>
      </c>
      <c r="C1855" t="s">
        <v>41</v>
      </c>
      <c r="D1855" s="1">
        <v>46210.787870370368</v>
      </c>
      <c r="E1855" t="s">
        <v>42</v>
      </c>
      <c r="F1855" t="s">
        <v>43</v>
      </c>
      <c r="G1855">
        <v>0</v>
      </c>
      <c r="H1855" t="s">
        <v>43</v>
      </c>
      <c r="I1855" t="s">
        <v>844</v>
      </c>
      <c r="J1855">
        <v>37</v>
      </c>
      <c r="K1855">
        <v>6</v>
      </c>
      <c r="L1855">
        <v>98</v>
      </c>
      <c r="M1855">
        <v>628.09997558999999</v>
      </c>
      <c r="N1855" t="s">
        <v>81</v>
      </c>
      <c r="O1855" t="s">
        <v>43</v>
      </c>
      <c r="P1855">
        <v>125</v>
      </c>
      <c r="Q1855" t="s">
        <v>82</v>
      </c>
      <c r="R1855">
        <v>0</v>
      </c>
      <c r="S1855">
        <v>0</v>
      </c>
      <c r="T1855">
        <v>-40</v>
      </c>
      <c r="U1855">
        <v>48</v>
      </c>
      <c r="V1855">
        <v>0</v>
      </c>
      <c r="W1855">
        <v>28</v>
      </c>
      <c r="X1855">
        <v>28</v>
      </c>
      <c r="Y1855">
        <v>1</v>
      </c>
      <c r="Z1855">
        <v>7</v>
      </c>
      <c r="AA1855">
        <v>24</v>
      </c>
      <c r="AB1855">
        <v>2</v>
      </c>
      <c r="AC1855">
        <v>5</v>
      </c>
      <c r="AD1855">
        <v>3.27699995</v>
      </c>
      <c r="AE1855">
        <v>1</v>
      </c>
      <c r="AF1855">
        <v>1</v>
      </c>
      <c r="AG1855">
        <v>3.2720000699999998</v>
      </c>
      <c r="AH1855">
        <v>2</v>
      </c>
      <c r="AI1855">
        <v>46</v>
      </c>
      <c r="AJ1855">
        <v>1</v>
      </c>
      <c r="AK1855">
        <v>18</v>
      </c>
      <c r="AL1855">
        <v>49</v>
      </c>
      <c r="AM1855" t="s">
        <v>43</v>
      </c>
      <c r="AN1855" t="str">
        <f>HYPERLINK("https://www.google.com/maps?q=11.05587292,79.06413269","Open Location")</f>
        <v>Open Location</v>
      </c>
    </row>
    <row r="1856" spans="1:40" x14ac:dyDescent="0.3">
      <c r="A1856" s="1">
        <v>46210.784953703704</v>
      </c>
      <c r="B1856" t="s">
        <v>40</v>
      </c>
      <c r="C1856" t="s">
        <v>41</v>
      </c>
      <c r="D1856" s="1">
        <v>46210.788148148145</v>
      </c>
      <c r="E1856" t="s">
        <v>42</v>
      </c>
      <c r="F1856" t="s">
        <v>83</v>
      </c>
      <c r="G1856">
        <v>0</v>
      </c>
      <c r="H1856">
        <v>33205</v>
      </c>
      <c r="I1856" t="s">
        <v>669</v>
      </c>
      <c r="J1856">
        <v>37</v>
      </c>
      <c r="K1856">
        <v>2</v>
      </c>
      <c r="L1856">
        <v>98</v>
      </c>
      <c r="M1856">
        <v>628</v>
      </c>
      <c r="N1856" t="s">
        <v>85</v>
      </c>
      <c r="O1856" t="s">
        <v>86</v>
      </c>
      <c r="P1856">
        <v>127</v>
      </c>
      <c r="Q1856">
        <v>2</v>
      </c>
      <c r="R1856">
        <v>-1</v>
      </c>
      <c r="S1856">
        <v>0</v>
      </c>
      <c r="T1856">
        <v>-40</v>
      </c>
      <c r="U1856">
        <v>49</v>
      </c>
      <c r="V1856">
        <v>5</v>
      </c>
      <c r="W1856">
        <v>28</v>
      </c>
      <c r="X1856">
        <v>28</v>
      </c>
      <c r="Y1856">
        <v>1</v>
      </c>
      <c r="Z1856">
        <v>7</v>
      </c>
      <c r="AA1856">
        <v>24</v>
      </c>
      <c r="AB1856">
        <v>2</v>
      </c>
      <c r="AC1856">
        <v>5</v>
      </c>
      <c r="AD1856" t="s">
        <v>43</v>
      </c>
      <c r="AE1856" t="s">
        <v>43</v>
      </c>
      <c r="AF1856" t="s">
        <v>43</v>
      </c>
      <c r="AG1856" t="s">
        <v>43</v>
      </c>
      <c r="AH1856" t="s">
        <v>43</v>
      </c>
      <c r="AI1856" t="s">
        <v>43</v>
      </c>
      <c r="AJ1856" t="s">
        <v>43</v>
      </c>
      <c r="AK1856">
        <v>19</v>
      </c>
      <c r="AL1856">
        <v>49</v>
      </c>
      <c r="AM1856" t="s">
        <v>43</v>
      </c>
      <c r="AN1856" t="str">
        <f>HYPERLINK("https://www.google.com/maps?q=11.05587101,79.06413269","Open Location")</f>
        <v>Open Location</v>
      </c>
    </row>
    <row r="1857" spans="1:40" x14ac:dyDescent="0.3">
      <c r="A1857" s="1">
        <v>46210.784837962965</v>
      </c>
      <c r="B1857" t="s">
        <v>40</v>
      </c>
      <c r="C1857" t="s">
        <v>41</v>
      </c>
      <c r="D1857" s="1">
        <v>46210.787465277775</v>
      </c>
      <c r="E1857" t="s">
        <v>42</v>
      </c>
      <c r="F1857" t="s">
        <v>83</v>
      </c>
      <c r="G1857">
        <v>0</v>
      </c>
      <c r="H1857">
        <v>33205</v>
      </c>
      <c r="I1857" t="s">
        <v>767</v>
      </c>
      <c r="J1857">
        <v>37</v>
      </c>
      <c r="K1857">
        <v>2</v>
      </c>
      <c r="L1857">
        <v>98</v>
      </c>
      <c r="M1857">
        <v>628.29998779000005</v>
      </c>
      <c r="N1857" t="s">
        <v>85</v>
      </c>
      <c r="O1857" t="s">
        <v>82</v>
      </c>
      <c r="P1857">
        <v>125</v>
      </c>
      <c r="Q1857" t="s">
        <v>82</v>
      </c>
      <c r="R1857">
        <v>0</v>
      </c>
      <c r="S1857">
        <v>14</v>
      </c>
      <c r="T1857">
        <v>-40</v>
      </c>
      <c r="U1857">
        <v>49</v>
      </c>
      <c r="V1857">
        <v>0</v>
      </c>
      <c r="W1857">
        <v>28</v>
      </c>
      <c r="X1857">
        <v>28</v>
      </c>
      <c r="Y1857">
        <v>1</v>
      </c>
      <c r="Z1857">
        <v>7</v>
      </c>
      <c r="AA1857">
        <v>24</v>
      </c>
      <c r="AB1857">
        <v>2</v>
      </c>
      <c r="AC1857">
        <v>5</v>
      </c>
      <c r="AD1857">
        <v>3.2760000200000001</v>
      </c>
      <c r="AE1857">
        <v>1</v>
      </c>
      <c r="AF1857">
        <v>16</v>
      </c>
      <c r="AG1857">
        <v>3.2699999800000001</v>
      </c>
      <c r="AH1857">
        <v>4</v>
      </c>
      <c r="AI1857">
        <v>24</v>
      </c>
      <c r="AJ1857">
        <v>1</v>
      </c>
      <c r="AK1857">
        <v>18</v>
      </c>
      <c r="AL1857">
        <v>49</v>
      </c>
      <c r="AM1857" t="s">
        <v>43</v>
      </c>
      <c r="AN1857" t="str">
        <f>HYPERLINK("https://www.google.com/maps?q=11.0558691,79.06415558","Open Location")</f>
        <v>Open Location</v>
      </c>
    </row>
    <row r="1858" spans="1:40" x14ac:dyDescent="0.3">
      <c r="A1858" s="1">
        <v>46210.784722222219</v>
      </c>
      <c r="B1858" t="s">
        <v>40</v>
      </c>
      <c r="C1858" t="s">
        <v>41</v>
      </c>
      <c r="D1858" s="1">
        <v>46210.787719907406</v>
      </c>
      <c r="E1858" t="s">
        <v>42</v>
      </c>
      <c r="F1858" t="s">
        <v>83</v>
      </c>
      <c r="G1858">
        <v>6</v>
      </c>
      <c r="H1858">
        <v>33205</v>
      </c>
      <c r="I1858" t="s">
        <v>845</v>
      </c>
      <c r="J1858">
        <v>37</v>
      </c>
      <c r="K1858">
        <v>65</v>
      </c>
      <c r="L1858">
        <v>98</v>
      </c>
      <c r="M1858">
        <v>625.40002441000001</v>
      </c>
      <c r="N1858" t="s">
        <v>87</v>
      </c>
      <c r="O1858" t="s">
        <v>86</v>
      </c>
      <c r="P1858">
        <v>128</v>
      </c>
      <c r="Q1858">
        <v>3</v>
      </c>
      <c r="R1858">
        <v>0</v>
      </c>
      <c r="S1858">
        <v>1121</v>
      </c>
      <c r="T1858">
        <v>-40</v>
      </c>
      <c r="U1858">
        <v>50</v>
      </c>
      <c r="V1858">
        <v>320</v>
      </c>
      <c r="W1858">
        <v>28</v>
      </c>
      <c r="X1858">
        <v>28</v>
      </c>
      <c r="Y1858">
        <v>1</v>
      </c>
      <c r="Z1858">
        <v>7</v>
      </c>
      <c r="AA1858">
        <v>24</v>
      </c>
      <c r="AB1858">
        <v>2</v>
      </c>
      <c r="AC1858">
        <v>5</v>
      </c>
      <c r="AD1858">
        <v>3.2669999600000001</v>
      </c>
      <c r="AE1858">
        <v>1</v>
      </c>
      <c r="AF1858">
        <v>1</v>
      </c>
      <c r="AG1858">
        <v>3.25900006</v>
      </c>
      <c r="AH1858">
        <v>4</v>
      </c>
      <c r="AI1858">
        <v>17</v>
      </c>
      <c r="AJ1858">
        <v>1</v>
      </c>
      <c r="AK1858">
        <v>17</v>
      </c>
      <c r="AL1858">
        <v>49</v>
      </c>
      <c r="AM1858" t="s">
        <v>43</v>
      </c>
      <c r="AN1858" t="str">
        <f>HYPERLINK("https://www.google.com/maps?q=11.05582523,79.06434631","Open Location")</f>
        <v>Open Location</v>
      </c>
    </row>
    <row r="1859" spans="1:40" x14ac:dyDescent="0.3">
      <c r="A1859" s="1">
        <v>46210.78460648148</v>
      </c>
      <c r="B1859" t="s">
        <v>40</v>
      </c>
      <c r="C1859" t="s">
        <v>41</v>
      </c>
      <c r="D1859" s="1">
        <v>46210.787673611114</v>
      </c>
      <c r="E1859" t="s">
        <v>42</v>
      </c>
      <c r="F1859" t="s">
        <v>83</v>
      </c>
      <c r="G1859">
        <v>10</v>
      </c>
      <c r="H1859">
        <v>33205</v>
      </c>
      <c r="I1859" t="s">
        <v>846</v>
      </c>
      <c r="J1859">
        <v>37</v>
      </c>
      <c r="K1859">
        <v>47</v>
      </c>
      <c r="L1859">
        <v>98</v>
      </c>
      <c r="M1859">
        <v>625.70001220999995</v>
      </c>
      <c r="N1859" t="s">
        <v>87</v>
      </c>
      <c r="O1859" t="s">
        <v>86</v>
      </c>
      <c r="P1859">
        <v>128</v>
      </c>
      <c r="Q1859">
        <v>3</v>
      </c>
      <c r="R1859">
        <v>26</v>
      </c>
      <c r="S1859">
        <v>1203</v>
      </c>
      <c r="T1859">
        <v>-40</v>
      </c>
      <c r="U1859">
        <v>50</v>
      </c>
      <c r="V1859">
        <v>180</v>
      </c>
      <c r="W1859">
        <v>28</v>
      </c>
      <c r="X1859">
        <v>28</v>
      </c>
      <c r="Y1859">
        <v>1</v>
      </c>
      <c r="Z1859">
        <v>7</v>
      </c>
      <c r="AA1859">
        <v>24</v>
      </c>
      <c r="AB1859">
        <v>2</v>
      </c>
      <c r="AC1859">
        <v>5</v>
      </c>
      <c r="AD1859">
        <v>3.2660000299999998</v>
      </c>
      <c r="AE1859">
        <v>1</v>
      </c>
      <c r="AF1859">
        <v>1</v>
      </c>
      <c r="AG1859">
        <v>3.2569999699999999</v>
      </c>
      <c r="AH1859">
        <v>4</v>
      </c>
      <c r="AI1859">
        <v>24</v>
      </c>
      <c r="AJ1859">
        <v>1</v>
      </c>
      <c r="AK1859">
        <v>17</v>
      </c>
      <c r="AL1859">
        <v>49</v>
      </c>
      <c r="AM1859" t="s">
        <v>43</v>
      </c>
      <c r="AN1859" t="str">
        <f>HYPERLINK("https://www.google.com/maps?q=11.05609226,79.06434631","Open Location")</f>
        <v>Open Location</v>
      </c>
    </row>
    <row r="1860" spans="1:40" x14ac:dyDescent="0.3">
      <c r="A1860" s="1">
        <v>46210.784490740742</v>
      </c>
      <c r="B1860" t="s">
        <v>40</v>
      </c>
      <c r="C1860" t="s">
        <v>41</v>
      </c>
      <c r="D1860" s="1">
        <v>46210.787673611114</v>
      </c>
      <c r="E1860" t="s">
        <v>42</v>
      </c>
      <c r="F1860" t="s">
        <v>83</v>
      </c>
      <c r="G1860">
        <v>9</v>
      </c>
      <c r="H1860">
        <v>33205</v>
      </c>
      <c r="I1860" t="s">
        <v>43</v>
      </c>
      <c r="J1860">
        <v>37</v>
      </c>
      <c r="K1860">
        <v>94</v>
      </c>
      <c r="L1860">
        <v>98</v>
      </c>
      <c r="M1860">
        <v>624.09997558999999</v>
      </c>
      <c r="N1860" t="s">
        <v>87</v>
      </c>
      <c r="O1860" t="s">
        <v>86</v>
      </c>
      <c r="P1860">
        <v>128</v>
      </c>
      <c r="Q1860">
        <v>3</v>
      </c>
      <c r="R1860">
        <v>34</v>
      </c>
      <c r="S1860">
        <v>1660</v>
      </c>
      <c r="T1860">
        <v>-40</v>
      </c>
      <c r="U1860">
        <v>50</v>
      </c>
      <c r="V1860">
        <v>300</v>
      </c>
      <c r="W1860">
        <v>28</v>
      </c>
      <c r="X1860">
        <v>28</v>
      </c>
      <c r="Y1860">
        <v>1</v>
      </c>
      <c r="Z1860">
        <v>7</v>
      </c>
      <c r="AA1860">
        <v>24</v>
      </c>
      <c r="AB1860">
        <v>2</v>
      </c>
      <c r="AC1860">
        <v>5</v>
      </c>
      <c r="AD1860">
        <v>3.2669999600000001</v>
      </c>
      <c r="AE1860">
        <v>1</v>
      </c>
      <c r="AF1860">
        <v>1</v>
      </c>
      <c r="AG1860">
        <v>3.2579999000000002</v>
      </c>
      <c r="AH1860">
        <v>4</v>
      </c>
      <c r="AI1860">
        <v>24</v>
      </c>
      <c r="AJ1860">
        <v>1</v>
      </c>
      <c r="AK1860">
        <v>17</v>
      </c>
      <c r="AL1860">
        <v>49</v>
      </c>
      <c r="AM1860" t="s">
        <v>43</v>
      </c>
      <c r="AN1860" t="s">
        <v>43</v>
      </c>
    </row>
    <row r="1861" spans="1:40" x14ac:dyDescent="0.3">
      <c r="A1861" s="1">
        <v>46210.784375000003</v>
      </c>
      <c r="B1861" t="s">
        <v>40</v>
      </c>
      <c r="C1861" t="s">
        <v>41</v>
      </c>
      <c r="D1861" s="1">
        <v>46210.78707175926</v>
      </c>
      <c r="E1861" t="s">
        <v>42</v>
      </c>
      <c r="F1861" t="s">
        <v>83</v>
      </c>
      <c r="G1861">
        <v>8</v>
      </c>
      <c r="H1861">
        <v>33205</v>
      </c>
      <c r="I1861" t="s">
        <v>847</v>
      </c>
      <c r="J1861">
        <v>37</v>
      </c>
      <c r="K1861">
        <v>94</v>
      </c>
      <c r="L1861">
        <v>98</v>
      </c>
      <c r="M1861">
        <v>625</v>
      </c>
      <c r="N1861" t="s">
        <v>87</v>
      </c>
      <c r="O1861" t="s">
        <v>86</v>
      </c>
      <c r="P1861">
        <v>127</v>
      </c>
      <c r="Q1861">
        <v>2</v>
      </c>
      <c r="R1861">
        <v>44</v>
      </c>
      <c r="S1861">
        <v>991</v>
      </c>
      <c r="T1861">
        <v>-40</v>
      </c>
      <c r="U1861">
        <v>51</v>
      </c>
      <c r="V1861">
        <v>545</v>
      </c>
      <c r="W1861">
        <v>28</v>
      </c>
      <c r="X1861">
        <v>28</v>
      </c>
      <c r="Y1861">
        <v>1</v>
      </c>
      <c r="Z1861">
        <v>7</v>
      </c>
      <c r="AA1861">
        <v>24</v>
      </c>
      <c r="AB1861">
        <v>2</v>
      </c>
      <c r="AC1861">
        <v>5</v>
      </c>
      <c r="AD1861">
        <v>3.2750001000000002</v>
      </c>
      <c r="AE1861">
        <v>1</v>
      </c>
      <c r="AF1861">
        <v>1</v>
      </c>
      <c r="AG1861">
        <v>3.26799989</v>
      </c>
      <c r="AH1861">
        <v>4</v>
      </c>
      <c r="AI1861">
        <v>24</v>
      </c>
      <c r="AJ1861">
        <v>1</v>
      </c>
      <c r="AK1861">
        <v>17</v>
      </c>
      <c r="AL1861">
        <v>49</v>
      </c>
      <c r="AM1861" t="s">
        <v>43</v>
      </c>
      <c r="AN1861" t="str">
        <f>HYPERLINK("https://www.google.com/maps?q=11.05612278,79.06410217","Open Location")</f>
        <v>Open Location</v>
      </c>
    </row>
    <row r="1862" spans="1:40" x14ac:dyDescent="0.3">
      <c r="A1862" s="1">
        <v>46210.784259259257</v>
      </c>
      <c r="B1862" t="s">
        <v>40</v>
      </c>
      <c r="C1862" t="s">
        <v>41</v>
      </c>
      <c r="D1862" s="1">
        <v>46210.787048611113</v>
      </c>
      <c r="E1862" t="s">
        <v>42</v>
      </c>
      <c r="F1862" t="s">
        <v>83</v>
      </c>
      <c r="G1862">
        <v>0</v>
      </c>
      <c r="H1862">
        <v>33205</v>
      </c>
      <c r="I1862" t="s">
        <v>848</v>
      </c>
      <c r="J1862">
        <v>37</v>
      </c>
      <c r="K1862">
        <v>2</v>
      </c>
      <c r="L1862">
        <v>98</v>
      </c>
      <c r="M1862">
        <v>629.20001220999995</v>
      </c>
      <c r="N1862" t="s">
        <v>85</v>
      </c>
      <c r="O1862" t="s">
        <v>82</v>
      </c>
      <c r="P1862">
        <v>125</v>
      </c>
      <c r="Q1862" t="s">
        <v>82</v>
      </c>
      <c r="R1862">
        <v>0</v>
      </c>
      <c r="S1862">
        <v>0</v>
      </c>
      <c r="T1862">
        <v>-40</v>
      </c>
      <c r="U1862">
        <v>48</v>
      </c>
      <c r="V1862">
        <v>0</v>
      </c>
      <c r="W1862">
        <v>28</v>
      </c>
      <c r="X1862">
        <v>28</v>
      </c>
      <c r="Y1862">
        <v>1</v>
      </c>
      <c r="Z1862">
        <v>7</v>
      </c>
      <c r="AA1862">
        <v>24</v>
      </c>
      <c r="AB1862">
        <v>2</v>
      </c>
      <c r="AC1862">
        <v>5</v>
      </c>
      <c r="AD1862" t="s">
        <v>43</v>
      </c>
      <c r="AE1862" t="s">
        <v>43</v>
      </c>
      <c r="AF1862" t="s">
        <v>43</v>
      </c>
      <c r="AG1862" t="s">
        <v>43</v>
      </c>
      <c r="AH1862" t="s">
        <v>43</v>
      </c>
      <c r="AI1862" t="s">
        <v>43</v>
      </c>
      <c r="AJ1862" t="s">
        <v>43</v>
      </c>
      <c r="AK1862" t="s">
        <v>43</v>
      </c>
      <c r="AL1862">
        <v>49</v>
      </c>
      <c r="AM1862" t="s">
        <v>43</v>
      </c>
      <c r="AN1862" t="str">
        <f>HYPERLINK("https://www.google.com/maps?q=11.05610085,79.06404877","Open Location")</f>
        <v>Open Location</v>
      </c>
    </row>
    <row r="1863" spans="1:40" x14ac:dyDescent="0.3">
      <c r="A1863" s="1">
        <v>46210.784143518518</v>
      </c>
      <c r="B1863" t="s">
        <v>40</v>
      </c>
      <c r="C1863" t="s">
        <v>41</v>
      </c>
      <c r="D1863" s="1">
        <v>46210.786840277775</v>
      </c>
      <c r="E1863" t="s">
        <v>42</v>
      </c>
      <c r="F1863" t="s">
        <v>83</v>
      </c>
      <c r="G1863">
        <v>0</v>
      </c>
      <c r="H1863" t="s">
        <v>43</v>
      </c>
      <c r="I1863" t="s">
        <v>849</v>
      </c>
      <c r="J1863">
        <v>37</v>
      </c>
      <c r="K1863">
        <v>2</v>
      </c>
      <c r="L1863">
        <v>98</v>
      </c>
      <c r="M1863">
        <v>628.70001220999995</v>
      </c>
      <c r="N1863" t="s">
        <v>85</v>
      </c>
      <c r="O1863" t="s">
        <v>82</v>
      </c>
      <c r="P1863">
        <v>125</v>
      </c>
      <c r="Q1863" t="s">
        <v>82</v>
      </c>
      <c r="R1863">
        <v>0</v>
      </c>
      <c r="S1863">
        <v>0</v>
      </c>
      <c r="T1863">
        <v>-40</v>
      </c>
      <c r="U1863">
        <v>48</v>
      </c>
      <c r="V1863">
        <v>0</v>
      </c>
      <c r="W1863">
        <v>28</v>
      </c>
      <c r="X1863">
        <v>28</v>
      </c>
      <c r="Y1863">
        <v>1</v>
      </c>
      <c r="Z1863">
        <v>7</v>
      </c>
      <c r="AA1863">
        <v>24</v>
      </c>
      <c r="AB1863">
        <v>2</v>
      </c>
      <c r="AC1863">
        <v>5</v>
      </c>
      <c r="AD1863">
        <v>3.2809998999999999</v>
      </c>
      <c r="AE1863">
        <v>1</v>
      </c>
      <c r="AF1863">
        <v>1</v>
      </c>
      <c r="AG1863">
        <v>3.27699995</v>
      </c>
      <c r="AH1863">
        <v>2</v>
      </c>
      <c r="AI1863">
        <v>6</v>
      </c>
      <c r="AJ1863">
        <v>1</v>
      </c>
      <c r="AK1863">
        <v>17</v>
      </c>
      <c r="AL1863">
        <v>49</v>
      </c>
      <c r="AM1863" t="s">
        <v>43</v>
      </c>
      <c r="AN1863" t="str">
        <f>HYPERLINK("https://www.google.com/maps?q=11.05610085,79.06404114","Open Location")</f>
        <v>Open Location</v>
      </c>
    </row>
    <row r="1864" spans="1:40" x14ac:dyDescent="0.3">
      <c r="A1864" s="1">
        <v>46210.78402777778</v>
      </c>
      <c r="B1864" t="s">
        <v>40</v>
      </c>
      <c r="C1864" t="s">
        <v>41</v>
      </c>
      <c r="D1864" s="1">
        <v>46210.786851851852</v>
      </c>
      <c r="E1864" t="s">
        <v>42</v>
      </c>
      <c r="F1864" t="s">
        <v>83</v>
      </c>
      <c r="G1864">
        <v>0</v>
      </c>
      <c r="H1864">
        <v>33205</v>
      </c>
      <c r="I1864" t="s">
        <v>850</v>
      </c>
      <c r="J1864">
        <v>37</v>
      </c>
      <c r="K1864">
        <v>2</v>
      </c>
      <c r="L1864">
        <v>98</v>
      </c>
      <c r="M1864">
        <v>628.59997558999999</v>
      </c>
      <c r="N1864" t="s">
        <v>85</v>
      </c>
      <c r="O1864" t="s">
        <v>82</v>
      </c>
      <c r="P1864">
        <v>125</v>
      </c>
      <c r="Q1864" t="s">
        <v>82</v>
      </c>
      <c r="R1864">
        <v>0</v>
      </c>
      <c r="S1864">
        <v>0</v>
      </c>
      <c r="T1864">
        <v>-40</v>
      </c>
      <c r="U1864">
        <v>48</v>
      </c>
      <c r="V1864">
        <v>0</v>
      </c>
      <c r="W1864">
        <v>28</v>
      </c>
      <c r="X1864">
        <v>28</v>
      </c>
      <c r="Y1864">
        <v>1</v>
      </c>
      <c r="Z1864">
        <v>7</v>
      </c>
      <c r="AA1864">
        <v>24</v>
      </c>
      <c r="AB1864">
        <v>2</v>
      </c>
      <c r="AC1864">
        <v>5</v>
      </c>
      <c r="AD1864">
        <v>3.2809998999999999</v>
      </c>
      <c r="AE1864">
        <v>1</v>
      </c>
      <c r="AF1864">
        <v>1</v>
      </c>
      <c r="AG1864">
        <v>3.2760000200000001</v>
      </c>
      <c r="AH1864">
        <v>6</v>
      </c>
      <c r="AI1864">
        <v>24</v>
      </c>
      <c r="AJ1864">
        <v>1</v>
      </c>
      <c r="AK1864">
        <v>17</v>
      </c>
      <c r="AL1864">
        <v>49</v>
      </c>
      <c r="AM1864" t="s">
        <v>43</v>
      </c>
      <c r="AN1864" t="str">
        <f>HYPERLINK("https://www.google.com/maps?q=11.05609989,79.06403351","Open Location")</f>
        <v>Open Location</v>
      </c>
    </row>
    <row r="1865" spans="1:40" x14ac:dyDescent="0.3">
      <c r="A1865" s="1">
        <v>46210.783912037034</v>
      </c>
      <c r="B1865" t="s">
        <v>40</v>
      </c>
      <c r="C1865" t="s">
        <v>41</v>
      </c>
      <c r="D1865" s="1">
        <v>46210.786851851852</v>
      </c>
      <c r="E1865" t="s">
        <v>42</v>
      </c>
      <c r="F1865" t="s">
        <v>83</v>
      </c>
      <c r="G1865">
        <v>0</v>
      </c>
      <c r="H1865">
        <v>33205</v>
      </c>
      <c r="I1865" t="s">
        <v>43</v>
      </c>
      <c r="J1865">
        <v>37</v>
      </c>
      <c r="K1865">
        <v>2</v>
      </c>
      <c r="L1865">
        <v>98</v>
      </c>
      <c r="M1865">
        <v>629</v>
      </c>
      <c r="N1865" t="s">
        <v>85</v>
      </c>
      <c r="O1865" t="s">
        <v>82</v>
      </c>
      <c r="P1865">
        <v>125</v>
      </c>
      <c r="Q1865" t="s">
        <v>82</v>
      </c>
      <c r="R1865">
        <v>0</v>
      </c>
      <c r="S1865">
        <v>0</v>
      </c>
      <c r="T1865">
        <v>-40</v>
      </c>
      <c r="U1865">
        <v>48</v>
      </c>
      <c r="V1865">
        <v>0</v>
      </c>
      <c r="W1865">
        <v>28</v>
      </c>
      <c r="X1865">
        <v>28</v>
      </c>
      <c r="Y1865">
        <v>1</v>
      </c>
      <c r="Z1865">
        <v>7</v>
      </c>
      <c r="AA1865">
        <v>24</v>
      </c>
      <c r="AB1865">
        <v>2</v>
      </c>
      <c r="AC1865">
        <v>5</v>
      </c>
      <c r="AD1865">
        <v>3.2809998999999999</v>
      </c>
      <c r="AE1865">
        <v>1</v>
      </c>
      <c r="AF1865">
        <v>1</v>
      </c>
      <c r="AG1865">
        <v>3.2760000200000001</v>
      </c>
      <c r="AH1865">
        <v>4</v>
      </c>
      <c r="AI1865">
        <v>24</v>
      </c>
      <c r="AJ1865">
        <v>1</v>
      </c>
      <c r="AK1865">
        <v>17</v>
      </c>
      <c r="AL1865">
        <v>49</v>
      </c>
      <c r="AM1865" t="s">
        <v>43</v>
      </c>
      <c r="AN1865" t="s">
        <v>43</v>
      </c>
    </row>
    <row r="1866" spans="1:40" x14ac:dyDescent="0.3">
      <c r="A1866" s="1">
        <v>46210.783796296295</v>
      </c>
      <c r="B1866" t="s">
        <v>40</v>
      </c>
      <c r="C1866" t="s">
        <v>41</v>
      </c>
      <c r="D1866" s="1">
        <v>46210.786851851852</v>
      </c>
      <c r="E1866" t="s">
        <v>42</v>
      </c>
      <c r="F1866" t="s">
        <v>83</v>
      </c>
      <c r="G1866">
        <v>0</v>
      </c>
      <c r="H1866">
        <v>33205</v>
      </c>
      <c r="I1866" t="s">
        <v>851</v>
      </c>
      <c r="J1866">
        <v>37</v>
      </c>
      <c r="K1866">
        <v>2</v>
      </c>
      <c r="L1866">
        <v>98</v>
      </c>
      <c r="M1866">
        <v>629.09997558999999</v>
      </c>
      <c r="N1866" t="s">
        <v>85</v>
      </c>
      <c r="O1866" t="s">
        <v>82</v>
      </c>
      <c r="P1866">
        <v>125</v>
      </c>
      <c r="Q1866" t="s">
        <v>82</v>
      </c>
      <c r="R1866">
        <v>0</v>
      </c>
      <c r="S1866">
        <v>0</v>
      </c>
      <c r="T1866">
        <v>-40</v>
      </c>
      <c r="U1866">
        <v>48</v>
      </c>
      <c r="V1866">
        <v>0</v>
      </c>
      <c r="W1866">
        <v>28</v>
      </c>
      <c r="X1866">
        <v>28</v>
      </c>
      <c r="Y1866">
        <v>1</v>
      </c>
      <c r="Z1866">
        <v>7</v>
      </c>
      <c r="AA1866">
        <v>24</v>
      </c>
      <c r="AB1866">
        <v>2</v>
      </c>
      <c r="AC1866">
        <v>5</v>
      </c>
      <c r="AD1866">
        <v>3.2809998999999999</v>
      </c>
      <c r="AE1866">
        <v>1</v>
      </c>
      <c r="AF1866">
        <v>16</v>
      </c>
      <c r="AG1866">
        <v>3.2760000200000001</v>
      </c>
      <c r="AH1866">
        <v>4</v>
      </c>
      <c r="AI1866">
        <v>24</v>
      </c>
      <c r="AJ1866">
        <v>1</v>
      </c>
      <c r="AK1866">
        <v>17</v>
      </c>
      <c r="AL1866">
        <v>49</v>
      </c>
      <c r="AM1866" t="s">
        <v>43</v>
      </c>
      <c r="AN1866" t="str">
        <f>HYPERLINK("https://www.google.com/maps?q=11.05609989,79.06402588","Open Location")</f>
        <v>Open Location</v>
      </c>
    </row>
    <row r="1867" spans="1:40" x14ac:dyDescent="0.3">
      <c r="A1867" s="1">
        <v>46210.783680555556</v>
      </c>
      <c r="B1867" t="s">
        <v>40</v>
      </c>
      <c r="C1867" t="s">
        <v>41</v>
      </c>
      <c r="D1867" s="1">
        <v>46210.786469907405</v>
      </c>
      <c r="E1867" t="s">
        <v>42</v>
      </c>
      <c r="F1867" t="s">
        <v>83</v>
      </c>
      <c r="G1867">
        <v>0</v>
      </c>
      <c r="H1867">
        <v>33205</v>
      </c>
      <c r="I1867" t="s">
        <v>852</v>
      </c>
      <c r="J1867">
        <v>37</v>
      </c>
      <c r="K1867">
        <v>2</v>
      </c>
      <c r="L1867">
        <v>98</v>
      </c>
      <c r="M1867">
        <v>629.09997558999999</v>
      </c>
      <c r="N1867" t="s">
        <v>85</v>
      </c>
      <c r="O1867" t="s">
        <v>82</v>
      </c>
      <c r="P1867">
        <v>125</v>
      </c>
      <c r="Q1867" t="s">
        <v>82</v>
      </c>
      <c r="R1867">
        <v>0</v>
      </c>
      <c r="S1867">
        <v>0</v>
      </c>
      <c r="T1867">
        <v>-40</v>
      </c>
      <c r="U1867">
        <v>48</v>
      </c>
      <c r="V1867">
        <v>0</v>
      </c>
      <c r="W1867">
        <v>28</v>
      </c>
      <c r="X1867">
        <v>28</v>
      </c>
      <c r="Y1867">
        <v>1</v>
      </c>
      <c r="Z1867">
        <v>7</v>
      </c>
      <c r="AA1867">
        <v>24</v>
      </c>
      <c r="AB1867">
        <v>2</v>
      </c>
      <c r="AC1867">
        <v>5</v>
      </c>
      <c r="AD1867">
        <v>3.27999997</v>
      </c>
      <c r="AE1867">
        <v>1</v>
      </c>
      <c r="AF1867">
        <v>1</v>
      </c>
      <c r="AG1867">
        <v>3.2760000200000001</v>
      </c>
      <c r="AH1867">
        <v>2</v>
      </c>
      <c r="AI1867">
        <v>46</v>
      </c>
      <c r="AJ1867">
        <v>1</v>
      </c>
      <c r="AK1867">
        <v>17</v>
      </c>
      <c r="AL1867">
        <v>49</v>
      </c>
      <c r="AM1867" t="s">
        <v>43</v>
      </c>
      <c r="AN1867" t="str">
        <f>HYPERLINK("https://www.google.com/maps?q=11.05609798,79.06401825","Open Location")</f>
        <v>Open Location</v>
      </c>
    </row>
    <row r="1868" spans="1:40" x14ac:dyDescent="0.3">
      <c r="A1868" s="1">
        <v>46210.783564814818</v>
      </c>
      <c r="B1868" t="s">
        <v>40</v>
      </c>
      <c r="C1868" t="s">
        <v>41</v>
      </c>
      <c r="D1868" s="1">
        <v>46210.786597222221</v>
      </c>
      <c r="E1868" t="s">
        <v>42</v>
      </c>
      <c r="F1868" t="s">
        <v>83</v>
      </c>
      <c r="G1868">
        <v>0</v>
      </c>
      <c r="H1868">
        <v>33205</v>
      </c>
      <c r="I1868" t="s">
        <v>853</v>
      </c>
      <c r="J1868">
        <v>37</v>
      </c>
      <c r="K1868">
        <v>2</v>
      </c>
      <c r="L1868">
        <v>98</v>
      </c>
      <c r="M1868">
        <v>628.29998779000005</v>
      </c>
      <c r="N1868" t="s">
        <v>85</v>
      </c>
      <c r="O1868" t="s">
        <v>82</v>
      </c>
      <c r="P1868">
        <v>125</v>
      </c>
      <c r="Q1868" t="s">
        <v>82</v>
      </c>
      <c r="R1868">
        <v>0</v>
      </c>
      <c r="S1868">
        <v>0</v>
      </c>
      <c r="T1868">
        <v>-40</v>
      </c>
      <c r="U1868">
        <v>48</v>
      </c>
      <c r="V1868">
        <v>0</v>
      </c>
      <c r="W1868">
        <v>28</v>
      </c>
      <c r="X1868">
        <v>28</v>
      </c>
      <c r="Y1868">
        <v>1</v>
      </c>
      <c r="Z1868">
        <v>7</v>
      </c>
      <c r="AA1868">
        <v>24</v>
      </c>
      <c r="AB1868">
        <v>2</v>
      </c>
      <c r="AC1868">
        <v>5</v>
      </c>
      <c r="AD1868">
        <v>3.27999997</v>
      </c>
      <c r="AE1868">
        <v>1</v>
      </c>
      <c r="AF1868">
        <v>1</v>
      </c>
      <c r="AG1868">
        <v>3.2750001000000002</v>
      </c>
      <c r="AH1868">
        <v>4</v>
      </c>
      <c r="AI1868">
        <v>24</v>
      </c>
      <c r="AJ1868">
        <v>1</v>
      </c>
      <c r="AK1868">
        <v>17</v>
      </c>
      <c r="AL1868">
        <v>49</v>
      </c>
      <c r="AM1868" t="s">
        <v>43</v>
      </c>
      <c r="AN1868" t="str">
        <f>HYPERLINK("https://www.google.com/maps?q=11.05609417,79.06401825","Open Location")</f>
        <v>Open Location</v>
      </c>
    </row>
    <row r="1869" spans="1:40" x14ac:dyDescent="0.3">
      <c r="A1869" s="1">
        <v>46210.783449074072</v>
      </c>
      <c r="B1869" t="s">
        <v>40</v>
      </c>
      <c r="C1869" t="s">
        <v>41</v>
      </c>
      <c r="D1869" s="1">
        <v>46210.786354166667</v>
      </c>
      <c r="E1869" t="s">
        <v>42</v>
      </c>
      <c r="F1869" t="s">
        <v>83</v>
      </c>
      <c r="G1869">
        <v>0</v>
      </c>
      <c r="H1869">
        <v>33205</v>
      </c>
      <c r="I1869" t="s">
        <v>854</v>
      </c>
      <c r="J1869">
        <v>37</v>
      </c>
      <c r="K1869">
        <v>4</v>
      </c>
      <c r="L1869">
        <v>98</v>
      </c>
      <c r="M1869">
        <v>629.20001220999995</v>
      </c>
      <c r="N1869" t="s">
        <v>85</v>
      </c>
      <c r="O1869" t="s">
        <v>82</v>
      </c>
      <c r="P1869">
        <v>125</v>
      </c>
      <c r="Q1869" t="s">
        <v>82</v>
      </c>
      <c r="R1869">
        <v>0</v>
      </c>
      <c r="S1869">
        <v>0</v>
      </c>
      <c r="T1869">
        <v>-40</v>
      </c>
      <c r="U1869">
        <v>48</v>
      </c>
      <c r="V1869">
        <v>0</v>
      </c>
      <c r="W1869">
        <v>28</v>
      </c>
      <c r="X1869">
        <v>28</v>
      </c>
      <c r="Y1869">
        <v>1</v>
      </c>
      <c r="Z1869">
        <v>7</v>
      </c>
      <c r="AA1869">
        <v>24</v>
      </c>
      <c r="AB1869">
        <v>2</v>
      </c>
      <c r="AC1869">
        <v>5</v>
      </c>
      <c r="AD1869">
        <v>3.2780001200000002</v>
      </c>
      <c r="AE1869">
        <v>1</v>
      </c>
      <c r="AF1869">
        <v>1</v>
      </c>
      <c r="AG1869">
        <v>3.2730000000000001</v>
      </c>
      <c r="AH1869">
        <v>4</v>
      </c>
      <c r="AI1869">
        <v>24</v>
      </c>
      <c r="AJ1869">
        <v>1</v>
      </c>
      <c r="AK1869">
        <v>17</v>
      </c>
      <c r="AL1869">
        <v>48</v>
      </c>
      <c r="AM1869" t="s">
        <v>43</v>
      </c>
      <c r="AN1869" t="str">
        <f>HYPERLINK("https://www.google.com/maps?q=11.05609226,79.06401825","Open Location")</f>
        <v>Open Location</v>
      </c>
    </row>
    <row r="1870" spans="1:40" x14ac:dyDescent="0.3">
      <c r="A1870" s="1">
        <v>46210.783333333333</v>
      </c>
      <c r="B1870" t="s">
        <v>40</v>
      </c>
      <c r="C1870" t="s">
        <v>41</v>
      </c>
      <c r="D1870" s="1">
        <v>46210.786192129628</v>
      </c>
      <c r="E1870" t="s">
        <v>42</v>
      </c>
      <c r="F1870" t="s">
        <v>83</v>
      </c>
      <c r="G1870">
        <v>0</v>
      </c>
      <c r="H1870">
        <v>33205</v>
      </c>
      <c r="I1870" t="s">
        <v>855</v>
      </c>
      <c r="J1870">
        <v>37</v>
      </c>
      <c r="K1870">
        <v>9</v>
      </c>
      <c r="L1870">
        <v>98</v>
      </c>
      <c r="M1870">
        <v>628.90002441000001</v>
      </c>
      <c r="N1870" t="s">
        <v>85</v>
      </c>
      <c r="O1870" t="s">
        <v>82</v>
      </c>
      <c r="P1870">
        <v>125</v>
      </c>
      <c r="Q1870" t="s">
        <v>82</v>
      </c>
      <c r="R1870">
        <v>0</v>
      </c>
      <c r="S1870">
        <v>0</v>
      </c>
      <c r="T1870">
        <v>-40</v>
      </c>
      <c r="U1870">
        <v>48</v>
      </c>
      <c r="V1870">
        <v>0</v>
      </c>
      <c r="W1870">
        <v>28</v>
      </c>
      <c r="X1870">
        <v>28</v>
      </c>
      <c r="Y1870">
        <v>1</v>
      </c>
      <c r="Z1870">
        <v>7</v>
      </c>
      <c r="AA1870">
        <v>24</v>
      </c>
      <c r="AB1870">
        <v>2</v>
      </c>
      <c r="AC1870">
        <v>5</v>
      </c>
      <c r="AD1870">
        <v>3.2780001200000002</v>
      </c>
      <c r="AE1870">
        <v>1</v>
      </c>
      <c r="AF1870">
        <v>1</v>
      </c>
      <c r="AG1870">
        <v>3.2730000000000001</v>
      </c>
      <c r="AH1870">
        <v>4</v>
      </c>
      <c r="AI1870">
        <v>24</v>
      </c>
      <c r="AJ1870">
        <v>1</v>
      </c>
      <c r="AK1870">
        <v>17</v>
      </c>
      <c r="AL1870">
        <v>48</v>
      </c>
      <c r="AM1870" t="s">
        <v>43</v>
      </c>
      <c r="AN1870" t="str">
        <f>HYPERLINK("https://www.google.com/maps?q=11.05609131,79.06401825","Open Location")</f>
        <v>Open Location</v>
      </c>
    </row>
    <row r="1871" spans="1:40" x14ac:dyDescent="0.3">
      <c r="A1871" s="1">
        <v>46210.783217592594</v>
      </c>
      <c r="B1871" t="s">
        <v>40</v>
      </c>
      <c r="C1871" t="s">
        <v>41</v>
      </c>
      <c r="D1871" s="1">
        <v>46210.786053240743</v>
      </c>
      <c r="E1871" t="s">
        <v>42</v>
      </c>
      <c r="F1871" t="s">
        <v>83</v>
      </c>
      <c r="G1871">
        <v>0</v>
      </c>
      <c r="H1871">
        <v>33205</v>
      </c>
      <c r="I1871" t="s">
        <v>43</v>
      </c>
      <c r="J1871">
        <v>37</v>
      </c>
      <c r="K1871">
        <v>8</v>
      </c>
      <c r="L1871">
        <v>98</v>
      </c>
      <c r="M1871">
        <v>628.79998779000005</v>
      </c>
      <c r="N1871" t="s">
        <v>85</v>
      </c>
      <c r="O1871" t="s">
        <v>82</v>
      </c>
      <c r="P1871">
        <v>125</v>
      </c>
      <c r="Q1871" t="s">
        <v>82</v>
      </c>
      <c r="R1871">
        <v>0</v>
      </c>
      <c r="S1871">
        <v>0</v>
      </c>
      <c r="T1871">
        <v>-40</v>
      </c>
      <c r="U1871">
        <v>48</v>
      </c>
      <c r="V1871">
        <v>0</v>
      </c>
      <c r="W1871">
        <v>28</v>
      </c>
      <c r="X1871">
        <v>28</v>
      </c>
      <c r="Y1871">
        <v>1</v>
      </c>
      <c r="Z1871">
        <v>7</v>
      </c>
      <c r="AA1871">
        <v>24</v>
      </c>
      <c r="AB1871">
        <v>2</v>
      </c>
      <c r="AC1871">
        <v>5</v>
      </c>
      <c r="AD1871">
        <v>3.2790000400000001</v>
      </c>
      <c r="AE1871">
        <v>1</v>
      </c>
      <c r="AF1871">
        <v>16</v>
      </c>
      <c r="AG1871">
        <v>3.2730000000000001</v>
      </c>
      <c r="AH1871">
        <v>4</v>
      </c>
      <c r="AI1871">
        <v>17</v>
      </c>
      <c r="AJ1871">
        <v>1</v>
      </c>
      <c r="AK1871">
        <v>17</v>
      </c>
      <c r="AL1871">
        <v>48</v>
      </c>
      <c r="AM1871" t="s">
        <v>43</v>
      </c>
      <c r="AN1871" t="s">
        <v>43</v>
      </c>
    </row>
    <row r="1872" spans="1:40" x14ac:dyDescent="0.3">
      <c r="A1872" s="1">
        <v>46210.783101851855</v>
      </c>
      <c r="B1872" t="s">
        <v>40</v>
      </c>
      <c r="C1872" t="s">
        <v>41</v>
      </c>
      <c r="D1872" s="1">
        <v>46210.785844907405</v>
      </c>
      <c r="E1872" t="s">
        <v>42</v>
      </c>
      <c r="F1872" t="s">
        <v>83</v>
      </c>
      <c r="G1872">
        <v>0</v>
      </c>
      <c r="H1872">
        <v>33205</v>
      </c>
      <c r="I1872" t="s">
        <v>856</v>
      </c>
      <c r="J1872">
        <v>37</v>
      </c>
      <c r="K1872">
        <v>2</v>
      </c>
      <c r="L1872">
        <v>98</v>
      </c>
      <c r="M1872">
        <v>628.40002441000001</v>
      </c>
      <c r="N1872" t="s">
        <v>85</v>
      </c>
      <c r="O1872" t="s">
        <v>82</v>
      </c>
      <c r="P1872">
        <v>125</v>
      </c>
      <c r="Q1872" t="s">
        <v>82</v>
      </c>
      <c r="R1872">
        <v>0</v>
      </c>
      <c r="S1872">
        <v>0</v>
      </c>
      <c r="T1872">
        <v>-40</v>
      </c>
      <c r="U1872">
        <v>48</v>
      </c>
      <c r="V1872">
        <v>0</v>
      </c>
      <c r="W1872">
        <v>28</v>
      </c>
      <c r="X1872">
        <v>28</v>
      </c>
      <c r="Y1872">
        <v>1</v>
      </c>
      <c r="Z1872">
        <v>7</v>
      </c>
      <c r="AA1872">
        <v>24</v>
      </c>
      <c r="AB1872">
        <v>2</v>
      </c>
      <c r="AC1872">
        <v>5</v>
      </c>
      <c r="AD1872">
        <v>3.2790000400000001</v>
      </c>
      <c r="AE1872">
        <v>1</v>
      </c>
      <c r="AF1872">
        <v>1</v>
      </c>
      <c r="AG1872">
        <v>3.27399993</v>
      </c>
      <c r="AH1872">
        <v>6</v>
      </c>
      <c r="AI1872">
        <v>24</v>
      </c>
      <c r="AJ1872">
        <v>1</v>
      </c>
      <c r="AK1872">
        <v>17</v>
      </c>
      <c r="AL1872">
        <v>48</v>
      </c>
      <c r="AM1872" t="s">
        <v>43</v>
      </c>
      <c r="AN1872" t="str">
        <f>HYPERLINK("https://www.google.com/maps?q=11.05609035,79.06401062","Open Location")</f>
        <v>Open Location</v>
      </c>
    </row>
    <row r="1873" spans="1:40" x14ac:dyDescent="0.3">
      <c r="A1873" s="1">
        <v>46210.782986111109</v>
      </c>
      <c r="B1873" t="s">
        <v>40</v>
      </c>
      <c r="C1873" t="s">
        <v>41</v>
      </c>
      <c r="D1873" s="1">
        <v>46210.78570601852</v>
      </c>
      <c r="E1873" t="s">
        <v>42</v>
      </c>
      <c r="F1873" t="s">
        <v>83</v>
      </c>
      <c r="G1873">
        <v>0</v>
      </c>
      <c r="H1873" t="s">
        <v>43</v>
      </c>
      <c r="I1873" t="s">
        <v>857</v>
      </c>
      <c r="J1873">
        <v>37</v>
      </c>
      <c r="K1873">
        <v>2</v>
      </c>
      <c r="L1873">
        <v>98</v>
      </c>
      <c r="M1873">
        <v>628.59997558999999</v>
      </c>
      <c r="N1873" t="s">
        <v>85</v>
      </c>
      <c r="O1873" t="s">
        <v>82</v>
      </c>
      <c r="P1873">
        <v>125</v>
      </c>
      <c r="Q1873" t="s">
        <v>82</v>
      </c>
      <c r="R1873">
        <v>0</v>
      </c>
      <c r="S1873">
        <v>0</v>
      </c>
      <c r="T1873">
        <v>-40</v>
      </c>
      <c r="U1873">
        <v>48</v>
      </c>
      <c r="V1873">
        <v>0</v>
      </c>
      <c r="W1873">
        <v>28</v>
      </c>
      <c r="X1873">
        <v>28</v>
      </c>
      <c r="Y1873">
        <v>1</v>
      </c>
      <c r="Z1873">
        <v>7</v>
      </c>
      <c r="AA1873">
        <v>24</v>
      </c>
      <c r="AB1873">
        <v>2</v>
      </c>
      <c r="AC1873">
        <v>5</v>
      </c>
      <c r="AD1873">
        <v>3.2790000400000001</v>
      </c>
      <c r="AE1873">
        <v>1</v>
      </c>
      <c r="AF1873">
        <v>16</v>
      </c>
      <c r="AG1873">
        <v>3.27399993</v>
      </c>
      <c r="AH1873">
        <v>2</v>
      </c>
      <c r="AI1873">
        <v>46</v>
      </c>
      <c r="AJ1873">
        <v>1</v>
      </c>
      <c r="AK1873">
        <v>17</v>
      </c>
      <c r="AL1873">
        <v>48</v>
      </c>
      <c r="AM1873" t="s">
        <v>43</v>
      </c>
      <c r="AN1873" t="str">
        <f>HYPERLINK("https://www.google.com/maps?q=11.05609035,79.06401825","Open Location")</f>
        <v>Open Location</v>
      </c>
    </row>
    <row r="1874" spans="1:40" x14ac:dyDescent="0.3">
      <c r="A1874" s="1">
        <v>46210.782870370371</v>
      </c>
      <c r="B1874" t="s">
        <v>40</v>
      </c>
      <c r="C1874" t="s">
        <v>41</v>
      </c>
      <c r="D1874" s="1">
        <v>46210.78565972222</v>
      </c>
      <c r="E1874" t="s">
        <v>42</v>
      </c>
      <c r="F1874" t="s">
        <v>83</v>
      </c>
      <c r="G1874">
        <v>0</v>
      </c>
      <c r="H1874">
        <v>33205</v>
      </c>
      <c r="I1874" t="s">
        <v>858</v>
      </c>
      <c r="J1874">
        <v>37</v>
      </c>
      <c r="K1874">
        <v>2</v>
      </c>
      <c r="L1874">
        <v>98</v>
      </c>
      <c r="M1874">
        <v>628.59997558999999</v>
      </c>
      <c r="N1874" t="s">
        <v>85</v>
      </c>
      <c r="O1874" t="s">
        <v>82</v>
      </c>
      <c r="P1874">
        <v>125</v>
      </c>
      <c r="Q1874" t="s">
        <v>82</v>
      </c>
      <c r="R1874">
        <v>0</v>
      </c>
      <c r="S1874">
        <v>0</v>
      </c>
      <c r="T1874">
        <v>-40</v>
      </c>
      <c r="U1874">
        <v>48</v>
      </c>
      <c r="V1874">
        <v>0</v>
      </c>
      <c r="W1874">
        <v>28</v>
      </c>
      <c r="X1874">
        <v>28</v>
      </c>
      <c r="Y1874">
        <v>1</v>
      </c>
      <c r="Z1874">
        <v>7</v>
      </c>
      <c r="AA1874">
        <v>24</v>
      </c>
      <c r="AB1874">
        <v>2</v>
      </c>
      <c r="AC1874">
        <v>5</v>
      </c>
      <c r="AD1874">
        <v>3.2780001200000002</v>
      </c>
      <c r="AE1874">
        <v>1</v>
      </c>
      <c r="AF1874">
        <v>1</v>
      </c>
      <c r="AG1874">
        <v>3.2730000000000001</v>
      </c>
      <c r="AH1874">
        <v>2</v>
      </c>
      <c r="AI1874">
        <v>46</v>
      </c>
      <c r="AJ1874">
        <v>1</v>
      </c>
      <c r="AK1874">
        <v>17</v>
      </c>
      <c r="AL1874">
        <v>48</v>
      </c>
      <c r="AM1874" t="s">
        <v>43</v>
      </c>
      <c r="AN1874" t="str">
        <f>HYPERLINK("https://www.google.com/maps?q=11.05608273,79.06401825","Open Location")</f>
        <v>Open Location</v>
      </c>
    </row>
    <row r="1875" spans="1:40" x14ac:dyDescent="0.3">
      <c r="A1875" s="1">
        <v>46210.782754629632</v>
      </c>
      <c r="B1875" t="s">
        <v>40</v>
      </c>
      <c r="C1875" t="s">
        <v>41</v>
      </c>
      <c r="D1875" s="1">
        <v>46210.785474537035</v>
      </c>
      <c r="E1875" t="s">
        <v>42</v>
      </c>
      <c r="F1875" t="s">
        <v>83</v>
      </c>
      <c r="G1875">
        <v>0</v>
      </c>
      <c r="H1875">
        <v>33205</v>
      </c>
      <c r="I1875" t="s">
        <v>859</v>
      </c>
      <c r="J1875">
        <v>37</v>
      </c>
      <c r="K1875">
        <v>3</v>
      </c>
      <c r="L1875">
        <v>98</v>
      </c>
      <c r="M1875">
        <v>628.20001220999995</v>
      </c>
      <c r="N1875" t="s">
        <v>85</v>
      </c>
      <c r="O1875" t="s">
        <v>86</v>
      </c>
      <c r="P1875">
        <v>125</v>
      </c>
      <c r="Q1875" t="s">
        <v>82</v>
      </c>
      <c r="R1875">
        <v>0</v>
      </c>
      <c r="S1875">
        <v>961</v>
      </c>
      <c r="T1875">
        <v>-40</v>
      </c>
      <c r="U1875">
        <v>48</v>
      </c>
      <c r="V1875">
        <v>5</v>
      </c>
      <c r="W1875">
        <v>28</v>
      </c>
      <c r="X1875">
        <v>28</v>
      </c>
      <c r="Y1875">
        <v>1</v>
      </c>
      <c r="Z1875">
        <v>7</v>
      </c>
      <c r="AA1875">
        <v>24</v>
      </c>
      <c r="AB1875">
        <v>2</v>
      </c>
      <c r="AC1875">
        <v>5</v>
      </c>
      <c r="AD1875" t="s">
        <v>43</v>
      </c>
      <c r="AE1875" t="s">
        <v>43</v>
      </c>
      <c r="AF1875" t="s">
        <v>43</v>
      </c>
      <c r="AG1875" t="s">
        <v>43</v>
      </c>
      <c r="AH1875" t="s">
        <v>43</v>
      </c>
      <c r="AI1875" t="s">
        <v>43</v>
      </c>
      <c r="AJ1875">
        <v>1</v>
      </c>
      <c r="AK1875">
        <v>17</v>
      </c>
      <c r="AL1875">
        <v>48</v>
      </c>
      <c r="AM1875" t="s">
        <v>43</v>
      </c>
      <c r="AN1875" t="str">
        <f>HYPERLINK("https://www.google.com/maps?q=11.05604267,79.06396484","Open Location")</f>
        <v>Open Location</v>
      </c>
    </row>
    <row r="1876" spans="1:40" x14ac:dyDescent="0.3">
      <c r="A1876" s="1">
        <v>46210.782638888886</v>
      </c>
      <c r="B1876" t="s">
        <v>40</v>
      </c>
      <c r="C1876" t="s">
        <v>41</v>
      </c>
      <c r="D1876" s="1">
        <v>46210.785567129627</v>
      </c>
      <c r="E1876" t="s">
        <v>42</v>
      </c>
      <c r="F1876" t="s">
        <v>83</v>
      </c>
      <c r="G1876">
        <v>8</v>
      </c>
      <c r="H1876">
        <v>33205</v>
      </c>
      <c r="I1876" t="s">
        <v>860</v>
      </c>
      <c r="J1876">
        <v>37</v>
      </c>
      <c r="K1876">
        <v>23</v>
      </c>
      <c r="L1876">
        <v>98</v>
      </c>
      <c r="M1876">
        <v>626.90002441000001</v>
      </c>
      <c r="N1876" t="s">
        <v>87</v>
      </c>
      <c r="O1876" t="s">
        <v>86</v>
      </c>
      <c r="P1876">
        <v>128</v>
      </c>
      <c r="Q1876">
        <v>3</v>
      </c>
      <c r="R1876">
        <v>15</v>
      </c>
      <c r="S1876">
        <v>1181</v>
      </c>
      <c r="T1876">
        <v>-40</v>
      </c>
      <c r="U1876">
        <v>49</v>
      </c>
      <c r="V1876">
        <v>100</v>
      </c>
      <c r="W1876">
        <v>28</v>
      </c>
      <c r="X1876">
        <v>28</v>
      </c>
      <c r="Y1876">
        <v>1</v>
      </c>
      <c r="Z1876">
        <v>7</v>
      </c>
      <c r="AA1876">
        <v>24</v>
      </c>
      <c r="AB1876">
        <v>2</v>
      </c>
      <c r="AC1876">
        <v>5</v>
      </c>
      <c r="AD1876">
        <v>3.2760000200000001</v>
      </c>
      <c r="AE1876">
        <v>1</v>
      </c>
      <c r="AF1876">
        <v>1</v>
      </c>
      <c r="AG1876">
        <v>3.2699999800000001</v>
      </c>
      <c r="AH1876">
        <v>4</v>
      </c>
      <c r="AI1876">
        <v>24</v>
      </c>
      <c r="AJ1876">
        <v>1</v>
      </c>
      <c r="AK1876">
        <v>17</v>
      </c>
      <c r="AL1876">
        <v>49</v>
      </c>
      <c r="AM1876" t="s">
        <v>43</v>
      </c>
      <c r="AN1876" t="str">
        <f>HYPERLINK("https://www.google.com/maps?q=11.05579185,79.06391907","Open Location")</f>
        <v>Open Location</v>
      </c>
    </row>
    <row r="1877" spans="1:40" x14ac:dyDescent="0.3">
      <c r="A1877" s="1">
        <v>46210.782523148147</v>
      </c>
      <c r="B1877" t="s">
        <v>40</v>
      </c>
      <c r="C1877" t="s">
        <v>41</v>
      </c>
      <c r="D1877" s="1">
        <v>46210.785324074073</v>
      </c>
      <c r="E1877" t="s">
        <v>42</v>
      </c>
      <c r="F1877" t="s">
        <v>83</v>
      </c>
      <c r="G1877">
        <v>9</v>
      </c>
      <c r="H1877">
        <v>33205</v>
      </c>
      <c r="I1877" t="s">
        <v>43</v>
      </c>
      <c r="J1877">
        <v>37</v>
      </c>
      <c r="K1877">
        <v>36</v>
      </c>
      <c r="L1877">
        <v>98</v>
      </c>
      <c r="M1877">
        <v>626.59997558999999</v>
      </c>
      <c r="N1877" t="s">
        <v>87</v>
      </c>
      <c r="O1877" t="s">
        <v>86</v>
      </c>
      <c r="P1877">
        <v>128</v>
      </c>
      <c r="Q1877">
        <v>3</v>
      </c>
      <c r="R1877">
        <v>-8</v>
      </c>
      <c r="S1877">
        <v>1325</v>
      </c>
      <c r="T1877">
        <v>-40</v>
      </c>
      <c r="U1877">
        <v>49</v>
      </c>
      <c r="V1877">
        <v>140</v>
      </c>
      <c r="W1877">
        <v>28</v>
      </c>
      <c r="X1877">
        <v>28</v>
      </c>
      <c r="Y1877">
        <v>1</v>
      </c>
      <c r="Z1877">
        <v>7</v>
      </c>
      <c r="AA1877">
        <v>24</v>
      </c>
      <c r="AB1877">
        <v>2</v>
      </c>
      <c r="AC1877">
        <v>5</v>
      </c>
      <c r="AD1877">
        <v>3.27099991</v>
      </c>
      <c r="AE1877">
        <v>1</v>
      </c>
      <c r="AF1877">
        <v>1</v>
      </c>
      <c r="AG1877">
        <v>3.2639999400000002</v>
      </c>
      <c r="AH1877">
        <v>4</v>
      </c>
      <c r="AI1877">
        <v>24</v>
      </c>
      <c r="AJ1877">
        <v>1</v>
      </c>
      <c r="AK1877">
        <v>17</v>
      </c>
      <c r="AL1877">
        <v>49</v>
      </c>
      <c r="AM1877" t="s">
        <v>43</v>
      </c>
      <c r="AN1877" t="s">
        <v>43</v>
      </c>
    </row>
    <row r="1878" spans="1:40" x14ac:dyDescent="0.3">
      <c r="A1878" s="1">
        <v>46210.782407407409</v>
      </c>
      <c r="B1878" t="s">
        <v>40</v>
      </c>
      <c r="C1878" t="s">
        <v>41</v>
      </c>
      <c r="D1878" s="1">
        <v>46210.785266203704</v>
      </c>
      <c r="E1878" t="s">
        <v>42</v>
      </c>
      <c r="F1878" t="s">
        <v>83</v>
      </c>
      <c r="G1878">
        <v>8</v>
      </c>
      <c r="H1878">
        <v>33205</v>
      </c>
      <c r="I1878" t="s">
        <v>861</v>
      </c>
      <c r="J1878">
        <v>37</v>
      </c>
      <c r="K1878">
        <v>-3</v>
      </c>
      <c r="L1878">
        <v>98</v>
      </c>
      <c r="M1878">
        <v>628.29998779000005</v>
      </c>
      <c r="N1878" t="s">
        <v>87</v>
      </c>
      <c r="O1878" t="s">
        <v>86</v>
      </c>
      <c r="P1878">
        <v>128</v>
      </c>
      <c r="Q1878">
        <v>3</v>
      </c>
      <c r="R1878">
        <v>19</v>
      </c>
      <c r="S1878">
        <v>1156</v>
      </c>
      <c r="T1878">
        <v>-40</v>
      </c>
      <c r="U1878">
        <v>48</v>
      </c>
      <c r="V1878">
        <v>-68</v>
      </c>
      <c r="W1878">
        <v>28</v>
      </c>
      <c r="X1878">
        <v>28</v>
      </c>
      <c r="Y1878">
        <v>1</v>
      </c>
      <c r="Z1878">
        <v>7</v>
      </c>
      <c r="AA1878">
        <v>24</v>
      </c>
      <c r="AB1878">
        <v>2</v>
      </c>
      <c r="AC1878">
        <v>5</v>
      </c>
      <c r="AD1878">
        <v>3.2660000299999998</v>
      </c>
      <c r="AE1878">
        <v>1</v>
      </c>
      <c r="AF1878">
        <v>1</v>
      </c>
      <c r="AG1878">
        <v>3.2579999000000002</v>
      </c>
      <c r="AH1878">
        <v>4</v>
      </c>
      <c r="AI1878">
        <v>24</v>
      </c>
      <c r="AJ1878">
        <v>1</v>
      </c>
      <c r="AK1878">
        <v>17</v>
      </c>
      <c r="AL1878">
        <v>49</v>
      </c>
      <c r="AM1878" t="s">
        <v>43</v>
      </c>
      <c r="AN1878" t="str">
        <f>HYPERLINK("https://www.google.com/maps?q=11.05550766,79.06401825","Open Location")</f>
        <v>Open Location</v>
      </c>
    </row>
    <row r="1879" spans="1:40" x14ac:dyDescent="0.3">
      <c r="A1879" s="1">
        <v>46210.78229166667</v>
      </c>
      <c r="B1879" t="s">
        <v>40</v>
      </c>
      <c r="C1879" t="s">
        <v>41</v>
      </c>
      <c r="D1879" s="1">
        <v>46210.785277777781</v>
      </c>
      <c r="E1879" t="s">
        <v>42</v>
      </c>
      <c r="F1879" t="s">
        <v>83</v>
      </c>
      <c r="G1879">
        <v>10</v>
      </c>
      <c r="H1879">
        <v>33205</v>
      </c>
      <c r="I1879" t="s">
        <v>862</v>
      </c>
      <c r="J1879">
        <v>37</v>
      </c>
      <c r="K1879">
        <v>120</v>
      </c>
      <c r="L1879">
        <v>98</v>
      </c>
      <c r="M1879">
        <v>627</v>
      </c>
      <c r="N1879" t="s">
        <v>87</v>
      </c>
      <c r="O1879" t="s">
        <v>86</v>
      </c>
      <c r="P1879">
        <v>128</v>
      </c>
      <c r="Q1879">
        <v>3</v>
      </c>
      <c r="R1879">
        <v>24</v>
      </c>
      <c r="S1879">
        <v>1884</v>
      </c>
      <c r="T1879">
        <v>-40</v>
      </c>
      <c r="U1879">
        <v>50</v>
      </c>
      <c r="V1879">
        <v>440</v>
      </c>
      <c r="W1879">
        <v>28</v>
      </c>
      <c r="X1879">
        <v>28</v>
      </c>
      <c r="Y1879">
        <v>1</v>
      </c>
      <c r="Z1879">
        <v>7</v>
      </c>
      <c r="AA1879">
        <v>24</v>
      </c>
      <c r="AB1879">
        <v>2</v>
      </c>
      <c r="AC1879">
        <v>5</v>
      </c>
      <c r="AD1879">
        <v>3.2720000699999998</v>
      </c>
      <c r="AE1879">
        <v>1</v>
      </c>
      <c r="AF1879">
        <v>1</v>
      </c>
      <c r="AG1879">
        <v>3.2650001</v>
      </c>
      <c r="AH1879">
        <v>6</v>
      </c>
      <c r="AI1879">
        <v>24</v>
      </c>
      <c r="AJ1879">
        <v>1</v>
      </c>
      <c r="AK1879">
        <v>17</v>
      </c>
      <c r="AL1879">
        <v>49</v>
      </c>
      <c r="AM1879" t="s">
        <v>43</v>
      </c>
      <c r="AN1879" t="str">
        <f>HYPERLINK("https://www.google.com/maps?q=11.05529118,79.06421661","Open Location")</f>
        <v>Open Location</v>
      </c>
    </row>
    <row r="1880" spans="1:40" x14ac:dyDescent="0.3">
      <c r="A1880" s="1">
        <v>46210.782175925924</v>
      </c>
      <c r="B1880" t="s">
        <v>40</v>
      </c>
      <c r="C1880" t="s">
        <v>41</v>
      </c>
      <c r="D1880" s="1">
        <v>46210.785277777781</v>
      </c>
      <c r="E1880" t="s">
        <v>42</v>
      </c>
      <c r="F1880" t="s">
        <v>83</v>
      </c>
      <c r="G1880">
        <v>6</v>
      </c>
      <c r="H1880">
        <v>33205</v>
      </c>
      <c r="I1880" t="s">
        <v>863</v>
      </c>
      <c r="J1880">
        <v>37</v>
      </c>
      <c r="K1880">
        <v>65</v>
      </c>
      <c r="L1880">
        <v>98</v>
      </c>
      <c r="M1880">
        <v>625.79998779000005</v>
      </c>
      <c r="N1880" t="s">
        <v>87</v>
      </c>
      <c r="O1880" t="s">
        <v>86</v>
      </c>
      <c r="P1880">
        <v>127</v>
      </c>
      <c r="Q1880">
        <v>2</v>
      </c>
      <c r="R1880">
        <v>43</v>
      </c>
      <c r="S1880">
        <v>961</v>
      </c>
      <c r="T1880">
        <v>-40</v>
      </c>
      <c r="U1880">
        <v>50</v>
      </c>
      <c r="V1880">
        <v>360</v>
      </c>
      <c r="W1880">
        <v>28</v>
      </c>
      <c r="X1880">
        <v>28</v>
      </c>
      <c r="Y1880">
        <v>1</v>
      </c>
      <c r="Z1880">
        <v>7</v>
      </c>
      <c r="AA1880">
        <v>24</v>
      </c>
      <c r="AB1880">
        <v>2</v>
      </c>
      <c r="AC1880">
        <v>5</v>
      </c>
      <c r="AD1880">
        <v>3.2539999499999999</v>
      </c>
      <c r="AE1880">
        <v>1</v>
      </c>
      <c r="AF1880">
        <v>1</v>
      </c>
      <c r="AG1880">
        <v>3.2400000100000002</v>
      </c>
      <c r="AH1880">
        <v>6</v>
      </c>
      <c r="AI1880">
        <v>24</v>
      </c>
      <c r="AJ1880">
        <v>1</v>
      </c>
      <c r="AK1880">
        <v>17</v>
      </c>
      <c r="AL1880">
        <v>49</v>
      </c>
      <c r="AM1880" t="s">
        <v>43</v>
      </c>
      <c r="AN1880" t="str">
        <f>HYPERLINK("https://www.google.com/maps?q=11.05522156,79.06439209","Open Location")</f>
        <v>Open Location</v>
      </c>
    </row>
    <row r="1881" spans="1:40" x14ac:dyDescent="0.3">
      <c r="A1881" s="1">
        <v>46210.782060185185</v>
      </c>
      <c r="B1881" t="s">
        <v>40</v>
      </c>
      <c r="C1881" t="s">
        <v>41</v>
      </c>
      <c r="D1881" s="1">
        <v>46210.785243055558</v>
      </c>
      <c r="E1881" t="s">
        <v>42</v>
      </c>
      <c r="F1881" t="s">
        <v>83</v>
      </c>
      <c r="G1881">
        <v>0</v>
      </c>
      <c r="H1881">
        <v>33205</v>
      </c>
      <c r="I1881" t="s">
        <v>864</v>
      </c>
      <c r="J1881">
        <v>37</v>
      </c>
      <c r="K1881">
        <v>2</v>
      </c>
      <c r="L1881">
        <v>98</v>
      </c>
      <c r="M1881">
        <v>628.40002441000001</v>
      </c>
      <c r="N1881" t="s">
        <v>85</v>
      </c>
      <c r="O1881" t="s">
        <v>82</v>
      </c>
      <c r="P1881">
        <v>125</v>
      </c>
      <c r="Q1881" t="s">
        <v>82</v>
      </c>
      <c r="R1881">
        <v>0</v>
      </c>
      <c r="S1881">
        <v>0</v>
      </c>
      <c r="T1881">
        <v>-40</v>
      </c>
      <c r="U1881">
        <v>47</v>
      </c>
      <c r="V1881">
        <v>0</v>
      </c>
      <c r="W1881">
        <v>28</v>
      </c>
      <c r="X1881">
        <v>28</v>
      </c>
      <c r="Y1881">
        <v>1</v>
      </c>
      <c r="Z1881">
        <v>7</v>
      </c>
      <c r="AA1881">
        <v>24</v>
      </c>
      <c r="AB1881">
        <v>2</v>
      </c>
      <c r="AC1881">
        <v>5</v>
      </c>
      <c r="AD1881">
        <v>3.2790000400000001</v>
      </c>
      <c r="AE1881">
        <v>1</v>
      </c>
      <c r="AF1881">
        <v>1</v>
      </c>
      <c r="AG1881">
        <v>3.2730000000000001</v>
      </c>
      <c r="AH1881">
        <v>7</v>
      </c>
      <c r="AI1881">
        <v>1</v>
      </c>
      <c r="AJ1881">
        <v>1</v>
      </c>
      <c r="AK1881">
        <v>17</v>
      </c>
      <c r="AL1881">
        <v>49</v>
      </c>
      <c r="AM1881" t="s">
        <v>43</v>
      </c>
      <c r="AN1881" t="str">
        <f>HYPERLINK("https://www.google.com/maps?q=11.05522346,79.06440735","Open Location")</f>
        <v>Open Location</v>
      </c>
    </row>
    <row r="1882" spans="1:40" x14ac:dyDescent="0.3">
      <c r="A1882" s="1">
        <v>46210.781944444447</v>
      </c>
      <c r="B1882" t="s">
        <v>40</v>
      </c>
      <c r="C1882" t="s">
        <v>41</v>
      </c>
      <c r="D1882" s="1">
        <v>46210.785092592596</v>
      </c>
      <c r="E1882" t="s">
        <v>42</v>
      </c>
      <c r="F1882" t="s">
        <v>83</v>
      </c>
      <c r="G1882">
        <v>0</v>
      </c>
      <c r="H1882">
        <v>33205</v>
      </c>
      <c r="I1882" t="s">
        <v>43</v>
      </c>
      <c r="J1882">
        <v>37</v>
      </c>
      <c r="K1882">
        <v>9</v>
      </c>
      <c r="L1882">
        <v>98</v>
      </c>
      <c r="M1882">
        <v>628.70001220999995</v>
      </c>
      <c r="N1882" t="s">
        <v>85</v>
      </c>
      <c r="O1882" t="s">
        <v>82</v>
      </c>
      <c r="P1882">
        <v>125</v>
      </c>
      <c r="Q1882" t="s">
        <v>82</v>
      </c>
      <c r="R1882">
        <v>0</v>
      </c>
      <c r="S1882">
        <v>0</v>
      </c>
      <c r="T1882">
        <v>-40</v>
      </c>
      <c r="U1882">
        <v>47</v>
      </c>
      <c r="V1882">
        <v>0</v>
      </c>
      <c r="W1882">
        <v>28</v>
      </c>
      <c r="X1882">
        <v>28</v>
      </c>
      <c r="Y1882">
        <v>1</v>
      </c>
      <c r="Z1882">
        <v>7</v>
      </c>
      <c r="AA1882">
        <v>24</v>
      </c>
      <c r="AB1882">
        <v>2</v>
      </c>
      <c r="AC1882">
        <v>5</v>
      </c>
      <c r="AD1882">
        <v>3.27999997</v>
      </c>
      <c r="AE1882">
        <v>1</v>
      </c>
      <c r="AF1882">
        <v>1</v>
      </c>
      <c r="AG1882">
        <v>3.2760000200000001</v>
      </c>
      <c r="AH1882">
        <v>2</v>
      </c>
      <c r="AI1882">
        <v>12</v>
      </c>
      <c r="AJ1882">
        <v>1</v>
      </c>
      <c r="AK1882">
        <v>17</v>
      </c>
      <c r="AL1882">
        <v>49</v>
      </c>
      <c r="AM1882" t="s">
        <v>43</v>
      </c>
      <c r="AN1882" t="s">
        <v>43</v>
      </c>
    </row>
    <row r="1883" spans="1:40" x14ac:dyDescent="0.3">
      <c r="A1883" s="1">
        <v>46210.781828703701</v>
      </c>
      <c r="B1883" t="s">
        <v>40</v>
      </c>
      <c r="C1883" t="s">
        <v>41</v>
      </c>
      <c r="D1883" s="1">
        <v>46210.784502314818</v>
      </c>
      <c r="E1883" t="s">
        <v>42</v>
      </c>
      <c r="F1883" t="s">
        <v>83</v>
      </c>
      <c r="G1883">
        <v>0</v>
      </c>
      <c r="H1883">
        <v>33205</v>
      </c>
      <c r="I1883" t="s">
        <v>865</v>
      </c>
      <c r="J1883">
        <v>37</v>
      </c>
      <c r="K1883">
        <v>9</v>
      </c>
      <c r="L1883">
        <v>98</v>
      </c>
      <c r="M1883">
        <v>628.20001220999995</v>
      </c>
      <c r="N1883" t="s">
        <v>85</v>
      </c>
      <c r="O1883" t="s">
        <v>82</v>
      </c>
      <c r="P1883">
        <v>125</v>
      </c>
      <c r="Q1883" t="s">
        <v>82</v>
      </c>
      <c r="R1883">
        <v>0</v>
      </c>
      <c r="S1883">
        <v>0</v>
      </c>
      <c r="T1883">
        <v>-40</v>
      </c>
      <c r="U1883">
        <v>47</v>
      </c>
      <c r="V1883">
        <v>0</v>
      </c>
      <c r="W1883">
        <v>28</v>
      </c>
      <c r="X1883">
        <v>28</v>
      </c>
      <c r="Y1883">
        <v>1</v>
      </c>
      <c r="Z1883">
        <v>7</v>
      </c>
      <c r="AA1883">
        <v>24</v>
      </c>
      <c r="AB1883">
        <v>2</v>
      </c>
      <c r="AC1883">
        <v>5</v>
      </c>
      <c r="AD1883">
        <v>3.2790000400000001</v>
      </c>
      <c r="AE1883">
        <v>1</v>
      </c>
      <c r="AF1883">
        <v>1</v>
      </c>
      <c r="AG1883">
        <v>3.27399993</v>
      </c>
      <c r="AH1883">
        <v>6</v>
      </c>
      <c r="AI1883">
        <v>24</v>
      </c>
      <c r="AJ1883">
        <v>1</v>
      </c>
      <c r="AK1883">
        <v>17</v>
      </c>
      <c r="AL1883">
        <v>49</v>
      </c>
      <c r="AM1883" t="s">
        <v>43</v>
      </c>
      <c r="AN1883" t="str">
        <f>HYPERLINK("https://www.google.com/maps?q=11.05522919,79.06440735","Open Location")</f>
        <v>Open Location</v>
      </c>
    </row>
    <row r="1884" spans="1:40" x14ac:dyDescent="0.3">
      <c r="A1884" s="1">
        <v>46210.781712962962</v>
      </c>
      <c r="B1884" t="s">
        <v>40</v>
      </c>
      <c r="C1884" t="s">
        <v>41</v>
      </c>
      <c r="D1884" s="1">
        <v>46210.78466435185</v>
      </c>
      <c r="E1884" t="s">
        <v>42</v>
      </c>
      <c r="F1884" t="s">
        <v>83</v>
      </c>
      <c r="G1884">
        <v>0</v>
      </c>
      <c r="H1884">
        <v>33205</v>
      </c>
      <c r="I1884" t="s">
        <v>866</v>
      </c>
      <c r="J1884">
        <v>37</v>
      </c>
      <c r="K1884">
        <v>2</v>
      </c>
      <c r="L1884">
        <v>98</v>
      </c>
      <c r="M1884">
        <v>628.79998779000005</v>
      </c>
      <c r="N1884" t="s">
        <v>85</v>
      </c>
      <c r="O1884" t="s">
        <v>82</v>
      </c>
      <c r="P1884">
        <v>125</v>
      </c>
      <c r="Q1884" t="s">
        <v>82</v>
      </c>
      <c r="R1884">
        <v>0</v>
      </c>
      <c r="S1884">
        <v>0</v>
      </c>
      <c r="T1884">
        <v>-40</v>
      </c>
      <c r="U1884">
        <v>47</v>
      </c>
      <c r="V1884">
        <v>0</v>
      </c>
      <c r="W1884">
        <v>28</v>
      </c>
      <c r="X1884">
        <v>28</v>
      </c>
      <c r="Y1884">
        <v>1</v>
      </c>
      <c r="Z1884">
        <v>7</v>
      </c>
      <c r="AA1884">
        <v>24</v>
      </c>
      <c r="AB1884">
        <v>2</v>
      </c>
      <c r="AC1884">
        <v>5</v>
      </c>
      <c r="AD1884">
        <v>3.27999997</v>
      </c>
      <c r="AE1884">
        <v>1</v>
      </c>
      <c r="AF1884">
        <v>1</v>
      </c>
      <c r="AG1884">
        <v>3.2750001000000002</v>
      </c>
      <c r="AH1884">
        <v>4</v>
      </c>
      <c r="AI1884">
        <v>24</v>
      </c>
      <c r="AJ1884">
        <v>1</v>
      </c>
      <c r="AK1884">
        <v>17</v>
      </c>
      <c r="AL1884">
        <v>49</v>
      </c>
      <c r="AM1884" t="s">
        <v>43</v>
      </c>
      <c r="AN1884" t="str">
        <f>HYPERLINK("https://www.google.com/maps?q=11.05523491,79.06440735","Open Location")</f>
        <v>Open Location</v>
      </c>
    </row>
    <row r="1885" spans="1:40" x14ac:dyDescent="0.3">
      <c r="A1885" s="1">
        <v>46210.781597222223</v>
      </c>
      <c r="B1885" t="s">
        <v>40</v>
      </c>
      <c r="C1885" t="s">
        <v>41</v>
      </c>
      <c r="D1885" s="1">
        <v>46210.784305555557</v>
      </c>
      <c r="E1885" t="s">
        <v>42</v>
      </c>
      <c r="F1885" t="s">
        <v>83</v>
      </c>
      <c r="G1885">
        <v>0</v>
      </c>
      <c r="H1885">
        <v>33205</v>
      </c>
      <c r="I1885" t="s">
        <v>867</v>
      </c>
      <c r="J1885">
        <v>37</v>
      </c>
      <c r="K1885">
        <v>2</v>
      </c>
      <c r="L1885">
        <v>98</v>
      </c>
      <c r="M1885">
        <v>628.79998779000005</v>
      </c>
      <c r="N1885" t="s">
        <v>85</v>
      </c>
      <c r="O1885" t="s">
        <v>82</v>
      </c>
      <c r="P1885">
        <v>125</v>
      </c>
      <c r="Q1885" t="s">
        <v>82</v>
      </c>
      <c r="R1885">
        <v>0</v>
      </c>
      <c r="S1885">
        <v>0</v>
      </c>
      <c r="T1885">
        <v>-40</v>
      </c>
      <c r="U1885">
        <v>47</v>
      </c>
      <c r="V1885">
        <v>0</v>
      </c>
      <c r="W1885">
        <v>28</v>
      </c>
      <c r="X1885">
        <v>28</v>
      </c>
      <c r="Y1885">
        <v>1</v>
      </c>
      <c r="Z1885">
        <v>7</v>
      </c>
      <c r="AA1885">
        <v>24</v>
      </c>
      <c r="AB1885">
        <v>2</v>
      </c>
      <c r="AC1885">
        <v>5</v>
      </c>
      <c r="AD1885">
        <v>3.2809998999999999</v>
      </c>
      <c r="AE1885">
        <v>1</v>
      </c>
      <c r="AF1885">
        <v>1</v>
      </c>
      <c r="AG1885">
        <v>3.2760000200000001</v>
      </c>
      <c r="AH1885">
        <v>6</v>
      </c>
      <c r="AI1885">
        <v>24</v>
      </c>
      <c r="AJ1885">
        <v>1</v>
      </c>
      <c r="AK1885">
        <v>17</v>
      </c>
      <c r="AL1885">
        <v>49</v>
      </c>
      <c r="AM1885" t="s">
        <v>43</v>
      </c>
      <c r="AN1885" t="str">
        <f>HYPERLINK("https://www.google.com/maps?q=11.05523777,79.06440735","Open Location")</f>
        <v>Open Location</v>
      </c>
    </row>
    <row r="1886" spans="1:40" x14ac:dyDescent="0.3">
      <c r="A1886" s="1">
        <v>46210.781481481485</v>
      </c>
      <c r="B1886" t="s">
        <v>40</v>
      </c>
      <c r="C1886" t="s">
        <v>41</v>
      </c>
      <c r="D1886" s="1">
        <v>46210.784305555557</v>
      </c>
      <c r="E1886" t="s">
        <v>42</v>
      </c>
      <c r="F1886" t="s">
        <v>83</v>
      </c>
      <c r="G1886">
        <v>0</v>
      </c>
      <c r="H1886" t="s">
        <v>43</v>
      </c>
      <c r="I1886" t="s">
        <v>868</v>
      </c>
      <c r="J1886">
        <v>37</v>
      </c>
      <c r="K1886">
        <v>2</v>
      </c>
      <c r="L1886">
        <v>98</v>
      </c>
      <c r="M1886">
        <v>628.5</v>
      </c>
      <c r="N1886" t="s">
        <v>85</v>
      </c>
      <c r="O1886" t="s">
        <v>82</v>
      </c>
      <c r="P1886">
        <v>125</v>
      </c>
      <c r="Q1886" t="s">
        <v>82</v>
      </c>
      <c r="R1886">
        <v>0</v>
      </c>
      <c r="S1886">
        <v>0</v>
      </c>
      <c r="T1886">
        <v>-40</v>
      </c>
      <c r="U1886">
        <v>47</v>
      </c>
      <c r="V1886">
        <v>0</v>
      </c>
      <c r="W1886">
        <v>28</v>
      </c>
      <c r="X1886">
        <v>28</v>
      </c>
      <c r="Y1886">
        <v>1</v>
      </c>
      <c r="Z1886">
        <v>7</v>
      </c>
      <c r="AA1886">
        <v>24</v>
      </c>
      <c r="AB1886">
        <v>2</v>
      </c>
      <c r="AC1886">
        <v>5</v>
      </c>
      <c r="AD1886">
        <v>3.2809998999999999</v>
      </c>
      <c r="AE1886">
        <v>1</v>
      </c>
      <c r="AF1886">
        <v>16</v>
      </c>
      <c r="AG1886">
        <v>3.2760000200000001</v>
      </c>
      <c r="AH1886">
        <v>4</v>
      </c>
      <c r="AI1886">
        <v>24</v>
      </c>
      <c r="AJ1886">
        <v>1</v>
      </c>
      <c r="AK1886">
        <v>17</v>
      </c>
      <c r="AL1886">
        <v>49</v>
      </c>
      <c r="AM1886" t="s">
        <v>43</v>
      </c>
      <c r="AN1886" t="str">
        <f>HYPERLINK("https://www.google.com/maps?q=11.05524063,79.06440735","Open Location")</f>
        <v>Open Location</v>
      </c>
    </row>
    <row r="1887" spans="1:40" x14ac:dyDescent="0.3">
      <c r="A1887" s="1">
        <v>46210.781365740739</v>
      </c>
      <c r="B1887" t="s">
        <v>40</v>
      </c>
      <c r="C1887" t="s">
        <v>41</v>
      </c>
      <c r="D1887" s="1">
        <v>46210.784247685187</v>
      </c>
      <c r="E1887" t="s">
        <v>42</v>
      </c>
      <c r="F1887" t="s">
        <v>83</v>
      </c>
      <c r="G1887">
        <v>0</v>
      </c>
      <c r="H1887">
        <v>33205</v>
      </c>
      <c r="I1887" t="s">
        <v>869</v>
      </c>
      <c r="J1887">
        <v>37</v>
      </c>
      <c r="K1887">
        <v>2</v>
      </c>
      <c r="L1887">
        <v>98</v>
      </c>
      <c r="M1887">
        <v>628.59997558999999</v>
      </c>
      <c r="N1887" t="s">
        <v>85</v>
      </c>
      <c r="O1887" t="s">
        <v>82</v>
      </c>
      <c r="P1887">
        <v>125</v>
      </c>
      <c r="Q1887" t="s">
        <v>82</v>
      </c>
      <c r="R1887">
        <v>0</v>
      </c>
      <c r="S1887">
        <v>0</v>
      </c>
      <c r="T1887">
        <v>-40</v>
      </c>
      <c r="U1887">
        <v>47</v>
      </c>
      <c r="V1887">
        <v>0</v>
      </c>
      <c r="W1887">
        <v>28</v>
      </c>
      <c r="X1887">
        <v>28</v>
      </c>
      <c r="Y1887">
        <v>1</v>
      </c>
      <c r="Z1887">
        <v>7</v>
      </c>
      <c r="AA1887">
        <v>24</v>
      </c>
      <c r="AB1887">
        <v>2</v>
      </c>
      <c r="AC1887">
        <v>5</v>
      </c>
      <c r="AD1887">
        <v>3.2809998999999999</v>
      </c>
      <c r="AE1887">
        <v>1</v>
      </c>
      <c r="AF1887">
        <v>16</v>
      </c>
      <c r="AG1887">
        <v>3.2760000200000001</v>
      </c>
      <c r="AH1887">
        <v>4</v>
      </c>
      <c r="AI1887">
        <v>24</v>
      </c>
      <c r="AJ1887">
        <v>1</v>
      </c>
      <c r="AK1887">
        <v>18</v>
      </c>
      <c r="AL1887">
        <v>49</v>
      </c>
      <c r="AM1887" t="s">
        <v>43</v>
      </c>
      <c r="AN1887" t="str">
        <f>HYPERLINK("https://www.google.com/maps?q=11.05524731,79.06440735","Open Location")</f>
        <v>Open Location</v>
      </c>
    </row>
    <row r="1888" spans="1:40" x14ac:dyDescent="0.3">
      <c r="A1888" s="1">
        <v>46210.78125</v>
      </c>
      <c r="B1888" t="s">
        <v>40</v>
      </c>
      <c r="C1888" t="s">
        <v>41</v>
      </c>
      <c r="D1888" s="1">
        <v>46210.784305555557</v>
      </c>
      <c r="E1888" t="s">
        <v>42</v>
      </c>
      <c r="F1888" t="s">
        <v>83</v>
      </c>
      <c r="G1888">
        <v>0</v>
      </c>
      <c r="H1888">
        <v>33205</v>
      </c>
      <c r="I1888" t="s">
        <v>43</v>
      </c>
      <c r="J1888">
        <v>37</v>
      </c>
      <c r="K1888">
        <v>2</v>
      </c>
      <c r="L1888">
        <v>98</v>
      </c>
      <c r="M1888">
        <v>629.09997558999999</v>
      </c>
      <c r="N1888" t="s">
        <v>85</v>
      </c>
      <c r="O1888" t="s">
        <v>82</v>
      </c>
      <c r="P1888">
        <v>125</v>
      </c>
      <c r="Q1888" t="s">
        <v>82</v>
      </c>
      <c r="R1888">
        <v>0</v>
      </c>
      <c r="S1888">
        <v>0</v>
      </c>
      <c r="T1888">
        <v>-40</v>
      </c>
      <c r="U1888">
        <v>47</v>
      </c>
      <c r="V1888">
        <v>0</v>
      </c>
      <c r="W1888" t="s">
        <v>43</v>
      </c>
      <c r="X1888" t="s">
        <v>43</v>
      </c>
      <c r="Y1888" t="s">
        <v>43</v>
      </c>
      <c r="Z1888" t="s">
        <v>43</v>
      </c>
      <c r="AA1888" t="s">
        <v>43</v>
      </c>
      <c r="AB1888" t="s">
        <v>43</v>
      </c>
      <c r="AC1888" t="s">
        <v>43</v>
      </c>
      <c r="AD1888">
        <v>3.27999997</v>
      </c>
      <c r="AE1888">
        <v>1</v>
      </c>
      <c r="AF1888">
        <v>1</v>
      </c>
      <c r="AG1888">
        <v>3.2760000200000001</v>
      </c>
      <c r="AH1888">
        <v>2</v>
      </c>
      <c r="AI1888">
        <v>6</v>
      </c>
      <c r="AJ1888" t="s">
        <v>43</v>
      </c>
      <c r="AK1888" t="s">
        <v>43</v>
      </c>
      <c r="AL1888" t="s">
        <v>43</v>
      </c>
      <c r="AM1888" t="s">
        <v>43</v>
      </c>
      <c r="AN1888" t="s">
        <v>43</v>
      </c>
    </row>
    <row r="1889" spans="1:40" x14ac:dyDescent="0.3">
      <c r="A1889" s="1">
        <v>46210.781134259261</v>
      </c>
      <c r="B1889" t="s">
        <v>40</v>
      </c>
      <c r="C1889" t="s">
        <v>41</v>
      </c>
      <c r="D1889" s="1">
        <v>46210.783946759257</v>
      </c>
      <c r="E1889" t="s">
        <v>42</v>
      </c>
      <c r="F1889" t="s">
        <v>83</v>
      </c>
      <c r="G1889">
        <v>0</v>
      </c>
      <c r="H1889">
        <v>33205</v>
      </c>
      <c r="I1889" t="s">
        <v>870</v>
      </c>
      <c r="J1889">
        <v>37</v>
      </c>
      <c r="K1889">
        <v>2</v>
      </c>
      <c r="L1889">
        <v>98</v>
      </c>
      <c r="M1889">
        <v>628.79998779000005</v>
      </c>
      <c r="N1889" t="s">
        <v>85</v>
      </c>
      <c r="O1889" t="s">
        <v>82</v>
      </c>
      <c r="P1889">
        <v>125</v>
      </c>
      <c r="Q1889" t="s">
        <v>82</v>
      </c>
      <c r="R1889">
        <v>0</v>
      </c>
      <c r="S1889">
        <v>0</v>
      </c>
      <c r="T1889">
        <v>-40</v>
      </c>
      <c r="U1889">
        <v>47</v>
      </c>
      <c r="V1889">
        <v>0</v>
      </c>
      <c r="W1889">
        <v>28</v>
      </c>
      <c r="X1889">
        <v>28</v>
      </c>
      <c r="Y1889">
        <v>1</v>
      </c>
      <c r="Z1889">
        <v>7</v>
      </c>
      <c r="AA1889">
        <v>24</v>
      </c>
      <c r="AB1889">
        <v>2</v>
      </c>
      <c r="AC1889">
        <v>5</v>
      </c>
      <c r="AD1889">
        <v>3.27999997</v>
      </c>
      <c r="AE1889">
        <v>1</v>
      </c>
      <c r="AF1889">
        <v>1</v>
      </c>
      <c r="AG1889">
        <v>3.2750001000000002</v>
      </c>
      <c r="AH1889">
        <v>6</v>
      </c>
      <c r="AI1889">
        <v>24</v>
      </c>
      <c r="AJ1889">
        <v>1</v>
      </c>
      <c r="AK1889">
        <v>18</v>
      </c>
      <c r="AL1889">
        <v>48</v>
      </c>
      <c r="AM1889" t="s">
        <v>43</v>
      </c>
      <c r="AN1889" t="str">
        <f>HYPERLINK("https://www.google.com/maps?q=11.05525303,79.06440735","Open Location")</f>
        <v>Open Location</v>
      </c>
    </row>
    <row r="1890" spans="1:40" x14ac:dyDescent="0.3">
      <c r="A1890" s="1">
        <v>46210.781018518515</v>
      </c>
      <c r="B1890" t="s">
        <v>40</v>
      </c>
      <c r="C1890" t="s">
        <v>41</v>
      </c>
      <c r="D1890" s="1">
        <v>46210.783958333333</v>
      </c>
      <c r="E1890" t="s">
        <v>42</v>
      </c>
      <c r="F1890" t="s">
        <v>83</v>
      </c>
      <c r="G1890">
        <v>0</v>
      </c>
      <c r="H1890">
        <v>33205</v>
      </c>
      <c r="I1890" t="s">
        <v>871</v>
      </c>
      <c r="J1890">
        <v>37</v>
      </c>
      <c r="K1890">
        <v>2</v>
      </c>
      <c r="L1890">
        <v>98</v>
      </c>
      <c r="M1890">
        <v>628.90002441000001</v>
      </c>
      <c r="N1890" t="s">
        <v>85</v>
      </c>
      <c r="O1890" t="s">
        <v>82</v>
      </c>
      <c r="P1890">
        <v>125</v>
      </c>
      <c r="Q1890" t="s">
        <v>82</v>
      </c>
      <c r="R1890">
        <v>0</v>
      </c>
      <c r="S1890">
        <v>0</v>
      </c>
      <c r="T1890">
        <v>-40</v>
      </c>
      <c r="U1890">
        <v>48</v>
      </c>
      <c r="V1890">
        <v>0</v>
      </c>
      <c r="W1890">
        <v>28</v>
      </c>
      <c r="X1890">
        <v>28</v>
      </c>
      <c r="Y1890">
        <v>1</v>
      </c>
      <c r="Z1890">
        <v>7</v>
      </c>
      <c r="AA1890">
        <v>24</v>
      </c>
      <c r="AB1890">
        <v>2</v>
      </c>
      <c r="AC1890">
        <v>5</v>
      </c>
      <c r="AD1890">
        <v>3.27999997</v>
      </c>
      <c r="AE1890">
        <v>1</v>
      </c>
      <c r="AF1890">
        <v>1</v>
      </c>
      <c r="AG1890">
        <v>3.2750001000000002</v>
      </c>
      <c r="AH1890">
        <v>4</v>
      </c>
      <c r="AI1890">
        <v>24</v>
      </c>
      <c r="AJ1890">
        <v>1</v>
      </c>
      <c r="AK1890">
        <v>18</v>
      </c>
      <c r="AL1890">
        <v>48</v>
      </c>
      <c r="AM1890" t="s">
        <v>43</v>
      </c>
      <c r="AN1890" t="str">
        <f>HYPERLINK("https://www.google.com/maps?q=11.05525017,79.06439972","Open Location")</f>
        <v>Open Location</v>
      </c>
    </row>
    <row r="1891" spans="1:40" x14ac:dyDescent="0.3">
      <c r="A1891" s="1">
        <v>46210.780902777777</v>
      </c>
      <c r="B1891" t="s">
        <v>40</v>
      </c>
      <c r="C1891" t="s">
        <v>41</v>
      </c>
      <c r="D1891" s="1">
        <v>46210.783645833333</v>
      </c>
      <c r="E1891" t="s">
        <v>42</v>
      </c>
      <c r="F1891" t="s">
        <v>83</v>
      </c>
      <c r="G1891">
        <v>0</v>
      </c>
      <c r="H1891">
        <v>33205</v>
      </c>
      <c r="I1891" t="s">
        <v>872</v>
      </c>
      <c r="J1891">
        <v>37</v>
      </c>
      <c r="K1891">
        <v>2</v>
      </c>
      <c r="L1891">
        <v>98</v>
      </c>
      <c r="M1891">
        <v>628.79998779000005</v>
      </c>
      <c r="N1891" t="s">
        <v>85</v>
      </c>
      <c r="O1891" t="s">
        <v>82</v>
      </c>
      <c r="P1891">
        <v>125</v>
      </c>
      <c r="Q1891" t="s">
        <v>82</v>
      </c>
      <c r="R1891">
        <v>0</v>
      </c>
      <c r="S1891">
        <v>0</v>
      </c>
      <c r="T1891">
        <v>-40</v>
      </c>
      <c r="U1891">
        <v>48</v>
      </c>
      <c r="V1891">
        <v>0</v>
      </c>
      <c r="W1891">
        <v>28</v>
      </c>
      <c r="X1891">
        <v>28</v>
      </c>
      <c r="Y1891">
        <v>1</v>
      </c>
      <c r="Z1891">
        <v>7</v>
      </c>
      <c r="AA1891">
        <v>24</v>
      </c>
      <c r="AB1891">
        <v>2</v>
      </c>
      <c r="AC1891">
        <v>5</v>
      </c>
      <c r="AD1891">
        <v>3.2790000400000001</v>
      </c>
      <c r="AE1891">
        <v>1</v>
      </c>
      <c r="AF1891">
        <v>1</v>
      </c>
      <c r="AG1891">
        <v>3.2750001000000002</v>
      </c>
      <c r="AH1891">
        <v>2</v>
      </c>
      <c r="AI1891">
        <v>46</v>
      </c>
      <c r="AJ1891">
        <v>1</v>
      </c>
      <c r="AK1891">
        <v>18</v>
      </c>
      <c r="AL1891">
        <v>48</v>
      </c>
      <c r="AM1891" t="s">
        <v>43</v>
      </c>
      <c r="AN1891" t="str">
        <f>HYPERLINK("https://www.google.com/maps?q=11.05524731,79.06439972","Open Location")</f>
        <v>Open Location</v>
      </c>
    </row>
    <row r="1892" spans="1:40" x14ac:dyDescent="0.3">
      <c r="A1892" s="1">
        <v>46210.780787037038</v>
      </c>
      <c r="B1892" t="s">
        <v>40</v>
      </c>
      <c r="C1892" t="s">
        <v>41</v>
      </c>
      <c r="D1892" s="1">
        <v>46210.78361111111</v>
      </c>
      <c r="E1892" t="s">
        <v>42</v>
      </c>
      <c r="F1892" t="s">
        <v>83</v>
      </c>
      <c r="G1892">
        <v>0</v>
      </c>
      <c r="H1892">
        <v>33205</v>
      </c>
      <c r="I1892" t="s">
        <v>873</v>
      </c>
      <c r="J1892">
        <v>37</v>
      </c>
      <c r="K1892">
        <v>2</v>
      </c>
      <c r="L1892">
        <v>98</v>
      </c>
      <c r="M1892">
        <v>628.70001220999995</v>
      </c>
      <c r="N1892" t="s">
        <v>85</v>
      </c>
      <c r="O1892" t="s">
        <v>82</v>
      </c>
      <c r="P1892">
        <v>125</v>
      </c>
      <c r="Q1892" t="s">
        <v>82</v>
      </c>
      <c r="R1892">
        <v>0</v>
      </c>
      <c r="S1892">
        <v>0</v>
      </c>
      <c r="T1892">
        <v>-40</v>
      </c>
      <c r="U1892">
        <v>48</v>
      </c>
      <c r="V1892">
        <v>0</v>
      </c>
      <c r="W1892">
        <v>28</v>
      </c>
      <c r="X1892">
        <v>28</v>
      </c>
      <c r="Y1892">
        <v>1</v>
      </c>
      <c r="Z1892">
        <v>7</v>
      </c>
      <c r="AA1892">
        <v>24</v>
      </c>
      <c r="AB1892">
        <v>2</v>
      </c>
      <c r="AC1892">
        <v>5</v>
      </c>
      <c r="AD1892">
        <v>3.2790000400000001</v>
      </c>
      <c r="AE1892">
        <v>1</v>
      </c>
      <c r="AF1892">
        <v>1</v>
      </c>
      <c r="AG1892">
        <v>3.27399993</v>
      </c>
      <c r="AH1892">
        <v>4</v>
      </c>
      <c r="AI1892">
        <v>24</v>
      </c>
      <c r="AJ1892">
        <v>1</v>
      </c>
      <c r="AK1892">
        <v>18</v>
      </c>
      <c r="AL1892">
        <v>48</v>
      </c>
      <c r="AM1892" t="s">
        <v>43</v>
      </c>
      <c r="AN1892" t="str">
        <f>HYPERLINK("https://www.google.com/maps?q=11.05524635,79.06440735","Open Location")</f>
        <v>Open Location</v>
      </c>
    </row>
    <row r="1893" spans="1:40" x14ac:dyDescent="0.3">
      <c r="A1893" s="1">
        <v>46210.780671296299</v>
      </c>
      <c r="B1893" t="s">
        <v>40</v>
      </c>
      <c r="C1893" t="s">
        <v>41</v>
      </c>
      <c r="D1893" s="1">
        <v>46210.78334490741</v>
      </c>
      <c r="E1893" t="s">
        <v>42</v>
      </c>
      <c r="F1893" t="s">
        <v>83</v>
      </c>
      <c r="G1893">
        <v>0</v>
      </c>
      <c r="H1893">
        <v>33205</v>
      </c>
      <c r="I1893" t="s">
        <v>874</v>
      </c>
      <c r="J1893">
        <v>37</v>
      </c>
      <c r="K1893">
        <v>9</v>
      </c>
      <c r="L1893">
        <v>98</v>
      </c>
      <c r="M1893">
        <v>628.40002441000001</v>
      </c>
      <c r="N1893" t="s">
        <v>85</v>
      </c>
      <c r="O1893" t="s">
        <v>82</v>
      </c>
      <c r="P1893">
        <v>125</v>
      </c>
      <c r="Q1893" t="s">
        <v>82</v>
      </c>
      <c r="R1893">
        <v>0</v>
      </c>
      <c r="S1893">
        <v>0</v>
      </c>
      <c r="T1893">
        <v>-40</v>
      </c>
      <c r="U1893">
        <v>49</v>
      </c>
      <c r="V1893">
        <v>0</v>
      </c>
      <c r="W1893">
        <v>28</v>
      </c>
      <c r="X1893">
        <v>28</v>
      </c>
      <c r="Y1893">
        <v>1</v>
      </c>
      <c r="Z1893">
        <v>7</v>
      </c>
      <c r="AA1893">
        <v>24</v>
      </c>
      <c r="AB1893">
        <v>2</v>
      </c>
      <c r="AC1893">
        <v>5</v>
      </c>
      <c r="AD1893">
        <v>3.2780001200000002</v>
      </c>
      <c r="AE1893">
        <v>1</v>
      </c>
      <c r="AF1893">
        <v>1</v>
      </c>
      <c r="AG1893">
        <v>3.2730000000000001</v>
      </c>
      <c r="AH1893">
        <v>4</v>
      </c>
      <c r="AI1893">
        <v>24</v>
      </c>
      <c r="AJ1893">
        <v>1</v>
      </c>
      <c r="AK1893">
        <v>17</v>
      </c>
      <c r="AL1893">
        <v>48</v>
      </c>
      <c r="AM1893" t="s">
        <v>43</v>
      </c>
      <c r="AN1893" t="str">
        <f>HYPERLINK("https://www.google.com/maps?q=11.0552454,79.06441498","Open Location")</f>
        <v>Open Location</v>
      </c>
    </row>
    <row r="1894" spans="1:40" x14ac:dyDescent="0.3">
      <c r="A1894" s="1">
        <v>46210.780555555553</v>
      </c>
      <c r="B1894" t="s">
        <v>40</v>
      </c>
      <c r="C1894" t="s">
        <v>41</v>
      </c>
      <c r="D1894" s="1">
        <v>46210.78334490741</v>
      </c>
      <c r="E1894" t="s">
        <v>42</v>
      </c>
      <c r="F1894" t="s">
        <v>83</v>
      </c>
      <c r="G1894">
        <v>0</v>
      </c>
      <c r="H1894">
        <v>33205</v>
      </c>
      <c r="I1894" t="s">
        <v>43</v>
      </c>
      <c r="J1894">
        <v>37</v>
      </c>
      <c r="K1894">
        <v>9</v>
      </c>
      <c r="L1894">
        <v>98</v>
      </c>
      <c r="M1894">
        <v>628.20001220999995</v>
      </c>
      <c r="N1894" t="s">
        <v>85</v>
      </c>
      <c r="O1894" t="s">
        <v>82</v>
      </c>
      <c r="P1894">
        <v>125</v>
      </c>
      <c r="Q1894" t="s">
        <v>82</v>
      </c>
      <c r="R1894">
        <v>0</v>
      </c>
      <c r="S1894">
        <v>0</v>
      </c>
      <c r="T1894">
        <v>-40</v>
      </c>
      <c r="U1894">
        <v>49</v>
      </c>
      <c r="V1894">
        <v>0</v>
      </c>
      <c r="W1894">
        <v>28</v>
      </c>
      <c r="X1894">
        <v>28</v>
      </c>
      <c r="Y1894">
        <v>1</v>
      </c>
      <c r="Z1894">
        <v>7</v>
      </c>
      <c r="AA1894">
        <v>24</v>
      </c>
      <c r="AB1894">
        <v>2</v>
      </c>
      <c r="AC1894">
        <v>5</v>
      </c>
      <c r="AD1894">
        <v>3.27699995</v>
      </c>
      <c r="AE1894">
        <v>1</v>
      </c>
      <c r="AF1894">
        <v>1</v>
      </c>
      <c r="AG1894">
        <v>3.27099991</v>
      </c>
      <c r="AH1894">
        <v>6</v>
      </c>
      <c r="AI1894">
        <v>24</v>
      </c>
      <c r="AJ1894">
        <v>1</v>
      </c>
      <c r="AK1894">
        <v>17</v>
      </c>
      <c r="AL1894">
        <v>48</v>
      </c>
      <c r="AM1894" t="s">
        <v>43</v>
      </c>
      <c r="AN1894" t="s">
        <v>43</v>
      </c>
    </row>
    <row r="1895" spans="1:40" x14ac:dyDescent="0.3">
      <c r="A1895" s="1">
        <v>46210.780439814815</v>
      </c>
      <c r="B1895" t="s">
        <v>40</v>
      </c>
      <c r="C1895" t="s">
        <v>41</v>
      </c>
      <c r="D1895" s="1">
        <v>46210.783182870371</v>
      </c>
      <c r="E1895" t="s">
        <v>42</v>
      </c>
      <c r="F1895" t="s">
        <v>83</v>
      </c>
      <c r="G1895">
        <v>0</v>
      </c>
      <c r="H1895">
        <v>33205</v>
      </c>
      <c r="I1895" t="s">
        <v>875</v>
      </c>
      <c r="J1895">
        <v>37</v>
      </c>
      <c r="K1895">
        <v>8</v>
      </c>
      <c r="L1895">
        <v>98</v>
      </c>
      <c r="M1895">
        <v>628.5</v>
      </c>
      <c r="N1895" t="s">
        <v>85</v>
      </c>
      <c r="O1895" t="s">
        <v>82</v>
      </c>
      <c r="P1895">
        <v>125</v>
      </c>
      <c r="Q1895" t="s">
        <v>82</v>
      </c>
      <c r="R1895">
        <v>0</v>
      </c>
      <c r="S1895">
        <v>0</v>
      </c>
      <c r="T1895">
        <v>-40</v>
      </c>
      <c r="U1895">
        <v>49</v>
      </c>
      <c r="V1895">
        <v>0</v>
      </c>
      <c r="W1895">
        <v>28</v>
      </c>
      <c r="X1895">
        <v>28</v>
      </c>
      <c r="Y1895">
        <v>1</v>
      </c>
      <c r="Z1895">
        <v>7</v>
      </c>
      <c r="AA1895">
        <v>24</v>
      </c>
      <c r="AB1895">
        <v>2</v>
      </c>
      <c r="AC1895">
        <v>5</v>
      </c>
      <c r="AD1895">
        <v>3.27699995</v>
      </c>
      <c r="AE1895">
        <v>1</v>
      </c>
      <c r="AF1895">
        <v>16</v>
      </c>
      <c r="AG1895">
        <v>3.27099991</v>
      </c>
      <c r="AH1895">
        <v>4</v>
      </c>
      <c r="AI1895">
        <v>24</v>
      </c>
      <c r="AJ1895">
        <v>1</v>
      </c>
      <c r="AK1895">
        <v>17</v>
      </c>
      <c r="AL1895">
        <v>48</v>
      </c>
      <c r="AM1895" t="s">
        <v>43</v>
      </c>
      <c r="AN1895" t="str">
        <f>HYPERLINK("https://www.google.com/maps?q=11.05525017,79.06442261","Open Location")</f>
        <v>Open Location</v>
      </c>
    </row>
    <row r="1896" spans="1:40" x14ac:dyDescent="0.3">
      <c r="A1896" s="1">
        <v>46210.780324074076</v>
      </c>
      <c r="B1896" t="s">
        <v>40</v>
      </c>
      <c r="C1896" t="s">
        <v>41</v>
      </c>
      <c r="D1896" s="1">
        <v>46210.783182870371</v>
      </c>
      <c r="E1896" t="s">
        <v>42</v>
      </c>
      <c r="F1896" t="s">
        <v>83</v>
      </c>
      <c r="G1896">
        <v>0</v>
      </c>
      <c r="H1896">
        <v>33205</v>
      </c>
      <c r="I1896" t="s">
        <v>869</v>
      </c>
      <c r="J1896">
        <v>37</v>
      </c>
      <c r="K1896">
        <v>2</v>
      </c>
      <c r="L1896">
        <v>98</v>
      </c>
      <c r="M1896">
        <v>628.5</v>
      </c>
      <c r="N1896" t="s">
        <v>85</v>
      </c>
      <c r="O1896" t="s">
        <v>82</v>
      </c>
      <c r="P1896">
        <v>125</v>
      </c>
      <c r="Q1896" t="s">
        <v>82</v>
      </c>
      <c r="R1896">
        <v>0</v>
      </c>
      <c r="S1896">
        <v>88</v>
      </c>
      <c r="T1896">
        <v>-40</v>
      </c>
      <c r="U1896">
        <v>49</v>
      </c>
      <c r="V1896">
        <v>0</v>
      </c>
      <c r="W1896">
        <v>28</v>
      </c>
      <c r="X1896">
        <v>28</v>
      </c>
      <c r="Y1896">
        <v>1</v>
      </c>
      <c r="Z1896">
        <v>7</v>
      </c>
      <c r="AA1896">
        <v>24</v>
      </c>
      <c r="AB1896">
        <v>2</v>
      </c>
      <c r="AC1896">
        <v>5</v>
      </c>
      <c r="AD1896">
        <v>3.27699995</v>
      </c>
      <c r="AE1896">
        <v>1</v>
      </c>
      <c r="AF1896">
        <v>1</v>
      </c>
      <c r="AG1896">
        <v>3.2720000699999998</v>
      </c>
      <c r="AH1896">
        <v>6</v>
      </c>
      <c r="AI1896">
        <v>24</v>
      </c>
      <c r="AJ1896">
        <v>1</v>
      </c>
      <c r="AK1896">
        <v>17</v>
      </c>
      <c r="AL1896">
        <v>48</v>
      </c>
      <c r="AM1896" t="s">
        <v>43</v>
      </c>
      <c r="AN1896" t="str">
        <f>HYPERLINK("https://www.google.com/maps?q=11.05524731,79.06440735","Open Location")</f>
        <v>Open Location</v>
      </c>
    </row>
    <row r="1897" spans="1:40" x14ac:dyDescent="0.3">
      <c r="A1897" s="1">
        <v>46210.78020833333</v>
      </c>
      <c r="B1897" t="s">
        <v>40</v>
      </c>
      <c r="C1897" t="s">
        <v>41</v>
      </c>
      <c r="D1897" s="1">
        <v>46210.782986111109</v>
      </c>
      <c r="E1897" t="s">
        <v>42</v>
      </c>
      <c r="F1897" t="s">
        <v>83</v>
      </c>
      <c r="G1897">
        <v>13</v>
      </c>
      <c r="H1897">
        <v>33205</v>
      </c>
      <c r="I1897" t="s">
        <v>876</v>
      </c>
      <c r="J1897">
        <v>37</v>
      </c>
      <c r="K1897">
        <v>47</v>
      </c>
      <c r="L1897">
        <v>98</v>
      </c>
      <c r="M1897">
        <v>625.29998779000005</v>
      </c>
      <c r="N1897" t="s">
        <v>87</v>
      </c>
      <c r="O1897" t="s">
        <v>86</v>
      </c>
      <c r="P1897">
        <v>129</v>
      </c>
      <c r="Q1897">
        <v>4</v>
      </c>
      <c r="R1897">
        <v>-11</v>
      </c>
      <c r="S1897">
        <v>1007</v>
      </c>
      <c r="T1897">
        <v>-40</v>
      </c>
      <c r="U1897">
        <v>50</v>
      </c>
      <c r="V1897">
        <v>262</v>
      </c>
      <c r="W1897">
        <v>28</v>
      </c>
      <c r="X1897">
        <v>28</v>
      </c>
      <c r="Y1897">
        <v>1</v>
      </c>
      <c r="Z1897">
        <v>7</v>
      </c>
      <c r="AA1897">
        <v>24</v>
      </c>
      <c r="AB1897">
        <v>2</v>
      </c>
      <c r="AC1897">
        <v>5</v>
      </c>
      <c r="AD1897">
        <v>3.2780001200000002</v>
      </c>
      <c r="AE1897">
        <v>1</v>
      </c>
      <c r="AF1897">
        <v>1</v>
      </c>
      <c r="AG1897">
        <v>3.27399993</v>
      </c>
      <c r="AH1897">
        <v>2</v>
      </c>
      <c r="AI1897">
        <v>6</v>
      </c>
      <c r="AJ1897">
        <v>1</v>
      </c>
      <c r="AK1897">
        <v>17</v>
      </c>
      <c r="AL1897">
        <v>48</v>
      </c>
      <c r="AM1897" t="s">
        <v>43</v>
      </c>
      <c r="AN1897" t="str">
        <f>HYPERLINK("https://www.google.com/maps?q=11.05554008,79.06441498","Open Location")</f>
        <v>Open Location</v>
      </c>
    </row>
    <row r="1898" spans="1:40" x14ac:dyDescent="0.3">
      <c r="A1898" s="1">
        <v>46210.780092592591</v>
      </c>
      <c r="B1898" t="s">
        <v>40</v>
      </c>
      <c r="C1898" t="s">
        <v>41</v>
      </c>
      <c r="D1898" s="1">
        <v>46210.782800925925</v>
      </c>
      <c r="E1898" t="s">
        <v>42</v>
      </c>
      <c r="F1898" t="s">
        <v>83</v>
      </c>
      <c r="G1898">
        <v>14</v>
      </c>
      <c r="H1898">
        <v>33205</v>
      </c>
      <c r="I1898" t="s">
        <v>877</v>
      </c>
      <c r="J1898">
        <v>37</v>
      </c>
      <c r="K1898">
        <v>38</v>
      </c>
      <c r="L1898">
        <v>98</v>
      </c>
      <c r="M1898">
        <v>626</v>
      </c>
      <c r="N1898" t="s">
        <v>87</v>
      </c>
      <c r="O1898" t="s">
        <v>86</v>
      </c>
      <c r="P1898">
        <v>129</v>
      </c>
      <c r="Q1898">
        <v>4</v>
      </c>
      <c r="R1898">
        <v>23</v>
      </c>
      <c r="S1898">
        <v>1043</v>
      </c>
      <c r="T1898">
        <v>-40</v>
      </c>
      <c r="U1898">
        <v>50</v>
      </c>
      <c r="V1898">
        <v>200</v>
      </c>
      <c r="W1898">
        <v>28</v>
      </c>
      <c r="X1898">
        <v>28</v>
      </c>
      <c r="Y1898">
        <v>1</v>
      </c>
      <c r="Z1898">
        <v>7</v>
      </c>
      <c r="AA1898">
        <v>24</v>
      </c>
      <c r="AB1898">
        <v>2</v>
      </c>
      <c r="AC1898">
        <v>5</v>
      </c>
      <c r="AD1898">
        <v>3.2760000200000001</v>
      </c>
      <c r="AE1898">
        <v>1</v>
      </c>
      <c r="AF1898">
        <v>1</v>
      </c>
      <c r="AG1898">
        <v>3.27099991</v>
      </c>
      <c r="AH1898">
        <v>4</v>
      </c>
      <c r="AI1898">
        <v>24</v>
      </c>
      <c r="AJ1898">
        <v>1</v>
      </c>
      <c r="AK1898">
        <v>17</v>
      </c>
      <c r="AL1898">
        <v>48</v>
      </c>
      <c r="AM1898" t="s">
        <v>43</v>
      </c>
      <c r="AN1898" t="str">
        <f>HYPERLINK("https://www.google.com/maps?q=11.05580807,79.06407928","Open Location")</f>
        <v>Open Location</v>
      </c>
    </row>
    <row r="1899" spans="1:40" x14ac:dyDescent="0.3">
      <c r="A1899" s="1">
        <v>46210.779976851853</v>
      </c>
      <c r="B1899" t="s">
        <v>40</v>
      </c>
      <c r="C1899" t="s">
        <v>41</v>
      </c>
      <c r="D1899" s="1">
        <v>46210.782754629632</v>
      </c>
      <c r="E1899" t="s">
        <v>42</v>
      </c>
      <c r="F1899" t="s">
        <v>83</v>
      </c>
      <c r="G1899">
        <v>14</v>
      </c>
      <c r="H1899" t="s">
        <v>43</v>
      </c>
      <c r="I1899" t="s">
        <v>43</v>
      </c>
      <c r="J1899">
        <v>37</v>
      </c>
      <c r="K1899">
        <v>82</v>
      </c>
      <c r="L1899">
        <v>98</v>
      </c>
      <c r="M1899">
        <v>624.79998779000005</v>
      </c>
      <c r="N1899" t="s">
        <v>87</v>
      </c>
      <c r="O1899" t="s">
        <v>86</v>
      </c>
      <c r="P1899">
        <v>128</v>
      </c>
      <c r="Q1899">
        <v>3</v>
      </c>
      <c r="R1899">
        <v>72</v>
      </c>
      <c r="S1899">
        <v>1442</v>
      </c>
      <c r="T1899">
        <v>-40</v>
      </c>
      <c r="U1899">
        <v>51</v>
      </c>
      <c r="V1899">
        <v>320</v>
      </c>
      <c r="W1899">
        <v>28</v>
      </c>
      <c r="X1899">
        <v>28</v>
      </c>
      <c r="Y1899">
        <v>1</v>
      </c>
      <c r="Z1899">
        <v>7</v>
      </c>
      <c r="AA1899">
        <v>24</v>
      </c>
      <c r="AB1899">
        <v>2</v>
      </c>
      <c r="AC1899">
        <v>5</v>
      </c>
      <c r="AD1899">
        <v>3.2579999000000002</v>
      </c>
      <c r="AE1899">
        <v>1</v>
      </c>
      <c r="AF1899">
        <v>1</v>
      </c>
      <c r="AG1899">
        <v>3.24699998</v>
      </c>
      <c r="AH1899">
        <v>4</v>
      </c>
      <c r="AI1899">
        <v>24</v>
      </c>
      <c r="AJ1899">
        <v>1</v>
      </c>
      <c r="AK1899">
        <v>17</v>
      </c>
      <c r="AL1899">
        <v>48</v>
      </c>
      <c r="AM1899" t="s">
        <v>43</v>
      </c>
      <c r="AN1899" t="s">
        <v>43</v>
      </c>
    </row>
    <row r="1900" spans="1:40" x14ac:dyDescent="0.3">
      <c r="A1900" s="1">
        <v>46210.779861111114</v>
      </c>
      <c r="B1900" t="s">
        <v>40</v>
      </c>
      <c r="C1900" t="s">
        <v>41</v>
      </c>
      <c r="D1900" s="1">
        <v>46210.782766203702</v>
      </c>
      <c r="E1900" t="s">
        <v>42</v>
      </c>
      <c r="F1900" t="s">
        <v>83</v>
      </c>
      <c r="G1900">
        <v>13</v>
      </c>
      <c r="H1900">
        <v>33205</v>
      </c>
      <c r="I1900" t="s">
        <v>878</v>
      </c>
      <c r="J1900">
        <v>37</v>
      </c>
      <c r="K1900">
        <v>60</v>
      </c>
      <c r="L1900">
        <v>98</v>
      </c>
      <c r="M1900">
        <v>626</v>
      </c>
      <c r="N1900" t="s">
        <v>87</v>
      </c>
      <c r="O1900" t="s">
        <v>86</v>
      </c>
      <c r="P1900">
        <v>128</v>
      </c>
      <c r="Q1900">
        <v>3</v>
      </c>
      <c r="R1900">
        <v>13</v>
      </c>
      <c r="S1900">
        <v>1671</v>
      </c>
      <c r="T1900">
        <v>-40</v>
      </c>
      <c r="U1900">
        <v>49</v>
      </c>
      <c r="V1900">
        <v>80</v>
      </c>
      <c r="W1900" t="s">
        <v>43</v>
      </c>
      <c r="X1900" t="s">
        <v>43</v>
      </c>
      <c r="Y1900" t="s">
        <v>43</v>
      </c>
      <c r="Z1900" t="s">
        <v>43</v>
      </c>
      <c r="AA1900" t="s">
        <v>43</v>
      </c>
      <c r="AB1900" t="s">
        <v>43</v>
      </c>
      <c r="AC1900" t="s">
        <v>43</v>
      </c>
      <c r="AD1900">
        <v>3.2809998999999999</v>
      </c>
      <c r="AE1900">
        <v>1</v>
      </c>
      <c r="AF1900">
        <v>16</v>
      </c>
      <c r="AG1900">
        <v>3.2760000200000001</v>
      </c>
      <c r="AH1900">
        <v>6</v>
      </c>
      <c r="AI1900">
        <v>24</v>
      </c>
      <c r="AJ1900">
        <v>1</v>
      </c>
      <c r="AK1900">
        <v>18</v>
      </c>
      <c r="AL1900">
        <v>48</v>
      </c>
      <c r="AM1900" t="s">
        <v>43</v>
      </c>
      <c r="AN1900" t="str">
        <f>HYPERLINK("https://www.google.com/maps?q=11.05582809,79.0637207","Open Location")</f>
        <v>Open Location</v>
      </c>
    </row>
    <row r="1901" spans="1:40" x14ac:dyDescent="0.3">
      <c r="A1901" s="1">
        <v>46210.779745370368</v>
      </c>
      <c r="B1901" t="s">
        <v>40</v>
      </c>
      <c r="C1901" t="s">
        <v>41</v>
      </c>
      <c r="D1901" s="1">
        <v>46210.782777777778</v>
      </c>
      <c r="E1901" t="s">
        <v>42</v>
      </c>
      <c r="F1901" t="s">
        <v>83</v>
      </c>
      <c r="G1901">
        <v>10</v>
      </c>
      <c r="H1901">
        <v>33205</v>
      </c>
      <c r="I1901" t="s">
        <v>879</v>
      </c>
      <c r="J1901">
        <v>37</v>
      </c>
      <c r="K1901">
        <v>45</v>
      </c>
      <c r="L1901">
        <v>98</v>
      </c>
      <c r="M1901">
        <v>625.90002441000001</v>
      </c>
      <c r="N1901" t="s">
        <v>87</v>
      </c>
      <c r="O1901" t="s">
        <v>86</v>
      </c>
      <c r="P1901">
        <v>127</v>
      </c>
      <c r="Q1901">
        <v>2</v>
      </c>
      <c r="R1901">
        <v>-10</v>
      </c>
      <c r="S1901">
        <v>1678</v>
      </c>
      <c r="T1901">
        <v>-40</v>
      </c>
      <c r="U1901">
        <v>49</v>
      </c>
      <c r="V1901">
        <v>140</v>
      </c>
      <c r="W1901">
        <v>28</v>
      </c>
      <c r="X1901">
        <v>28</v>
      </c>
      <c r="Y1901">
        <v>1</v>
      </c>
      <c r="Z1901">
        <v>7</v>
      </c>
      <c r="AA1901">
        <v>24</v>
      </c>
      <c r="AB1901">
        <v>2</v>
      </c>
      <c r="AC1901">
        <v>5</v>
      </c>
      <c r="AD1901">
        <v>3.3039999</v>
      </c>
      <c r="AE1901">
        <v>8</v>
      </c>
      <c r="AF1901">
        <v>35</v>
      </c>
      <c r="AG1901">
        <v>3.2969999300000001</v>
      </c>
      <c r="AH1901">
        <v>7</v>
      </c>
      <c r="AI1901">
        <v>6</v>
      </c>
      <c r="AJ1901">
        <v>1</v>
      </c>
      <c r="AK1901">
        <v>17</v>
      </c>
      <c r="AL1901">
        <v>48</v>
      </c>
      <c r="AM1901" t="s">
        <v>43</v>
      </c>
      <c r="AN1901" t="str">
        <f>HYPERLINK("https://www.google.com/maps?q=11.05551529,79.06352234","Open Location")</f>
        <v>Open Location</v>
      </c>
    </row>
    <row r="1902" spans="1:40" x14ac:dyDescent="0.3">
      <c r="A1902" s="1">
        <v>46210.779629629629</v>
      </c>
      <c r="B1902" t="s">
        <v>40</v>
      </c>
      <c r="C1902" t="s">
        <v>41</v>
      </c>
      <c r="D1902" s="1">
        <v>46210.782569444447</v>
      </c>
      <c r="E1902" t="s">
        <v>42</v>
      </c>
      <c r="F1902" t="s">
        <v>83</v>
      </c>
      <c r="G1902">
        <v>0</v>
      </c>
      <c r="H1902">
        <v>33205</v>
      </c>
      <c r="I1902" t="s">
        <v>880</v>
      </c>
      <c r="J1902">
        <v>37</v>
      </c>
      <c r="K1902">
        <v>9</v>
      </c>
      <c r="L1902">
        <v>98</v>
      </c>
      <c r="M1902">
        <v>627.79998779000005</v>
      </c>
      <c r="N1902" t="s">
        <v>85</v>
      </c>
      <c r="O1902" t="s">
        <v>86</v>
      </c>
      <c r="P1902">
        <v>127</v>
      </c>
      <c r="Q1902">
        <v>2</v>
      </c>
      <c r="R1902">
        <v>0</v>
      </c>
      <c r="S1902">
        <v>0</v>
      </c>
      <c r="T1902">
        <v>-40</v>
      </c>
      <c r="U1902">
        <v>48</v>
      </c>
      <c r="V1902">
        <v>5</v>
      </c>
      <c r="W1902">
        <v>28</v>
      </c>
      <c r="X1902">
        <v>28</v>
      </c>
      <c r="Y1902">
        <v>1</v>
      </c>
      <c r="Z1902">
        <v>7</v>
      </c>
      <c r="AA1902">
        <v>24</v>
      </c>
      <c r="AB1902">
        <v>2</v>
      </c>
      <c r="AC1902">
        <v>5</v>
      </c>
      <c r="AD1902">
        <v>3.27099991</v>
      </c>
      <c r="AE1902">
        <v>1</v>
      </c>
      <c r="AF1902">
        <v>1</v>
      </c>
      <c r="AG1902">
        <v>3.2630000099999998</v>
      </c>
      <c r="AH1902">
        <v>4</v>
      </c>
      <c r="AI1902">
        <v>17</v>
      </c>
      <c r="AJ1902">
        <v>1</v>
      </c>
      <c r="AK1902">
        <v>17</v>
      </c>
      <c r="AL1902">
        <v>49</v>
      </c>
      <c r="AM1902" t="s">
        <v>43</v>
      </c>
      <c r="AN1902" t="str">
        <f>HYPERLINK("https://www.google.com/maps?q=11.05538654,79.06345367","Open Location")</f>
        <v>Open Location</v>
      </c>
    </row>
    <row r="1903" spans="1:40" x14ac:dyDescent="0.3">
      <c r="A1903" s="1">
        <v>46210.779513888891</v>
      </c>
      <c r="B1903" t="s">
        <v>40</v>
      </c>
      <c r="C1903" t="s">
        <v>41</v>
      </c>
      <c r="D1903" s="1">
        <v>46210.782395833332</v>
      </c>
      <c r="E1903" t="s">
        <v>42</v>
      </c>
      <c r="F1903" t="s">
        <v>83</v>
      </c>
      <c r="G1903">
        <v>0</v>
      </c>
      <c r="H1903">
        <v>33205</v>
      </c>
      <c r="I1903" t="s">
        <v>881</v>
      </c>
      <c r="J1903">
        <v>37</v>
      </c>
      <c r="K1903">
        <v>9</v>
      </c>
      <c r="L1903">
        <v>98</v>
      </c>
      <c r="M1903">
        <v>628.09997558999999</v>
      </c>
      <c r="N1903" t="s">
        <v>85</v>
      </c>
      <c r="O1903" t="s">
        <v>86</v>
      </c>
      <c r="P1903">
        <v>127</v>
      </c>
      <c r="Q1903">
        <v>2</v>
      </c>
      <c r="R1903">
        <v>0</v>
      </c>
      <c r="S1903">
        <v>0</v>
      </c>
      <c r="T1903">
        <v>-40</v>
      </c>
      <c r="U1903">
        <v>48</v>
      </c>
      <c r="V1903">
        <v>5</v>
      </c>
      <c r="W1903">
        <v>28</v>
      </c>
      <c r="X1903">
        <v>28</v>
      </c>
      <c r="Y1903">
        <v>1</v>
      </c>
      <c r="Z1903">
        <v>7</v>
      </c>
      <c r="AA1903">
        <v>24</v>
      </c>
      <c r="AB1903">
        <v>2</v>
      </c>
      <c r="AC1903">
        <v>5</v>
      </c>
      <c r="AD1903">
        <v>3.27699995</v>
      </c>
      <c r="AE1903">
        <v>1</v>
      </c>
      <c r="AF1903">
        <v>1</v>
      </c>
      <c r="AG1903">
        <v>3.2720000699999998</v>
      </c>
      <c r="AH1903">
        <v>4</v>
      </c>
      <c r="AI1903">
        <v>17</v>
      </c>
      <c r="AJ1903">
        <v>1</v>
      </c>
      <c r="AK1903">
        <v>17</v>
      </c>
      <c r="AL1903">
        <v>49</v>
      </c>
      <c r="AM1903" t="s">
        <v>43</v>
      </c>
      <c r="AN1903" t="str">
        <f>HYPERLINK("https://www.google.com/maps?q=11.05537891,79.06345367","Open Location")</f>
        <v>Open Location</v>
      </c>
    </row>
    <row r="1904" spans="1:40" x14ac:dyDescent="0.3">
      <c r="A1904" s="1">
        <v>46210.779398148145</v>
      </c>
      <c r="B1904" t="s">
        <v>40</v>
      </c>
      <c r="C1904" t="s">
        <v>41</v>
      </c>
      <c r="D1904" s="1">
        <v>46210.782222222224</v>
      </c>
      <c r="E1904" t="s">
        <v>42</v>
      </c>
      <c r="F1904" t="s">
        <v>83</v>
      </c>
      <c r="G1904">
        <v>0</v>
      </c>
      <c r="H1904">
        <v>33205</v>
      </c>
      <c r="I1904" t="s">
        <v>882</v>
      </c>
      <c r="J1904">
        <v>37</v>
      </c>
      <c r="K1904">
        <v>0</v>
      </c>
      <c r="L1904">
        <v>98</v>
      </c>
      <c r="M1904">
        <v>627.90002441000001</v>
      </c>
      <c r="N1904" t="s">
        <v>85</v>
      </c>
      <c r="O1904" t="s">
        <v>86</v>
      </c>
      <c r="P1904">
        <v>127</v>
      </c>
      <c r="Q1904">
        <v>2</v>
      </c>
      <c r="R1904">
        <v>0</v>
      </c>
      <c r="S1904">
        <v>1507</v>
      </c>
      <c r="T1904">
        <v>-40</v>
      </c>
      <c r="U1904">
        <v>48</v>
      </c>
      <c r="V1904">
        <v>-5</v>
      </c>
      <c r="W1904">
        <v>28</v>
      </c>
      <c r="X1904">
        <v>28</v>
      </c>
      <c r="Y1904">
        <v>1</v>
      </c>
      <c r="Z1904">
        <v>7</v>
      </c>
      <c r="AA1904">
        <v>24</v>
      </c>
      <c r="AB1904">
        <v>2</v>
      </c>
      <c r="AC1904">
        <v>5</v>
      </c>
      <c r="AD1904">
        <v>3.2780001200000002</v>
      </c>
      <c r="AE1904">
        <v>1</v>
      </c>
      <c r="AF1904">
        <v>1</v>
      </c>
      <c r="AG1904">
        <v>3.2730000000000001</v>
      </c>
      <c r="AH1904">
        <v>2</v>
      </c>
      <c r="AI1904">
        <v>46</v>
      </c>
      <c r="AJ1904">
        <v>1</v>
      </c>
      <c r="AK1904">
        <v>17</v>
      </c>
      <c r="AL1904">
        <v>49</v>
      </c>
      <c r="AM1904" t="s">
        <v>43</v>
      </c>
      <c r="AN1904" t="str">
        <f>HYPERLINK("https://www.google.com/maps?q=11.05527401,79.06340027","Open Location")</f>
        <v>Open Location</v>
      </c>
    </row>
    <row r="1905" spans="1:40" x14ac:dyDescent="0.3">
      <c r="A1905" s="1">
        <v>46210.779282407406</v>
      </c>
      <c r="B1905" t="s">
        <v>40</v>
      </c>
      <c r="C1905" t="s">
        <v>41</v>
      </c>
      <c r="D1905" s="1">
        <v>46210.782187500001</v>
      </c>
      <c r="E1905" t="s">
        <v>42</v>
      </c>
      <c r="F1905" t="s">
        <v>83</v>
      </c>
      <c r="G1905">
        <v>5</v>
      </c>
      <c r="H1905" t="s">
        <v>43</v>
      </c>
      <c r="I1905" t="s">
        <v>43</v>
      </c>
      <c r="J1905">
        <v>37</v>
      </c>
      <c r="K1905">
        <v>2</v>
      </c>
      <c r="L1905">
        <v>98</v>
      </c>
      <c r="M1905">
        <v>628.79998779000005</v>
      </c>
      <c r="N1905" t="s">
        <v>87</v>
      </c>
      <c r="O1905" t="s">
        <v>86</v>
      </c>
      <c r="P1905">
        <v>127</v>
      </c>
      <c r="Q1905">
        <v>2</v>
      </c>
      <c r="R1905">
        <v>45</v>
      </c>
      <c r="S1905">
        <v>0</v>
      </c>
      <c r="T1905">
        <v>-40</v>
      </c>
      <c r="U1905">
        <v>49</v>
      </c>
      <c r="V1905">
        <v>5</v>
      </c>
      <c r="W1905">
        <v>28</v>
      </c>
      <c r="X1905">
        <v>28</v>
      </c>
      <c r="Y1905">
        <v>1</v>
      </c>
      <c r="Z1905">
        <v>7</v>
      </c>
      <c r="AA1905">
        <v>24</v>
      </c>
      <c r="AB1905">
        <v>2</v>
      </c>
      <c r="AC1905">
        <v>5</v>
      </c>
      <c r="AD1905">
        <v>3.2660000299999998</v>
      </c>
      <c r="AE1905">
        <v>1</v>
      </c>
      <c r="AF1905">
        <v>1</v>
      </c>
      <c r="AG1905">
        <v>3.25600004</v>
      </c>
      <c r="AH1905">
        <v>6</v>
      </c>
      <c r="AI1905">
        <v>24</v>
      </c>
      <c r="AJ1905">
        <v>1</v>
      </c>
      <c r="AK1905">
        <v>17</v>
      </c>
      <c r="AL1905">
        <v>49</v>
      </c>
      <c r="AM1905" t="s">
        <v>43</v>
      </c>
      <c r="AN1905" t="s">
        <v>43</v>
      </c>
    </row>
    <row r="1906" spans="1:40" x14ac:dyDescent="0.3">
      <c r="A1906" s="1">
        <v>46210.779166666667</v>
      </c>
      <c r="B1906" t="s">
        <v>40</v>
      </c>
      <c r="C1906" t="s">
        <v>41</v>
      </c>
      <c r="D1906" s="1">
        <v>46210.781990740739</v>
      </c>
      <c r="E1906" t="s">
        <v>42</v>
      </c>
      <c r="F1906" t="s">
        <v>83</v>
      </c>
      <c r="G1906">
        <v>0</v>
      </c>
      <c r="H1906">
        <v>33205</v>
      </c>
      <c r="I1906" t="s">
        <v>883</v>
      </c>
      <c r="J1906">
        <v>37</v>
      </c>
      <c r="K1906">
        <v>2</v>
      </c>
      <c r="L1906">
        <v>98</v>
      </c>
      <c r="M1906">
        <v>628.09997558999999</v>
      </c>
      <c r="N1906" t="s">
        <v>85</v>
      </c>
      <c r="O1906" t="s">
        <v>86</v>
      </c>
      <c r="P1906">
        <v>127</v>
      </c>
      <c r="Q1906">
        <v>2</v>
      </c>
      <c r="R1906">
        <v>0</v>
      </c>
      <c r="S1906">
        <v>0</v>
      </c>
      <c r="T1906">
        <v>-40</v>
      </c>
      <c r="U1906">
        <v>48</v>
      </c>
      <c r="V1906">
        <v>5</v>
      </c>
      <c r="W1906" t="s">
        <v>43</v>
      </c>
      <c r="X1906" t="s">
        <v>43</v>
      </c>
      <c r="Y1906" t="s">
        <v>43</v>
      </c>
      <c r="Z1906" t="s">
        <v>43</v>
      </c>
      <c r="AA1906" t="s">
        <v>43</v>
      </c>
      <c r="AB1906" t="s">
        <v>43</v>
      </c>
      <c r="AC1906" t="s">
        <v>43</v>
      </c>
      <c r="AD1906">
        <v>3.2780001200000002</v>
      </c>
      <c r="AE1906">
        <v>1</v>
      </c>
      <c r="AF1906">
        <v>1</v>
      </c>
      <c r="AG1906">
        <v>3.27399993</v>
      </c>
      <c r="AH1906">
        <v>2</v>
      </c>
      <c r="AI1906">
        <v>46</v>
      </c>
      <c r="AJ1906">
        <v>1</v>
      </c>
      <c r="AK1906">
        <v>17</v>
      </c>
      <c r="AL1906">
        <v>49</v>
      </c>
      <c r="AM1906" t="s">
        <v>43</v>
      </c>
      <c r="AN1906" t="str">
        <f>HYPERLINK("https://www.google.com/maps?q=11.05521297,79.06337738","Open Location")</f>
        <v>Open Location</v>
      </c>
    </row>
    <row r="1907" spans="1:40" x14ac:dyDescent="0.3">
      <c r="A1907" s="1">
        <v>46210.779050925928</v>
      </c>
      <c r="B1907" t="s">
        <v>40</v>
      </c>
      <c r="C1907" t="s">
        <v>41</v>
      </c>
      <c r="D1907" s="1">
        <v>46210.781817129631</v>
      </c>
      <c r="E1907" t="s">
        <v>42</v>
      </c>
      <c r="F1907" t="s">
        <v>83</v>
      </c>
      <c r="G1907">
        <v>0</v>
      </c>
      <c r="H1907">
        <v>33205</v>
      </c>
      <c r="I1907" t="s">
        <v>884</v>
      </c>
      <c r="J1907">
        <v>37</v>
      </c>
      <c r="K1907">
        <v>2</v>
      </c>
      <c r="L1907">
        <v>98</v>
      </c>
      <c r="M1907">
        <v>627.70001220999995</v>
      </c>
      <c r="N1907" t="s">
        <v>85</v>
      </c>
      <c r="O1907" t="s">
        <v>86</v>
      </c>
      <c r="P1907">
        <v>127</v>
      </c>
      <c r="Q1907">
        <v>2</v>
      </c>
      <c r="R1907">
        <v>0</v>
      </c>
      <c r="S1907">
        <v>0</v>
      </c>
      <c r="T1907">
        <v>-40</v>
      </c>
      <c r="U1907">
        <v>48</v>
      </c>
      <c r="V1907">
        <v>5</v>
      </c>
      <c r="W1907">
        <v>28</v>
      </c>
      <c r="X1907">
        <v>28</v>
      </c>
      <c r="Y1907">
        <v>1</v>
      </c>
      <c r="Z1907">
        <v>7</v>
      </c>
      <c r="AA1907">
        <v>24</v>
      </c>
      <c r="AB1907">
        <v>2</v>
      </c>
      <c r="AC1907">
        <v>5</v>
      </c>
      <c r="AD1907">
        <v>3.2780001200000002</v>
      </c>
      <c r="AE1907">
        <v>1</v>
      </c>
      <c r="AF1907">
        <v>1</v>
      </c>
      <c r="AG1907">
        <v>3.2730000000000001</v>
      </c>
      <c r="AH1907">
        <v>2</v>
      </c>
      <c r="AI1907">
        <v>46</v>
      </c>
      <c r="AJ1907">
        <v>1</v>
      </c>
      <c r="AK1907">
        <v>17</v>
      </c>
      <c r="AL1907">
        <v>49</v>
      </c>
      <c r="AM1907" t="s">
        <v>43</v>
      </c>
      <c r="AN1907" t="str">
        <f>HYPERLINK("https://www.google.com/maps?q=11.05520535,79.06337738","Open Location")</f>
        <v>Open Location</v>
      </c>
    </row>
    <row r="1908" spans="1:40" x14ac:dyDescent="0.3">
      <c r="A1908" s="1">
        <v>46210.778935185182</v>
      </c>
      <c r="B1908" t="s">
        <v>40</v>
      </c>
      <c r="C1908" t="s">
        <v>41</v>
      </c>
      <c r="D1908" s="1">
        <v>46210.781655092593</v>
      </c>
      <c r="E1908" t="s">
        <v>42</v>
      </c>
      <c r="F1908" t="s">
        <v>83</v>
      </c>
      <c r="G1908">
        <v>0</v>
      </c>
      <c r="H1908">
        <v>33205</v>
      </c>
      <c r="I1908" t="s">
        <v>885</v>
      </c>
      <c r="J1908">
        <v>37</v>
      </c>
      <c r="K1908">
        <v>2</v>
      </c>
      <c r="L1908">
        <v>98</v>
      </c>
      <c r="M1908">
        <v>627.59997558999999</v>
      </c>
      <c r="N1908" t="s">
        <v>85</v>
      </c>
      <c r="O1908" t="s">
        <v>86</v>
      </c>
      <c r="P1908">
        <v>127</v>
      </c>
      <c r="Q1908">
        <v>2</v>
      </c>
      <c r="R1908">
        <v>0</v>
      </c>
      <c r="S1908">
        <v>11</v>
      </c>
      <c r="T1908">
        <v>-40</v>
      </c>
      <c r="U1908">
        <v>48</v>
      </c>
      <c r="V1908">
        <v>-10</v>
      </c>
      <c r="W1908">
        <v>28</v>
      </c>
      <c r="X1908">
        <v>28</v>
      </c>
      <c r="Y1908">
        <v>1</v>
      </c>
      <c r="Z1908">
        <v>7</v>
      </c>
      <c r="AA1908">
        <v>24</v>
      </c>
      <c r="AB1908">
        <v>2</v>
      </c>
      <c r="AC1908">
        <v>5</v>
      </c>
      <c r="AD1908">
        <v>3.2760000200000001</v>
      </c>
      <c r="AE1908">
        <v>1</v>
      </c>
      <c r="AF1908">
        <v>1</v>
      </c>
      <c r="AG1908">
        <v>3.27099991</v>
      </c>
      <c r="AH1908">
        <v>4</v>
      </c>
      <c r="AI1908">
        <v>24</v>
      </c>
      <c r="AJ1908">
        <v>1</v>
      </c>
      <c r="AK1908">
        <v>18</v>
      </c>
      <c r="AL1908">
        <v>50</v>
      </c>
      <c r="AM1908" t="s">
        <v>43</v>
      </c>
      <c r="AN1908" t="str">
        <f>HYPERLINK("https://www.google.com/maps?q=11.0551939,79.06336975","Open Location")</f>
        <v>Open Location</v>
      </c>
    </row>
    <row r="1909" spans="1:40" x14ac:dyDescent="0.3">
      <c r="A1909" s="1">
        <v>46210.778819444444</v>
      </c>
      <c r="B1909" t="s">
        <v>40</v>
      </c>
      <c r="C1909" t="s">
        <v>41</v>
      </c>
      <c r="D1909" s="1">
        <v>46210.781527777777</v>
      </c>
      <c r="E1909" t="s">
        <v>42</v>
      </c>
      <c r="F1909" t="s">
        <v>83</v>
      </c>
      <c r="G1909">
        <v>6</v>
      </c>
      <c r="H1909" t="s">
        <v>43</v>
      </c>
      <c r="I1909" t="s">
        <v>886</v>
      </c>
      <c r="J1909">
        <v>37</v>
      </c>
      <c r="K1909">
        <v>73</v>
      </c>
      <c r="L1909">
        <v>98</v>
      </c>
      <c r="M1909">
        <v>624.29998779000005</v>
      </c>
      <c r="N1909" t="s">
        <v>87</v>
      </c>
      <c r="O1909" t="s">
        <v>86</v>
      </c>
      <c r="P1909">
        <v>127</v>
      </c>
      <c r="Q1909">
        <v>4</v>
      </c>
      <c r="R1909">
        <v>0</v>
      </c>
      <c r="S1909">
        <v>618</v>
      </c>
      <c r="T1909">
        <v>-40</v>
      </c>
      <c r="U1909">
        <v>51</v>
      </c>
      <c r="V1909">
        <v>600</v>
      </c>
      <c r="W1909">
        <v>28</v>
      </c>
      <c r="X1909">
        <v>28</v>
      </c>
      <c r="Y1909">
        <v>1</v>
      </c>
      <c r="Z1909">
        <v>7</v>
      </c>
      <c r="AA1909">
        <v>24</v>
      </c>
      <c r="AB1909">
        <v>2</v>
      </c>
      <c r="AC1909">
        <v>5</v>
      </c>
      <c r="AD1909">
        <v>3.27399993</v>
      </c>
      <c r="AE1909">
        <v>1</v>
      </c>
      <c r="AF1909">
        <v>1</v>
      </c>
      <c r="AG1909">
        <v>3.2690000499999998</v>
      </c>
      <c r="AH1909">
        <v>2</v>
      </c>
      <c r="AI1909">
        <v>46</v>
      </c>
      <c r="AJ1909">
        <v>1</v>
      </c>
      <c r="AK1909">
        <v>17</v>
      </c>
      <c r="AL1909">
        <v>50</v>
      </c>
      <c r="AM1909" t="s">
        <v>43</v>
      </c>
      <c r="AN1909" t="str">
        <f>HYPERLINK("https://www.google.com/maps?q=11.05506516,79.06330109","Open Location")</f>
        <v>Open Location</v>
      </c>
    </row>
    <row r="1910" spans="1:40" x14ac:dyDescent="0.3">
      <c r="A1910" s="1">
        <v>46210.778703703705</v>
      </c>
      <c r="B1910" t="s">
        <v>40</v>
      </c>
      <c r="C1910" t="s">
        <v>41</v>
      </c>
      <c r="D1910" s="1">
        <v>46210.781597222223</v>
      </c>
      <c r="E1910" t="s">
        <v>42</v>
      </c>
      <c r="F1910" t="s">
        <v>83</v>
      </c>
      <c r="G1910">
        <v>13</v>
      </c>
      <c r="H1910">
        <v>33205</v>
      </c>
      <c r="I1910" t="s">
        <v>887</v>
      </c>
      <c r="J1910">
        <v>37</v>
      </c>
      <c r="K1910">
        <v>57</v>
      </c>
      <c r="L1910">
        <v>98</v>
      </c>
      <c r="M1910">
        <v>625.79998779000005</v>
      </c>
      <c r="N1910" t="s">
        <v>87</v>
      </c>
      <c r="O1910" t="s">
        <v>86</v>
      </c>
      <c r="P1910">
        <v>129</v>
      </c>
      <c r="Q1910">
        <v>4</v>
      </c>
      <c r="R1910">
        <v>42</v>
      </c>
      <c r="S1910">
        <v>1011</v>
      </c>
      <c r="T1910">
        <v>-40</v>
      </c>
      <c r="U1910">
        <v>49</v>
      </c>
      <c r="V1910">
        <v>320</v>
      </c>
      <c r="W1910">
        <v>28</v>
      </c>
      <c r="X1910">
        <v>28</v>
      </c>
      <c r="Y1910">
        <v>1</v>
      </c>
      <c r="Z1910">
        <v>7</v>
      </c>
      <c r="AA1910">
        <v>24</v>
      </c>
      <c r="AB1910">
        <v>2</v>
      </c>
      <c r="AC1910">
        <v>5</v>
      </c>
      <c r="AD1910">
        <v>3.2579999000000002</v>
      </c>
      <c r="AE1910">
        <v>1</v>
      </c>
      <c r="AF1910">
        <v>1</v>
      </c>
      <c r="AG1910">
        <v>3.24699998</v>
      </c>
      <c r="AH1910">
        <v>4</v>
      </c>
      <c r="AI1910">
        <v>24</v>
      </c>
      <c r="AJ1910">
        <v>1</v>
      </c>
      <c r="AK1910">
        <v>17</v>
      </c>
      <c r="AL1910">
        <v>50</v>
      </c>
      <c r="AM1910" t="s">
        <v>43</v>
      </c>
      <c r="AN1910" t="str">
        <f>HYPERLINK("https://www.google.com/maps?q=11.05465698,79.0631485","Open Location")</f>
        <v>Open Location</v>
      </c>
    </row>
    <row r="1911" spans="1:40" x14ac:dyDescent="0.3">
      <c r="A1911" s="1">
        <v>46210.778587962966</v>
      </c>
      <c r="B1911" t="s">
        <v>40</v>
      </c>
      <c r="C1911" t="s">
        <v>41</v>
      </c>
      <c r="D1911" s="1">
        <v>46210.781597222223</v>
      </c>
      <c r="E1911" t="s">
        <v>42</v>
      </c>
      <c r="F1911" t="s">
        <v>83</v>
      </c>
      <c r="G1911">
        <v>14</v>
      </c>
      <c r="H1911">
        <v>33205</v>
      </c>
      <c r="I1911" t="s">
        <v>43</v>
      </c>
      <c r="J1911">
        <v>37</v>
      </c>
      <c r="K1911">
        <v>56</v>
      </c>
      <c r="L1911">
        <v>98</v>
      </c>
      <c r="M1911">
        <v>625.90002441000001</v>
      </c>
      <c r="N1911" t="s">
        <v>87</v>
      </c>
      <c r="O1911" t="s">
        <v>86</v>
      </c>
      <c r="P1911">
        <v>129</v>
      </c>
      <c r="Q1911">
        <v>4</v>
      </c>
      <c r="R1911">
        <v>26</v>
      </c>
      <c r="S1911">
        <v>1062</v>
      </c>
      <c r="T1911">
        <v>-40</v>
      </c>
      <c r="U1911">
        <v>49</v>
      </c>
      <c r="V1911">
        <v>280</v>
      </c>
      <c r="W1911">
        <v>28</v>
      </c>
      <c r="X1911">
        <v>28</v>
      </c>
      <c r="Y1911">
        <v>1</v>
      </c>
      <c r="Z1911">
        <v>7</v>
      </c>
      <c r="AA1911">
        <v>24</v>
      </c>
      <c r="AB1911">
        <v>2</v>
      </c>
      <c r="AC1911">
        <v>5</v>
      </c>
      <c r="AD1911">
        <v>3.27399993</v>
      </c>
      <c r="AE1911">
        <v>1</v>
      </c>
      <c r="AF1911">
        <v>1</v>
      </c>
      <c r="AG1911">
        <v>3.2669999600000001</v>
      </c>
      <c r="AH1911">
        <v>6</v>
      </c>
      <c r="AI1911">
        <v>24</v>
      </c>
      <c r="AJ1911">
        <v>1</v>
      </c>
      <c r="AK1911">
        <v>17</v>
      </c>
      <c r="AL1911">
        <v>50</v>
      </c>
      <c r="AM1911" t="s">
        <v>43</v>
      </c>
      <c r="AN1911" t="s">
        <v>43</v>
      </c>
    </row>
    <row r="1912" spans="1:40" x14ac:dyDescent="0.3">
      <c r="A1912" s="1">
        <v>46210.77847222222</v>
      </c>
      <c r="B1912" t="s">
        <v>40</v>
      </c>
      <c r="C1912" t="s">
        <v>41</v>
      </c>
      <c r="D1912" s="1">
        <v>46210.781273148146</v>
      </c>
      <c r="E1912" t="s">
        <v>42</v>
      </c>
      <c r="F1912" t="s">
        <v>83</v>
      </c>
      <c r="G1912">
        <v>16</v>
      </c>
      <c r="H1912">
        <v>33205</v>
      </c>
      <c r="I1912" t="s">
        <v>888</v>
      </c>
      <c r="J1912">
        <v>37</v>
      </c>
      <c r="K1912">
        <v>-18</v>
      </c>
      <c r="L1912">
        <v>98</v>
      </c>
      <c r="M1912">
        <v>629.29998779000005</v>
      </c>
      <c r="N1912" t="s">
        <v>87</v>
      </c>
      <c r="O1912" t="s">
        <v>86</v>
      </c>
      <c r="P1912">
        <v>129</v>
      </c>
      <c r="Q1912">
        <v>4</v>
      </c>
      <c r="R1912">
        <v>-14</v>
      </c>
      <c r="S1912">
        <v>1178</v>
      </c>
      <c r="T1912">
        <v>-40</v>
      </c>
      <c r="U1912">
        <v>48</v>
      </c>
      <c r="V1912">
        <v>-112</v>
      </c>
      <c r="W1912" t="s">
        <v>43</v>
      </c>
      <c r="X1912" t="s">
        <v>43</v>
      </c>
      <c r="Y1912" t="s">
        <v>43</v>
      </c>
      <c r="Z1912" t="s">
        <v>43</v>
      </c>
      <c r="AA1912" t="s">
        <v>43</v>
      </c>
      <c r="AB1912" t="s">
        <v>43</v>
      </c>
      <c r="AC1912" t="s">
        <v>43</v>
      </c>
      <c r="AD1912">
        <v>3.2820000600000001</v>
      </c>
      <c r="AE1912">
        <v>1</v>
      </c>
      <c r="AF1912">
        <v>16</v>
      </c>
      <c r="AG1912">
        <v>3.2780001200000002</v>
      </c>
      <c r="AH1912">
        <v>7</v>
      </c>
      <c r="AI1912">
        <v>1</v>
      </c>
      <c r="AJ1912">
        <v>1</v>
      </c>
      <c r="AK1912">
        <v>17</v>
      </c>
      <c r="AL1912">
        <v>50</v>
      </c>
      <c r="AM1912" t="s">
        <v>43</v>
      </c>
      <c r="AN1912" t="str">
        <f>HYPERLINK("https://www.google.com/maps?q=11.05425739,79.06324768","Open Location")</f>
        <v>Open Location</v>
      </c>
    </row>
    <row r="1913" spans="1:40" x14ac:dyDescent="0.3">
      <c r="A1913" s="1">
        <v>46210.778356481482</v>
      </c>
      <c r="B1913" t="s">
        <v>40</v>
      </c>
      <c r="C1913" t="s">
        <v>41</v>
      </c>
      <c r="D1913" s="1">
        <v>46210.780995370369</v>
      </c>
      <c r="E1913" t="s">
        <v>42</v>
      </c>
      <c r="F1913" t="s">
        <v>83</v>
      </c>
      <c r="G1913">
        <v>16</v>
      </c>
      <c r="H1913">
        <v>33205</v>
      </c>
      <c r="I1913" t="s">
        <v>889</v>
      </c>
      <c r="J1913">
        <v>37</v>
      </c>
      <c r="K1913">
        <v>-19</v>
      </c>
      <c r="L1913">
        <v>98</v>
      </c>
      <c r="M1913">
        <v>628.79998779000005</v>
      </c>
      <c r="N1913" t="s">
        <v>87</v>
      </c>
      <c r="O1913" t="s">
        <v>86</v>
      </c>
      <c r="P1913">
        <v>129</v>
      </c>
      <c r="Q1913">
        <v>4</v>
      </c>
      <c r="R1913">
        <v>-15</v>
      </c>
      <c r="S1913">
        <v>1285</v>
      </c>
      <c r="T1913">
        <v>-40</v>
      </c>
      <c r="U1913">
        <v>48</v>
      </c>
      <c r="V1913">
        <v>-112</v>
      </c>
      <c r="W1913">
        <v>28</v>
      </c>
      <c r="X1913">
        <v>28</v>
      </c>
      <c r="Y1913">
        <v>1</v>
      </c>
      <c r="Z1913">
        <v>9</v>
      </c>
      <c r="AA1913">
        <v>24</v>
      </c>
      <c r="AB1913">
        <v>2</v>
      </c>
      <c r="AC1913">
        <v>5</v>
      </c>
      <c r="AD1913">
        <v>3.2750001000000002</v>
      </c>
      <c r="AE1913">
        <v>1</v>
      </c>
      <c r="AF1913">
        <v>1</v>
      </c>
      <c r="AG1913">
        <v>3.2690000499999998</v>
      </c>
      <c r="AH1913">
        <v>4</v>
      </c>
      <c r="AI1913">
        <v>24</v>
      </c>
      <c r="AJ1913">
        <v>1</v>
      </c>
      <c r="AK1913">
        <v>17</v>
      </c>
      <c r="AL1913">
        <v>50</v>
      </c>
      <c r="AM1913" t="s">
        <v>43</v>
      </c>
      <c r="AN1913" t="str">
        <f>HYPERLINK("https://www.google.com/maps?q=11.05430984,79.06372833","Open Location")</f>
        <v>Open Location</v>
      </c>
    </row>
    <row r="1914" spans="1:40" x14ac:dyDescent="0.3">
      <c r="A1914" s="1">
        <v>46210.778240740743</v>
      </c>
      <c r="B1914" t="s">
        <v>40</v>
      </c>
      <c r="C1914" t="s">
        <v>41</v>
      </c>
      <c r="D1914" s="1">
        <v>46210.781157407408</v>
      </c>
      <c r="E1914" t="s">
        <v>42</v>
      </c>
      <c r="F1914" t="s">
        <v>83</v>
      </c>
      <c r="G1914">
        <v>17</v>
      </c>
      <c r="H1914">
        <v>33205</v>
      </c>
      <c r="I1914" t="s">
        <v>890</v>
      </c>
      <c r="J1914">
        <v>37</v>
      </c>
      <c r="K1914">
        <v>46</v>
      </c>
      <c r="L1914">
        <v>98</v>
      </c>
      <c r="M1914">
        <v>625.90002441000001</v>
      </c>
      <c r="N1914" t="s">
        <v>87</v>
      </c>
      <c r="O1914" t="s">
        <v>86</v>
      </c>
      <c r="P1914">
        <v>129</v>
      </c>
      <c r="Q1914">
        <v>4</v>
      </c>
      <c r="R1914">
        <v>18</v>
      </c>
      <c r="S1914">
        <v>1235</v>
      </c>
      <c r="T1914">
        <v>-40</v>
      </c>
      <c r="U1914">
        <v>48</v>
      </c>
      <c r="V1914">
        <v>180</v>
      </c>
      <c r="W1914" t="s">
        <v>43</v>
      </c>
      <c r="X1914" t="s">
        <v>43</v>
      </c>
      <c r="Y1914" t="s">
        <v>43</v>
      </c>
      <c r="Z1914" t="s">
        <v>43</v>
      </c>
      <c r="AA1914" t="s">
        <v>43</v>
      </c>
      <c r="AB1914" t="s">
        <v>43</v>
      </c>
      <c r="AC1914" t="s">
        <v>43</v>
      </c>
      <c r="AD1914">
        <v>3.2699999800000001</v>
      </c>
      <c r="AE1914">
        <v>1</v>
      </c>
      <c r="AF1914">
        <v>1</v>
      </c>
      <c r="AG1914">
        <v>3.26200008</v>
      </c>
      <c r="AH1914">
        <v>4</v>
      </c>
      <c r="AI1914">
        <v>24</v>
      </c>
      <c r="AJ1914" t="s">
        <v>43</v>
      </c>
      <c r="AK1914" t="s">
        <v>43</v>
      </c>
      <c r="AL1914" t="s">
        <v>43</v>
      </c>
      <c r="AM1914" t="s">
        <v>43</v>
      </c>
      <c r="AN1914" t="str">
        <f>HYPERLINK("https://www.google.com/maps?q=11.05468082,79.06407928","Open Location")</f>
        <v>Open Location</v>
      </c>
    </row>
    <row r="1915" spans="1:40" x14ac:dyDescent="0.3">
      <c r="A1915" s="1">
        <v>46210.778124999997</v>
      </c>
      <c r="B1915" t="s">
        <v>40</v>
      </c>
      <c r="C1915" t="s">
        <v>41</v>
      </c>
      <c r="D1915" s="1">
        <v>46210.780868055554</v>
      </c>
      <c r="E1915" t="s">
        <v>42</v>
      </c>
      <c r="F1915" t="s">
        <v>83</v>
      </c>
      <c r="G1915">
        <v>15</v>
      </c>
      <c r="H1915">
        <v>33205</v>
      </c>
      <c r="I1915" t="s">
        <v>891</v>
      </c>
      <c r="J1915">
        <v>37</v>
      </c>
      <c r="K1915">
        <v>66</v>
      </c>
      <c r="L1915">
        <v>98</v>
      </c>
      <c r="M1915">
        <v>624.90002441000001</v>
      </c>
      <c r="N1915" t="s">
        <v>87</v>
      </c>
      <c r="O1915" t="s">
        <v>86</v>
      </c>
      <c r="P1915">
        <v>129</v>
      </c>
      <c r="Q1915">
        <v>3</v>
      </c>
      <c r="R1915">
        <v>0</v>
      </c>
      <c r="S1915">
        <v>1725</v>
      </c>
      <c r="T1915">
        <v>-40</v>
      </c>
      <c r="U1915">
        <v>49</v>
      </c>
      <c r="V1915">
        <v>200</v>
      </c>
      <c r="W1915">
        <v>28</v>
      </c>
      <c r="X1915">
        <v>28</v>
      </c>
      <c r="Y1915">
        <v>1</v>
      </c>
      <c r="Z1915">
        <v>9</v>
      </c>
      <c r="AA1915">
        <v>24</v>
      </c>
      <c r="AB1915">
        <v>2</v>
      </c>
      <c r="AC1915">
        <v>5</v>
      </c>
      <c r="AD1915">
        <v>3.26799989</v>
      </c>
      <c r="AE1915">
        <v>1</v>
      </c>
      <c r="AF1915">
        <v>1</v>
      </c>
      <c r="AG1915">
        <v>3.2609999200000002</v>
      </c>
      <c r="AH1915">
        <v>4</v>
      </c>
      <c r="AI1915">
        <v>17</v>
      </c>
      <c r="AJ1915">
        <v>1</v>
      </c>
      <c r="AK1915">
        <v>17</v>
      </c>
      <c r="AL1915">
        <v>50</v>
      </c>
      <c r="AM1915" t="s">
        <v>43</v>
      </c>
      <c r="AN1915" t="str">
        <f>HYPERLINK("https://www.google.com/maps?q=11.05507088,79.06430054","Open Location")</f>
        <v>Open Location</v>
      </c>
    </row>
    <row r="1916" spans="1:40" x14ac:dyDescent="0.3">
      <c r="A1916" s="1">
        <v>46210.778009259258</v>
      </c>
      <c r="B1916" t="s">
        <v>40</v>
      </c>
      <c r="C1916" t="s">
        <v>41</v>
      </c>
      <c r="D1916" s="1">
        <v>46210.780775462961</v>
      </c>
      <c r="E1916" t="s">
        <v>42</v>
      </c>
      <c r="F1916" t="s">
        <v>83</v>
      </c>
      <c r="G1916">
        <v>10</v>
      </c>
      <c r="H1916">
        <v>33205</v>
      </c>
      <c r="I1916" t="s">
        <v>43</v>
      </c>
      <c r="J1916">
        <v>37</v>
      </c>
      <c r="K1916">
        <v>145</v>
      </c>
      <c r="L1916">
        <v>98</v>
      </c>
      <c r="M1916">
        <v>622.59997558999999</v>
      </c>
      <c r="N1916" t="s">
        <v>87</v>
      </c>
      <c r="O1916" t="s">
        <v>86</v>
      </c>
      <c r="P1916">
        <v>128</v>
      </c>
      <c r="Q1916">
        <v>2</v>
      </c>
      <c r="R1916">
        <v>78</v>
      </c>
      <c r="S1916">
        <v>1115</v>
      </c>
      <c r="T1916">
        <v>-40</v>
      </c>
      <c r="U1916">
        <v>49</v>
      </c>
      <c r="V1916">
        <v>660</v>
      </c>
      <c r="W1916" t="s">
        <v>43</v>
      </c>
      <c r="X1916" t="s">
        <v>43</v>
      </c>
      <c r="Y1916" t="s">
        <v>43</v>
      </c>
      <c r="Z1916" t="s">
        <v>43</v>
      </c>
      <c r="AA1916" t="s">
        <v>43</v>
      </c>
      <c r="AB1916" t="s">
        <v>43</v>
      </c>
      <c r="AC1916" t="s">
        <v>43</v>
      </c>
      <c r="AD1916">
        <v>3.2550001100000001</v>
      </c>
      <c r="AE1916">
        <v>1</v>
      </c>
      <c r="AF1916">
        <v>1</v>
      </c>
      <c r="AG1916">
        <v>3.24099994</v>
      </c>
      <c r="AH1916">
        <v>4</v>
      </c>
      <c r="AI1916">
        <v>24</v>
      </c>
      <c r="AJ1916">
        <v>1</v>
      </c>
      <c r="AK1916">
        <v>17</v>
      </c>
      <c r="AL1916">
        <v>50</v>
      </c>
      <c r="AM1916" t="s">
        <v>43</v>
      </c>
      <c r="AN1916" t="s">
        <v>43</v>
      </c>
    </row>
    <row r="1917" spans="1:40" x14ac:dyDescent="0.3">
      <c r="A1917" s="1">
        <v>46210.77789351852</v>
      </c>
      <c r="B1917" t="s">
        <v>40</v>
      </c>
      <c r="C1917" t="s">
        <v>41</v>
      </c>
      <c r="D1917" s="1">
        <v>46210.780682870369</v>
      </c>
      <c r="E1917" t="s">
        <v>42</v>
      </c>
      <c r="F1917" t="s">
        <v>83</v>
      </c>
      <c r="G1917">
        <v>0</v>
      </c>
      <c r="H1917">
        <v>33205</v>
      </c>
      <c r="I1917" t="s">
        <v>892</v>
      </c>
      <c r="J1917">
        <v>37</v>
      </c>
      <c r="K1917">
        <v>2</v>
      </c>
      <c r="L1917">
        <v>98</v>
      </c>
      <c r="M1917">
        <v>628.5</v>
      </c>
      <c r="N1917" t="s">
        <v>85</v>
      </c>
      <c r="O1917" t="s">
        <v>82</v>
      </c>
      <c r="P1917">
        <v>125</v>
      </c>
      <c r="Q1917" t="s">
        <v>82</v>
      </c>
      <c r="R1917">
        <v>0</v>
      </c>
      <c r="S1917">
        <v>0</v>
      </c>
      <c r="T1917">
        <v>-40</v>
      </c>
      <c r="U1917">
        <v>47</v>
      </c>
      <c r="V1917">
        <v>0</v>
      </c>
      <c r="W1917">
        <v>28</v>
      </c>
      <c r="X1917">
        <v>28</v>
      </c>
      <c r="Y1917">
        <v>1</v>
      </c>
      <c r="Z1917">
        <v>9</v>
      </c>
      <c r="AA1917">
        <v>24</v>
      </c>
      <c r="AB1917">
        <v>2</v>
      </c>
      <c r="AC1917">
        <v>5</v>
      </c>
      <c r="AD1917">
        <v>3.2809998999999999</v>
      </c>
      <c r="AE1917">
        <v>1</v>
      </c>
      <c r="AF1917">
        <v>1</v>
      </c>
      <c r="AG1917">
        <v>3.27699995</v>
      </c>
      <c r="AH1917">
        <v>4</v>
      </c>
      <c r="AI1917">
        <v>24</v>
      </c>
      <c r="AJ1917">
        <v>1</v>
      </c>
      <c r="AK1917">
        <v>18</v>
      </c>
      <c r="AL1917">
        <v>50</v>
      </c>
      <c r="AM1917" t="s">
        <v>43</v>
      </c>
      <c r="AN1917" t="str">
        <f>HYPERLINK("https://www.google.com/maps?q=11.05526066,79.06438446","Open Location")</f>
        <v>Open Location</v>
      </c>
    </row>
    <row r="1918" spans="1:40" x14ac:dyDescent="0.3">
      <c r="A1918" s="1">
        <v>46210.777777777781</v>
      </c>
      <c r="B1918" t="s">
        <v>40</v>
      </c>
      <c r="C1918" t="s">
        <v>41</v>
      </c>
      <c r="D1918" s="1">
        <v>46210.780624999999</v>
      </c>
      <c r="E1918" t="s">
        <v>42</v>
      </c>
      <c r="F1918" t="s">
        <v>83</v>
      </c>
      <c r="G1918">
        <v>0</v>
      </c>
      <c r="H1918">
        <v>33205</v>
      </c>
      <c r="I1918" t="s">
        <v>893</v>
      </c>
      <c r="J1918">
        <v>37</v>
      </c>
      <c r="K1918">
        <v>2</v>
      </c>
      <c r="L1918">
        <v>98</v>
      </c>
      <c r="M1918">
        <v>628.5</v>
      </c>
      <c r="N1918" t="s">
        <v>85</v>
      </c>
      <c r="O1918" t="s">
        <v>82</v>
      </c>
      <c r="P1918">
        <v>125</v>
      </c>
      <c r="Q1918" t="s">
        <v>82</v>
      </c>
      <c r="R1918">
        <v>0</v>
      </c>
      <c r="S1918">
        <v>0</v>
      </c>
      <c r="T1918">
        <v>-40</v>
      </c>
      <c r="U1918">
        <v>47</v>
      </c>
      <c r="V1918">
        <v>0</v>
      </c>
      <c r="W1918">
        <v>28</v>
      </c>
      <c r="X1918">
        <v>28</v>
      </c>
      <c r="Y1918">
        <v>1</v>
      </c>
      <c r="Z1918">
        <v>9</v>
      </c>
      <c r="AA1918">
        <v>24</v>
      </c>
      <c r="AB1918">
        <v>2</v>
      </c>
      <c r="AC1918">
        <v>5</v>
      </c>
      <c r="AD1918">
        <v>3.2809998999999999</v>
      </c>
      <c r="AE1918">
        <v>1</v>
      </c>
      <c r="AF1918">
        <v>1</v>
      </c>
      <c r="AG1918">
        <v>3.27699995</v>
      </c>
      <c r="AH1918">
        <v>2</v>
      </c>
      <c r="AI1918">
        <v>6</v>
      </c>
      <c r="AJ1918">
        <v>1</v>
      </c>
      <c r="AK1918">
        <v>18</v>
      </c>
      <c r="AL1918">
        <v>50</v>
      </c>
      <c r="AM1918" t="s">
        <v>43</v>
      </c>
      <c r="AN1918" t="str">
        <f>HYPERLINK("https://www.google.com/maps?q=11.05525875,79.06438446","Open Location")</f>
        <v>Open Location</v>
      </c>
    </row>
    <row r="1919" spans="1:40" x14ac:dyDescent="0.3">
      <c r="A1919" s="1">
        <v>46210.777662037035</v>
      </c>
      <c r="B1919" t="s">
        <v>40</v>
      </c>
      <c r="C1919" t="s">
        <v>41</v>
      </c>
      <c r="D1919" s="1">
        <v>46210.780601851853</v>
      </c>
      <c r="E1919" t="s">
        <v>42</v>
      </c>
      <c r="F1919" t="s">
        <v>83</v>
      </c>
      <c r="G1919">
        <v>0</v>
      </c>
      <c r="H1919">
        <v>33205</v>
      </c>
      <c r="I1919" t="s">
        <v>894</v>
      </c>
      <c r="J1919">
        <v>37</v>
      </c>
      <c r="K1919">
        <v>2</v>
      </c>
      <c r="L1919">
        <v>98</v>
      </c>
      <c r="M1919">
        <v>628.70001220999995</v>
      </c>
      <c r="N1919" t="s">
        <v>85</v>
      </c>
      <c r="O1919" t="s">
        <v>82</v>
      </c>
      <c r="P1919">
        <v>125</v>
      </c>
      <c r="Q1919" t="s">
        <v>82</v>
      </c>
      <c r="R1919">
        <v>0</v>
      </c>
      <c r="S1919">
        <v>0</v>
      </c>
      <c r="T1919">
        <v>-40</v>
      </c>
      <c r="U1919">
        <v>47</v>
      </c>
      <c r="V1919">
        <v>0</v>
      </c>
      <c r="W1919">
        <v>28</v>
      </c>
      <c r="X1919">
        <v>28</v>
      </c>
      <c r="Y1919">
        <v>1</v>
      </c>
      <c r="Z1919">
        <v>9</v>
      </c>
      <c r="AA1919">
        <v>24</v>
      </c>
      <c r="AB1919">
        <v>2</v>
      </c>
      <c r="AC1919">
        <v>5</v>
      </c>
      <c r="AD1919">
        <v>3.2809998999999999</v>
      </c>
      <c r="AE1919">
        <v>1</v>
      </c>
      <c r="AF1919">
        <v>1</v>
      </c>
      <c r="AG1919">
        <v>3.27699995</v>
      </c>
      <c r="AH1919">
        <v>2</v>
      </c>
      <c r="AI1919">
        <v>6</v>
      </c>
      <c r="AJ1919">
        <v>1</v>
      </c>
      <c r="AK1919">
        <v>18</v>
      </c>
      <c r="AL1919">
        <v>50</v>
      </c>
      <c r="AM1919" t="s">
        <v>43</v>
      </c>
      <c r="AN1919" t="str">
        <f>HYPERLINK("https://www.google.com/maps?q=11.0552578,79.06438446","Open Location")</f>
        <v>Open Location</v>
      </c>
    </row>
    <row r="1920" spans="1:40" x14ac:dyDescent="0.3">
      <c r="A1920" s="1">
        <v>46210.777546296296</v>
      </c>
      <c r="B1920" t="s">
        <v>40</v>
      </c>
      <c r="C1920" t="s">
        <v>41</v>
      </c>
      <c r="D1920" s="1">
        <v>46210.780451388891</v>
      </c>
      <c r="E1920" t="s">
        <v>42</v>
      </c>
      <c r="F1920" t="s">
        <v>83</v>
      </c>
      <c r="G1920">
        <v>0</v>
      </c>
      <c r="H1920">
        <v>33205</v>
      </c>
      <c r="I1920" t="s">
        <v>895</v>
      </c>
      <c r="J1920">
        <v>37</v>
      </c>
      <c r="K1920">
        <v>2</v>
      </c>
      <c r="L1920">
        <v>98</v>
      </c>
      <c r="M1920">
        <v>628.5</v>
      </c>
      <c r="N1920" t="s">
        <v>85</v>
      </c>
      <c r="O1920" t="s">
        <v>82</v>
      </c>
      <c r="P1920">
        <v>125</v>
      </c>
      <c r="Q1920" t="s">
        <v>82</v>
      </c>
      <c r="R1920">
        <v>0</v>
      </c>
      <c r="S1920">
        <v>0</v>
      </c>
      <c r="T1920">
        <v>-40</v>
      </c>
      <c r="U1920">
        <v>48</v>
      </c>
      <c r="V1920">
        <v>0</v>
      </c>
      <c r="W1920">
        <v>28</v>
      </c>
      <c r="X1920">
        <v>28</v>
      </c>
      <c r="Y1920">
        <v>1</v>
      </c>
      <c r="Z1920">
        <v>9</v>
      </c>
      <c r="AA1920">
        <v>24</v>
      </c>
      <c r="AB1920">
        <v>2</v>
      </c>
      <c r="AC1920">
        <v>5</v>
      </c>
      <c r="AD1920">
        <v>3.2809998999999999</v>
      </c>
      <c r="AE1920">
        <v>1</v>
      </c>
      <c r="AF1920">
        <v>1</v>
      </c>
      <c r="AG1920">
        <v>3.2760000200000001</v>
      </c>
      <c r="AH1920">
        <v>4</v>
      </c>
      <c r="AI1920">
        <v>24</v>
      </c>
      <c r="AJ1920">
        <v>1</v>
      </c>
      <c r="AK1920">
        <v>18</v>
      </c>
      <c r="AL1920">
        <v>50</v>
      </c>
      <c r="AM1920" t="s">
        <v>43</v>
      </c>
      <c r="AN1920" t="str">
        <f>HYPERLINK("https://www.google.com/maps?q=11.05525684,79.06439209","Open Location")</f>
        <v>Open Location</v>
      </c>
    </row>
    <row r="1921" spans="1:40" x14ac:dyDescent="0.3">
      <c r="A1921" s="1">
        <v>46210.777430555558</v>
      </c>
      <c r="B1921" t="s">
        <v>40</v>
      </c>
      <c r="C1921" t="s">
        <v>41</v>
      </c>
      <c r="D1921" s="1">
        <v>46210.780335648145</v>
      </c>
      <c r="E1921" t="s">
        <v>42</v>
      </c>
      <c r="F1921" t="s">
        <v>83</v>
      </c>
      <c r="G1921">
        <v>0</v>
      </c>
      <c r="H1921" t="s">
        <v>43</v>
      </c>
      <c r="I1921" t="s">
        <v>896</v>
      </c>
      <c r="J1921">
        <v>37</v>
      </c>
      <c r="K1921">
        <v>2</v>
      </c>
      <c r="L1921">
        <v>98</v>
      </c>
      <c r="M1921">
        <v>628.40002441000001</v>
      </c>
      <c r="N1921" t="s">
        <v>85</v>
      </c>
      <c r="O1921" t="s">
        <v>82</v>
      </c>
      <c r="P1921">
        <v>125</v>
      </c>
      <c r="Q1921" t="s">
        <v>82</v>
      </c>
      <c r="R1921">
        <v>0</v>
      </c>
      <c r="S1921">
        <v>0</v>
      </c>
      <c r="T1921">
        <v>-40</v>
      </c>
      <c r="U1921">
        <v>48</v>
      </c>
      <c r="V1921">
        <v>0</v>
      </c>
      <c r="W1921">
        <v>28</v>
      </c>
      <c r="X1921">
        <v>28</v>
      </c>
      <c r="Y1921">
        <v>1</v>
      </c>
      <c r="Z1921">
        <v>9</v>
      </c>
      <c r="AA1921">
        <v>24</v>
      </c>
      <c r="AB1921">
        <v>2</v>
      </c>
      <c r="AC1921">
        <v>5</v>
      </c>
      <c r="AD1921">
        <v>3.27999997</v>
      </c>
      <c r="AE1921">
        <v>1</v>
      </c>
      <c r="AF1921">
        <v>1</v>
      </c>
      <c r="AG1921">
        <v>3.2760000200000001</v>
      </c>
      <c r="AH1921">
        <v>2</v>
      </c>
      <c r="AI1921">
        <v>46</v>
      </c>
      <c r="AJ1921">
        <v>1</v>
      </c>
      <c r="AK1921">
        <v>18</v>
      </c>
      <c r="AL1921">
        <v>50</v>
      </c>
      <c r="AM1921" t="s">
        <v>43</v>
      </c>
      <c r="AN1921" t="str">
        <f>HYPERLINK("https://www.google.com/maps?q=11.05526161,79.06439209","Open Location")</f>
        <v>Open Location</v>
      </c>
    </row>
    <row r="1922" spans="1:40" x14ac:dyDescent="0.3">
      <c r="A1922" s="1">
        <v>46210.777314814812</v>
      </c>
      <c r="B1922" t="s">
        <v>40</v>
      </c>
      <c r="C1922" t="s">
        <v>41</v>
      </c>
      <c r="D1922" s="1">
        <v>46210.780300925922</v>
      </c>
      <c r="E1922" t="s">
        <v>42</v>
      </c>
      <c r="F1922" t="s">
        <v>83</v>
      </c>
      <c r="G1922">
        <v>0</v>
      </c>
      <c r="H1922">
        <v>33205</v>
      </c>
      <c r="I1922" t="s">
        <v>43</v>
      </c>
      <c r="J1922">
        <v>37</v>
      </c>
      <c r="K1922">
        <v>9</v>
      </c>
      <c r="L1922">
        <v>98</v>
      </c>
      <c r="M1922">
        <v>628.70001220999995</v>
      </c>
      <c r="N1922" t="s">
        <v>85</v>
      </c>
      <c r="O1922" t="s">
        <v>82</v>
      </c>
      <c r="P1922">
        <v>125</v>
      </c>
      <c r="Q1922" t="s">
        <v>82</v>
      </c>
      <c r="R1922">
        <v>0</v>
      </c>
      <c r="S1922">
        <v>0</v>
      </c>
      <c r="T1922">
        <v>-40</v>
      </c>
      <c r="U1922">
        <v>48</v>
      </c>
      <c r="V1922">
        <v>0</v>
      </c>
      <c r="W1922">
        <v>28</v>
      </c>
      <c r="X1922">
        <v>28</v>
      </c>
      <c r="Y1922">
        <v>1</v>
      </c>
      <c r="Z1922">
        <v>9</v>
      </c>
      <c r="AA1922">
        <v>24</v>
      </c>
      <c r="AB1922">
        <v>2</v>
      </c>
      <c r="AC1922">
        <v>5</v>
      </c>
      <c r="AD1922">
        <v>3.2790000400000001</v>
      </c>
      <c r="AE1922">
        <v>1</v>
      </c>
      <c r="AF1922">
        <v>1</v>
      </c>
      <c r="AG1922">
        <v>3.27399993</v>
      </c>
      <c r="AH1922">
        <v>4</v>
      </c>
      <c r="AI1922">
        <v>24</v>
      </c>
      <c r="AJ1922">
        <v>1</v>
      </c>
      <c r="AK1922">
        <v>18</v>
      </c>
      <c r="AL1922">
        <v>50</v>
      </c>
      <c r="AM1922" t="s">
        <v>43</v>
      </c>
      <c r="AN1922" t="s">
        <v>43</v>
      </c>
    </row>
    <row r="1923" spans="1:40" x14ac:dyDescent="0.3">
      <c r="A1923" s="1">
        <v>46210.777199074073</v>
      </c>
      <c r="B1923" t="s">
        <v>40</v>
      </c>
      <c r="C1923" t="s">
        <v>41</v>
      </c>
      <c r="D1923" s="1">
        <v>46210.780011574076</v>
      </c>
      <c r="E1923" t="s">
        <v>42</v>
      </c>
      <c r="F1923" t="s">
        <v>83</v>
      </c>
      <c r="G1923">
        <v>0</v>
      </c>
      <c r="H1923">
        <v>33205</v>
      </c>
      <c r="I1923" t="s">
        <v>897</v>
      </c>
      <c r="J1923">
        <v>37</v>
      </c>
      <c r="K1923">
        <v>9</v>
      </c>
      <c r="L1923">
        <v>98</v>
      </c>
      <c r="M1923">
        <v>628.90002441000001</v>
      </c>
      <c r="N1923" t="s">
        <v>85</v>
      </c>
      <c r="O1923" t="s">
        <v>82</v>
      </c>
      <c r="P1923">
        <v>125</v>
      </c>
      <c r="Q1923" t="s">
        <v>82</v>
      </c>
      <c r="R1923">
        <v>0</v>
      </c>
      <c r="S1923">
        <v>0</v>
      </c>
      <c r="T1923">
        <v>-40</v>
      </c>
      <c r="U1923">
        <v>48</v>
      </c>
      <c r="V1923">
        <v>0</v>
      </c>
      <c r="W1923" t="s">
        <v>43</v>
      </c>
      <c r="X1923" t="s">
        <v>43</v>
      </c>
      <c r="Y1923" t="s">
        <v>43</v>
      </c>
      <c r="Z1923" t="s">
        <v>43</v>
      </c>
      <c r="AA1923" t="s">
        <v>43</v>
      </c>
      <c r="AB1923" t="s">
        <v>43</v>
      </c>
      <c r="AC1923" t="s">
        <v>43</v>
      </c>
      <c r="AD1923">
        <v>3.2790000400000001</v>
      </c>
      <c r="AE1923">
        <v>1</v>
      </c>
      <c r="AF1923">
        <v>1</v>
      </c>
      <c r="AG1923">
        <v>3.27399993</v>
      </c>
      <c r="AH1923">
        <v>2</v>
      </c>
      <c r="AI1923">
        <v>46</v>
      </c>
      <c r="AJ1923">
        <v>1</v>
      </c>
      <c r="AK1923">
        <v>18</v>
      </c>
      <c r="AL1923">
        <v>50</v>
      </c>
      <c r="AM1923" t="s">
        <v>43</v>
      </c>
      <c r="AN1923" t="str">
        <f>HYPERLINK("https://www.google.com/maps?q=11.05527687,79.06439972","Open Location")</f>
        <v>Open Location</v>
      </c>
    </row>
    <row r="1924" spans="1:40" x14ac:dyDescent="0.3">
      <c r="A1924" s="1">
        <v>46210.777083333334</v>
      </c>
      <c r="B1924" t="s">
        <v>40</v>
      </c>
      <c r="C1924" t="s">
        <v>41</v>
      </c>
      <c r="D1924" s="1">
        <v>46210.779930555553</v>
      </c>
      <c r="E1924" t="s">
        <v>42</v>
      </c>
      <c r="F1924" t="s">
        <v>83</v>
      </c>
      <c r="G1924">
        <v>0</v>
      </c>
      <c r="H1924">
        <v>33205</v>
      </c>
      <c r="I1924" t="s">
        <v>898</v>
      </c>
      <c r="J1924">
        <v>37</v>
      </c>
      <c r="K1924">
        <v>2</v>
      </c>
      <c r="L1924">
        <v>98</v>
      </c>
      <c r="M1924">
        <v>628.90002441000001</v>
      </c>
      <c r="N1924" t="s">
        <v>85</v>
      </c>
      <c r="O1924" t="s">
        <v>82</v>
      </c>
      <c r="P1924">
        <v>125</v>
      </c>
      <c r="Q1924" t="s">
        <v>82</v>
      </c>
      <c r="R1924">
        <v>0</v>
      </c>
      <c r="S1924">
        <v>0</v>
      </c>
      <c r="T1924">
        <v>-40</v>
      </c>
      <c r="U1924">
        <v>48</v>
      </c>
      <c r="V1924">
        <v>0</v>
      </c>
      <c r="W1924">
        <v>28</v>
      </c>
      <c r="X1924">
        <v>28</v>
      </c>
      <c r="Y1924">
        <v>1</v>
      </c>
      <c r="Z1924">
        <v>9</v>
      </c>
      <c r="AA1924">
        <v>24</v>
      </c>
      <c r="AB1924">
        <v>2</v>
      </c>
      <c r="AC1924">
        <v>5</v>
      </c>
      <c r="AD1924">
        <v>3.2790000400000001</v>
      </c>
      <c r="AE1924">
        <v>1</v>
      </c>
      <c r="AF1924">
        <v>1</v>
      </c>
      <c r="AG1924">
        <v>3.27399993</v>
      </c>
      <c r="AH1924">
        <v>6</v>
      </c>
      <c r="AI1924">
        <v>24</v>
      </c>
      <c r="AJ1924">
        <v>1</v>
      </c>
      <c r="AK1924">
        <v>17</v>
      </c>
      <c r="AL1924">
        <v>50</v>
      </c>
      <c r="AM1924" t="s">
        <v>43</v>
      </c>
      <c r="AN1924" t="str">
        <f>HYPERLINK("https://www.google.com/maps?q=11.05527496,79.06439209","Open Location")</f>
        <v>Open Location</v>
      </c>
    </row>
    <row r="1925" spans="1:40" x14ac:dyDescent="0.3">
      <c r="A1925" s="1">
        <v>46210.776967592596</v>
      </c>
      <c r="B1925" t="s">
        <v>40</v>
      </c>
      <c r="C1925" t="s">
        <v>41</v>
      </c>
      <c r="D1925" s="1">
        <v>46210.780300925922</v>
      </c>
      <c r="E1925" t="s">
        <v>42</v>
      </c>
      <c r="F1925" t="s">
        <v>83</v>
      </c>
      <c r="G1925">
        <v>0</v>
      </c>
      <c r="H1925">
        <v>33205</v>
      </c>
      <c r="I1925" t="s">
        <v>899</v>
      </c>
      <c r="J1925">
        <v>37</v>
      </c>
      <c r="K1925">
        <v>2</v>
      </c>
      <c r="L1925">
        <v>98</v>
      </c>
      <c r="M1925">
        <v>628.40002441000001</v>
      </c>
      <c r="N1925" t="s">
        <v>85</v>
      </c>
      <c r="O1925" t="s">
        <v>82</v>
      </c>
      <c r="P1925">
        <v>125</v>
      </c>
      <c r="Q1925" t="s">
        <v>82</v>
      </c>
      <c r="R1925">
        <v>0</v>
      </c>
      <c r="S1925">
        <v>0</v>
      </c>
      <c r="T1925">
        <v>-40</v>
      </c>
      <c r="U1925">
        <v>48</v>
      </c>
      <c r="V1925">
        <v>0</v>
      </c>
      <c r="W1925">
        <v>28</v>
      </c>
      <c r="X1925">
        <v>28</v>
      </c>
      <c r="Y1925">
        <v>1</v>
      </c>
      <c r="Z1925">
        <v>9</v>
      </c>
      <c r="AA1925">
        <v>24</v>
      </c>
      <c r="AB1925">
        <v>2</v>
      </c>
      <c r="AC1925">
        <v>5</v>
      </c>
      <c r="AD1925">
        <v>3.27999997</v>
      </c>
      <c r="AE1925">
        <v>1</v>
      </c>
      <c r="AF1925">
        <v>1</v>
      </c>
      <c r="AG1925">
        <v>3.2750001000000002</v>
      </c>
      <c r="AH1925">
        <v>4</v>
      </c>
      <c r="AI1925">
        <v>24</v>
      </c>
      <c r="AJ1925">
        <v>1</v>
      </c>
      <c r="AK1925">
        <v>17</v>
      </c>
      <c r="AL1925">
        <v>50</v>
      </c>
      <c r="AM1925" t="s">
        <v>43</v>
      </c>
      <c r="AN1925" t="str">
        <f>HYPERLINK("https://www.google.com/maps?q=11.05526924,79.06438446","Open Location")</f>
        <v>Open Location</v>
      </c>
    </row>
    <row r="1926" spans="1:40" x14ac:dyDescent="0.3">
      <c r="A1926" s="1">
        <v>46210.77685185185</v>
      </c>
      <c r="B1926" t="s">
        <v>40</v>
      </c>
      <c r="C1926" t="s">
        <v>41</v>
      </c>
      <c r="D1926" s="1">
        <v>46210.779513888891</v>
      </c>
      <c r="E1926" t="s">
        <v>42</v>
      </c>
      <c r="F1926" t="s">
        <v>83</v>
      </c>
      <c r="G1926">
        <v>0</v>
      </c>
      <c r="H1926">
        <v>33205</v>
      </c>
      <c r="I1926" t="s">
        <v>900</v>
      </c>
      <c r="J1926">
        <v>37</v>
      </c>
      <c r="K1926">
        <v>2</v>
      </c>
      <c r="L1926">
        <v>98</v>
      </c>
      <c r="M1926">
        <v>628.29998779000005</v>
      </c>
      <c r="N1926" t="s">
        <v>85</v>
      </c>
      <c r="O1926" t="s">
        <v>82</v>
      </c>
      <c r="P1926">
        <v>125</v>
      </c>
      <c r="Q1926" t="s">
        <v>82</v>
      </c>
      <c r="R1926">
        <v>0</v>
      </c>
      <c r="S1926">
        <v>0</v>
      </c>
      <c r="T1926">
        <v>-40</v>
      </c>
      <c r="U1926">
        <v>49</v>
      </c>
      <c r="V1926">
        <v>0</v>
      </c>
      <c r="W1926">
        <v>28</v>
      </c>
      <c r="X1926">
        <v>28</v>
      </c>
      <c r="Y1926">
        <v>1</v>
      </c>
      <c r="Z1926">
        <v>9</v>
      </c>
      <c r="AA1926">
        <v>24</v>
      </c>
      <c r="AB1926">
        <v>2</v>
      </c>
      <c r="AC1926">
        <v>5</v>
      </c>
      <c r="AD1926">
        <v>3.2790000400000001</v>
      </c>
      <c r="AE1926">
        <v>1</v>
      </c>
      <c r="AF1926">
        <v>1</v>
      </c>
      <c r="AG1926">
        <v>3.2750001000000002</v>
      </c>
      <c r="AH1926">
        <v>2</v>
      </c>
      <c r="AI1926">
        <v>12</v>
      </c>
      <c r="AJ1926">
        <v>1</v>
      </c>
      <c r="AK1926">
        <v>17</v>
      </c>
      <c r="AL1926">
        <v>50</v>
      </c>
      <c r="AM1926" t="s">
        <v>43</v>
      </c>
      <c r="AN1926" t="str">
        <f>HYPERLINK("https://www.google.com/maps?q=11.05526829,79.06438446","Open Location")</f>
        <v>Open Location</v>
      </c>
    </row>
    <row r="1927" spans="1:40" x14ac:dyDescent="0.3">
      <c r="A1927" s="1">
        <v>46210.776736111111</v>
      </c>
      <c r="B1927" t="s">
        <v>40</v>
      </c>
      <c r="C1927" t="s">
        <v>41</v>
      </c>
      <c r="D1927" s="1">
        <v>46210.779618055552</v>
      </c>
      <c r="E1927" t="s">
        <v>42</v>
      </c>
      <c r="F1927" t="s">
        <v>83</v>
      </c>
      <c r="G1927">
        <v>0</v>
      </c>
      <c r="H1927">
        <v>33205</v>
      </c>
      <c r="I1927" t="s">
        <v>901</v>
      </c>
      <c r="J1927">
        <v>37</v>
      </c>
      <c r="K1927">
        <v>2</v>
      </c>
      <c r="L1927">
        <v>98</v>
      </c>
      <c r="M1927">
        <v>628.5</v>
      </c>
      <c r="N1927" t="s">
        <v>85</v>
      </c>
      <c r="O1927" t="s">
        <v>82</v>
      </c>
      <c r="P1927">
        <v>125</v>
      </c>
      <c r="Q1927" t="s">
        <v>82</v>
      </c>
      <c r="R1927">
        <v>0</v>
      </c>
      <c r="S1927">
        <v>0</v>
      </c>
      <c r="T1927">
        <v>-40</v>
      </c>
      <c r="U1927">
        <v>49</v>
      </c>
      <c r="V1927">
        <v>0</v>
      </c>
      <c r="W1927">
        <v>28</v>
      </c>
      <c r="X1927">
        <v>28</v>
      </c>
      <c r="Y1927">
        <v>1</v>
      </c>
      <c r="Z1927">
        <v>9</v>
      </c>
      <c r="AA1927">
        <v>24</v>
      </c>
      <c r="AB1927">
        <v>2</v>
      </c>
      <c r="AC1927">
        <v>5</v>
      </c>
      <c r="AD1927">
        <v>3.2790000400000001</v>
      </c>
      <c r="AE1927">
        <v>1</v>
      </c>
      <c r="AF1927">
        <v>1</v>
      </c>
      <c r="AG1927">
        <v>3.27399993</v>
      </c>
      <c r="AH1927">
        <v>4</v>
      </c>
      <c r="AI1927">
        <v>24</v>
      </c>
      <c r="AJ1927">
        <v>1</v>
      </c>
      <c r="AK1927">
        <v>17</v>
      </c>
      <c r="AL1927">
        <v>50</v>
      </c>
      <c r="AM1927" t="s">
        <v>43</v>
      </c>
      <c r="AN1927" t="str">
        <f>HYPERLINK("https://www.google.com/maps?q=11.05527306,79.06438446","Open Location")</f>
        <v>Open Location</v>
      </c>
    </row>
    <row r="1928" spans="1:40" x14ac:dyDescent="0.3">
      <c r="A1928" s="1">
        <v>46210.776620370372</v>
      </c>
      <c r="B1928" t="s">
        <v>40</v>
      </c>
      <c r="C1928" t="s">
        <v>41</v>
      </c>
      <c r="D1928" s="1">
        <v>46210.779444444444</v>
      </c>
      <c r="E1928" t="s">
        <v>42</v>
      </c>
      <c r="F1928" t="s">
        <v>83</v>
      </c>
      <c r="G1928">
        <v>0</v>
      </c>
      <c r="H1928" t="s">
        <v>43</v>
      </c>
      <c r="I1928" t="s">
        <v>43</v>
      </c>
      <c r="J1928">
        <v>37</v>
      </c>
      <c r="K1928">
        <v>2</v>
      </c>
      <c r="L1928">
        <v>98</v>
      </c>
      <c r="M1928">
        <v>628.29998779000005</v>
      </c>
      <c r="N1928" t="s">
        <v>85</v>
      </c>
      <c r="O1928" t="s">
        <v>82</v>
      </c>
      <c r="P1928">
        <v>125</v>
      </c>
      <c r="Q1928" t="s">
        <v>82</v>
      </c>
      <c r="R1928">
        <v>0</v>
      </c>
      <c r="S1928">
        <v>0</v>
      </c>
      <c r="T1928">
        <v>-40</v>
      </c>
      <c r="U1928">
        <v>49</v>
      </c>
      <c r="V1928">
        <v>0</v>
      </c>
      <c r="W1928">
        <v>28</v>
      </c>
      <c r="X1928">
        <v>28</v>
      </c>
      <c r="Y1928">
        <v>1</v>
      </c>
      <c r="Z1928">
        <v>9</v>
      </c>
      <c r="AA1928">
        <v>24</v>
      </c>
      <c r="AB1928">
        <v>2</v>
      </c>
      <c r="AC1928">
        <v>5</v>
      </c>
      <c r="AD1928">
        <v>3.2780001200000002</v>
      </c>
      <c r="AE1928">
        <v>1</v>
      </c>
      <c r="AF1928">
        <v>1</v>
      </c>
      <c r="AG1928">
        <v>3.2730000000000001</v>
      </c>
      <c r="AH1928">
        <v>4</v>
      </c>
      <c r="AI1928">
        <v>24</v>
      </c>
      <c r="AJ1928">
        <v>1</v>
      </c>
      <c r="AK1928">
        <v>17</v>
      </c>
      <c r="AL1928">
        <v>50</v>
      </c>
      <c r="AM1928" t="s">
        <v>43</v>
      </c>
      <c r="AN1928" t="s">
        <v>43</v>
      </c>
    </row>
    <row r="1929" spans="1:40" x14ac:dyDescent="0.3">
      <c r="A1929" s="1">
        <v>46210.776504629626</v>
      </c>
      <c r="B1929" t="s">
        <v>40</v>
      </c>
      <c r="C1929" t="s">
        <v>41</v>
      </c>
      <c r="D1929" s="1">
        <v>46210.779479166667</v>
      </c>
      <c r="E1929" t="s">
        <v>42</v>
      </c>
      <c r="F1929" t="s">
        <v>83</v>
      </c>
      <c r="G1929">
        <v>7</v>
      </c>
      <c r="H1929">
        <v>33205</v>
      </c>
      <c r="I1929" t="s">
        <v>902</v>
      </c>
      <c r="J1929">
        <v>37</v>
      </c>
      <c r="K1929">
        <v>-15</v>
      </c>
      <c r="L1929">
        <v>98</v>
      </c>
      <c r="M1929">
        <v>628.09997558999999</v>
      </c>
      <c r="N1929" t="s">
        <v>87</v>
      </c>
      <c r="O1929" t="s">
        <v>86</v>
      </c>
      <c r="P1929">
        <v>129</v>
      </c>
      <c r="Q1929">
        <v>4</v>
      </c>
      <c r="R1929">
        <v>0</v>
      </c>
      <c r="S1929">
        <v>1045</v>
      </c>
      <c r="T1929">
        <v>-40</v>
      </c>
      <c r="U1929">
        <v>50</v>
      </c>
      <c r="V1929">
        <v>-112</v>
      </c>
      <c r="W1929">
        <v>28</v>
      </c>
      <c r="X1929">
        <v>28</v>
      </c>
      <c r="Y1929">
        <v>1</v>
      </c>
      <c r="Z1929">
        <v>9</v>
      </c>
      <c r="AA1929">
        <v>24</v>
      </c>
      <c r="AB1929">
        <v>2</v>
      </c>
      <c r="AC1929">
        <v>5</v>
      </c>
      <c r="AD1929">
        <v>3.27699995</v>
      </c>
      <c r="AE1929">
        <v>1</v>
      </c>
      <c r="AF1929">
        <v>1</v>
      </c>
      <c r="AG1929">
        <v>3.2720000699999998</v>
      </c>
      <c r="AH1929">
        <v>4</v>
      </c>
      <c r="AI1929">
        <v>24</v>
      </c>
      <c r="AJ1929">
        <v>1</v>
      </c>
      <c r="AK1929">
        <v>18</v>
      </c>
      <c r="AL1929">
        <v>50</v>
      </c>
      <c r="AM1929" t="s">
        <v>43</v>
      </c>
      <c r="AN1929" t="str">
        <f>HYPERLINK("https://www.google.com/maps?q=11.05532074,79.06439209","Open Location")</f>
        <v>Open Location</v>
      </c>
    </row>
    <row r="1930" spans="1:40" x14ac:dyDescent="0.3">
      <c r="A1930" s="1">
        <v>46210.776388888888</v>
      </c>
      <c r="B1930" t="s">
        <v>40</v>
      </c>
      <c r="C1930" t="s">
        <v>41</v>
      </c>
      <c r="D1930" s="1">
        <v>46210.779432870368</v>
      </c>
      <c r="E1930" t="s">
        <v>42</v>
      </c>
      <c r="F1930" t="s">
        <v>83</v>
      </c>
      <c r="G1930">
        <v>15</v>
      </c>
      <c r="H1930">
        <v>33205</v>
      </c>
      <c r="I1930" t="s">
        <v>903</v>
      </c>
      <c r="J1930">
        <v>37</v>
      </c>
      <c r="K1930">
        <v>-16</v>
      </c>
      <c r="L1930">
        <v>98</v>
      </c>
      <c r="M1930">
        <v>628.70001220999995</v>
      </c>
      <c r="N1930" t="s">
        <v>87</v>
      </c>
      <c r="O1930" t="s">
        <v>86</v>
      </c>
      <c r="P1930">
        <v>129</v>
      </c>
      <c r="Q1930" t="s">
        <v>43</v>
      </c>
      <c r="R1930">
        <v>35</v>
      </c>
      <c r="S1930">
        <v>1127</v>
      </c>
      <c r="T1930">
        <v>-40</v>
      </c>
      <c r="U1930">
        <v>50</v>
      </c>
      <c r="V1930">
        <v>-112</v>
      </c>
      <c r="W1930">
        <v>28</v>
      </c>
      <c r="X1930">
        <v>28</v>
      </c>
      <c r="Y1930">
        <v>1</v>
      </c>
      <c r="Z1930">
        <v>9</v>
      </c>
      <c r="AA1930">
        <v>24</v>
      </c>
      <c r="AB1930">
        <v>2</v>
      </c>
      <c r="AC1930">
        <v>5</v>
      </c>
      <c r="AD1930">
        <v>3.2639999400000002</v>
      </c>
      <c r="AE1930">
        <v>1</v>
      </c>
      <c r="AF1930">
        <v>1</v>
      </c>
      <c r="AG1930">
        <v>3.2550001100000001</v>
      </c>
      <c r="AH1930">
        <v>4</v>
      </c>
      <c r="AI1930">
        <v>24</v>
      </c>
      <c r="AJ1930">
        <v>1</v>
      </c>
      <c r="AK1930">
        <v>17</v>
      </c>
      <c r="AL1930">
        <v>50</v>
      </c>
      <c r="AM1930" t="s">
        <v>43</v>
      </c>
      <c r="AN1930" t="str">
        <f>HYPERLINK("https://www.google.com/maps?q=11.05571747,79.0642395","Open Location")</f>
        <v>Open Location</v>
      </c>
    </row>
    <row r="1931" spans="1:40" x14ac:dyDescent="0.3">
      <c r="A1931" s="1">
        <v>46210.776273148149</v>
      </c>
      <c r="B1931" t="s">
        <v>40</v>
      </c>
      <c r="C1931" t="s">
        <v>41</v>
      </c>
      <c r="D1931" s="1">
        <v>46210.779270833336</v>
      </c>
      <c r="E1931" t="s">
        <v>42</v>
      </c>
      <c r="F1931" t="s">
        <v>83</v>
      </c>
      <c r="G1931">
        <v>16</v>
      </c>
      <c r="H1931">
        <v>33205</v>
      </c>
      <c r="I1931" t="s">
        <v>904</v>
      </c>
      <c r="J1931">
        <v>37</v>
      </c>
      <c r="K1931">
        <v>120</v>
      </c>
      <c r="L1931">
        <v>98</v>
      </c>
      <c r="M1931">
        <v>623.59997558999999</v>
      </c>
      <c r="N1931" t="s">
        <v>87</v>
      </c>
      <c r="O1931" t="s">
        <v>86</v>
      </c>
      <c r="P1931">
        <v>129</v>
      </c>
      <c r="Q1931">
        <v>4</v>
      </c>
      <c r="R1931">
        <v>72</v>
      </c>
      <c r="S1931">
        <v>1094</v>
      </c>
      <c r="T1931">
        <v>-40</v>
      </c>
      <c r="U1931">
        <v>52</v>
      </c>
      <c r="V1931">
        <v>620</v>
      </c>
      <c r="W1931">
        <v>28</v>
      </c>
      <c r="X1931">
        <v>28</v>
      </c>
      <c r="Y1931">
        <v>1</v>
      </c>
      <c r="Z1931">
        <v>9</v>
      </c>
      <c r="AA1931">
        <v>24</v>
      </c>
      <c r="AB1931">
        <v>2</v>
      </c>
      <c r="AC1931">
        <v>5</v>
      </c>
      <c r="AD1931">
        <v>3.2539999499999999</v>
      </c>
      <c r="AE1931">
        <v>1</v>
      </c>
      <c r="AF1931">
        <v>1</v>
      </c>
      <c r="AG1931">
        <v>3.2420000999999998</v>
      </c>
      <c r="AH1931">
        <v>4</v>
      </c>
      <c r="AI1931">
        <v>24</v>
      </c>
      <c r="AJ1931">
        <v>1</v>
      </c>
      <c r="AK1931">
        <v>17</v>
      </c>
      <c r="AL1931">
        <v>50</v>
      </c>
      <c r="AM1931" t="s">
        <v>43</v>
      </c>
      <c r="AN1931" t="str">
        <f>HYPERLINK("https://www.google.com/maps?q=11.05585861,79.06377411","Open Location")</f>
        <v>Open Location</v>
      </c>
    </row>
    <row r="1932" spans="1:40" x14ac:dyDescent="0.3">
      <c r="A1932" s="1">
        <v>46210.77615740741</v>
      </c>
      <c r="B1932" t="s">
        <v>40</v>
      </c>
      <c r="C1932" t="s">
        <v>41</v>
      </c>
      <c r="D1932" s="1">
        <v>46210.778865740744</v>
      </c>
      <c r="E1932" t="s">
        <v>42</v>
      </c>
      <c r="F1932" t="s">
        <v>83</v>
      </c>
      <c r="G1932">
        <v>14</v>
      </c>
      <c r="H1932">
        <v>33205</v>
      </c>
      <c r="I1932" t="s">
        <v>905</v>
      </c>
      <c r="J1932">
        <v>37</v>
      </c>
      <c r="K1932">
        <v>-4</v>
      </c>
      <c r="L1932">
        <v>98</v>
      </c>
      <c r="M1932">
        <v>628.5</v>
      </c>
      <c r="N1932" t="s">
        <v>87</v>
      </c>
      <c r="O1932" t="s">
        <v>86</v>
      </c>
      <c r="P1932">
        <v>129</v>
      </c>
      <c r="Q1932">
        <v>4</v>
      </c>
      <c r="R1932">
        <v>4</v>
      </c>
      <c r="S1932">
        <v>1107</v>
      </c>
      <c r="T1932">
        <v>-40</v>
      </c>
      <c r="U1932">
        <v>49</v>
      </c>
      <c r="V1932">
        <v>-96</v>
      </c>
      <c r="W1932">
        <v>28</v>
      </c>
      <c r="X1932">
        <v>28</v>
      </c>
      <c r="Y1932">
        <v>1</v>
      </c>
      <c r="Z1932">
        <v>9</v>
      </c>
      <c r="AA1932">
        <v>24</v>
      </c>
      <c r="AB1932">
        <v>2</v>
      </c>
      <c r="AC1932">
        <v>5</v>
      </c>
      <c r="AD1932">
        <v>3.2650001</v>
      </c>
      <c r="AE1932">
        <v>1</v>
      </c>
      <c r="AF1932">
        <v>33</v>
      </c>
      <c r="AG1932">
        <v>3.2550001100000001</v>
      </c>
      <c r="AH1932">
        <v>4</v>
      </c>
      <c r="AI1932">
        <v>24</v>
      </c>
      <c r="AJ1932">
        <v>1</v>
      </c>
      <c r="AK1932">
        <v>17</v>
      </c>
      <c r="AL1932">
        <v>50</v>
      </c>
      <c r="AM1932" t="s">
        <v>43</v>
      </c>
      <c r="AN1932" t="str">
        <f>HYPERLINK("https://www.google.com/maps?q=11.05558014,79.06341553","Open Location")</f>
        <v>Open Location</v>
      </c>
    </row>
    <row r="1933" spans="1:40" x14ac:dyDescent="0.3">
      <c r="A1933" s="1">
        <v>46210.776041666664</v>
      </c>
      <c r="B1933" t="s">
        <v>40</v>
      </c>
      <c r="C1933" t="s">
        <v>41</v>
      </c>
      <c r="D1933" s="1">
        <v>46210.778912037036</v>
      </c>
      <c r="E1933" t="s">
        <v>42</v>
      </c>
      <c r="F1933" t="s">
        <v>83</v>
      </c>
      <c r="G1933">
        <v>16</v>
      </c>
      <c r="H1933">
        <v>33204</v>
      </c>
      <c r="I1933" t="s">
        <v>43</v>
      </c>
      <c r="J1933">
        <v>37</v>
      </c>
      <c r="K1933">
        <v>25</v>
      </c>
      <c r="L1933">
        <v>98</v>
      </c>
      <c r="M1933">
        <v>626.59997558999999</v>
      </c>
      <c r="N1933" t="s">
        <v>87</v>
      </c>
      <c r="O1933" t="s">
        <v>86</v>
      </c>
      <c r="P1933">
        <v>129</v>
      </c>
      <c r="Q1933">
        <v>4</v>
      </c>
      <c r="R1933">
        <v>16</v>
      </c>
      <c r="S1933">
        <v>1265</v>
      </c>
      <c r="T1933">
        <v>-40</v>
      </c>
      <c r="U1933">
        <v>50</v>
      </c>
      <c r="V1933">
        <v>100</v>
      </c>
      <c r="W1933">
        <v>28</v>
      </c>
      <c r="X1933">
        <v>28</v>
      </c>
      <c r="Y1933">
        <v>1</v>
      </c>
      <c r="Z1933">
        <v>9</v>
      </c>
      <c r="AA1933">
        <v>24</v>
      </c>
      <c r="AB1933">
        <v>2</v>
      </c>
      <c r="AC1933">
        <v>5</v>
      </c>
      <c r="AD1933">
        <v>3.2650001</v>
      </c>
      <c r="AE1933">
        <v>1</v>
      </c>
      <c r="AF1933">
        <v>1</v>
      </c>
      <c r="AG1933">
        <v>3.25600004</v>
      </c>
      <c r="AH1933">
        <v>4</v>
      </c>
      <c r="AI1933">
        <v>24</v>
      </c>
      <c r="AJ1933">
        <v>1</v>
      </c>
      <c r="AK1933">
        <v>17</v>
      </c>
      <c r="AL1933">
        <v>50</v>
      </c>
      <c r="AM1933" t="s">
        <v>43</v>
      </c>
      <c r="AN1933" t="s">
        <v>43</v>
      </c>
    </row>
    <row r="1934" spans="1:40" x14ac:dyDescent="0.3">
      <c r="A1934" s="1">
        <v>46210.775925925926</v>
      </c>
      <c r="B1934" t="s">
        <v>40</v>
      </c>
      <c r="C1934" t="s">
        <v>41</v>
      </c>
      <c r="D1934" s="1">
        <v>46210.77915509259</v>
      </c>
      <c r="E1934" t="s">
        <v>42</v>
      </c>
      <c r="F1934" t="s">
        <v>83</v>
      </c>
      <c r="G1934">
        <v>16</v>
      </c>
      <c r="H1934">
        <v>33204</v>
      </c>
      <c r="I1934" t="s">
        <v>906</v>
      </c>
      <c r="J1934">
        <v>37</v>
      </c>
      <c r="K1934">
        <v>93</v>
      </c>
      <c r="L1934">
        <v>98</v>
      </c>
      <c r="M1934">
        <v>623.79998779000005</v>
      </c>
      <c r="N1934" t="s">
        <v>87</v>
      </c>
      <c r="O1934" t="s">
        <v>86</v>
      </c>
      <c r="P1934">
        <v>129</v>
      </c>
      <c r="Q1934">
        <v>4</v>
      </c>
      <c r="R1934">
        <v>67</v>
      </c>
      <c r="S1934">
        <v>1153</v>
      </c>
      <c r="T1934">
        <v>-40</v>
      </c>
      <c r="U1934">
        <v>51</v>
      </c>
      <c r="V1934">
        <v>420</v>
      </c>
      <c r="W1934">
        <v>28</v>
      </c>
      <c r="X1934">
        <v>28</v>
      </c>
      <c r="Y1934">
        <v>1</v>
      </c>
      <c r="Z1934">
        <v>9</v>
      </c>
      <c r="AA1934">
        <v>24</v>
      </c>
      <c r="AB1934">
        <v>2</v>
      </c>
      <c r="AC1934">
        <v>5</v>
      </c>
      <c r="AD1934">
        <v>3.25600004</v>
      </c>
      <c r="AE1934">
        <v>1</v>
      </c>
      <c r="AF1934">
        <v>1</v>
      </c>
      <c r="AG1934">
        <v>3.2449998899999999</v>
      </c>
      <c r="AH1934">
        <v>4</v>
      </c>
      <c r="AI1934">
        <v>24</v>
      </c>
      <c r="AJ1934">
        <v>1</v>
      </c>
      <c r="AK1934">
        <v>17</v>
      </c>
      <c r="AL1934">
        <v>50</v>
      </c>
      <c r="AM1934" t="s">
        <v>43</v>
      </c>
      <c r="AN1934" t="str">
        <f>HYPERLINK("https://www.google.com/maps?q=11.05508614,79.0631485","Open Location")</f>
        <v>Open Location</v>
      </c>
    </row>
    <row r="1935" spans="1:40" x14ac:dyDescent="0.3">
      <c r="A1935" s="1">
        <v>46210.775810185187</v>
      </c>
      <c r="B1935" t="s">
        <v>40</v>
      </c>
      <c r="C1935" t="s">
        <v>41</v>
      </c>
      <c r="D1935" s="1">
        <v>46210.778657407405</v>
      </c>
      <c r="E1935" t="s">
        <v>42</v>
      </c>
      <c r="F1935" t="s">
        <v>83</v>
      </c>
      <c r="G1935">
        <v>15</v>
      </c>
      <c r="H1935">
        <v>33204</v>
      </c>
      <c r="I1935" t="s">
        <v>907</v>
      </c>
      <c r="J1935">
        <v>37</v>
      </c>
      <c r="K1935">
        <v>139</v>
      </c>
      <c r="L1935">
        <v>98</v>
      </c>
      <c r="M1935">
        <v>622.59997558999999</v>
      </c>
      <c r="N1935" t="s">
        <v>87</v>
      </c>
      <c r="O1935" t="s">
        <v>86</v>
      </c>
      <c r="P1935">
        <v>128</v>
      </c>
      <c r="Q1935">
        <v>3</v>
      </c>
      <c r="R1935">
        <v>94</v>
      </c>
      <c r="S1935">
        <v>1405</v>
      </c>
      <c r="T1935">
        <v>-40</v>
      </c>
      <c r="U1935">
        <v>51</v>
      </c>
      <c r="V1935">
        <v>540</v>
      </c>
      <c r="W1935">
        <v>28</v>
      </c>
      <c r="X1935">
        <v>28</v>
      </c>
      <c r="Y1935">
        <v>1</v>
      </c>
      <c r="Z1935">
        <v>9</v>
      </c>
      <c r="AA1935">
        <v>24</v>
      </c>
      <c r="AB1935">
        <v>2</v>
      </c>
      <c r="AC1935">
        <v>5</v>
      </c>
      <c r="AD1935">
        <v>3.2730000000000001</v>
      </c>
      <c r="AE1935">
        <v>1</v>
      </c>
      <c r="AF1935">
        <v>1</v>
      </c>
      <c r="AG1935">
        <v>3.2669999600000001</v>
      </c>
      <c r="AH1935">
        <v>4</v>
      </c>
      <c r="AI1935">
        <v>24</v>
      </c>
      <c r="AJ1935">
        <v>1</v>
      </c>
      <c r="AK1935">
        <v>17</v>
      </c>
      <c r="AL1935">
        <v>50</v>
      </c>
      <c r="AM1935" t="s">
        <v>43</v>
      </c>
      <c r="AN1935" t="str">
        <f>HYPERLINK("https://www.google.com/maps?q=11.05463886,79.06304932","Open Location")</f>
        <v>Open Location</v>
      </c>
    </row>
    <row r="1936" spans="1:40" x14ac:dyDescent="0.3">
      <c r="A1936" s="1">
        <v>46210.775694444441</v>
      </c>
      <c r="B1936" t="s">
        <v>40</v>
      </c>
      <c r="C1936" t="s">
        <v>41</v>
      </c>
      <c r="D1936" s="1">
        <v>46210.778622685182</v>
      </c>
      <c r="E1936" t="s">
        <v>42</v>
      </c>
      <c r="F1936" t="s">
        <v>83</v>
      </c>
      <c r="G1936">
        <v>5</v>
      </c>
      <c r="H1936">
        <v>33204</v>
      </c>
      <c r="I1936" t="s">
        <v>908</v>
      </c>
      <c r="J1936">
        <v>38</v>
      </c>
      <c r="K1936">
        <v>2</v>
      </c>
      <c r="L1936">
        <v>98</v>
      </c>
      <c r="M1936">
        <v>629.5</v>
      </c>
      <c r="N1936" t="s">
        <v>87</v>
      </c>
      <c r="O1936" t="s">
        <v>86</v>
      </c>
      <c r="P1936">
        <v>127</v>
      </c>
      <c r="Q1936" t="s">
        <v>43</v>
      </c>
      <c r="R1936">
        <v>72</v>
      </c>
      <c r="S1936">
        <v>1112</v>
      </c>
      <c r="T1936">
        <v>-40</v>
      </c>
      <c r="U1936">
        <v>49</v>
      </c>
      <c r="V1936">
        <v>0</v>
      </c>
      <c r="W1936">
        <v>28</v>
      </c>
      <c r="X1936">
        <v>28</v>
      </c>
      <c r="Y1936">
        <v>1</v>
      </c>
      <c r="Z1936">
        <v>9</v>
      </c>
      <c r="AA1936">
        <v>24</v>
      </c>
      <c r="AB1936">
        <v>2</v>
      </c>
      <c r="AC1936">
        <v>5</v>
      </c>
      <c r="AD1936">
        <v>3.25900006</v>
      </c>
      <c r="AE1936">
        <v>1</v>
      </c>
      <c r="AF1936">
        <v>1</v>
      </c>
      <c r="AG1936">
        <v>3.24699998</v>
      </c>
      <c r="AH1936">
        <v>4</v>
      </c>
      <c r="AI1936">
        <v>24</v>
      </c>
      <c r="AJ1936">
        <v>1</v>
      </c>
      <c r="AK1936">
        <v>17</v>
      </c>
      <c r="AL1936">
        <v>50</v>
      </c>
      <c r="AM1936" t="s">
        <v>43</v>
      </c>
      <c r="AN1936" t="str">
        <f>HYPERLINK("https://www.google.com/maps?q=11.0544157,79.06304169","Open Location")</f>
        <v>Open Location</v>
      </c>
    </row>
    <row r="1937" spans="1:40" x14ac:dyDescent="0.3">
      <c r="A1937" s="1">
        <v>46210.775578703702</v>
      </c>
      <c r="B1937" t="s">
        <v>40</v>
      </c>
      <c r="C1937" t="s">
        <v>41</v>
      </c>
      <c r="D1937" s="1">
        <v>46210.778333333335</v>
      </c>
      <c r="E1937" t="s">
        <v>42</v>
      </c>
      <c r="F1937" t="s">
        <v>83</v>
      </c>
      <c r="G1937">
        <v>0</v>
      </c>
      <c r="H1937">
        <v>33204</v>
      </c>
      <c r="I1937" t="s">
        <v>909</v>
      </c>
      <c r="J1937">
        <v>38</v>
      </c>
      <c r="K1937">
        <v>2</v>
      </c>
      <c r="L1937">
        <v>98</v>
      </c>
      <c r="M1937">
        <v>629.40002441000001</v>
      </c>
      <c r="N1937" t="s">
        <v>85</v>
      </c>
      <c r="O1937" t="s">
        <v>82</v>
      </c>
      <c r="P1937">
        <v>125</v>
      </c>
      <c r="Q1937" t="s">
        <v>82</v>
      </c>
      <c r="R1937">
        <v>0</v>
      </c>
      <c r="S1937">
        <v>0</v>
      </c>
      <c r="T1937">
        <v>-40</v>
      </c>
      <c r="U1937">
        <v>48</v>
      </c>
      <c r="V1937">
        <v>0</v>
      </c>
      <c r="W1937">
        <v>28</v>
      </c>
      <c r="X1937">
        <v>28</v>
      </c>
      <c r="Y1937">
        <v>1</v>
      </c>
      <c r="Z1937">
        <v>9</v>
      </c>
      <c r="AA1937">
        <v>24</v>
      </c>
      <c r="AB1937">
        <v>2</v>
      </c>
      <c r="AC1937">
        <v>5</v>
      </c>
      <c r="AD1937">
        <v>3.28299999</v>
      </c>
      <c r="AE1937">
        <v>1</v>
      </c>
      <c r="AF1937">
        <v>1</v>
      </c>
      <c r="AG1937">
        <v>3.2790000400000001</v>
      </c>
      <c r="AH1937">
        <v>2</v>
      </c>
      <c r="AI1937">
        <v>12</v>
      </c>
      <c r="AJ1937">
        <v>1</v>
      </c>
      <c r="AK1937">
        <v>17</v>
      </c>
      <c r="AL1937">
        <v>50</v>
      </c>
      <c r="AM1937" t="s">
        <v>43</v>
      </c>
      <c r="AN1937" t="str">
        <f>HYPERLINK("https://www.google.com/maps?q=11.05442142,79.06304169","Open Location")</f>
        <v>Open Location</v>
      </c>
    </row>
    <row r="1938" spans="1:40" x14ac:dyDescent="0.3">
      <c r="A1938" s="1">
        <v>46210.775462962964</v>
      </c>
      <c r="B1938" t="s">
        <v>40</v>
      </c>
      <c r="C1938" t="s">
        <v>41</v>
      </c>
      <c r="D1938" s="1">
        <v>46210.778333333335</v>
      </c>
      <c r="E1938" t="s">
        <v>42</v>
      </c>
      <c r="F1938" t="s">
        <v>83</v>
      </c>
      <c r="G1938">
        <v>0</v>
      </c>
      <c r="H1938">
        <v>33204</v>
      </c>
      <c r="I1938" t="s">
        <v>910</v>
      </c>
      <c r="J1938">
        <v>38</v>
      </c>
      <c r="K1938">
        <v>2</v>
      </c>
      <c r="L1938">
        <v>98</v>
      </c>
      <c r="M1938">
        <v>629.70001220999995</v>
      </c>
      <c r="N1938" t="s">
        <v>85</v>
      </c>
      <c r="O1938" t="s">
        <v>82</v>
      </c>
      <c r="P1938">
        <v>125</v>
      </c>
      <c r="Q1938" t="s">
        <v>82</v>
      </c>
      <c r="R1938">
        <v>0</v>
      </c>
      <c r="S1938">
        <v>0</v>
      </c>
      <c r="T1938">
        <v>-40</v>
      </c>
      <c r="U1938">
        <v>48</v>
      </c>
      <c r="V1938">
        <v>0</v>
      </c>
      <c r="W1938">
        <v>28</v>
      </c>
      <c r="X1938">
        <v>28</v>
      </c>
      <c r="Y1938">
        <v>1</v>
      </c>
      <c r="Z1938">
        <v>9</v>
      </c>
      <c r="AA1938">
        <v>24</v>
      </c>
      <c r="AB1938">
        <v>2</v>
      </c>
      <c r="AC1938">
        <v>5</v>
      </c>
      <c r="AD1938">
        <v>3.28299999</v>
      </c>
      <c r="AE1938">
        <v>1</v>
      </c>
      <c r="AF1938">
        <v>1</v>
      </c>
      <c r="AG1938">
        <v>3.2790000400000001</v>
      </c>
      <c r="AH1938">
        <v>2</v>
      </c>
      <c r="AI1938">
        <v>12</v>
      </c>
      <c r="AJ1938">
        <v>1</v>
      </c>
      <c r="AK1938">
        <v>17</v>
      </c>
      <c r="AL1938">
        <v>50</v>
      </c>
      <c r="AM1938" t="s">
        <v>43</v>
      </c>
      <c r="AN1938" t="str">
        <f>HYPERLINK("https://www.google.com/maps?q=11.05442619,79.06304169","Open Location")</f>
        <v>Open Location</v>
      </c>
    </row>
    <row r="1939" spans="1:40" x14ac:dyDescent="0.3">
      <c r="A1939" s="1">
        <v>46210.775347222225</v>
      </c>
      <c r="B1939" t="s">
        <v>40</v>
      </c>
      <c r="C1939" t="s">
        <v>41</v>
      </c>
      <c r="D1939" s="1">
        <v>46210.77820601852</v>
      </c>
      <c r="E1939" t="s">
        <v>42</v>
      </c>
      <c r="F1939" t="s">
        <v>83</v>
      </c>
      <c r="G1939">
        <v>0</v>
      </c>
      <c r="H1939" t="s">
        <v>43</v>
      </c>
      <c r="I1939" t="s">
        <v>43</v>
      </c>
      <c r="J1939">
        <v>38</v>
      </c>
      <c r="K1939">
        <v>2</v>
      </c>
      <c r="L1939">
        <v>98</v>
      </c>
      <c r="M1939">
        <v>629.79998779000005</v>
      </c>
      <c r="N1939" t="s">
        <v>85</v>
      </c>
      <c r="O1939" t="s">
        <v>82</v>
      </c>
      <c r="P1939">
        <v>125</v>
      </c>
      <c r="Q1939" t="s">
        <v>82</v>
      </c>
      <c r="R1939">
        <v>0</v>
      </c>
      <c r="S1939">
        <v>0</v>
      </c>
      <c r="T1939">
        <v>-40</v>
      </c>
      <c r="U1939">
        <v>48</v>
      </c>
      <c r="V1939">
        <v>0</v>
      </c>
      <c r="W1939">
        <v>28</v>
      </c>
      <c r="X1939">
        <v>28</v>
      </c>
      <c r="Y1939">
        <v>1</v>
      </c>
      <c r="Z1939">
        <v>9</v>
      </c>
      <c r="AA1939">
        <v>24</v>
      </c>
      <c r="AB1939">
        <v>2</v>
      </c>
      <c r="AC1939">
        <v>5</v>
      </c>
      <c r="AD1939">
        <v>3.28299999</v>
      </c>
      <c r="AE1939">
        <v>1</v>
      </c>
      <c r="AF1939">
        <v>1</v>
      </c>
      <c r="AG1939">
        <v>3.2790000400000001</v>
      </c>
      <c r="AH1939">
        <v>2</v>
      </c>
      <c r="AI1939">
        <v>6</v>
      </c>
      <c r="AJ1939">
        <v>1</v>
      </c>
      <c r="AK1939">
        <v>17</v>
      </c>
      <c r="AL1939">
        <v>50</v>
      </c>
      <c r="AM1939" t="s">
        <v>43</v>
      </c>
      <c r="AN1939" t="s">
        <v>43</v>
      </c>
    </row>
    <row r="1940" spans="1:40" x14ac:dyDescent="0.3">
      <c r="A1940" s="1">
        <v>46210.775231481479</v>
      </c>
      <c r="B1940" t="s">
        <v>40</v>
      </c>
      <c r="C1940" t="s">
        <v>41</v>
      </c>
      <c r="D1940" s="1">
        <v>46210.778043981481</v>
      </c>
      <c r="E1940" t="s">
        <v>42</v>
      </c>
      <c r="F1940" t="s">
        <v>83</v>
      </c>
      <c r="G1940">
        <v>0</v>
      </c>
      <c r="H1940">
        <v>33204</v>
      </c>
      <c r="I1940" t="s">
        <v>911</v>
      </c>
      <c r="J1940">
        <v>38</v>
      </c>
      <c r="K1940">
        <v>2</v>
      </c>
      <c r="L1940">
        <v>98</v>
      </c>
      <c r="M1940">
        <v>629.5</v>
      </c>
      <c r="N1940" t="s">
        <v>85</v>
      </c>
      <c r="O1940" t="s">
        <v>82</v>
      </c>
      <c r="P1940">
        <v>125</v>
      </c>
      <c r="Q1940" t="s">
        <v>82</v>
      </c>
      <c r="R1940">
        <v>0</v>
      </c>
      <c r="S1940">
        <v>0</v>
      </c>
      <c r="T1940">
        <v>-40</v>
      </c>
      <c r="U1940">
        <v>48</v>
      </c>
      <c r="V1940">
        <v>0</v>
      </c>
      <c r="W1940">
        <v>28</v>
      </c>
      <c r="X1940">
        <v>28</v>
      </c>
      <c r="Y1940">
        <v>1</v>
      </c>
      <c r="Z1940">
        <v>9</v>
      </c>
      <c r="AA1940">
        <v>24</v>
      </c>
      <c r="AB1940">
        <v>2</v>
      </c>
      <c r="AC1940">
        <v>5</v>
      </c>
      <c r="AD1940">
        <v>3.28299999</v>
      </c>
      <c r="AE1940">
        <v>1</v>
      </c>
      <c r="AF1940">
        <v>1</v>
      </c>
      <c r="AG1940">
        <v>3.2790000400000001</v>
      </c>
      <c r="AH1940">
        <v>2</v>
      </c>
      <c r="AI1940">
        <v>6</v>
      </c>
      <c r="AJ1940">
        <v>1</v>
      </c>
      <c r="AK1940">
        <v>17</v>
      </c>
      <c r="AL1940">
        <v>50</v>
      </c>
      <c r="AM1940" t="s">
        <v>43</v>
      </c>
      <c r="AN1940" t="str">
        <f>HYPERLINK("https://www.google.com/maps?q=11.05443096,79.06304932","Open Location")</f>
        <v>Open Location</v>
      </c>
    </row>
    <row r="1941" spans="1:40" x14ac:dyDescent="0.3">
      <c r="A1941" s="1">
        <v>46210.77511574074</v>
      </c>
      <c r="B1941" t="s">
        <v>40</v>
      </c>
      <c r="C1941" t="s">
        <v>41</v>
      </c>
      <c r="D1941" s="1">
        <v>46210.777812499997</v>
      </c>
      <c r="E1941" t="s">
        <v>42</v>
      </c>
      <c r="F1941" t="s">
        <v>83</v>
      </c>
      <c r="G1941">
        <v>0</v>
      </c>
      <c r="H1941">
        <v>33204</v>
      </c>
      <c r="I1941" t="s">
        <v>912</v>
      </c>
      <c r="J1941">
        <v>38</v>
      </c>
      <c r="K1941">
        <v>2</v>
      </c>
      <c r="L1941">
        <v>98</v>
      </c>
      <c r="M1941">
        <v>628.90002441000001</v>
      </c>
      <c r="N1941" t="s">
        <v>85</v>
      </c>
      <c r="O1941" t="s">
        <v>82</v>
      </c>
      <c r="P1941">
        <v>125</v>
      </c>
      <c r="Q1941" t="s">
        <v>82</v>
      </c>
      <c r="R1941">
        <v>0</v>
      </c>
      <c r="S1941">
        <v>0</v>
      </c>
      <c r="T1941">
        <v>-40</v>
      </c>
      <c r="U1941">
        <v>48</v>
      </c>
      <c r="V1941">
        <v>0</v>
      </c>
      <c r="W1941">
        <v>28</v>
      </c>
      <c r="X1941">
        <v>28</v>
      </c>
      <c r="Y1941">
        <v>1</v>
      </c>
      <c r="Z1941">
        <v>9</v>
      </c>
      <c r="AA1941">
        <v>24</v>
      </c>
      <c r="AB1941">
        <v>2</v>
      </c>
      <c r="AC1941">
        <v>5</v>
      </c>
      <c r="AD1941">
        <v>3.28299999</v>
      </c>
      <c r="AE1941">
        <v>1</v>
      </c>
      <c r="AF1941">
        <v>1</v>
      </c>
      <c r="AG1941">
        <v>3.2790000400000001</v>
      </c>
      <c r="AH1941">
        <v>2</v>
      </c>
      <c r="AI1941">
        <v>6</v>
      </c>
      <c r="AJ1941">
        <v>1</v>
      </c>
      <c r="AK1941">
        <v>17</v>
      </c>
      <c r="AL1941">
        <v>50</v>
      </c>
      <c r="AM1941" t="s">
        <v>43</v>
      </c>
      <c r="AN1941" t="str">
        <f>HYPERLINK("https://www.google.com/maps?q=11.05443287,79.06304932","Open Location")</f>
        <v>Open Location</v>
      </c>
    </row>
    <row r="1942" spans="1:40" x14ac:dyDescent="0.3">
      <c r="A1942" s="1">
        <v>46210.775000000001</v>
      </c>
      <c r="B1942" t="s">
        <v>40</v>
      </c>
      <c r="C1942" t="s">
        <v>41</v>
      </c>
      <c r="D1942" s="1">
        <v>46210.777905092589</v>
      </c>
      <c r="E1942" t="s">
        <v>42</v>
      </c>
      <c r="F1942" t="s">
        <v>83</v>
      </c>
      <c r="G1942">
        <v>0</v>
      </c>
      <c r="H1942">
        <v>33204</v>
      </c>
      <c r="I1942" t="s">
        <v>913</v>
      </c>
      <c r="J1942">
        <v>38</v>
      </c>
      <c r="K1942">
        <v>2</v>
      </c>
      <c r="L1942">
        <v>98</v>
      </c>
      <c r="M1942">
        <v>628.90002441000001</v>
      </c>
      <c r="N1942" t="s">
        <v>85</v>
      </c>
      <c r="O1942" t="s">
        <v>82</v>
      </c>
      <c r="P1942">
        <v>125</v>
      </c>
      <c r="Q1942" t="s">
        <v>82</v>
      </c>
      <c r="R1942">
        <v>0</v>
      </c>
      <c r="S1942">
        <v>0</v>
      </c>
      <c r="T1942">
        <v>-40</v>
      </c>
      <c r="U1942">
        <v>47</v>
      </c>
      <c r="V1942">
        <v>0</v>
      </c>
      <c r="W1942">
        <v>28</v>
      </c>
      <c r="X1942">
        <v>28</v>
      </c>
      <c r="Y1942">
        <v>1</v>
      </c>
      <c r="Z1942">
        <v>9</v>
      </c>
      <c r="AA1942">
        <v>24</v>
      </c>
      <c r="AB1942">
        <v>2</v>
      </c>
      <c r="AC1942">
        <v>5</v>
      </c>
      <c r="AD1942">
        <v>3.28299999</v>
      </c>
      <c r="AE1942">
        <v>1</v>
      </c>
      <c r="AF1942">
        <v>1</v>
      </c>
      <c r="AG1942">
        <v>3.2790000400000001</v>
      </c>
      <c r="AH1942">
        <v>2</v>
      </c>
      <c r="AI1942">
        <v>6</v>
      </c>
      <c r="AJ1942">
        <v>1</v>
      </c>
      <c r="AK1942">
        <v>17</v>
      </c>
      <c r="AL1942">
        <v>50</v>
      </c>
      <c r="AM1942" t="s">
        <v>43</v>
      </c>
      <c r="AN1942" t="str">
        <f>HYPERLINK("https://www.google.com/maps?q=11.05443287,79.06304169","Open Location")</f>
        <v>Open Location</v>
      </c>
    </row>
    <row r="1943" spans="1:40" x14ac:dyDescent="0.3">
      <c r="A1943" s="1">
        <v>46210.774884259263</v>
      </c>
      <c r="B1943" t="s">
        <v>40</v>
      </c>
      <c r="C1943" t="s">
        <v>41</v>
      </c>
      <c r="D1943" s="1">
        <v>46210.778043981481</v>
      </c>
      <c r="E1943" t="s">
        <v>42</v>
      </c>
      <c r="F1943" t="s">
        <v>83</v>
      </c>
      <c r="G1943">
        <v>0</v>
      </c>
      <c r="H1943">
        <v>33204</v>
      </c>
      <c r="I1943" t="s">
        <v>914</v>
      </c>
      <c r="J1943">
        <v>38</v>
      </c>
      <c r="K1943">
        <v>2</v>
      </c>
      <c r="L1943">
        <v>98</v>
      </c>
      <c r="M1943">
        <v>628.90002441000001</v>
      </c>
      <c r="N1943" t="s">
        <v>85</v>
      </c>
      <c r="O1943" t="s">
        <v>82</v>
      </c>
      <c r="P1943">
        <v>125</v>
      </c>
      <c r="Q1943" t="s">
        <v>82</v>
      </c>
      <c r="R1943">
        <v>0</v>
      </c>
      <c r="S1943">
        <v>0</v>
      </c>
      <c r="T1943">
        <v>-40</v>
      </c>
      <c r="U1943">
        <v>47</v>
      </c>
      <c r="V1943">
        <v>0</v>
      </c>
      <c r="W1943">
        <v>28</v>
      </c>
      <c r="X1943">
        <v>28</v>
      </c>
      <c r="Y1943">
        <v>1</v>
      </c>
      <c r="Z1943">
        <v>9</v>
      </c>
      <c r="AA1943">
        <v>24</v>
      </c>
      <c r="AB1943">
        <v>2</v>
      </c>
      <c r="AC1943">
        <v>5</v>
      </c>
      <c r="AD1943">
        <v>3.28299999</v>
      </c>
      <c r="AE1943">
        <v>1</v>
      </c>
      <c r="AF1943">
        <v>1</v>
      </c>
      <c r="AG1943">
        <v>3.2790000400000001</v>
      </c>
      <c r="AH1943">
        <v>2</v>
      </c>
      <c r="AI1943">
        <v>3</v>
      </c>
      <c r="AJ1943">
        <v>1</v>
      </c>
      <c r="AK1943">
        <v>17</v>
      </c>
      <c r="AL1943">
        <v>50</v>
      </c>
      <c r="AM1943" t="s">
        <v>43</v>
      </c>
      <c r="AN1943" t="str">
        <f>HYPERLINK("https://www.google.com/maps?q=11.05443764,79.06304169","Open Location")</f>
        <v>Open Location</v>
      </c>
    </row>
    <row r="1944" spans="1:40" x14ac:dyDescent="0.3">
      <c r="A1944" s="1">
        <v>46210.774768518517</v>
      </c>
      <c r="B1944" t="s">
        <v>40</v>
      </c>
      <c r="C1944" t="s">
        <v>41</v>
      </c>
      <c r="D1944" s="1">
        <v>46210.777754629627</v>
      </c>
      <c r="E1944" t="s">
        <v>42</v>
      </c>
      <c r="F1944" t="s">
        <v>83</v>
      </c>
      <c r="G1944">
        <v>0</v>
      </c>
      <c r="H1944">
        <v>33204</v>
      </c>
      <c r="I1944" t="s">
        <v>915</v>
      </c>
      <c r="J1944">
        <v>38</v>
      </c>
      <c r="K1944">
        <v>2</v>
      </c>
      <c r="L1944">
        <v>98</v>
      </c>
      <c r="M1944">
        <v>629.20001220999995</v>
      </c>
      <c r="N1944" t="s">
        <v>85</v>
      </c>
      <c r="O1944" t="s">
        <v>82</v>
      </c>
      <c r="P1944">
        <v>125</v>
      </c>
      <c r="Q1944" t="s">
        <v>82</v>
      </c>
      <c r="R1944">
        <v>0</v>
      </c>
      <c r="S1944">
        <v>0</v>
      </c>
      <c r="T1944">
        <v>-40</v>
      </c>
      <c r="U1944">
        <v>47</v>
      </c>
      <c r="V1944">
        <v>0</v>
      </c>
      <c r="W1944">
        <v>28</v>
      </c>
      <c r="X1944">
        <v>28</v>
      </c>
      <c r="Y1944">
        <v>1</v>
      </c>
      <c r="Z1944">
        <v>9</v>
      </c>
      <c r="AA1944">
        <v>24</v>
      </c>
      <c r="AB1944">
        <v>2</v>
      </c>
      <c r="AC1944">
        <v>5</v>
      </c>
      <c r="AD1944">
        <v>3.28299999</v>
      </c>
      <c r="AE1944">
        <v>1</v>
      </c>
      <c r="AF1944">
        <v>1</v>
      </c>
      <c r="AG1944">
        <v>3.2780001200000002</v>
      </c>
      <c r="AH1944">
        <v>6</v>
      </c>
      <c r="AI1944">
        <v>24</v>
      </c>
      <c r="AJ1944">
        <v>1</v>
      </c>
      <c r="AK1944">
        <v>17</v>
      </c>
      <c r="AL1944">
        <v>50</v>
      </c>
      <c r="AM1944" t="s">
        <v>43</v>
      </c>
      <c r="AN1944" t="str">
        <f>HYPERLINK("https://www.google.com/maps?q=11.05443859,79.06304932","Open Location")</f>
        <v>Open Location</v>
      </c>
    </row>
    <row r="1945" spans="1:40" x14ac:dyDescent="0.3">
      <c r="A1945" s="1">
        <v>46210.774652777778</v>
      </c>
      <c r="B1945" t="s">
        <v>40</v>
      </c>
      <c r="C1945" t="s">
        <v>41</v>
      </c>
      <c r="D1945" s="1">
        <v>46210.777395833335</v>
      </c>
      <c r="E1945" t="s">
        <v>42</v>
      </c>
      <c r="F1945" t="s">
        <v>83</v>
      </c>
      <c r="G1945">
        <v>0</v>
      </c>
      <c r="H1945">
        <v>33204</v>
      </c>
      <c r="I1945" t="s">
        <v>43</v>
      </c>
      <c r="J1945">
        <v>38</v>
      </c>
      <c r="K1945">
        <v>2</v>
      </c>
      <c r="L1945">
        <v>98</v>
      </c>
      <c r="M1945">
        <v>629.09997558999999</v>
      </c>
      <c r="N1945" t="s">
        <v>85</v>
      </c>
      <c r="O1945" t="s">
        <v>82</v>
      </c>
      <c r="P1945">
        <v>125</v>
      </c>
      <c r="Q1945" t="s">
        <v>82</v>
      </c>
      <c r="R1945">
        <v>0</v>
      </c>
      <c r="S1945">
        <v>0</v>
      </c>
      <c r="T1945">
        <v>-40</v>
      </c>
      <c r="U1945">
        <v>47</v>
      </c>
      <c r="V1945">
        <v>0</v>
      </c>
      <c r="W1945">
        <v>28</v>
      </c>
      <c r="X1945">
        <v>28</v>
      </c>
      <c r="Y1945">
        <v>1</v>
      </c>
      <c r="Z1945">
        <v>9</v>
      </c>
      <c r="AA1945">
        <v>24</v>
      </c>
      <c r="AB1945">
        <v>2</v>
      </c>
      <c r="AC1945">
        <v>5</v>
      </c>
      <c r="AD1945">
        <v>3.28299999</v>
      </c>
      <c r="AE1945">
        <v>1</v>
      </c>
      <c r="AF1945">
        <v>1</v>
      </c>
      <c r="AG1945">
        <v>3.2780001200000002</v>
      </c>
      <c r="AH1945">
        <v>6</v>
      </c>
      <c r="AI1945">
        <v>24</v>
      </c>
      <c r="AJ1945">
        <v>1</v>
      </c>
      <c r="AK1945">
        <v>17</v>
      </c>
      <c r="AL1945">
        <v>50</v>
      </c>
      <c r="AM1945" t="s">
        <v>43</v>
      </c>
      <c r="AN1945" t="s">
        <v>43</v>
      </c>
    </row>
    <row r="1946" spans="1:40" x14ac:dyDescent="0.3">
      <c r="A1946" s="1">
        <v>46210.774537037039</v>
      </c>
      <c r="B1946" t="s">
        <v>40</v>
      </c>
      <c r="C1946" t="s">
        <v>41</v>
      </c>
      <c r="D1946" s="1">
        <v>46210.777581018519</v>
      </c>
      <c r="E1946" t="s">
        <v>42</v>
      </c>
      <c r="F1946" t="s">
        <v>83</v>
      </c>
      <c r="G1946">
        <v>0</v>
      </c>
      <c r="H1946">
        <v>33204</v>
      </c>
      <c r="I1946" t="s">
        <v>916</v>
      </c>
      <c r="J1946">
        <v>38</v>
      </c>
      <c r="K1946">
        <v>2</v>
      </c>
      <c r="L1946">
        <v>98</v>
      </c>
      <c r="M1946">
        <v>628.79998779000005</v>
      </c>
      <c r="N1946" t="s">
        <v>85</v>
      </c>
      <c r="O1946" t="s">
        <v>82</v>
      </c>
      <c r="P1946">
        <v>125</v>
      </c>
      <c r="Q1946" t="s">
        <v>82</v>
      </c>
      <c r="R1946">
        <v>0</v>
      </c>
      <c r="S1946">
        <v>0</v>
      </c>
      <c r="T1946">
        <v>-40</v>
      </c>
      <c r="U1946">
        <v>47</v>
      </c>
      <c r="V1946">
        <v>0</v>
      </c>
      <c r="W1946">
        <v>28</v>
      </c>
      <c r="X1946">
        <v>28</v>
      </c>
      <c r="Y1946">
        <v>1</v>
      </c>
      <c r="Z1946">
        <v>9</v>
      </c>
      <c r="AA1946">
        <v>24</v>
      </c>
      <c r="AB1946">
        <v>2</v>
      </c>
      <c r="AC1946">
        <v>5</v>
      </c>
      <c r="AD1946">
        <v>3.28299999</v>
      </c>
      <c r="AE1946">
        <v>1</v>
      </c>
      <c r="AF1946">
        <v>16</v>
      </c>
      <c r="AG1946">
        <v>3.2780001200000002</v>
      </c>
      <c r="AH1946">
        <v>6</v>
      </c>
      <c r="AI1946">
        <v>24</v>
      </c>
      <c r="AJ1946">
        <v>1</v>
      </c>
      <c r="AK1946">
        <v>17</v>
      </c>
      <c r="AL1946">
        <v>50</v>
      </c>
      <c r="AM1946" t="s">
        <v>43</v>
      </c>
      <c r="AN1946" t="str">
        <f>HYPERLINK("https://www.google.com/maps?q=11.05443382,79.06304932","Open Location")</f>
        <v>Open Location</v>
      </c>
    </row>
    <row r="1947" spans="1:40" x14ac:dyDescent="0.3">
      <c r="A1947" s="1">
        <v>46210.774421296293</v>
      </c>
      <c r="B1947" t="s">
        <v>40</v>
      </c>
      <c r="C1947" t="s">
        <v>41</v>
      </c>
      <c r="D1947" s="1">
        <v>46210.777361111112</v>
      </c>
      <c r="E1947" t="s">
        <v>42</v>
      </c>
      <c r="F1947" t="s">
        <v>83</v>
      </c>
      <c r="G1947">
        <v>0</v>
      </c>
      <c r="H1947">
        <v>33204</v>
      </c>
      <c r="I1947" t="s">
        <v>917</v>
      </c>
      <c r="J1947">
        <v>38</v>
      </c>
      <c r="K1947">
        <v>2</v>
      </c>
      <c r="L1947">
        <v>98</v>
      </c>
      <c r="M1947">
        <v>629.79998779000005</v>
      </c>
      <c r="N1947" t="s">
        <v>85</v>
      </c>
      <c r="O1947" t="s">
        <v>82</v>
      </c>
      <c r="P1947">
        <v>125</v>
      </c>
      <c r="Q1947" t="s">
        <v>82</v>
      </c>
      <c r="R1947">
        <v>0</v>
      </c>
      <c r="S1947">
        <v>0</v>
      </c>
      <c r="T1947">
        <v>-40</v>
      </c>
      <c r="U1947">
        <v>47</v>
      </c>
      <c r="V1947">
        <v>0</v>
      </c>
      <c r="W1947">
        <v>28</v>
      </c>
      <c r="X1947">
        <v>28</v>
      </c>
      <c r="Y1947">
        <v>1</v>
      </c>
      <c r="Z1947">
        <v>9</v>
      </c>
      <c r="AA1947">
        <v>24</v>
      </c>
      <c r="AB1947">
        <v>2</v>
      </c>
      <c r="AC1947">
        <v>5</v>
      </c>
      <c r="AD1947">
        <v>3.28299999</v>
      </c>
      <c r="AE1947">
        <v>1</v>
      </c>
      <c r="AF1947">
        <v>16</v>
      </c>
      <c r="AG1947">
        <v>3.2780001200000002</v>
      </c>
      <c r="AH1947">
        <v>4</v>
      </c>
      <c r="AI1947">
        <v>24</v>
      </c>
      <c r="AJ1947">
        <v>1</v>
      </c>
      <c r="AK1947">
        <v>17</v>
      </c>
      <c r="AL1947">
        <v>50</v>
      </c>
      <c r="AM1947" t="s">
        <v>43</v>
      </c>
      <c r="AN1947" t="str">
        <f>HYPERLINK("https://www.google.com/maps?q=11.05442619,79.06304932","Open Location")</f>
        <v>Open Location</v>
      </c>
    </row>
    <row r="1948" spans="1:40" x14ac:dyDescent="0.3">
      <c r="A1948" s="1">
        <v>46210.774305555555</v>
      </c>
      <c r="B1948" t="s">
        <v>40</v>
      </c>
      <c r="C1948" t="s">
        <v>41</v>
      </c>
      <c r="D1948" s="1">
        <v>46210.777233796296</v>
      </c>
      <c r="E1948" t="s">
        <v>42</v>
      </c>
      <c r="F1948" t="s">
        <v>83</v>
      </c>
      <c r="G1948">
        <v>0</v>
      </c>
      <c r="H1948">
        <v>33204</v>
      </c>
      <c r="I1948" t="s">
        <v>908</v>
      </c>
      <c r="J1948">
        <v>38</v>
      </c>
      <c r="K1948">
        <v>2</v>
      </c>
      <c r="L1948">
        <v>98</v>
      </c>
      <c r="M1948">
        <v>628.79998779000005</v>
      </c>
      <c r="N1948" t="s">
        <v>85</v>
      </c>
      <c r="O1948" t="s">
        <v>82</v>
      </c>
      <c r="P1948">
        <v>125</v>
      </c>
      <c r="Q1948" t="s">
        <v>82</v>
      </c>
      <c r="R1948">
        <v>0</v>
      </c>
      <c r="S1948">
        <v>0</v>
      </c>
      <c r="T1948">
        <v>-40</v>
      </c>
      <c r="U1948">
        <v>47</v>
      </c>
      <c r="V1948">
        <v>0</v>
      </c>
      <c r="W1948">
        <v>28</v>
      </c>
      <c r="X1948">
        <v>28</v>
      </c>
      <c r="Y1948">
        <v>1</v>
      </c>
      <c r="Z1948">
        <v>9</v>
      </c>
      <c r="AA1948">
        <v>24</v>
      </c>
      <c r="AB1948">
        <v>2</v>
      </c>
      <c r="AC1948">
        <v>5</v>
      </c>
      <c r="AD1948">
        <v>3.2820000600000001</v>
      </c>
      <c r="AE1948">
        <v>1</v>
      </c>
      <c r="AF1948">
        <v>1</v>
      </c>
      <c r="AG1948">
        <v>3.2780001200000002</v>
      </c>
      <c r="AH1948">
        <v>4</v>
      </c>
      <c r="AI1948">
        <v>24</v>
      </c>
      <c r="AJ1948">
        <v>1</v>
      </c>
      <c r="AK1948">
        <v>17</v>
      </c>
      <c r="AL1948">
        <v>50</v>
      </c>
      <c r="AM1948" t="s">
        <v>43</v>
      </c>
      <c r="AN1948" t="str">
        <f>HYPERLINK("https://www.google.com/maps?q=11.0544157,79.06304169","Open Location")</f>
        <v>Open Location</v>
      </c>
    </row>
    <row r="1949" spans="1:40" x14ac:dyDescent="0.3">
      <c r="A1949" s="1">
        <v>46210.774189814816</v>
      </c>
      <c r="B1949" t="s">
        <v>40</v>
      </c>
      <c r="C1949" t="s">
        <v>41</v>
      </c>
      <c r="D1949" s="1">
        <v>46210.776944444442</v>
      </c>
      <c r="E1949" t="s">
        <v>42</v>
      </c>
      <c r="F1949" t="s">
        <v>83</v>
      </c>
      <c r="G1949">
        <v>0</v>
      </c>
      <c r="H1949">
        <v>33204</v>
      </c>
      <c r="I1949" t="s">
        <v>918</v>
      </c>
      <c r="J1949">
        <v>38</v>
      </c>
      <c r="K1949">
        <v>2</v>
      </c>
      <c r="L1949">
        <v>98</v>
      </c>
      <c r="M1949">
        <v>629</v>
      </c>
      <c r="N1949" t="s">
        <v>85</v>
      </c>
      <c r="O1949" t="s">
        <v>82</v>
      </c>
      <c r="P1949">
        <v>125</v>
      </c>
      <c r="Q1949" t="s">
        <v>82</v>
      </c>
      <c r="R1949">
        <v>0</v>
      </c>
      <c r="S1949">
        <v>0</v>
      </c>
      <c r="T1949">
        <v>-40</v>
      </c>
      <c r="U1949">
        <v>47</v>
      </c>
      <c r="V1949">
        <v>0</v>
      </c>
      <c r="W1949">
        <v>28</v>
      </c>
      <c r="X1949">
        <v>28</v>
      </c>
      <c r="Y1949">
        <v>1</v>
      </c>
      <c r="Z1949">
        <v>9</v>
      </c>
      <c r="AA1949">
        <v>24</v>
      </c>
      <c r="AB1949">
        <v>2</v>
      </c>
      <c r="AC1949">
        <v>5</v>
      </c>
      <c r="AD1949">
        <v>3.2820000600000001</v>
      </c>
      <c r="AE1949">
        <v>1</v>
      </c>
      <c r="AF1949">
        <v>1</v>
      </c>
      <c r="AG1949">
        <v>3.2780001200000002</v>
      </c>
      <c r="AH1949">
        <v>4</v>
      </c>
      <c r="AI1949">
        <v>24</v>
      </c>
      <c r="AJ1949">
        <v>1</v>
      </c>
      <c r="AK1949">
        <v>17</v>
      </c>
      <c r="AL1949">
        <v>50</v>
      </c>
      <c r="AM1949" t="s">
        <v>43</v>
      </c>
      <c r="AN1949" t="str">
        <f>HYPERLINK("https://www.google.com/maps?q=11.05441475,79.06304932","Open Location")</f>
        <v>Open Location</v>
      </c>
    </row>
    <row r="1950" spans="1:40" x14ac:dyDescent="0.3">
      <c r="A1950" s="1">
        <v>46210.774074074077</v>
      </c>
      <c r="B1950" t="s">
        <v>40</v>
      </c>
      <c r="C1950" t="s">
        <v>41</v>
      </c>
      <c r="D1950" s="1">
        <v>46210.776990740742</v>
      </c>
      <c r="E1950" t="s">
        <v>42</v>
      </c>
      <c r="F1950" t="s">
        <v>83</v>
      </c>
      <c r="G1950">
        <v>0</v>
      </c>
      <c r="H1950">
        <v>33204</v>
      </c>
      <c r="I1950" t="s">
        <v>43</v>
      </c>
      <c r="J1950">
        <v>38</v>
      </c>
      <c r="K1950">
        <v>2</v>
      </c>
      <c r="L1950">
        <v>98</v>
      </c>
      <c r="M1950">
        <v>629.40002441000001</v>
      </c>
      <c r="N1950" t="s">
        <v>85</v>
      </c>
      <c r="O1950" t="s">
        <v>82</v>
      </c>
      <c r="P1950">
        <v>125</v>
      </c>
      <c r="Q1950" t="s">
        <v>82</v>
      </c>
      <c r="R1950">
        <v>0</v>
      </c>
      <c r="S1950">
        <v>0</v>
      </c>
      <c r="T1950">
        <v>-40</v>
      </c>
      <c r="U1950">
        <v>47</v>
      </c>
      <c r="V1950">
        <v>0</v>
      </c>
      <c r="W1950">
        <v>28</v>
      </c>
      <c r="X1950">
        <v>28</v>
      </c>
      <c r="Y1950">
        <v>1</v>
      </c>
      <c r="Z1950">
        <v>9</v>
      </c>
      <c r="AA1950">
        <v>24</v>
      </c>
      <c r="AB1950">
        <v>2</v>
      </c>
      <c r="AC1950">
        <v>5</v>
      </c>
      <c r="AD1950">
        <v>3.2820000600000001</v>
      </c>
      <c r="AE1950">
        <v>1</v>
      </c>
      <c r="AF1950">
        <v>1</v>
      </c>
      <c r="AG1950">
        <v>3.2780001200000002</v>
      </c>
      <c r="AH1950">
        <v>4</v>
      </c>
      <c r="AI1950">
        <v>24</v>
      </c>
      <c r="AJ1950">
        <v>1</v>
      </c>
      <c r="AK1950">
        <v>17</v>
      </c>
      <c r="AL1950">
        <v>50</v>
      </c>
      <c r="AM1950" t="s">
        <v>43</v>
      </c>
      <c r="AN1950" t="s">
        <v>43</v>
      </c>
    </row>
    <row r="1951" spans="1:40" x14ac:dyDescent="0.3">
      <c r="A1951" s="1">
        <v>46210.773958333331</v>
      </c>
      <c r="B1951" t="s">
        <v>40</v>
      </c>
      <c r="C1951" t="s">
        <v>41</v>
      </c>
      <c r="D1951" s="1">
        <v>46210.776782407411</v>
      </c>
      <c r="E1951" t="s">
        <v>42</v>
      </c>
      <c r="F1951" t="s">
        <v>83</v>
      </c>
      <c r="G1951">
        <v>0</v>
      </c>
      <c r="H1951" t="s">
        <v>43</v>
      </c>
      <c r="I1951" t="s">
        <v>919</v>
      </c>
      <c r="J1951">
        <v>38</v>
      </c>
      <c r="K1951">
        <v>2</v>
      </c>
      <c r="L1951">
        <v>98</v>
      </c>
      <c r="M1951">
        <v>628.79998779000005</v>
      </c>
      <c r="N1951" t="s">
        <v>85</v>
      </c>
      <c r="O1951" t="s">
        <v>82</v>
      </c>
      <c r="P1951">
        <v>125</v>
      </c>
      <c r="Q1951" t="s">
        <v>82</v>
      </c>
      <c r="R1951">
        <v>0</v>
      </c>
      <c r="S1951">
        <v>0</v>
      </c>
      <c r="T1951">
        <v>-40</v>
      </c>
      <c r="U1951">
        <v>47</v>
      </c>
      <c r="V1951">
        <v>0</v>
      </c>
      <c r="W1951">
        <v>28</v>
      </c>
      <c r="X1951">
        <v>28</v>
      </c>
      <c r="Y1951">
        <v>1</v>
      </c>
      <c r="Z1951">
        <v>9</v>
      </c>
      <c r="AA1951">
        <v>24</v>
      </c>
      <c r="AB1951">
        <v>2</v>
      </c>
      <c r="AC1951">
        <v>5</v>
      </c>
      <c r="AD1951">
        <v>3.2820000600000001</v>
      </c>
      <c r="AE1951">
        <v>1</v>
      </c>
      <c r="AF1951">
        <v>1</v>
      </c>
      <c r="AG1951">
        <v>3.2780001200000002</v>
      </c>
      <c r="AH1951">
        <v>2</v>
      </c>
      <c r="AI1951">
        <v>46</v>
      </c>
      <c r="AJ1951">
        <v>1</v>
      </c>
      <c r="AK1951">
        <v>17</v>
      </c>
      <c r="AL1951">
        <v>50</v>
      </c>
      <c r="AM1951" t="s">
        <v>43</v>
      </c>
      <c r="AN1951" t="str">
        <f>HYPERLINK("https://www.google.com/maps?q=11.05441284,79.06304169","Open Location")</f>
        <v>Open Location</v>
      </c>
    </row>
    <row r="1952" spans="1:40" x14ac:dyDescent="0.3">
      <c r="A1952" s="1">
        <v>46210.773842592593</v>
      </c>
      <c r="B1952" t="s">
        <v>40</v>
      </c>
      <c r="C1952" t="s">
        <v>41</v>
      </c>
      <c r="D1952" s="1">
        <v>46210.776944444442</v>
      </c>
      <c r="E1952" t="s">
        <v>42</v>
      </c>
      <c r="F1952" t="s">
        <v>83</v>
      </c>
      <c r="G1952">
        <v>0</v>
      </c>
      <c r="H1952">
        <v>33204</v>
      </c>
      <c r="I1952" t="s">
        <v>909</v>
      </c>
      <c r="J1952">
        <v>38</v>
      </c>
      <c r="K1952">
        <v>2</v>
      </c>
      <c r="L1952">
        <v>98</v>
      </c>
      <c r="M1952">
        <v>629.59997558999999</v>
      </c>
      <c r="N1952" t="s">
        <v>85</v>
      </c>
      <c r="O1952" t="s">
        <v>82</v>
      </c>
      <c r="P1952">
        <v>125</v>
      </c>
      <c r="Q1952" t="s">
        <v>82</v>
      </c>
      <c r="R1952">
        <v>0</v>
      </c>
      <c r="S1952">
        <v>0</v>
      </c>
      <c r="T1952">
        <v>-40</v>
      </c>
      <c r="U1952">
        <v>47</v>
      </c>
      <c r="V1952">
        <v>0</v>
      </c>
      <c r="W1952">
        <v>28</v>
      </c>
      <c r="X1952">
        <v>28</v>
      </c>
      <c r="Y1952">
        <v>1</v>
      </c>
      <c r="Z1952">
        <v>9</v>
      </c>
      <c r="AA1952">
        <v>24</v>
      </c>
      <c r="AB1952">
        <v>2</v>
      </c>
      <c r="AC1952">
        <v>5</v>
      </c>
      <c r="AD1952">
        <v>3.2820000600000001</v>
      </c>
      <c r="AE1952">
        <v>1</v>
      </c>
      <c r="AF1952">
        <v>1</v>
      </c>
      <c r="AG1952">
        <v>3.2780001200000002</v>
      </c>
      <c r="AH1952">
        <v>2</v>
      </c>
      <c r="AI1952">
        <v>12</v>
      </c>
      <c r="AJ1952">
        <v>1</v>
      </c>
      <c r="AK1952">
        <v>18</v>
      </c>
      <c r="AL1952">
        <v>50</v>
      </c>
      <c r="AM1952" t="s">
        <v>43</v>
      </c>
      <c r="AN1952" t="str">
        <f>HYPERLINK("https://www.google.com/maps?q=11.05442142,79.06304169","Open Location")</f>
        <v>Open Location</v>
      </c>
    </row>
    <row r="1953" spans="1:40" x14ac:dyDescent="0.3">
      <c r="A1953" s="1">
        <v>46210.773726851854</v>
      </c>
      <c r="B1953" t="s">
        <v>40</v>
      </c>
      <c r="C1953" t="s">
        <v>41</v>
      </c>
      <c r="D1953" s="1">
        <v>46210.776655092595</v>
      </c>
      <c r="E1953" t="s">
        <v>42</v>
      </c>
      <c r="F1953" t="s">
        <v>83</v>
      </c>
      <c r="G1953">
        <v>0</v>
      </c>
      <c r="H1953">
        <v>33204</v>
      </c>
      <c r="I1953" t="s">
        <v>920</v>
      </c>
      <c r="J1953">
        <v>38</v>
      </c>
      <c r="K1953">
        <v>2</v>
      </c>
      <c r="L1953">
        <v>98</v>
      </c>
      <c r="M1953">
        <v>629.20001220999995</v>
      </c>
      <c r="N1953" t="s">
        <v>85</v>
      </c>
      <c r="O1953" t="s">
        <v>82</v>
      </c>
      <c r="P1953">
        <v>125</v>
      </c>
      <c r="Q1953" t="s">
        <v>82</v>
      </c>
      <c r="R1953">
        <v>0</v>
      </c>
      <c r="S1953">
        <v>0</v>
      </c>
      <c r="T1953">
        <v>-40</v>
      </c>
      <c r="U1953">
        <v>47</v>
      </c>
      <c r="V1953">
        <v>0</v>
      </c>
      <c r="W1953">
        <v>28</v>
      </c>
      <c r="X1953">
        <v>28</v>
      </c>
      <c r="Y1953">
        <v>1</v>
      </c>
      <c r="Z1953">
        <v>9</v>
      </c>
      <c r="AA1953">
        <v>24</v>
      </c>
      <c r="AB1953">
        <v>2</v>
      </c>
      <c r="AC1953">
        <v>5</v>
      </c>
      <c r="AD1953">
        <v>3.2820000600000001</v>
      </c>
      <c r="AE1953">
        <v>1</v>
      </c>
      <c r="AF1953">
        <v>1</v>
      </c>
      <c r="AG1953">
        <v>3.2780001200000002</v>
      </c>
      <c r="AH1953">
        <v>2</v>
      </c>
      <c r="AI1953">
        <v>6</v>
      </c>
      <c r="AJ1953">
        <v>1</v>
      </c>
      <c r="AK1953">
        <v>18</v>
      </c>
      <c r="AL1953">
        <v>50</v>
      </c>
      <c r="AM1953" t="s">
        <v>43</v>
      </c>
      <c r="AN1953" t="str">
        <f>HYPERLINK("https://www.google.com/maps?q=11.05442333,79.06304932","Open Location")</f>
        <v>Open Location</v>
      </c>
    </row>
    <row r="1954" spans="1:40" x14ac:dyDescent="0.3">
      <c r="A1954" s="1">
        <v>46210.773611111108</v>
      </c>
      <c r="B1954" t="s">
        <v>40</v>
      </c>
      <c r="C1954" t="s">
        <v>41</v>
      </c>
      <c r="D1954" s="1">
        <v>46210.776597222219</v>
      </c>
      <c r="E1954" t="s">
        <v>42</v>
      </c>
      <c r="F1954" t="s">
        <v>83</v>
      </c>
      <c r="G1954">
        <v>0</v>
      </c>
      <c r="H1954">
        <v>33204</v>
      </c>
      <c r="I1954" t="s">
        <v>921</v>
      </c>
      <c r="J1954">
        <v>38</v>
      </c>
      <c r="K1954">
        <v>2</v>
      </c>
      <c r="L1954">
        <v>98</v>
      </c>
      <c r="M1954">
        <v>629</v>
      </c>
      <c r="N1954" t="s">
        <v>85</v>
      </c>
      <c r="O1954" t="s">
        <v>82</v>
      </c>
      <c r="P1954">
        <v>125</v>
      </c>
      <c r="Q1954" t="s">
        <v>82</v>
      </c>
      <c r="R1954">
        <v>0</v>
      </c>
      <c r="S1954">
        <v>0</v>
      </c>
      <c r="T1954">
        <v>-40</v>
      </c>
      <c r="U1954">
        <v>47</v>
      </c>
      <c r="V1954">
        <v>0</v>
      </c>
      <c r="W1954">
        <v>28</v>
      </c>
      <c r="X1954">
        <v>28</v>
      </c>
      <c r="Y1954">
        <v>1</v>
      </c>
      <c r="Z1954">
        <v>9</v>
      </c>
      <c r="AA1954">
        <v>24</v>
      </c>
      <c r="AB1954">
        <v>2</v>
      </c>
      <c r="AC1954">
        <v>5</v>
      </c>
      <c r="AD1954">
        <v>3.2820000600000001</v>
      </c>
      <c r="AE1954">
        <v>1</v>
      </c>
      <c r="AF1954">
        <v>1</v>
      </c>
      <c r="AG1954">
        <v>3.2780001200000002</v>
      </c>
      <c r="AH1954">
        <v>2</v>
      </c>
      <c r="AI1954">
        <v>6</v>
      </c>
      <c r="AJ1954">
        <v>1</v>
      </c>
      <c r="AK1954">
        <v>18</v>
      </c>
      <c r="AL1954">
        <v>50</v>
      </c>
      <c r="AM1954" t="s">
        <v>43</v>
      </c>
      <c r="AN1954" t="str">
        <f>HYPERLINK("https://www.google.com/maps?q=11.05442429,79.06304169","Open Location")</f>
        <v>Open Location</v>
      </c>
    </row>
    <row r="1955" spans="1:40" x14ac:dyDescent="0.3">
      <c r="A1955" s="1">
        <v>46210.773495370369</v>
      </c>
      <c r="B1955" t="s">
        <v>40</v>
      </c>
      <c r="C1955" t="s">
        <v>41</v>
      </c>
      <c r="D1955" s="1">
        <v>46210.776539351849</v>
      </c>
      <c r="E1955" t="s">
        <v>42</v>
      </c>
      <c r="F1955" t="s">
        <v>83</v>
      </c>
      <c r="G1955">
        <v>0</v>
      </c>
      <c r="H1955">
        <v>33204</v>
      </c>
      <c r="I1955" t="s">
        <v>922</v>
      </c>
      <c r="J1955">
        <v>38</v>
      </c>
      <c r="K1955">
        <v>2</v>
      </c>
      <c r="L1955">
        <v>98</v>
      </c>
      <c r="M1955">
        <v>629.40002441000001</v>
      </c>
      <c r="N1955" t="s">
        <v>85</v>
      </c>
      <c r="O1955" t="s">
        <v>82</v>
      </c>
      <c r="P1955">
        <v>125</v>
      </c>
      <c r="Q1955" t="s">
        <v>82</v>
      </c>
      <c r="R1955">
        <v>0</v>
      </c>
      <c r="S1955">
        <v>0</v>
      </c>
      <c r="T1955">
        <v>-40</v>
      </c>
      <c r="U1955">
        <v>48</v>
      </c>
      <c r="V1955">
        <v>0</v>
      </c>
      <c r="W1955">
        <v>27</v>
      </c>
      <c r="X1955">
        <v>27</v>
      </c>
      <c r="Y1955">
        <v>1</v>
      </c>
      <c r="Z1955">
        <v>1</v>
      </c>
      <c r="AA1955">
        <v>24</v>
      </c>
      <c r="AB1955">
        <v>2</v>
      </c>
      <c r="AC1955">
        <v>5</v>
      </c>
      <c r="AD1955">
        <v>3.2820000600000001</v>
      </c>
      <c r="AE1955">
        <v>1</v>
      </c>
      <c r="AF1955">
        <v>1</v>
      </c>
      <c r="AG1955">
        <v>3.2780001200000002</v>
      </c>
      <c r="AH1955">
        <v>2</v>
      </c>
      <c r="AI1955">
        <v>6</v>
      </c>
      <c r="AJ1955">
        <v>1</v>
      </c>
      <c r="AK1955">
        <v>18</v>
      </c>
      <c r="AL1955">
        <v>50</v>
      </c>
      <c r="AM1955" t="s">
        <v>43</v>
      </c>
      <c r="AN1955" t="str">
        <f>HYPERLINK("https://www.google.com/maps?q=11.05443001,79.06304932","Open Location")</f>
        <v>Open Location</v>
      </c>
    </row>
    <row r="1956" spans="1:40" x14ac:dyDescent="0.3">
      <c r="A1956" s="1">
        <v>46210.773379629631</v>
      </c>
      <c r="B1956" t="s">
        <v>40</v>
      </c>
      <c r="C1956" t="s">
        <v>41</v>
      </c>
      <c r="D1956" s="1">
        <v>46210.776377314818</v>
      </c>
      <c r="E1956" t="s">
        <v>42</v>
      </c>
      <c r="F1956" t="s">
        <v>83</v>
      </c>
      <c r="G1956">
        <v>0</v>
      </c>
      <c r="H1956">
        <v>33204</v>
      </c>
      <c r="I1956" t="s">
        <v>43</v>
      </c>
      <c r="J1956">
        <v>38</v>
      </c>
      <c r="K1956">
        <v>2</v>
      </c>
      <c r="L1956">
        <v>98</v>
      </c>
      <c r="M1956">
        <v>629.40002441000001</v>
      </c>
      <c r="N1956" t="s">
        <v>85</v>
      </c>
      <c r="O1956" t="s">
        <v>82</v>
      </c>
      <c r="P1956">
        <v>125</v>
      </c>
      <c r="Q1956" t="s">
        <v>82</v>
      </c>
      <c r="R1956">
        <v>0</v>
      </c>
      <c r="S1956">
        <v>0</v>
      </c>
      <c r="T1956">
        <v>-40</v>
      </c>
      <c r="U1956">
        <v>48</v>
      </c>
      <c r="V1956">
        <v>0</v>
      </c>
      <c r="W1956">
        <v>27</v>
      </c>
      <c r="X1956">
        <v>27</v>
      </c>
      <c r="Y1956">
        <v>1</v>
      </c>
      <c r="Z1956">
        <v>1</v>
      </c>
      <c r="AA1956">
        <v>24</v>
      </c>
      <c r="AB1956">
        <v>2</v>
      </c>
      <c r="AC1956">
        <v>5</v>
      </c>
      <c r="AD1956">
        <v>3.2820000600000001</v>
      </c>
      <c r="AE1956">
        <v>1</v>
      </c>
      <c r="AF1956">
        <v>1</v>
      </c>
      <c r="AG1956">
        <v>3.27699995</v>
      </c>
      <c r="AH1956">
        <v>6</v>
      </c>
      <c r="AI1956">
        <v>24</v>
      </c>
      <c r="AJ1956">
        <v>1</v>
      </c>
      <c r="AK1956">
        <v>18</v>
      </c>
      <c r="AL1956">
        <v>50</v>
      </c>
      <c r="AM1956" t="s">
        <v>43</v>
      </c>
      <c r="AN1956" t="s">
        <v>43</v>
      </c>
    </row>
    <row r="1957" spans="1:40" x14ac:dyDescent="0.3">
      <c r="A1957" s="1">
        <v>46210.773263888892</v>
      </c>
      <c r="B1957" t="s">
        <v>40</v>
      </c>
      <c r="C1957" t="s">
        <v>41</v>
      </c>
      <c r="D1957" s="1">
        <v>46210.776099537034</v>
      </c>
      <c r="E1957" t="s">
        <v>42</v>
      </c>
      <c r="F1957" t="s">
        <v>83</v>
      </c>
      <c r="G1957">
        <v>0</v>
      </c>
      <c r="H1957">
        <v>33204</v>
      </c>
      <c r="I1957" t="s">
        <v>923</v>
      </c>
      <c r="J1957">
        <v>38</v>
      </c>
      <c r="K1957">
        <v>2</v>
      </c>
      <c r="L1957">
        <v>98</v>
      </c>
      <c r="M1957">
        <v>629.40002441000001</v>
      </c>
      <c r="N1957" t="s">
        <v>85</v>
      </c>
      <c r="O1957" t="s">
        <v>82</v>
      </c>
      <c r="P1957">
        <v>125</v>
      </c>
      <c r="Q1957" t="s">
        <v>82</v>
      </c>
      <c r="R1957">
        <v>0</v>
      </c>
      <c r="S1957">
        <v>0</v>
      </c>
      <c r="T1957">
        <v>-40</v>
      </c>
      <c r="U1957">
        <v>48</v>
      </c>
      <c r="V1957">
        <v>0</v>
      </c>
      <c r="W1957">
        <v>27</v>
      </c>
      <c r="X1957">
        <v>27</v>
      </c>
      <c r="Y1957">
        <v>1</v>
      </c>
      <c r="Z1957">
        <v>1</v>
      </c>
      <c r="AA1957">
        <v>24</v>
      </c>
      <c r="AB1957">
        <v>2</v>
      </c>
      <c r="AC1957">
        <v>5</v>
      </c>
      <c r="AD1957">
        <v>3.2820000600000001</v>
      </c>
      <c r="AE1957">
        <v>1</v>
      </c>
      <c r="AF1957">
        <v>1</v>
      </c>
      <c r="AG1957">
        <v>3.27699995</v>
      </c>
      <c r="AH1957">
        <v>6</v>
      </c>
      <c r="AI1957">
        <v>24</v>
      </c>
      <c r="AJ1957">
        <v>1</v>
      </c>
      <c r="AK1957">
        <v>18</v>
      </c>
      <c r="AL1957">
        <v>50</v>
      </c>
      <c r="AM1957" t="s">
        <v>43</v>
      </c>
      <c r="AN1957" t="str">
        <f>HYPERLINK("https://www.google.com/maps?q=11.05442905,79.06304932","Open Location")</f>
        <v>Open Location</v>
      </c>
    </row>
    <row r="1958" spans="1:40" x14ac:dyDescent="0.3">
      <c r="A1958" s="1">
        <v>46210.773148148146</v>
      </c>
      <c r="B1958" t="s">
        <v>40</v>
      </c>
      <c r="C1958" t="s">
        <v>41</v>
      </c>
      <c r="D1958" s="1">
        <v>46210.775960648149</v>
      </c>
      <c r="E1958" t="s">
        <v>42</v>
      </c>
      <c r="F1958" t="s">
        <v>83</v>
      </c>
      <c r="G1958">
        <v>0</v>
      </c>
      <c r="H1958">
        <v>33204</v>
      </c>
      <c r="I1958" t="s">
        <v>922</v>
      </c>
      <c r="J1958">
        <v>38</v>
      </c>
      <c r="K1958">
        <v>2</v>
      </c>
      <c r="L1958">
        <v>98</v>
      </c>
      <c r="M1958">
        <v>629.20001220999995</v>
      </c>
      <c r="N1958" t="s">
        <v>85</v>
      </c>
      <c r="O1958" t="s">
        <v>82</v>
      </c>
      <c r="P1958">
        <v>125</v>
      </c>
      <c r="Q1958" t="s">
        <v>82</v>
      </c>
      <c r="R1958">
        <v>0</v>
      </c>
      <c r="S1958">
        <v>0</v>
      </c>
      <c r="T1958">
        <v>-40</v>
      </c>
      <c r="U1958">
        <v>48</v>
      </c>
      <c r="V1958">
        <v>0</v>
      </c>
      <c r="W1958">
        <v>27</v>
      </c>
      <c r="X1958">
        <v>27</v>
      </c>
      <c r="Y1958">
        <v>1</v>
      </c>
      <c r="Z1958">
        <v>1</v>
      </c>
      <c r="AA1958">
        <v>24</v>
      </c>
      <c r="AB1958">
        <v>2</v>
      </c>
      <c r="AC1958">
        <v>5</v>
      </c>
      <c r="AD1958">
        <v>3.2820000600000001</v>
      </c>
      <c r="AE1958">
        <v>1</v>
      </c>
      <c r="AF1958">
        <v>1</v>
      </c>
      <c r="AG1958">
        <v>3.27699995</v>
      </c>
      <c r="AH1958">
        <v>4</v>
      </c>
      <c r="AI1958">
        <v>24</v>
      </c>
      <c r="AJ1958">
        <v>1</v>
      </c>
      <c r="AK1958">
        <v>18</v>
      </c>
      <c r="AL1958">
        <v>50</v>
      </c>
      <c r="AM1958" t="s">
        <v>43</v>
      </c>
      <c r="AN1958" t="str">
        <f>HYPERLINK("https://www.google.com/maps?q=11.05443001,79.06304932","Open Location")</f>
        <v>Open Location</v>
      </c>
    </row>
    <row r="1959" spans="1:40" x14ac:dyDescent="0.3">
      <c r="A1959" s="1">
        <v>46210.773032407407</v>
      </c>
      <c r="B1959" t="s">
        <v>40</v>
      </c>
      <c r="C1959" t="s">
        <v>41</v>
      </c>
      <c r="D1959" s="1">
        <v>46210.776018518518</v>
      </c>
      <c r="E1959" t="s">
        <v>42</v>
      </c>
      <c r="F1959" t="s">
        <v>83</v>
      </c>
      <c r="G1959">
        <v>0</v>
      </c>
      <c r="H1959" t="s">
        <v>43</v>
      </c>
      <c r="I1959" t="s">
        <v>924</v>
      </c>
      <c r="J1959">
        <v>38</v>
      </c>
      <c r="K1959">
        <v>2</v>
      </c>
      <c r="L1959">
        <v>98</v>
      </c>
      <c r="M1959">
        <v>629.5</v>
      </c>
      <c r="N1959" t="s">
        <v>85</v>
      </c>
      <c r="O1959" t="s">
        <v>82</v>
      </c>
      <c r="P1959">
        <v>125</v>
      </c>
      <c r="Q1959" t="s">
        <v>82</v>
      </c>
      <c r="R1959">
        <v>0</v>
      </c>
      <c r="S1959">
        <v>0</v>
      </c>
      <c r="T1959">
        <v>-40</v>
      </c>
      <c r="U1959">
        <v>48</v>
      </c>
      <c r="V1959">
        <v>0</v>
      </c>
      <c r="W1959">
        <v>27</v>
      </c>
      <c r="X1959">
        <v>27</v>
      </c>
      <c r="Y1959">
        <v>1</v>
      </c>
      <c r="Z1959">
        <v>1</v>
      </c>
      <c r="AA1959">
        <v>24</v>
      </c>
      <c r="AB1959">
        <v>2</v>
      </c>
      <c r="AC1959">
        <v>5</v>
      </c>
      <c r="AD1959">
        <v>3.2820000600000001</v>
      </c>
      <c r="AE1959">
        <v>1</v>
      </c>
      <c r="AF1959">
        <v>1</v>
      </c>
      <c r="AG1959">
        <v>3.27699995</v>
      </c>
      <c r="AH1959">
        <v>4</v>
      </c>
      <c r="AI1959">
        <v>24</v>
      </c>
      <c r="AJ1959">
        <v>1</v>
      </c>
      <c r="AK1959">
        <v>18</v>
      </c>
      <c r="AL1959">
        <v>49</v>
      </c>
      <c r="AM1959" t="s">
        <v>43</v>
      </c>
      <c r="AN1959" t="str">
        <f>HYPERLINK("https://www.google.com/maps?q=11.05443287,79.06305695","Open Location")</f>
        <v>Open Location</v>
      </c>
    </row>
    <row r="1960" spans="1:40" x14ac:dyDescent="0.3">
      <c r="A1960" s="1">
        <v>46210.772916666669</v>
      </c>
      <c r="B1960" t="s">
        <v>40</v>
      </c>
      <c r="C1960" t="s">
        <v>41</v>
      </c>
      <c r="D1960" s="1">
        <v>46210.775671296295</v>
      </c>
      <c r="E1960" t="s">
        <v>42</v>
      </c>
      <c r="F1960" t="s">
        <v>83</v>
      </c>
      <c r="G1960">
        <v>0</v>
      </c>
      <c r="H1960">
        <v>33204</v>
      </c>
      <c r="I1960" t="s">
        <v>925</v>
      </c>
      <c r="J1960">
        <v>38</v>
      </c>
      <c r="K1960">
        <v>2</v>
      </c>
      <c r="L1960">
        <v>98</v>
      </c>
      <c r="M1960">
        <v>628.70001220999995</v>
      </c>
      <c r="N1960" t="s">
        <v>85</v>
      </c>
      <c r="O1960" t="s">
        <v>82</v>
      </c>
      <c r="P1960">
        <v>125</v>
      </c>
      <c r="Q1960" t="s">
        <v>82</v>
      </c>
      <c r="R1960">
        <v>0</v>
      </c>
      <c r="S1960">
        <v>0</v>
      </c>
      <c r="T1960">
        <v>-40</v>
      </c>
      <c r="U1960">
        <v>48</v>
      </c>
      <c r="V1960">
        <v>0</v>
      </c>
      <c r="W1960">
        <v>27</v>
      </c>
      <c r="X1960">
        <v>27</v>
      </c>
      <c r="Y1960">
        <v>1</v>
      </c>
      <c r="Z1960">
        <v>1</v>
      </c>
      <c r="AA1960">
        <v>24</v>
      </c>
      <c r="AB1960">
        <v>2</v>
      </c>
      <c r="AC1960">
        <v>5</v>
      </c>
      <c r="AD1960">
        <v>3.2820000600000001</v>
      </c>
      <c r="AE1960">
        <v>1</v>
      </c>
      <c r="AF1960">
        <v>16</v>
      </c>
      <c r="AG1960">
        <v>3.27699995</v>
      </c>
      <c r="AH1960">
        <v>4</v>
      </c>
      <c r="AI1960">
        <v>24</v>
      </c>
      <c r="AJ1960">
        <v>1</v>
      </c>
      <c r="AK1960">
        <v>17</v>
      </c>
      <c r="AL1960">
        <v>49</v>
      </c>
      <c r="AM1960" t="s">
        <v>43</v>
      </c>
      <c r="AN1960" t="str">
        <f>HYPERLINK("https://www.google.com/maps?q=11.05443478,79.06305695","Open Location")</f>
        <v>Open Location</v>
      </c>
    </row>
    <row r="1961" spans="1:40" x14ac:dyDescent="0.3">
      <c r="A1961" s="1">
        <v>46210.772800925923</v>
      </c>
      <c r="B1961" t="s">
        <v>40</v>
      </c>
      <c r="C1961" t="s">
        <v>41</v>
      </c>
      <c r="D1961" s="1">
        <v>46210.775601851848</v>
      </c>
      <c r="E1961" t="s">
        <v>42</v>
      </c>
      <c r="F1961" t="s">
        <v>83</v>
      </c>
      <c r="G1961">
        <v>0</v>
      </c>
      <c r="H1961">
        <v>33204</v>
      </c>
      <c r="I1961" t="s">
        <v>43</v>
      </c>
      <c r="J1961">
        <v>38</v>
      </c>
      <c r="K1961">
        <v>2</v>
      </c>
      <c r="L1961">
        <v>98</v>
      </c>
      <c r="M1961">
        <v>628.79998779000005</v>
      </c>
      <c r="N1961" t="s">
        <v>85</v>
      </c>
      <c r="O1961" t="s">
        <v>82</v>
      </c>
      <c r="P1961">
        <v>125</v>
      </c>
      <c r="Q1961" t="s">
        <v>82</v>
      </c>
      <c r="R1961">
        <v>0</v>
      </c>
      <c r="S1961">
        <v>0</v>
      </c>
      <c r="T1961">
        <v>-40</v>
      </c>
      <c r="U1961">
        <v>48</v>
      </c>
      <c r="V1961">
        <v>0</v>
      </c>
      <c r="W1961">
        <v>27</v>
      </c>
      <c r="X1961">
        <v>27</v>
      </c>
      <c r="Y1961">
        <v>1</v>
      </c>
      <c r="Z1961">
        <v>1</v>
      </c>
      <c r="AA1961">
        <v>24</v>
      </c>
      <c r="AB1961">
        <v>2</v>
      </c>
      <c r="AC1961">
        <v>5</v>
      </c>
      <c r="AD1961">
        <v>3.2820000600000001</v>
      </c>
      <c r="AE1961">
        <v>1</v>
      </c>
      <c r="AF1961">
        <v>16</v>
      </c>
      <c r="AG1961">
        <v>3.27699995</v>
      </c>
      <c r="AH1961">
        <v>4</v>
      </c>
      <c r="AI1961">
        <v>24</v>
      </c>
      <c r="AJ1961">
        <v>1</v>
      </c>
      <c r="AK1961">
        <v>17</v>
      </c>
      <c r="AL1961">
        <v>49</v>
      </c>
      <c r="AM1961" t="s">
        <v>43</v>
      </c>
      <c r="AN1961" t="s">
        <v>43</v>
      </c>
    </row>
    <row r="1962" spans="1:40" x14ac:dyDescent="0.3">
      <c r="A1962" s="1">
        <v>46210.772685185184</v>
      </c>
      <c r="B1962" t="s">
        <v>40</v>
      </c>
      <c r="C1962" t="s">
        <v>41</v>
      </c>
      <c r="D1962" s="1">
        <v>46210.775590277779</v>
      </c>
      <c r="E1962" t="s">
        <v>42</v>
      </c>
      <c r="F1962" t="s">
        <v>83</v>
      </c>
      <c r="G1962">
        <v>0</v>
      </c>
      <c r="H1962">
        <v>33204</v>
      </c>
      <c r="I1962" t="s">
        <v>926</v>
      </c>
      <c r="J1962">
        <v>38</v>
      </c>
      <c r="K1962">
        <v>2</v>
      </c>
      <c r="L1962">
        <v>98</v>
      </c>
      <c r="M1962">
        <v>629.29998779000005</v>
      </c>
      <c r="N1962" t="s">
        <v>85</v>
      </c>
      <c r="O1962" t="s">
        <v>82</v>
      </c>
      <c r="P1962">
        <v>125</v>
      </c>
      <c r="Q1962" t="s">
        <v>43</v>
      </c>
      <c r="R1962">
        <v>0</v>
      </c>
      <c r="S1962">
        <v>0</v>
      </c>
      <c r="T1962">
        <v>-40</v>
      </c>
      <c r="U1962">
        <v>48</v>
      </c>
      <c r="V1962">
        <v>0</v>
      </c>
      <c r="W1962">
        <v>27</v>
      </c>
      <c r="X1962">
        <v>27</v>
      </c>
      <c r="Y1962">
        <v>1</v>
      </c>
      <c r="Z1962">
        <v>1</v>
      </c>
      <c r="AA1962">
        <v>24</v>
      </c>
      <c r="AB1962">
        <v>2</v>
      </c>
      <c r="AC1962">
        <v>5</v>
      </c>
      <c r="AD1962">
        <v>3.2820000600000001</v>
      </c>
      <c r="AE1962">
        <v>1</v>
      </c>
      <c r="AF1962">
        <v>16</v>
      </c>
      <c r="AG1962">
        <v>3.27699995</v>
      </c>
      <c r="AH1962">
        <v>2</v>
      </c>
      <c r="AI1962">
        <v>46</v>
      </c>
      <c r="AJ1962">
        <v>1</v>
      </c>
      <c r="AK1962">
        <v>17</v>
      </c>
      <c r="AL1962">
        <v>49</v>
      </c>
      <c r="AM1962" t="s">
        <v>43</v>
      </c>
      <c r="AN1962" t="str">
        <f>HYPERLINK("https://www.google.com/maps?q=11.05444145,79.06305695","Open Location")</f>
        <v>Open Location</v>
      </c>
    </row>
    <row r="1963" spans="1:40" x14ac:dyDescent="0.3">
      <c r="A1963" s="1">
        <v>46210.772569444445</v>
      </c>
      <c r="B1963" t="s">
        <v>40</v>
      </c>
      <c r="C1963" t="s">
        <v>41</v>
      </c>
      <c r="D1963" s="1">
        <v>46210.775300925925</v>
      </c>
      <c r="E1963" t="s">
        <v>42</v>
      </c>
      <c r="F1963" t="s">
        <v>83</v>
      </c>
      <c r="G1963">
        <v>0</v>
      </c>
      <c r="H1963">
        <v>33204</v>
      </c>
      <c r="I1963" t="s">
        <v>927</v>
      </c>
      <c r="J1963">
        <v>38</v>
      </c>
      <c r="K1963">
        <v>2</v>
      </c>
      <c r="L1963">
        <v>98</v>
      </c>
      <c r="M1963">
        <v>628.90002441000001</v>
      </c>
      <c r="N1963" t="s">
        <v>85</v>
      </c>
      <c r="O1963" t="s">
        <v>82</v>
      </c>
      <c r="P1963">
        <v>125</v>
      </c>
      <c r="Q1963" t="s">
        <v>82</v>
      </c>
      <c r="R1963">
        <v>0</v>
      </c>
      <c r="S1963">
        <v>0</v>
      </c>
      <c r="T1963">
        <v>-40</v>
      </c>
      <c r="U1963">
        <v>48</v>
      </c>
      <c r="V1963">
        <v>0</v>
      </c>
      <c r="W1963">
        <v>27</v>
      </c>
      <c r="X1963">
        <v>27</v>
      </c>
      <c r="Y1963">
        <v>1</v>
      </c>
      <c r="Z1963">
        <v>1</v>
      </c>
      <c r="AA1963">
        <v>24</v>
      </c>
      <c r="AB1963">
        <v>2</v>
      </c>
      <c r="AC1963">
        <v>5</v>
      </c>
      <c r="AD1963">
        <v>3.2809998999999999</v>
      </c>
      <c r="AE1963">
        <v>1</v>
      </c>
      <c r="AF1963">
        <v>1</v>
      </c>
      <c r="AG1963">
        <v>3.27699995</v>
      </c>
      <c r="AH1963">
        <v>2</v>
      </c>
      <c r="AI1963">
        <v>12</v>
      </c>
      <c r="AJ1963">
        <v>1</v>
      </c>
      <c r="AK1963">
        <v>17</v>
      </c>
      <c r="AL1963">
        <v>49</v>
      </c>
      <c r="AM1963" t="s">
        <v>43</v>
      </c>
      <c r="AN1963" t="str">
        <f>HYPERLINK("https://www.google.com/maps?q=11.05443859,79.06305695","Open Location")</f>
        <v>Open Location</v>
      </c>
    </row>
    <row r="1964" spans="1:40" x14ac:dyDescent="0.3">
      <c r="A1964" s="1">
        <v>46210.772453703707</v>
      </c>
      <c r="B1964" t="s">
        <v>40</v>
      </c>
      <c r="C1964" t="s">
        <v>41</v>
      </c>
      <c r="D1964" s="1">
        <v>46210.775324074071</v>
      </c>
      <c r="E1964" t="s">
        <v>42</v>
      </c>
      <c r="F1964" t="s">
        <v>83</v>
      </c>
      <c r="G1964">
        <v>0</v>
      </c>
      <c r="H1964">
        <v>33204</v>
      </c>
      <c r="I1964" t="s">
        <v>928</v>
      </c>
      <c r="J1964">
        <v>38</v>
      </c>
      <c r="K1964">
        <v>2</v>
      </c>
      <c r="L1964">
        <v>98</v>
      </c>
      <c r="M1964">
        <v>629.40002441000001</v>
      </c>
      <c r="N1964" t="s">
        <v>85</v>
      </c>
      <c r="O1964" t="s">
        <v>82</v>
      </c>
      <c r="P1964">
        <v>125</v>
      </c>
      <c r="Q1964" t="s">
        <v>82</v>
      </c>
      <c r="R1964">
        <v>0</v>
      </c>
      <c r="S1964">
        <v>0</v>
      </c>
      <c r="T1964">
        <v>-40</v>
      </c>
      <c r="U1964">
        <v>48</v>
      </c>
      <c r="V1964">
        <v>0</v>
      </c>
      <c r="W1964">
        <v>27</v>
      </c>
      <c r="X1964">
        <v>27</v>
      </c>
      <c r="Y1964">
        <v>1</v>
      </c>
      <c r="Z1964">
        <v>1</v>
      </c>
      <c r="AA1964">
        <v>24</v>
      </c>
      <c r="AB1964">
        <v>2</v>
      </c>
      <c r="AC1964">
        <v>5</v>
      </c>
      <c r="AD1964">
        <v>3.2809998999999999</v>
      </c>
      <c r="AE1964">
        <v>1</v>
      </c>
      <c r="AF1964">
        <v>1</v>
      </c>
      <c r="AG1964">
        <v>3.27699995</v>
      </c>
      <c r="AH1964">
        <v>2</v>
      </c>
      <c r="AI1964">
        <v>12</v>
      </c>
      <c r="AJ1964">
        <v>1</v>
      </c>
      <c r="AK1964">
        <v>17</v>
      </c>
      <c r="AL1964">
        <v>49</v>
      </c>
      <c r="AM1964" t="s">
        <v>43</v>
      </c>
      <c r="AN1964" t="str">
        <f>HYPERLINK("https://www.google.com/maps?q=11.05443192,79.06305695","Open Location")</f>
        <v>Open Location</v>
      </c>
    </row>
    <row r="1965" spans="1:40" x14ac:dyDescent="0.3">
      <c r="A1965" s="1">
        <v>46210.772337962961</v>
      </c>
      <c r="B1965" t="s">
        <v>40</v>
      </c>
      <c r="C1965" t="s">
        <v>41</v>
      </c>
      <c r="D1965" s="1">
        <v>46210.775219907409</v>
      </c>
      <c r="E1965" t="s">
        <v>42</v>
      </c>
      <c r="F1965" t="s">
        <v>83</v>
      </c>
      <c r="G1965">
        <v>0</v>
      </c>
      <c r="H1965">
        <v>33204</v>
      </c>
      <c r="I1965" t="s">
        <v>929</v>
      </c>
      <c r="J1965">
        <v>38</v>
      </c>
      <c r="K1965">
        <v>2</v>
      </c>
      <c r="L1965">
        <v>98</v>
      </c>
      <c r="M1965">
        <v>629.09997558999999</v>
      </c>
      <c r="N1965" t="s">
        <v>85</v>
      </c>
      <c r="O1965" t="s">
        <v>82</v>
      </c>
      <c r="P1965">
        <v>125</v>
      </c>
      <c r="Q1965" t="s">
        <v>82</v>
      </c>
      <c r="R1965">
        <v>0</v>
      </c>
      <c r="S1965">
        <v>0</v>
      </c>
      <c r="T1965">
        <v>-40</v>
      </c>
      <c r="U1965">
        <v>48</v>
      </c>
      <c r="V1965">
        <v>0</v>
      </c>
      <c r="W1965">
        <v>27</v>
      </c>
      <c r="X1965">
        <v>27</v>
      </c>
      <c r="Y1965">
        <v>1</v>
      </c>
      <c r="Z1965">
        <v>1</v>
      </c>
      <c r="AA1965">
        <v>24</v>
      </c>
      <c r="AB1965">
        <v>2</v>
      </c>
      <c r="AC1965">
        <v>5</v>
      </c>
      <c r="AD1965">
        <v>3.2809998999999999</v>
      </c>
      <c r="AE1965">
        <v>1</v>
      </c>
      <c r="AF1965">
        <v>1</v>
      </c>
      <c r="AG1965">
        <v>3.2760000200000001</v>
      </c>
      <c r="AH1965">
        <v>7</v>
      </c>
      <c r="AI1965">
        <v>19</v>
      </c>
      <c r="AJ1965">
        <v>1</v>
      </c>
      <c r="AK1965">
        <v>17</v>
      </c>
      <c r="AL1965">
        <v>49</v>
      </c>
      <c r="AM1965" t="s">
        <v>43</v>
      </c>
      <c r="AN1965" t="str">
        <f>HYPERLINK("https://www.google.com/maps?q=11.0544281,79.06305695","Open Location")</f>
        <v>Open Location</v>
      </c>
    </row>
    <row r="1966" spans="1:40" x14ac:dyDescent="0.3">
      <c r="A1966" s="1">
        <v>46210.772222222222</v>
      </c>
      <c r="B1966" t="s">
        <v>40</v>
      </c>
      <c r="C1966" t="s">
        <v>41</v>
      </c>
      <c r="D1966" s="1">
        <v>46210.775046296294</v>
      </c>
      <c r="E1966" t="s">
        <v>42</v>
      </c>
      <c r="F1966" t="s">
        <v>83</v>
      </c>
      <c r="G1966">
        <v>0</v>
      </c>
      <c r="H1966">
        <v>33204</v>
      </c>
      <c r="I1966" t="s">
        <v>928</v>
      </c>
      <c r="J1966">
        <v>38</v>
      </c>
      <c r="K1966">
        <v>2</v>
      </c>
      <c r="L1966">
        <v>98</v>
      </c>
      <c r="M1966">
        <v>629.20001220999995</v>
      </c>
      <c r="N1966" t="s">
        <v>85</v>
      </c>
      <c r="O1966" t="s">
        <v>82</v>
      </c>
      <c r="P1966">
        <v>125</v>
      </c>
      <c r="Q1966" t="s">
        <v>43</v>
      </c>
      <c r="R1966">
        <v>0</v>
      </c>
      <c r="S1966">
        <v>0</v>
      </c>
      <c r="T1966">
        <v>-40</v>
      </c>
      <c r="U1966">
        <v>48</v>
      </c>
      <c r="V1966">
        <v>0</v>
      </c>
      <c r="W1966">
        <v>27</v>
      </c>
      <c r="X1966">
        <v>27</v>
      </c>
      <c r="Y1966">
        <v>1</v>
      </c>
      <c r="Z1966">
        <v>1</v>
      </c>
      <c r="AA1966">
        <v>24</v>
      </c>
      <c r="AB1966">
        <v>2</v>
      </c>
      <c r="AC1966">
        <v>5</v>
      </c>
      <c r="AD1966">
        <v>3.2809998999999999</v>
      </c>
      <c r="AE1966">
        <v>1</v>
      </c>
      <c r="AF1966">
        <v>1</v>
      </c>
      <c r="AG1966">
        <v>3.2760000200000001</v>
      </c>
      <c r="AH1966">
        <v>6</v>
      </c>
      <c r="AI1966">
        <v>24</v>
      </c>
      <c r="AJ1966">
        <v>1</v>
      </c>
      <c r="AK1966">
        <v>17</v>
      </c>
      <c r="AL1966">
        <v>49</v>
      </c>
      <c r="AM1966" t="s">
        <v>43</v>
      </c>
      <c r="AN1966" t="str">
        <f>HYPERLINK("https://www.google.com/maps?q=11.05443192,79.06305695","Open Location")</f>
        <v>Open Location</v>
      </c>
    </row>
    <row r="1967" spans="1:40" x14ac:dyDescent="0.3">
      <c r="A1967" s="1">
        <v>46210.772106481483</v>
      </c>
      <c r="B1967" t="s">
        <v>40</v>
      </c>
      <c r="C1967" t="s">
        <v>41</v>
      </c>
      <c r="D1967" s="1">
        <v>46210.775046296294</v>
      </c>
      <c r="E1967" t="s">
        <v>42</v>
      </c>
      <c r="F1967" t="s">
        <v>83</v>
      </c>
      <c r="G1967">
        <v>0</v>
      </c>
      <c r="H1967">
        <v>33204</v>
      </c>
      <c r="I1967" t="s">
        <v>43</v>
      </c>
      <c r="J1967">
        <v>38</v>
      </c>
      <c r="K1967">
        <v>2</v>
      </c>
      <c r="L1967">
        <v>98</v>
      </c>
      <c r="M1967">
        <v>628.70001220999995</v>
      </c>
      <c r="N1967" t="s">
        <v>85</v>
      </c>
      <c r="O1967" t="s">
        <v>82</v>
      </c>
      <c r="P1967">
        <v>125</v>
      </c>
      <c r="Q1967" t="s">
        <v>82</v>
      </c>
      <c r="R1967">
        <v>0</v>
      </c>
      <c r="S1967">
        <v>0</v>
      </c>
      <c r="T1967">
        <v>-40</v>
      </c>
      <c r="U1967">
        <v>48</v>
      </c>
      <c r="V1967">
        <v>0</v>
      </c>
      <c r="W1967">
        <v>27</v>
      </c>
      <c r="X1967">
        <v>27</v>
      </c>
      <c r="Y1967">
        <v>1</v>
      </c>
      <c r="Z1967">
        <v>1</v>
      </c>
      <c r="AA1967">
        <v>24</v>
      </c>
      <c r="AB1967">
        <v>2</v>
      </c>
      <c r="AC1967">
        <v>5</v>
      </c>
      <c r="AD1967">
        <v>3.2809998999999999</v>
      </c>
      <c r="AE1967">
        <v>1</v>
      </c>
      <c r="AF1967">
        <v>1</v>
      </c>
      <c r="AG1967">
        <v>3.2760000200000001</v>
      </c>
      <c r="AH1967">
        <v>6</v>
      </c>
      <c r="AI1967">
        <v>24</v>
      </c>
      <c r="AJ1967">
        <v>1</v>
      </c>
      <c r="AK1967">
        <v>17</v>
      </c>
      <c r="AL1967">
        <v>49</v>
      </c>
      <c r="AM1967" t="s">
        <v>43</v>
      </c>
      <c r="AN1967" t="s">
        <v>43</v>
      </c>
    </row>
    <row r="1968" spans="1:40" x14ac:dyDescent="0.3">
      <c r="A1968" s="1">
        <v>46210.771990740737</v>
      </c>
      <c r="B1968" t="s">
        <v>40</v>
      </c>
      <c r="C1968" t="s">
        <v>41</v>
      </c>
      <c r="D1968" s="1">
        <v>46210.774930555555</v>
      </c>
      <c r="E1968" t="s">
        <v>42</v>
      </c>
      <c r="F1968" t="s">
        <v>83</v>
      </c>
      <c r="G1968">
        <v>0</v>
      </c>
      <c r="H1968">
        <v>33204</v>
      </c>
      <c r="I1968" t="s">
        <v>930</v>
      </c>
      <c r="J1968">
        <v>38</v>
      </c>
      <c r="K1968">
        <v>2</v>
      </c>
      <c r="L1968">
        <v>98</v>
      </c>
      <c r="M1968">
        <v>629.29998779000005</v>
      </c>
      <c r="N1968" t="s">
        <v>85</v>
      </c>
      <c r="O1968" t="s">
        <v>82</v>
      </c>
      <c r="P1968">
        <v>125</v>
      </c>
      <c r="Q1968" t="s">
        <v>82</v>
      </c>
      <c r="R1968">
        <v>0</v>
      </c>
      <c r="S1968">
        <v>0</v>
      </c>
      <c r="T1968">
        <v>-40</v>
      </c>
      <c r="U1968">
        <v>48</v>
      </c>
      <c r="V1968">
        <v>0</v>
      </c>
      <c r="W1968">
        <v>27</v>
      </c>
      <c r="X1968">
        <v>27</v>
      </c>
      <c r="Y1968">
        <v>1</v>
      </c>
      <c r="Z1968">
        <v>1</v>
      </c>
      <c r="AA1968">
        <v>24</v>
      </c>
      <c r="AB1968">
        <v>2</v>
      </c>
      <c r="AC1968">
        <v>5</v>
      </c>
      <c r="AD1968">
        <v>3.2809998999999999</v>
      </c>
      <c r="AE1968">
        <v>1</v>
      </c>
      <c r="AF1968">
        <v>1</v>
      </c>
      <c r="AG1968">
        <v>3.2760000200000001</v>
      </c>
      <c r="AH1968">
        <v>4</v>
      </c>
      <c r="AI1968">
        <v>24</v>
      </c>
      <c r="AJ1968">
        <v>1</v>
      </c>
      <c r="AK1968">
        <v>17</v>
      </c>
      <c r="AL1968">
        <v>49</v>
      </c>
      <c r="AM1968" t="s">
        <v>43</v>
      </c>
      <c r="AN1968" t="str">
        <f>HYPERLINK("https://www.google.com/maps?q=11.05443478,79.06304932","Open Location")</f>
        <v>Open Location</v>
      </c>
    </row>
    <row r="1969" spans="1:40" x14ac:dyDescent="0.3">
      <c r="A1969" s="1">
        <v>46210.771874999999</v>
      </c>
      <c r="B1969" t="s">
        <v>40</v>
      </c>
      <c r="C1969" t="s">
        <v>41</v>
      </c>
      <c r="D1969" s="1">
        <v>46210.774895833332</v>
      </c>
      <c r="E1969" t="s">
        <v>42</v>
      </c>
      <c r="F1969" t="s">
        <v>83</v>
      </c>
      <c r="G1969">
        <v>0</v>
      </c>
      <c r="H1969" t="s">
        <v>43</v>
      </c>
      <c r="I1969" t="s">
        <v>930</v>
      </c>
      <c r="J1969">
        <v>38</v>
      </c>
      <c r="K1969">
        <v>2</v>
      </c>
      <c r="L1969">
        <v>98</v>
      </c>
      <c r="M1969">
        <v>629.29998779000005</v>
      </c>
      <c r="N1969" t="s">
        <v>85</v>
      </c>
      <c r="O1969" t="s">
        <v>82</v>
      </c>
      <c r="P1969">
        <v>125</v>
      </c>
      <c r="Q1969" t="s">
        <v>82</v>
      </c>
      <c r="R1969">
        <v>0</v>
      </c>
      <c r="S1969">
        <v>0</v>
      </c>
      <c r="T1969">
        <v>-40</v>
      </c>
      <c r="U1969">
        <v>48</v>
      </c>
      <c r="V1969">
        <v>0</v>
      </c>
      <c r="W1969">
        <v>27</v>
      </c>
      <c r="X1969">
        <v>27</v>
      </c>
      <c r="Y1969">
        <v>1</v>
      </c>
      <c r="Z1969">
        <v>1</v>
      </c>
      <c r="AA1969">
        <v>24</v>
      </c>
      <c r="AB1969">
        <v>2</v>
      </c>
      <c r="AC1969">
        <v>5</v>
      </c>
      <c r="AD1969">
        <v>3.2809998999999999</v>
      </c>
      <c r="AE1969">
        <v>1</v>
      </c>
      <c r="AF1969">
        <v>1</v>
      </c>
      <c r="AG1969">
        <v>3.2760000200000001</v>
      </c>
      <c r="AH1969">
        <v>4</v>
      </c>
      <c r="AI1969">
        <v>24</v>
      </c>
      <c r="AJ1969">
        <v>1</v>
      </c>
      <c r="AK1969">
        <v>17</v>
      </c>
      <c r="AL1969">
        <v>49</v>
      </c>
      <c r="AM1969" t="s">
        <v>43</v>
      </c>
      <c r="AN1969" t="str">
        <f>HYPERLINK("https://www.google.com/maps?q=11.05443478,79.06304932","Open Location")</f>
        <v>Open Location</v>
      </c>
    </row>
    <row r="1970" spans="1:40" x14ac:dyDescent="0.3">
      <c r="A1970" s="1">
        <v>46210.77175925926</v>
      </c>
      <c r="B1970" t="s">
        <v>40</v>
      </c>
      <c r="C1970" t="s">
        <v>41</v>
      </c>
      <c r="D1970" s="1">
        <v>46210.774583333332</v>
      </c>
      <c r="E1970" t="s">
        <v>42</v>
      </c>
      <c r="F1970" t="s">
        <v>83</v>
      </c>
      <c r="G1970">
        <v>0</v>
      </c>
      <c r="H1970">
        <v>33204</v>
      </c>
      <c r="I1970" t="s">
        <v>928</v>
      </c>
      <c r="J1970">
        <v>38</v>
      </c>
      <c r="K1970">
        <v>2</v>
      </c>
      <c r="L1970">
        <v>98</v>
      </c>
      <c r="M1970">
        <v>628.70001220999995</v>
      </c>
      <c r="N1970" t="s">
        <v>85</v>
      </c>
      <c r="O1970" t="s">
        <v>82</v>
      </c>
      <c r="P1970">
        <v>125</v>
      </c>
      <c r="Q1970" t="s">
        <v>82</v>
      </c>
      <c r="R1970">
        <v>0</v>
      </c>
      <c r="S1970">
        <v>0</v>
      </c>
      <c r="T1970">
        <v>-40</v>
      </c>
      <c r="U1970">
        <v>48</v>
      </c>
      <c r="V1970">
        <v>0</v>
      </c>
      <c r="W1970">
        <v>27</v>
      </c>
      <c r="X1970">
        <v>27</v>
      </c>
      <c r="Y1970">
        <v>1</v>
      </c>
      <c r="Z1970">
        <v>1</v>
      </c>
      <c r="AA1970">
        <v>24</v>
      </c>
      <c r="AB1970">
        <v>2</v>
      </c>
      <c r="AC1970">
        <v>5</v>
      </c>
      <c r="AD1970">
        <v>3.2809998999999999</v>
      </c>
      <c r="AE1970">
        <v>1</v>
      </c>
      <c r="AF1970">
        <v>1</v>
      </c>
      <c r="AG1970">
        <v>3.2760000200000001</v>
      </c>
      <c r="AH1970">
        <v>4</v>
      </c>
      <c r="AI1970">
        <v>17</v>
      </c>
      <c r="AJ1970">
        <v>1</v>
      </c>
      <c r="AK1970">
        <v>17</v>
      </c>
      <c r="AL1970">
        <v>49</v>
      </c>
      <c r="AM1970" t="s">
        <v>43</v>
      </c>
      <c r="AN1970" t="str">
        <f>HYPERLINK("https://www.google.com/maps?q=11.05443192,79.06305695","Open Location")</f>
        <v>Open Location</v>
      </c>
    </row>
    <row r="1971" spans="1:40" x14ac:dyDescent="0.3">
      <c r="A1971" s="1">
        <v>46210.771643518521</v>
      </c>
      <c r="B1971" t="s">
        <v>40</v>
      </c>
      <c r="C1971" t="s">
        <v>41</v>
      </c>
      <c r="D1971" s="1">
        <v>46210.774606481478</v>
      </c>
      <c r="E1971" t="s">
        <v>42</v>
      </c>
      <c r="F1971" t="s">
        <v>83</v>
      </c>
      <c r="G1971">
        <v>0</v>
      </c>
      <c r="H1971">
        <v>33204</v>
      </c>
      <c r="I1971" t="s">
        <v>925</v>
      </c>
      <c r="J1971">
        <v>38</v>
      </c>
      <c r="K1971">
        <v>2</v>
      </c>
      <c r="L1971">
        <v>98</v>
      </c>
      <c r="M1971">
        <v>628.70001220999995</v>
      </c>
      <c r="N1971" t="s">
        <v>85</v>
      </c>
      <c r="O1971" t="s">
        <v>82</v>
      </c>
      <c r="P1971">
        <v>125</v>
      </c>
      <c r="Q1971" t="s">
        <v>82</v>
      </c>
      <c r="R1971">
        <v>0</v>
      </c>
      <c r="S1971">
        <v>0</v>
      </c>
      <c r="T1971">
        <v>-40</v>
      </c>
      <c r="U1971">
        <v>48</v>
      </c>
      <c r="V1971">
        <v>0</v>
      </c>
      <c r="W1971">
        <v>27</v>
      </c>
      <c r="X1971">
        <v>27</v>
      </c>
      <c r="Y1971">
        <v>1</v>
      </c>
      <c r="Z1971">
        <v>1</v>
      </c>
      <c r="AA1971">
        <v>24</v>
      </c>
      <c r="AB1971">
        <v>2</v>
      </c>
      <c r="AC1971">
        <v>5</v>
      </c>
      <c r="AD1971">
        <v>3.2809998999999999</v>
      </c>
      <c r="AE1971">
        <v>1</v>
      </c>
      <c r="AF1971">
        <v>1</v>
      </c>
      <c r="AG1971">
        <v>3.2760000200000001</v>
      </c>
      <c r="AH1971">
        <v>2</v>
      </c>
      <c r="AI1971">
        <v>46</v>
      </c>
      <c r="AJ1971">
        <v>1</v>
      </c>
      <c r="AK1971">
        <v>17</v>
      </c>
      <c r="AL1971">
        <v>49</v>
      </c>
      <c r="AM1971" t="s">
        <v>43</v>
      </c>
      <c r="AN1971" t="str">
        <f>HYPERLINK("https://www.google.com/maps?q=11.05443478,79.06305695","Open Location")</f>
        <v>Open Location</v>
      </c>
    </row>
    <row r="1972" spans="1:40" x14ac:dyDescent="0.3">
      <c r="A1972" s="1">
        <v>46210.771527777775</v>
      </c>
      <c r="B1972" t="s">
        <v>40</v>
      </c>
      <c r="C1972" t="s">
        <v>41</v>
      </c>
      <c r="D1972" s="1">
        <v>46210.774606481478</v>
      </c>
      <c r="E1972" t="s">
        <v>42</v>
      </c>
      <c r="F1972" t="s">
        <v>83</v>
      </c>
      <c r="G1972">
        <v>0</v>
      </c>
      <c r="H1972">
        <v>33204</v>
      </c>
      <c r="I1972" t="s">
        <v>912</v>
      </c>
      <c r="J1972">
        <v>38</v>
      </c>
      <c r="K1972">
        <v>2</v>
      </c>
      <c r="L1972">
        <v>98</v>
      </c>
      <c r="M1972">
        <v>629.29998779000005</v>
      </c>
      <c r="N1972" t="s">
        <v>85</v>
      </c>
      <c r="O1972" t="s">
        <v>82</v>
      </c>
      <c r="P1972">
        <v>125</v>
      </c>
      <c r="Q1972" t="s">
        <v>82</v>
      </c>
      <c r="R1972">
        <v>0</v>
      </c>
      <c r="S1972">
        <v>0</v>
      </c>
      <c r="T1972">
        <v>-40</v>
      </c>
      <c r="U1972">
        <v>48</v>
      </c>
      <c r="V1972">
        <v>0</v>
      </c>
      <c r="W1972">
        <v>27</v>
      </c>
      <c r="X1972">
        <v>27</v>
      </c>
      <c r="Y1972">
        <v>1</v>
      </c>
      <c r="Z1972">
        <v>1</v>
      </c>
      <c r="AA1972">
        <v>24</v>
      </c>
      <c r="AB1972">
        <v>2</v>
      </c>
      <c r="AC1972">
        <v>5</v>
      </c>
      <c r="AD1972">
        <v>3.2809998999999999</v>
      </c>
      <c r="AE1972">
        <v>1</v>
      </c>
      <c r="AF1972">
        <v>16</v>
      </c>
      <c r="AG1972">
        <v>3.2760000200000001</v>
      </c>
      <c r="AH1972">
        <v>2</v>
      </c>
      <c r="AI1972">
        <v>46</v>
      </c>
      <c r="AJ1972">
        <v>1</v>
      </c>
      <c r="AK1972">
        <v>17</v>
      </c>
      <c r="AL1972">
        <v>49</v>
      </c>
      <c r="AM1972" t="s">
        <v>43</v>
      </c>
      <c r="AN1972" t="str">
        <f>HYPERLINK("https://www.google.com/maps?q=11.05443287,79.06304932","Open Location")</f>
        <v>Open Location</v>
      </c>
    </row>
    <row r="1973" spans="1:40" x14ac:dyDescent="0.3">
      <c r="A1973" s="1">
        <v>46210.771412037036</v>
      </c>
      <c r="B1973" t="s">
        <v>40</v>
      </c>
      <c r="C1973" t="s">
        <v>41</v>
      </c>
      <c r="D1973" s="1">
        <v>46210.774224537039</v>
      </c>
      <c r="E1973" t="s">
        <v>42</v>
      </c>
      <c r="F1973" t="s">
        <v>83</v>
      </c>
      <c r="G1973">
        <v>0</v>
      </c>
      <c r="H1973">
        <v>33204</v>
      </c>
      <c r="I1973" t="s">
        <v>43</v>
      </c>
      <c r="J1973">
        <v>38</v>
      </c>
      <c r="K1973">
        <v>2</v>
      </c>
      <c r="L1973">
        <v>98</v>
      </c>
      <c r="M1973">
        <v>628.40002441000001</v>
      </c>
      <c r="N1973" t="s">
        <v>85</v>
      </c>
      <c r="O1973" t="s">
        <v>82</v>
      </c>
      <c r="P1973">
        <v>125</v>
      </c>
      <c r="Q1973" t="s">
        <v>82</v>
      </c>
      <c r="R1973">
        <v>0</v>
      </c>
      <c r="S1973">
        <v>0</v>
      </c>
      <c r="T1973">
        <v>-40</v>
      </c>
      <c r="U1973">
        <v>48</v>
      </c>
      <c r="V1973">
        <v>0</v>
      </c>
      <c r="W1973">
        <v>27</v>
      </c>
      <c r="X1973">
        <v>27</v>
      </c>
      <c r="Y1973">
        <v>1</v>
      </c>
      <c r="Z1973">
        <v>1</v>
      </c>
      <c r="AA1973">
        <v>24</v>
      </c>
      <c r="AB1973">
        <v>2</v>
      </c>
      <c r="AC1973">
        <v>5</v>
      </c>
      <c r="AD1973">
        <v>3.2809998999999999</v>
      </c>
      <c r="AE1973">
        <v>1</v>
      </c>
      <c r="AF1973">
        <v>16</v>
      </c>
      <c r="AG1973">
        <v>3.2750001000000002</v>
      </c>
      <c r="AH1973">
        <v>7</v>
      </c>
      <c r="AI1973">
        <v>19</v>
      </c>
      <c r="AJ1973">
        <v>1</v>
      </c>
      <c r="AK1973">
        <v>17</v>
      </c>
      <c r="AL1973">
        <v>49</v>
      </c>
      <c r="AM1973" t="s">
        <v>43</v>
      </c>
      <c r="AN1973" t="s">
        <v>43</v>
      </c>
    </row>
    <row r="1974" spans="1:40" x14ac:dyDescent="0.3">
      <c r="A1974" s="1">
        <v>46210.771296296298</v>
      </c>
      <c r="B1974" t="s">
        <v>40</v>
      </c>
      <c r="C1974" t="s">
        <v>41</v>
      </c>
      <c r="D1974" s="1">
        <v>46210.774155092593</v>
      </c>
      <c r="E1974" t="s">
        <v>42</v>
      </c>
      <c r="F1974" t="s">
        <v>43</v>
      </c>
      <c r="G1974">
        <v>0</v>
      </c>
      <c r="H1974">
        <v>33204</v>
      </c>
      <c r="I1974" t="s">
        <v>912</v>
      </c>
      <c r="J1974">
        <v>38</v>
      </c>
      <c r="K1974">
        <v>2</v>
      </c>
      <c r="L1974">
        <v>98</v>
      </c>
      <c r="M1974">
        <v>629.29998779000005</v>
      </c>
      <c r="N1974" t="s">
        <v>85</v>
      </c>
      <c r="O1974" t="s">
        <v>82</v>
      </c>
      <c r="P1974">
        <v>125</v>
      </c>
      <c r="Q1974" t="s">
        <v>82</v>
      </c>
      <c r="R1974">
        <v>0</v>
      </c>
      <c r="S1974">
        <v>0</v>
      </c>
      <c r="T1974">
        <v>-40</v>
      </c>
      <c r="U1974">
        <v>48</v>
      </c>
      <c r="V1974">
        <v>0</v>
      </c>
      <c r="W1974">
        <v>27</v>
      </c>
      <c r="X1974">
        <v>27</v>
      </c>
      <c r="Y1974">
        <v>1</v>
      </c>
      <c r="Z1974">
        <v>1</v>
      </c>
      <c r="AA1974">
        <v>24</v>
      </c>
      <c r="AB1974">
        <v>2</v>
      </c>
      <c r="AC1974">
        <v>5</v>
      </c>
      <c r="AD1974">
        <v>3.27999997</v>
      </c>
      <c r="AE1974">
        <v>1</v>
      </c>
      <c r="AF1974">
        <v>1</v>
      </c>
      <c r="AG1974">
        <v>3.2750001000000002</v>
      </c>
      <c r="AH1974">
        <v>6</v>
      </c>
      <c r="AI1974">
        <v>24</v>
      </c>
      <c r="AJ1974">
        <v>1</v>
      </c>
      <c r="AK1974">
        <v>17</v>
      </c>
      <c r="AL1974">
        <v>49</v>
      </c>
      <c r="AM1974" t="s">
        <v>43</v>
      </c>
      <c r="AN1974" t="str">
        <f>HYPERLINK("https://www.google.com/maps?q=11.05443287,79.06304932","Open Location")</f>
        <v>Open Location</v>
      </c>
    </row>
    <row r="1975" spans="1:40" x14ac:dyDescent="0.3">
      <c r="A1975" s="1">
        <v>46210.771180555559</v>
      </c>
      <c r="B1975" t="s">
        <v>40</v>
      </c>
      <c r="C1975" t="s">
        <v>41</v>
      </c>
      <c r="D1975" s="1">
        <v>46210.773981481485</v>
      </c>
      <c r="E1975" t="s">
        <v>42</v>
      </c>
      <c r="F1975" t="s">
        <v>83</v>
      </c>
      <c r="G1975">
        <v>0</v>
      </c>
      <c r="H1975">
        <v>33204</v>
      </c>
      <c r="I1975" t="s">
        <v>931</v>
      </c>
      <c r="J1975">
        <v>38</v>
      </c>
      <c r="K1975">
        <v>2</v>
      </c>
      <c r="L1975">
        <v>98</v>
      </c>
      <c r="M1975">
        <v>629.20001220999995</v>
      </c>
      <c r="N1975" t="s">
        <v>85</v>
      </c>
      <c r="O1975" t="s">
        <v>82</v>
      </c>
      <c r="P1975">
        <v>125</v>
      </c>
      <c r="Q1975" t="s">
        <v>82</v>
      </c>
      <c r="R1975">
        <v>0</v>
      </c>
      <c r="S1975">
        <v>0</v>
      </c>
      <c r="T1975">
        <v>-40</v>
      </c>
      <c r="U1975">
        <v>48</v>
      </c>
      <c r="V1975">
        <v>0</v>
      </c>
      <c r="W1975">
        <v>27</v>
      </c>
      <c r="X1975">
        <v>27</v>
      </c>
      <c r="Y1975">
        <v>1</v>
      </c>
      <c r="Z1975">
        <v>1</v>
      </c>
      <c r="AA1975">
        <v>24</v>
      </c>
      <c r="AB1975">
        <v>2</v>
      </c>
      <c r="AC1975">
        <v>5</v>
      </c>
      <c r="AD1975">
        <v>3.27999997</v>
      </c>
      <c r="AE1975">
        <v>1</v>
      </c>
      <c r="AF1975">
        <v>1</v>
      </c>
      <c r="AG1975">
        <v>3.2750001000000002</v>
      </c>
      <c r="AH1975">
        <v>6</v>
      </c>
      <c r="AI1975">
        <v>24</v>
      </c>
      <c r="AJ1975">
        <v>1</v>
      </c>
      <c r="AK1975">
        <v>17</v>
      </c>
      <c r="AL1975">
        <v>49</v>
      </c>
      <c r="AM1975" t="s">
        <v>43</v>
      </c>
      <c r="AN1975" t="str">
        <f>HYPERLINK("https://www.google.com/maps?q=11.05443573,79.06304932","Open Location")</f>
        <v>Open Location</v>
      </c>
    </row>
    <row r="1976" spans="1:40" x14ac:dyDescent="0.3">
      <c r="A1976" s="1">
        <v>46210.771064814813</v>
      </c>
      <c r="B1976" t="s">
        <v>40</v>
      </c>
      <c r="C1976" t="s">
        <v>41</v>
      </c>
      <c r="D1976" s="1">
        <v>46210.773888888885</v>
      </c>
      <c r="E1976" t="s">
        <v>42</v>
      </c>
      <c r="F1976" t="s">
        <v>43</v>
      </c>
      <c r="G1976">
        <v>0</v>
      </c>
      <c r="H1976" t="s">
        <v>43</v>
      </c>
      <c r="I1976" t="s">
        <v>914</v>
      </c>
      <c r="J1976">
        <v>38</v>
      </c>
      <c r="K1976">
        <v>2</v>
      </c>
      <c r="L1976">
        <v>98</v>
      </c>
      <c r="M1976">
        <v>628.5</v>
      </c>
      <c r="N1976" t="s">
        <v>85</v>
      </c>
      <c r="O1976" t="s">
        <v>43</v>
      </c>
      <c r="P1976">
        <v>125</v>
      </c>
      <c r="Q1976" t="s">
        <v>82</v>
      </c>
      <c r="R1976">
        <v>0</v>
      </c>
      <c r="S1976">
        <v>0</v>
      </c>
      <c r="T1976">
        <v>-40</v>
      </c>
      <c r="U1976">
        <v>48</v>
      </c>
      <c r="V1976">
        <v>0</v>
      </c>
      <c r="W1976">
        <v>27</v>
      </c>
      <c r="X1976">
        <v>27</v>
      </c>
      <c r="Y1976">
        <v>1</v>
      </c>
      <c r="Z1976">
        <v>1</v>
      </c>
      <c r="AA1976">
        <v>24</v>
      </c>
      <c r="AB1976">
        <v>2</v>
      </c>
      <c r="AC1976">
        <v>5</v>
      </c>
      <c r="AD1976">
        <v>3.27999997</v>
      </c>
      <c r="AE1976">
        <v>1</v>
      </c>
      <c r="AF1976">
        <v>1</v>
      </c>
      <c r="AG1976">
        <v>3.2750001000000002</v>
      </c>
      <c r="AH1976">
        <v>4</v>
      </c>
      <c r="AI1976">
        <v>24</v>
      </c>
      <c r="AJ1976">
        <v>1</v>
      </c>
      <c r="AK1976">
        <v>17</v>
      </c>
      <c r="AL1976">
        <v>49</v>
      </c>
      <c r="AM1976" t="s">
        <v>43</v>
      </c>
      <c r="AN1976" t="str">
        <f>HYPERLINK("https://www.google.com/maps?q=11.05443764,79.06304169","Open Location")</f>
        <v>Open Location</v>
      </c>
    </row>
    <row r="1977" spans="1:40" x14ac:dyDescent="0.3">
      <c r="A1977" s="1">
        <v>46210.770949074074</v>
      </c>
      <c r="B1977" t="s">
        <v>40</v>
      </c>
      <c r="C1977" t="s">
        <v>41</v>
      </c>
      <c r="D1977" s="1">
        <v>46210.774004629631</v>
      </c>
      <c r="E1977" t="s">
        <v>42</v>
      </c>
      <c r="F1977" t="s">
        <v>83</v>
      </c>
      <c r="G1977">
        <v>0</v>
      </c>
      <c r="H1977">
        <v>33204</v>
      </c>
      <c r="I1977" t="s">
        <v>932</v>
      </c>
      <c r="J1977">
        <v>38</v>
      </c>
      <c r="K1977">
        <v>2</v>
      </c>
      <c r="L1977">
        <v>98</v>
      </c>
      <c r="M1977">
        <v>628.90002441000001</v>
      </c>
      <c r="N1977" t="s">
        <v>85</v>
      </c>
      <c r="O1977" t="s">
        <v>82</v>
      </c>
      <c r="P1977">
        <v>125</v>
      </c>
      <c r="Q1977" t="s">
        <v>82</v>
      </c>
      <c r="R1977">
        <v>0</v>
      </c>
      <c r="S1977">
        <v>0</v>
      </c>
      <c r="T1977">
        <v>-40</v>
      </c>
      <c r="U1977">
        <v>48</v>
      </c>
      <c r="V1977">
        <v>0</v>
      </c>
      <c r="W1977">
        <v>27</v>
      </c>
      <c r="X1977">
        <v>27</v>
      </c>
      <c r="Y1977">
        <v>1</v>
      </c>
      <c r="Z1977">
        <v>1</v>
      </c>
      <c r="AA1977">
        <v>24</v>
      </c>
      <c r="AB1977">
        <v>2</v>
      </c>
      <c r="AC1977">
        <v>5</v>
      </c>
      <c r="AD1977">
        <v>3.27999997</v>
      </c>
      <c r="AE1977">
        <v>1</v>
      </c>
      <c r="AF1977">
        <v>1</v>
      </c>
      <c r="AG1977">
        <v>3.2750001000000002</v>
      </c>
      <c r="AH1977">
        <v>4</v>
      </c>
      <c r="AI1977">
        <v>24</v>
      </c>
      <c r="AJ1977">
        <v>1</v>
      </c>
      <c r="AK1977">
        <v>17</v>
      </c>
      <c r="AL1977">
        <v>49</v>
      </c>
      <c r="AM1977" t="s">
        <v>43</v>
      </c>
      <c r="AN1977" t="str">
        <f>HYPERLINK("https://www.google.com/maps?q=11.05443954,79.06304169","Open Location")</f>
        <v>Open Location</v>
      </c>
    </row>
    <row r="1978" spans="1:40" x14ac:dyDescent="0.3">
      <c r="A1978" s="1">
        <v>46210.770833333336</v>
      </c>
      <c r="B1978" t="s">
        <v>40</v>
      </c>
      <c r="C1978" t="s">
        <v>41</v>
      </c>
      <c r="D1978" s="1">
        <v>46210.773761574077</v>
      </c>
      <c r="E1978" t="s">
        <v>42</v>
      </c>
      <c r="F1978" t="s">
        <v>83</v>
      </c>
      <c r="G1978">
        <v>0</v>
      </c>
      <c r="H1978">
        <v>33204</v>
      </c>
      <c r="I1978" t="s">
        <v>43</v>
      </c>
      <c r="J1978">
        <v>38</v>
      </c>
      <c r="K1978">
        <v>2</v>
      </c>
      <c r="L1978">
        <v>98</v>
      </c>
      <c r="M1978">
        <v>628.70001220999995</v>
      </c>
      <c r="N1978" t="s">
        <v>85</v>
      </c>
      <c r="O1978" t="s">
        <v>82</v>
      </c>
      <c r="P1978">
        <v>125</v>
      </c>
      <c r="Q1978" t="s">
        <v>82</v>
      </c>
      <c r="R1978">
        <v>0</v>
      </c>
      <c r="S1978">
        <v>0</v>
      </c>
      <c r="T1978">
        <v>-40</v>
      </c>
      <c r="U1978">
        <v>48</v>
      </c>
      <c r="V1978">
        <v>0</v>
      </c>
      <c r="W1978">
        <v>27</v>
      </c>
      <c r="X1978">
        <v>27</v>
      </c>
      <c r="Y1978">
        <v>1</v>
      </c>
      <c r="Z1978">
        <v>1</v>
      </c>
      <c r="AA1978">
        <v>24</v>
      </c>
      <c r="AB1978">
        <v>2</v>
      </c>
      <c r="AC1978">
        <v>5</v>
      </c>
      <c r="AD1978">
        <v>3.27999997</v>
      </c>
      <c r="AE1978">
        <v>1</v>
      </c>
      <c r="AF1978">
        <v>1</v>
      </c>
      <c r="AG1978">
        <v>3.2750001000000002</v>
      </c>
      <c r="AH1978">
        <v>2</v>
      </c>
      <c r="AI1978">
        <v>46</v>
      </c>
      <c r="AJ1978">
        <v>1</v>
      </c>
      <c r="AK1978">
        <v>17</v>
      </c>
      <c r="AL1978">
        <v>49</v>
      </c>
      <c r="AM1978" t="s">
        <v>43</v>
      </c>
      <c r="AN1978" t="s">
        <v>43</v>
      </c>
    </row>
    <row r="1979" spans="1:40" x14ac:dyDescent="0.3">
      <c r="A1979" s="1">
        <v>46210.77071759259</v>
      </c>
      <c r="B1979" t="s">
        <v>40</v>
      </c>
      <c r="C1979" t="s">
        <v>41</v>
      </c>
      <c r="D1979" s="1">
        <v>46210.773611111108</v>
      </c>
      <c r="E1979" t="s">
        <v>42</v>
      </c>
      <c r="F1979" t="s">
        <v>83</v>
      </c>
      <c r="G1979">
        <v>0</v>
      </c>
      <c r="H1979">
        <v>33204</v>
      </c>
      <c r="I1979" t="s">
        <v>933</v>
      </c>
      <c r="J1979">
        <v>38</v>
      </c>
      <c r="K1979">
        <v>2</v>
      </c>
      <c r="L1979">
        <v>98</v>
      </c>
      <c r="M1979">
        <v>628.09997558999999</v>
      </c>
      <c r="N1979" t="s">
        <v>85</v>
      </c>
      <c r="O1979" t="s">
        <v>82</v>
      </c>
      <c r="P1979">
        <v>125</v>
      </c>
      <c r="Q1979" t="s">
        <v>82</v>
      </c>
      <c r="R1979">
        <v>0</v>
      </c>
      <c r="S1979">
        <v>0</v>
      </c>
      <c r="T1979">
        <v>-40</v>
      </c>
      <c r="U1979">
        <v>47</v>
      </c>
      <c r="V1979">
        <v>0</v>
      </c>
      <c r="W1979">
        <v>27</v>
      </c>
      <c r="X1979">
        <v>27</v>
      </c>
      <c r="Y1979">
        <v>1</v>
      </c>
      <c r="Z1979">
        <v>1</v>
      </c>
      <c r="AA1979">
        <v>24</v>
      </c>
      <c r="AB1979">
        <v>2</v>
      </c>
      <c r="AC1979">
        <v>5</v>
      </c>
      <c r="AD1979">
        <v>3.27999997</v>
      </c>
      <c r="AE1979">
        <v>1</v>
      </c>
      <c r="AF1979">
        <v>1</v>
      </c>
      <c r="AG1979">
        <v>3.2750001000000002</v>
      </c>
      <c r="AH1979">
        <v>2</v>
      </c>
      <c r="AI1979">
        <v>46</v>
      </c>
      <c r="AJ1979">
        <v>1</v>
      </c>
      <c r="AK1979">
        <v>17</v>
      </c>
      <c r="AL1979">
        <v>49</v>
      </c>
      <c r="AM1979" t="s">
        <v>43</v>
      </c>
      <c r="AN1979" t="str">
        <f>HYPERLINK("https://www.google.com/maps?q=11.05444241,79.06304169","Open Location")</f>
        <v>Open Location</v>
      </c>
    </row>
    <row r="1980" spans="1:40" x14ac:dyDescent="0.3">
      <c r="A1980" s="1">
        <v>46210.770601851851</v>
      </c>
      <c r="B1980" t="s">
        <v>40</v>
      </c>
      <c r="C1980" t="s">
        <v>41</v>
      </c>
      <c r="D1980" s="1">
        <v>46210.773611111108</v>
      </c>
      <c r="E1980" t="s">
        <v>42</v>
      </c>
      <c r="F1980" t="s">
        <v>83</v>
      </c>
      <c r="G1980">
        <v>0</v>
      </c>
      <c r="H1980">
        <v>33204</v>
      </c>
      <c r="I1980" t="s">
        <v>934</v>
      </c>
      <c r="J1980">
        <v>38</v>
      </c>
      <c r="K1980">
        <v>2</v>
      </c>
      <c r="L1980">
        <v>98</v>
      </c>
      <c r="M1980">
        <v>628.59997558999999</v>
      </c>
      <c r="N1980" t="s">
        <v>85</v>
      </c>
      <c r="O1980" t="s">
        <v>82</v>
      </c>
      <c r="P1980">
        <v>125</v>
      </c>
      <c r="Q1980" t="s">
        <v>82</v>
      </c>
      <c r="R1980">
        <v>0</v>
      </c>
      <c r="S1980">
        <v>0</v>
      </c>
      <c r="T1980">
        <v>-40</v>
      </c>
      <c r="U1980">
        <v>47</v>
      </c>
      <c r="V1980">
        <v>0</v>
      </c>
      <c r="W1980">
        <v>27</v>
      </c>
      <c r="X1980">
        <v>27</v>
      </c>
      <c r="Y1980">
        <v>1</v>
      </c>
      <c r="Z1980">
        <v>1</v>
      </c>
      <c r="AA1980">
        <v>24</v>
      </c>
      <c r="AB1980">
        <v>2</v>
      </c>
      <c r="AC1980">
        <v>5</v>
      </c>
      <c r="AD1980">
        <v>3.27999997</v>
      </c>
      <c r="AE1980">
        <v>1</v>
      </c>
      <c r="AF1980">
        <v>16</v>
      </c>
      <c r="AG1980">
        <v>3.27399993</v>
      </c>
      <c r="AH1980">
        <v>7</v>
      </c>
      <c r="AI1980">
        <v>19</v>
      </c>
      <c r="AJ1980">
        <v>1</v>
      </c>
      <c r="AK1980">
        <v>17</v>
      </c>
      <c r="AL1980">
        <v>49</v>
      </c>
      <c r="AM1980" t="s">
        <v>43</v>
      </c>
      <c r="AN1980" t="str">
        <f>HYPERLINK("https://www.google.com/maps?q=11.05444145,79.06304169","Open Location")</f>
        <v>Open Location</v>
      </c>
    </row>
    <row r="1981" spans="1:40" x14ac:dyDescent="0.3">
      <c r="A1981" s="1">
        <v>46210.770486111112</v>
      </c>
      <c r="B1981" t="s">
        <v>40</v>
      </c>
      <c r="C1981" t="s">
        <v>41</v>
      </c>
      <c r="D1981" s="1">
        <v>46210.773599537039</v>
      </c>
      <c r="E1981" t="s">
        <v>42</v>
      </c>
      <c r="F1981" t="s">
        <v>83</v>
      </c>
      <c r="G1981">
        <v>0</v>
      </c>
      <c r="H1981">
        <v>33204</v>
      </c>
      <c r="I1981" t="s">
        <v>935</v>
      </c>
      <c r="J1981">
        <v>38</v>
      </c>
      <c r="K1981">
        <v>2</v>
      </c>
      <c r="L1981">
        <v>98</v>
      </c>
      <c r="M1981">
        <v>628.09997558999999</v>
      </c>
      <c r="N1981" t="s">
        <v>85</v>
      </c>
      <c r="O1981" t="s">
        <v>82</v>
      </c>
      <c r="P1981">
        <v>125</v>
      </c>
      <c r="Q1981" t="s">
        <v>82</v>
      </c>
      <c r="R1981">
        <v>0</v>
      </c>
      <c r="S1981">
        <v>0</v>
      </c>
      <c r="T1981">
        <v>-40</v>
      </c>
      <c r="U1981">
        <v>47</v>
      </c>
      <c r="V1981">
        <v>0</v>
      </c>
      <c r="W1981">
        <v>27</v>
      </c>
      <c r="X1981">
        <v>27</v>
      </c>
      <c r="Y1981">
        <v>1</v>
      </c>
      <c r="Z1981">
        <v>1</v>
      </c>
      <c r="AA1981">
        <v>24</v>
      </c>
      <c r="AB1981">
        <v>2</v>
      </c>
      <c r="AC1981">
        <v>5</v>
      </c>
      <c r="AD1981">
        <v>3.27999997</v>
      </c>
      <c r="AE1981">
        <v>1</v>
      </c>
      <c r="AF1981">
        <v>16</v>
      </c>
      <c r="AG1981">
        <v>3.27399993</v>
      </c>
      <c r="AH1981">
        <v>6</v>
      </c>
      <c r="AI1981">
        <v>24</v>
      </c>
      <c r="AJ1981">
        <v>1</v>
      </c>
      <c r="AK1981">
        <v>17</v>
      </c>
      <c r="AL1981">
        <v>49</v>
      </c>
      <c r="AM1981" t="s">
        <v>43</v>
      </c>
      <c r="AN1981" t="str">
        <f>HYPERLINK("https://www.google.com/maps?q=11.05444336,79.06304169","Open Location")</f>
        <v>Open Location</v>
      </c>
    </row>
    <row r="1982" spans="1:40" x14ac:dyDescent="0.3">
      <c r="A1982" s="1">
        <v>46210.770370370374</v>
      </c>
      <c r="B1982" t="s">
        <v>40</v>
      </c>
      <c r="C1982" t="s">
        <v>41</v>
      </c>
      <c r="D1982" s="1">
        <v>46210.773530092592</v>
      </c>
      <c r="E1982" t="s">
        <v>42</v>
      </c>
      <c r="F1982" t="s">
        <v>43</v>
      </c>
      <c r="G1982">
        <v>0</v>
      </c>
      <c r="H1982">
        <v>33204</v>
      </c>
      <c r="I1982" t="s">
        <v>936</v>
      </c>
      <c r="J1982">
        <v>38</v>
      </c>
      <c r="K1982">
        <v>2</v>
      </c>
      <c r="L1982">
        <v>98</v>
      </c>
      <c r="M1982">
        <v>628.79998779000005</v>
      </c>
      <c r="N1982" t="s">
        <v>85</v>
      </c>
      <c r="O1982" t="s">
        <v>43</v>
      </c>
      <c r="P1982">
        <v>125</v>
      </c>
      <c r="Q1982" t="s">
        <v>82</v>
      </c>
      <c r="R1982">
        <v>0</v>
      </c>
      <c r="S1982">
        <v>0</v>
      </c>
      <c r="T1982">
        <v>-40</v>
      </c>
      <c r="U1982">
        <v>47</v>
      </c>
      <c r="V1982">
        <v>0</v>
      </c>
      <c r="W1982">
        <v>27</v>
      </c>
      <c r="X1982">
        <v>27</v>
      </c>
      <c r="Y1982">
        <v>1</v>
      </c>
      <c r="Z1982">
        <v>1</v>
      </c>
      <c r="AA1982">
        <v>24</v>
      </c>
      <c r="AB1982">
        <v>2</v>
      </c>
      <c r="AC1982">
        <v>5</v>
      </c>
      <c r="AD1982">
        <v>3.2790000400000001</v>
      </c>
      <c r="AE1982">
        <v>1</v>
      </c>
      <c r="AF1982">
        <v>1</v>
      </c>
      <c r="AG1982">
        <v>3.27399993</v>
      </c>
      <c r="AH1982">
        <v>4</v>
      </c>
      <c r="AI1982">
        <v>24</v>
      </c>
      <c r="AJ1982">
        <v>1</v>
      </c>
      <c r="AK1982">
        <v>17</v>
      </c>
      <c r="AL1982">
        <v>49</v>
      </c>
      <c r="AM1982" t="s">
        <v>43</v>
      </c>
      <c r="AN1982" t="str">
        <f>HYPERLINK("https://www.google.com/maps?q=11.05443573,79.06303406","Open Location")</f>
        <v>Open Location</v>
      </c>
    </row>
    <row r="1983" spans="1:40" x14ac:dyDescent="0.3">
      <c r="A1983" s="1">
        <v>46210.770254629628</v>
      </c>
      <c r="B1983" t="s">
        <v>40</v>
      </c>
      <c r="C1983" t="s">
        <v>41</v>
      </c>
      <c r="D1983" s="1">
        <v>46210.7731712963</v>
      </c>
      <c r="E1983" t="s">
        <v>42</v>
      </c>
      <c r="F1983" t="s">
        <v>83</v>
      </c>
      <c r="G1983">
        <v>0</v>
      </c>
      <c r="H1983">
        <v>33204</v>
      </c>
      <c r="I1983" t="s">
        <v>937</v>
      </c>
      <c r="J1983">
        <v>38</v>
      </c>
      <c r="K1983">
        <v>2</v>
      </c>
      <c r="L1983">
        <v>98</v>
      </c>
      <c r="M1983">
        <v>628.79998779000005</v>
      </c>
      <c r="N1983" t="s">
        <v>85</v>
      </c>
      <c r="O1983" t="s">
        <v>82</v>
      </c>
      <c r="P1983">
        <v>125</v>
      </c>
      <c r="Q1983" t="s">
        <v>82</v>
      </c>
      <c r="R1983">
        <v>0</v>
      </c>
      <c r="S1983">
        <v>0</v>
      </c>
      <c r="T1983">
        <v>-40</v>
      </c>
      <c r="U1983">
        <v>47</v>
      </c>
      <c r="V1983">
        <v>0</v>
      </c>
      <c r="W1983">
        <v>27</v>
      </c>
      <c r="X1983">
        <v>27</v>
      </c>
      <c r="Y1983">
        <v>1</v>
      </c>
      <c r="Z1983">
        <v>1</v>
      </c>
      <c r="AA1983">
        <v>24</v>
      </c>
      <c r="AB1983">
        <v>2</v>
      </c>
      <c r="AC1983">
        <v>5</v>
      </c>
      <c r="AD1983">
        <v>3.2790000400000001</v>
      </c>
      <c r="AE1983">
        <v>1</v>
      </c>
      <c r="AF1983">
        <v>1</v>
      </c>
      <c r="AG1983">
        <v>3.27399993</v>
      </c>
      <c r="AH1983">
        <v>4</v>
      </c>
      <c r="AI1983">
        <v>24</v>
      </c>
      <c r="AJ1983">
        <v>1</v>
      </c>
      <c r="AK1983">
        <v>17</v>
      </c>
      <c r="AL1983">
        <v>49</v>
      </c>
      <c r="AM1983" t="s">
        <v>43</v>
      </c>
      <c r="AN1983" t="str">
        <f>HYPERLINK("https://www.google.com/maps?q=11.05443192,79.06303406","Open Location")</f>
        <v>Open Location</v>
      </c>
    </row>
    <row r="1984" spans="1:40" x14ac:dyDescent="0.3">
      <c r="A1984" s="1">
        <v>46210.770138888889</v>
      </c>
      <c r="B1984" t="s">
        <v>40</v>
      </c>
      <c r="C1984" t="s">
        <v>41</v>
      </c>
      <c r="D1984" s="1">
        <v>46210.772986111115</v>
      </c>
      <c r="E1984" t="s">
        <v>42</v>
      </c>
      <c r="F1984" t="s">
        <v>43</v>
      </c>
      <c r="G1984">
        <v>0</v>
      </c>
      <c r="H1984">
        <v>33204</v>
      </c>
      <c r="I1984" t="s">
        <v>43</v>
      </c>
      <c r="J1984">
        <v>38</v>
      </c>
      <c r="K1984">
        <v>2</v>
      </c>
      <c r="L1984">
        <v>98</v>
      </c>
      <c r="M1984">
        <v>628.20001220999995</v>
      </c>
      <c r="N1984" t="s">
        <v>85</v>
      </c>
      <c r="O1984" t="s">
        <v>43</v>
      </c>
      <c r="P1984">
        <v>125</v>
      </c>
      <c r="Q1984" t="s">
        <v>82</v>
      </c>
      <c r="R1984">
        <v>0</v>
      </c>
      <c r="S1984">
        <v>0</v>
      </c>
      <c r="T1984">
        <v>-40</v>
      </c>
      <c r="U1984">
        <v>47</v>
      </c>
      <c r="V1984">
        <v>0</v>
      </c>
      <c r="W1984">
        <v>27</v>
      </c>
      <c r="X1984">
        <v>27</v>
      </c>
      <c r="Y1984">
        <v>1</v>
      </c>
      <c r="Z1984">
        <v>1</v>
      </c>
      <c r="AA1984">
        <v>24</v>
      </c>
      <c r="AB1984">
        <v>2</v>
      </c>
      <c r="AC1984">
        <v>5</v>
      </c>
      <c r="AD1984">
        <v>3.2790000400000001</v>
      </c>
      <c r="AE1984">
        <v>1</v>
      </c>
      <c r="AF1984">
        <v>1</v>
      </c>
      <c r="AG1984">
        <v>3.27399993</v>
      </c>
      <c r="AH1984">
        <v>2</v>
      </c>
      <c r="AI1984">
        <v>46</v>
      </c>
      <c r="AJ1984">
        <v>1</v>
      </c>
      <c r="AK1984">
        <v>17</v>
      </c>
      <c r="AL1984">
        <v>49</v>
      </c>
      <c r="AM1984" t="s">
        <v>43</v>
      </c>
      <c r="AN1984" t="s">
        <v>43</v>
      </c>
    </row>
    <row r="1985" spans="1:40" x14ac:dyDescent="0.3">
      <c r="A1985" s="1">
        <v>46210.77002314815</v>
      </c>
      <c r="B1985" t="s">
        <v>40</v>
      </c>
      <c r="C1985" t="s">
        <v>41</v>
      </c>
      <c r="D1985" s="1">
        <v>46210.772777777776</v>
      </c>
      <c r="E1985" t="s">
        <v>42</v>
      </c>
      <c r="F1985" t="s">
        <v>83</v>
      </c>
      <c r="G1985">
        <v>0</v>
      </c>
      <c r="H1985">
        <v>33204</v>
      </c>
      <c r="I1985" t="s">
        <v>938</v>
      </c>
      <c r="J1985">
        <v>38</v>
      </c>
      <c r="K1985">
        <v>2</v>
      </c>
      <c r="L1985">
        <v>98</v>
      </c>
      <c r="M1985">
        <v>628.79998779000005</v>
      </c>
      <c r="N1985" t="s">
        <v>85</v>
      </c>
      <c r="O1985" t="s">
        <v>82</v>
      </c>
      <c r="P1985">
        <v>125</v>
      </c>
      <c r="Q1985" t="s">
        <v>82</v>
      </c>
      <c r="R1985">
        <v>0</v>
      </c>
      <c r="S1985">
        <v>0</v>
      </c>
      <c r="T1985">
        <v>-40</v>
      </c>
      <c r="U1985">
        <v>47</v>
      </c>
      <c r="V1985">
        <v>0</v>
      </c>
      <c r="W1985">
        <v>27</v>
      </c>
      <c r="X1985">
        <v>27</v>
      </c>
      <c r="Y1985">
        <v>1</v>
      </c>
      <c r="Z1985">
        <v>1</v>
      </c>
      <c r="AA1985">
        <v>24</v>
      </c>
      <c r="AB1985">
        <v>2</v>
      </c>
      <c r="AC1985">
        <v>5</v>
      </c>
      <c r="AD1985">
        <v>3.2790000400000001</v>
      </c>
      <c r="AE1985">
        <v>1</v>
      </c>
      <c r="AF1985">
        <v>1</v>
      </c>
      <c r="AG1985">
        <v>3.27399993</v>
      </c>
      <c r="AH1985">
        <v>2</v>
      </c>
      <c r="AI1985">
        <v>46</v>
      </c>
      <c r="AJ1985">
        <v>1</v>
      </c>
      <c r="AK1985">
        <v>18</v>
      </c>
      <c r="AL1985">
        <v>49</v>
      </c>
      <c r="AM1985" t="s">
        <v>43</v>
      </c>
      <c r="AN1985" t="str">
        <f>HYPERLINK("https://www.google.com/maps?q=11.05443001,79.06302643","Open Location")</f>
        <v>Open Location</v>
      </c>
    </row>
    <row r="1986" spans="1:40" x14ac:dyDescent="0.3">
      <c r="A1986" s="1">
        <v>46210.769907407404</v>
      </c>
      <c r="B1986" t="s">
        <v>40</v>
      </c>
      <c r="C1986" t="s">
        <v>41</v>
      </c>
      <c r="D1986" s="1">
        <v>46210.772696759261</v>
      </c>
      <c r="E1986" t="s">
        <v>42</v>
      </c>
      <c r="F1986" t="s">
        <v>83</v>
      </c>
      <c r="G1986">
        <v>0</v>
      </c>
      <c r="H1986">
        <v>33204</v>
      </c>
      <c r="I1986" t="s">
        <v>939</v>
      </c>
      <c r="J1986">
        <v>38</v>
      </c>
      <c r="K1986">
        <v>2</v>
      </c>
      <c r="L1986">
        <v>98</v>
      </c>
      <c r="M1986">
        <v>628.5</v>
      </c>
      <c r="N1986" t="s">
        <v>85</v>
      </c>
      <c r="O1986" t="s">
        <v>82</v>
      </c>
      <c r="P1986">
        <v>125</v>
      </c>
      <c r="Q1986" t="s">
        <v>82</v>
      </c>
      <c r="R1986">
        <v>0</v>
      </c>
      <c r="S1986">
        <v>0</v>
      </c>
      <c r="T1986">
        <v>-40</v>
      </c>
      <c r="U1986">
        <v>47</v>
      </c>
      <c r="V1986">
        <v>0</v>
      </c>
      <c r="W1986">
        <v>27</v>
      </c>
      <c r="X1986">
        <v>27</v>
      </c>
      <c r="Y1986">
        <v>1</v>
      </c>
      <c r="Z1986">
        <v>1</v>
      </c>
      <c r="AA1986">
        <v>24</v>
      </c>
      <c r="AB1986">
        <v>2</v>
      </c>
      <c r="AC1986">
        <v>5</v>
      </c>
      <c r="AD1986">
        <v>3.2790000400000001</v>
      </c>
      <c r="AE1986">
        <v>1</v>
      </c>
      <c r="AF1986">
        <v>1</v>
      </c>
      <c r="AG1986">
        <v>3.2730000000000001</v>
      </c>
      <c r="AH1986">
        <v>6</v>
      </c>
      <c r="AI1986">
        <v>24</v>
      </c>
      <c r="AJ1986">
        <v>1</v>
      </c>
      <c r="AK1986">
        <v>18</v>
      </c>
      <c r="AL1986">
        <v>49</v>
      </c>
      <c r="AM1986" t="s">
        <v>43</v>
      </c>
      <c r="AN1986" t="str">
        <f>HYPERLINK("https://www.google.com/maps?q=11.05443192,79.06302643","Open Location")</f>
        <v>Open Location</v>
      </c>
    </row>
    <row r="1987" spans="1:40" x14ac:dyDescent="0.3">
      <c r="A1987" s="1">
        <v>46210.769791666666</v>
      </c>
      <c r="B1987" t="s">
        <v>40</v>
      </c>
      <c r="C1987" t="s">
        <v>41</v>
      </c>
      <c r="D1987" s="1">
        <v>46210.772650462961</v>
      </c>
      <c r="E1987" t="s">
        <v>42</v>
      </c>
      <c r="F1987" t="s">
        <v>83</v>
      </c>
      <c r="G1987">
        <v>0</v>
      </c>
      <c r="H1987">
        <v>33204</v>
      </c>
      <c r="I1987" t="s">
        <v>940</v>
      </c>
      <c r="J1987">
        <v>38</v>
      </c>
      <c r="K1987">
        <v>2</v>
      </c>
      <c r="L1987">
        <v>98</v>
      </c>
      <c r="M1987">
        <v>628.59997558999999</v>
      </c>
      <c r="N1987" t="s">
        <v>85</v>
      </c>
      <c r="O1987" t="s">
        <v>82</v>
      </c>
      <c r="P1987">
        <v>125</v>
      </c>
      <c r="Q1987" t="s">
        <v>82</v>
      </c>
      <c r="R1987">
        <v>0</v>
      </c>
      <c r="S1987">
        <v>0</v>
      </c>
      <c r="T1987">
        <v>-40</v>
      </c>
      <c r="U1987">
        <v>47</v>
      </c>
      <c r="V1987">
        <v>0</v>
      </c>
      <c r="W1987">
        <v>27</v>
      </c>
      <c r="X1987">
        <v>27</v>
      </c>
      <c r="Y1987">
        <v>1</v>
      </c>
      <c r="Z1987">
        <v>1</v>
      </c>
      <c r="AA1987">
        <v>24</v>
      </c>
      <c r="AB1987">
        <v>2</v>
      </c>
      <c r="AC1987">
        <v>5</v>
      </c>
      <c r="AD1987">
        <v>3.2790000400000001</v>
      </c>
      <c r="AE1987">
        <v>1</v>
      </c>
      <c r="AF1987">
        <v>16</v>
      </c>
      <c r="AG1987">
        <v>3.2730000000000001</v>
      </c>
      <c r="AH1987">
        <v>6</v>
      </c>
      <c r="AI1987">
        <v>24</v>
      </c>
      <c r="AJ1987">
        <v>1</v>
      </c>
      <c r="AK1987">
        <v>18</v>
      </c>
      <c r="AL1987">
        <v>49</v>
      </c>
      <c r="AM1987" t="s">
        <v>43</v>
      </c>
      <c r="AN1987" t="str">
        <f>HYPERLINK("https://www.google.com/maps?q=11.05443096,79.06302643","Open Location")</f>
        <v>Open Location</v>
      </c>
    </row>
    <row r="1988" spans="1:40" x14ac:dyDescent="0.3">
      <c r="A1988" s="1">
        <v>46210.769675925927</v>
      </c>
      <c r="B1988" t="s">
        <v>40</v>
      </c>
      <c r="C1988" t="s">
        <v>41</v>
      </c>
      <c r="D1988" s="1">
        <v>46210.772372685184</v>
      </c>
      <c r="E1988" t="s">
        <v>42</v>
      </c>
      <c r="F1988" t="s">
        <v>83</v>
      </c>
      <c r="G1988">
        <v>0</v>
      </c>
      <c r="H1988">
        <v>33204</v>
      </c>
      <c r="I1988" t="s">
        <v>43</v>
      </c>
      <c r="J1988">
        <v>38</v>
      </c>
      <c r="K1988">
        <v>2</v>
      </c>
      <c r="L1988">
        <v>98</v>
      </c>
      <c r="M1988">
        <v>628.29998779000005</v>
      </c>
      <c r="N1988" t="s">
        <v>85</v>
      </c>
      <c r="O1988" t="s">
        <v>82</v>
      </c>
      <c r="P1988">
        <v>125</v>
      </c>
      <c r="Q1988" t="s">
        <v>82</v>
      </c>
      <c r="R1988">
        <v>0</v>
      </c>
      <c r="S1988">
        <v>0</v>
      </c>
      <c r="T1988">
        <v>-40</v>
      </c>
      <c r="U1988">
        <v>47</v>
      </c>
      <c r="V1988">
        <v>0</v>
      </c>
      <c r="W1988">
        <v>27</v>
      </c>
      <c r="X1988">
        <v>27</v>
      </c>
      <c r="Y1988">
        <v>1</v>
      </c>
      <c r="Z1988">
        <v>1</v>
      </c>
      <c r="AA1988">
        <v>24</v>
      </c>
      <c r="AB1988">
        <v>2</v>
      </c>
      <c r="AC1988">
        <v>5</v>
      </c>
      <c r="AD1988">
        <v>3.2780001200000002</v>
      </c>
      <c r="AE1988">
        <v>1</v>
      </c>
      <c r="AF1988">
        <v>1</v>
      </c>
      <c r="AG1988">
        <v>3.2730000000000001</v>
      </c>
      <c r="AH1988">
        <v>4</v>
      </c>
      <c r="AI1988">
        <v>24</v>
      </c>
      <c r="AJ1988">
        <v>1</v>
      </c>
      <c r="AK1988">
        <v>18</v>
      </c>
      <c r="AL1988">
        <v>49</v>
      </c>
      <c r="AM1988" t="s">
        <v>43</v>
      </c>
      <c r="AN1988" t="s">
        <v>43</v>
      </c>
    </row>
    <row r="1989" spans="1:40" x14ac:dyDescent="0.3">
      <c r="A1989" s="1">
        <v>46210.769560185188</v>
      </c>
      <c r="B1989" t="s">
        <v>40</v>
      </c>
      <c r="C1989" t="s">
        <v>41</v>
      </c>
      <c r="D1989" s="1">
        <v>46210.772337962961</v>
      </c>
      <c r="E1989" t="s">
        <v>42</v>
      </c>
      <c r="F1989" t="s">
        <v>83</v>
      </c>
      <c r="G1989">
        <v>0</v>
      </c>
      <c r="H1989">
        <v>33204</v>
      </c>
      <c r="I1989" t="s">
        <v>941</v>
      </c>
      <c r="J1989">
        <v>38</v>
      </c>
      <c r="K1989">
        <v>2</v>
      </c>
      <c r="L1989">
        <v>98</v>
      </c>
      <c r="M1989">
        <v>627.90002441000001</v>
      </c>
      <c r="N1989" t="s">
        <v>85</v>
      </c>
      <c r="O1989" t="s">
        <v>82</v>
      </c>
      <c r="P1989">
        <v>125</v>
      </c>
      <c r="Q1989" t="s">
        <v>82</v>
      </c>
      <c r="R1989">
        <v>0</v>
      </c>
      <c r="S1989">
        <v>0</v>
      </c>
      <c r="T1989">
        <v>-40</v>
      </c>
      <c r="U1989">
        <v>47</v>
      </c>
      <c r="V1989">
        <v>0</v>
      </c>
      <c r="W1989">
        <v>27</v>
      </c>
      <c r="X1989">
        <v>27</v>
      </c>
      <c r="Y1989">
        <v>1</v>
      </c>
      <c r="Z1989">
        <v>1</v>
      </c>
      <c r="AA1989">
        <v>24</v>
      </c>
      <c r="AB1989">
        <v>2</v>
      </c>
      <c r="AC1989">
        <v>5</v>
      </c>
      <c r="AD1989">
        <v>3.2780001200000002</v>
      </c>
      <c r="AE1989">
        <v>1</v>
      </c>
      <c r="AF1989">
        <v>1</v>
      </c>
      <c r="AG1989">
        <v>3.2730000000000001</v>
      </c>
      <c r="AH1989">
        <v>2</v>
      </c>
      <c r="AI1989">
        <v>46</v>
      </c>
      <c r="AJ1989">
        <v>1</v>
      </c>
      <c r="AK1989">
        <v>18</v>
      </c>
      <c r="AL1989">
        <v>49</v>
      </c>
      <c r="AM1989" t="s">
        <v>43</v>
      </c>
      <c r="AN1989" t="str">
        <f>HYPERLINK("https://www.google.com/maps?q=11.05443382,79.06302643","Open Location")</f>
        <v>Open Location</v>
      </c>
    </row>
    <row r="1990" spans="1:40" x14ac:dyDescent="0.3">
      <c r="A1990" s="1">
        <v>46210.769444444442</v>
      </c>
      <c r="B1990" t="s">
        <v>40</v>
      </c>
      <c r="C1990" t="s">
        <v>41</v>
      </c>
      <c r="D1990" s="1">
        <v>46210.772407407407</v>
      </c>
      <c r="E1990" t="s">
        <v>42</v>
      </c>
      <c r="F1990" t="s">
        <v>83</v>
      </c>
      <c r="G1990">
        <v>0</v>
      </c>
      <c r="H1990">
        <v>33204</v>
      </c>
      <c r="I1990" t="s">
        <v>43</v>
      </c>
      <c r="J1990">
        <v>38</v>
      </c>
      <c r="K1990">
        <v>2</v>
      </c>
      <c r="L1990">
        <v>98</v>
      </c>
      <c r="M1990">
        <v>628</v>
      </c>
      <c r="N1990" t="s">
        <v>85</v>
      </c>
      <c r="O1990" t="s">
        <v>82</v>
      </c>
      <c r="P1990">
        <v>125</v>
      </c>
      <c r="Q1990" t="s">
        <v>82</v>
      </c>
      <c r="R1990">
        <v>0</v>
      </c>
      <c r="S1990">
        <v>0</v>
      </c>
      <c r="T1990">
        <v>-40</v>
      </c>
      <c r="U1990">
        <v>48</v>
      </c>
      <c r="V1990">
        <v>0</v>
      </c>
      <c r="W1990">
        <v>27</v>
      </c>
      <c r="X1990">
        <v>27</v>
      </c>
      <c r="Y1990">
        <v>1</v>
      </c>
      <c r="Z1990">
        <v>1</v>
      </c>
      <c r="AA1990">
        <v>24</v>
      </c>
      <c r="AB1990">
        <v>2</v>
      </c>
      <c r="AC1990">
        <v>5</v>
      </c>
      <c r="AD1990">
        <v>3.2780001200000002</v>
      </c>
      <c r="AE1990">
        <v>1</v>
      </c>
      <c r="AF1990">
        <v>1</v>
      </c>
      <c r="AG1990">
        <v>3.2730000000000001</v>
      </c>
      <c r="AH1990">
        <v>2</v>
      </c>
      <c r="AI1990">
        <v>46</v>
      </c>
      <c r="AJ1990">
        <v>1</v>
      </c>
      <c r="AK1990">
        <v>18</v>
      </c>
      <c r="AL1990">
        <v>49</v>
      </c>
      <c r="AM1990" t="s">
        <v>43</v>
      </c>
      <c r="AN1990" t="s">
        <v>43</v>
      </c>
    </row>
    <row r="1991" spans="1:40" x14ac:dyDescent="0.3">
      <c r="A1991" s="1">
        <v>46210.769328703704</v>
      </c>
      <c r="B1991" t="s">
        <v>40</v>
      </c>
      <c r="C1991" t="s">
        <v>41</v>
      </c>
      <c r="D1991" s="1">
        <v>46210.772175925929</v>
      </c>
      <c r="E1991" t="s">
        <v>42</v>
      </c>
      <c r="F1991" t="s">
        <v>83</v>
      </c>
      <c r="G1991">
        <v>0</v>
      </c>
      <c r="H1991" t="s">
        <v>43</v>
      </c>
      <c r="I1991" t="s">
        <v>941</v>
      </c>
      <c r="J1991">
        <v>38</v>
      </c>
      <c r="K1991">
        <v>2</v>
      </c>
      <c r="L1991">
        <v>98</v>
      </c>
      <c r="M1991">
        <v>628.79998779000005</v>
      </c>
      <c r="N1991" t="s">
        <v>85</v>
      </c>
      <c r="O1991" t="s">
        <v>82</v>
      </c>
      <c r="P1991">
        <v>125</v>
      </c>
      <c r="Q1991" t="s">
        <v>82</v>
      </c>
      <c r="R1991">
        <v>0</v>
      </c>
      <c r="S1991">
        <v>0</v>
      </c>
      <c r="T1991">
        <v>-40</v>
      </c>
      <c r="U1991">
        <v>48</v>
      </c>
      <c r="V1991">
        <v>0</v>
      </c>
      <c r="W1991">
        <v>27</v>
      </c>
      <c r="X1991">
        <v>27</v>
      </c>
      <c r="Y1991">
        <v>1</v>
      </c>
      <c r="Z1991">
        <v>1</v>
      </c>
      <c r="AA1991">
        <v>24</v>
      </c>
      <c r="AB1991">
        <v>2</v>
      </c>
      <c r="AC1991">
        <v>5</v>
      </c>
      <c r="AD1991">
        <v>3.2780001200000002</v>
      </c>
      <c r="AE1991">
        <v>1</v>
      </c>
      <c r="AF1991">
        <v>1</v>
      </c>
      <c r="AG1991">
        <v>3.2720000699999998</v>
      </c>
      <c r="AH1991">
        <v>6</v>
      </c>
      <c r="AI1991">
        <v>24</v>
      </c>
      <c r="AJ1991">
        <v>1</v>
      </c>
      <c r="AK1991">
        <v>18</v>
      </c>
      <c r="AL1991">
        <v>49</v>
      </c>
      <c r="AM1991" t="s">
        <v>43</v>
      </c>
      <c r="AN1991" t="str">
        <f>HYPERLINK("https://www.google.com/maps?q=11.05443382,79.06302643","Open Location")</f>
        <v>Open Location</v>
      </c>
    </row>
    <row r="1992" spans="1:40" x14ac:dyDescent="0.3">
      <c r="A1992" s="1">
        <v>46210.769212962965</v>
      </c>
      <c r="B1992" t="s">
        <v>40</v>
      </c>
      <c r="C1992" t="s">
        <v>41</v>
      </c>
      <c r="D1992" s="1">
        <v>46210.772175925929</v>
      </c>
      <c r="E1992" t="s">
        <v>42</v>
      </c>
      <c r="F1992" t="s">
        <v>83</v>
      </c>
      <c r="G1992">
        <v>0</v>
      </c>
      <c r="H1992">
        <v>33204</v>
      </c>
      <c r="I1992" t="s">
        <v>942</v>
      </c>
      <c r="J1992">
        <v>38</v>
      </c>
      <c r="K1992">
        <v>2</v>
      </c>
      <c r="L1992">
        <v>98</v>
      </c>
      <c r="M1992">
        <v>628.59997558999999</v>
      </c>
      <c r="N1992" t="s">
        <v>85</v>
      </c>
      <c r="O1992" t="s">
        <v>82</v>
      </c>
      <c r="P1992">
        <v>125</v>
      </c>
      <c r="Q1992" t="s">
        <v>82</v>
      </c>
      <c r="R1992">
        <v>0</v>
      </c>
      <c r="S1992">
        <v>0</v>
      </c>
      <c r="T1992">
        <v>-40</v>
      </c>
      <c r="U1992">
        <v>48</v>
      </c>
      <c r="V1992">
        <v>0</v>
      </c>
      <c r="W1992">
        <v>27</v>
      </c>
      <c r="X1992">
        <v>27</v>
      </c>
      <c r="Y1992">
        <v>1</v>
      </c>
      <c r="Z1992">
        <v>1</v>
      </c>
      <c r="AA1992">
        <v>24</v>
      </c>
      <c r="AB1992">
        <v>2</v>
      </c>
      <c r="AC1992">
        <v>5</v>
      </c>
      <c r="AD1992">
        <v>3.2780001200000002</v>
      </c>
      <c r="AE1992">
        <v>1</v>
      </c>
      <c r="AF1992">
        <v>1</v>
      </c>
      <c r="AG1992">
        <v>3.2720000699999998</v>
      </c>
      <c r="AH1992">
        <v>4</v>
      </c>
      <c r="AI1992">
        <v>24</v>
      </c>
      <c r="AJ1992">
        <v>1</v>
      </c>
      <c r="AK1992">
        <v>18</v>
      </c>
      <c r="AL1992">
        <v>48</v>
      </c>
      <c r="AM1992" t="s">
        <v>43</v>
      </c>
      <c r="AN1992" t="str">
        <f>HYPERLINK("https://www.google.com/maps?q=11.05443382,79.06303406","Open Location")</f>
        <v>Open Location</v>
      </c>
    </row>
    <row r="1993" spans="1:40" x14ac:dyDescent="0.3">
      <c r="A1993" s="1">
        <v>46210.769097222219</v>
      </c>
      <c r="B1993" t="s">
        <v>40</v>
      </c>
      <c r="C1993" t="s">
        <v>41</v>
      </c>
      <c r="D1993" s="1">
        <v>46210.771886574075</v>
      </c>
      <c r="E1993" t="s">
        <v>42</v>
      </c>
      <c r="F1993" t="s">
        <v>83</v>
      </c>
      <c r="G1993">
        <v>0</v>
      </c>
      <c r="H1993">
        <v>33204</v>
      </c>
      <c r="I1993" t="s">
        <v>943</v>
      </c>
      <c r="J1993">
        <v>38</v>
      </c>
      <c r="K1993">
        <v>2</v>
      </c>
      <c r="L1993">
        <v>98</v>
      </c>
      <c r="M1993">
        <v>628.29998779000005</v>
      </c>
      <c r="N1993" t="s">
        <v>85</v>
      </c>
      <c r="O1993" t="s">
        <v>82</v>
      </c>
      <c r="P1993">
        <v>125</v>
      </c>
      <c r="Q1993" t="s">
        <v>82</v>
      </c>
      <c r="R1993">
        <v>0</v>
      </c>
      <c r="S1993">
        <v>0</v>
      </c>
      <c r="T1993">
        <v>-40</v>
      </c>
      <c r="U1993">
        <v>48</v>
      </c>
      <c r="V1993">
        <v>0</v>
      </c>
      <c r="W1993">
        <v>27</v>
      </c>
      <c r="X1993">
        <v>27</v>
      </c>
      <c r="Y1993">
        <v>1</v>
      </c>
      <c r="Z1993">
        <v>1</v>
      </c>
      <c r="AA1993">
        <v>24</v>
      </c>
      <c r="AB1993">
        <v>2</v>
      </c>
      <c r="AC1993">
        <v>5</v>
      </c>
      <c r="AD1993">
        <v>3.2780001200000002</v>
      </c>
      <c r="AE1993">
        <v>1</v>
      </c>
      <c r="AF1993">
        <v>16</v>
      </c>
      <c r="AG1993">
        <v>3.2720000699999998</v>
      </c>
      <c r="AH1993">
        <v>4</v>
      </c>
      <c r="AI1993">
        <v>17</v>
      </c>
      <c r="AJ1993">
        <v>1</v>
      </c>
      <c r="AK1993">
        <v>18</v>
      </c>
      <c r="AL1993">
        <v>48</v>
      </c>
      <c r="AM1993" t="s">
        <v>43</v>
      </c>
      <c r="AN1993" t="str">
        <f>HYPERLINK("https://www.google.com/maps?q=11.05443096,79.06303406","Open Location")</f>
        <v>Open Location</v>
      </c>
    </row>
    <row r="1994" spans="1:40" x14ac:dyDescent="0.3">
      <c r="A1994" s="1">
        <v>46210.76898148148</v>
      </c>
      <c r="B1994" t="s">
        <v>40</v>
      </c>
      <c r="C1994" t="s">
        <v>41</v>
      </c>
      <c r="D1994" s="1">
        <v>46210.771921296298</v>
      </c>
      <c r="E1994" t="s">
        <v>42</v>
      </c>
      <c r="F1994" t="s">
        <v>83</v>
      </c>
      <c r="G1994">
        <v>0</v>
      </c>
      <c r="H1994" t="s">
        <v>43</v>
      </c>
      <c r="I1994" t="s">
        <v>944</v>
      </c>
      <c r="J1994">
        <v>38</v>
      </c>
      <c r="K1994">
        <v>2</v>
      </c>
      <c r="L1994">
        <v>98</v>
      </c>
      <c r="M1994">
        <v>628.59997558999999</v>
      </c>
      <c r="N1994" t="s">
        <v>85</v>
      </c>
      <c r="O1994" t="s">
        <v>82</v>
      </c>
      <c r="P1994">
        <v>125</v>
      </c>
      <c r="Q1994" t="s">
        <v>82</v>
      </c>
      <c r="R1994">
        <v>0</v>
      </c>
      <c r="S1994">
        <v>0</v>
      </c>
      <c r="T1994">
        <v>-40</v>
      </c>
      <c r="U1994">
        <v>48</v>
      </c>
      <c r="V1994">
        <v>0</v>
      </c>
      <c r="W1994">
        <v>27</v>
      </c>
      <c r="X1994">
        <v>27</v>
      </c>
      <c r="Y1994">
        <v>1</v>
      </c>
      <c r="Z1994">
        <v>1</v>
      </c>
      <c r="AA1994">
        <v>24</v>
      </c>
      <c r="AB1994">
        <v>2</v>
      </c>
      <c r="AC1994">
        <v>5</v>
      </c>
      <c r="AD1994">
        <v>3.27699995</v>
      </c>
      <c r="AE1994">
        <v>1</v>
      </c>
      <c r="AF1994">
        <v>1</v>
      </c>
      <c r="AG1994">
        <v>3.2720000699999998</v>
      </c>
      <c r="AH1994">
        <v>2</v>
      </c>
      <c r="AI1994">
        <v>46</v>
      </c>
      <c r="AJ1994">
        <v>1</v>
      </c>
      <c r="AK1994">
        <v>17</v>
      </c>
      <c r="AL1994">
        <v>48</v>
      </c>
      <c r="AM1994" t="s">
        <v>43</v>
      </c>
      <c r="AN1994" t="str">
        <f>HYPERLINK("https://www.google.com/maps?q=11.05442715,79.06302643","Open Location")</f>
        <v>Open Location</v>
      </c>
    </row>
    <row r="1995" spans="1:40" x14ac:dyDescent="0.3">
      <c r="A1995" s="1">
        <v>46210.768865740742</v>
      </c>
      <c r="B1995" t="s">
        <v>40</v>
      </c>
      <c r="C1995" t="s">
        <v>41</v>
      </c>
      <c r="D1995" s="1">
        <v>46210.771689814814</v>
      </c>
      <c r="E1995" t="s">
        <v>42</v>
      </c>
      <c r="F1995" t="s">
        <v>83</v>
      </c>
      <c r="G1995">
        <v>0</v>
      </c>
      <c r="H1995">
        <v>33204</v>
      </c>
      <c r="I1995" t="s">
        <v>43</v>
      </c>
      <c r="J1995">
        <v>38</v>
      </c>
      <c r="K1995">
        <v>2</v>
      </c>
      <c r="L1995">
        <v>98</v>
      </c>
      <c r="M1995">
        <v>628.59997558999999</v>
      </c>
      <c r="N1995" t="s">
        <v>85</v>
      </c>
      <c r="O1995" t="s">
        <v>82</v>
      </c>
      <c r="P1995">
        <v>125</v>
      </c>
      <c r="Q1995" t="s">
        <v>82</v>
      </c>
      <c r="R1995">
        <v>0</v>
      </c>
      <c r="S1995">
        <v>0</v>
      </c>
      <c r="T1995">
        <v>-40</v>
      </c>
      <c r="U1995">
        <v>48</v>
      </c>
      <c r="V1995">
        <v>0</v>
      </c>
      <c r="W1995">
        <v>27</v>
      </c>
      <c r="X1995">
        <v>27</v>
      </c>
      <c r="Y1995">
        <v>1</v>
      </c>
      <c r="Z1995">
        <v>1</v>
      </c>
      <c r="AA1995">
        <v>24</v>
      </c>
      <c r="AB1995">
        <v>2</v>
      </c>
      <c r="AC1995">
        <v>5</v>
      </c>
      <c r="AD1995">
        <v>3.27699995</v>
      </c>
      <c r="AE1995">
        <v>1</v>
      </c>
      <c r="AF1995">
        <v>1</v>
      </c>
      <c r="AG1995">
        <v>3.27099991</v>
      </c>
      <c r="AH1995">
        <v>6</v>
      </c>
      <c r="AI1995">
        <v>24</v>
      </c>
      <c r="AJ1995">
        <v>1</v>
      </c>
      <c r="AK1995">
        <v>17</v>
      </c>
      <c r="AL1995">
        <v>48</v>
      </c>
      <c r="AM1995" t="s">
        <v>43</v>
      </c>
      <c r="AN1995" t="s">
        <v>43</v>
      </c>
    </row>
    <row r="1996" spans="1:40" x14ac:dyDescent="0.3">
      <c r="A1996" s="1">
        <v>46210.768750000003</v>
      </c>
      <c r="B1996" t="s">
        <v>40</v>
      </c>
      <c r="C1996" t="s">
        <v>41</v>
      </c>
      <c r="D1996" s="1">
        <v>46210.771678240744</v>
      </c>
      <c r="E1996" t="s">
        <v>42</v>
      </c>
      <c r="F1996" t="s">
        <v>83</v>
      </c>
      <c r="G1996">
        <v>0</v>
      </c>
      <c r="H1996">
        <v>33204</v>
      </c>
      <c r="I1996" t="s">
        <v>945</v>
      </c>
      <c r="J1996">
        <v>38</v>
      </c>
      <c r="K1996">
        <v>2</v>
      </c>
      <c r="L1996">
        <v>98</v>
      </c>
      <c r="M1996">
        <v>628.70001220999995</v>
      </c>
      <c r="N1996" t="s">
        <v>85</v>
      </c>
      <c r="O1996" t="s">
        <v>82</v>
      </c>
      <c r="P1996">
        <v>125</v>
      </c>
      <c r="Q1996" t="s">
        <v>82</v>
      </c>
      <c r="R1996">
        <v>0</v>
      </c>
      <c r="S1996">
        <v>0</v>
      </c>
      <c r="T1996">
        <v>-40</v>
      </c>
      <c r="U1996">
        <v>48</v>
      </c>
      <c r="V1996">
        <v>0</v>
      </c>
      <c r="W1996">
        <v>27</v>
      </c>
      <c r="X1996">
        <v>27</v>
      </c>
      <c r="Y1996">
        <v>1</v>
      </c>
      <c r="Z1996">
        <v>1</v>
      </c>
      <c r="AA1996">
        <v>24</v>
      </c>
      <c r="AB1996">
        <v>2</v>
      </c>
      <c r="AC1996">
        <v>5</v>
      </c>
      <c r="AD1996">
        <v>3.27699995</v>
      </c>
      <c r="AE1996">
        <v>1</v>
      </c>
      <c r="AF1996">
        <v>1</v>
      </c>
      <c r="AG1996">
        <v>3.27099991</v>
      </c>
      <c r="AH1996">
        <v>4</v>
      </c>
      <c r="AI1996">
        <v>24</v>
      </c>
      <c r="AJ1996">
        <v>1</v>
      </c>
      <c r="AK1996">
        <v>17</v>
      </c>
      <c r="AL1996">
        <v>48</v>
      </c>
      <c r="AM1996" t="s">
        <v>43</v>
      </c>
      <c r="AN1996" t="str">
        <f>HYPERLINK("https://www.google.com/maps?q=11.05442429,79.06303406","Open Location")</f>
        <v>Open Location</v>
      </c>
    </row>
    <row r="1997" spans="1:40" x14ac:dyDescent="0.3">
      <c r="A1997" s="1">
        <v>46210.768634259257</v>
      </c>
      <c r="B1997" t="s">
        <v>40</v>
      </c>
      <c r="C1997" t="s">
        <v>41</v>
      </c>
      <c r="D1997" s="1">
        <v>46210.771539351852</v>
      </c>
      <c r="E1997" t="s">
        <v>42</v>
      </c>
      <c r="F1997" t="s">
        <v>83</v>
      </c>
      <c r="G1997">
        <v>0</v>
      </c>
      <c r="H1997">
        <v>33204</v>
      </c>
      <c r="I1997" t="s">
        <v>945</v>
      </c>
      <c r="J1997">
        <v>38</v>
      </c>
      <c r="K1997">
        <v>2</v>
      </c>
      <c r="L1997">
        <v>98</v>
      </c>
      <c r="M1997">
        <v>627.59997558999999</v>
      </c>
      <c r="N1997" t="s">
        <v>85</v>
      </c>
      <c r="O1997" t="s">
        <v>82</v>
      </c>
      <c r="P1997">
        <v>125</v>
      </c>
      <c r="Q1997" t="s">
        <v>82</v>
      </c>
      <c r="R1997">
        <v>0</v>
      </c>
      <c r="S1997">
        <v>0</v>
      </c>
      <c r="T1997">
        <v>-40</v>
      </c>
      <c r="U1997">
        <v>48</v>
      </c>
      <c r="V1997">
        <v>0</v>
      </c>
      <c r="W1997">
        <v>27</v>
      </c>
      <c r="X1997">
        <v>27</v>
      </c>
      <c r="Y1997">
        <v>1</v>
      </c>
      <c r="Z1997">
        <v>1</v>
      </c>
      <c r="AA1997">
        <v>24</v>
      </c>
      <c r="AB1997">
        <v>2</v>
      </c>
      <c r="AC1997">
        <v>5</v>
      </c>
      <c r="AD1997">
        <v>3.27699995</v>
      </c>
      <c r="AE1997">
        <v>5</v>
      </c>
      <c r="AF1997">
        <v>38</v>
      </c>
      <c r="AG1997">
        <v>3.27099991</v>
      </c>
      <c r="AH1997">
        <v>2</v>
      </c>
      <c r="AI1997">
        <v>46</v>
      </c>
      <c r="AJ1997">
        <v>1</v>
      </c>
      <c r="AK1997">
        <v>17</v>
      </c>
      <c r="AL1997">
        <v>48</v>
      </c>
      <c r="AM1997" t="s">
        <v>43</v>
      </c>
      <c r="AN1997" t="str">
        <f>HYPERLINK("https://www.google.com/maps?q=11.05442429,79.06303406","Open Location")</f>
        <v>Open Location</v>
      </c>
    </row>
    <row r="1998" spans="1:40" x14ac:dyDescent="0.3">
      <c r="A1998" s="1">
        <v>46210.768518518518</v>
      </c>
      <c r="B1998" t="s">
        <v>40</v>
      </c>
      <c r="C1998" t="s">
        <v>41</v>
      </c>
      <c r="D1998" s="1">
        <v>46210.77134259259</v>
      </c>
      <c r="E1998" t="s">
        <v>42</v>
      </c>
      <c r="F1998" t="s">
        <v>83</v>
      </c>
      <c r="G1998">
        <v>0</v>
      </c>
      <c r="H1998">
        <v>33204</v>
      </c>
      <c r="I1998" t="s">
        <v>946</v>
      </c>
      <c r="J1998">
        <v>38</v>
      </c>
      <c r="K1998">
        <v>2</v>
      </c>
      <c r="L1998">
        <v>98</v>
      </c>
      <c r="M1998">
        <v>628.20001220999995</v>
      </c>
      <c r="N1998" t="s">
        <v>85</v>
      </c>
      <c r="O1998" t="s">
        <v>82</v>
      </c>
      <c r="P1998">
        <v>125</v>
      </c>
      <c r="Q1998" t="s">
        <v>82</v>
      </c>
      <c r="R1998">
        <v>0</v>
      </c>
      <c r="S1998">
        <v>0</v>
      </c>
      <c r="T1998">
        <v>-40</v>
      </c>
      <c r="U1998">
        <v>48</v>
      </c>
      <c r="V1998">
        <v>0</v>
      </c>
      <c r="W1998">
        <v>27</v>
      </c>
      <c r="X1998">
        <v>27</v>
      </c>
      <c r="Y1998">
        <v>1</v>
      </c>
      <c r="Z1998">
        <v>1</v>
      </c>
      <c r="AA1998">
        <v>24</v>
      </c>
      <c r="AB1998">
        <v>2</v>
      </c>
      <c r="AC1998">
        <v>5</v>
      </c>
      <c r="AD1998">
        <v>3.2760000200000001</v>
      </c>
      <c r="AE1998">
        <v>1</v>
      </c>
      <c r="AF1998">
        <v>1</v>
      </c>
      <c r="AG1998">
        <v>3.2699999800000001</v>
      </c>
      <c r="AH1998">
        <v>6</v>
      </c>
      <c r="AI1998">
        <v>24</v>
      </c>
      <c r="AJ1998">
        <v>1</v>
      </c>
      <c r="AK1998">
        <v>17</v>
      </c>
      <c r="AL1998">
        <v>48</v>
      </c>
      <c r="AM1998" t="s">
        <v>43</v>
      </c>
      <c r="AN1998" t="str">
        <f>HYPERLINK("https://www.google.com/maps?q=11.05442524,79.06303406","Open Location")</f>
        <v>Open Location</v>
      </c>
    </row>
    <row r="1999" spans="1:40" x14ac:dyDescent="0.3">
      <c r="A1999" s="1">
        <v>46210.76840277778</v>
      </c>
      <c r="B1999" t="s">
        <v>40</v>
      </c>
      <c r="C1999" t="s">
        <v>41</v>
      </c>
      <c r="D1999" s="1">
        <v>46210.771122685182</v>
      </c>
      <c r="E1999" t="s">
        <v>42</v>
      </c>
      <c r="F1999" t="s">
        <v>83</v>
      </c>
      <c r="G1999">
        <v>0</v>
      </c>
      <c r="H1999">
        <v>33204</v>
      </c>
      <c r="I1999" t="s">
        <v>947</v>
      </c>
      <c r="J1999">
        <v>38</v>
      </c>
      <c r="K1999">
        <v>4</v>
      </c>
      <c r="L1999">
        <v>98</v>
      </c>
      <c r="M1999">
        <v>627.5</v>
      </c>
      <c r="N1999" t="s">
        <v>85</v>
      </c>
      <c r="O1999" t="s">
        <v>82</v>
      </c>
      <c r="P1999">
        <v>125</v>
      </c>
      <c r="Q1999" t="s">
        <v>82</v>
      </c>
      <c r="R1999">
        <v>0</v>
      </c>
      <c r="S1999">
        <v>0</v>
      </c>
      <c r="T1999">
        <v>-40</v>
      </c>
      <c r="U1999">
        <v>48</v>
      </c>
      <c r="V1999">
        <v>0</v>
      </c>
      <c r="W1999">
        <v>27</v>
      </c>
      <c r="X1999">
        <v>27</v>
      </c>
      <c r="Y1999">
        <v>1</v>
      </c>
      <c r="Z1999">
        <v>1</v>
      </c>
      <c r="AA1999">
        <v>24</v>
      </c>
      <c r="AB1999">
        <v>2</v>
      </c>
      <c r="AC1999">
        <v>5</v>
      </c>
      <c r="AD1999">
        <v>3.2760000200000001</v>
      </c>
      <c r="AE1999">
        <v>1</v>
      </c>
      <c r="AF1999">
        <v>1</v>
      </c>
      <c r="AG1999">
        <v>3.2699999800000001</v>
      </c>
      <c r="AH1999">
        <v>4</v>
      </c>
      <c r="AI1999">
        <v>17</v>
      </c>
      <c r="AJ1999">
        <v>1</v>
      </c>
      <c r="AK1999">
        <v>17</v>
      </c>
      <c r="AL1999">
        <v>48</v>
      </c>
      <c r="AM1999" t="s">
        <v>43</v>
      </c>
      <c r="AN1999" t="str">
        <f>HYPERLINK("https://www.google.com/maps?q=11.0544281,79.06303406","Open Location")</f>
        <v>Open Location</v>
      </c>
    </row>
    <row r="2000" spans="1:40" x14ac:dyDescent="0.3">
      <c r="A2000" s="1">
        <v>46210.768287037034</v>
      </c>
      <c r="B2000" t="s">
        <v>40</v>
      </c>
      <c r="C2000" t="s">
        <v>41</v>
      </c>
      <c r="D2000" s="1">
        <v>46210.771249999998</v>
      </c>
      <c r="E2000" t="s">
        <v>42</v>
      </c>
      <c r="F2000" t="s">
        <v>83</v>
      </c>
      <c r="G2000">
        <v>0</v>
      </c>
      <c r="H2000">
        <v>33204</v>
      </c>
      <c r="I2000" t="s">
        <v>43</v>
      </c>
      <c r="J2000">
        <v>38</v>
      </c>
      <c r="K2000">
        <v>9</v>
      </c>
      <c r="L2000">
        <v>98</v>
      </c>
      <c r="M2000">
        <v>627.59997558999999</v>
      </c>
      <c r="N2000" t="s">
        <v>85</v>
      </c>
      <c r="O2000" t="s">
        <v>82</v>
      </c>
      <c r="P2000">
        <v>125</v>
      </c>
      <c r="Q2000" t="s">
        <v>82</v>
      </c>
      <c r="R2000">
        <v>0</v>
      </c>
      <c r="S2000">
        <v>0</v>
      </c>
      <c r="T2000">
        <v>-40</v>
      </c>
      <c r="U2000">
        <v>48</v>
      </c>
      <c r="V2000">
        <v>0</v>
      </c>
      <c r="W2000">
        <v>27</v>
      </c>
      <c r="X2000">
        <v>27</v>
      </c>
      <c r="Y2000">
        <v>1</v>
      </c>
      <c r="Z2000">
        <v>1</v>
      </c>
      <c r="AA2000">
        <v>24</v>
      </c>
      <c r="AB2000">
        <v>2</v>
      </c>
      <c r="AC2000">
        <v>5</v>
      </c>
      <c r="AD2000">
        <v>3.27399993</v>
      </c>
      <c r="AE2000">
        <v>1</v>
      </c>
      <c r="AF2000">
        <v>1</v>
      </c>
      <c r="AG2000">
        <v>3.2669999600000001</v>
      </c>
      <c r="AH2000">
        <v>7</v>
      </c>
      <c r="AI2000">
        <v>19</v>
      </c>
      <c r="AJ2000">
        <v>1</v>
      </c>
      <c r="AK2000">
        <v>17</v>
      </c>
      <c r="AL2000">
        <v>48</v>
      </c>
      <c r="AM2000" t="s">
        <v>43</v>
      </c>
      <c r="AN2000" t="s">
        <v>43</v>
      </c>
    </row>
    <row r="2001" spans="1:40" x14ac:dyDescent="0.3">
      <c r="A2001" s="1">
        <v>46210.768171296295</v>
      </c>
      <c r="B2001" t="s">
        <v>40</v>
      </c>
      <c r="C2001" t="s">
        <v>41</v>
      </c>
      <c r="D2001" s="1">
        <v>46210.770937499998</v>
      </c>
      <c r="E2001" t="s">
        <v>42</v>
      </c>
      <c r="F2001" t="s">
        <v>83</v>
      </c>
      <c r="G2001">
        <v>0</v>
      </c>
      <c r="H2001">
        <v>33204</v>
      </c>
      <c r="I2001" t="s">
        <v>43</v>
      </c>
      <c r="J2001">
        <v>38</v>
      </c>
      <c r="K2001">
        <v>9</v>
      </c>
      <c r="L2001">
        <v>98</v>
      </c>
      <c r="M2001">
        <v>627.29998779000005</v>
      </c>
      <c r="N2001" t="s">
        <v>85</v>
      </c>
      <c r="O2001" t="s">
        <v>82</v>
      </c>
      <c r="P2001">
        <v>125</v>
      </c>
      <c r="Q2001" t="s">
        <v>82</v>
      </c>
      <c r="R2001">
        <v>0</v>
      </c>
      <c r="S2001">
        <v>0</v>
      </c>
      <c r="T2001">
        <v>-40</v>
      </c>
      <c r="U2001">
        <v>48</v>
      </c>
      <c r="V2001">
        <v>0</v>
      </c>
      <c r="W2001">
        <v>27</v>
      </c>
      <c r="X2001">
        <v>27</v>
      </c>
      <c r="Y2001">
        <v>1</v>
      </c>
      <c r="Z2001">
        <v>1</v>
      </c>
      <c r="AA2001">
        <v>24</v>
      </c>
      <c r="AB2001">
        <v>2</v>
      </c>
      <c r="AC2001">
        <v>5</v>
      </c>
      <c r="AD2001">
        <v>3.27399993</v>
      </c>
      <c r="AE2001">
        <v>1</v>
      </c>
      <c r="AF2001">
        <v>1</v>
      </c>
      <c r="AG2001">
        <v>3.26799989</v>
      </c>
      <c r="AH2001">
        <v>4</v>
      </c>
      <c r="AI2001">
        <v>24</v>
      </c>
      <c r="AJ2001">
        <v>1</v>
      </c>
      <c r="AK2001">
        <v>17</v>
      </c>
      <c r="AL2001">
        <v>48</v>
      </c>
      <c r="AM2001" t="s">
        <v>43</v>
      </c>
      <c r="AN2001" t="s">
        <v>43</v>
      </c>
    </row>
    <row r="2002" spans="1:40" x14ac:dyDescent="0.3">
      <c r="A2002" s="1">
        <v>46210.768055555556</v>
      </c>
      <c r="B2002" t="s">
        <v>40</v>
      </c>
      <c r="C2002" t="s">
        <v>41</v>
      </c>
      <c r="D2002" s="1">
        <v>46210.770949074074</v>
      </c>
      <c r="E2002" t="s">
        <v>42</v>
      </c>
      <c r="F2002" t="s">
        <v>83</v>
      </c>
      <c r="G2002">
        <v>0</v>
      </c>
      <c r="H2002">
        <v>33204</v>
      </c>
      <c r="I2002" t="s">
        <v>948</v>
      </c>
      <c r="J2002">
        <v>38</v>
      </c>
      <c r="K2002">
        <v>2</v>
      </c>
      <c r="L2002">
        <v>98</v>
      </c>
      <c r="M2002">
        <v>627.40002441000001</v>
      </c>
      <c r="N2002" t="s">
        <v>85</v>
      </c>
      <c r="O2002" t="s">
        <v>82</v>
      </c>
      <c r="P2002">
        <v>125</v>
      </c>
      <c r="Q2002" t="s">
        <v>82</v>
      </c>
      <c r="R2002">
        <v>0</v>
      </c>
      <c r="S2002">
        <v>0</v>
      </c>
      <c r="T2002">
        <v>-40</v>
      </c>
      <c r="U2002">
        <v>47</v>
      </c>
      <c r="V2002">
        <v>0</v>
      </c>
      <c r="W2002">
        <v>27</v>
      </c>
      <c r="X2002">
        <v>27</v>
      </c>
      <c r="Y2002">
        <v>1</v>
      </c>
      <c r="Z2002">
        <v>1</v>
      </c>
      <c r="AA2002">
        <v>24</v>
      </c>
      <c r="AB2002">
        <v>2</v>
      </c>
      <c r="AC2002">
        <v>5</v>
      </c>
      <c r="AD2002">
        <v>3.2760000200000001</v>
      </c>
      <c r="AE2002">
        <v>5</v>
      </c>
      <c r="AF2002">
        <v>38</v>
      </c>
      <c r="AG2002">
        <v>3.2690000499999998</v>
      </c>
      <c r="AH2002">
        <v>6</v>
      </c>
      <c r="AI2002">
        <v>24</v>
      </c>
      <c r="AJ2002">
        <v>1</v>
      </c>
      <c r="AK2002">
        <v>17</v>
      </c>
      <c r="AL2002">
        <v>48</v>
      </c>
      <c r="AM2002" t="s">
        <v>43</v>
      </c>
      <c r="AN2002" t="str">
        <f>HYPERLINK("https://www.google.com/maps?q=11.0544281,79.06302643","Open Location")</f>
        <v>Open Location</v>
      </c>
    </row>
    <row r="2003" spans="1:40" x14ac:dyDescent="0.3">
      <c r="A2003" s="1">
        <v>46210.767939814818</v>
      </c>
      <c r="B2003" t="s">
        <v>40</v>
      </c>
      <c r="C2003" t="s">
        <v>41</v>
      </c>
      <c r="D2003" s="1">
        <v>46210.770601851851</v>
      </c>
      <c r="E2003" t="s">
        <v>42</v>
      </c>
      <c r="F2003" t="s">
        <v>83</v>
      </c>
      <c r="G2003">
        <v>0</v>
      </c>
      <c r="H2003">
        <v>33204</v>
      </c>
      <c r="I2003" t="s">
        <v>944</v>
      </c>
      <c r="J2003">
        <v>38</v>
      </c>
      <c r="K2003">
        <v>2</v>
      </c>
      <c r="L2003">
        <v>98</v>
      </c>
      <c r="M2003">
        <v>628.20001220999995</v>
      </c>
      <c r="N2003" t="s">
        <v>85</v>
      </c>
      <c r="O2003" t="s">
        <v>82</v>
      </c>
      <c r="P2003">
        <v>125</v>
      </c>
      <c r="Q2003" t="s">
        <v>82</v>
      </c>
      <c r="R2003">
        <v>0</v>
      </c>
      <c r="S2003">
        <v>0</v>
      </c>
      <c r="T2003">
        <v>-40</v>
      </c>
      <c r="U2003">
        <v>47</v>
      </c>
      <c r="V2003">
        <v>0</v>
      </c>
      <c r="W2003">
        <v>27</v>
      </c>
      <c r="X2003">
        <v>27</v>
      </c>
      <c r="Y2003">
        <v>1</v>
      </c>
      <c r="Z2003">
        <v>1</v>
      </c>
      <c r="AA2003">
        <v>24</v>
      </c>
      <c r="AB2003">
        <v>2</v>
      </c>
      <c r="AC2003">
        <v>5</v>
      </c>
      <c r="AD2003">
        <v>3.2750001000000002</v>
      </c>
      <c r="AE2003">
        <v>1</v>
      </c>
      <c r="AF2003">
        <v>1</v>
      </c>
      <c r="AG2003">
        <v>3.2690000499999998</v>
      </c>
      <c r="AH2003">
        <v>4</v>
      </c>
      <c r="AI2003">
        <v>24</v>
      </c>
      <c r="AJ2003">
        <v>1</v>
      </c>
      <c r="AK2003">
        <v>17</v>
      </c>
      <c r="AL2003">
        <v>48</v>
      </c>
      <c r="AM2003" t="s">
        <v>43</v>
      </c>
      <c r="AN2003" t="str">
        <f>HYPERLINK("https://www.google.com/maps?q=11.05442715,79.06302643","Open Location")</f>
        <v>Open Location</v>
      </c>
    </row>
    <row r="2004" spans="1:40" x14ac:dyDescent="0.3">
      <c r="A2004" s="1">
        <v>46210.767824074072</v>
      </c>
      <c r="B2004" t="s">
        <v>40</v>
      </c>
      <c r="C2004" t="s">
        <v>41</v>
      </c>
      <c r="D2004" s="1">
        <v>46210.770590277774</v>
      </c>
      <c r="E2004" t="s">
        <v>42</v>
      </c>
      <c r="F2004" t="s">
        <v>83</v>
      </c>
      <c r="G2004">
        <v>0</v>
      </c>
      <c r="H2004">
        <v>33204</v>
      </c>
      <c r="I2004" t="s">
        <v>938</v>
      </c>
      <c r="J2004">
        <v>38</v>
      </c>
      <c r="K2004">
        <v>2</v>
      </c>
      <c r="L2004">
        <v>98</v>
      </c>
      <c r="M2004">
        <v>628</v>
      </c>
      <c r="N2004" t="s">
        <v>85</v>
      </c>
      <c r="O2004" t="s">
        <v>82</v>
      </c>
      <c r="P2004">
        <v>125</v>
      </c>
      <c r="Q2004" t="s">
        <v>82</v>
      </c>
      <c r="R2004">
        <v>0</v>
      </c>
      <c r="S2004">
        <v>0</v>
      </c>
      <c r="T2004">
        <v>-40</v>
      </c>
      <c r="U2004">
        <v>47</v>
      </c>
      <c r="V2004">
        <v>0</v>
      </c>
      <c r="W2004">
        <v>27</v>
      </c>
      <c r="X2004">
        <v>27</v>
      </c>
      <c r="Y2004">
        <v>1</v>
      </c>
      <c r="Z2004">
        <v>1</v>
      </c>
      <c r="AA2004">
        <v>24</v>
      </c>
      <c r="AB2004">
        <v>2</v>
      </c>
      <c r="AC2004">
        <v>5</v>
      </c>
      <c r="AD2004">
        <v>3.2750001000000002</v>
      </c>
      <c r="AE2004">
        <v>1</v>
      </c>
      <c r="AF2004">
        <v>16</v>
      </c>
      <c r="AG2004">
        <v>3.26799989</v>
      </c>
      <c r="AH2004">
        <v>6</v>
      </c>
      <c r="AI2004">
        <v>24</v>
      </c>
      <c r="AJ2004">
        <v>1</v>
      </c>
      <c r="AK2004">
        <v>17</v>
      </c>
      <c r="AL2004">
        <v>48</v>
      </c>
      <c r="AM2004" t="s">
        <v>43</v>
      </c>
      <c r="AN2004" t="str">
        <f>HYPERLINK("https://www.google.com/maps?q=11.05443001,79.06302643","Open Location")</f>
        <v>Open Location</v>
      </c>
    </row>
    <row r="2005" spans="1:40" x14ac:dyDescent="0.3">
      <c r="A2005" s="1">
        <v>46210.767708333333</v>
      </c>
      <c r="B2005" t="s">
        <v>40</v>
      </c>
      <c r="C2005" t="s">
        <v>41</v>
      </c>
      <c r="D2005" s="1">
        <v>46210.770601851851</v>
      </c>
      <c r="E2005" t="s">
        <v>42</v>
      </c>
      <c r="F2005" t="s">
        <v>83</v>
      </c>
      <c r="G2005">
        <v>0</v>
      </c>
      <c r="H2005">
        <v>33204</v>
      </c>
      <c r="I2005" t="s">
        <v>949</v>
      </c>
      <c r="J2005">
        <v>38</v>
      </c>
      <c r="K2005">
        <v>4</v>
      </c>
      <c r="L2005">
        <v>98</v>
      </c>
      <c r="M2005">
        <v>627.59997558999999</v>
      </c>
      <c r="N2005" t="s">
        <v>85</v>
      </c>
      <c r="O2005" t="s">
        <v>82</v>
      </c>
      <c r="P2005">
        <v>125</v>
      </c>
      <c r="Q2005" t="s">
        <v>82</v>
      </c>
      <c r="R2005">
        <v>0</v>
      </c>
      <c r="S2005">
        <v>0</v>
      </c>
      <c r="T2005">
        <v>-40</v>
      </c>
      <c r="U2005">
        <v>47</v>
      </c>
      <c r="V2005">
        <v>0</v>
      </c>
      <c r="W2005">
        <v>27</v>
      </c>
      <c r="X2005">
        <v>27</v>
      </c>
      <c r="Y2005">
        <v>1</v>
      </c>
      <c r="Z2005">
        <v>1</v>
      </c>
      <c r="AA2005">
        <v>24</v>
      </c>
      <c r="AB2005">
        <v>2</v>
      </c>
      <c r="AC2005">
        <v>5</v>
      </c>
      <c r="AD2005">
        <v>3.27399993</v>
      </c>
      <c r="AE2005">
        <v>1</v>
      </c>
      <c r="AF2005">
        <v>1</v>
      </c>
      <c r="AG2005">
        <v>3.2669999600000001</v>
      </c>
      <c r="AH2005">
        <v>6</v>
      </c>
      <c r="AI2005">
        <v>24</v>
      </c>
      <c r="AJ2005">
        <v>1</v>
      </c>
      <c r="AK2005">
        <v>17</v>
      </c>
      <c r="AL2005">
        <v>48</v>
      </c>
      <c r="AM2005" t="s">
        <v>43</v>
      </c>
      <c r="AN2005" t="str">
        <f>HYPERLINK("https://www.google.com/maps?q=11.05443287,79.06302643","Open Location")</f>
        <v>Open Location</v>
      </c>
    </row>
    <row r="2006" spans="1:40" x14ac:dyDescent="0.3">
      <c r="A2006" s="1">
        <v>46210.767592592594</v>
      </c>
      <c r="B2006" t="s">
        <v>40</v>
      </c>
      <c r="C2006" t="s">
        <v>41</v>
      </c>
      <c r="D2006" s="1">
        <v>46210.770601851851</v>
      </c>
      <c r="E2006" t="s">
        <v>42</v>
      </c>
      <c r="F2006" t="s">
        <v>83</v>
      </c>
      <c r="G2006">
        <v>0</v>
      </c>
      <c r="H2006">
        <v>33204</v>
      </c>
      <c r="I2006" t="s">
        <v>43</v>
      </c>
      <c r="J2006">
        <v>38</v>
      </c>
      <c r="K2006">
        <v>9</v>
      </c>
      <c r="L2006">
        <v>98</v>
      </c>
      <c r="M2006">
        <v>627.59997558999999</v>
      </c>
      <c r="N2006" t="s">
        <v>85</v>
      </c>
      <c r="O2006" t="s">
        <v>82</v>
      </c>
      <c r="P2006">
        <v>125</v>
      </c>
      <c r="Q2006" t="s">
        <v>82</v>
      </c>
      <c r="R2006">
        <v>0</v>
      </c>
      <c r="S2006">
        <v>0</v>
      </c>
      <c r="T2006">
        <v>-40</v>
      </c>
      <c r="U2006">
        <v>47</v>
      </c>
      <c r="V2006">
        <v>0</v>
      </c>
      <c r="W2006">
        <v>27</v>
      </c>
      <c r="X2006">
        <v>27</v>
      </c>
      <c r="Y2006">
        <v>1</v>
      </c>
      <c r="Z2006">
        <v>1</v>
      </c>
      <c r="AA2006">
        <v>24</v>
      </c>
      <c r="AB2006">
        <v>2</v>
      </c>
      <c r="AC2006">
        <v>5</v>
      </c>
      <c r="AD2006">
        <v>3.2720000699999998</v>
      </c>
      <c r="AE2006">
        <v>1</v>
      </c>
      <c r="AF2006">
        <v>1</v>
      </c>
      <c r="AG2006">
        <v>3.2650001</v>
      </c>
      <c r="AH2006">
        <v>7</v>
      </c>
      <c r="AI2006">
        <v>19</v>
      </c>
      <c r="AJ2006">
        <v>1</v>
      </c>
      <c r="AK2006">
        <v>18</v>
      </c>
      <c r="AL2006">
        <v>48</v>
      </c>
      <c r="AM2006" t="s">
        <v>43</v>
      </c>
      <c r="AN2006" t="s">
        <v>43</v>
      </c>
    </row>
    <row r="2007" spans="1:40" x14ac:dyDescent="0.3">
      <c r="A2007" s="1">
        <v>46210.767476851855</v>
      </c>
      <c r="B2007" t="s">
        <v>40</v>
      </c>
      <c r="C2007" t="s">
        <v>41</v>
      </c>
      <c r="D2007" s="1">
        <v>46210.770162037035</v>
      </c>
      <c r="E2007" t="s">
        <v>42</v>
      </c>
      <c r="F2007" t="s">
        <v>83</v>
      </c>
      <c r="G2007">
        <v>0</v>
      </c>
      <c r="H2007" t="s">
        <v>43</v>
      </c>
      <c r="I2007" t="s">
        <v>43</v>
      </c>
      <c r="J2007">
        <v>38</v>
      </c>
      <c r="K2007">
        <v>9</v>
      </c>
      <c r="L2007">
        <v>98</v>
      </c>
      <c r="M2007">
        <v>627</v>
      </c>
      <c r="N2007" t="s">
        <v>85</v>
      </c>
      <c r="O2007" t="s">
        <v>82</v>
      </c>
      <c r="P2007">
        <v>125</v>
      </c>
      <c r="Q2007" t="s">
        <v>82</v>
      </c>
      <c r="R2007">
        <v>0</v>
      </c>
      <c r="S2007">
        <v>0</v>
      </c>
      <c r="T2007">
        <v>-40</v>
      </c>
      <c r="U2007">
        <v>47</v>
      </c>
      <c r="V2007">
        <v>0</v>
      </c>
      <c r="W2007">
        <v>27</v>
      </c>
      <c r="X2007">
        <v>27</v>
      </c>
      <c r="Y2007">
        <v>1</v>
      </c>
      <c r="Z2007">
        <v>1</v>
      </c>
      <c r="AA2007">
        <v>24</v>
      </c>
      <c r="AB2007">
        <v>2</v>
      </c>
      <c r="AC2007">
        <v>5</v>
      </c>
      <c r="AD2007">
        <v>3.2720000699999998</v>
      </c>
      <c r="AE2007">
        <v>1</v>
      </c>
      <c r="AF2007">
        <v>1</v>
      </c>
      <c r="AG2007">
        <v>3.2650001</v>
      </c>
      <c r="AH2007">
        <v>5</v>
      </c>
      <c r="AI2007">
        <v>17</v>
      </c>
      <c r="AJ2007">
        <v>1</v>
      </c>
      <c r="AK2007">
        <v>18</v>
      </c>
      <c r="AL2007">
        <v>48</v>
      </c>
      <c r="AM2007" t="s">
        <v>43</v>
      </c>
      <c r="AN2007" t="s">
        <v>43</v>
      </c>
    </row>
    <row r="2008" spans="1:40" x14ac:dyDescent="0.3">
      <c r="A2008" s="1">
        <v>46210.767361111109</v>
      </c>
      <c r="B2008" t="s">
        <v>40</v>
      </c>
      <c r="C2008" t="s">
        <v>41</v>
      </c>
      <c r="D2008" s="1">
        <v>46210.770416666666</v>
      </c>
      <c r="E2008" t="s">
        <v>42</v>
      </c>
      <c r="F2008" t="s">
        <v>83</v>
      </c>
      <c r="G2008">
        <v>0</v>
      </c>
      <c r="H2008">
        <v>33204</v>
      </c>
      <c r="I2008" t="s">
        <v>950</v>
      </c>
      <c r="J2008">
        <v>38</v>
      </c>
      <c r="K2008">
        <v>23</v>
      </c>
      <c r="L2008">
        <v>98</v>
      </c>
      <c r="M2008">
        <v>626.59997558999999</v>
      </c>
      <c r="N2008" t="s">
        <v>85</v>
      </c>
      <c r="O2008" t="s">
        <v>86</v>
      </c>
      <c r="P2008">
        <v>127</v>
      </c>
      <c r="Q2008">
        <v>2</v>
      </c>
      <c r="R2008">
        <v>1</v>
      </c>
      <c r="S2008">
        <v>283</v>
      </c>
      <c r="T2008">
        <v>-40</v>
      </c>
      <c r="U2008">
        <v>48</v>
      </c>
      <c r="V2008">
        <v>5</v>
      </c>
      <c r="W2008">
        <v>27</v>
      </c>
      <c r="X2008">
        <v>27</v>
      </c>
      <c r="Y2008">
        <v>1</v>
      </c>
      <c r="Z2008">
        <v>1</v>
      </c>
      <c r="AA2008">
        <v>24</v>
      </c>
      <c r="AB2008">
        <v>2</v>
      </c>
      <c r="AC2008">
        <v>5</v>
      </c>
      <c r="AD2008">
        <v>3.2720000699999998</v>
      </c>
      <c r="AE2008">
        <v>5</v>
      </c>
      <c r="AF2008">
        <v>38</v>
      </c>
      <c r="AG2008">
        <v>3.2639999400000002</v>
      </c>
      <c r="AH2008">
        <v>4</v>
      </c>
      <c r="AI2008">
        <v>17</v>
      </c>
      <c r="AJ2008">
        <v>1</v>
      </c>
      <c r="AK2008">
        <v>19</v>
      </c>
      <c r="AL2008">
        <v>48</v>
      </c>
      <c r="AM2008" t="s">
        <v>43</v>
      </c>
      <c r="AN2008" t="str">
        <f>HYPERLINK("https://www.google.com/maps?q=11.05443001,79.06301117","Open Location")</f>
        <v>Open Location</v>
      </c>
    </row>
    <row r="2009" spans="1:40" x14ac:dyDescent="0.3">
      <c r="A2009" s="1">
        <v>46210.767245370371</v>
      </c>
      <c r="B2009" t="s">
        <v>40</v>
      </c>
      <c r="C2009" t="s">
        <v>41</v>
      </c>
      <c r="D2009" s="1">
        <v>46210.77003472222</v>
      </c>
      <c r="E2009" t="s">
        <v>42</v>
      </c>
      <c r="F2009" t="s">
        <v>83</v>
      </c>
      <c r="G2009">
        <v>0</v>
      </c>
      <c r="H2009">
        <v>33204</v>
      </c>
      <c r="I2009" t="s">
        <v>951</v>
      </c>
      <c r="J2009">
        <v>38</v>
      </c>
      <c r="K2009">
        <v>2</v>
      </c>
      <c r="L2009">
        <v>98</v>
      </c>
      <c r="M2009">
        <v>626.90002441000001</v>
      </c>
      <c r="N2009" t="s">
        <v>85</v>
      </c>
      <c r="O2009" t="s">
        <v>82</v>
      </c>
      <c r="P2009">
        <v>125</v>
      </c>
      <c r="Q2009" t="s">
        <v>82</v>
      </c>
      <c r="R2009">
        <v>0</v>
      </c>
      <c r="S2009">
        <v>0</v>
      </c>
      <c r="T2009">
        <v>-40</v>
      </c>
      <c r="U2009">
        <v>47</v>
      </c>
      <c r="V2009">
        <v>0</v>
      </c>
      <c r="W2009">
        <v>27</v>
      </c>
      <c r="X2009">
        <v>27</v>
      </c>
      <c r="Y2009">
        <v>1</v>
      </c>
      <c r="Z2009">
        <v>1</v>
      </c>
      <c r="AA2009">
        <v>24</v>
      </c>
      <c r="AB2009">
        <v>2</v>
      </c>
      <c r="AC2009">
        <v>5</v>
      </c>
      <c r="AD2009">
        <v>3.27399993</v>
      </c>
      <c r="AE2009">
        <v>5</v>
      </c>
      <c r="AF2009">
        <v>38</v>
      </c>
      <c r="AG2009">
        <v>3.2669999600000001</v>
      </c>
      <c r="AH2009">
        <v>4</v>
      </c>
      <c r="AI2009">
        <v>17</v>
      </c>
      <c r="AJ2009">
        <v>1</v>
      </c>
      <c r="AK2009">
        <v>20</v>
      </c>
      <c r="AL2009">
        <v>48</v>
      </c>
      <c r="AM2009" t="s">
        <v>43</v>
      </c>
      <c r="AN2009" t="str">
        <f>HYPERLINK("https://www.google.com/maps?q=11.05438042,79.0630188","Open Location")</f>
        <v>Open Location</v>
      </c>
    </row>
    <row r="2010" spans="1:40" x14ac:dyDescent="0.3">
      <c r="A2010" s="1">
        <v>46210.767129629632</v>
      </c>
      <c r="B2010" t="s">
        <v>40</v>
      </c>
      <c r="C2010" t="s">
        <v>41</v>
      </c>
      <c r="D2010" s="1">
        <v>46210.770104166666</v>
      </c>
      <c r="E2010" t="s">
        <v>42</v>
      </c>
      <c r="F2010" t="s">
        <v>83</v>
      </c>
      <c r="G2010">
        <v>0</v>
      </c>
      <c r="H2010">
        <v>33204</v>
      </c>
      <c r="I2010" t="s">
        <v>952</v>
      </c>
      <c r="J2010">
        <v>38</v>
      </c>
      <c r="K2010">
        <v>2</v>
      </c>
      <c r="L2010">
        <v>98</v>
      </c>
      <c r="M2010">
        <v>627.70001220999995</v>
      </c>
      <c r="N2010" t="s">
        <v>85</v>
      </c>
      <c r="O2010" t="s">
        <v>82</v>
      </c>
      <c r="P2010">
        <v>125</v>
      </c>
      <c r="Q2010" t="s">
        <v>82</v>
      </c>
      <c r="R2010">
        <v>0</v>
      </c>
      <c r="S2010">
        <v>0</v>
      </c>
      <c r="T2010">
        <v>-40</v>
      </c>
      <c r="U2010">
        <v>47</v>
      </c>
      <c r="V2010">
        <v>0</v>
      </c>
      <c r="W2010">
        <v>27</v>
      </c>
      <c r="X2010">
        <v>27</v>
      </c>
      <c r="Y2010">
        <v>1</v>
      </c>
      <c r="Z2010">
        <v>1</v>
      </c>
      <c r="AA2010">
        <v>24</v>
      </c>
      <c r="AB2010">
        <v>2</v>
      </c>
      <c r="AC2010">
        <v>5</v>
      </c>
      <c r="AD2010">
        <v>3.2730000000000001</v>
      </c>
      <c r="AE2010">
        <v>1</v>
      </c>
      <c r="AF2010">
        <v>1</v>
      </c>
      <c r="AG2010">
        <v>3.2660000299999998</v>
      </c>
      <c r="AH2010">
        <v>4</v>
      </c>
      <c r="AI2010">
        <v>24</v>
      </c>
      <c r="AJ2010">
        <v>1</v>
      </c>
      <c r="AK2010">
        <v>18</v>
      </c>
      <c r="AL2010">
        <v>48</v>
      </c>
      <c r="AM2010" t="s">
        <v>43</v>
      </c>
      <c r="AN2010" t="str">
        <f>HYPERLINK("https://www.google.com/maps?q=11.0543766,79.0630188","Open Location")</f>
        <v>Open Location</v>
      </c>
    </row>
    <row r="2011" spans="1:40" x14ac:dyDescent="0.3">
      <c r="A2011" s="1">
        <v>46210.767013888886</v>
      </c>
      <c r="B2011" t="s">
        <v>40</v>
      </c>
      <c r="C2011" t="s">
        <v>41</v>
      </c>
      <c r="D2011" s="1">
        <v>46210.769652777781</v>
      </c>
      <c r="E2011" t="s">
        <v>42</v>
      </c>
      <c r="F2011" t="s">
        <v>83</v>
      </c>
      <c r="G2011">
        <v>0</v>
      </c>
      <c r="H2011">
        <v>33204</v>
      </c>
      <c r="I2011" t="s">
        <v>953</v>
      </c>
      <c r="J2011">
        <v>38</v>
      </c>
      <c r="K2011">
        <v>2</v>
      </c>
      <c r="L2011">
        <v>98</v>
      </c>
      <c r="M2011">
        <v>627.29998779000005</v>
      </c>
      <c r="N2011" t="s">
        <v>85</v>
      </c>
      <c r="O2011" t="s">
        <v>82</v>
      </c>
      <c r="P2011">
        <v>125</v>
      </c>
      <c r="Q2011" t="s">
        <v>82</v>
      </c>
      <c r="R2011">
        <v>0</v>
      </c>
      <c r="S2011">
        <v>0</v>
      </c>
      <c r="T2011">
        <v>-40</v>
      </c>
      <c r="U2011">
        <v>47</v>
      </c>
      <c r="V2011">
        <v>0</v>
      </c>
      <c r="W2011">
        <v>27</v>
      </c>
      <c r="X2011">
        <v>27</v>
      </c>
      <c r="Y2011">
        <v>1</v>
      </c>
      <c r="Z2011">
        <v>1</v>
      </c>
      <c r="AA2011">
        <v>24</v>
      </c>
      <c r="AB2011">
        <v>2</v>
      </c>
      <c r="AC2011">
        <v>5</v>
      </c>
      <c r="AD2011">
        <v>3.2720000699999998</v>
      </c>
      <c r="AE2011">
        <v>1</v>
      </c>
      <c r="AF2011">
        <v>1</v>
      </c>
      <c r="AG2011">
        <v>3.2650001</v>
      </c>
      <c r="AH2011">
        <v>7</v>
      </c>
      <c r="AI2011">
        <v>1</v>
      </c>
      <c r="AJ2011">
        <v>1</v>
      </c>
      <c r="AK2011">
        <v>18</v>
      </c>
      <c r="AL2011">
        <v>48</v>
      </c>
      <c r="AM2011" t="s">
        <v>43</v>
      </c>
      <c r="AN2011" t="str">
        <f>HYPERLINK("https://www.google.com/maps?q=11.05436802,79.06302643","Open Location")</f>
        <v>Open Location</v>
      </c>
    </row>
    <row r="2012" spans="1:40" x14ac:dyDescent="0.3">
      <c r="A2012" s="1">
        <v>46210.766898148147</v>
      </c>
      <c r="B2012" t="s">
        <v>40</v>
      </c>
      <c r="C2012" t="s">
        <v>41</v>
      </c>
      <c r="D2012" s="1">
        <v>46210.769641203704</v>
      </c>
      <c r="E2012" t="s">
        <v>42</v>
      </c>
      <c r="F2012" t="s">
        <v>83</v>
      </c>
      <c r="G2012">
        <v>0</v>
      </c>
      <c r="H2012">
        <v>33204</v>
      </c>
      <c r="I2012" t="s">
        <v>43</v>
      </c>
      <c r="J2012">
        <v>38</v>
      </c>
      <c r="K2012">
        <v>5</v>
      </c>
      <c r="L2012">
        <v>98</v>
      </c>
      <c r="M2012">
        <v>627.09997558999999</v>
      </c>
      <c r="N2012" t="s">
        <v>85</v>
      </c>
      <c r="O2012" t="s">
        <v>82</v>
      </c>
      <c r="P2012">
        <v>125</v>
      </c>
      <c r="Q2012" t="s">
        <v>82</v>
      </c>
      <c r="R2012">
        <v>0</v>
      </c>
      <c r="S2012">
        <v>0</v>
      </c>
      <c r="T2012">
        <v>-40</v>
      </c>
      <c r="U2012">
        <v>47</v>
      </c>
      <c r="V2012">
        <v>0</v>
      </c>
      <c r="W2012">
        <v>27</v>
      </c>
      <c r="X2012">
        <v>27</v>
      </c>
      <c r="Y2012">
        <v>1</v>
      </c>
      <c r="Z2012">
        <v>1</v>
      </c>
      <c r="AA2012">
        <v>24</v>
      </c>
      <c r="AB2012">
        <v>2</v>
      </c>
      <c r="AC2012">
        <v>5</v>
      </c>
      <c r="AD2012">
        <v>3.27099991</v>
      </c>
      <c r="AE2012">
        <v>1</v>
      </c>
      <c r="AF2012">
        <v>1</v>
      </c>
      <c r="AG2012">
        <v>3.2630000099999998</v>
      </c>
      <c r="AH2012">
        <v>4</v>
      </c>
      <c r="AI2012">
        <v>17</v>
      </c>
      <c r="AJ2012">
        <v>1</v>
      </c>
      <c r="AK2012">
        <v>19</v>
      </c>
      <c r="AL2012">
        <v>48</v>
      </c>
      <c r="AM2012" t="s">
        <v>43</v>
      </c>
      <c r="AN2012" t="s">
        <v>43</v>
      </c>
    </row>
    <row r="2013" spans="1:40" x14ac:dyDescent="0.3">
      <c r="A2013" s="1">
        <v>46210.766782407409</v>
      </c>
      <c r="B2013" t="s">
        <v>40</v>
      </c>
      <c r="C2013" t="s">
        <v>41</v>
      </c>
      <c r="D2013" s="1">
        <v>46210.769768518519</v>
      </c>
      <c r="E2013" t="s">
        <v>42</v>
      </c>
      <c r="F2013" t="s">
        <v>83</v>
      </c>
      <c r="G2013">
        <v>0</v>
      </c>
      <c r="H2013">
        <v>33204</v>
      </c>
      <c r="I2013" t="s">
        <v>954</v>
      </c>
      <c r="J2013">
        <v>38</v>
      </c>
      <c r="K2013">
        <v>9</v>
      </c>
      <c r="L2013">
        <v>98</v>
      </c>
      <c r="M2013">
        <v>626.59997558999999</v>
      </c>
      <c r="N2013" t="s">
        <v>85</v>
      </c>
      <c r="O2013" t="s">
        <v>86</v>
      </c>
      <c r="P2013">
        <v>127</v>
      </c>
      <c r="Q2013">
        <v>2</v>
      </c>
      <c r="R2013">
        <v>0</v>
      </c>
      <c r="S2013">
        <v>0</v>
      </c>
      <c r="T2013">
        <v>-40</v>
      </c>
      <c r="U2013">
        <v>47</v>
      </c>
      <c r="V2013">
        <v>5</v>
      </c>
      <c r="W2013">
        <v>27</v>
      </c>
      <c r="X2013">
        <v>27</v>
      </c>
      <c r="Y2013">
        <v>1</v>
      </c>
      <c r="Z2013">
        <v>1</v>
      </c>
      <c r="AA2013">
        <v>24</v>
      </c>
      <c r="AB2013">
        <v>2</v>
      </c>
      <c r="AC2013">
        <v>5</v>
      </c>
      <c r="AD2013">
        <v>3.2690000499999998</v>
      </c>
      <c r="AE2013">
        <v>1</v>
      </c>
      <c r="AF2013">
        <v>1</v>
      </c>
      <c r="AG2013">
        <v>3.2609999200000002</v>
      </c>
      <c r="AH2013">
        <v>4</v>
      </c>
      <c r="AI2013">
        <v>17</v>
      </c>
      <c r="AJ2013">
        <v>1</v>
      </c>
      <c r="AK2013">
        <v>19</v>
      </c>
      <c r="AL2013">
        <v>47</v>
      </c>
      <c r="AM2013" t="s">
        <v>43</v>
      </c>
      <c r="AN2013" t="str">
        <f>HYPERLINK("https://www.google.com/maps?q=11.05436134,79.06303406","Open Location")</f>
        <v>Open Location</v>
      </c>
    </row>
    <row r="2014" spans="1:40" x14ac:dyDescent="0.3">
      <c r="A2014" s="1">
        <v>46210.76666666667</v>
      </c>
      <c r="B2014" t="s">
        <v>40</v>
      </c>
      <c r="C2014" t="s">
        <v>41</v>
      </c>
      <c r="D2014" s="1">
        <v>46210.769513888888</v>
      </c>
      <c r="E2014" t="s">
        <v>42</v>
      </c>
      <c r="F2014" t="s">
        <v>83</v>
      </c>
      <c r="G2014">
        <v>0</v>
      </c>
      <c r="H2014">
        <v>33204</v>
      </c>
      <c r="I2014" t="s">
        <v>955</v>
      </c>
      <c r="J2014">
        <v>38</v>
      </c>
      <c r="K2014">
        <v>10</v>
      </c>
      <c r="L2014">
        <v>98</v>
      </c>
      <c r="M2014">
        <v>626.20001220999995</v>
      </c>
      <c r="N2014" t="s">
        <v>85</v>
      </c>
      <c r="O2014" t="s">
        <v>86</v>
      </c>
      <c r="P2014">
        <v>127</v>
      </c>
      <c r="Q2014">
        <v>2</v>
      </c>
      <c r="R2014">
        <v>0</v>
      </c>
      <c r="S2014">
        <v>402</v>
      </c>
      <c r="T2014">
        <v>-40</v>
      </c>
      <c r="U2014">
        <v>48</v>
      </c>
      <c r="V2014">
        <v>-8</v>
      </c>
      <c r="W2014">
        <v>27</v>
      </c>
      <c r="X2014">
        <v>27</v>
      </c>
      <c r="Y2014">
        <v>1</v>
      </c>
      <c r="Z2014">
        <v>1</v>
      </c>
      <c r="AA2014">
        <v>24</v>
      </c>
      <c r="AB2014">
        <v>2</v>
      </c>
      <c r="AC2014">
        <v>5</v>
      </c>
      <c r="AD2014">
        <v>3.2690000499999998</v>
      </c>
      <c r="AE2014">
        <v>5</v>
      </c>
      <c r="AF2014">
        <v>38</v>
      </c>
      <c r="AG2014">
        <v>3.2609999200000002</v>
      </c>
      <c r="AH2014">
        <v>4</v>
      </c>
      <c r="AI2014">
        <v>17</v>
      </c>
      <c r="AJ2014">
        <v>1</v>
      </c>
      <c r="AK2014">
        <v>19</v>
      </c>
      <c r="AL2014">
        <v>47</v>
      </c>
      <c r="AM2014" t="s">
        <v>43</v>
      </c>
      <c r="AN2014" t="str">
        <f>HYPERLINK("https://www.google.com/maps?q=11.05435371,79.06304169","Open Location")</f>
        <v>Open Location</v>
      </c>
    </row>
    <row r="2015" spans="1:40" x14ac:dyDescent="0.3">
      <c r="A2015" s="1">
        <v>46210.766550925924</v>
      </c>
      <c r="B2015" t="s">
        <v>40</v>
      </c>
      <c r="C2015" t="s">
        <v>41</v>
      </c>
      <c r="D2015" s="1">
        <v>46210.76939814815</v>
      </c>
      <c r="E2015" t="s">
        <v>42</v>
      </c>
      <c r="F2015" t="s">
        <v>83</v>
      </c>
      <c r="G2015">
        <v>0</v>
      </c>
      <c r="H2015">
        <v>33204</v>
      </c>
      <c r="I2015" t="s">
        <v>956</v>
      </c>
      <c r="J2015">
        <v>38</v>
      </c>
      <c r="K2015">
        <v>5</v>
      </c>
      <c r="L2015">
        <v>98</v>
      </c>
      <c r="M2015">
        <v>626.5</v>
      </c>
      <c r="N2015" t="s">
        <v>85</v>
      </c>
      <c r="O2015" t="s">
        <v>86</v>
      </c>
      <c r="P2015">
        <v>127</v>
      </c>
      <c r="Q2015">
        <v>2</v>
      </c>
      <c r="R2015">
        <v>0</v>
      </c>
      <c r="S2015">
        <v>810</v>
      </c>
      <c r="T2015">
        <v>-40</v>
      </c>
      <c r="U2015">
        <v>47</v>
      </c>
      <c r="V2015">
        <v>0</v>
      </c>
      <c r="W2015">
        <v>27</v>
      </c>
      <c r="X2015">
        <v>27</v>
      </c>
      <c r="Y2015">
        <v>1</v>
      </c>
      <c r="Z2015">
        <v>1</v>
      </c>
      <c r="AA2015">
        <v>24</v>
      </c>
      <c r="AB2015">
        <v>2</v>
      </c>
      <c r="AC2015">
        <v>5</v>
      </c>
      <c r="AD2015">
        <v>3.2699999800000001</v>
      </c>
      <c r="AE2015">
        <v>5</v>
      </c>
      <c r="AF2015">
        <v>38</v>
      </c>
      <c r="AG2015">
        <v>3.26200008</v>
      </c>
      <c r="AH2015">
        <v>4</v>
      </c>
      <c r="AI2015">
        <v>17</v>
      </c>
      <c r="AJ2015">
        <v>1</v>
      </c>
      <c r="AK2015">
        <v>18</v>
      </c>
      <c r="AL2015">
        <v>47</v>
      </c>
      <c r="AM2015" t="s">
        <v>43</v>
      </c>
      <c r="AN2015" t="str">
        <f>HYPERLINK("https://www.google.com/maps?q=11.05427074,79.06304932","Open Location")</f>
        <v>Open Location</v>
      </c>
    </row>
    <row r="2016" spans="1:40" x14ac:dyDescent="0.3">
      <c r="A2016" s="1">
        <v>46210.766435185185</v>
      </c>
      <c r="B2016" t="s">
        <v>40</v>
      </c>
      <c r="C2016" t="s">
        <v>41</v>
      </c>
      <c r="D2016" s="1">
        <v>46210.769780092596</v>
      </c>
      <c r="E2016" t="s">
        <v>42</v>
      </c>
      <c r="F2016" t="s">
        <v>83</v>
      </c>
      <c r="G2016">
        <v>11</v>
      </c>
      <c r="H2016">
        <v>33204</v>
      </c>
      <c r="I2016" t="s">
        <v>957</v>
      </c>
      <c r="J2016">
        <v>38</v>
      </c>
      <c r="K2016">
        <v>-14</v>
      </c>
      <c r="L2016">
        <v>98</v>
      </c>
      <c r="M2016">
        <v>626.90002441000001</v>
      </c>
      <c r="N2016" t="s">
        <v>87</v>
      </c>
      <c r="O2016" t="s">
        <v>86</v>
      </c>
      <c r="P2016">
        <v>128</v>
      </c>
      <c r="Q2016">
        <v>3</v>
      </c>
      <c r="R2016">
        <v>-10</v>
      </c>
      <c r="S2016">
        <v>1583</v>
      </c>
      <c r="T2016">
        <v>-40</v>
      </c>
      <c r="U2016">
        <v>48</v>
      </c>
      <c r="V2016">
        <v>-68</v>
      </c>
      <c r="W2016">
        <v>27</v>
      </c>
      <c r="X2016">
        <v>27</v>
      </c>
      <c r="Y2016">
        <v>1</v>
      </c>
      <c r="Z2016">
        <v>1</v>
      </c>
      <c r="AA2016">
        <v>24</v>
      </c>
      <c r="AB2016">
        <v>2</v>
      </c>
      <c r="AC2016">
        <v>5</v>
      </c>
      <c r="AD2016">
        <v>3.27099991</v>
      </c>
      <c r="AE2016">
        <v>1</v>
      </c>
      <c r="AF2016">
        <v>1</v>
      </c>
      <c r="AG2016">
        <v>3.2639999400000002</v>
      </c>
      <c r="AH2016">
        <v>7</v>
      </c>
      <c r="AI2016">
        <v>1</v>
      </c>
      <c r="AJ2016">
        <v>1</v>
      </c>
      <c r="AK2016">
        <v>18</v>
      </c>
      <c r="AL2016">
        <v>47</v>
      </c>
      <c r="AM2016" t="s">
        <v>43</v>
      </c>
      <c r="AN2016" t="str">
        <f>HYPERLINK("https://www.google.com/maps?q=11.05400467,79.0630722","Open Location")</f>
        <v>Open Location</v>
      </c>
    </row>
    <row r="2017" spans="1:40" x14ac:dyDescent="0.3">
      <c r="A2017" s="1">
        <v>46210.766319444447</v>
      </c>
      <c r="B2017" t="s">
        <v>40</v>
      </c>
      <c r="C2017" t="s">
        <v>41</v>
      </c>
      <c r="D2017" s="1">
        <v>46210.76903935185</v>
      </c>
      <c r="E2017" t="s">
        <v>42</v>
      </c>
      <c r="F2017" t="s">
        <v>83</v>
      </c>
      <c r="G2017">
        <v>13</v>
      </c>
      <c r="H2017">
        <v>33204</v>
      </c>
      <c r="I2017" t="s">
        <v>958</v>
      </c>
      <c r="J2017">
        <v>38</v>
      </c>
      <c r="K2017">
        <v>-16</v>
      </c>
      <c r="L2017">
        <v>98</v>
      </c>
      <c r="M2017">
        <v>627.40002441000001</v>
      </c>
      <c r="N2017" t="s">
        <v>87</v>
      </c>
      <c r="O2017" t="s">
        <v>86</v>
      </c>
      <c r="P2017">
        <v>130</v>
      </c>
      <c r="Q2017">
        <v>3</v>
      </c>
      <c r="R2017">
        <v>14</v>
      </c>
      <c r="S2017">
        <v>692</v>
      </c>
      <c r="T2017">
        <v>-40</v>
      </c>
      <c r="U2017">
        <v>49</v>
      </c>
      <c r="V2017">
        <v>-184</v>
      </c>
      <c r="W2017">
        <v>27</v>
      </c>
      <c r="X2017">
        <v>27</v>
      </c>
      <c r="Y2017">
        <v>1</v>
      </c>
      <c r="Z2017">
        <v>1</v>
      </c>
      <c r="AA2017">
        <v>24</v>
      </c>
      <c r="AB2017">
        <v>2</v>
      </c>
      <c r="AC2017">
        <v>5</v>
      </c>
      <c r="AD2017">
        <v>3.27099991</v>
      </c>
      <c r="AE2017">
        <v>1</v>
      </c>
      <c r="AF2017">
        <v>1</v>
      </c>
      <c r="AG2017">
        <v>3.2639999400000002</v>
      </c>
      <c r="AH2017">
        <v>7</v>
      </c>
      <c r="AI2017">
        <v>1</v>
      </c>
      <c r="AJ2017">
        <v>1</v>
      </c>
      <c r="AK2017">
        <v>18</v>
      </c>
      <c r="AL2017">
        <v>47</v>
      </c>
      <c r="AM2017" t="s">
        <v>43</v>
      </c>
      <c r="AN2017" t="str">
        <f>HYPERLINK("https://www.google.com/maps?q=11.05360794,79.0633316","Open Location")</f>
        <v>Open Location</v>
      </c>
    </row>
    <row r="2018" spans="1:40" x14ac:dyDescent="0.3">
      <c r="A2018" s="1">
        <v>46210.766203703701</v>
      </c>
      <c r="B2018" t="s">
        <v>40</v>
      </c>
      <c r="C2018" t="s">
        <v>41</v>
      </c>
      <c r="D2018" s="1">
        <v>46210.769456018519</v>
      </c>
      <c r="E2018" t="s">
        <v>42</v>
      </c>
      <c r="F2018" t="s">
        <v>83</v>
      </c>
      <c r="G2018">
        <v>19</v>
      </c>
      <c r="H2018">
        <v>33204</v>
      </c>
      <c r="I2018" t="s">
        <v>43</v>
      </c>
      <c r="J2018">
        <v>38</v>
      </c>
      <c r="K2018">
        <v>-20</v>
      </c>
      <c r="L2018">
        <v>98</v>
      </c>
      <c r="M2018">
        <v>626.20001220999995</v>
      </c>
      <c r="N2018" t="s">
        <v>87</v>
      </c>
      <c r="O2018" t="s">
        <v>86</v>
      </c>
      <c r="P2018">
        <v>130</v>
      </c>
      <c r="Q2018">
        <v>5</v>
      </c>
      <c r="R2018">
        <v>-17</v>
      </c>
      <c r="S2018">
        <v>976</v>
      </c>
      <c r="T2018">
        <v>-40</v>
      </c>
      <c r="U2018">
        <v>50</v>
      </c>
      <c r="V2018">
        <v>-184</v>
      </c>
      <c r="W2018">
        <v>27</v>
      </c>
      <c r="X2018">
        <v>27</v>
      </c>
      <c r="Y2018">
        <v>1</v>
      </c>
      <c r="Z2018">
        <v>1</v>
      </c>
      <c r="AA2018">
        <v>24</v>
      </c>
      <c r="AB2018">
        <v>2</v>
      </c>
      <c r="AC2018">
        <v>5</v>
      </c>
      <c r="AD2018">
        <v>3.26799989</v>
      </c>
      <c r="AE2018">
        <v>1</v>
      </c>
      <c r="AF2018">
        <v>1</v>
      </c>
      <c r="AG2018">
        <v>3.2609999200000002</v>
      </c>
      <c r="AH2018">
        <v>7</v>
      </c>
      <c r="AI2018">
        <v>1</v>
      </c>
      <c r="AJ2018">
        <v>1</v>
      </c>
      <c r="AK2018">
        <v>18</v>
      </c>
      <c r="AL2018">
        <v>47</v>
      </c>
      <c r="AM2018" t="s">
        <v>43</v>
      </c>
      <c r="AN2018" t="s">
        <v>43</v>
      </c>
    </row>
    <row r="2019" spans="1:40" x14ac:dyDescent="0.3">
      <c r="A2019" s="1">
        <v>46210.766087962962</v>
      </c>
      <c r="B2019" t="s">
        <v>40</v>
      </c>
      <c r="C2019" t="s">
        <v>41</v>
      </c>
      <c r="D2019" s="1">
        <v>46210.768761574072</v>
      </c>
      <c r="E2019" t="s">
        <v>42</v>
      </c>
      <c r="F2019" t="s">
        <v>83</v>
      </c>
      <c r="G2019">
        <v>21</v>
      </c>
      <c r="H2019">
        <v>33204</v>
      </c>
      <c r="I2019" t="s">
        <v>959</v>
      </c>
      <c r="J2019">
        <v>38</v>
      </c>
      <c r="K2019">
        <v>59</v>
      </c>
      <c r="L2019">
        <v>98</v>
      </c>
      <c r="M2019">
        <v>623.09997558999999</v>
      </c>
      <c r="N2019" t="s">
        <v>87</v>
      </c>
      <c r="O2019" t="s">
        <v>86</v>
      </c>
      <c r="P2019">
        <v>130</v>
      </c>
      <c r="Q2019">
        <v>5</v>
      </c>
      <c r="R2019">
        <v>30</v>
      </c>
      <c r="S2019">
        <v>1007</v>
      </c>
      <c r="T2019">
        <v>-40</v>
      </c>
      <c r="U2019">
        <v>51</v>
      </c>
      <c r="V2019">
        <v>386</v>
      </c>
      <c r="W2019">
        <v>27</v>
      </c>
      <c r="X2019">
        <v>27</v>
      </c>
      <c r="Y2019">
        <v>1</v>
      </c>
      <c r="Z2019">
        <v>1</v>
      </c>
      <c r="AA2019">
        <v>24</v>
      </c>
      <c r="AB2019">
        <v>2</v>
      </c>
      <c r="AC2019">
        <v>5</v>
      </c>
      <c r="AD2019">
        <v>3.2520000900000001</v>
      </c>
      <c r="AE2019">
        <v>1</v>
      </c>
      <c r="AF2019">
        <v>33</v>
      </c>
      <c r="AG2019">
        <v>3.2400000100000002</v>
      </c>
      <c r="AH2019">
        <v>4</v>
      </c>
      <c r="AI2019">
        <v>24</v>
      </c>
      <c r="AJ2019">
        <v>1</v>
      </c>
      <c r="AK2019">
        <v>18</v>
      </c>
      <c r="AL2019">
        <v>47</v>
      </c>
      <c r="AM2019" t="s">
        <v>43</v>
      </c>
      <c r="AN2019" t="str">
        <f>HYPERLINK("https://www.google.com/maps?q=11.05301666,79.06346893","Open Location")</f>
        <v>Open Location</v>
      </c>
    </row>
    <row r="2020" spans="1:40" x14ac:dyDescent="0.3">
      <c r="A2020" s="1">
        <v>46210.765972222223</v>
      </c>
      <c r="B2020" t="s">
        <v>40</v>
      </c>
      <c r="C2020" t="s">
        <v>41</v>
      </c>
      <c r="D2020" s="1">
        <v>46210.769004629627</v>
      </c>
      <c r="E2020" t="s">
        <v>42</v>
      </c>
      <c r="F2020" t="s">
        <v>83</v>
      </c>
      <c r="G2020">
        <v>22</v>
      </c>
      <c r="H2020">
        <v>33204</v>
      </c>
      <c r="I2020" t="s">
        <v>960</v>
      </c>
      <c r="J2020">
        <v>38</v>
      </c>
      <c r="K2020">
        <v>70</v>
      </c>
      <c r="L2020">
        <v>98</v>
      </c>
      <c r="M2020">
        <v>622</v>
      </c>
      <c r="N2020" t="s">
        <v>87</v>
      </c>
      <c r="O2020" t="s">
        <v>86</v>
      </c>
      <c r="P2020">
        <v>130</v>
      </c>
      <c r="Q2020">
        <v>5</v>
      </c>
      <c r="R2020">
        <v>35</v>
      </c>
      <c r="S2020">
        <v>1034</v>
      </c>
      <c r="T2020">
        <v>-40</v>
      </c>
      <c r="U2020">
        <v>51</v>
      </c>
      <c r="V2020">
        <v>320</v>
      </c>
      <c r="W2020">
        <v>27</v>
      </c>
      <c r="X2020">
        <v>27</v>
      </c>
      <c r="Y2020">
        <v>1</v>
      </c>
      <c r="Z2020">
        <v>1</v>
      </c>
      <c r="AA2020">
        <v>24</v>
      </c>
      <c r="AB2020">
        <v>2</v>
      </c>
      <c r="AC2020">
        <v>5</v>
      </c>
      <c r="AD2020">
        <v>3.2490000700000001</v>
      </c>
      <c r="AE2020">
        <v>5</v>
      </c>
      <c r="AF2020">
        <v>38</v>
      </c>
      <c r="AG2020">
        <v>3.2349999</v>
      </c>
      <c r="AH2020">
        <v>4</v>
      </c>
      <c r="AI2020">
        <v>24</v>
      </c>
      <c r="AJ2020">
        <v>1</v>
      </c>
      <c r="AK2020">
        <v>18</v>
      </c>
      <c r="AL2020">
        <v>47</v>
      </c>
      <c r="AM2020" t="s">
        <v>43</v>
      </c>
      <c r="AN2020" t="str">
        <f>HYPERLINK("https://www.google.com/maps?q=11.05237007,79.06361389","Open Location")</f>
        <v>Open Location</v>
      </c>
    </row>
    <row r="2021" spans="1:40" x14ac:dyDescent="0.3">
      <c r="A2021" s="1">
        <v>46210.765856481485</v>
      </c>
      <c r="B2021" t="s">
        <v>40</v>
      </c>
      <c r="C2021" t="s">
        <v>41</v>
      </c>
      <c r="D2021" s="1">
        <v>46210.768877314818</v>
      </c>
      <c r="E2021" t="s">
        <v>42</v>
      </c>
      <c r="F2021" t="s">
        <v>83</v>
      </c>
      <c r="G2021">
        <v>23</v>
      </c>
      <c r="H2021">
        <v>33204</v>
      </c>
      <c r="I2021" t="s">
        <v>961</v>
      </c>
      <c r="J2021">
        <v>38</v>
      </c>
      <c r="K2021">
        <v>57</v>
      </c>
      <c r="L2021">
        <v>98</v>
      </c>
      <c r="M2021">
        <v>623.09997558999999</v>
      </c>
      <c r="N2021" t="s">
        <v>87</v>
      </c>
      <c r="O2021" t="s">
        <v>86</v>
      </c>
      <c r="P2021">
        <v>130</v>
      </c>
      <c r="Q2021">
        <v>5</v>
      </c>
      <c r="R2021">
        <v>48</v>
      </c>
      <c r="S2021">
        <v>1042</v>
      </c>
      <c r="T2021">
        <v>-40</v>
      </c>
      <c r="U2021">
        <v>51</v>
      </c>
      <c r="V2021">
        <v>300</v>
      </c>
      <c r="W2021">
        <v>27</v>
      </c>
      <c r="X2021">
        <v>27</v>
      </c>
      <c r="Y2021">
        <v>1</v>
      </c>
      <c r="Z2021">
        <v>1</v>
      </c>
      <c r="AA2021">
        <v>24</v>
      </c>
      <c r="AB2021">
        <v>2</v>
      </c>
      <c r="AC2021">
        <v>5</v>
      </c>
      <c r="AD2021">
        <v>3.2539999499999999</v>
      </c>
      <c r="AE2021">
        <v>5</v>
      </c>
      <c r="AF2021">
        <v>38</v>
      </c>
      <c r="AG2021">
        <v>3.2420000999999998</v>
      </c>
      <c r="AH2021">
        <v>4</v>
      </c>
      <c r="AI2021">
        <v>24</v>
      </c>
      <c r="AJ2021">
        <v>1</v>
      </c>
      <c r="AK2021">
        <v>18</v>
      </c>
      <c r="AL2021">
        <v>47</v>
      </c>
      <c r="AM2021" t="s">
        <v>43</v>
      </c>
      <c r="AN2021" t="str">
        <f>HYPERLINK("https://www.google.com/maps?q=11.0516901,79.06368256","Open Location")</f>
        <v>Open Location</v>
      </c>
    </row>
    <row r="2022" spans="1:40" x14ac:dyDescent="0.3">
      <c r="A2022" s="1">
        <v>46210.765740740739</v>
      </c>
      <c r="B2022" t="s">
        <v>40</v>
      </c>
      <c r="C2022" t="s">
        <v>41</v>
      </c>
      <c r="D2022" s="1">
        <v>46210.768449074072</v>
      </c>
      <c r="E2022" t="s">
        <v>42</v>
      </c>
      <c r="F2022" t="s">
        <v>83</v>
      </c>
      <c r="G2022">
        <v>23</v>
      </c>
      <c r="H2022">
        <v>33204</v>
      </c>
      <c r="I2022" t="s">
        <v>962</v>
      </c>
      <c r="J2022">
        <v>38</v>
      </c>
      <c r="K2022">
        <v>54</v>
      </c>
      <c r="L2022">
        <v>98</v>
      </c>
      <c r="M2022">
        <v>623.20001220999995</v>
      </c>
      <c r="N2022" t="s">
        <v>87</v>
      </c>
      <c r="O2022" t="s">
        <v>86</v>
      </c>
      <c r="P2022">
        <v>130</v>
      </c>
      <c r="Q2022">
        <v>5</v>
      </c>
      <c r="R2022">
        <v>28</v>
      </c>
      <c r="S2022">
        <v>1084</v>
      </c>
      <c r="T2022">
        <v>-40</v>
      </c>
      <c r="U2022">
        <v>51</v>
      </c>
      <c r="V2022">
        <v>280</v>
      </c>
      <c r="W2022">
        <v>27</v>
      </c>
      <c r="X2022">
        <v>27</v>
      </c>
      <c r="Y2022">
        <v>1</v>
      </c>
      <c r="Z2022">
        <v>1</v>
      </c>
      <c r="AA2022">
        <v>24</v>
      </c>
      <c r="AB2022">
        <v>2</v>
      </c>
      <c r="AC2022">
        <v>5</v>
      </c>
      <c r="AD2022">
        <v>3.2520000900000001</v>
      </c>
      <c r="AE2022">
        <v>1</v>
      </c>
      <c r="AF2022">
        <v>1</v>
      </c>
      <c r="AG2022">
        <v>3.2400000100000002</v>
      </c>
      <c r="AH2022">
        <v>6</v>
      </c>
      <c r="AI2022">
        <v>24</v>
      </c>
      <c r="AJ2022">
        <v>1</v>
      </c>
      <c r="AK2022">
        <v>18</v>
      </c>
      <c r="AL2022">
        <v>47</v>
      </c>
      <c r="AM2022" t="s">
        <v>43</v>
      </c>
      <c r="AN2022" t="str">
        <f>HYPERLINK("https://www.google.com/maps?q=11.05100727,79.06356049","Open Location")</f>
        <v>Open Location</v>
      </c>
    </row>
    <row r="2023" spans="1:40" x14ac:dyDescent="0.3">
      <c r="A2023" s="1">
        <v>46210.765625</v>
      </c>
      <c r="B2023" t="s">
        <v>40</v>
      </c>
      <c r="C2023" t="s">
        <v>41</v>
      </c>
      <c r="D2023" s="1">
        <v>46210.768576388888</v>
      </c>
      <c r="E2023" t="s">
        <v>42</v>
      </c>
      <c r="F2023" t="s">
        <v>83</v>
      </c>
      <c r="G2023">
        <v>24</v>
      </c>
      <c r="H2023">
        <v>33204</v>
      </c>
      <c r="I2023" t="s">
        <v>963</v>
      </c>
      <c r="J2023">
        <v>38</v>
      </c>
      <c r="K2023">
        <v>56</v>
      </c>
      <c r="L2023">
        <v>98</v>
      </c>
      <c r="M2023">
        <v>622.79998779000005</v>
      </c>
      <c r="N2023" t="s">
        <v>87</v>
      </c>
      <c r="O2023" t="s">
        <v>86</v>
      </c>
      <c r="P2023">
        <v>130</v>
      </c>
      <c r="Q2023">
        <v>5</v>
      </c>
      <c r="R2023">
        <v>60</v>
      </c>
      <c r="S2023">
        <v>1109</v>
      </c>
      <c r="T2023">
        <v>-40</v>
      </c>
      <c r="U2023">
        <v>52</v>
      </c>
      <c r="V2023">
        <v>260</v>
      </c>
      <c r="W2023">
        <v>27</v>
      </c>
      <c r="X2023">
        <v>27</v>
      </c>
      <c r="Y2023">
        <v>1</v>
      </c>
      <c r="Z2023">
        <v>1</v>
      </c>
      <c r="AA2023">
        <v>24</v>
      </c>
      <c r="AB2023">
        <v>2</v>
      </c>
      <c r="AC2023">
        <v>5</v>
      </c>
      <c r="AD2023">
        <v>3.2509999299999999</v>
      </c>
      <c r="AE2023">
        <v>1</v>
      </c>
      <c r="AF2023">
        <v>1</v>
      </c>
      <c r="AG2023">
        <v>3.2390000799999998</v>
      </c>
      <c r="AH2023">
        <v>4</v>
      </c>
      <c r="AI2023">
        <v>24</v>
      </c>
      <c r="AJ2023">
        <v>1</v>
      </c>
      <c r="AK2023">
        <v>17</v>
      </c>
      <c r="AL2023">
        <v>47</v>
      </c>
      <c r="AM2023" t="s">
        <v>43</v>
      </c>
      <c r="AN2023" t="str">
        <f>HYPERLINK("https://www.google.com/maps?q=11.05031586,79.0633316","Open Location")</f>
        <v>Open Location</v>
      </c>
    </row>
    <row r="2024" spans="1:40" x14ac:dyDescent="0.3">
      <c r="A2024" s="1">
        <v>46210.765509259261</v>
      </c>
      <c r="B2024" t="s">
        <v>40</v>
      </c>
      <c r="C2024" t="s">
        <v>41</v>
      </c>
      <c r="D2024" s="1">
        <v>46210.768576388888</v>
      </c>
      <c r="E2024" t="s">
        <v>42</v>
      </c>
      <c r="F2024" t="s">
        <v>83</v>
      </c>
      <c r="G2024">
        <v>22</v>
      </c>
      <c r="H2024" t="s">
        <v>43</v>
      </c>
      <c r="I2024" t="s">
        <v>43</v>
      </c>
      <c r="J2024">
        <v>38</v>
      </c>
      <c r="K2024">
        <v>175</v>
      </c>
      <c r="L2024">
        <v>98</v>
      </c>
      <c r="M2024">
        <v>618.09997558999999</v>
      </c>
      <c r="N2024" t="s">
        <v>87</v>
      </c>
      <c r="O2024" t="s">
        <v>86</v>
      </c>
      <c r="P2024">
        <v>129</v>
      </c>
      <c r="Q2024">
        <v>4</v>
      </c>
      <c r="R2024">
        <v>113</v>
      </c>
      <c r="S2024">
        <v>1570</v>
      </c>
      <c r="T2024">
        <v>-40</v>
      </c>
      <c r="U2024">
        <v>53</v>
      </c>
      <c r="V2024">
        <v>720</v>
      </c>
      <c r="W2024">
        <v>27</v>
      </c>
      <c r="X2024">
        <v>27</v>
      </c>
      <c r="Y2024">
        <v>1</v>
      </c>
      <c r="Z2024">
        <v>1</v>
      </c>
      <c r="AA2024">
        <v>24</v>
      </c>
      <c r="AB2024">
        <v>2</v>
      </c>
      <c r="AC2024">
        <v>5</v>
      </c>
      <c r="AD2024">
        <v>3.2339999700000002</v>
      </c>
      <c r="AE2024">
        <v>5</v>
      </c>
      <c r="AF2024">
        <v>38</v>
      </c>
      <c r="AG2024">
        <v>3.21399999</v>
      </c>
      <c r="AH2024">
        <v>4</v>
      </c>
      <c r="AI2024">
        <v>24</v>
      </c>
      <c r="AJ2024">
        <v>1</v>
      </c>
      <c r="AK2024">
        <v>17</v>
      </c>
      <c r="AL2024">
        <v>47</v>
      </c>
      <c r="AM2024" t="s">
        <v>43</v>
      </c>
      <c r="AN2024" t="s">
        <v>43</v>
      </c>
    </row>
    <row r="2025" spans="1:40" x14ac:dyDescent="0.3">
      <c r="A2025" s="1">
        <v>46210.765393518515</v>
      </c>
      <c r="B2025" t="s">
        <v>40</v>
      </c>
      <c r="C2025" t="s">
        <v>41</v>
      </c>
      <c r="D2025" s="1">
        <v>46210.768159722225</v>
      </c>
      <c r="E2025" t="s">
        <v>42</v>
      </c>
      <c r="F2025" t="s">
        <v>83</v>
      </c>
      <c r="G2025">
        <v>17</v>
      </c>
      <c r="H2025">
        <v>33204</v>
      </c>
      <c r="I2025" t="s">
        <v>964</v>
      </c>
      <c r="J2025">
        <v>38</v>
      </c>
      <c r="K2025">
        <v>68</v>
      </c>
      <c r="L2025">
        <v>98</v>
      </c>
      <c r="M2025">
        <v>623.40002441000001</v>
      </c>
      <c r="N2025" t="s">
        <v>87</v>
      </c>
      <c r="O2025" t="s">
        <v>86</v>
      </c>
      <c r="P2025">
        <v>129</v>
      </c>
      <c r="Q2025">
        <v>4</v>
      </c>
      <c r="R2025">
        <v>56</v>
      </c>
      <c r="S2025">
        <v>1285</v>
      </c>
      <c r="T2025">
        <v>-40</v>
      </c>
      <c r="U2025">
        <v>51</v>
      </c>
      <c r="V2025">
        <v>300</v>
      </c>
      <c r="W2025">
        <v>27</v>
      </c>
      <c r="X2025">
        <v>27</v>
      </c>
      <c r="Y2025">
        <v>1</v>
      </c>
      <c r="Z2025">
        <v>1</v>
      </c>
      <c r="AA2025">
        <v>24</v>
      </c>
      <c r="AB2025">
        <v>2</v>
      </c>
      <c r="AC2025">
        <v>5</v>
      </c>
      <c r="AD2025">
        <v>3.25600004</v>
      </c>
      <c r="AE2025">
        <v>1</v>
      </c>
      <c r="AF2025">
        <v>1</v>
      </c>
      <c r="AG2025">
        <v>3.2449998899999999</v>
      </c>
      <c r="AH2025">
        <v>4</v>
      </c>
      <c r="AI2025">
        <v>24</v>
      </c>
      <c r="AJ2025">
        <v>1</v>
      </c>
      <c r="AK2025">
        <v>17</v>
      </c>
      <c r="AL2025">
        <v>47</v>
      </c>
      <c r="AM2025" t="s">
        <v>43</v>
      </c>
      <c r="AN2025" t="str">
        <f>HYPERLINK("https://www.google.com/maps?q=11.04974461,79.06311035","Open Location")</f>
        <v>Open Location</v>
      </c>
    </row>
    <row r="2026" spans="1:40" x14ac:dyDescent="0.3">
      <c r="A2026" s="1">
        <v>46210.765277777777</v>
      </c>
      <c r="B2026" t="s">
        <v>40</v>
      </c>
      <c r="C2026" t="s">
        <v>41</v>
      </c>
      <c r="D2026" s="1">
        <v>46210.768043981479</v>
      </c>
      <c r="E2026" t="s">
        <v>42</v>
      </c>
      <c r="F2026" t="s">
        <v>83</v>
      </c>
      <c r="G2026">
        <v>20</v>
      </c>
      <c r="H2026">
        <v>33204</v>
      </c>
      <c r="I2026" t="s">
        <v>965</v>
      </c>
      <c r="J2026">
        <v>38</v>
      </c>
      <c r="K2026">
        <v>-25</v>
      </c>
      <c r="L2026">
        <v>98</v>
      </c>
      <c r="M2026">
        <v>627.59997558999999</v>
      </c>
      <c r="N2026" t="s">
        <v>87</v>
      </c>
      <c r="O2026" t="s">
        <v>86</v>
      </c>
      <c r="P2026">
        <v>130</v>
      </c>
      <c r="Q2026">
        <v>5</v>
      </c>
      <c r="R2026">
        <v>-75</v>
      </c>
      <c r="S2026">
        <v>885</v>
      </c>
      <c r="T2026">
        <v>-40</v>
      </c>
      <c r="U2026">
        <v>50</v>
      </c>
      <c r="V2026">
        <v>-800</v>
      </c>
      <c r="W2026">
        <v>27</v>
      </c>
      <c r="X2026">
        <v>27</v>
      </c>
      <c r="Y2026">
        <v>1</v>
      </c>
      <c r="Z2026">
        <v>1</v>
      </c>
      <c r="AA2026">
        <v>24</v>
      </c>
      <c r="AB2026">
        <v>2</v>
      </c>
      <c r="AC2026">
        <v>5</v>
      </c>
      <c r="AD2026">
        <v>3.2720000699999998</v>
      </c>
      <c r="AE2026">
        <v>1</v>
      </c>
      <c r="AF2026">
        <v>1</v>
      </c>
      <c r="AG2026">
        <v>3.2660000299999998</v>
      </c>
      <c r="AH2026">
        <v>6</v>
      </c>
      <c r="AI2026">
        <v>24</v>
      </c>
      <c r="AJ2026">
        <v>1</v>
      </c>
      <c r="AK2026">
        <v>17</v>
      </c>
      <c r="AL2026">
        <v>47</v>
      </c>
      <c r="AM2026" t="s">
        <v>43</v>
      </c>
      <c r="AN2026" t="str">
        <f>HYPERLINK("https://www.google.com/maps?q=11.04914761,79.06304169","Open Location")</f>
        <v>Open Location</v>
      </c>
    </row>
    <row r="2027" spans="1:40" x14ac:dyDescent="0.3">
      <c r="A2027" s="1">
        <v>46210.765162037038</v>
      </c>
      <c r="B2027" t="s">
        <v>40</v>
      </c>
      <c r="C2027" t="s">
        <v>41</v>
      </c>
      <c r="D2027" s="1">
        <v>46210.767928240741</v>
      </c>
      <c r="E2027" t="s">
        <v>42</v>
      </c>
      <c r="F2027" t="s">
        <v>83</v>
      </c>
      <c r="G2027">
        <v>26</v>
      </c>
      <c r="H2027">
        <v>33204</v>
      </c>
      <c r="I2027" t="s">
        <v>966</v>
      </c>
      <c r="J2027">
        <v>38</v>
      </c>
      <c r="K2027">
        <v>14</v>
      </c>
      <c r="L2027">
        <v>98</v>
      </c>
      <c r="M2027">
        <v>624.70001220999995</v>
      </c>
      <c r="N2027" t="s">
        <v>87</v>
      </c>
      <c r="O2027" t="s">
        <v>86</v>
      </c>
      <c r="P2027">
        <v>130</v>
      </c>
      <c r="Q2027">
        <v>5</v>
      </c>
      <c r="R2027">
        <v>-23</v>
      </c>
      <c r="S2027">
        <v>1238</v>
      </c>
      <c r="T2027">
        <v>-40</v>
      </c>
      <c r="U2027">
        <v>49</v>
      </c>
      <c r="V2027">
        <v>60</v>
      </c>
      <c r="W2027">
        <v>27</v>
      </c>
      <c r="X2027">
        <v>27</v>
      </c>
      <c r="Y2027">
        <v>1</v>
      </c>
      <c r="Z2027">
        <v>1</v>
      </c>
      <c r="AA2027">
        <v>24</v>
      </c>
      <c r="AB2027">
        <v>2</v>
      </c>
      <c r="AC2027">
        <v>5</v>
      </c>
      <c r="AD2027">
        <v>3.2599999899999998</v>
      </c>
      <c r="AE2027">
        <v>1</v>
      </c>
      <c r="AF2027">
        <v>1</v>
      </c>
      <c r="AG2027">
        <v>3.2509999299999999</v>
      </c>
      <c r="AH2027">
        <v>4</v>
      </c>
      <c r="AI2027">
        <v>24</v>
      </c>
      <c r="AJ2027">
        <v>1</v>
      </c>
      <c r="AK2027">
        <v>17</v>
      </c>
      <c r="AL2027">
        <v>47</v>
      </c>
      <c r="AM2027" t="s">
        <v>43</v>
      </c>
      <c r="AN2027" t="str">
        <f>HYPERLINK("https://www.google.com/maps?q=11.04840469,79.06311798","Open Location")</f>
        <v>Open Location</v>
      </c>
    </row>
    <row r="2028" spans="1:40" x14ac:dyDescent="0.3">
      <c r="A2028" s="1">
        <v>46210.765046296299</v>
      </c>
      <c r="B2028" t="s">
        <v>40</v>
      </c>
      <c r="C2028" t="s">
        <v>41</v>
      </c>
      <c r="D2028" s="1">
        <v>46210.767951388887</v>
      </c>
      <c r="E2028" t="s">
        <v>42</v>
      </c>
      <c r="F2028" t="s">
        <v>83</v>
      </c>
      <c r="G2028">
        <v>28</v>
      </c>
      <c r="H2028">
        <v>33204</v>
      </c>
      <c r="I2028" t="s">
        <v>967</v>
      </c>
      <c r="J2028">
        <v>38</v>
      </c>
      <c r="K2028">
        <v>44</v>
      </c>
      <c r="L2028">
        <v>98</v>
      </c>
      <c r="M2028">
        <v>623.90002441000001</v>
      </c>
      <c r="N2028" t="s">
        <v>87</v>
      </c>
      <c r="O2028" t="s">
        <v>86</v>
      </c>
      <c r="P2028">
        <v>130</v>
      </c>
      <c r="Q2028">
        <v>5</v>
      </c>
      <c r="R2028">
        <v>37</v>
      </c>
      <c r="S2028">
        <v>1291</v>
      </c>
      <c r="T2028">
        <v>-40</v>
      </c>
      <c r="U2028">
        <v>49</v>
      </c>
      <c r="V2028">
        <v>194</v>
      </c>
      <c r="W2028">
        <v>27</v>
      </c>
      <c r="X2028">
        <v>27</v>
      </c>
      <c r="Y2028">
        <v>1</v>
      </c>
      <c r="Z2028">
        <v>1</v>
      </c>
      <c r="AA2028">
        <v>24</v>
      </c>
      <c r="AB2028">
        <v>2</v>
      </c>
      <c r="AC2028">
        <v>5</v>
      </c>
      <c r="AD2028">
        <v>3.25600004</v>
      </c>
      <c r="AE2028">
        <v>5</v>
      </c>
      <c r="AF2028">
        <v>38</v>
      </c>
      <c r="AG2028">
        <v>3.2449998899999999</v>
      </c>
      <c r="AH2028">
        <v>4</v>
      </c>
      <c r="AI2028">
        <v>17</v>
      </c>
      <c r="AJ2028">
        <v>1</v>
      </c>
      <c r="AK2028">
        <v>16</v>
      </c>
      <c r="AL2028">
        <v>47</v>
      </c>
      <c r="AM2028" t="s">
        <v>43</v>
      </c>
      <c r="AN2028" t="str">
        <f>HYPERLINK("https://www.google.com/maps?q=11.04755592,79.06317902","Open Location")</f>
        <v>Open Location</v>
      </c>
    </row>
    <row r="2029" spans="1:40" x14ac:dyDescent="0.3">
      <c r="A2029" s="1">
        <v>46210.764930555553</v>
      </c>
      <c r="B2029" t="s">
        <v>40</v>
      </c>
      <c r="C2029" t="s">
        <v>41</v>
      </c>
      <c r="D2029" s="1">
        <v>46210.768043981479</v>
      </c>
      <c r="E2029" t="s">
        <v>42</v>
      </c>
      <c r="F2029" t="s">
        <v>83</v>
      </c>
      <c r="G2029">
        <v>29</v>
      </c>
      <c r="H2029">
        <v>33204</v>
      </c>
      <c r="I2029" t="s">
        <v>43</v>
      </c>
      <c r="J2029">
        <v>38</v>
      </c>
      <c r="K2029">
        <v>39</v>
      </c>
      <c r="L2029">
        <v>98</v>
      </c>
      <c r="M2029">
        <v>622.29998779000005</v>
      </c>
      <c r="N2029" t="s">
        <v>87</v>
      </c>
      <c r="O2029" t="s">
        <v>86</v>
      </c>
      <c r="P2029">
        <v>130</v>
      </c>
      <c r="Q2029">
        <v>5</v>
      </c>
      <c r="R2029">
        <v>22</v>
      </c>
      <c r="S2029">
        <v>1355</v>
      </c>
      <c r="T2029">
        <v>-40</v>
      </c>
      <c r="U2029">
        <v>50</v>
      </c>
      <c r="V2029">
        <v>126</v>
      </c>
      <c r="W2029">
        <v>27</v>
      </c>
      <c r="X2029">
        <v>27</v>
      </c>
      <c r="Y2029">
        <v>1</v>
      </c>
      <c r="Z2029">
        <v>1</v>
      </c>
      <c r="AA2029">
        <v>24</v>
      </c>
      <c r="AB2029">
        <v>2</v>
      </c>
      <c r="AC2029">
        <v>5</v>
      </c>
      <c r="AD2029">
        <v>3.2520000900000001</v>
      </c>
      <c r="AE2029">
        <v>5</v>
      </c>
      <c r="AF2029">
        <v>38</v>
      </c>
      <c r="AG2029">
        <v>3.2400000100000002</v>
      </c>
      <c r="AH2029">
        <v>4</v>
      </c>
      <c r="AI2029">
        <v>24</v>
      </c>
      <c r="AJ2029">
        <v>1</v>
      </c>
      <c r="AK2029">
        <v>17</v>
      </c>
      <c r="AL2029">
        <v>47</v>
      </c>
      <c r="AM2029" t="s">
        <v>43</v>
      </c>
      <c r="AN2029" t="s">
        <v>43</v>
      </c>
    </row>
    <row r="2030" spans="1:40" x14ac:dyDescent="0.3">
      <c r="A2030" s="1">
        <v>46210.764814814815</v>
      </c>
      <c r="B2030" t="s">
        <v>40</v>
      </c>
      <c r="C2030" t="s">
        <v>41</v>
      </c>
      <c r="D2030" s="1">
        <v>46210.767939814818</v>
      </c>
      <c r="E2030" t="s">
        <v>42</v>
      </c>
      <c r="F2030" t="s">
        <v>83</v>
      </c>
      <c r="G2030">
        <v>29</v>
      </c>
      <c r="H2030">
        <v>33203</v>
      </c>
      <c r="I2030" t="s">
        <v>968</v>
      </c>
      <c r="J2030">
        <v>38</v>
      </c>
      <c r="K2030">
        <v>179</v>
      </c>
      <c r="L2030">
        <v>98</v>
      </c>
      <c r="M2030">
        <v>615.5</v>
      </c>
      <c r="N2030" t="s">
        <v>87</v>
      </c>
      <c r="O2030" t="s">
        <v>86</v>
      </c>
      <c r="P2030">
        <v>130</v>
      </c>
      <c r="Q2030">
        <v>5</v>
      </c>
      <c r="R2030">
        <v>63</v>
      </c>
      <c r="S2030">
        <v>1281</v>
      </c>
      <c r="T2030">
        <v>-40</v>
      </c>
      <c r="U2030">
        <v>52</v>
      </c>
      <c r="V2030">
        <v>824</v>
      </c>
      <c r="W2030">
        <v>27</v>
      </c>
      <c r="X2030">
        <v>27</v>
      </c>
      <c r="Y2030">
        <v>1</v>
      </c>
      <c r="Z2030">
        <v>1</v>
      </c>
      <c r="AA2030">
        <v>24</v>
      </c>
      <c r="AB2030">
        <v>2</v>
      </c>
      <c r="AC2030">
        <v>5</v>
      </c>
      <c r="AD2030">
        <v>3.2209999599999999</v>
      </c>
      <c r="AE2030">
        <v>1</v>
      </c>
      <c r="AF2030">
        <v>33</v>
      </c>
      <c r="AG2030">
        <v>3.1989998800000001</v>
      </c>
      <c r="AH2030">
        <v>4</v>
      </c>
      <c r="AI2030">
        <v>24</v>
      </c>
      <c r="AJ2030">
        <v>1</v>
      </c>
      <c r="AK2030">
        <v>17</v>
      </c>
      <c r="AL2030">
        <v>47</v>
      </c>
      <c r="AM2030" t="s">
        <v>43</v>
      </c>
      <c r="AN2030" t="str">
        <f>HYPERLINK("https://www.google.com/maps?q=11.04666424,79.06327057","Open Location")</f>
        <v>Open Location</v>
      </c>
    </row>
    <row r="2031" spans="1:40" x14ac:dyDescent="0.3">
      <c r="A2031" s="1">
        <v>46210.764699074076</v>
      </c>
      <c r="B2031" t="s">
        <v>40</v>
      </c>
      <c r="C2031" t="s">
        <v>41</v>
      </c>
      <c r="D2031" s="1">
        <v>46210.767731481479</v>
      </c>
      <c r="E2031" t="s">
        <v>42</v>
      </c>
      <c r="F2031" t="s">
        <v>83</v>
      </c>
      <c r="G2031">
        <v>25</v>
      </c>
      <c r="H2031">
        <v>33203</v>
      </c>
      <c r="I2031" t="s">
        <v>969</v>
      </c>
      <c r="J2031">
        <v>38</v>
      </c>
      <c r="K2031">
        <v>60</v>
      </c>
      <c r="L2031">
        <v>98</v>
      </c>
      <c r="M2031">
        <v>622.79998779000005</v>
      </c>
      <c r="N2031" t="s">
        <v>87</v>
      </c>
      <c r="O2031" t="s">
        <v>86</v>
      </c>
      <c r="P2031">
        <v>130</v>
      </c>
      <c r="Q2031">
        <v>5</v>
      </c>
      <c r="R2031">
        <v>62</v>
      </c>
      <c r="S2031">
        <v>1135</v>
      </c>
      <c r="T2031">
        <v>-40</v>
      </c>
      <c r="U2031">
        <v>50</v>
      </c>
      <c r="V2031">
        <v>300</v>
      </c>
      <c r="W2031">
        <v>27</v>
      </c>
      <c r="X2031">
        <v>27</v>
      </c>
      <c r="Y2031">
        <v>1</v>
      </c>
      <c r="Z2031">
        <v>1</v>
      </c>
      <c r="AA2031">
        <v>24</v>
      </c>
      <c r="AB2031">
        <v>2</v>
      </c>
      <c r="AC2031">
        <v>5</v>
      </c>
      <c r="AD2031">
        <v>3.2520000900000001</v>
      </c>
      <c r="AE2031">
        <v>1</v>
      </c>
      <c r="AF2031">
        <v>33</v>
      </c>
      <c r="AG2031">
        <v>3.2400000100000002</v>
      </c>
      <c r="AH2031">
        <v>4</v>
      </c>
      <c r="AI2031">
        <v>24</v>
      </c>
      <c r="AJ2031">
        <v>1</v>
      </c>
      <c r="AK2031">
        <v>17</v>
      </c>
      <c r="AL2031">
        <v>47</v>
      </c>
      <c r="AM2031" t="s">
        <v>43</v>
      </c>
      <c r="AN2031" t="str">
        <f>HYPERLINK("https://www.google.com/maps?q=11.04586601,79.06352997","Open Location")</f>
        <v>Open Location</v>
      </c>
    </row>
    <row r="2032" spans="1:40" x14ac:dyDescent="0.3">
      <c r="A2032" s="1">
        <v>46210.76458333333</v>
      </c>
      <c r="B2032" t="s">
        <v>40</v>
      </c>
      <c r="C2032" t="s">
        <v>41</v>
      </c>
      <c r="D2032" s="1">
        <v>46210.767291666663</v>
      </c>
      <c r="E2032" t="s">
        <v>42</v>
      </c>
      <c r="F2032" t="s">
        <v>83</v>
      </c>
      <c r="G2032">
        <v>25</v>
      </c>
      <c r="H2032" t="s">
        <v>43</v>
      </c>
      <c r="I2032" t="s">
        <v>970</v>
      </c>
      <c r="J2032">
        <v>38</v>
      </c>
      <c r="K2032">
        <v>167</v>
      </c>
      <c r="L2032">
        <v>98</v>
      </c>
      <c r="M2032">
        <v>617.59997558999999</v>
      </c>
      <c r="N2032" t="s">
        <v>87</v>
      </c>
      <c r="O2032" t="s">
        <v>86</v>
      </c>
      <c r="P2032">
        <v>130</v>
      </c>
      <c r="Q2032">
        <v>5</v>
      </c>
      <c r="R2032">
        <v>24</v>
      </c>
      <c r="S2032">
        <v>1181</v>
      </c>
      <c r="T2032">
        <v>-40</v>
      </c>
      <c r="U2032">
        <v>51</v>
      </c>
      <c r="V2032">
        <v>540</v>
      </c>
      <c r="W2032">
        <v>27</v>
      </c>
      <c r="X2032">
        <v>27</v>
      </c>
      <c r="Y2032">
        <v>1</v>
      </c>
      <c r="Z2032">
        <v>1</v>
      </c>
      <c r="AA2032">
        <v>24</v>
      </c>
      <c r="AB2032">
        <v>2</v>
      </c>
      <c r="AC2032">
        <v>5</v>
      </c>
      <c r="AD2032">
        <v>3.23200011</v>
      </c>
      <c r="AE2032">
        <v>5</v>
      </c>
      <c r="AF2032">
        <v>38</v>
      </c>
      <c r="AG2032">
        <v>3.21199989</v>
      </c>
      <c r="AH2032">
        <v>4</v>
      </c>
      <c r="AI2032">
        <v>24</v>
      </c>
      <c r="AJ2032">
        <v>1</v>
      </c>
      <c r="AK2032">
        <v>18</v>
      </c>
      <c r="AL2032">
        <v>47</v>
      </c>
      <c r="AM2032" t="s">
        <v>43</v>
      </c>
      <c r="AN2032" t="str">
        <f>HYPERLINK("https://www.google.com/maps?q=11.04519463,79.06401062","Open Location")</f>
        <v>Open Location</v>
      </c>
    </row>
    <row r="2033" spans="1:40" x14ac:dyDescent="0.3">
      <c r="A2033" s="1">
        <v>46210.764467592591</v>
      </c>
      <c r="B2033" t="s">
        <v>40</v>
      </c>
      <c r="C2033" t="s">
        <v>41</v>
      </c>
      <c r="D2033" s="1">
        <v>46210.767291666663</v>
      </c>
      <c r="E2033" t="s">
        <v>42</v>
      </c>
      <c r="F2033" t="s">
        <v>83</v>
      </c>
      <c r="G2033">
        <v>20</v>
      </c>
      <c r="H2033">
        <v>33203</v>
      </c>
      <c r="I2033" t="s">
        <v>971</v>
      </c>
      <c r="J2033">
        <v>38</v>
      </c>
      <c r="K2033">
        <v>115</v>
      </c>
      <c r="L2033">
        <v>98</v>
      </c>
      <c r="M2033">
        <v>620.70001220999995</v>
      </c>
      <c r="N2033" t="s">
        <v>87</v>
      </c>
      <c r="O2033" t="s">
        <v>86</v>
      </c>
      <c r="P2033">
        <v>129</v>
      </c>
      <c r="Q2033">
        <v>4</v>
      </c>
      <c r="R2033">
        <v>63</v>
      </c>
      <c r="S2033">
        <v>1408</v>
      </c>
      <c r="T2033">
        <v>-40</v>
      </c>
      <c r="U2033">
        <v>51</v>
      </c>
      <c r="V2033">
        <v>460</v>
      </c>
      <c r="W2033">
        <v>27</v>
      </c>
      <c r="X2033">
        <v>27</v>
      </c>
      <c r="Y2033">
        <v>1</v>
      </c>
      <c r="Z2033">
        <v>1</v>
      </c>
      <c r="AA2033">
        <v>24</v>
      </c>
      <c r="AB2033">
        <v>2</v>
      </c>
      <c r="AC2033">
        <v>5</v>
      </c>
      <c r="AD2033">
        <v>3.2430000300000001</v>
      </c>
      <c r="AE2033">
        <v>1</v>
      </c>
      <c r="AF2033">
        <v>1</v>
      </c>
      <c r="AG2033">
        <v>3.2279999300000002</v>
      </c>
      <c r="AH2033">
        <v>4</v>
      </c>
      <c r="AI2033">
        <v>24</v>
      </c>
      <c r="AJ2033">
        <v>1</v>
      </c>
      <c r="AK2033">
        <v>18</v>
      </c>
      <c r="AL2033">
        <v>47</v>
      </c>
      <c r="AM2033" t="s">
        <v>43</v>
      </c>
      <c r="AN2033" t="str">
        <f>HYPERLINK("https://www.google.com/maps?q=11.04456902,79.06416321","Open Location")</f>
        <v>Open Location</v>
      </c>
    </row>
    <row r="2034" spans="1:40" x14ac:dyDescent="0.3">
      <c r="A2034" s="1">
        <v>46210.764351851853</v>
      </c>
      <c r="B2034" t="s">
        <v>40</v>
      </c>
      <c r="C2034" t="s">
        <v>41</v>
      </c>
      <c r="D2034" s="1">
        <v>46210.767106481479</v>
      </c>
      <c r="E2034" t="s">
        <v>42</v>
      </c>
      <c r="F2034" t="s">
        <v>83</v>
      </c>
      <c r="G2034">
        <v>14</v>
      </c>
      <c r="H2034">
        <v>33203</v>
      </c>
      <c r="I2034" t="s">
        <v>972</v>
      </c>
      <c r="J2034">
        <v>38</v>
      </c>
      <c r="K2034">
        <v>154</v>
      </c>
      <c r="L2034">
        <v>98</v>
      </c>
      <c r="M2034">
        <v>619.20001220999995</v>
      </c>
      <c r="N2034" t="s">
        <v>87</v>
      </c>
      <c r="O2034" t="s">
        <v>86</v>
      </c>
      <c r="P2034">
        <v>128</v>
      </c>
      <c r="Q2034">
        <v>4</v>
      </c>
      <c r="R2034">
        <v>2</v>
      </c>
      <c r="S2034">
        <v>1611</v>
      </c>
      <c r="T2034">
        <v>-40</v>
      </c>
      <c r="U2034">
        <v>50</v>
      </c>
      <c r="V2034">
        <v>560</v>
      </c>
      <c r="W2034">
        <v>27</v>
      </c>
      <c r="X2034">
        <v>27</v>
      </c>
      <c r="Y2034">
        <v>1</v>
      </c>
      <c r="Z2034">
        <v>1</v>
      </c>
      <c r="AA2034">
        <v>24</v>
      </c>
      <c r="AB2034">
        <v>2</v>
      </c>
      <c r="AC2034">
        <v>5</v>
      </c>
      <c r="AD2034">
        <v>3.23799992</v>
      </c>
      <c r="AE2034">
        <v>5</v>
      </c>
      <c r="AF2034">
        <v>38</v>
      </c>
      <c r="AG2034">
        <v>3.2190001000000001</v>
      </c>
      <c r="AH2034">
        <v>6</v>
      </c>
      <c r="AI2034">
        <v>24</v>
      </c>
      <c r="AJ2034">
        <v>1</v>
      </c>
      <c r="AK2034">
        <v>18</v>
      </c>
      <c r="AL2034">
        <v>47</v>
      </c>
      <c r="AM2034" t="s">
        <v>43</v>
      </c>
      <c r="AN2034" t="str">
        <f>HYPERLINK("https://www.google.com/maps?q=11.04414463,79.06422424","Open Location")</f>
        <v>Open Location</v>
      </c>
    </row>
    <row r="2035" spans="1:40" x14ac:dyDescent="0.3">
      <c r="A2035" s="1">
        <v>46210.764236111114</v>
      </c>
      <c r="B2035" t="s">
        <v>40</v>
      </c>
      <c r="C2035" t="s">
        <v>41</v>
      </c>
      <c r="D2035" s="1">
        <v>46210.767094907409</v>
      </c>
      <c r="E2035" t="s">
        <v>42</v>
      </c>
      <c r="F2035" t="s">
        <v>83</v>
      </c>
      <c r="G2035">
        <v>7</v>
      </c>
      <c r="H2035">
        <v>33203</v>
      </c>
      <c r="I2035" t="s">
        <v>43</v>
      </c>
      <c r="J2035">
        <v>38</v>
      </c>
      <c r="K2035">
        <v>52</v>
      </c>
      <c r="L2035">
        <v>98</v>
      </c>
      <c r="M2035">
        <v>624.59997558999999</v>
      </c>
      <c r="N2035" t="s">
        <v>87</v>
      </c>
      <c r="O2035" t="s">
        <v>86</v>
      </c>
      <c r="P2035">
        <v>127</v>
      </c>
      <c r="Q2035">
        <v>2</v>
      </c>
      <c r="R2035">
        <v>0</v>
      </c>
      <c r="S2035">
        <v>1270</v>
      </c>
      <c r="T2035">
        <v>-40</v>
      </c>
      <c r="U2035">
        <v>49</v>
      </c>
      <c r="V2035">
        <v>278</v>
      </c>
      <c r="W2035">
        <v>27</v>
      </c>
      <c r="X2035">
        <v>27</v>
      </c>
      <c r="Y2035">
        <v>1</v>
      </c>
      <c r="Z2035">
        <v>1</v>
      </c>
      <c r="AA2035">
        <v>24</v>
      </c>
      <c r="AB2035">
        <v>2</v>
      </c>
      <c r="AC2035">
        <v>5</v>
      </c>
      <c r="AD2035">
        <v>3.2609999200000002</v>
      </c>
      <c r="AE2035">
        <v>1</v>
      </c>
      <c r="AF2035">
        <v>1</v>
      </c>
      <c r="AG2035">
        <v>3.2509999299999999</v>
      </c>
      <c r="AH2035">
        <v>4</v>
      </c>
      <c r="AI2035">
        <v>24</v>
      </c>
      <c r="AJ2035">
        <v>1</v>
      </c>
      <c r="AK2035">
        <v>18</v>
      </c>
      <c r="AL2035">
        <v>47</v>
      </c>
      <c r="AM2035" t="s">
        <v>43</v>
      </c>
      <c r="AN2035" t="s">
        <v>43</v>
      </c>
    </row>
    <row r="2036" spans="1:40" x14ac:dyDescent="0.3">
      <c r="A2036" s="1">
        <v>46210.764120370368</v>
      </c>
      <c r="B2036" t="s">
        <v>40</v>
      </c>
      <c r="C2036" t="s">
        <v>41</v>
      </c>
      <c r="D2036" s="1">
        <v>46210.76730324074</v>
      </c>
      <c r="E2036" t="s">
        <v>42</v>
      </c>
      <c r="F2036" t="s">
        <v>83</v>
      </c>
      <c r="G2036">
        <v>15</v>
      </c>
      <c r="H2036">
        <v>33203</v>
      </c>
      <c r="I2036" t="s">
        <v>973</v>
      </c>
      <c r="J2036">
        <v>38</v>
      </c>
      <c r="K2036">
        <v>86</v>
      </c>
      <c r="L2036">
        <v>98</v>
      </c>
      <c r="M2036">
        <v>622.40002441000001</v>
      </c>
      <c r="N2036" t="s">
        <v>87</v>
      </c>
      <c r="O2036" t="s">
        <v>86</v>
      </c>
      <c r="P2036">
        <v>129</v>
      </c>
      <c r="Q2036">
        <v>4</v>
      </c>
      <c r="R2036">
        <v>-14</v>
      </c>
      <c r="S2036">
        <v>1094</v>
      </c>
      <c r="T2036">
        <v>-40</v>
      </c>
      <c r="U2036">
        <v>50</v>
      </c>
      <c r="V2036">
        <v>420</v>
      </c>
      <c r="W2036">
        <v>27</v>
      </c>
      <c r="X2036">
        <v>27</v>
      </c>
      <c r="Y2036">
        <v>1</v>
      </c>
      <c r="Z2036">
        <v>1</v>
      </c>
      <c r="AA2036">
        <v>24</v>
      </c>
      <c r="AB2036">
        <v>2</v>
      </c>
      <c r="AC2036">
        <v>5</v>
      </c>
      <c r="AD2036">
        <v>3.2509999299999999</v>
      </c>
      <c r="AE2036">
        <v>5</v>
      </c>
      <c r="AF2036">
        <v>38</v>
      </c>
      <c r="AG2036">
        <v>3.2369999900000002</v>
      </c>
      <c r="AH2036">
        <v>4</v>
      </c>
      <c r="AI2036">
        <v>24</v>
      </c>
      <c r="AJ2036">
        <v>1</v>
      </c>
      <c r="AK2036">
        <v>19</v>
      </c>
      <c r="AL2036">
        <v>47</v>
      </c>
      <c r="AM2036" t="s">
        <v>43</v>
      </c>
      <c r="AN2036" t="str">
        <f>HYPERLINK("https://www.google.com/maps?q=11.04390717,79.06430054","Open Location")</f>
        <v>Open Location</v>
      </c>
    </row>
    <row r="2037" spans="1:40" x14ac:dyDescent="0.3">
      <c r="A2037" s="1">
        <v>46210.764004629629</v>
      </c>
      <c r="B2037" t="s">
        <v>40</v>
      </c>
      <c r="C2037" t="s">
        <v>41</v>
      </c>
      <c r="D2037" s="1">
        <v>46210.766886574071</v>
      </c>
      <c r="E2037" t="s">
        <v>42</v>
      </c>
      <c r="F2037" t="s">
        <v>83</v>
      </c>
      <c r="G2037">
        <v>11</v>
      </c>
      <c r="H2037">
        <v>33203</v>
      </c>
      <c r="I2037" t="s">
        <v>974</v>
      </c>
      <c r="J2037">
        <v>38</v>
      </c>
      <c r="K2037">
        <v>12</v>
      </c>
      <c r="L2037">
        <v>98</v>
      </c>
      <c r="M2037">
        <v>625.79998779000005</v>
      </c>
      <c r="N2037" t="s">
        <v>87</v>
      </c>
      <c r="O2037" t="s">
        <v>86</v>
      </c>
      <c r="P2037">
        <v>128</v>
      </c>
      <c r="Q2037">
        <v>3</v>
      </c>
      <c r="R2037">
        <v>82</v>
      </c>
      <c r="S2037">
        <v>1173</v>
      </c>
      <c r="T2037">
        <v>-40</v>
      </c>
      <c r="U2037">
        <v>50</v>
      </c>
      <c r="V2037">
        <v>-7</v>
      </c>
      <c r="W2037">
        <v>27</v>
      </c>
      <c r="X2037">
        <v>27</v>
      </c>
      <c r="Y2037">
        <v>1</v>
      </c>
      <c r="Z2037">
        <v>1</v>
      </c>
      <c r="AA2037">
        <v>24</v>
      </c>
      <c r="AB2037">
        <v>2</v>
      </c>
      <c r="AC2037">
        <v>5</v>
      </c>
      <c r="AD2037">
        <v>3.2650001</v>
      </c>
      <c r="AE2037">
        <v>1</v>
      </c>
      <c r="AF2037">
        <v>1</v>
      </c>
      <c r="AG2037">
        <v>3.25600004</v>
      </c>
      <c r="AH2037">
        <v>7</v>
      </c>
      <c r="AI2037">
        <v>19</v>
      </c>
      <c r="AJ2037">
        <v>1</v>
      </c>
      <c r="AK2037">
        <v>18</v>
      </c>
      <c r="AL2037">
        <v>47</v>
      </c>
      <c r="AM2037" t="s">
        <v>43</v>
      </c>
      <c r="AN2037" t="str">
        <f>HYPERLINK("https://www.google.com/maps?q=11.04349518,79.06445313","Open Location")</f>
        <v>Open Location</v>
      </c>
    </row>
    <row r="2038" spans="1:40" x14ac:dyDescent="0.3">
      <c r="A2038" s="1">
        <v>46210.763888888891</v>
      </c>
      <c r="B2038" t="s">
        <v>40</v>
      </c>
      <c r="C2038" t="s">
        <v>41</v>
      </c>
      <c r="D2038" s="1">
        <v>46210.767071759263</v>
      </c>
      <c r="E2038" t="s">
        <v>42</v>
      </c>
      <c r="F2038" t="s">
        <v>83</v>
      </c>
      <c r="G2038">
        <v>6</v>
      </c>
      <c r="H2038">
        <v>33203</v>
      </c>
      <c r="I2038" t="s">
        <v>975</v>
      </c>
      <c r="J2038">
        <v>39</v>
      </c>
      <c r="K2038">
        <v>111</v>
      </c>
      <c r="L2038">
        <v>98</v>
      </c>
      <c r="M2038">
        <v>625.09997558999999</v>
      </c>
      <c r="N2038" t="s">
        <v>87</v>
      </c>
      <c r="O2038" t="s">
        <v>86</v>
      </c>
      <c r="P2038">
        <v>127</v>
      </c>
      <c r="Q2038">
        <v>2</v>
      </c>
      <c r="R2038">
        <v>17</v>
      </c>
      <c r="S2038">
        <v>1387</v>
      </c>
      <c r="T2038">
        <v>-40</v>
      </c>
      <c r="U2038">
        <v>49</v>
      </c>
      <c r="V2038">
        <v>122</v>
      </c>
      <c r="W2038">
        <v>27</v>
      </c>
      <c r="X2038">
        <v>27</v>
      </c>
      <c r="Y2038">
        <v>1</v>
      </c>
      <c r="Z2038">
        <v>1</v>
      </c>
      <c r="AA2038">
        <v>24</v>
      </c>
      <c r="AB2038">
        <v>2</v>
      </c>
      <c r="AC2038">
        <v>5</v>
      </c>
      <c r="AD2038" t="s">
        <v>43</v>
      </c>
      <c r="AE2038" t="s">
        <v>43</v>
      </c>
      <c r="AF2038" t="s">
        <v>43</v>
      </c>
      <c r="AG2038" t="s">
        <v>43</v>
      </c>
      <c r="AH2038" t="s">
        <v>43</v>
      </c>
      <c r="AI2038" t="s">
        <v>43</v>
      </c>
      <c r="AJ2038">
        <v>1</v>
      </c>
      <c r="AK2038">
        <v>18</v>
      </c>
      <c r="AL2038">
        <v>47</v>
      </c>
      <c r="AM2038" t="s">
        <v>43</v>
      </c>
      <c r="AN2038" t="str">
        <f>HYPERLINK("https://www.google.com/maps?q=11.04328346,79.06455994","Open Location")</f>
        <v>Open Location</v>
      </c>
    </row>
    <row r="2039" spans="1:40" x14ac:dyDescent="0.3">
      <c r="A2039" s="1">
        <v>46210.763773148145</v>
      </c>
      <c r="B2039" t="s">
        <v>40</v>
      </c>
      <c r="C2039" t="s">
        <v>41</v>
      </c>
      <c r="D2039" s="1">
        <v>46210.766585648147</v>
      </c>
      <c r="E2039" t="s">
        <v>42</v>
      </c>
      <c r="F2039" t="s">
        <v>83</v>
      </c>
      <c r="G2039">
        <v>8</v>
      </c>
      <c r="H2039">
        <v>33203</v>
      </c>
      <c r="I2039" t="s">
        <v>976</v>
      </c>
      <c r="J2039">
        <v>39</v>
      </c>
      <c r="K2039">
        <v>11</v>
      </c>
      <c r="L2039">
        <v>98</v>
      </c>
      <c r="M2039">
        <v>626</v>
      </c>
      <c r="N2039" t="s">
        <v>87</v>
      </c>
      <c r="O2039" t="s">
        <v>86</v>
      </c>
      <c r="P2039">
        <v>128</v>
      </c>
      <c r="Q2039">
        <v>3</v>
      </c>
      <c r="R2039">
        <v>30</v>
      </c>
      <c r="S2039">
        <v>1100</v>
      </c>
      <c r="T2039">
        <v>-40</v>
      </c>
      <c r="U2039">
        <v>49</v>
      </c>
      <c r="V2039">
        <v>5</v>
      </c>
      <c r="W2039">
        <v>27</v>
      </c>
      <c r="X2039">
        <v>27</v>
      </c>
      <c r="Y2039">
        <v>1</v>
      </c>
      <c r="Z2039">
        <v>1</v>
      </c>
      <c r="AA2039">
        <v>24</v>
      </c>
      <c r="AB2039">
        <v>2</v>
      </c>
      <c r="AC2039">
        <v>5</v>
      </c>
      <c r="AD2039">
        <v>3.2669999600000001</v>
      </c>
      <c r="AE2039">
        <v>1</v>
      </c>
      <c r="AF2039">
        <v>1</v>
      </c>
      <c r="AG2039">
        <v>3.25900006</v>
      </c>
      <c r="AH2039">
        <v>7</v>
      </c>
      <c r="AI2039">
        <v>19</v>
      </c>
      <c r="AJ2039">
        <v>1</v>
      </c>
      <c r="AK2039">
        <v>18</v>
      </c>
      <c r="AL2039">
        <v>47</v>
      </c>
      <c r="AM2039" t="s">
        <v>43</v>
      </c>
      <c r="AN2039" t="str">
        <f>HYPERLINK("https://www.google.com/maps?q=11.04309273,79.06466675","Open Location")</f>
        <v>Open Location</v>
      </c>
    </row>
    <row r="2040" spans="1:40" x14ac:dyDescent="0.3">
      <c r="A2040" s="1">
        <v>46210.763657407406</v>
      </c>
      <c r="B2040" t="s">
        <v>40</v>
      </c>
      <c r="C2040" t="s">
        <v>41</v>
      </c>
      <c r="D2040" s="1">
        <v>46210.766504629632</v>
      </c>
      <c r="E2040" t="s">
        <v>42</v>
      </c>
      <c r="F2040" t="s">
        <v>83</v>
      </c>
      <c r="G2040">
        <v>9</v>
      </c>
      <c r="H2040">
        <v>33203</v>
      </c>
      <c r="I2040" t="s">
        <v>977</v>
      </c>
      <c r="J2040">
        <v>39</v>
      </c>
      <c r="K2040">
        <v>11</v>
      </c>
      <c r="L2040">
        <v>98</v>
      </c>
      <c r="M2040">
        <v>625.5</v>
      </c>
      <c r="N2040" t="s">
        <v>87</v>
      </c>
      <c r="O2040" t="s">
        <v>86</v>
      </c>
      <c r="P2040">
        <v>127</v>
      </c>
      <c r="Q2040">
        <v>3</v>
      </c>
      <c r="R2040">
        <v>60</v>
      </c>
      <c r="S2040">
        <v>1529</v>
      </c>
      <c r="T2040">
        <v>-40</v>
      </c>
      <c r="U2040">
        <v>50</v>
      </c>
      <c r="V2040">
        <v>0</v>
      </c>
      <c r="W2040">
        <v>27</v>
      </c>
      <c r="X2040">
        <v>27</v>
      </c>
      <c r="Y2040">
        <v>1</v>
      </c>
      <c r="Z2040">
        <v>1</v>
      </c>
      <c r="AA2040">
        <v>24</v>
      </c>
      <c r="AB2040">
        <v>2</v>
      </c>
      <c r="AC2040">
        <v>5</v>
      </c>
      <c r="AD2040">
        <v>3.26799989</v>
      </c>
      <c r="AE2040">
        <v>1</v>
      </c>
      <c r="AF2040">
        <v>1</v>
      </c>
      <c r="AG2040">
        <v>3.2609999200000002</v>
      </c>
      <c r="AH2040">
        <v>4</v>
      </c>
      <c r="AI2040">
        <v>24</v>
      </c>
      <c r="AJ2040">
        <v>1</v>
      </c>
      <c r="AK2040">
        <v>20</v>
      </c>
      <c r="AL2040">
        <v>47</v>
      </c>
      <c r="AM2040" t="s">
        <v>43</v>
      </c>
      <c r="AN2040" t="str">
        <f>HYPERLINK("https://www.google.com/maps?q=11.04311275,79.06494141","Open Location")</f>
        <v>Open Location</v>
      </c>
    </row>
    <row r="2041" spans="1:40" x14ac:dyDescent="0.3">
      <c r="A2041" s="1">
        <v>46210.763541666667</v>
      </c>
      <c r="B2041" t="s">
        <v>40</v>
      </c>
      <c r="C2041" t="s">
        <v>41</v>
      </c>
      <c r="D2041" s="1">
        <v>46210.766608796293</v>
      </c>
      <c r="E2041" t="s">
        <v>42</v>
      </c>
      <c r="F2041" t="s">
        <v>83</v>
      </c>
      <c r="G2041">
        <v>15</v>
      </c>
      <c r="H2041">
        <v>33203</v>
      </c>
      <c r="I2041" t="s">
        <v>43</v>
      </c>
      <c r="J2041">
        <v>39</v>
      </c>
      <c r="K2041">
        <v>56</v>
      </c>
      <c r="L2041">
        <v>98</v>
      </c>
      <c r="M2041">
        <v>623.79998779000005</v>
      </c>
      <c r="N2041" t="s">
        <v>87</v>
      </c>
      <c r="O2041" t="s">
        <v>86</v>
      </c>
      <c r="P2041">
        <v>129</v>
      </c>
      <c r="Q2041">
        <v>4</v>
      </c>
      <c r="R2041">
        <v>-14</v>
      </c>
      <c r="S2041">
        <v>1165</v>
      </c>
      <c r="T2041">
        <v>-40</v>
      </c>
      <c r="U2041">
        <v>51</v>
      </c>
      <c r="V2041">
        <v>260</v>
      </c>
      <c r="W2041">
        <v>27</v>
      </c>
      <c r="X2041">
        <v>27</v>
      </c>
      <c r="Y2041">
        <v>1</v>
      </c>
      <c r="Z2041">
        <v>1</v>
      </c>
      <c r="AA2041">
        <v>24</v>
      </c>
      <c r="AB2041">
        <v>2</v>
      </c>
      <c r="AC2041">
        <v>5</v>
      </c>
      <c r="AD2041">
        <v>3.2550001100000001</v>
      </c>
      <c r="AE2041">
        <v>1</v>
      </c>
      <c r="AF2041">
        <v>1</v>
      </c>
      <c r="AG2041">
        <v>3.24399996</v>
      </c>
      <c r="AH2041">
        <v>4</v>
      </c>
      <c r="AI2041">
        <v>24</v>
      </c>
      <c r="AJ2041">
        <v>1</v>
      </c>
      <c r="AK2041">
        <v>19</v>
      </c>
      <c r="AL2041">
        <v>40</v>
      </c>
      <c r="AM2041" t="s">
        <v>43</v>
      </c>
      <c r="AN2041" t="s">
        <v>43</v>
      </c>
    </row>
    <row r="2042" spans="1:40" x14ac:dyDescent="0.3">
      <c r="A2042" s="1">
        <v>46210.763425925928</v>
      </c>
      <c r="B2042" t="s">
        <v>40</v>
      </c>
      <c r="C2042" t="s">
        <v>41</v>
      </c>
      <c r="D2042" s="1">
        <v>46210.766203703701</v>
      </c>
      <c r="E2042" t="s">
        <v>42</v>
      </c>
      <c r="F2042" t="s">
        <v>83</v>
      </c>
      <c r="G2042">
        <v>12</v>
      </c>
      <c r="H2042">
        <v>33203</v>
      </c>
      <c r="I2042" t="s">
        <v>978</v>
      </c>
      <c r="J2042">
        <v>39</v>
      </c>
      <c r="K2042">
        <v>55</v>
      </c>
      <c r="L2042">
        <v>98</v>
      </c>
      <c r="M2042">
        <v>622.29998779000005</v>
      </c>
      <c r="N2042" t="s">
        <v>87</v>
      </c>
      <c r="O2042" t="s">
        <v>86</v>
      </c>
      <c r="P2042">
        <v>128</v>
      </c>
      <c r="Q2042">
        <v>3</v>
      </c>
      <c r="R2042">
        <v>79</v>
      </c>
      <c r="S2042">
        <v>1164</v>
      </c>
      <c r="T2042">
        <v>-40</v>
      </c>
      <c r="U2042">
        <v>51</v>
      </c>
      <c r="V2042">
        <v>295</v>
      </c>
      <c r="W2042">
        <v>27</v>
      </c>
      <c r="X2042">
        <v>27</v>
      </c>
      <c r="Y2042">
        <v>1</v>
      </c>
      <c r="Z2042">
        <v>1</v>
      </c>
      <c r="AA2042">
        <v>24</v>
      </c>
      <c r="AB2042">
        <v>2</v>
      </c>
      <c r="AC2042">
        <v>5</v>
      </c>
      <c r="AD2042">
        <v>3.2639999400000002</v>
      </c>
      <c r="AE2042">
        <v>1</v>
      </c>
      <c r="AF2042">
        <v>1</v>
      </c>
      <c r="AG2042">
        <v>3.2550001100000001</v>
      </c>
      <c r="AH2042">
        <v>6</v>
      </c>
      <c r="AI2042">
        <v>24</v>
      </c>
      <c r="AJ2042">
        <v>1</v>
      </c>
      <c r="AK2042">
        <v>20</v>
      </c>
      <c r="AL2042">
        <v>40</v>
      </c>
      <c r="AM2042" t="s">
        <v>43</v>
      </c>
      <c r="AN2042" t="str">
        <f>HYPERLINK("https://www.google.com/maps?q=11.04315281,79.06538391","Open Location")</f>
        <v>Open Location</v>
      </c>
    </row>
    <row r="2043" spans="1:40" x14ac:dyDescent="0.3">
      <c r="A2043" s="1">
        <v>46210.763310185182</v>
      </c>
      <c r="B2043" t="s">
        <v>40</v>
      </c>
      <c r="C2043" t="s">
        <v>41</v>
      </c>
      <c r="D2043" s="1">
        <v>46210.766111111108</v>
      </c>
      <c r="E2043" t="s">
        <v>42</v>
      </c>
      <c r="F2043" t="s">
        <v>83</v>
      </c>
      <c r="G2043">
        <v>6</v>
      </c>
      <c r="H2043">
        <v>33203</v>
      </c>
      <c r="I2043" t="s">
        <v>979</v>
      </c>
      <c r="J2043">
        <v>39</v>
      </c>
      <c r="K2043">
        <v>-46</v>
      </c>
      <c r="L2043">
        <v>98</v>
      </c>
      <c r="M2043">
        <v>628.29998779000005</v>
      </c>
      <c r="N2043" t="s">
        <v>87</v>
      </c>
      <c r="O2043" t="s">
        <v>86</v>
      </c>
      <c r="P2043">
        <v>130</v>
      </c>
      <c r="Q2043">
        <v>2</v>
      </c>
      <c r="R2043">
        <v>0</v>
      </c>
      <c r="S2043">
        <v>473</v>
      </c>
      <c r="T2043">
        <v>-40</v>
      </c>
      <c r="U2043">
        <v>51</v>
      </c>
      <c r="V2043">
        <v>-710</v>
      </c>
      <c r="W2043">
        <v>27</v>
      </c>
      <c r="X2043">
        <v>27</v>
      </c>
      <c r="Y2043">
        <v>1</v>
      </c>
      <c r="Z2043">
        <v>1</v>
      </c>
      <c r="AA2043">
        <v>24</v>
      </c>
      <c r="AB2043">
        <v>2</v>
      </c>
      <c r="AC2043">
        <v>5</v>
      </c>
      <c r="AD2043">
        <v>3.2790000400000001</v>
      </c>
      <c r="AE2043">
        <v>1</v>
      </c>
      <c r="AF2043">
        <v>16</v>
      </c>
      <c r="AG2043">
        <v>3.27399993</v>
      </c>
      <c r="AH2043">
        <v>2</v>
      </c>
      <c r="AI2043">
        <v>12</v>
      </c>
      <c r="AJ2043">
        <v>1</v>
      </c>
      <c r="AK2043">
        <v>17</v>
      </c>
      <c r="AL2043">
        <v>40</v>
      </c>
      <c r="AM2043" t="s">
        <v>43</v>
      </c>
      <c r="AN2043" t="str">
        <f>HYPERLINK("https://www.google.com/maps?q=11.04316998,79.06559753","Open Location")</f>
        <v>Open Location</v>
      </c>
    </row>
    <row r="2044" spans="1:40" x14ac:dyDescent="0.3">
      <c r="A2044" s="1">
        <v>46210.763194444444</v>
      </c>
      <c r="B2044" t="s">
        <v>40</v>
      </c>
      <c r="C2044" t="s">
        <v>41</v>
      </c>
      <c r="D2044" s="1">
        <v>46210.766018518516</v>
      </c>
      <c r="E2044" t="s">
        <v>42</v>
      </c>
      <c r="F2044" t="s">
        <v>83</v>
      </c>
      <c r="G2044">
        <v>26</v>
      </c>
      <c r="H2044">
        <v>33203</v>
      </c>
      <c r="I2044" t="s">
        <v>980</v>
      </c>
      <c r="J2044">
        <v>39</v>
      </c>
      <c r="K2044">
        <v>80</v>
      </c>
      <c r="L2044">
        <v>98</v>
      </c>
      <c r="M2044">
        <v>622.40002441000001</v>
      </c>
      <c r="N2044" t="s">
        <v>87</v>
      </c>
      <c r="O2044" t="s">
        <v>86</v>
      </c>
      <c r="P2044">
        <v>130</v>
      </c>
      <c r="Q2044">
        <v>5</v>
      </c>
      <c r="R2044">
        <v>-24</v>
      </c>
      <c r="S2044">
        <v>1231</v>
      </c>
      <c r="T2044">
        <v>-40</v>
      </c>
      <c r="U2044">
        <v>51</v>
      </c>
      <c r="V2044">
        <v>390</v>
      </c>
      <c r="W2044">
        <v>27</v>
      </c>
      <c r="X2044">
        <v>27</v>
      </c>
      <c r="Y2044">
        <v>1</v>
      </c>
      <c r="Z2044">
        <v>1</v>
      </c>
      <c r="AA2044">
        <v>24</v>
      </c>
      <c r="AB2044">
        <v>2</v>
      </c>
      <c r="AC2044">
        <v>5</v>
      </c>
      <c r="AD2044">
        <v>3.24399996</v>
      </c>
      <c r="AE2044">
        <v>5</v>
      </c>
      <c r="AF2044">
        <v>38</v>
      </c>
      <c r="AG2044">
        <v>3.2300000199999999</v>
      </c>
      <c r="AH2044">
        <v>4</v>
      </c>
      <c r="AI2044">
        <v>24</v>
      </c>
      <c r="AJ2044">
        <v>1</v>
      </c>
      <c r="AK2044">
        <v>17</v>
      </c>
      <c r="AL2044">
        <v>40</v>
      </c>
      <c r="AM2044" t="s">
        <v>43</v>
      </c>
      <c r="AN2044" t="str">
        <f>HYPERLINK("https://www.google.com/maps?q=11.04309177,79.06625366","Open Location")</f>
        <v>Open Location</v>
      </c>
    </row>
    <row r="2045" spans="1:40" x14ac:dyDescent="0.3">
      <c r="A2045" s="1">
        <v>46210.763078703705</v>
      </c>
      <c r="B2045" t="s">
        <v>40</v>
      </c>
      <c r="C2045" t="s">
        <v>41</v>
      </c>
      <c r="D2045" s="1">
        <v>46210.766053240739</v>
      </c>
      <c r="E2045" t="s">
        <v>42</v>
      </c>
      <c r="F2045" t="s">
        <v>83</v>
      </c>
      <c r="G2045">
        <v>26</v>
      </c>
      <c r="H2045">
        <v>33203</v>
      </c>
      <c r="I2045" t="s">
        <v>981</v>
      </c>
      <c r="J2045">
        <v>39</v>
      </c>
      <c r="K2045">
        <v>142</v>
      </c>
      <c r="L2045">
        <v>98</v>
      </c>
      <c r="M2045">
        <v>619.29998779000005</v>
      </c>
      <c r="N2045" t="s">
        <v>87</v>
      </c>
      <c r="O2045" t="s">
        <v>86</v>
      </c>
      <c r="P2045">
        <v>130</v>
      </c>
      <c r="Q2045">
        <v>5</v>
      </c>
      <c r="R2045">
        <v>83</v>
      </c>
      <c r="S2045">
        <v>1122</v>
      </c>
      <c r="T2045">
        <v>-40</v>
      </c>
      <c r="U2045">
        <v>52</v>
      </c>
      <c r="V2045">
        <v>680</v>
      </c>
      <c r="W2045">
        <v>27</v>
      </c>
      <c r="X2045">
        <v>27</v>
      </c>
      <c r="Y2045">
        <v>1</v>
      </c>
      <c r="Z2045">
        <v>1</v>
      </c>
      <c r="AA2045">
        <v>24</v>
      </c>
      <c r="AB2045">
        <v>2</v>
      </c>
      <c r="AC2045">
        <v>5</v>
      </c>
      <c r="AD2045">
        <v>3.24099994</v>
      </c>
      <c r="AE2045">
        <v>1</v>
      </c>
      <c r="AF2045">
        <v>33</v>
      </c>
      <c r="AG2045">
        <v>3.2239999799999999</v>
      </c>
      <c r="AH2045">
        <v>4</v>
      </c>
      <c r="AI2045">
        <v>24</v>
      </c>
      <c r="AJ2045">
        <v>1</v>
      </c>
      <c r="AK2045">
        <v>17</v>
      </c>
      <c r="AL2045">
        <v>40</v>
      </c>
      <c r="AM2045" t="s">
        <v>43</v>
      </c>
      <c r="AN2045" t="str">
        <f>HYPERLINK("https://www.google.com/maps?q=11.04301929,79.06703949","Open Location")</f>
        <v>Open Location</v>
      </c>
    </row>
    <row r="2046" spans="1:40" x14ac:dyDescent="0.3">
      <c r="A2046" s="1">
        <v>46210.762962962966</v>
      </c>
      <c r="B2046" t="s">
        <v>40</v>
      </c>
      <c r="C2046" t="s">
        <v>41</v>
      </c>
      <c r="D2046" s="1">
        <v>46210.766053240739</v>
      </c>
      <c r="E2046" t="s">
        <v>42</v>
      </c>
      <c r="F2046" t="s">
        <v>83</v>
      </c>
      <c r="G2046">
        <v>22</v>
      </c>
      <c r="H2046">
        <v>33203</v>
      </c>
      <c r="I2046" t="s">
        <v>43</v>
      </c>
      <c r="J2046">
        <v>39</v>
      </c>
      <c r="K2046">
        <v>29</v>
      </c>
      <c r="L2046">
        <v>98</v>
      </c>
      <c r="M2046">
        <v>624.59997558999999</v>
      </c>
      <c r="N2046" t="s">
        <v>87</v>
      </c>
      <c r="O2046" t="s">
        <v>86</v>
      </c>
      <c r="P2046">
        <v>129</v>
      </c>
      <c r="Q2046">
        <v>4</v>
      </c>
      <c r="R2046">
        <v>96</v>
      </c>
      <c r="S2046">
        <v>1676</v>
      </c>
      <c r="T2046">
        <v>-40</v>
      </c>
      <c r="U2046">
        <v>50</v>
      </c>
      <c r="V2046">
        <v>100</v>
      </c>
      <c r="W2046">
        <v>27</v>
      </c>
      <c r="X2046">
        <v>27</v>
      </c>
      <c r="Y2046">
        <v>1</v>
      </c>
      <c r="Z2046">
        <v>1</v>
      </c>
      <c r="AA2046">
        <v>24</v>
      </c>
      <c r="AB2046">
        <v>2</v>
      </c>
      <c r="AC2046">
        <v>5</v>
      </c>
      <c r="AD2046">
        <v>3.2609999200000002</v>
      </c>
      <c r="AE2046">
        <v>1</v>
      </c>
      <c r="AF2046">
        <v>1</v>
      </c>
      <c r="AG2046">
        <v>3.2520000900000001</v>
      </c>
      <c r="AH2046">
        <v>4</v>
      </c>
      <c r="AI2046">
        <v>24</v>
      </c>
      <c r="AJ2046">
        <v>1</v>
      </c>
      <c r="AK2046">
        <v>17</v>
      </c>
      <c r="AL2046">
        <v>40</v>
      </c>
      <c r="AM2046" t="s">
        <v>43</v>
      </c>
      <c r="AN2046" t="s">
        <v>43</v>
      </c>
    </row>
    <row r="2047" spans="1:40" x14ac:dyDescent="0.3">
      <c r="A2047" s="1">
        <v>46210.76284722222</v>
      </c>
      <c r="B2047" t="s">
        <v>40</v>
      </c>
      <c r="C2047" t="s">
        <v>41</v>
      </c>
      <c r="D2047" s="1">
        <v>46210.766134259262</v>
      </c>
      <c r="E2047" t="s">
        <v>42</v>
      </c>
      <c r="F2047" t="s">
        <v>83</v>
      </c>
      <c r="G2047">
        <v>21</v>
      </c>
      <c r="H2047">
        <v>33203</v>
      </c>
      <c r="I2047" t="s">
        <v>982</v>
      </c>
      <c r="J2047">
        <v>39</v>
      </c>
      <c r="K2047">
        <v>144</v>
      </c>
      <c r="L2047">
        <v>98</v>
      </c>
      <c r="M2047">
        <v>619.29998779000005</v>
      </c>
      <c r="N2047" t="s">
        <v>87</v>
      </c>
      <c r="O2047" t="s">
        <v>86</v>
      </c>
      <c r="P2047">
        <v>129</v>
      </c>
      <c r="Q2047">
        <v>4</v>
      </c>
      <c r="R2047">
        <v>58</v>
      </c>
      <c r="S2047">
        <v>1522</v>
      </c>
      <c r="T2047">
        <v>-40</v>
      </c>
      <c r="U2047">
        <v>52</v>
      </c>
      <c r="V2047">
        <v>520</v>
      </c>
      <c r="W2047">
        <v>27</v>
      </c>
      <c r="X2047">
        <v>27</v>
      </c>
      <c r="Y2047">
        <v>1</v>
      </c>
      <c r="Z2047">
        <v>1</v>
      </c>
      <c r="AA2047">
        <v>24</v>
      </c>
      <c r="AB2047">
        <v>2</v>
      </c>
      <c r="AC2047">
        <v>5</v>
      </c>
      <c r="AD2047">
        <v>3.2390000799999998</v>
      </c>
      <c r="AE2047">
        <v>5</v>
      </c>
      <c r="AF2047">
        <v>38</v>
      </c>
      <c r="AG2047">
        <v>3.2219998799999998</v>
      </c>
      <c r="AH2047">
        <v>4</v>
      </c>
      <c r="AI2047">
        <v>24</v>
      </c>
      <c r="AJ2047">
        <v>1</v>
      </c>
      <c r="AK2047">
        <v>17</v>
      </c>
      <c r="AL2047">
        <v>40</v>
      </c>
      <c r="AM2047" t="s">
        <v>43</v>
      </c>
      <c r="AN2047" t="str">
        <f>HYPERLINK("https://www.google.com/maps?q=11.04316998,79.06774139","Open Location")</f>
        <v>Open Location</v>
      </c>
    </row>
    <row r="2048" spans="1:40" x14ac:dyDescent="0.3">
      <c r="A2048" s="1">
        <v>46210.762731481482</v>
      </c>
      <c r="B2048" t="s">
        <v>40</v>
      </c>
      <c r="C2048" t="s">
        <v>41</v>
      </c>
      <c r="D2048" s="1">
        <v>46210.765462962961</v>
      </c>
      <c r="E2048" t="s">
        <v>42</v>
      </c>
      <c r="F2048" t="s">
        <v>83</v>
      </c>
      <c r="G2048">
        <v>15</v>
      </c>
      <c r="H2048" t="s">
        <v>43</v>
      </c>
      <c r="I2048" t="s">
        <v>983</v>
      </c>
      <c r="J2048">
        <v>39</v>
      </c>
      <c r="K2048">
        <v>176</v>
      </c>
      <c r="L2048">
        <v>98</v>
      </c>
      <c r="M2048">
        <v>618.5</v>
      </c>
      <c r="N2048" t="s">
        <v>87</v>
      </c>
      <c r="O2048" t="s">
        <v>86</v>
      </c>
      <c r="P2048">
        <v>129</v>
      </c>
      <c r="Q2048">
        <v>4</v>
      </c>
      <c r="R2048">
        <v>14</v>
      </c>
      <c r="S2048">
        <v>1711</v>
      </c>
      <c r="T2048">
        <v>-40</v>
      </c>
      <c r="U2048">
        <v>51</v>
      </c>
      <c r="V2048">
        <v>580</v>
      </c>
      <c r="W2048">
        <v>27</v>
      </c>
      <c r="X2048">
        <v>27</v>
      </c>
      <c r="Y2048">
        <v>1</v>
      </c>
      <c r="Z2048">
        <v>1</v>
      </c>
      <c r="AA2048">
        <v>24</v>
      </c>
      <c r="AB2048">
        <v>2</v>
      </c>
      <c r="AC2048">
        <v>5</v>
      </c>
      <c r="AD2048">
        <v>3.2360000599999998</v>
      </c>
      <c r="AE2048">
        <v>5</v>
      </c>
      <c r="AF2048">
        <v>38</v>
      </c>
      <c r="AG2048">
        <v>3.2160000800000001</v>
      </c>
      <c r="AH2048">
        <v>4</v>
      </c>
      <c r="AI2048">
        <v>24</v>
      </c>
      <c r="AJ2048">
        <v>1</v>
      </c>
      <c r="AK2048">
        <v>17</v>
      </c>
      <c r="AL2048">
        <v>40</v>
      </c>
      <c r="AM2048" t="s">
        <v>43</v>
      </c>
      <c r="AN2048" t="str">
        <f>HYPERLINK("https://www.google.com/maps?q=11.04319763,79.06834412","Open Location")</f>
        <v>Open Location</v>
      </c>
    </row>
    <row r="2049" spans="1:40" x14ac:dyDescent="0.3">
      <c r="A2049" s="1">
        <v>46210.762615740743</v>
      </c>
      <c r="B2049" t="s">
        <v>40</v>
      </c>
      <c r="C2049" t="s">
        <v>41</v>
      </c>
      <c r="D2049" s="1">
        <v>46210.765416666669</v>
      </c>
      <c r="E2049" t="s">
        <v>42</v>
      </c>
      <c r="F2049" t="s">
        <v>83</v>
      </c>
      <c r="G2049">
        <v>5</v>
      </c>
      <c r="H2049">
        <v>33203</v>
      </c>
      <c r="I2049" t="s">
        <v>984</v>
      </c>
      <c r="J2049">
        <v>39</v>
      </c>
      <c r="K2049">
        <v>28</v>
      </c>
      <c r="L2049">
        <v>98</v>
      </c>
      <c r="M2049">
        <v>625</v>
      </c>
      <c r="N2049" t="s">
        <v>87</v>
      </c>
      <c r="O2049" t="s">
        <v>86</v>
      </c>
      <c r="P2049">
        <v>127</v>
      </c>
      <c r="Q2049">
        <v>2</v>
      </c>
      <c r="R2049">
        <v>67</v>
      </c>
      <c r="S2049">
        <v>308</v>
      </c>
      <c r="T2049">
        <v>-40</v>
      </c>
      <c r="U2049">
        <v>49</v>
      </c>
      <c r="V2049">
        <v>420</v>
      </c>
      <c r="W2049">
        <v>27</v>
      </c>
      <c r="X2049">
        <v>27</v>
      </c>
      <c r="Y2049">
        <v>1</v>
      </c>
      <c r="Z2049">
        <v>1</v>
      </c>
      <c r="AA2049">
        <v>24</v>
      </c>
      <c r="AB2049">
        <v>2</v>
      </c>
      <c r="AC2049">
        <v>5</v>
      </c>
      <c r="AD2049">
        <v>3.2669999600000001</v>
      </c>
      <c r="AE2049">
        <v>1</v>
      </c>
      <c r="AF2049">
        <v>1</v>
      </c>
      <c r="AG2049">
        <v>3.25900006</v>
      </c>
      <c r="AH2049">
        <v>6</v>
      </c>
      <c r="AI2049">
        <v>24</v>
      </c>
      <c r="AJ2049">
        <v>1</v>
      </c>
      <c r="AK2049">
        <v>17</v>
      </c>
      <c r="AL2049">
        <v>40</v>
      </c>
      <c r="AM2049" t="s">
        <v>43</v>
      </c>
      <c r="AN2049" t="str">
        <f>HYPERLINK("https://www.google.com/maps?q=11.04318428,79.06865692","Open Location")</f>
        <v>Open Location</v>
      </c>
    </row>
    <row r="2050" spans="1:40" x14ac:dyDescent="0.3">
      <c r="A2050" s="1">
        <v>46210.762499999997</v>
      </c>
      <c r="B2050" t="s">
        <v>40</v>
      </c>
      <c r="C2050" t="s">
        <v>41</v>
      </c>
      <c r="D2050" s="1">
        <v>46210.765474537038</v>
      </c>
      <c r="E2050" t="s">
        <v>42</v>
      </c>
      <c r="F2050" t="s">
        <v>43</v>
      </c>
      <c r="G2050">
        <v>0</v>
      </c>
      <c r="H2050">
        <v>33203</v>
      </c>
      <c r="I2050" t="s">
        <v>985</v>
      </c>
      <c r="J2050">
        <v>39</v>
      </c>
      <c r="K2050">
        <v>4</v>
      </c>
      <c r="L2050">
        <v>98</v>
      </c>
      <c r="M2050">
        <v>626.09997558999999</v>
      </c>
      <c r="N2050" t="s">
        <v>85</v>
      </c>
      <c r="O2050" t="s">
        <v>43</v>
      </c>
      <c r="P2050">
        <v>127</v>
      </c>
      <c r="Q2050">
        <v>2</v>
      </c>
      <c r="R2050">
        <v>0</v>
      </c>
      <c r="S2050">
        <v>0</v>
      </c>
      <c r="T2050">
        <v>-40</v>
      </c>
      <c r="U2050">
        <v>47</v>
      </c>
      <c r="V2050">
        <v>5</v>
      </c>
      <c r="W2050">
        <v>27</v>
      </c>
      <c r="X2050">
        <v>27</v>
      </c>
      <c r="Y2050">
        <v>1</v>
      </c>
      <c r="Z2050">
        <v>1</v>
      </c>
      <c r="AA2050">
        <v>24</v>
      </c>
      <c r="AB2050">
        <v>2</v>
      </c>
      <c r="AC2050">
        <v>5</v>
      </c>
      <c r="AD2050" t="s">
        <v>43</v>
      </c>
      <c r="AE2050" t="s">
        <v>43</v>
      </c>
      <c r="AF2050" t="s">
        <v>43</v>
      </c>
      <c r="AG2050" t="s">
        <v>43</v>
      </c>
      <c r="AH2050" t="s">
        <v>43</v>
      </c>
      <c r="AI2050" t="s">
        <v>43</v>
      </c>
      <c r="AJ2050">
        <v>1</v>
      </c>
      <c r="AK2050">
        <v>18</v>
      </c>
      <c r="AL2050">
        <v>40</v>
      </c>
      <c r="AM2050" t="s">
        <v>43</v>
      </c>
      <c r="AN2050" t="str">
        <f>HYPERLINK("https://www.google.com/maps?q=11.04318047,79.06867218","Open Location")</f>
        <v>Open Location</v>
      </c>
    </row>
    <row r="2051" spans="1:40" x14ac:dyDescent="0.3">
      <c r="A2051" s="1">
        <v>46210.762384259258</v>
      </c>
      <c r="B2051" t="s">
        <v>40</v>
      </c>
      <c r="C2051" t="s">
        <v>41</v>
      </c>
      <c r="D2051" s="1">
        <v>46210.765057870369</v>
      </c>
      <c r="E2051" t="s">
        <v>42</v>
      </c>
      <c r="F2051" t="s">
        <v>83</v>
      </c>
      <c r="G2051">
        <v>6</v>
      </c>
      <c r="H2051" t="s">
        <v>43</v>
      </c>
      <c r="I2051" t="s">
        <v>986</v>
      </c>
      <c r="J2051">
        <v>39</v>
      </c>
      <c r="K2051">
        <v>11</v>
      </c>
      <c r="L2051">
        <v>98</v>
      </c>
      <c r="M2051">
        <v>625.59997558999999</v>
      </c>
      <c r="N2051" t="s">
        <v>87</v>
      </c>
      <c r="O2051" t="s">
        <v>86</v>
      </c>
      <c r="P2051">
        <v>127</v>
      </c>
      <c r="Q2051">
        <v>2</v>
      </c>
      <c r="R2051">
        <v>0</v>
      </c>
      <c r="S2051">
        <v>1527</v>
      </c>
      <c r="T2051">
        <v>-40</v>
      </c>
      <c r="U2051">
        <v>49</v>
      </c>
      <c r="V2051">
        <v>5</v>
      </c>
      <c r="W2051">
        <v>27</v>
      </c>
      <c r="X2051">
        <v>27</v>
      </c>
      <c r="Y2051">
        <v>1</v>
      </c>
      <c r="Z2051">
        <v>1</v>
      </c>
      <c r="AA2051">
        <v>24</v>
      </c>
      <c r="AB2051">
        <v>2</v>
      </c>
      <c r="AC2051">
        <v>5</v>
      </c>
      <c r="AD2051">
        <v>3.2650001</v>
      </c>
      <c r="AE2051">
        <v>5</v>
      </c>
      <c r="AF2051">
        <v>38</v>
      </c>
      <c r="AG2051">
        <v>3.25600004</v>
      </c>
      <c r="AH2051">
        <v>4</v>
      </c>
      <c r="AI2051">
        <v>17</v>
      </c>
      <c r="AJ2051">
        <v>1</v>
      </c>
      <c r="AK2051">
        <v>17</v>
      </c>
      <c r="AL2051">
        <v>40</v>
      </c>
      <c r="AM2051" t="s">
        <v>43</v>
      </c>
      <c r="AN2051" t="str">
        <f>HYPERLINK("https://www.google.com/maps?q=11.04318714,79.0688858","Open Location")</f>
        <v>Open Location</v>
      </c>
    </row>
    <row r="2052" spans="1:40" x14ac:dyDescent="0.3">
      <c r="A2052" s="1">
        <v>46210.76226851852</v>
      </c>
      <c r="B2052" t="s">
        <v>40</v>
      </c>
      <c r="C2052" t="s">
        <v>41</v>
      </c>
      <c r="D2052" s="1">
        <v>46210.7653125</v>
      </c>
      <c r="E2052" t="s">
        <v>42</v>
      </c>
      <c r="F2052" t="s">
        <v>83</v>
      </c>
      <c r="G2052">
        <v>5</v>
      </c>
      <c r="H2052">
        <v>33203</v>
      </c>
      <c r="I2052" t="s">
        <v>43</v>
      </c>
      <c r="J2052">
        <v>39</v>
      </c>
      <c r="K2052">
        <v>59</v>
      </c>
      <c r="L2052">
        <v>98</v>
      </c>
      <c r="M2052">
        <v>623.59997558999999</v>
      </c>
      <c r="N2052" t="s">
        <v>87</v>
      </c>
      <c r="O2052" t="s">
        <v>86</v>
      </c>
      <c r="P2052">
        <v>127</v>
      </c>
      <c r="Q2052">
        <v>2</v>
      </c>
      <c r="R2052">
        <v>67</v>
      </c>
      <c r="S2052">
        <v>1231</v>
      </c>
      <c r="T2052">
        <v>-40</v>
      </c>
      <c r="U2052">
        <v>49</v>
      </c>
      <c r="V2052">
        <v>600</v>
      </c>
      <c r="W2052">
        <v>27</v>
      </c>
      <c r="X2052">
        <v>27</v>
      </c>
      <c r="Y2052">
        <v>1</v>
      </c>
      <c r="Z2052">
        <v>1</v>
      </c>
      <c r="AA2052">
        <v>24</v>
      </c>
      <c r="AB2052">
        <v>2</v>
      </c>
      <c r="AC2052">
        <v>5</v>
      </c>
      <c r="AD2052" t="s">
        <v>43</v>
      </c>
      <c r="AE2052" t="s">
        <v>43</v>
      </c>
      <c r="AF2052" t="s">
        <v>43</v>
      </c>
      <c r="AG2052" t="s">
        <v>43</v>
      </c>
      <c r="AH2052" t="s">
        <v>43</v>
      </c>
      <c r="AI2052" t="s">
        <v>43</v>
      </c>
      <c r="AJ2052">
        <v>1</v>
      </c>
      <c r="AK2052">
        <v>18</v>
      </c>
      <c r="AL2052">
        <v>40</v>
      </c>
      <c r="AM2052" t="s">
        <v>43</v>
      </c>
      <c r="AN2052" t="s">
        <v>43</v>
      </c>
    </row>
    <row r="2053" spans="1:40" x14ac:dyDescent="0.3">
      <c r="A2053" s="1">
        <v>46210.762152777781</v>
      </c>
      <c r="B2053" t="s">
        <v>40</v>
      </c>
      <c r="C2053" t="s">
        <v>41</v>
      </c>
      <c r="D2053" s="1">
        <v>46210.765208333331</v>
      </c>
      <c r="E2053" t="s">
        <v>42</v>
      </c>
      <c r="F2053" t="s">
        <v>83</v>
      </c>
      <c r="G2053">
        <v>6</v>
      </c>
      <c r="H2053">
        <v>33203</v>
      </c>
      <c r="I2053" t="s">
        <v>987</v>
      </c>
      <c r="J2053">
        <v>39</v>
      </c>
      <c r="K2053">
        <v>52</v>
      </c>
      <c r="L2053">
        <v>98</v>
      </c>
      <c r="M2053">
        <v>621.79998779000005</v>
      </c>
      <c r="N2053" t="s">
        <v>87</v>
      </c>
      <c r="O2053" t="s">
        <v>86</v>
      </c>
      <c r="P2053">
        <v>127</v>
      </c>
      <c r="Q2053">
        <v>2</v>
      </c>
      <c r="R2053">
        <v>22</v>
      </c>
      <c r="S2053">
        <v>1005</v>
      </c>
      <c r="T2053">
        <v>-40</v>
      </c>
      <c r="U2053">
        <v>49</v>
      </c>
      <c r="V2053">
        <v>279</v>
      </c>
      <c r="W2053">
        <v>27</v>
      </c>
      <c r="X2053">
        <v>27</v>
      </c>
      <c r="Y2053">
        <v>1</v>
      </c>
      <c r="Z2053">
        <v>1</v>
      </c>
      <c r="AA2053">
        <v>24</v>
      </c>
      <c r="AB2053">
        <v>2</v>
      </c>
      <c r="AC2053">
        <v>5</v>
      </c>
      <c r="AD2053">
        <v>3.27099991</v>
      </c>
      <c r="AE2053">
        <v>5</v>
      </c>
      <c r="AF2053">
        <v>38</v>
      </c>
      <c r="AG2053">
        <v>3.2630000099999998</v>
      </c>
      <c r="AH2053">
        <v>7</v>
      </c>
      <c r="AI2053">
        <v>19</v>
      </c>
      <c r="AJ2053">
        <v>1</v>
      </c>
      <c r="AK2053">
        <v>18</v>
      </c>
      <c r="AL2053">
        <v>40</v>
      </c>
      <c r="AM2053" t="s">
        <v>43</v>
      </c>
      <c r="AN2053" t="str">
        <f>HYPERLINK("https://www.google.com/maps?q=11.04313374,79.06905365","Open Location")</f>
        <v>Open Location</v>
      </c>
    </row>
    <row r="2054" spans="1:40" x14ac:dyDescent="0.3">
      <c r="A2054" s="1">
        <v>46210.762037037035</v>
      </c>
      <c r="B2054" t="s">
        <v>40</v>
      </c>
      <c r="C2054" t="s">
        <v>41</v>
      </c>
      <c r="D2054" s="1">
        <v>46210.76494212963</v>
      </c>
      <c r="E2054" t="s">
        <v>42</v>
      </c>
      <c r="F2054" t="s">
        <v>83</v>
      </c>
      <c r="G2054">
        <v>12</v>
      </c>
      <c r="H2054">
        <v>33203</v>
      </c>
      <c r="I2054" t="s">
        <v>988</v>
      </c>
      <c r="J2054">
        <v>39</v>
      </c>
      <c r="K2054">
        <v>-17</v>
      </c>
      <c r="L2054">
        <v>98</v>
      </c>
      <c r="M2054">
        <v>627.29998779000005</v>
      </c>
      <c r="N2054" t="s">
        <v>87</v>
      </c>
      <c r="O2054" t="s">
        <v>86</v>
      </c>
      <c r="P2054">
        <v>129</v>
      </c>
      <c r="Q2054">
        <v>3</v>
      </c>
      <c r="R2054">
        <v>-66</v>
      </c>
      <c r="S2054">
        <v>1058</v>
      </c>
      <c r="T2054">
        <v>-40</v>
      </c>
      <c r="U2054">
        <v>49</v>
      </c>
      <c r="V2054">
        <v>-112</v>
      </c>
      <c r="W2054">
        <v>27</v>
      </c>
      <c r="X2054">
        <v>27</v>
      </c>
      <c r="Y2054">
        <v>1</v>
      </c>
      <c r="Z2054">
        <v>1</v>
      </c>
      <c r="AA2054">
        <v>24</v>
      </c>
      <c r="AB2054">
        <v>2</v>
      </c>
      <c r="AC2054">
        <v>5</v>
      </c>
      <c r="AD2054">
        <v>3.2730000000000001</v>
      </c>
      <c r="AE2054">
        <v>1</v>
      </c>
      <c r="AF2054">
        <v>1</v>
      </c>
      <c r="AG2054">
        <v>3.2669999600000001</v>
      </c>
      <c r="AH2054">
        <v>4</v>
      </c>
      <c r="AI2054">
        <v>17</v>
      </c>
      <c r="AJ2054">
        <v>1</v>
      </c>
      <c r="AK2054">
        <v>20</v>
      </c>
      <c r="AL2054">
        <v>40</v>
      </c>
      <c r="AM2054" t="s">
        <v>43</v>
      </c>
      <c r="AN2054" t="str">
        <f>HYPERLINK("https://www.google.com/maps?q=11.04293442,79.06903839","Open Location")</f>
        <v>Open Location</v>
      </c>
    </row>
    <row r="2055" spans="1:40" x14ac:dyDescent="0.3">
      <c r="A2055" s="1">
        <v>46210.761921296296</v>
      </c>
      <c r="B2055" t="s">
        <v>40</v>
      </c>
      <c r="C2055" t="s">
        <v>41</v>
      </c>
      <c r="D2055" s="1">
        <v>46210.764687499999</v>
      </c>
      <c r="E2055" t="s">
        <v>42</v>
      </c>
      <c r="F2055" t="s">
        <v>83</v>
      </c>
      <c r="G2055">
        <v>15</v>
      </c>
      <c r="H2055">
        <v>33203</v>
      </c>
      <c r="I2055" t="s">
        <v>989</v>
      </c>
      <c r="J2055">
        <v>39</v>
      </c>
      <c r="K2055">
        <v>-18</v>
      </c>
      <c r="L2055">
        <v>98</v>
      </c>
      <c r="M2055">
        <v>627.90002441000001</v>
      </c>
      <c r="N2055" t="s">
        <v>87</v>
      </c>
      <c r="O2055" t="s">
        <v>86</v>
      </c>
      <c r="P2055">
        <v>130</v>
      </c>
      <c r="Q2055">
        <v>4</v>
      </c>
      <c r="R2055">
        <v>0</v>
      </c>
      <c r="S2055">
        <v>746</v>
      </c>
      <c r="T2055">
        <v>-40</v>
      </c>
      <c r="U2055">
        <v>50</v>
      </c>
      <c r="V2055">
        <v>-184</v>
      </c>
      <c r="W2055">
        <v>27</v>
      </c>
      <c r="X2055">
        <v>27</v>
      </c>
      <c r="Y2055">
        <v>1</v>
      </c>
      <c r="Z2055">
        <v>1</v>
      </c>
      <c r="AA2055">
        <v>24</v>
      </c>
      <c r="AB2055">
        <v>2</v>
      </c>
      <c r="AC2055">
        <v>5</v>
      </c>
      <c r="AD2055">
        <v>3.2760000200000001</v>
      </c>
      <c r="AE2055">
        <v>1</v>
      </c>
      <c r="AF2055">
        <v>16</v>
      </c>
      <c r="AG2055">
        <v>3.2699999800000001</v>
      </c>
      <c r="AH2055">
        <v>4</v>
      </c>
      <c r="AI2055">
        <v>17</v>
      </c>
      <c r="AJ2055">
        <v>1</v>
      </c>
      <c r="AK2055">
        <v>19</v>
      </c>
      <c r="AL2055">
        <v>40</v>
      </c>
      <c r="AM2055" t="s">
        <v>43</v>
      </c>
      <c r="AN2055" t="str">
        <f>HYPERLINK("https://www.google.com/maps?q=11.04248428,79.06893158","Open Location")</f>
        <v>Open Location</v>
      </c>
    </row>
    <row r="2056" spans="1:40" x14ac:dyDescent="0.3">
      <c r="A2056" s="1">
        <v>46210.761805555558</v>
      </c>
      <c r="B2056" t="s">
        <v>40</v>
      </c>
      <c r="C2056" t="s">
        <v>41</v>
      </c>
      <c r="D2056" s="1">
        <v>46210.764710648145</v>
      </c>
      <c r="E2056" t="s">
        <v>42</v>
      </c>
      <c r="F2056" t="s">
        <v>83</v>
      </c>
      <c r="G2056">
        <v>21</v>
      </c>
      <c r="H2056">
        <v>33203</v>
      </c>
      <c r="I2056" t="s">
        <v>990</v>
      </c>
      <c r="J2056">
        <v>39</v>
      </c>
      <c r="K2056">
        <v>47</v>
      </c>
      <c r="L2056">
        <v>98</v>
      </c>
      <c r="M2056">
        <v>622.79998779000005</v>
      </c>
      <c r="N2056" t="s">
        <v>87</v>
      </c>
      <c r="O2056" t="s">
        <v>86</v>
      </c>
      <c r="P2056">
        <v>130</v>
      </c>
      <c r="Q2056">
        <v>5</v>
      </c>
      <c r="R2056">
        <v>24</v>
      </c>
      <c r="S2056">
        <v>979</v>
      </c>
      <c r="T2056">
        <v>-40</v>
      </c>
      <c r="U2056">
        <v>50</v>
      </c>
      <c r="V2056">
        <v>353</v>
      </c>
      <c r="W2056">
        <v>27</v>
      </c>
      <c r="X2056">
        <v>27</v>
      </c>
      <c r="Y2056">
        <v>1</v>
      </c>
      <c r="Z2056">
        <v>1</v>
      </c>
      <c r="AA2056">
        <v>24</v>
      </c>
      <c r="AB2056">
        <v>2</v>
      </c>
      <c r="AC2056">
        <v>5</v>
      </c>
      <c r="AD2056">
        <v>3.2690000499999998</v>
      </c>
      <c r="AE2056">
        <v>1</v>
      </c>
      <c r="AF2056">
        <v>1</v>
      </c>
      <c r="AG2056">
        <v>3.2609999200000002</v>
      </c>
      <c r="AH2056">
        <v>6</v>
      </c>
      <c r="AI2056">
        <v>24</v>
      </c>
      <c r="AJ2056">
        <v>1</v>
      </c>
      <c r="AK2056">
        <v>18</v>
      </c>
      <c r="AL2056">
        <v>40</v>
      </c>
      <c r="AM2056" t="s">
        <v>43</v>
      </c>
      <c r="AN2056" t="str">
        <f>HYPERLINK("https://www.google.com/maps?q=11.04190254,79.06895447","Open Location")</f>
        <v>Open Location</v>
      </c>
    </row>
    <row r="2057" spans="1:40" x14ac:dyDescent="0.3">
      <c r="A2057" s="1">
        <v>46210.761689814812</v>
      </c>
      <c r="B2057" t="s">
        <v>40</v>
      </c>
      <c r="C2057" t="s">
        <v>41</v>
      </c>
      <c r="D2057" s="1">
        <v>46210.764780092592</v>
      </c>
      <c r="E2057" t="s">
        <v>42</v>
      </c>
      <c r="F2057" t="s">
        <v>83</v>
      </c>
      <c r="G2057">
        <v>23</v>
      </c>
      <c r="H2057" t="s">
        <v>43</v>
      </c>
      <c r="I2057" t="s">
        <v>991</v>
      </c>
      <c r="J2057">
        <v>39</v>
      </c>
      <c r="K2057">
        <v>-32</v>
      </c>
      <c r="L2057">
        <v>98</v>
      </c>
      <c r="M2057">
        <v>627.40002441000001</v>
      </c>
      <c r="N2057" t="s">
        <v>87</v>
      </c>
      <c r="O2057" t="s">
        <v>86</v>
      </c>
      <c r="P2057">
        <v>130</v>
      </c>
      <c r="Q2057">
        <v>5</v>
      </c>
      <c r="R2057">
        <v>-20</v>
      </c>
      <c r="S2057">
        <v>1145</v>
      </c>
      <c r="T2057">
        <v>-40</v>
      </c>
      <c r="U2057">
        <v>51</v>
      </c>
      <c r="V2057">
        <v>-184</v>
      </c>
      <c r="W2057">
        <v>27</v>
      </c>
      <c r="X2057">
        <v>27</v>
      </c>
      <c r="Y2057">
        <v>1</v>
      </c>
      <c r="Z2057">
        <v>1</v>
      </c>
      <c r="AA2057">
        <v>24</v>
      </c>
      <c r="AB2057">
        <v>2</v>
      </c>
      <c r="AC2057">
        <v>5</v>
      </c>
      <c r="AD2057">
        <v>3.2690000499999998</v>
      </c>
      <c r="AE2057">
        <v>1</v>
      </c>
      <c r="AF2057">
        <v>1</v>
      </c>
      <c r="AG2057">
        <v>3.2630000099999998</v>
      </c>
      <c r="AH2057">
        <v>4</v>
      </c>
      <c r="AI2057">
        <v>17</v>
      </c>
      <c r="AJ2057">
        <v>1</v>
      </c>
      <c r="AK2057">
        <v>18</v>
      </c>
      <c r="AL2057">
        <v>40</v>
      </c>
      <c r="AM2057" t="s">
        <v>43</v>
      </c>
      <c r="AN2057" t="str">
        <f>HYPERLINK("https://www.google.com/maps?q=11.04118347,79.06900787","Open Location")</f>
        <v>Open Location</v>
      </c>
    </row>
    <row r="2058" spans="1:40" x14ac:dyDescent="0.3">
      <c r="A2058" s="1">
        <v>46210.761574074073</v>
      </c>
      <c r="B2058" t="s">
        <v>40</v>
      </c>
      <c r="C2058" t="s">
        <v>41</v>
      </c>
      <c r="D2058" s="1">
        <v>46210.764351851853</v>
      </c>
      <c r="E2058" t="s">
        <v>42</v>
      </c>
      <c r="F2058" t="s">
        <v>83</v>
      </c>
      <c r="G2058">
        <v>26</v>
      </c>
      <c r="H2058">
        <v>33202</v>
      </c>
      <c r="I2058" t="s">
        <v>43</v>
      </c>
      <c r="J2058">
        <v>39</v>
      </c>
      <c r="K2058">
        <v>81</v>
      </c>
      <c r="L2058">
        <v>98</v>
      </c>
      <c r="M2058">
        <v>622</v>
      </c>
      <c r="N2058" t="s">
        <v>87</v>
      </c>
      <c r="O2058" t="s">
        <v>86</v>
      </c>
      <c r="P2058">
        <v>130</v>
      </c>
      <c r="Q2058">
        <v>5</v>
      </c>
      <c r="R2058">
        <v>78</v>
      </c>
      <c r="S2058">
        <v>1181</v>
      </c>
      <c r="T2058">
        <v>-40</v>
      </c>
      <c r="U2058">
        <v>51</v>
      </c>
      <c r="V2058">
        <v>420</v>
      </c>
      <c r="W2058">
        <v>27</v>
      </c>
      <c r="X2058">
        <v>27</v>
      </c>
      <c r="Y2058">
        <v>1</v>
      </c>
      <c r="Z2058">
        <v>1</v>
      </c>
      <c r="AA2058">
        <v>24</v>
      </c>
      <c r="AB2058">
        <v>2</v>
      </c>
      <c r="AC2058">
        <v>5</v>
      </c>
      <c r="AD2058" t="s">
        <v>43</v>
      </c>
      <c r="AE2058" t="s">
        <v>43</v>
      </c>
      <c r="AF2058" t="s">
        <v>43</v>
      </c>
      <c r="AG2058" t="s">
        <v>43</v>
      </c>
      <c r="AH2058" t="s">
        <v>43</v>
      </c>
      <c r="AI2058" t="s">
        <v>43</v>
      </c>
      <c r="AJ2058">
        <v>1</v>
      </c>
      <c r="AK2058">
        <v>18</v>
      </c>
      <c r="AL2058">
        <v>40</v>
      </c>
      <c r="AM2058" t="s">
        <v>43</v>
      </c>
      <c r="AN2058" t="s">
        <v>43</v>
      </c>
    </row>
    <row r="2059" spans="1:40" x14ac:dyDescent="0.3">
      <c r="A2059" s="1">
        <v>46210.761458333334</v>
      </c>
      <c r="B2059" t="s">
        <v>40</v>
      </c>
      <c r="C2059" t="s">
        <v>41</v>
      </c>
      <c r="D2059" s="1">
        <v>46210.764328703706</v>
      </c>
      <c r="E2059" t="s">
        <v>42</v>
      </c>
      <c r="F2059" t="s">
        <v>83</v>
      </c>
      <c r="G2059">
        <v>25</v>
      </c>
      <c r="H2059">
        <v>33202</v>
      </c>
      <c r="I2059" t="s">
        <v>992</v>
      </c>
      <c r="J2059">
        <v>39</v>
      </c>
      <c r="K2059">
        <v>40</v>
      </c>
      <c r="L2059">
        <v>98</v>
      </c>
      <c r="M2059">
        <v>623.70001220999995</v>
      </c>
      <c r="N2059" t="s">
        <v>87</v>
      </c>
      <c r="O2059" t="s">
        <v>86</v>
      </c>
      <c r="P2059">
        <v>130</v>
      </c>
      <c r="Q2059">
        <v>5</v>
      </c>
      <c r="R2059">
        <v>64</v>
      </c>
      <c r="S2059">
        <v>1160</v>
      </c>
      <c r="T2059">
        <v>-40</v>
      </c>
      <c r="U2059">
        <v>50</v>
      </c>
      <c r="V2059">
        <v>180</v>
      </c>
      <c r="W2059">
        <v>27</v>
      </c>
      <c r="X2059">
        <v>27</v>
      </c>
      <c r="Y2059">
        <v>1</v>
      </c>
      <c r="Z2059">
        <v>1</v>
      </c>
      <c r="AA2059">
        <v>24</v>
      </c>
      <c r="AB2059">
        <v>2</v>
      </c>
      <c r="AC2059">
        <v>5</v>
      </c>
      <c r="AD2059">
        <v>3.2609999200000002</v>
      </c>
      <c r="AE2059">
        <v>5</v>
      </c>
      <c r="AF2059">
        <v>38</v>
      </c>
      <c r="AG2059">
        <v>3.2509999299999999</v>
      </c>
      <c r="AH2059">
        <v>4</v>
      </c>
      <c r="AI2059">
        <v>24</v>
      </c>
      <c r="AJ2059">
        <v>1</v>
      </c>
      <c r="AK2059">
        <v>18</v>
      </c>
      <c r="AL2059">
        <v>40</v>
      </c>
      <c r="AM2059" t="s">
        <v>43</v>
      </c>
      <c r="AN2059" t="str">
        <f>HYPERLINK("https://www.google.com/maps?q=11.04033279,79.06904602","Open Location")</f>
        <v>Open Location</v>
      </c>
    </row>
    <row r="2060" spans="1:40" x14ac:dyDescent="0.3">
      <c r="A2060" s="1">
        <v>46210.761342592596</v>
      </c>
      <c r="B2060" t="s">
        <v>40</v>
      </c>
      <c r="C2060" t="s">
        <v>41</v>
      </c>
      <c r="D2060" s="1">
        <v>46210.764270833337</v>
      </c>
      <c r="E2060" t="s">
        <v>42</v>
      </c>
      <c r="F2060" t="s">
        <v>83</v>
      </c>
      <c r="G2060">
        <v>29</v>
      </c>
      <c r="H2060">
        <v>33202</v>
      </c>
      <c r="I2060" t="s">
        <v>993</v>
      </c>
      <c r="J2060">
        <v>39</v>
      </c>
      <c r="K2060">
        <v>57</v>
      </c>
      <c r="L2060">
        <v>98</v>
      </c>
      <c r="M2060">
        <v>623.5</v>
      </c>
      <c r="N2060" t="s">
        <v>87</v>
      </c>
      <c r="O2060" t="s">
        <v>86</v>
      </c>
      <c r="P2060">
        <v>130</v>
      </c>
      <c r="Q2060">
        <v>5</v>
      </c>
      <c r="R2060">
        <v>-26</v>
      </c>
      <c r="S2060">
        <v>1342</v>
      </c>
      <c r="T2060">
        <v>-40</v>
      </c>
      <c r="U2060">
        <v>50</v>
      </c>
      <c r="V2060">
        <v>240</v>
      </c>
      <c r="W2060">
        <v>27</v>
      </c>
      <c r="X2060">
        <v>27</v>
      </c>
      <c r="Y2060">
        <v>1</v>
      </c>
      <c r="Z2060">
        <v>1</v>
      </c>
      <c r="AA2060">
        <v>24</v>
      </c>
      <c r="AB2060">
        <v>2</v>
      </c>
      <c r="AC2060">
        <v>5</v>
      </c>
      <c r="AD2060">
        <v>3.2520000900000001</v>
      </c>
      <c r="AE2060">
        <v>1</v>
      </c>
      <c r="AF2060">
        <v>1</v>
      </c>
      <c r="AG2060">
        <v>3.2400000100000002</v>
      </c>
      <c r="AH2060">
        <v>6</v>
      </c>
      <c r="AI2060">
        <v>24</v>
      </c>
      <c r="AJ2060">
        <v>1</v>
      </c>
      <c r="AK2060">
        <v>18</v>
      </c>
      <c r="AL2060">
        <v>40</v>
      </c>
      <c r="AM2060" t="s">
        <v>43</v>
      </c>
      <c r="AN2060" t="str">
        <f>HYPERLINK("https://www.google.com/maps?q=11.03953457,79.06900787","Open Location")</f>
        <v>Open Location</v>
      </c>
    </row>
    <row r="2061" spans="1:40" x14ac:dyDescent="0.3">
      <c r="A2061" s="1">
        <v>46210.76122685185</v>
      </c>
      <c r="B2061" t="s">
        <v>40</v>
      </c>
      <c r="C2061" t="s">
        <v>41</v>
      </c>
      <c r="D2061" s="1">
        <v>46210.76394675926</v>
      </c>
      <c r="E2061" t="s">
        <v>42</v>
      </c>
      <c r="F2061" t="s">
        <v>83</v>
      </c>
      <c r="G2061">
        <v>31</v>
      </c>
      <c r="H2061">
        <v>33202</v>
      </c>
      <c r="I2061" t="s">
        <v>994</v>
      </c>
      <c r="J2061">
        <v>39</v>
      </c>
      <c r="K2061">
        <v>60</v>
      </c>
      <c r="L2061">
        <v>98</v>
      </c>
      <c r="M2061">
        <v>622.5</v>
      </c>
      <c r="N2061" t="s">
        <v>87</v>
      </c>
      <c r="O2061" t="s">
        <v>86</v>
      </c>
      <c r="P2061">
        <v>130</v>
      </c>
      <c r="Q2061">
        <v>5</v>
      </c>
      <c r="R2061">
        <v>52</v>
      </c>
      <c r="S2061">
        <v>1428</v>
      </c>
      <c r="T2061">
        <v>-40</v>
      </c>
      <c r="U2061">
        <v>51</v>
      </c>
      <c r="V2061">
        <v>240</v>
      </c>
      <c r="W2061">
        <v>27</v>
      </c>
      <c r="X2061">
        <v>27</v>
      </c>
      <c r="Y2061">
        <v>1</v>
      </c>
      <c r="Z2061">
        <v>1</v>
      </c>
      <c r="AA2061">
        <v>24</v>
      </c>
      <c r="AB2061">
        <v>2</v>
      </c>
      <c r="AC2061">
        <v>5</v>
      </c>
      <c r="AD2061">
        <v>3.2490000700000001</v>
      </c>
      <c r="AE2061">
        <v>1</v>
      </c>
      <c r="AF2061">
        <v>33</v>
      </c>
      <c r="AG2061">
        <v>3.2369999900000002</v>
      </c>
      <c r="AH2061">
        <v>4</v>
      </c>
      <c r="AI2061">
        <v>24</v>
      </c>
      <c r="AJ2061">
        <v>1</v>
      </c>
      <c r="AK2061">
        <v>18</v>
      </c>
      <c r="AL2061">
        <v>40</v>
      </c>
      <c r="AM2061" t="s">
        <v>43</v>
      </c>
      <c r="AN2061" t="str">
        <f>HYPERLINK("https://www.google.com/maps?q=11.03863907,79.06882477","Open Location")</f>
        <v>Open Location</v>
      </c>
    </row>
    <row r="2062" spans="1:40" x14ac:dyDescent="0.3">
      <c r="A2062" s="1">
        <v>46210.761111111111</v>
      </c>
      <c r="B2062" t="s">
        <v>40</v>
      </c>
      <c r="C2062" t="s">
        <v>41</v>
      </c>
      <c r="D2062" s="1">
        <v>46210.763969907406</v>
      </c>
      <c r="E2062" t="s">
        <v>42</v>
      </c>
      <c r="F2062" t="s">
        <v>83</v>
      </c>
      <c r="G2062">
        <v>31</v>
      </c>
      <c r="H2062">
        <v>33202</v>
      </c>
      <c r="I2062" t="s">
        <v>995</v>
      </c>
      <c r="J2062">
        <v>39</v>
      </c>
      <c r="K2062">
        <v>127</v>
      </c>
      <c r="L2062">
        <v>98</v>
      </c>
      <c r="M2062">
        <v>619.5</v>
      </c>
      <c r="N2062" t="s">
        <v>87</v>
      </c>
      <c r="O2062" t="s">
        <v>86</v>
      </c>
      <c r="P2062">
        <v>130</v>
      </c>
      <c r="Q2062">
        <v>5</v>
      </c>
      <c r="R2062">
        <v>60</v>
      </c>
      <c r="S2062">
        <v>1388</v>
      </c>
      <c r="T2062">
        <v>-40</v>
      </c>
      <c r="U2062">
        <v>53</v>
      </c>
      <c r="V2062">
        <v>520</v>
      </c>
      <c r="W2062">
        <v>27</v>
      </c>
      <c r="X2062">
        <v>27</v>
      </c>
      <c r="Y2062">
        <v>1</v>
      </c>
      <c r="Z2062">
        <v>1</v>
      </c>
      <c r="AA2062">
        <v>24</v>
      </c>
      <c r="AB2062">
        <v>2</v>
      </c>
      <c r="AC2062">
        <v>5</v>
      </c>
      <c r="AD2062">
        <v>3.2360000599999998</v>
      </c>
      <c r="AE2062">
        <v>5</v>
      </c>
      <c r="AF2062">
        <v>38</v>
      </c>
      <c r="AG2062">
        <v>3.2190001000000001</v>
      </c>
      <c r="AH2062">
        <v>6</v>
      </c>
      <c r="AI2062">
        <v>24</v>
      </c>
      <c r="AJ2062">
        <v>1</v>
      </c>
      <c r="AK2062">
        <v>18</v>
      </c>
      <c r="AL2062">
        <v>40</v>
      </c>
      <c r="AM2062" t="s">
        <v>43</v>
      </c>
      <c r="AN2062" t="str">
        <f>HYPERLINK("https://www.google.com/maps?q=11.037714,79.0686264","Open Location")</f>
        <v>Open Location</v>
      </c>
    </row>
    <row r="2063" spans="1:40" x14ac:dyDescent="0.3">
      <c r="A2063" s="1">
        <v>46210.760995370372</v>
      </c>
      <c r="B2063" t="s">
        <v>40</v>
      </c>
      <c r="C2063" t="s">
        <v>41</v>
      </c>
      <c r="D2063" s="1">
        <v>46210.763657407406</v>
      </c>
      <c r="E2063" t="s">
        <v>42</v>
      </c>
      <c r="F2063" t="s">
        <v>83</v>
      </c>
      <c r="G2063">
        <v>26</v>
      </c>
      <c r="H2063">
        <v>33202</v>
      </c>
      <c r="I2063" t="s">
        <v>43</v>
      </c>
      <c r="J2063">
        <v>39</v>
      </c>
      <c r="K2063">
        <v>210</v>
      </c>
      <c r="L2063">
        <v>98</v>
      </c>
      <c r="M2063">
        <v>616</v>
      </c>
      <c r="N2063" t="s">
        <v>87</v>
      </c>
      <c r="O2063" t="s">
        <v>86</v>
      </c>
      <c r="P2063">
        <v>130</v>
      </c>
      <c r="Q2063">
        <v>5</v>
      </c>
      <c r="R2063">
        <v>117</v>
      </c>
      <c r="S2063">
        <v>1143</v>
      </c>
      <c r="T2063">
        <v>-40</v>
      </c>
      <c r="U2063">
        <v>55</v>
      </c>
      <c r="V2063">
        <v>1020</v>
      </c>
      <c r="W2063">
        <v>27</v>
      </c>
      <c r="X2063">
        <v>27</v>
      </c>
      <c r="Y2063">
        <v>1</v>
      </c>
      <c r="Z2063">
        <v>1</v>
      </c>
      <c r="AA2063">
        <v>24</v>
      </c>
      <c r="AB2063">
        <v>2</v>
      </c>
      <c r="AC2063">
        <v>5</v>
      </c>
      <c r="AD2063">
        <v>3.2269999999999999</v>
      </c>
      <c r="AE2063">
        <v>5</v>
      </c>
      <c r="AF2063">
        <v>38</v>
      </c>
      <c r="AG2063">
        <v>3.2049999200000001</v>
      </c>
      <c r="AH2063">
        <v>6</v>
      </c>
      <c r="AI2063">
        <v>24</v>
      </c>
      <c r="AJ2063">
        <v>1</v>
      </c>
      <c r="AK2063">
        <v>18</v>
      </c>
      <c r="AL2063">
        <v>40</v>
      </c>
      <c r="AM2063" t="s">
        <v>43</v>
      </c>
      <c r="AN2063" t="s">
        <v>43</v>
      </c>
    </row>
    <row r="2064" spans="1:40" x14ac:dyDescent="0.3">
      <c r="A2064" s="1">
        <v>46210.760879629626</v>
      </c>
      <c r="B2064" t="s">
        <v>40</v>
      </c>
      <c r="C2064" t="s">
        <v>41</v>
      </c>
      <c r="D2064" s="1">
        <v>46210.763564814813</v>
      </c>
      <c r="E2064" t="s">
        <v>42</v>
      </c>
      <c r="F2064" t="s">
        <v>43</v>
      </c>
      <c r="G2064">
        <v>25</v>
      </c>
      <c r="H2064">
        <v>33202</v>
      </c>
      <c r="I2064" t="s">
        <v>996</v>
      </c>
      <c r="J2064">
        <v>39</v>
      </c>
      <c r="K2064">
        <v>240</v>
      </c>
      <c r="L2064">
        <v>98</v>
      </c>
      <c r="M2064">
        <v>612.90002441000001</v>
      </c>
      <c r="N2064" t="s">
        <v>87</v>
      </c>
      <c r="O2064" t="s">
        <v>86</v>
      </c>
      <c r="P2064">
        <v>129</v>
      </c>
      <c r="Q2064">
        <v>5</v>
      </c>
      <c r="R2064">
        <v>65</v>
      </c>
      <c r="S2064">
        <v>1833</v>
      </c>
      <c r="T2064">
        <v>-40</v>
      </c>
      <c r="U2064">
        <v>54</v>
      </c>
      <c r="V2064">
        <v>280</v>
      </c>
      <c r="W2064">
        <v>27</v>
      </c>
      <c r="X2064">
        <v>27</v>
      </c>
      <c r="Y2064">
        <v>1</v>
      </c>
      <c r="Z2064">
        <v>1</v>
      </c>
      <c r="AA2064">
        <v>24</v>
      </c>
      <c r="AB2064">
        <v>2</v>
      </c>
      <c r="AC2064">
        <v>5</v>
      </c>
      <c r="AD2064" t="s">
        <v>43</v>
      </c>
      <c r="AE2064" t="s">
        <v>43</v>
      </c>
      <c r="AF2064" t="s">
        <v>43</v>
      </c>
      <c r="AG2064" t="s">
        <v>43</v>
      </c>
      <c r="AH2064" t="s">
        <v>43</v>
      </c>
      <c r="AI2064" t="s">
        <v>43</v>
      </c>
      <c r="AJ2064">
        <v>1</v>
      </c>
      <c r="AK2064">
        <v>17</v>
      </c>
      <c r="AL2064">
        <v>40</v>
      </c>
      <c r="AM2064" t="s">
        <v>43</v>
      </c>
      <c r="AN2064" t="str">
        <f>HYPERLINK("https://www.google.com/maps?q=11.03692245,79.068573","Open Location")</f>
        <v>Open Location</v>
      </c>
    </row>
    <row r="2065" spans="1:40" x14ac:dyDescent="0.3">
      <c r="A2065" s="1">
        <v>46210.760763888888</v>
      </c>
      <c r="B2065" t="s">
        <v>40</v>
      </c>
      <c r="C2065" t="s">
        <v>41</v>
      </c>
      <c r="D2065" s="1">
        <v>46210.763483796298</v>
      </c>
      <c r="E2065" t="s">
        <v>42</v>
      </c>
      <c r="F2065" t="s">
        <v>83</v>
      </c>
      <c r="G2065">
        <v>26</v>
      </c>
      <c r="H2065">
        <v>33202</v>
      </c>
      <c r="I2065" t="s">
        <v>997</v>
      </c>
      <c r="J2065">
        <v>39</v>
      </c>
      <c r="K2065">
        <v>-129</v>
      </c>
      <c r="L2065">
        <v>98</v>
      </c>
      <c r="M2065">
        <v>631.79998779000005</v>
      </c>
      <c r="N2065" t="s">
        <v>87</v>
      </c>
      <c r="O2065" t="s">
        <v>86</v>
      </c>
      <c r="P2065">
        <v>131</v>
      </c>
      <c r="Q2065">
        <v>4</v>
      </c>
      <c r="R2065">
        <v>-62</v>
      </c>
      <c r="S2065">
        <v>926</v>
      </c>
      <c r="T2065">
        <v>-40</v>
      </c>
      <c r="U2065">
        <v>53</v>
      </c>
      <c r="V2065">
        <v>-930</v>
      </c>
      <c r="W2065">
        <v>27</v>
      </c>
      <c r="X2065">
        <v>27</v>
      </c>
      <c r="Y2065">
        <v>1</v>
      </c>
      <c r="Z2065">
        <v>1</v>
      </c>
      <c r="AA2065">
        <v>24</v>
      </c>
      <c r="AB2065">
        <v>2</v>
      </c>
      <c r="AC2065">
        <v>5</v>
      </c>
      <c r="AD2065">
        <v>3.2920000599999999</v>
      </c>
      <c r="AE2065">
        <v>1</v>
      </c>
      <c r="AF2065">
        <v>26</v>
      </c>
      <c r="AG2065">
        <v>3.2869999399999998</v>
      </c>
      <c r="AH2065">
        <v>2</v>
      </c>
      <c r="AI2065">
        <v>6</v>
      </c>
      <c r="AJ2065">
        <v>1</v>
      </c>
      <c r="AK2065">
        <v>17</v>
      </c>
      <c r="AL2065">
        <v>39</v>
      </c>
      <c r="AM2065" t="s">
        <v>43</v>
      </c>
      <c r="AN2065" t="str">
        <f>HYPERLINK("https://www.google.com/maps?q=11.03624058,79.06848145","Open Location")</f>
        <v>Open Location</v>
      </c>
    </row>
    <row r="2066" spans="1:40" x14ac:dyDescent="0.3">
      <c r="A2066" s="1">
        <v>46210.760648148149</v>
      </c>
      <c r="B2066" t="s">
        <v>40</v>
      </c>
      <c r="C2066" t="s">
        <v>41</v>
      </c>
      <c r="D2066" s="1">
        <v>46210.763483796298</v>
      </c>
      <c r="E2066" t="s">
        <v>42</v>
      </c>
      <c r="F2066" t="s">
        <v>83</v>
      </c>
      <c r="G2066">
        <v>38</v>
      </c>
      <c r="H2066">
        <v>33202</v>
      </c>
      <c r="I2066" t="s">
        <v>998</v>
      </c>
      <c r="J2066">
        <v>39</v>
      </c>
      <c r="K2066">
        <v>44</v>
      </c>
      <c r="L2066">
        <v>98</v>
      </c>
      <c r="M2066">
        <v>623.70001220999995</v>
      </c>
      <c r="N2066" t="s">
        <v>87</v>
      </c>
      <c r="O2066" t="s">
        <v>86</v>
      </c>
      <c r="P2066">
        <v>131</v>
      </c>
      <c r="Q2066">
        <v>6</v>
      </c>
      <c r="R2066">
        <v>24</v>
      </c>
      <c r="S2066">
        <v>1085</v>
      </c>
      <c r="T2066">
        <v>-40</v>
      </c>
      <c r="U2066">
        <v>51</v>
      </c>
      <c r="V2066">
        <v>240</v>
      </c>
      <c r="W2066">
        <v>27</v>
      </c>
      <c r="X2066">
        <v>27</v>
      </c>
      <c r="Y2066">
        <v>1</v>
      </c>
      <c r="Z2066">
        <v>1</v>
      </c>
      <c r="AA2066">
        <v>24</v>
      </c>
      <c r="AB2066">
        <v>2</v>
      </c>
      <c r="AC2066">
        <v>5</v>
      </c>
      <c r="AD2066">
        <v>3.25600004</v>
      </c>
      <c r="AE2066">
        <v>5</v>
      </c>
      <c r="AF2066">
        <v>38</v>
      </c>
      <c r="AG2066">
        <v>3.2449998899999999</v>
      </c>
      <c r="AH2066">
        <v>6</v>
      </c>
      <c r="AI2066">
        <v>24</v>
      </c>
      <c r="AJ2066">
        <v>1</v>
      </c>
      <c r="AK2066">
        <v>17</v>
      </c>
      <c r="AL2066">
        <v>39</v>
      </c>
      <c r="AM2066" t="s">
        <v>43</v>
      </c>
      <c r="AN2066" t="str">
        <f>HYPERLINK("https://www.google.com/maps?q=11.03520775,79.06840515","Open Location")</f>
        <v>Open Location</v>
      </c>
    </row>
    <row r="2067" spans="1:40" x14ac:dyDescent="0.3">
      <c r="A2067" s="1">
        <v>46210.76053240741</v>
      </c>
      <c r="B2067" t="s">
        <v>40</v>
      </c>
      <c r="C2067" t="s">
        <v>41</v>
      </c>
      <c r="D2067" s="1">
        <v>46210.763194444444</v>
      </c>
      <c r="E2067" t="s">
        <v>42</v>
      </c>
      <c r="F2067" t="s">
        <v>83</v>
      </c>
      <c r="G2067">
        <v>39</v>
      </c>
      <c r="H2067">
        <v>33202</v>
      </c>
      <c r="I2067" t="s">
        <v>999</v>
      </c>
      <c r="J2067">
        <v>39</v>
      </c>
      <c r="K2067">
        <v>75</v>
      </c>
      <c r="L2067">
        <v>98</v>
      </c>
      <c r="M2067">
        <v>622.70001220999995</v>
      </c>
      <c r="N2067" t="s">
        <v>87</v>
      </c>
      <c r="O2067" t="s">
        <v>86</v>
      </c>
      <c r="P2067">
        <v>131</v>
      </c>
      <c r="Q2067">
        <v>6</v>
      </c>
      <c r="R2067">
        <v>32</v>
      </c>
      <c r="S2067">
        <v>1097</v>
      </c>
      <c r="T2067">
        <v>-40</v>
      </c>
      <c r="U2067">
        <v>51</v>
      </c>
      <c r="V2067">
        <v>400</v>
      </c>
      <c r="W2067">
        <v>27</v>
      </c>
      <c r="X2067">
        <v>27</v>
      </c>
      <c r="Y2067">
        <v>1</v>
      </c>
      <c r="Z2067">
        <v>1</v>
      </c>
      <c r="AA2067">
        <v>24</v>
      </c>
      <c r="AB2067">
        <v>2</v>
      </c>
      <c r="AC2067">
        <v>5</v>
      </c>
      <c r="AD2067">
        <v>3.2539999499999999</v>
      </c>
      <c r="AE2067">
        <v>1</v>
      </c>
      <c r="AF2067">
        <v>1</v>
      </c>
      <c r="AG2067">
        <v>3.2420000999999998</v>
      </c>
      <c r="AH2067">
        <v>7</v>
      </c>
      <c r="AI2067">
        <v>19</v>
      </c>
      <c r="AJ2067">
        <v>1</v>
      </c>
      <c r="AK2067">
        <v>17</v>
      </c>
      <c r="AL2067">
        <v>39</v>
      </c>
      <c r="AM2067" t="s">
        <v>43</v>
      </c>
      <c r="AN2067" t="str">
        <f>HYPERLINK("https://www.google.com/maps?q=11.03392696,79.0684433","Open Location")</f>
        <v>Open Location</v>
      </c>
    </row>
    <row r="2068" spans="1:40" x14ac:dyDescent="0.3">
      <c r="A2068" s="1">
        <v>46210.760416666664</v>
      </c>
      <c r="B2068" t="s">
        <v>40</v>
      </c>
      <c r="C2068" t="s">
        <v>41</v>
      </c>
      <c r="D2068" s="1">
        <v>46210.763541666667</v>
      </c>
      <c r="E2068" t="s">
        <v>42</v>
      </c>
      <c r="F2068" t="s">
        <v>83</v>
      </c>
      <c r="G2068">
        <v>40</v>
      </c>
      <c r="H2068">
        <v>33202</v>
      </c>
      <c r="I2068" t="s">
        <v>1000</v>
      </c>
      <c r="J2068">
        <v>39</v>
      </c>
      <c r="K2068">
        <v>51</v>
      </c>
      <c r="L2068">
        <v>98</v>
      </c>
      <c r="M2068">
        <v>623.20001220999995</v>
      </c>
      <c r="N2068" t="s">
        <v>87</v>
      </c>
      <c r="O2068" t="s">
        <v>86</v>
      </c>
      <c r="P2068">
        <v>131</v>
      </c>
      <c r="Q2068">
        <v>6</v>
      </c>
      <c r="R2068">
        <v>30</v>
      </c>
      <c r="S2068">
        <v>1109</v>
      </c>
      <c r="T2068">
        <v>-40</v>
      </c>
      <c r="U2068">
        <v>51</v>
      </c>
      <c r="V2068">
        <v>260</v>
      </c>
      <c r="W2068">
        <v>27</v>
      </c>
      <c r="X2068">
        <v>27</v>
      </c>
      <c r="Y2068">
        <v>1</v>
      </c>
      <c r="Z2068">
        <v>1</v>
      </c>
      <c r="AA2068">
        <v>24</v>
      </c>
      <c r="AB2068">
        <v>2</v>
      </c>
      <c r="AC2068">
        <v>5</v>
      </c>
      <c r="AD2068">
        <v>3.2550001100000001</v>
      </c>
      <c r="AE2068">
        <v>1</v>
      </c>
      <c r="AF2068">
        <v>1</v>
      </c>
      <c r="AG2068">
        <v>3.24399996</v>
      </c>
      <c r="AH2068">
        <v>4</v>
      </c>
      <c r="AI2068">
        <v>24</v>
      </c>
      <c r="AJ2068">
        <v>1</v>
      </c>
      <c r="AK2068">
        <v>17</v>
      </c>
      <c r="AL2068">
        <v>39</v>
      </c>
      <c r="AM2068" t="s">
        <v>43</v>
      </c>
      <c r="AN2068" t="str">
        <f>HYPERLINK("https://www.google.com/maps?q=11.03286552,79.06903839","Open Location")</f>
        <v>Open Location</v>
      </c>
    </row>
    <row r="2069" spans="1:40" x14ac:dyDescent="0.3">
      <c r="A2069" s="1">
        <v>46210.760300925926</v>
      </c>
      <c r="B2069" t="s">
        <v>40</v>
      </c>
      <c r="C2069" t="s">
        <v>41</v>
      </c>
      <c r="D2069" s="1">
        <v>46210.763159722221</v>
      </c>
      <c r="E2069" t="s">
        <v>42</v>
      </c>
      <c r="F2069" t="s">
        <v>83</v>
      </c>
      <c r="G2069">
        <v>40</v>
      </c>
      <c r="H2069" t="s">
        <v>43</v>
      </c>
      <c r="I2069" t="s">
        <v>43</v>
      </c>
      <c r="J2069">
        <v>39</v>
      </c>
      <c r="K2069">
        <v>60</v>
      </c>
      <c r="L2069">
        <v>98</v>
      </c>
      <c r="M2069">
        <v>623.20001220999995</v>
      </c>
      <c r="N2069" t="s">
        <v>87</v>
      </c>
      <c r="O2069" t="s">
        <v>86</v>
      </c>
      <c r="P2069">
        <v>131</v>
      </c>
      <c r="Q2069">
        <v>6</v>
      </c>
      <c r="R2069">
        <v>40</v>
      </c>
      <c r="S2069">
        <v>1129</v>
      </c>
      <c r="T2069">
        <v>-40</v>
      </c>
      <c r="U2069">
        <v>51</v>
      </c>
      <c r="V2069">
        <v>300</v>
      </c>
      <c r="W2069">
        <v>27</v>
      </c>
      <c r="X2069">
        <v>27</v>
      </c>
      <c r="Y2069">
        <v>1</v>
      </c>
      <c r="Z2069">
        <v>1</v>
      </c>
      <c r="AA2069">
        <v>24</v>
      </c>
      <c r="AB2069">
        <v>2</v>
      </c>
      <c r="AC2069">
        <v>5</v>
      </c>
      <c r="AD2069">
        <v>3.2539999499999999</v>
      </c>
      <c r="AE2069">
        <v>5</v>
      </c>
      <c r="AF2069">
        <v>38</v>
      </c>
      <c r="AG2069">
        <v>3.2420000999999998</v>
      </c>
      <c r="AH2069">
        <v>4</v>
      </c>
      <c r="AI2069">
        <v>24</v>
      </c>
      <c r="AJ2069">
        <v>1</v>
      </c>
      <c r="AK2069">
        <v>17</v>
      </c>
      <c r="AL2069">
        <v>40</v>
      </c>
      <c r="AM2069" t="s">
        <v>43</v>
      </c>
      <c r="AN2069" t="s">
        <v>43</v>
      </c>
    </row>
    <row r="2070" spans="1:40" x14ac:dyDescent="0.3">
      <c r="A2070" s="1">
        <v>46210.760185185187</v>
      </c>
      <c r="B2070" t="s">
        <v>40</v>
      </c>
      <c r="C2070" t="s">
        <v>41</v>
      </c>
      <c r="D2070" s="1">
        <v>46210.763171296298</v>
      </c>
      <c r="E2070" t="s">
        <v>42</v>
      </c>
      <c r="F2070" t="s">
        <v>83</v>
      </c>
      <c r="G2070">
        <v>39</v>
      </c>
      <c r="H2070">
        <v>33201</v>
      </c>
      <c r="I2070" t="s">
        <v>1001</v>
      </c>
      <c r="J2070">
        <v>39</v>
      </c>
      <c r="K2070">
        <v>51</v>
      </c>
      <c r="L2070">
        <v>98</v>
      </c>
      <c r="M2070">
        <v>623.59997558999999</v>
      </c>
      <c r="N2070" t="s">
        <v>87</v>
      </c>
      <c r="O2070" t="s">
        <v>86</v>
      </c>
      <c r="P2070">
        <v>131</v>
      </c>
      <c r="Q2070">
        <v>6</v>
      </c>
      <c r="R2070">
        <v>36</v>
      </c>
      <c r="S2070">
        <v>1091</v>
      </c>
      <c r="T2070">
        <v>-40</v>
      </c>
      <c r="U2070">
        <v>51</v>
      </c>
      <c r="V2070">
        <v>320</v>
      </c>
      <c r="W2070">
        <v>27</v>
      </c>
      <c r="X2070">
        <v>27</v>
      </c>
      <c r="Y2070">
        <v>1</v>
      </c>
      <c r="Z2070">
        <v>1</v>
      </c>
      <c r="AA2070">
        <v>24</v>
      </c>
      <c r="AB2070">
        <v>2</v>
      </c>
      <c r="AC2070">
        <v>5</v>
      </c>
      <c r="AD2070" t="s">
        <v>43</v>
      </c>
      <c r="AE2070" t="s">
        <v>43</v>
      </c>
      <c r="AF2070" t="s">
        <v>43</v>
      </c>
      <c r="AG2070" t="s">
        <v>43</v>
      </c>
      <c r="AH2070" t="s">
        <v>43</v>
      </c>
      <c r="AI2070" t="s">
        <v>43</v>
      </c>
      <c r="AJ2070">
        <v>1</v>
      </c>
      <c r="AK2070">
        <v>17</v>
      </c>
      <c r="AL2070">
        <v>40</v>
      </c>
      <c r="AM2070" t="s">
        <v>43</v>
      </c>
      <c r="AN2070" t="str">
        <f>HYPERLINK("https://www.google.com/maps?q=11.03181076,79.06964111","Open Location")</f>
        <v>Open Location</v>
      </c>
    </row>
    <row r="2071" spans="1:40" x14ac:dyDescent="0.3">
      <c r="A2071" s="1">
        <v>46210.760069444441</v>
      </c>
      <c r="B2071" t="s">
        <v>40</v>
      </c>
      <c r="C2071" t="s">
        <v>41</v>
      </c>
      <c r="D2071" s="1">
        <v>46210.762812499997</v>
      </c>
      <c r="E2071" t="s">
        <v>42</v>
      </c>
      <c r="F2071" t="s">
        <v>83</v>
      </c>
      <c r="G2071">
        <v>41</v>
      </c>
      <c r="H2071">
        <v>33201</v>
      </c>
      <c r="I2071" t="s">
        <v>43</v>
      </c>
      <c r="J2071">
        <v>40</v>
      </c>
      <c r="K2071">
        <v>42</v>
      </c>
      <c r="L2071">
        <v>98</v>
      </c>
      <c r="M2071">
        <v>623.90002441000001</v>
      </c>
      <c r="N2071" t="s">
        <v>87</v>
      </c>
      <c r="O2071" t="s">
        <v>86</v>
      </c>
      <c r="P2071">
        <v>131</v>
      </c>
      <c r="Q2071">
        <v>6</v>
      </c>
      <c r="R2071">
        <v>31</v>
      </c>
      <c r="S2071">
        <v>1165</v>
      </c>
      <c r="T2071">
        <v>-40</v>
      </c>
      <c r="U2071">
        <v>50</v>
      </c>
      <c r="V2071">
        <v>200</v>
      </c>
      <c r="W2071">
        <v>27</v>
      </c>
      <c r="X2071">
        <v>27</v>
      </c>
      <c r="Y2071">
        <v>1</v>
      </c>
      <c r="Z2071">
        <v>1</v>
      </c>
      <c r="AA2071">
        <v>24</v>
      </c>
      <c r="AB2071">
        <v>2</v>
      </c>
      <c r="AC2071">
        <v>5</v>
      </c>
      <c r="AD2071">
        <v>3.2579999000000002</v>
      </c>
      <c r="AE2071">
        <v>5</v>
      </c>
      <c r="AF2071">
        <v>38</v>
      </c>
      <c r="AG2071">
        <v>3.24699998</v>
      </c>
      <c r="AH2071">
        <v>6</v>
      </c>
      <c r="AI2071">
        <v>24</v>
      </c>
      <c r="AJ2071">
        <v>1</v>
      </c>
      <c r="AK2071">
        <v>17</v>
      </c>
      <c r="AL2071">
        <v>39</v>
      </c>
      <c r="AM2071" t="s">
        <v>43</v>
      </c>
      <c r="AN2071" t="s">
        <v>43</v>
      </c>
    </row>
    <row r="2072" spans="1:40" x14ac:dyDescent="0.3">
      <c r="A2072" s="1">
        <v>46210.759953703702</v>
      </c>
      <c r="B2072" t="s">
        <v>40</v>
      </c>
      <c r="C2072" t="s">
        <v>41</v>
      </c>
      <c r="D2072" s="1">
        <v>46210.763148148151</v>
      </c>
      <c r="E2072" t="s">
        <v>42</v>
      </c>
      <c r="F2072" t="s">
        <v>83</v>
      </c>
      <c r="G2072">
        <v>44</v>
      </c>
      <c r="H2072">
        <v>33201</v>
      </c>
      <c r="I2072" t="s">
        <v>1002</v>
      </c>
      <c r="J2072">
        <v>40</v>
      </c>
      <c r="K2072">
        <v>23</v>
      </c>
      <c r="L2072">
        <v>98</v>
      </c>
      <c r="M2072">
        <v>624.40002441000001</v>
      </c>
      <c r="N2072" t="s">
        <v>87</v>
      </c>
      <c r="O2072" t="s">
        <v>86</v>
      </c>
      <c r="P2072">
        <v>131</v>
      </c>
      <c r="Q2072">
        <v>6</v>
      </c>
      <c r="R2072">
        <v>12</v>
      </c>
      <c r="S2072">
        <v>1210</v>
      </c>
      <c r="T2072">
        <v>-40</v>
      </c>
      <c r="U2072">
        <v>49</v>
      </c>
      <c r="V2072">
        <v>100</v>
      </c>
      <c r="W2072">
        <v>27</v>
      </c>
      <c r="X2072">
        <v>27</v>
      </c>
      <c r="Y2072">
        <v>1</v>
      </c>
      <c r="Z2072">
        <v>1</v>
      </c>
      <c r="AA2072">
        <v>24</v>
      </c>
      <c r="AB2072">
        <v>2</v>
      </c>
      <c r="AC2072">
        <v>5</v>
      </c>
      <c r="AD2072">
        <v>3.26200008</v>
      </c>
      <c r="AE2072">
        <v>5</v>
      </c>
      <c r="AF2072">
        <v>38</v>
      </c>
      <c r="AG2072">
        <v>3.2520000900000001</v>
      </c>
      <c r="AH2072">
        <v>7</v>
      </c>
      <c r="AI2072">
        <v>19</v>
      </c>
      <c r="AJ2072">
        <v>1</v>
      </c>
      <c r="AK2072">
        <v>17</v>
      </c>
      <c r="AL2072">
        <v>39</v>
      </c>
      <c r="AM2072" t="s">
        <v>43</v>
      </c>
      <c r="AN2072" t="str">
        <f>HYPERLINK("https://www.google.com/maps?q=11.0297451,79.07086945","Open Location")</f>
        <v>Open Location</v>
      </c>
    </row>
    <row r="2073" spans="1:40" x14ac:dyDescent="0.3">
      <c r="A2073" s="1">
        <v>46210.759837962964</v>
      </c>
      <c r="B2073" t="s">
        <v>40</v>
      </c>
      <c r="C2073" t="s">
        <v>41</v>
      </c>
      <c r="D2073" s="1">
        <v>46210.762743055559</v>
      </c>
      <c r="E2073" t="s">
        <v>42</v>
      </c>
      <c r="F2073" t="s">
        <v>83</v>
      </c>
      <c r="G2073">
        <v>44</v>
      </c>
      <c r="H2073">
        <v>33201</v>
      </c>
      <c r="I2073" t="s">
        <v>43</v>
      </c>
      <c r="J2073">
        <v>40</v>
      </c>
      <c r="K2073">
        <v>25</v>
      </c>
      <c r="L2073">
        <v>98</v>
      </c>
      <c r="M2073">
        <v>624.79998779000005</v>
      </c>
      <c r="N2073" t="s">
        <v>87</v>
      </c>
      <c r="O2073" t="s">
        <v>86</v>
      </c>
      <c r="P2073">
        <v>131</v>
      </c>
      <c r="Q2073">
        <v>6</v>
      </c>
      <c r="R2073">
        <v>12</v>
      </c>
      <c r="S2073">
        <v>1211</v>
      </c>
      <c r="T2073">
        <v>-40</v>
      </c>
      <c r="U2073">
        <v>50</v>
      </c>
      <c r="V2073">
        <v>120</v>
      </c>
      <c r="W2073">
        <v>27</v>
      </c>
      <c r="X2073">
        <v>27</v>
      </c>
      <c r="Y2073">
        <v>1</v>
      </c>
      <c r="Z2073">
        <v>1</v>
      </c>
      <c r="AA2073">
        <v>24</v>
      </c>
      <c r="AB2073">
        <v>2</v>
      </c>
      <c r="AC2073">
        <v>5</v>
      </c>
      <c r="AD2073">
        <v>3.2599999899999998</v>
      </c>
      <c r="AE2073">
        <v>5</v>
      </c>
      <c r="AF2073">
        <v>38</v>
      </c>
      <c r="AG2073">
        <v>3.25</v>
      </c>
      <c r="AH2073">
        <v>6</v>
      </c>
      <c r="AI2073">
        <v>24</v>
      </c>
      <c r="AJ2073">
        <v>1</v>
      </c>
      <c r="AK2073">
        <v>17</v>
      </c>
      <c r="AL2073">
        <v>40</v>
      </c>
      <c r="AM2073" t="s">
        <v>43</v>
      </c>
      <c r="AN2073" t="s">
        <v>43</v>
      </c>
    </row>
    <row r="2074" spans="1:40" x14ac:dyDescent="0.3">
      <c r="A2074" s="1">
        <v>46210.759722222225</v>
      </c>
      <c r="B2074" t="s">
        <v>40</v>
      </c>
      <c r="C2074" t="s">
        <v>41</v>
      </c>
      <c r="D2074" s="1">
        <v>46210.762743055559</v>
      </c>
      <c r="E2074" t="s">
        <v>42</v>
      </c>
      <c r="F2074" t="s">
        <v>83</v>
      </c>
      <c r="G2074">
        <v>43</v>
      </c>
      <c r="H2074">
        <v>33201</v>
      </c>
      <c r="I2074" t="s">
        <v>1003</v>
      </c>
      <c r="J2074">
        <v>40</v>
      </c>
      <c r="K2074">
        <v>33</v>
      </c>
      <c r="L2074">
        <v>98</v>
      </c>
      <c r="M2074">
        <v>623.09997558999999</v>
      </c>
      <c r="N2074" t="s">
        <v>87</v>
      </c>
      <c r="O2074" t="s">
        <v>86</v>
      </c>
      <c r="P2074">
        <v>131</v>
      </c>
      <c r="Q2074">
        <v>6</v>
      </c>
      <c r="R2074">
        <v>30</v>
      </c>
      <c r="S2074">
        <v>1190</v>
      </c>
      <c r="T2074">
        <v>-40</v>
      </c>
      <c r="U2074">
        <v>50</v>
      </c>
      <c r="V2074">
        <v>162</v>
      </c>
      <c r="W2074">
        <v>27</v>
      </c>
      <c r="X2074">
        <v>27</v>
      </c>
      <c r="Y2074">
        <v>1</v>
      </c>
      <c r="Z2074">
        <v>1</v>
      </c>
      <c r="AA2074">
        <v>24</v>
      </c>
      <c r="AB2074">
        <v>2</v>
      </c>
      <c r="AC2074">
        <v>5</v>
      </c>
      <c r="AD2074">
        <v>3.2599999899999998</v>
      </c>
      <c r="AE2074">
        <v>5</v>
      </c>
      <c r="AF2074">
        <v>38</v>
      </c>
      <c r="AG2074">
        <v>3.25</v>
      </c>
      <c r="AH2074">
        <v>6</v>
      </c>
      <c r="AI2074">
        <v>24</v>
      </c>
      <c r="AJ2074">
        <v>1</v>
      </c>
      <c r="AK2074">
        <v>17</v>
      </c>
      <c r="AL2074">
        <v>40</v>
      </c>
      <c r="AM2074" t="s">
        <v>43</v>
      </c>
      <c r="AN2074" t="str">
        <f>HYPERLINK("https://www.google.com/maps?q=11.02811909,79.07182312","Open Location")</f>
        <v>Open Location</v>
      </c>
    </row>
    <row r="2075" spans="1:40" x14ac:dyDescent="0.3">
      <c r="A2075" s="1">
        <v>46210.759606481479</v>
      </c>
      <c r="B2075" t="s">
        <v>40</v>
      </c>
      <c r="C2075" t="s">
        <v>41</v>
      </c>
      <c r="D2075" s="1">
        <v>46210.762303240743</v>
      </c>
      <c r="E2075" t="s">
        <v>42</v>
      </c>
      <c r="F2075" t="s">
        <v>83</v>
      </c>
      <c r="G2075">
        <v>43</v>
      </c>
      <c r="H2075" t="s">
        <v>43</v>
      </c>
      <c r="I2075" t="s">
        <v>1004</v>
      </c>
      <c r="J2075">
        <v>40</v>
      </c>
      <c r="K2075">
        <v>49</v>
      </c>
      <c r="L2075">
        <v>98</v>
      </c>
      <c r="M2075">
        <v>623.90002441000001</v>
      </c>
      <c r="N2075" t="s">
        <v>87</v>
      </c>
      <c r="O2075" t="s">
        <v>86</v>
      </c>
      <c r="P2075">
        <v>131</v>
      </c>
      <c r="Q2075">
        <v>6</v>
      </c>
      <c r="R2075">
        <v>18</v>
      </c>
      <c r="S2075">
        <v>1190</v>
      </c>
      <c r="T2075">
        <v>-40</v>
      </c>
      <c r="U2075">
        <v>51</v>
      </c>
      <c r="V2075">
        <v>240</v>
      </c>
      <c r="W2075">
        <v>27</v>
      </c>
      <c r="X2075">
        <v>27</v>
      </c>
      <c r="Y2075">
        <v>1</v>
      </c>
      <c r="Z2075">
        <v>1</v>
      </c>
      <c r="AA2075">
        <v>24</v>
      </c>
      <c r="AB2075">
        <v>2</v>
      </c>
      <c r="AC2075">
        <v>5</v>
      </c>
      <c r="AD2075">
        <v>3.2539999499999999</v>
      </c>
      <c r="AE2075">
        <v>5</v>
      </c>
      <c r="AF2075">
        <v>38</v>
      </c>
      <c r="AG2075">
        <v>3.2420000999999998</v>
      </c>
      <c r="AH2075">
        <v>6</v>
      </c>
      <c r="AI2075">
        <v>24</v>
      </c>
      <c r="AJ2075">
        <v>1</v>
      </c>
      <c r="AK2075">
        <v>17</v>
      </c>
      <c r="AL2075">
        <v>40</v>
      </c>
      <c r="AM2075" t="s">
        <v>43</v>
      </c>
      <c r="AN2075" t="str">
        <f>HYPERLINK("https://www.google.com/maps?q=11.02689171,79.07255554","Open Location")</f>
        <v>Open Location</v>
      </c>
    </row>
    <row r="2076" spans="1:40" x14ac:dyDescent="0.3">
      <c r="A2076" s="1">
        <v>46210.75949074074</v>
      </c>
      <c r="B2076" t="s">
        <v>40</v>
      </c>
      <c r="C2076" t="s">
        <v>41</v>
      </c>
      <c r="D2076" s="1">
        <v>46210.762187499997</v>
      </c>
      <c r="E2076" t="s">
        <v>42</v>
      </c>
      <c r="F2076" t="s">
        <v>83</v>
      </c>
      <c r="G2076">
        <v>42</v>
      </c>
      <c r="H2076">
        <v>33201</v>
      </c>
      <c r="I2076" t="s">
        <v>1005</v>
      </c>
      <c r="J2076">
        <v>40</v>
      </c>
      <c r="K2076">
        <v>50</v>
      </c>
      <c r="L2076">
        <v>98</v>
      </c>
      <c r="M2076">
        <v>623</v>
      </c>
      <c r="N2076" t="s">
        <v>87</v>
      </c>
      <c r="O2076" t="s">
        <v>86</v>
      </c>
      <c r="P2076">
        <v>131</v>
      </c>
      <c r="Q2076">
        <v>6</v>
      </c>
      <c r="R2076">
        <v>-37</v>
      </c>
      <c r="S2076">
        <v>1157</v>
      </c>
      <c r="T2076">
        <v>-40</v>
      </c>
      <c r="U2076">
        <v>51</v>
      </c>
      <c r="V2076">
        <v>240</v>
      </c>
      <c r="W2076">
        <v>27</v>
      </c>
      <c r="X2076">
        <v>27</v>
      </c>
      <c r="Y2076">
        <v>1</v>
      </c>
      <c r="Z2076">
        <v>1</v>
      </c>
      <c r="AA2076">
        <v>24</v>
      </c>
      <c r="AB2076">
        <v>2</v>
      </c>
      <c r="AC2076">
        <v>5</v>
      </c>
      <c r="AD2076" t="s">
        <v>43</v>
      </c>
      <c r="AE2076" t="s">
        <v>43</v>
      </c>
      <c r="AF2076" t="s">
        <v>43</v>
      </c>
      <c r="AG2076" t="s">
        <v>43</v>
      </c>
      <c r="AH2076" t="s">
        <v>43</v>
      </c>
      <c r="AI2076" t="s">
        <v>43</v>
      </c>
      <c r="AJ2076">
        <v>1</v>
      </c>
      <c r="AK2076">
        <v>17</v>
      </c>
      <c r="AL2076">
        <v>40</v>
      </c>
      <c r="AM2076" t="s">
        <v>43</v>
      </c>
      <c r="AN2076" t="str">
        <f>HYPERLINK("https://www.google.com/maps?q=11.0257988,79.07318115","Open Location")</f>
        <v>Open Location</v>
      </c>
    </row>
    <row r="2077" spans="1:40" x14ac:dyDescent="0.3">
      <c r="A2077" s="1">
        <v>46210.759375000001</v>
      </c>
      <c r="B2077" t="s">
        <v>40</v>
      </c>
      <c r="C2077" t="s">
        <v>41</v>
      </c>
      <c r="D2077" s="1">
        <v>46210.762013888889</v>
      </c>
      <c r="E2077" t="s">
        <v>42</v>
      </c>
      <c r="F2077" t="s">
        <v>83</v>
      </c>
      <c r="G2077">
        <v>41</v>
      </c>
      <c r="H2077">
        <v>33201</v>
      </c>
      <c r="I2077" t="s">
        <v>1006</v>
      </c>
      <c r="J2077">
        <v>40</v>
      </c>
      <c r="K2077">
        <v>49</v>
      </c>
      <c r="L2077">
        <v>98</v>
      </c>
      <c r="M2077">
        <v>622.20001220999995</v>
      </c>
      <c r="N2077" t="s">
        <v>87</v>
      </c>
      <c r="O2077" t="s">
        <v>86</v>
      </c>
      <c r="P2077">
        <v>131</v>
      </c>
      <c r="Q2077">
        <v>6</v>
      </c>
      <c r="R2077">
        <v>31</v>
      </c>
      <c r="S2077">
        <v>1147</v>
      </c>
      <c r="T2077">
        <v>-40</v>
      </c>
      <c r="U2077">
        <v>51</v>
      </c>
      <c r="V2077">
        <v>240</v>
      </c>
      <c r="W2077">
        <v>27</v>
      </c>
      <c r="X2077">
        <v>27</v>
      </c>
      <c r="Y2077">
        <v>1</v>
      </c>
      <c r="Z2077">
        <v>1</v>
      </c>
      <c r="AA2077">
        <v>24</v>
      </c>
      <c r="AB2077">
        <v>2</v>
      </c>
      <c r="AC2077">
        <v>5</v>
      </c>
      <c r="AD2077">
        <v>3.2509999299999999</v>
      </c>
      <c r="AE2077">
        <v>1</v>
      </c>
      <c r="AF2077">
        <v>1</v>
      </c>
      <c r="AG2077">
        <v>3.2400000100000002</v>
      </c>
      <c r="AH2077">
        <v>4</v>
      </c>
      <c r="AI2077">
        <v>24</v>
      </c>
      <c r="AJ2077">
        <v>1</v>
      </c>
      <c r="AK2077">
        <v>17</v>
      </c>
      <c r="AL2077">
        <v>40</v>
      </c>
      <c r="AM2077" t="s">
        <v>43</v>
      </c>
      <c r="AN2077" t="str">
        <f>HYPERLINK("https://www.google.com/maps?q=11.02471161,79.07381439","Open Location")</f>
        <v>Open Location</v>
      </c>
    </row>
    <row r="2078" spans="1:40" x14ac:dyDescent="0.3">
      <c r="A2078" s="1">
        <v>46210.759259259263</v>
      </c>
      <c r="B2078" t="s">
        <v>40</v>
      </c>
      <c r="C2078" t="s">
        <v>41</v>
      </c>
      <c r="D2078" s="1">
        <v>46210.762118055558</v>
      </c>
      <c r="E2078" t="s">
        <v>42</v>
      </c>
      <c r="F2078" t="s">
        <v>83</v>
      </c>
      <c r="G2078">
        <v>41</v>
      </c>
      <c r="H2078">
        <v>33200</v>
      </c>
      <c r="I2078" t="s">
        <v>43</v>
      </c>
      <c r="J2078">
        <v>40</v>
      </c>
      <c r="K2078">
        <v>52</v>
      </c>
      <c r="L2078">
        <v>98</v>
      </c>
      <c r="M2078">
        <v>622.09997558999999</v>
      </c>
      <c r="N2078" t="s">
        <v>87</v>
      </c>
      <c r="O2078" t="s">
        <v>86</v>
      </c>
      <c r="P2078">
        <v>131</v>
      </c>
      <c r="Q2078">
        <v>6</v>
      </c>
      <c r="R2078">
        <v>28</v>
      </c>
      <c r="S2078">
        <v>1130</v>
      </c>
      <c r="T2078">
        <v>-40</v>
      </c>
      <c r="U2078">
        <v>51</v>
      </c>
      <c r="V2078">
        <v>260</v>
      </c>
      <c r="W2078">
        <v>27</v>
      </c>
      <c r="X2078">
        <v>27</v>
      </c>
      <c r="Y2078">
        <v>1</v>
      </c>
      <c r="Z2078">
        <v>1</v>
      </c>
      <c r="AA2078">
        <v>24</v>
      </c>
      <c r="AB2078">
        <v>2</v>
      </c>
      <c r="AC2078">
        <v>5</v>
      </c>
      <c r="AD2078">
        <v>3.25</v>
      </c>
      <c r="AE2078">
        <v>5</v>
      </c>
      <c r="AF2078">
        <v>38</v>
      </c>
      <c r="AG2078">
        <v>3.2369999900000002</v>
      </c>
      <c r="AH2078">
        <v>6</v>
      </c>
      <c r="AI2078">
        <v>24</v>
      </c>
      <c r="AJ2078">
        <v>1</v>
      </c>
      <c r="AK2078">
        <v>17</v>
      </c>
      <c r="AL2078">
        <v>40</v>
      </c>
      <c r="AM2078" t="s">
        <v>43</v>
      </c>
      <c r="AN2078" t="s">
        <v>43</v>
      </c>
    </row>
    <row r="2079" spans="1:40" x14ac:dyDescent="0.3">
      <c r="A2079" s="1">
        <v>46210.759143518517</v>
      </c>
      <c r="B2079" t="s">
        <v>40</v>
      </c>
      <c r="C2079" t="s">
        <v>41</v>
      </c>
      <c r="D2079" s="1">
        <v>46210.762152777781</v>
      </c>
      <c r="E2079" t="s">
        <v>42</v>
      </c>
      <c r="F2079" t="s">
        <v>83</v>
      </c>
      <c r="G2079">
        <v>40</v>
      </c>
      <c r="H2079">
        <v>33200</v>
      </c>
      <c r="I2079" t="s">
        <v>43</v>
      </c>
      <c r="J2079">
        <v>40</v>
      </c>
      <c r="K2079">
        <v>31</v>
      </c>
      <c r="L2079">
        <v>98</v>
      </c>
      <c r="M2079">
        <v>623.40002441000001</v>
      </c>
      <c r="N2079" t="s">
        <v>87</v>
      </c>
      <c r="O2079" t="s">
        <v>86</v>
      </c>
      <c r="P2079">
        <v>131</v>
      </c>
      <c r="Q2079">
        <v>6</v>
      </c>
      <c r="R2079">
        <v>54</v>
      </c>
      <c r="S2079">
        <v>1114</v>
      </c>
      <c r="T2079">
        <v>-40</v>
      </c>
      <c r="U2079">
        <v>51</v>
      </c>
      <c r="V2079">
        <v>160</v>
      </c>
      <c r="W2079">
        <v>27</v>
      </c>
      <c r="X2079">
        <v>27</v>
      </c>
      <c r="Y2079">
        <v>1</v>
      </c>
      <c r="Z2079">
        <v>1</v>
      </c>
      <c r="AA2079">
        <v>24</v>
      </c>
      <c r="AB2079">
        <v>2</v>
      </c>
      <c r="AC2079">
        <v>5</v>
      </c>
      <c r="AD2079">
        <v>3.25300002</v>
      </c>
      <c r="AE2079">
        <v>5</v>
      </c>
      <c r="AF2079">
        <v>38</v>
      </c>
      <c r="AG2079">
        <v>3.2420000999999998</v>
      </c>
      <c r="AH2079">
        <v>6</v>
      </c>
      <c r="AI2079">
        <v>24</v>
      </c>
      <c r="AJ2079">
        <v>1</v>
      </c>
      <c r="AK2079">
        <v>17</v>
      </c>
      <c r="AL2079">
        <v>40</v>
      </c>
      <c r="AM2079" t="s">
        <v>43</v>
      </c>
      <c r="AN2079" t="s">
        <v>43</v>
      </c>
    </row>
    <row r="2080" spans="1:40" x14ac:dyDescent="0.3">
      <c r="A2080" s="1">
        <v>46210.759027777778</v>
      </c>
      <c r="B2080" t="s">
        <v>40</v>
      </c>
      <c r="C2080" t="s">
        <v>41</v>
      </c>
      <c r="D2080" s="1">
        <v>46210.761921296296</v>
      </c>
      <c r="E2080" t="s">
        <v>42</v>
      </c>
      <c r="F2080" t="s">
        <v>83</v>
      </c>
      <c r="G2080">
        <v>40</v>
      </c>
      <c r="H2080">
        <v>33200</v>
      </c>
      <c r="I2080" t="s">
        <v>1007</v>
      </c>
      <c r="J2080">
        <v>40</v>
      </c>
      <c r="K2080">
        <v>50</v>
      </c>
      <c r="L2080">
        <v>98</v>
      </c>
      <c r="M2080">
        <v>621.70001220999995</v>
      </c>
      <c r="N2080" t="s">
        <v>87</v>
      </c>
      <c r="O2080" t="s">
        <v>86</v>
      </c>
      <c r="P2080">
        <v>131</v>
      </c>
      <c r="Q2080">
        <v>6</v>
      </c>
      <c r="R2080">
        <v>30</v>
      </c>
      <c r="S2080">
        <v>1136</v>
      </c>
      <c r="T2080">
        <v>-40</v>
      </c>
      <c r="U2080">
        <v>52</v>
      </c>
      <c r="V2080">
        <v>240</v>
      </c>
      <c r="W2080">
        <v>27</v>
      </c>
      <c r="X2080">
        <v>27</v>
      </c>
      <c r="Y2080">
        <v>1</v>
      </c>
      <c r="Z2080">
        <v>1</v>
      </c>
      <c r="AA2080">
        <v>24</v>
      </c>
      <c r="AB2080">
        <v>2</v>
      </c>
      <c r="AC2080">
        <v>5</v>
      </c>
      <c r="AD2080" t="s">
        <v>43</v>
      </c>
      <c r="AE2080" t="s">
        <v>43</v>
      </c>
      <c r="AF2080" t="s">
        <v>43</v>
      </c>
      <c r="AG2080" t="s">
        <v>43</v>
      </c>
      <c r="AH2080" t="s">
        <v>43</v>
      </c>
      <c r="AI2080" t="s">
        <v>43</v>
      </c>
      <c r="AJ2080">
        <v>1</v>
      </c>
      <c r="AK2080">
        <v>17</v>
      </c>
      <c r="AL2080">
        <v>40</v>
      </c>
      <c r="AM2080" t="s">
        <v>43</v>
      </c>
      <c r="AN2080" t="str">
        <f>HYPERLINK("https://www.google.com/maps?q=11.02259159,79.07506561","Open Location")</f>
        <v>Open Location</v>
      </c>
    </row>
    <row r="2081" spans="1:40" x14ac:dyDescent="0.3">
      <c r="A2081" s="1">
        <v>46210.758912037039</v>
      </c>
      <c r="B2081" t="s">
        <v>40</v>
      </c>
      <c r="C2081" t="s">
        <v>41</v>
      </c>
      <c r="D2081" s="1">
        <v>46210.761828703704</v>
      </c>
      <c r="E2081" t="s">
        <v>42</v>
      </c>
      <c r="F2081" t="s">
        <v>83</v>
      </c>
      <c r="G2081">
        <v>40</v>
      </c>
      <c r="H2081">
        <v>33200</v>
      </c>
      <c r="I2081" t="s">
        <v>1008</v>
      </c>
      <c r="J2081">
        <v>40</v>
      </c>
      <c r="K2081">
        <v>104</v>
      </c>
      <c r="L2081">
        <v>98</v>
      </c>
      <c r="M2081">
        <v>619</v>
      </c>
      <c r="N2081" t="s">
        <v>87</v>
      </c>
      <c r="O2081" t="s">
        <v>86</v>
      </c>
      <c r="P2081">
        <v>131</v>
      </c>
      <c r="Q2081">
        <v>6</v>
      </c>
      <c r="R2081">
        <v>60</v>
      </c>
      <c r="S2081">
        <v>1111</v>
      </c>
      <c r="T2081">
        <v>-40</v>
      </c>
      <c r="U2081">
        <v>53</v>
      </c>
      <c r="V2081">
        <v>520</v>
      </c>
      <c r="W2081">
        <v>27</v>
      </c>
      <c r="X2081">
        <v>27</v>
      </c>
      <c r="Y2081">
        <v>1</v>
      </c>
      <c r="Z2081">
        <v>1</v>
      </c>
      <c r="AA2081">
        <v>24</v>
      </c>
      <c r="AB2081">
        <v>2</v>
      </c>
      <c r="AC2081">
        <v>5</v>
      </c>
      <c r="AD2081">
        <v>3.2349999</v>
      </c>
      <c r="AE2081">
        <v>5</v>
      </c>
      <c r="AF2081">
        <v>38</v>
      </c>
      <c r="AG2081">
        <v>3.2190001000000001</v>
      </c>
      <c r="AH2081">
        <v>4</v>
      </c>
      <c r="AI2081">
        <v>24</v>
      </c>
      <c r="AJ2081">
        <v>1</v>
      </c>
      <c r="AK2081">
        <v>17</v>
      </c>
      <c r="AL2081">
        <v>40</v>
      </c>
      <c r="AM2081" t="s">
        <v>43</v>
      </c>
      <c r="AN2081" t="str">
        <f>HYPERLINK("https://www.google.com/maps?q=11.021451,79.07556915","Open Location")</f>
        <v>Open Location</v>
      </c>
    </row>
    <row r="2082" spans="1:40" x14ac:dyDescent="0.3">
      <c r="A2082" s="1">
        <v>46210.758796296293</v>
      </c>
      <c r="B2082" t="s">
        <v>40</v>
      </c>
      <c r="C2082" t="s">
        <v>41</v>
      </c>
      <c r="D2082" s="1">
        <v>46210.761689814812</v>
      </c>
      <c r="E2082" t="s">
        <v>42</v>
      </c>
      <c r="F2082" t="s">
        <v>83</v>
      </c>
      <c r="G2082">
        <v>40</v>
      </c>
      <c r="H2082">
        <v>33200</v>
      </c>
      <c r="I2082" t="s">
        <v>1009</v>
      </c>
      <c r="J2082">
        <v>40</v>
      </c>
      <c r="K2082">
        <v>128</v>
      </c>
      <c r="L2082">
        <v>98</v>
      </c>
      <c r="M2082">
        <v>617.90002441000001</v>
      </c>
      <c r="N2082" t="s">
        <v>87</v>
      </c>
      <c r="O2082" t="s">
        <v>86</v>
      </c>
      <c r="P2082">
        <v>131</v>
      </c>
      <c r="Q2082">
        <v>6</v>
      </c>
      <c r="R2082">
        <v>72</v>
      </c>
      <c r="S2082">
        <v>1114</v>
      </c>
      <c r="T2082">
        <v>-40</v>
      </c>
      <c r="U2082">
        <v>54</v>
      </c>
      <c r="V2082">
        <v>600</v>
      </c>
      <c r="W2082">
        <v>27</v>
      </c>
      <c r="X2082">
        <v>27</v>
      </c>
      <c r="Y2082">
        <v>1</v>
      </c>
      <c r="Z2082">
        <v>1</v>
      </c>
      <c r="AA2082">
        <v>24</v>
      </c>
      <c r="AB2082">
        <v>2</v>
      </c>
      <c r="AC2082">
        <v>5</v>
      </c>
      <c r="AD2082">
        <v>3.2309999500000002</v>
      </c>
      <c r="AE2082">
        <v>5</v>
      </c>
      <c r="AF2082">
        <v>38</v>
      </c>
      <c r="AG2082">
        <v>3.21199989</v>
      </c>
      <c r="AH2082">
        <v>6</v>
      </c>
      <c r="AI2082">
        <v>24</v>
      </c>
      <c r="AJ2082">
        <v>1</v>
      </c>
      <c r="AK2082">
        <v>17</v>
      </c>
      <c r="AL2082">
        <v>40</v>
      </c>
      <c r="AM2082" t="s">
        <v>43</v>
      </c>
      <c r="AN2082" t="str">
        <f>HYPERLINK("https://www.google.com/maps?q=11.02028179,79.07590485","Open Location")</f>
        <v>Open Location</v>
      </c>
    </row>
    <row r="2083" spans="1:40" x14ac:dyDescent="0.3">
      <c r="A2083" s="1">
        <v>46210.758680555555</v>
      </c>
      <c r="B2083" t="s">
        <v>40</v>
      </c>
      <c r="C2083" t="s">
        <v>41</v>
      </c>
      <c r="D2083" s="1">
        <v>46210.761423611111</v>
      </c>
      <c r="E2083" t="s">
        <v>42</v>
      </c>
      <c r="F2083" t="s">
        <v>83</v>
      </c>
      <c r="G2083">
        <v>40</v>
      </c>
      <c r="H2083" t="s">
        <v>43</v>
      </c>
      <c r="I2083" t="s">
        <v>1010</v>
      </c>
      <c r="J2083">
        <v>40</v>
      </c>
      <c r="K2083">
        <v>139</v>
      </c>
      <c r="L2083">
        <v>98</v>
      </c>
      <c r="M2083">
        <v>617.29998779000005</v>
      </c>
      <c r="N2083" t="s">
        <v>87</v>
      </c>
      <c r="O2083" t="s">
        <v>86</v>
      </c>
      <c r="P2083">
        <v>131</v>
      </c>
      <c r="Q2083">
        <v>6</v>
      </c>
      <c r="R2083">
        <v>74</v>
      </c>
      <c r="S2083">
        <v>1088</v>
      </c>
      <c r="T2083">
        <v>-40</v>
      </c>
      <c r="U2083">
        <v>54</v>
      </c>
      <c r="V2083">
        <v>680</v>
      </c>
      <c r="W2083">
        <v>27</v>
      </c>
      <c r="X2083">
        <v>27</v>
      </c>
      <c r="Y2083">
        <v>1</v>
      </c>
      <c r="Z2083">
        <v>1</v>
      </c>
      <c r="AA2083">
        <v>24</v>
      </c>
      <c r="AB2083">
        <v>2</v>
      </c>
      <c r="AC2083">
        <v>5</v>
      </c>
      <c r="AD2083">
        <v>3.2279999300000002</v>
      </c>
      <c r="AE2083">
        <v>5</v>
      </c>
      <c r="AF2083">
        <v>38</v>
      </c>
      <c r="AG2083">
        <v>3.2100000400000002</v>
      </c>
      <c r="AH2083">
        <v>4</v>
      </c>
      <c r="AI2083">
        <v>24</v>
      </c>
      <c r="AJ2083">
        <v>1</v>
      </c>
      <c r="AK2083">
        <v>17</v>
      </c>
      <c r="AL2083">
        <v>40</v>
      </c>
      <c r="AM2083" t="s">
        <v>43</v>
      </c>
      <c r="AN2083" t="str">
        <f>HYPERLINK("https://www.google.com/maps?q=11.01902866,79.07627106","Open Location")</f>
        <v>Open Location</v>
      </c>
    </row>
    <row r="2084" spans="1:40" x14ac:dyDescent="0.3">
      <c r="A2084" s="1">
        <v>46210.758564814816</v>
      </c>
      <c r="B2084" t="s">
        <v>40</v>
      </c>
      <c r="C2084" t="s">
        <v>41</v>
      </c>
      <c r="D2084" s="1">
        <v>46210.761354166665</v>
      </c>
      <c r="E2084" t="s">
        <v>42</v>
      </c>
      <c r="F2084" t="s">
        <v>83</v>
      </c>
      <c r="G2084">
        <v>39</v>
      </c>
      <c r="H2084">
        <v>33200</v>
      </c>
      <c r="I2084" t="s">
        <v>43</v>
      </c>
      <c r="J2084">
        <v>40</v>
      </c>
      <c r="K2084">
        <v>135</v>
      </c>
      <c r="L2084">
        <v>98</v>
      </c>
      <c r="M2084">
        <v>616.70001220999995</v>
      </c>
      <c r="N2084" t="s">
        <v>87</v>
      </c>
      <c r="O2084" t="s">
        <v>86</v>
      </c>
      <c r="P2084">
        <v>131</v>
      </c>
      <c r="Q2084">
        <v>6</v>
      </c>
      <c r="R2084">
        <v>63</v>
      </c>
      <c r="S2084">
        <v>1082</v>
      </c>
      <c r="T2084">
        <v>-40</v>
      </c>
      <c r="U2084">
        <v>54</v>
      </c>
      <c r="V2084">
        <v>720</v>
      </c>
      <c r="W2084">
        <v>27</v>
      </c>
      <c r="X2084">
        <v>27</v>
      </c>
      <c r="Y2084">
        <v>1</v>
      </c>
      <c r="Z2084">
        <v>1</v>
      </c>
      <c r="AA2084">
        <v>24</v>
      </c>
      <c r="AB2084">
        <v>2</v>
      </c>
      <c r="AC2084">
        <v>5</v>
      </c>
      <c r="AD2084">
        <v>3.2309999500000002</v>
      </c>
      <c r="AE2084">
        <v>5</v>
      </c>
      <c r="AF2084">
        <v>38</v>
      </c>
      <c r="AG2084">
        <v>3.2130000600000002</v>
      </c>
      <c r="AH2084">
        <v>6</v>
      </c>
      <c r="AI2084">
        <v>24</v>
      </c>
      <c r="AJ2084">
        <v>1</v>
      </c>
      <c r="AK2084">
        <v>17</v>
      </c>
      <c r="AL2084">
        <v>40</v>
      </c>
      <c r="AM2084" t="s">
        <v>43</v>
      </c>
      <c r="AN2084" t="s">
        <v>43</v>
      </c>
    </row>
    <row r="2085" spans="1:40" x14ac:dyDescent="0.3">
      <c r="A2085" s="1">
        <v>46210.758449074077</v>
      </c>
      <c r="B2085" t="s">
        <v>40</v>
      </c>
      <c r="C2085" t="s">
        <v>41</v>
      </c>
      <c r="D2085" s="1">
        <v>46210.761458333334</v>
      </c>
      <c r="E2085" t="s">
        <v>42</v>
      </c>
      <c r="F2085" t="s">
        <v>83</v>
      </c>
      <c r="G2085">
        <v>38</v>
      </c>
      <c r="H2085">
        <v>33200</v>
      </c>
      <c r="I2085" t="s">
        <v>1011</v>
      </c>
      <c r="J2085">
        <v>40</v>
      </c>
      <c r="K2085">
        <v>136</v>
      </c>
      <c r="L2085">
        <v>98</v>
      </c>
      <c r="M2085">
        <v>618.79998779000005</v>
      </c>
      <c r="N2085" t="s">
        <v>87</v>
      </c>
      <c r="O2085" t="s">
        <v>86</v>
      </c>
      <c r="P2085">
        <v>131</v>
      </c>
      <c r="Q2085">
        <v>6</v>
      </c>
      <c r="R2085">
        <v>82</v>
      </c>
      <c r="S2085">
        <v>1068</v>
      </c>
      <c r="T2085">
        <v>-40</v>
      </c>
      <c r="U2085">
        <v>53</v>
      </c>
      <c r="V2085">
        <v>675</v>
      </c>
      <c r="W2085">
        <v>27</v>
      </c>
      <c r="X2085">
        <v>27</v>
      </c>
      <c r="Y2085">
        <v>1</v>
      </c>
      <c r="Z2085">
        <v>1</v>
      </c>
      <c r="AA2085">
        <v>24</v>
      </c>
      <c r="AB2085">
        <v>2</v>
      </c>
      <c r="AC2085">
        <v>5</v>
      </c>
      <c r="AD2085">
        <v>3.2309999500000002</v>
      </c>
      <c r="AE2085">
        <v>5</v>
      </c>
      <c r="AF2085">
        <v>38</v>
      </c>
      <c r="AG2085">
        <v>3.2130000600000002</v>
      </c>
      <c r="AH2085">
        <v>4</v>
      </c>
      <c r="AI2085">
        <v>24</v>
      </c>
      <c r="AJ2085">
        <v>1</v>
      </c>
      <c r="AK2085">
        <v>17</v>
      </c>
      <c r="AL2085">
        <v>40</v>
      </c>
      <c r="AM2085" t="s">
        <v>43</v>
      </c>
      <c r="AN2085" t="str">
        <f>HYPERLINK("https://www.google.com/maps?q=11.01789761,79.07659912","Open Location")</f>
        <v>Open Location</v>
      </c>
    </row>
    <row r="2086" spans="1:40" x14ac:dyDescent="0.3">
      <c r="A2086" s="1">
        <v>46210.758333333331</v>
      </c>
      <c r="B2086" t="s">
        <v>40</v>
      </c>
      <c r="C2086" t="s">
        <v>41</v>
      </c>
      <c r="D2086" s="1">
        <v>46210.761111111111</v>
      </c>
      <c r="E2086" t="s">
        <v>42</v>
      </c>
      <c r="F2086" t="s">
        <v>83</v>
      </c>
      <c r="G2086">
        <v>39</v>
      </c>
      <c r="H2086">
        <v>33200</v>
      </c>
      <c r="I2086" t="s">
        <v>1012</v>
      </c>
      <c r="J2086">
        <v>40</v>
      </c>
      <c r="K2086">
        <v>99</v>
      </c>
      <c r="L2086">
        <v>98</v>
      </c>
      <c r="M2086">
        <v>619.40002441000001</v>
      </c>
      <c r="N2086" t="s">
        <v>87</v>
      </c>
      <c r="O2086" t="s">
        <v>86</v>
      </c>
      <c r="P2086">
        <v>131</v>
      </c>
      <c r="Q2086">
        <v>6</v>
      </c>
      <c r="R2086">
        <v>56</v>
      </c>
      <c r="S2086">
        <v>1092</v>
      </c>
      <c r="T2086">
        <v>-40</v>
      </c>
      <c r="U2086">
        <v>52</v>
      </c>
      <c r="V2086">
        <v>500</v>
      </c>
      <c r="W2086">
        <v>28</v>
      </c>
      <c r="X2086">
        <v>28</v>
      </c>
      <c r="Y2086">
        <v>1</v>
      </c>
      <c r="Z2086">
        <v>8</v>
      </c>
      <c r="AA2086">
        <v>24</v>
      </c>
      <c r="AB2086">
        <v>2</v>
      </c>
      <c r="AC2086">
        <v>5</v>
      </c>
      <c r="AD2086">
        <v>3.2369999900000002</v>
      </c>
      <c r="AE2086">
        <v>5</v>
      </c>
      <c r="AF2086">
        <v>38</v>
      </c>
      <c r="AG2086">
        <v>3.2219998799999998</v>
      </c>
      <c r="AH2086">
        <v>4</v>
      </c>
      <c r="AI2086">
        <v>24</v>
      </c>
      <c r="AJ2086">
        <v>1</v>
      </c>
      <c r="AK2086">
        <v>17</v>
      </c>
      <c r="AL2086">
        <v>40</v>
      </c>
      <c r="AM2086" t="s">
        <v>43</v>
      </c>
      <c r="AN2086" t="str">
        <f>HYPERLINK("https://www.google.com/maps?q=11.01678085,79.07693481","Open Location")</f>
        <v>Open Location</v>
      </c>
    </row>
    <row r="2087" spans="1:40" x14ac:dyDescent="0.3">
      <c r="A2087" s="1">
        <v>46210.758217592593</v>
      </c>
      <c r="B2087" t="s">
        <v>40</v>
      </c>
      <c r="C2087" t="s">
        <v>41</v>
      </c>
      <c r="D2087" s="1">
        <v>46210.760960648149</v>
      </c>
      <c r="E2087" t="s">
        <v>42</v>
      </c>
      <c r="F2087" t="s">
        <v>83</v>
      </c>
      <c r="G2087">
        <v>39</v>
      </c>
      <c r="H2087">
        <v>33199</v>
      </c>
      <c r="I2087" t="s">
        <v>1013</v>
      </c>
      <c r="J2087">
        <v>40</v>
      </c>
      <c r="K2087">
        <v>98</v>
      </c>
      <c r="L2087">
        <v>98</v>
      </c>
      <c r="M2087">
        <v>619.40002441000001</v>
      </c>
      <c r="N2087" t="s">
        <v>87</v>
      </c>
      <c r="O2087" t="s">
        <v>86</v>
      </c>
      <c r="P2087">
        <v>131</v>
      </c>
      <c r="Q2087">
        <v>6</v>
      </c>
      <c r="R2087">
        <v>55</v>
      </c>
      <c r="S2087">
        <v>1094</v>
      </c>
      <c r="T2087">
        <v>-40</v>
      </c>
      <c r="U2087">
        <v>52</v>
      </c>
      <c r="V2087">
        <v>480</v>
      </c>
      <c r="W2087">
        <v>28</v>
      </c>
      <c r="X2087">
        <v>28</v>
      </c>
      <c r="Y2087">
        <v>1</v>
      </c>
      <c r="Z2087">
        <v>8</v>
      </c>
      <c r="AA2087">
        <v>24</v>
      </c>
      <c r="AB2087">
        <v>2</v>
      </c>
      <c r="AC2087">
        <v>5</v>
      </c>
      <c r="AD2087">
        <v>3.23799992</v>
      </c>
      <c r="AE2087">
        <v>5</v>
      </c>
      <c r="AF2087">
        <v>38</v>
      </c>
      <c r="AG2087">
        <v>3.22300005</v>
      </c>
      <c r="AH2087">
        <v>4</v>
      </c>
      <c r="AI2087">
        <v>24</v>
      </c>
      <c r="AJ2087">
        <v>1</v>
      </c>
      <c r="AK2087">
        <v>17</v>
      </c>
      <c r="AL2087">
        <v>40</v>
      </c>
      <c r="AM2087" t="s">
        <v>43</v>
      </c>
      <c r="AN2087" t="str">
        <f>HYPERLINK("https://www.google.com/maps?q=11.01564312,79.07727051","Open Location")</f>
        <v>Open Location</v>
      </c>
    </row>
    <row r="2088" spans="1:40" x14ac:dyDescent="0.3">
      <c r="A2088" s="1">
        <v>46210.758101851854</v>
      </c>
      <c r="B2088" t="s">
        <v>40</v>
      </c>
      <c r="C2088" t="s">
        <v>41</v>
      </c>
      <c r="D2088" s="1">
        <v>46210.760937500003</v>
      </c>
      <c r="E2088" t="s">
        <v>42</v>
      </c>
      <c r="F2088" t="s">
        <v>83</v>
      </c>
      <c r="G2088">
        <v>40</v>
      </c>
      <c r="H2088">
        <v>33199</v>
      </c>
      <c r="I2088" t="s">
        <v>1014</v>
      </c>
      <c r="J2088">
        <v>40</v>
      </c>
      <c r="K2088">
        <v>105</v>
      </c>
      <c r="L2088">
        <v>98</v>
      </c>
      <c r="M2088">
        <v>619.5</v>
      </c>
      <c r="N2088" t="s">
        <v>87</v>
      </c>
      <c r="O2088" t="s">
        <v>86</v>
      </c>
      <c r="P2088">
        <v>131</v>
      </c>
      <c r="Q2088">
        <v>6</v>
      </c>
      <c r="R2088">
        <v>60</v>
      </c>
      <c r="S2088">
        <v>1122</v>
      </c>
      <c r="T2088">
        <v>-40</v>
      </c>
      <c r="U2088">
        <v>52</v>
      </c>
      <c r="V2088">
        <v>520</v>
      </c>
      <c r="W2088">
        <v>28</v>
      </c>
      <c r="X2088">
        <v>28</v>
      </c>
      <c r="Y2088">
        <v>1</v>
      </c>
      <c r="Z2088">
        <v>8</v>
      </c>
      <c r="AA2088">
        <v>24</v>
      </c>
      <c r="AB2088">
        <v>2</v>
      </c>
      <c r="AC2088">
        <v>5</v>
      </c>
      <c r="AD2088">
        <v>3.2360000599999998</v>
      </c>
      <c r="AE2088">
        <v>5</v>
      </c>
      <c r="AF2088">
        <v>38</v>
      </c>
      <c r="AG2088">
        <v>3.2209999599999999</v>
      </c>
      <c r="AH2088">
        <v>4</v>
      </c>
      <c r="AI2088">
        <v>24</v>
      </c>
      <c r="AJ2088">
        <v>1</v>
      </c>
      <c r="AK2088">
        <v>17</v>
      </c>
      <c r="AL2088">
        <v>40</v>
      </c>
      <c r="AM2088" t="s">
        <v>43</v>
      </c>
      <c r="AN2088" t="str">
        <f>HYPERLINK("https://www.google.com/maps?q=11.01448822,79.07761383","Open Location")</f>
        <v>Open Location</v>
      </c>
    </row>
    <row r="2089" spans="1:40" x14ac:dyDescent="0.3">
      <c r="A2089" s="1">
        <v>46210.757986111108</v>
      </c>
      <c r="B2089" t="s">
        <v>40</v>
      </c>
      <c r="C2089" t="s">
        <v>41</v>
      </c>
      <c r="D2089" s="1">
        <v>46210.760694444441</v>
      </c>
      <c r="E2089" t="s">
        <v>42</v>
      </c>
      <c r="F2089" t="s">
        <v>83</v>
      </c>
      <c r="G2089">
        <v>41</v>
      </c>
      <c r="H2089">
        <v>33199</v>
      </c>
      <c r="I2089" t="s">
        <v>1015</v>
      </c>
      <c r="J2089">
        <v>40</v>
      </c>
      <c r="K2089">
        <v>122</v>
      </c>
      <c r="L2089">
        <v>98</v>
      </c>
      <c r="M2089">
        <v>618.70001220999995</v>
      </c>
      <c r="N2089" t="s">
        <v>87</v>
      </c>
      <c r="O2089" t="s">
        <v>86</v>
      </c>
      <c r="P2089">
        <v>131</v>
      </c>
      <c r="Q2089">
        <v>6</v>
      </c>
      <c r="R2089">
        <v>66</v>
      </c>
      <c r="S2089">
        <v>1133</v>
      </c>
      <c r="T2089">
        <v>-40</v>
      </c>
      <c r="U2089">
        <v>52</v>
      </c>
      <c r="V2089">
        <v>580</v>
      </c>
      <c r="W2089">
        <v>28</v>
      </c>
      <c r="X2089">
        <v>28</v>
      </c>
      <c r="Y2089">
        <v>1</v>
      </c>
      <c r="Z2089">
        <v>8</v>
      </c>
      <c r="AA2089">
        <v>24</v>
      </c>
      <c r="AB2089">
        <v>2</v>
      </c>
      <c r="AC2089">
        <v>5</v>
      </c>
      <c r="AD2089">
        <v>3.2330000399999999</v>
      </c>
      <c r="AE2089">
        <v>5</v>
      </c>
      <c r="AF2089">
        <v>38</v>
      </c>
      <c r="AG2089">
        <v>3.21700001</v>
      </c>
      <c r="AH2089">
        <v>4</v>
      </c>
      <c r="AI2089">
        <v>24</v>
      </c>
      <c r="AJ2089">
        <v>1</v>
      </c>
      <c r="AK2089">
        <v>17</v>
      </c>
      <c r="AL2089">
        <v>40</v>
      </c>
      <c r="AM2089" t="s">
        <v>43</v>
      </c>
      <c r="AN2089" t="str">
        <f>HYPERLINK("https://www.google.com/maps?q=11.01329994,79.07797241","Open Location")</f>
        <v>Open Location</v>
      </c>
    </row>
    <row r="2090" spans="1:40" x14ac:dyDescent="0.3">
      <c r="A2090" s="1">
        <v>46210.757870370369</v>
      </c>
      <c r="B2090" t="s">
        <v>40</v>
      </c>
      <c r="C2090" t="s">
        <v>41</v>
      </c>
      <c r="D2090" s="1">
        <v>46210.760729166665</v>
      </c>
      <c r="E2090" t="s">
        <v>42</v>
      </c>
      <c r="F2090" t="s">
        <v>83</v>
      </c>
      <c r="G2090">
        <v>42</v>
      </c>
      <c r="H2090">
        <v>33199</v>
      </c>
      <c r="I2090" t="s">
        <v>43</v>
      </c>
      <c r="J2090">
        <v>40</v>
      </c>
      <c r="K2090">
        <v>94</v>
      </c>
      <c r="L2090">
        <v>98</v>
      </c>
      <c r="M2090">
        <v>619.79998779000005</v>
      </c>
      <c r="N2090" t="s">
        <v>87</v>
      </c>
      <c r="O2090" t="s">
        <v>86</v>
      </c>
      <c r="P2090">
        <v>131</v>
      </c>
      <c r="Q2090">
        <v>6</v>
      </c>
      <c r="R2090">
        <v>53</v>
      </c>
      <c r="S2090">
        <v>1183</v>
      </c>
      <c r="T2090">
        <v>-40</v>
      </c>
      <c r="U2090">
        <v>51</v>
      </c>
      <c r="V2090">
        <v>440</v>
      </c>
      <c r="W2090">
        <v>28</v>
      </c>
      <c r="X2090">
        <v>28</v>
      </c>
      <c r="Y2090">
        <v>1</v>
      </c>
      <c r="Z2090">
        <v>8</v>
      </c>
      <c r="AA2090">
        <v>24</v>
      </c>
      <c r="AB2090">
        <v>2</v>
      </c>
      <c r="AC2090">
        <v>5</v>
      </c>
      <c r="AD2090">
        <v>3.24099994</v>
      </c>
      <c r="AE2090">
        <v>5</v>
      </c>
      <c r="AF2090">
        <v>38</v>
      </c>
      <c r="AG2090">
        <v>3.2249998999999998</v>
      </c>
      <c r="AH2090">
        <v>4</v>
      </c>
      <c r="AI2090">
        <v>24</v>
      </c>
      <c r="AJ2090">
        <v>1</v>
      </c>
      <c r="AK2090">
        <v>18</v>
      </c>
      <c r="AL2090">
        <v>40</v>
      </c>
      <c r="AM2090" t="s">
        <v>43</v>
      </c>
      <c r="AN2090" t="s">
        <v>43</v>
      </c>
    </row>
    <row r="2091" spans="1:40" x14ac:dyDescent="0.3">
      <c r="A2091" s="1">
        <v>46210.757754629631</v>
      </c>
      <c r="B2091" t="s">
        <v>40</v>
      </c>
      <c r="C2091" t="s">
        <v>41</v>
      </c>
      <c r="D2091" s="1">
        <v>46210.76059027778</v>
      </c>
      <c r="E2091" t="s">
        <v>42</v>
      </c>
      <c r="F2091" t="s">
        <v>83</v>
      </c>
      <c r="G2091">
        <v>44</v>
      </c>
      <c r="H2091">
        <v>33199</v>
      </c>
      <c r="I2091" t="s">
        <v>1016</v>
      </c>
      <c r="J2091">
        <v>40</v>
      </c>
      <c r="K2091">
        <v>93</v>
      </c>
      <c r="L2091">
        <v>98</v>
      </c>
      <c r="M2091">
        <v>619.90002441000001</v>
      </c>
      <c r="N2091" t="s">
        <v>87</v>
      </c>
      <c r="O2091" t="s">
        <v>86</v>
      </c>
      <c r="P2091">
        <v>131</v>
      </c>
      <c r="Q2091">
        <v>6</v>
      </c>
      <c r="R2091">
        <v>48</v>
      </c>
      <c r="S2091">
        <v>1236</v>
      </c>
      <c r="T2091">
        <v>-40</v>
      </c>
      <c r="U2091">
        <v>51</v>
      </c>
      <c r="V2091">
        <v>420</v>
      </c>
      <c r="W2091">
        <v>28</v>
      </c>
      <c r="X2091">
        <v>28</v>
      </c>
      <c r="Y2091">
        <v>1</v>
      </c>
      <c r="Z2091">
        <v>8</v>
      </c>
      <c r="AA2091">
        <v>24</v>
      </c>
      <c r="AB2091">
        <v>2</v>
      </c>
      <c r="AC2091">
        <v>5</v>
      </c>
      <c r="AD2091">
        <v>3.2400000100000002</v>
      </c>
      <c r="AE2091">
        <v>5</v>
      </c>
      <c r="AF2091">
        <v>38</v>
      </c>
      <c r="AG2091">
        <v>3.2249998999999998</v>
      </c>
      <c r="AH2091">
        <v>4</v>
      </c>
      <c r="AI2091">
        <v>24</v>
      </c>
      <c r="AJ2091">
        <v>1</v>
      </c>
      <c r="AK2091">
        <v>18</v>
      </c>
      <c r="AL2091">
        <v>40</v>
      </c>
      <c r="AM2091" t="s">
        <v>43</v>
      </c>
      <c r="AN2091" t="str">
        <f>HYPERLINK("https://www.google.com/maps?q=11.01205921,79.07835388","Open Location")</f>
        <v>Open Location</v>
      </c>
    </row>
    <row r="2092" spans="1:40" x14ac:dyDescent="0.3">
      <c r="A2092" s="1">
        <v>46210.757638888892</v>
      </c>
      <c r="B2092" t="s">
        <v>40</v>
      </c>
      <c r="C2092" t="s">
        <v>41</v>
      </c>
      <c r="D2092" s="1">
        <v>46210.760335648149</v>
      </c>
      <c r="E2092" t="s">
        <v>42</v>
      </c>
      <c r="F2092" t="s">
        <v>83</v>
      </c>
      <c r="G2092">
        <v>46</v>
      </c>
      <c r="H2092" t="s">
        <v>43</v>
      </c>
      <c r="I2092" t="s">
        <v>1017</v>
      </c>
      <c r="J2092">
        <v>41</v>
      </c>
      <c r="K2092">
        <v>114</v>
      </c>
      <c r="L2092">
        <v>98</v>
      </c>
      <c r="M2092">
        <v>617.59997558999999</v>
      </c>
      <c r="N2092" t="s">
        <v>87</v>
      </c>
      <c r="O2092" t="s">
        <v>86</v>
      </c>
      <c r="P2092">
        <v>131</v>
      </c>
      <c r="Q2092">
        <v>6</v>
      </c>
      <c r="R2092">
        <v>76</v>
      </c>
      <c r="S2092">
        <v>1279</v>
      </c>
      <c r="T2092">
        <v>-40</v>
      </c>
      <c r="U2092">
        <v>52</v>
      </c>
      <c r="V2092">
        <v>500</v>
      </c>
      <c r="W2092">
        <v>28</v>
      </c>
      <c r="X2092">
        <v>28</v>
      </c>
      <c r="Y2092">
        <v>1</v>
      </c>
      <c r="Z2092">
        <v>8</v>
      </c>
      <c r="AA2092">
        <v>24</v>
      </c>
      <c r="AB2092">
        <v>2</v>
      </c>
      <c r="AC2092">
        <v>5</v>
      </c>
      <c r="AD2092">
        <v>3.2300000199999999</v>
      </c>
      <c r="AE2092">
        <v>5</v>
      </c>
      <c r="AF2092">
        <v>38</v>
      </c>
      <c r="AG2092">
        <v>3.2130000600000002</v>
      </c>
      <c r="AH2092">
        <v>4</v>
      </c>
      <c r="AI2092">
        <v>24</v>
      </c>
      <c r="AJ2092">
        <v>1</v>
      </c>
      <c r="AK2092">
        <v>18</v>
      </c>
      <c r="AL2092">
        <v>40</v>
      </c>
      <c r="AM2092" t="s">
        <v>43</v>
      </c>
      <c r="AN2092" t="str">
        <f>HYPERLINK("https://www.google.com/maps?q=11.01064873,79.07876587","Open Location")</f>
        <v>Open Location</v>
      </c>
    </row>
    <row r="2093" spans="1:40" x14ac:dyDescent="0.3">
      <c r="A2093" s="1">
        <v>46210.757523148146</v>
      </c>
      <c r="B2093" t="s">
        <v>40</v>
      </c>
      <c r="C2093" t="s">
        <v>41</v>
      </c>
      <c r="D2093" s="1">
        <v>46210.760300925926</v>
      </c>
      <c r="E2093" t="s">
        <v>42</v>
      </c>
      <c r="F2093" t="s">
        <v>83</v>
      </c>
      <c r="G2093">
        <v>46</v>
      </c>
      <c r="H2093">
        <v>33199</v>
      </c>
      <c r="I2093" t="s">
        <v>1018</v>
      </c>
      <c r="J2093">
        <v>41</v>
      </c>
      <c r="K2093">
        <v>124</v>
      </c>
      <c r="L2093">
        <v>98</v>
      </c>
      <c r="M2093">
        <v>617.5</v>
      </c>
      <c r="N2093" t="s">
        <v>87</v>
      </c>
      <c r="O2093" t="s">
        <v>86</v>
      </c>
      <c r="P2093">
        <v>131</v>
      </c>
      <c r="Q2093">
        <v>6</v>
      </c>
      <c r="R2093">
        <v>72</v>
      </c>
      <c r="S2093">
        <v>1273</v>
      </c>
      <c r="T2093">
        <v>-40</v>
      </c>
      <c r="U2093">
        <v>52</v>
      </c>
      <c r="V2093">
        <v>540</v>
      </c>
      <c r="W2093">
        <v>28</v>
      </c>
      <c r="X2093">
        <v>28</v>
      </c>
      <c r="Y2093">
        <v>1</v>
      </c>
      <c r="Z2093">
        <v>8</v>
      </c>
      <c r="AA2093">
        <v>24</v>
      </c>
      <c r="AB2093">
        <v>2</v>
      </c>
      <c r="AC2093">
        <v>5</v>
      </c>
      <c r="AD2093">
        <v>3.23200011</v>
      </c>
      <c r="AE2093">
        <v>5</v>
      </c>
      <c r="AF2093">
        <v>38</v>
      </c>
      <c r="AG2093">
        <v>3.21499991</v>
      </c>
      <c r="AH2093">
        <v>4</v>
      </c>
      <c r="AI2093">
        <v>24</v>
      </c>
      <c r="AJ2093">
        <v>1</v>
      </c>
      <c r="AK2093">
        <v>18</v>
      </c>
      <c r="AL2093">
        <v>40</v>
      </c>
      <c r="AM2093" t="s">
        <v>43</v>
      </c>
      <c r="AN2093" t="str">
        <f>HYPERLINK("https://www.google.com/maps?q=11.00930786,79.07917023","Open Location")</f>
        <v>Open Location</v>
      </c>
    </row>
    <row r="2094" spans="1:40" x14ac:dyDescent="0.3">
      <c r="A2094" s="1">
        <v>46210.757407407407</v>
      </c>
      <c r="B2094" t="s">
        <v>40</v>
      </c>
      <c r="C2094" t="s">
        <v>41</v>
      </c>
      <c r="D2094" s="1">
        <v>46210.76021990741</v>
      </c>
      <c r="E2094" t="s">
        <v>42</v>
      </c>
      <c r="F2094" t="s">
        <v>83</v>
      </c>
      <c r="G2094">
        <v>46</v>
      </c>
      <c r="H2094">
        <v>33199</v>
      </c>
      <c r="I2094" t="s">
        <v>1019</v>
      </c>
      <c r="J2094">
        <v>41</v>
      </c>
      <c r="K2094">
        <v>138</v>
      </c>
      <c r="L2094">
        <v>98</v>
      </c>
      <c r="M2094">
        <v>616</v>
      </c>
      <c r="N2094" t="s">
        <v>87</v>
      </c>
      <c r="O2094" t="s">
        <v>86</v>
      </c>
      <c r="P2094">
        <v>131</v>
      </c>
      <c r="Q2094">
        <v>6</v>
      </c>
      <c r="R2094">
        <v>89</v>
      </c>
      <c r="S2094">
        <v>1277</v>
      </c>
      <c r="T2094">
        <v>-40</v>
      </c>
      <c r="U2094">
        <v>52</v>
      </c>
      <c r="V2094">
        <v>600</v>
      </c>
      <c r="W2094">
        <v>28</v>
      </c>
      <c r="X2094">
        <v>28</v>
      </c>
      <c r="Y2094">
        <v>1</v>
      </c>
      <c r="Z2094">
        <v>8</v>
      </c>
      <c r="AA2094">
        <v>24</v>
      </c>
      <c r="AB2094">
        <v>2</v>
      </c>
      <c r="AC2094">
        <v>5</v>
      </c>
      <c r="AD2094">
        <v>3.2449998899999999</v>
      </c>
      <c r="AE2094">
        <v>5</v>
      </c>
      <c r="AF2094">
        <v>38</v>
      </c>
      <c r="AG2094">
        <v>3.2330000399999999</v>
      </c>
      <c r="AH2094">
        <v>4</v>
      </c>
      <c r="AI2094">
        <v>24</v>
      </c>
      <c r="AJ2094">
        <v>1</v>
      </c>
      <c r="AK2094">
        <v>18</v>
      </c>
      <c r="AL2094">
        <v>40</v>
      </c>
      <c r="AM2094" t="s">
        <v>43</v>
      </c>
      <c r="AN2094" t="str">
        <f>HYPERLINK("https://www.google.com/maps?q=11.00797462,79.07955933","Open Location")</f>
        <v>Open Location</v>
      </c>
    </row>
    <row r="2095" spans="1:40" x14ac:dyDescent="0.3">
      <c r="A2095" s="1">
        <v>46210.757291666669</v>
      </c>
      <c r="B2095" t="s">
        <v>40</v>
      </c>
      <c r="C2095" t="s">
        <v>41</v>
      </c>
      <c r="D2095" s="1">
        <v>46210.760289351849</v>
      </c>
      <c r="E2095" t="s">
        <v>42</v>
      </c>
      <c r="F2095" t="s">
        <v>83</v>
      </c>
      <c r="G2095">
        <v>46</v>
      </c>
      <c r="H2095">
        <v>33198</v>
      </c>
      <c r="I2095" t="s">
        <v>43</v>
      </c>
      <c r="J2095">
        <v>41</v>
      </c>
      <c r="K2095">
        <v>136</v>
      </c>
      <c r="L2095">
        <v>98</v>
      </c>
      <c r="M2095">
        <v>617.40002441000001</v>
      </c>
      <c r="N2095" t="s">
        <v>87</v>
      </c>
      <c r="O2095" t="s">
        <v>86</v>
      </c>
      <c r="P2095">
        <v>131</v>
      </c>
      <c r="Q2095">
        <v>6</v>
      </c>
      <c r="R2095">
        <v>80</v>
      </c>
      <c r="S2095">
        <v>1273</v>
      </c>
      <c r="T2095">
        <v>-40</v>
      </c>
      <c r="U2095">
        <v>53</v>
      </c>
      <c r="V2095">
        <v>600</v>
      </c>
      <c r="W2095">
        <v>28</v>
      </c>
      <c r="X2095">
        <v>28</v>
      </c>
      <c r="Y2095">
        <v>1</v>
      </c>
      <c r="Z2095">
        <v>8</v>
      </c>
      <c r="AA2095">
        <v>24</v>
      </c>
      <c r="AB2095">
        <v>2</v>
      </c>
      <c r="AC2095">
        <v>5</v>
      </c>
      <c r="AD2095">
        <v>3.2279999300000002</v>
      </c>
      <c r="AE2095">
        <v>5</v>
      </c>
      <c r="AF2095">
        <v>38</v>
      </c>
      <c r="AG2095">
        <v>3.2090001099999999</v>
      </c>
      <c r="AH2095">
        <v>7</v>
      </c>
      <c r="AI2095">
        <v>19</v>
      </c>
      <c r="AJ2095">
        <v>1</v>
      </c>
      <c r="AK2095">
        <v>18</v>
      </c>
      <c r="AL2095">
        <v>40</v>
      </c>
      <c r="AM2095" t="s">
        <v>43</v>
      </c>
      <c r="AN2095" t="s">
        <v>43</v>
      </c>
    </row>
    <row r="2096" spans="1:40" x14ac:dyDescent="0.3">
      <c r="A2096" s="1">
        <v>46210.757175925923</v>
      </c>
      <c r="B2096" t="s">
        <v>40</v>
      </c>
      <c r="C2096" t="s">
        <v>41</v>
      </c>
      <c r="D2096" s="1">
        <v>46210.760034722225</v>
      </c>
      <c r="E2096" t="s">
        <v>42</v>
      </c>
      <c r="F2096" t="s">
        <v>83</v>
      </c>
      <c r="G2096">
        <v>44</v>
      </c>
      <c r="H2096" t="s">
        <v>43</v>
      </c>
      <c r="I2096" t="s">
        <v>1020</v>
      </c>
      <c r="J2096">
        <v>41</v>
      </c>
      <c r="K2096">
        <v>108</v>
      </c>
      <c r="L2096">
        <v>98</v>
      </c>
      <c r="M2096">
        <v>618</v>
      </c>
      <c r="N2096" t="s">
        <v>87</v>
      </c>
      <c r="O2096" t="s">
        <v>86</v>
      </c>
      <c r="P2096">
        <v>131</v>
      </c>
      <c r="Q2096">
        <v>6</v>
      </c>
      <c r="R2096">
        <v>67</v>
      </c>
      <c r="S2096">
        <v>1233</v>
      </c>
      <c r="T2096">
        <v>-40</v>
      </c>
      <c r="U2096">
        <v>53</v>
      </c>
      <c r="V2096">
        <v>520</v>
      </c>
      <c r="W2096">
        <v>28</v>
      </c>
      <c r="X2096">
        <v>28</v>
      </c>
      <c r="Y2096">
        <v>1</v>
      </c>
      <c r="Z2096">
        <v>8</v>
      </c>
      <c r="AA2096">
        <v>24</v>
      </c>
      <c r="AB2096">
        <v>2</v>
      </c>
      <c r="AC2096">
        <v>5</v>
      </c>
      <c r="AD2096">
        <v>3.2349999</v>
      </c>
      <c r="AE2096">
        <v>5</v>
      </c>
      <c r="AF2096">
        <v>38</v>
      </c>
      <c r="AG2096">
        <v>3.22000003</v>
      </c>
      <c r="AH2096">
        <v>4</v>
      </c>
      <c r="AI2096">
        <v>24</v>
      </c>
      <c r="AJ2096">
        <v>1</v>
      </c>
      <c r="AK2096">
        <v>18</v>
      </c>
      <c r="AL2096">
        <v>40</v>
      </c>
      <c r="AM2096" t="s">
        <v>43</v>
      </c>
      <c r="AN2096" t="str">
        <f>HYPERLINK("https://www.google.com/maps?q=11.00665665,79.07994843","Open Location")</f>
        <v>Open Location</v>
      </c>
    </row>
    <row r="2097" spans="1:40" x14ac:dyDescent="0.3">
      <c r="A2097" s="1">
        <v>46210.757060185184</v>
      </c>
      <c r="B2097" t="s">
        <v>40</v>
      </c>
      <c r="C2097" t="s">
        <v>41</v>
      </c>
      <c r="D2097" s="1">
        <v>46210.760011574072</v>
      </c>
      <c r="E2097" t="s">
        <v>42</v>
      </c>
      <c r="F2097" t="s">
        <v>83</v>
      </c>
      <c r="G2097">
        <v>43</v>
      </c>
      <c r="H2097">
        <v>33198</v>
      </c>
      <c r="I2097" t="s">
        <v>1021</v>
      </c>
      <c r="J2097">
        <v>41</v>
      </c>
      <c r="K2097">
        <v>136</v>
      </c>
      <c r="L2097">
        <v>98</v>
      </c>
      <c r="M2097">
        <v>616.40002441000001</v>
      </c>
      <c r="N2097" t="s">
        <v>87</v>
      </c>
      <c r="O2097" t="s">
        <v>86</v>
      </c>
      <c r="P2097">
        <v>131</v>
      </c>
      <c r="Q2097">
        <v>6</v>
      </c>
      <c r="R2097">
        <v>72</v>
      </c>
      <c r="S2097">
        <v>1192</v>
      </c>
      <c r="T2097">
        <v>-40</v>
      </c>
      <c r="U2097">
        <v>54</v>
      </c>
      <c r="V2097">
        <v>640</v>
      </c>
      <c r="W2097">
        <v>28</v>
      </c>
      <c r="X2097">
        <v>28</v>
      </c>
      <c r="Y2097">
        <v>1</v>
      </c>
      <c r="Z2097">
        <v>8</v>
      </c>
      <c r="AA2097">
        <v>24</v>
      </c>
      <c r="AB2097">
        <v>2</v>
      </c>
      <c r="AC2097">
        <v>5</v>
      </c>
      <c r="AD2097">
        <v>3.22600007</v>
      </c>
      <c r="AE2097">
        <v>5</v>
      </c>
      <c r="AF2097">
        <v>38</v>
      </c>
      <c r="AG2097">
        <v>3.2070000200000002</v>
      </c>
      <c r="AH2097">
        <v>4</v>
      </c>
      <c r="AI2097">
        <v>24</v>
      </c>
      <c r="AJ2097">
        <v>1</v>
      </c>
      <c r="AK2097">
        <v>18</v>
      </c>
      <c r="AL2097">
        <v>40</v>
      </c>
      <c r="AM2097" t="s">
        <v>43</v>
      </c>
      <c r="AN2097" t="str">
        <f>HYPERLINK("https://www.google.com/maps?q=11.00536728,79.08033752","Open Location")</f>
        <v>Open Location</v>
      </c>
    </row>
    <row r="2098" spans="1:40" x14ac:dyDescent="0.3">
      <c r="A2098" s="1">
        <v>46210.756944444445</v>
      </c>
      <c r="B2098" t="s">
        <v>40</v>
      </c>
      <c r="C2098" t="s">
        <v>41</v>
      </c>
      <c r="D2098" s="1">
        <v>46210.759652777779</v>
      </c>
      <c r="E2098" t="s">
        <v>42</v>
      </c>
      <c r="F2098" t="s">
        <v>83</v>
      </c>
      <c r="G2098">
        <v>41</v>
      </c>
      <c r="H2098">
        <v>33198</v>
      </c>
      <c r="I2098" t="s">
        <v>1022</v>
      </c>
      <c r="J2098">
        <v>41</v>
      </c>
      <c r="K2098">
        <v>120</v>
      </c>
      <c r="L2098">
        <v>98</v>
      </c>
      <c r="M2098">
        <v>617.70001220999995</v>
      </c>
      <c r="N2098" t="s">
        <v>87</v>
      </c>
      <c r="O2098" t="s">
        <v>86</v>
      </c>
      <c r="P2098">
        <v>131</v>
      </c>
      <c r="Q2098">
        <v>6</v>
      </c>
      <c r="R2098">
        <v>71</v>
      </c>
      <c r="S2098">
        <v>1142</v>
      </c>
      <c r="T2098">
        <v>-40</v>
      </c>
      <c r="U2098">
        <v>54</v>
      </c>
      <c r="V2098">
        <v>600</v>
      </c>
      <c r="W2098">
        <v>28</v>
      </c>
      <c r="X2098">
        <v>28</v>
      </c>
      <c r="Y2098">
        <v>1</v>
      </c>
      <c r="Z2098">
        <v>8</v>
      </c>
      <c r="AA2098">
        <v>24</v>
      </c>
      <c r="AB2098">
        <v>2</v>
      </c>
      <c r="AC2098">
        <v>5</v>
      </c>
      <c r="AD2098">
        <v>3.2209999599999999</v>
      </c>
      <c r="AE2098">
        <v>5</v>
      </c>
      <c r="AF2098">
        <v>38</v>
      </c>
      <c r="AG2098">
        <v>3.2009999800000002</v>
      </c>
      <c r="AH2098">
        <v>4</v>
      </c>
      <c r="AI2098">
        <v>24</v>
      </c>
      <c r="AJ2098">
        <v>1</v>
      </c>
      <c r="AK2098">
        <v>18</v>
      </c>
      <c r="AL2098">
        <v>40</v>
      </c>
      <c r="AM2098" t="s">
        <v>43</v>
      </c>
      <c r="AN2098" t="str">
        <f>HYPERLINK("https://www.google.com/maps?q=11.00414085,79.08070374","Open Location")</f>
        <v>Open Location</v>
      </c>
    </row>
    <row r="2099" spans="1:40" x14ac:dyDescent="0.3">
      <c r="A2099" s="1">
        <v>46210.756828703707</v>
      </c>
      <c r="B2099" t="s">
        <v>40</v>
      </c>
      <c r="C2099" t="s">
        <v>41</v>
      </c>
      <c r="D2099" s="1">
        <v>46210.759548611109</v>
      </c>
      <c r="E2099" t="s">
        <v>42</v>
      </c>
      <c r="F2099" t="s">
        <v>83</v>
      </c>
      <c r="G2099">
        <v>39</v>
      </c>
      <c r="H2099">
        <v>33198</v>
      </c>
      <c r="I2099" t="s">
        <v>1023</v>
      </c>
      <c r="J2099">
        <v>41</v>
      </c>
      <c r="K2099">
        <v>170</v>
      </c>
      <c r="L2099">
        <v>98</v>
      </c>
      <c r="M2099">
        <v>614.5</v>
      </c>
      <c r="N2099" t="s">
        <v>87</v>
      </c>
      <c r="O2099" t="s">
        <v>86</v>
      </c>
      <c r="P2099">
        <v>131</v>
      </c>
      <c r="Q2099">
        <v>6</v>
      </c>
      <c r="R2099">
        <v>93</v>
      </c>
      <c r="S2099">
        <v>1077</v>
      </c>
      <c r="T2099">
        <v>-40</v>
      </c>
      <c r="U2099">
        <v>55</v>
      </c>
      <c r="V2099">
        <v>880</v>
      </c>
      <c r="W2099">
        <v>28</v>
      </c>
      <c r="X2099">
        <v>28</v>
      </c>
      <c r="Y2099">
        <v>1</v>
      </c>
      <c r="Z2099">
        <v>8</v>
      </c>
      <c r="AA2099">
        <v>24</v>
      </c>
      <c r="AB2099">
        <v>3</v>
      </c>
      <c r="AC2099">
        <v>5</v>
      </c>
      <c r="AD2099">
        <v>3.2209999599999999</v>
      </c>
      <c r="AE2099">
        <v>5</v>
      </c>
      <c r="AF2099">
        <v>38</v>
      </c>
      <c r="AG2099">
        <v>3.2009999800000002</v>
      </c>
      <c r="AH2099">
        <v>4</v>
      </c>
      <c r="AI2099">
        <v>24</v>
      </c>
      <c r="AJ2099">
        <v>1</v>
      </c>
      <c r="AK2099">
        <v>18</v>
      </c>
      <c r="AL2099">
        <v>40</v>
      </c>
      <c r="AM2099" t="s">
        <v>43</v>
      </c>
      <c r="AN2099" t="str">
        <f>HYPERLINK("https://www.google.com/maps?q=11.00298023,79.08105469","Open Location")</f>
        <v>Open Location</v>
      </c>
    </row>
    <row r="2100" spans="1:40" x14ac:dyDescent="0.3">
      <c r="A2100" s="1">
        <v>46210.756712962961</v>
      </c>
      <c r="B2100" t="s">
        <v>40</v>
      </c>
      <c r="C2100" t="s">
        <v>41</v>
      </c>
      <c r="D2100" s="1">
        <v>46210.75949074074</v>
      </c>
      <c r="E2100" t="s">
        <v>42</v>
      </c>
      <c r="F2100" t="s">
        <v>83</v>
      </c>
      <c r="G2100">
        <v>37</v>
      </c>
      <c r="H2100">
        <v>33198</v>
      </c>
      <c r="I2100" t="s">
        <v>1024</v>
      </c>
      <c r="J2100">
        <v>41</v>
      </c>
      <c r="K2100">
        <v>125</v>
      </c>
      <c r="L2100">
        <v>98</v>
      </c>
      <c r="M2100">
        <v>619.20001220999995</v>
      </c>
      <c r="N2100" t="s">
        <v>87</v>
      </c>
      <c r="O2100" t="s">
        <v>86</v>
      </c>
      <c r="P2100">
        <v>131</v>
      </c>
      <c r="Q2100">
        <v>6</v>
      </c>
      <c r="R2100">
        <v>57</v>
      </c>
      <c r="S2100">
        <v>1015</v>
      </c>
      <c r="T2100">
        <v>-40</v>
      </c>
      <c r="U2100">
        <v>54</v>
      </c>
      <c r="V2100">
        <v>605</v>
      </c>
      <c r="W2100">
        <v>28</v>
      </c>
      <c r="X2100">
        <v>28</v>
      </c>
      <c r="Y2100">
        <v>1</v>
      </c>
      <c r="Z2100">
        <v>8</v>
      </c>
      <c r="AA2100">
        <v>24</v>
      </c>
      <c r="AB2100">
        <v>7</v>
      </c>
      <c r="AC2100">
        <v>5</v>
      </c>
      <c r="AD2100">
        <v>3.2330000399999999</v>
      </c>
      <c r="AE2100">
        <v>5</v>
      </c>
      <c r="AF2100">
        <v>38</v>
      </c>
      <c r="AG2100">
        <v>3.21700001</v>
      </c>
      <c r="AH2100">
        <v>4</v>
      </c>
      <c r="AI2100">
        <v>24</v>
      </c>
      <c r="AJ2100">
        <v>1</v>
      </c>
      <c r="AK2100">
        <v>18</v>
      </c>
      <c r="AL2100">
        <v>40</v>
      </c>
      <c r="AM2100" t="s">
        <v>43</v>
      </c>
      <c r="AN2100" t="str">
        <f>HYPERLINK("https://www.google.com/maps?q=11.00190544,79.08139038","Open Location")</f>
        <v>Open Location</v>
      </c>
    </row>
    <row r="2101" spans="1:40" x14ac:dyDescent="0.3">
      <c r="A2101" s="1">
        <v>46210.756597222222</v>
      </c>
      <c r="B2101" t="s">
        <v>40</v>
      </c>
      <c r="C2101" t="s">
        <v>41</v>
      </c>
      <c r="D2101" s="1">
        <v>46210.759282407409</v>
      </c>
      <c r="E2101" t="s">
        <v>42</v>
      </c>
      <c r="F2101" t="s">
        <v>83</v>
      </c>
      <c r="G2101">
        <v>37</v>
      </c>
      <c r="H2101">
        <v>33198</v>
      </c>
      <c r="I2101" t="s">
        <v>43</v>
      </c>
      <c r="J2101">
        <v>41</v>
      </c>
      <c r="K2101">
        <v>86</v>
      </c>
      <c r="L2101">
        <v>98</v>
      </c>
      <c r="M2101">
        <v>619.59997558999999</v>
      </c>
      <c r="N2101" t="s">
        <v>87</v>
      </c>
      <c r="O2101" t="s">
        <v>86</v>
      </c>
      <c r="P2101">
        <v>131</v>
      </c>
      <c r="Q2101">
        <v>6</v>
      </c>
      <c r="R2101">
        <v>36</v>
      </c>
      <c r="S2101">
        <v>1031</v>
      </c>
      <c r="T2101">
        <v>-40</v>
      </c>
      <c r="U2101">
        <v>54</v>
      </c>
      <c r="V2101">
        <v>420</v>
      </c>
      <c r="W2101">
        <v>28</v>
      </c>
      <c r="X2101">
        <v>28</v>
      </c>
      <c r="Y2101">
        <v>1</v>
      </c>
      <c r="Z2101">
        <v>8</v>
      </c>
      <c r="AA2101">
        <v>24</v>
      </c>
      <c r="AB2101">
        <v>7</v>
      </c>
      <c r="AC2101">
        <v>5</v>
      </c>
      <c r="AD2101">
        <v>3.2269999999999999</v>
      </c>
      <c r="AE2101">
        <v>5</v>
      </c>
      <c r="AF2101">
        <v>38</v>
      </c>
      <c r="AG2101">
        <v>3.2100000400000002</v>
      </c>
      <c r="AH2101">
        <v>4</v>
      </c>
      <c r="AI2101">
        <v>24</v>
      </c>
      <c r="AJ2101">
        <v>1</v>
      </c>
      <c r="AK2101">
        <v>18</v>
      </c>
      <c r="AL2101">
        <v>40</v>
      </c>
      <c r="AM2101" t="s">
        <v>43</v>
      </c>
      <c r="AN2101" t="s">
        <v>43</v>
      </c>
    </row>
    <row r="2102" spans="1:40" x14ac:dyDescent="0.3">
      <c r="A2102" s="1">
        <v>46210.756481481483</v>
      </c>
      <c r="B2102" t="s">
        <v>40</v>
      </c>
      <c r="C2102" t="s">
        <v>41</v>
      </c>
      <c r="D2102" s="1">
        <v>46210.759502314817</v>
      </c>
      <c r="E2102" t="s">
        <v>42</v>
      </c>
      <c r="F2102" t="s">
        <v>83</v>
      </c>
      <c r="G2102">
        <v>37</v>
      </c>
      <c r="H2102">
        <v>33198</v>
      </c>
      <c r="I2102" t="s">
        <v>1025</v>
      </c>
      <c r="J2102">
        <v>41</v>
      </c>
      <c r="K2102">
        <v>161</v>
      </c>
      <c r="L2102">
        <v>98</v>
      </c>
      <c r="M2102">
        <v>615.5</v>
      </c>
      <c r="N2102" t="s">
        <v>87</v>
      </c>
      <c r="O2102" t="s">
        <v>86</v>
      </c>
      <c r="P2102">
        <v>131</v>
      </c>
      <c r="Q2102">
        <v>6</v>
      </c>
      <c r="R2102">
        <v>82</v>
      </c>
      <c r="S2102">
        <v>1022</v>
      </c>
      <c r="T2102">
        <v>-40</v>
      </c>
      <c r="U2102">
        <v>56</v>
      </c>
      <c r="V2102">
        <v>860</v>
      </c>
      <c r="W2102">
        <v>28</v>
      </c>
      <c r="X2102">
        <v>28</v>
      </c>
      <c r="Y2102">
        <v>1</v>
      </c>
      <c r="Z2102">
        <v>8</v>
      </c>
      <c r="AA2102">
        <v>24</v>
      </c>
      <c r="AB2102">
        <v>7</v>
      </c>
      <c r="AC2102">
        <v>5</v>
      </c>
      <c r="AD2102">
        <v>3.22000003</v>
      </c>
      <c r="AE2102">
        <v>5</v>
      </c>
      <c r="AF2102">
        <v>38</v>
      </c>
      <c r="AG2102">
        <v>3.2009999800000002</v>
      </c>
      <c r="AH2102">
        <v>4</v>
      </c>
      <c r="AI2102">
        <v>24</v>
      </c>
      <c r="AJ2102">
        <v>1</v>
      </c>
      <c r="AK2102">
        <v>18</v>
      </c>
      <c r="AL2102">
        <v>40</v>
      </c>
      <c r="AM2102" t="s">
        <v>43</v>
      </c>
      <c r="AN2102" t="str">
        <f>HYPERLINK("https://www.google.com/maps?q=11.00075054,79.08172607","Open Location")</f>
        <v>Open Location</v>
      </c>
    </row>
    <row r="2103" spans="1:40" x14ac:dyDescent="0.3">
      <c r="A2103" s="1">
        <v>46210.756365740737</v>
      </c>
      <c r="B2103" t="s">
        <v>40</v>
      </c>
      <c r="C2103" t="s">
        <v>41</v>
      </c>
      <c r="D2103" s="1">
        <v>46210.759201388886</v>
      </c>
      <c r="E2103" t="s">
        <v>42</v>
      </c>
      <c r="F2103" t="s">
        <v>83</v>
      </c>
      <c r="G2103">
        <v>37</v>
      </c>
      <c r="H2103">
        <v>33198</v>
      </c>
      <c r="I2103" t="s">
        <v>1026</v>
      </c>
      <c r="J2103">
        <v>41</v>
      </c>
      <c r="K2103">
        <v>158</v>
      </c>
      <c r="L2103">
        <v>98</v>
      </c>
      <c r="M2103">
        <v>614.70001220999995</v>
      </c>
      <c r="N2103" t="s">
        <v>87</v>
      </c>
      <c r="O2103" t="s">
        <v>86</v>
      </c>
      <c r="P2103">
        <v>131</v>
      </c>
      <c r="Q2103">
        <v>6</v>
      </c>
      <c r="R2103">
        <v>83</v>
      </c>
      <c r="S2103">
        <v>1011</v>
      </c>
      <c r="T2103">
        <v>-40</v>
      </c>
      <c r="U2103">
        <v>56</v>
      </c>
      <c r="V2103">
        <v>835</v>
      </c>
      <c r="W2103">
        <v>28</v>
      </c>
      <c r="X2103">
        <v>28</v>
      </c>
      <c r="Y2103">
        <v>1</v>
      </c>
      <c r="Z2103">
        <v>8</v>
      </c>
      <c r="AA2103">
        <v>24</v>
      </c>
      <c r="AB2103">
        <v>3</v>
      </c>
      <c r="AC2103">
        <v>5</v>
      </c>
      <c r="AD2103">
        <v>3.2190001000000001</v>
      </c>
      <c r="AE2103">
        <v>5</v>
      </c>
      <c r="AF2103">
        <v>38</v>
      </c>
      <c r="AG2103">
        <v>3.1989998800000001</v>
      </c>
      <c r="AH2103">
        <v>4</v>
      </c>
      <c r="AI2103">
        <v>24</v>
      </c>
      <c r="AJ2103">
        <v>1</v>
      </c>
      <c r="AK2103">
        <v>18</v>
      </c>
      <c r="AL2103">
        <v>40</v>
      </c>
      <c r="AM2103" t="s">
        <v>43</v>
      </c>
      <c r="AN2103" t="str">
        <f>HYPERLINK("https://www.google.com/maps?q=10.99969101,79.08204651","Open Location")</f>
        <v>Open Location</v>
      </c>
    </row>
    <row r="2104" spans="1:40" x14ac:dyDescent="0.3">
      <c r="A2104" s="1">
        <v>46210.756249999999</v>
      </c>
      <c r="B2104" t="s">
        <v>40</v>
      </c>
      <c r="C2104" t="s">
        <v>41</v>
      </c>
      <c r="D2104" s="1">
        <v>46210.75922453704</v>
      </c>
      <c r="E2104" t="s">
        <v>42</v>
      </c>
      <c r="F2104" t="s">
        <v>83</v>
      </c>
      <c r="G2104">
        <v>37</v>
      </c>
      <c r="H2104">
        <v>33198</v>
      </c>
      <c r="I2104" t="s">
        <v>1027</v>
      </c>
      <c r="J2104">
        <v>42</v>
      </c>
      <c r="K2104">
        <v>116</v>
      </c>
      <c r="L2104">
        <v>98</v>
      </c>
      <c r="M2104">
        <v>617.59997558999999</v>
      </c>
      <c r="N2104" t="s">
        <v>87</v>
      </c>
      <c r="O2104" t="s">
        <v>86</v>
      </c>
      <c r="P2104">
        <v>131</v>
      </c>
      <c r="Q2104">
        <v>6</v>
      </c>
      <c r="R2104">
        <v>79</v>
      </c>
      <c r="S2104">
        <v>1020</v>
      </c>
      <c r="T2104">
        <v>-40</v>
      </c>
      <c r="U2104">
        <v>55</v>
      </c>
      <c r="V2104">
        <v>582</v>
      </c>
      <c r="W2104">
        <v>28</v>
      </c>
      <c r="X2104">
        <v>28</v>
      </c>
      <c r="Y2104">
        <v>1</v>
      </c>
      <c r="Z2104">
        <v>8</v>
      </c>
      <c r="AA2104">
        <v>24</v>
      </c>
      <c r="AB2104">
        <v>3</v>
      </c>
      <c r="AC2104">
        <v>5</v>
      </c>
      <c r="AD2104">
        <v>3.2249998999999998</v>
      </c>
      <c r="AE2104">
        <v>5</v>
      </c>
      <c r="AF2104">
        <v>38</v>
      </c>
      <c r="AG2104">
        <v>3.2070000200000002</v>
      </c>
      <c r="AH2104">
        <v>4</v>
      </c>
      <c r="AI2104">
        <v>24</v>
      </c>
      <c r="AJ2104">
        <v>1</v>
      </c>
      <c r="AK2104">
        <v>18</v>
      </c>
      <c r="AL2104">
        <v>40</v>
      </c>
      <c r="AM2104" t="s">
        <v>43</v>
      </c>
      <c r="AN2104" t="str">
        <f>HYPERLINK("https://www.google.com/maps?q=10.99863529,79.08235931","Open Location")</f>
        <v>Open Location</v>
      </c>
    </row>
    <row r="2105" spans="1:40" x14ac:dyDescent="0.3">
      <c r="A2105" s="1">
        <v>46210.75613425926</v>
      </c>
      <c r="B2105" t="s">
        <v>40</v>
      </c>
      <c r="C2105" t="s">
        <v>41</v>
      </c>
      <c r="D2105" s="1">
        <v>46210.758900462963</v>
      </c>
      <c r="E2105" t="s">
        <v>42</v>
      </c>
      <c r="F2105" t="s">
        <v>83</v>
      </c>
      <c r="G2105">
        <v>38</v>
      </c>
      <c r="H2105">
        <v>33197</v>
      </c>
      <c r="I2105" t="s">
        <v>1028</v>
      </c>
      <c r="J2105">
        <v>42</v>
      </c>
      <c r="K2105">
        <v>163</v>
      </c>
      <c r="L2105">
        <v>98</v>
      </c>
      <c r="M2105">
        <v>615.79998779000005</v>
      </c>
      <c r="N2105" t="s">
        <v>87</v>
      </c>
      <c r="O2105" t="s">
        <v>86</v>
      </c>
      <c r="P2105">
        <v>131</v>
      </c>
      <c r="Q2105">
        <v>6</v>
      </c>
      <c r="R2105">
        <v>56</v>
      </c>
      <c r="S2105">
        <v>1075</v>
      </c>
      <c r="T2105">
        <v>-40</v>
      </c>
      <c r="U2105">
        <v>56</v>
      </c>
      <c r="V2105">
        <v>820</v>
      </c>
      <c r="W2105">
        <v>28</v>
      </c>
      <c r="X2105">
        <v>28</v>
      </c>
      <c r="Y2105">
        <v>1</v>
      </c>
      <c r="Z2105">
        <v>8</v>
      </c>
      <c r="AA2105">
        <v>24</v>
      </c>
      <c r="AB2105">
        <v>2</v>
      </c>
      <c r="AC2105">
        <v>5</v>
      </c>
      <c r="AD2105">
        <v>3.2160000800000001</v>
      </c>
      <c r="AE2105">
        <v>5</v>
      </c>
      <c r="AF2105">
        <v>38</v>
      </c>
      <c r="AG2105">
        <v>3.1949999299999998</v>
      </c>
      <c r="AH2105">
        <v>4</v>
      </c>
      <c r="AI2105">
        <v>24</v>
      </c>
      <c r="AJ2105">
        <v>1</v>
      </c>
      <c r="AK2105">
        <v>19</v>
      </c>
      <c r="AL2105">
        <v>40</v>
      </c>
      <c r="AM2105" t="s">
        <v>43</v>
      </c>
      <c r="AN2105" t="str">
        <f>HYPERLINK("https://www.google.com/maps?q=10.99752045,79.08262634","Open Location")</f>
        <v>Open Location</v>
      </c>
    </row>
    <row r="2106" spans="1:40" x14ac:dyDescent="0.3">
      <c r="A2106" s="1">
        <v>46210.756018518521</v>
      </c>
      <c r="B2106" t="s">
        <v>40</v>
      </c>
      <c r="C2106" t="s">
        <v>41</v>
      </c>
      <c r="D2106" s="1">
        <v>46210.759039351855</v>
      </c>
      <c r="E2106" t="s">
        <v>42</v>
      </c>
      <c r="F2106" t="s">
        <v>83</v>
      </c>
      <c r="G2106">
        <v>38</v>
      </c>
      <c r="H2106">
        <v>33197</v>
      </c>
      <c r="I2106" t="s">
        <v>43</v>
      </c>
      <c r="J2106">
        <v>42</v>
      </c>
      <c r="K2106">
        <v>162</v>
      </c>
      <c r="L2106">
        <v>98</v>
      </c>
      <c r="M2106">
        <v>615</v>
      </c>
      <c r="N2106" t="s">
        <v>87</v>
      </c>
      <c r="O2106" t="s">
        <v>86</v>
      </c>
      <c r="P2106">
        <v>131</v>
      </c>
      <c r="Q2106">
        <v>6</v>
      </c>
      <c r="R2106">
        <v>91</v>
      </c>
      <c r="S2106">
        <v>1067</v>
      </c>
      <c r="T2106">
        <v>-40</v>
      </c>
      <c r="U2106">
        <v>56</v>
      </c>
      <c r="V2106">
        <v>855</v>
      </c>
      <c r="W2106">
        <v>28</v>
      </c>
      <c r="X2106">
        <v>28</v>
      </c>
      <c r="Y2106">
        <v>1</v>
      </c>
      <c r="Z2106">
        <v>8</v>
      </c>
      <c r="AA2106">
        <v>24</v>
      </c>
      <c r="AB2106">
        <v>2</v>
      </c>
      <c r="AC2106">
        <v>5</v>
      </c>
      <c r="AD2106">
        <v>3.2190001000000001</v>
      </c>
      <c r="AE2106">
        <v>5</v>
      </c>
      <c r="AF2106">
        <v>38</v>
      </c>
      <c r="AG2106">
        <v>3.1979999499999998</v>
      </c>
      <c r="AH2106">
        <v>4</v>
      </c>
      <c r="AI2106">
        <v>24</v>
      </c>
      <c r="AJ2106">
        <v>1</v>
      </c>
      <c r="AK2106">
        <v>17</v>
      </c>
      <c r="AL2106">
        <v>40</v>
      </c>
      <c r="AM2106" t="s">
        <v>43</v>
      </c>
      <c r="AN2106" t="s">
        <v>43</v>
      </c>
    </row>
    <row r="2107" spans="1:40" x14ac:dyDescent="0.3">
      <c r="A2107" s="1">
        <v>46210.755902777775</v>
      </c>
      <c r="B2107" t="s">
        <v>40</v>
      </c>
      <c r="C2107" t="s">
        <v>41</v>
      </c>
      <c r="D2107" s="1">
        <v>46210.758553240739</v>
      </c>
      <c r="E2107" t="s">
        <v>42</v>
      </c>
      <c r="F2107" t="s">
        <v>83</v>
      </c>
      <c r="G2107">
        <v>38</v>
      </c>
      <c r="H2107" t="s">
        <v>43</v>
      </c>
      <c r="I2107" t="s">
        <v>43</v>
      </c>
      <c r="J2107">
        <v>42</v>
      </c>
      <c r="K2107">
        <v>159</v>
      </c>
      <c r="L2107">
        <v>98</v>
      </c>
      <c r="M2107">
        <v>615.40002441000001</v>
      </c>
      <c r="N2107" t="s">
        <v>87</v>
      </c>
      <c r="O2107" t="s">
        <v>86</v>
      </c>
      <c r="P2107">
        <v>131</v>
      </c>
      <c r="Q2107">
        <v>6</v>
      </c>
      <c r="R2107">
        <v>90</v>
      </c>
      <c r="S2107">
        <v>1072</v>
      </c>
      <c r="T2107">
        <v>-40</v>
      </c>
      <c r="U2107">
        <v>55</v>
      </c>
      <c r="V2107">
        <v>820</v>
      </c>
      <c r="W2107">
        <v>28</v>
      </c>
      <c r="X2107">
        <v>28</v>
      </c>
      <c r="Y2107">
        <v>1</v>
      </c>
      <c r="Z2107">
        <v>8</v>
      </c>
      <c r="AA2107">
        <v>24</v>
      </c>
      <c r="AB2107">
        <v>2</v>
      </c>
      <c r="AC2107">
        <v>5</v>
      </c>
      <c r="AD2107">
        <v>3.22000003</v>
      </c>
      <c r="AE2107">
        <v>5</v>
      </c>
      <c r="AF2107">
        <v>38</v>
      </c>
      <c r="AG2107">
        <v>3.2000000499999999</v>
      </c>
      <c r="AH2107">
        <v>4</v>
      </c>
      <c r="AI2107">
        <v>24</v>
      </c>
      <c r="AJ2107">
        <v>1</v>
      </c>
      <c r="AK2107">
        <v>17</v>
      </c>
      <c r="AL2107">
        <v>40</v>
      </c>
      <c r="AM2107" t="s">
        <v>43</v>
      </c>
      <c r="AN2107" t="s">
        <v>43</v>
      </c>
    </row>
    <row r="2108" spans="1:40" x14ac:dyDescent="0.3">
      <c r="A2108" s="1">
        <v>46210.755787037036</v>
      </c>
      <c r="B2108" t="s">
        <v>40</v>
      </c>
      <c r="C2108" t="s">
        <v>41</v>
      </c>
      <c r="D2108" s="1">
        <v>46210.758657407408</v>
      </c>
      <c r="E2108" t="s">
        <v>42</v>
      </c>
      <c r="F2108" t="s">
        <v>83</v>
      </c>
      <c r="G2108">
        <v>40</v>
      </c>
      <c r="H2108">
        <v>33197</v>
      </c>
      <c r="I2108" t="s">
        <v>1029</v>
      </c>
      <c r="J2108">
        <v>42</v>
      </c>
      <c r="K2108">
        <v>223</v>
      </c>
      <c r="L2108">
        <v>98</v>
      </c>
      <c r="M2108">
        <v>614</v>
      </c>
      <c r="N2108" t="s">
        <v>87</v>
      </c>
      <c r="O2108" t="s">
        <v>86</v>
      </c>
      <c r="P2108">
        <v>131</v>
      </c>
      <c r="Q2108">
        <v>6</v>
      </c>
      <c r="R2108">
        <v>101</v>
      </c>
      <c r="S2108">
        <v>1106</v>
      </c>
      <c r="T2108">
        <v>-40</v>
      </c>
      <c r="U2108">
        <v>55</v>
      </c>
      <c r="V2108">
        <v>1160</v>
      </c>
      <c r="W2108">
        <v>28</v>
      </c>
      <c r="X2108">
        <v>28</v>
      </c>
      <c r="Y2108">
        <v>1</v>
      </c>
      <c r="Z2108">
        <v>8</v>
      </c>
      <c r="AA2108">
        <v>24</v>
      </c>
      <c r="AB2108">
        <v>2</v>
      </c>
      <c r="AC2108">
        <v>5</v>
      </c>
      <c r="AD2108">
        <v>3.2209999599999999</v>
      </c>
      <c r="AE2108">
        <v>5</v>
      </c>
      <c r="AF2108">
        <v>38</v>
      </c>
      <c r="AG2108">
        <v>3.2009999800000002</v>
      </c>
      <c r="AH2108">
        <v>4</v>
      </c>
      <c r="AI2108">
        <v>24</v>
      </c>
      <c r="AJ2108">
        <v>1</v>
      </c>
      <c r="AK2108">
        <v>17</v>
      </c>
      <c r="AL2108">
        <v>40</v>
      </c>
      <c r="AM2108" t="s">
        <v>43</v>
      </c>
      <c r="AN2108" t="str">
        <f>HYPERLINK("https://www.google.com/maps?q=10.99518967,79.0827713","Open Location")</f>
        <v>Open Location</v>
      </c>
    </row>
    <row r="2109" spans="1:40" x14ac:dyDescent="0.3">
      <c r="A2109" s="1">
        <v>46210.755671296298</v>
      </c>
      <c r="B2109" t="s">
        <v>40</v>
      </c>
      <c r="C2109" t="s">
        <v>41</v>
      </c>
      <c r="D2109" s="1">
        <v>46210.758622685185</v>
      </c>
      <c r="E2109" t="s">
        <v>42</v>
      </c>
      <c r="F2109" t="s">
        <v>83</v>
      </c>
      <c r="G2109">
        <v>42</v>
      </c>
      <c r="H2109">
        <v>33197</v>
      </c>
      <c r="I2109" t="s">
        <v>1030</v>
      </c>
      <c r="J2109">
        <v>42</v>
      </c>
      <c r="K2109">
        <v>135</v>
      </c>
      <c r="L2109">
        <v>98</v>
      </c>
      <c r="M2109">
        <v>616.59997558999999</v>
      </c>
      <c r="N2109" t="s">
        <v>87</v>
      </c>
      <c r="O2109" t="s">
        <v>86</v>
      </c>
      <c r="P2109">
        <v>131</v>
      </c>
      <c r="Q2109">
        <v>6</v>
      </c>
      <c r="R2109">
        <v>65</v>
      </c>
      <c r="S2109">
        <v>1165</v>
      </c>
      <c r="T2109">
        <v>-40</v>
      </c>
      <c r="U2109">
        <v>54</v>
      </c>
      <c r="V2109">
        <v>640</v>
      </c>
      <c r="W2109">
        <v>28</v>
      </c>
      <c r="X2109">
        <v>28</v>
      </c>
      <c r="Y2109">
        <v>1</v>
      </c>
      <c r="Z2109">
        <v>8</v>
      </c>
      <c r="AA2109">
        <v>24</v>
      </c>
      <c r="AB2109">
        <v>2</v>
      </c>
      <c r="AC2109">
        <v>5</v>
      </c>
      <c r="AD2109">
        <v>3.22300005</v>
      </c>
      <c r="AE2109">
        <v>5</v>
      </c>
      <c r="AF2109">
        <v>38</v>
      </c>
      <c r="AG2109">
        <v>3.2040000000000002</v>
      </c>
      <c r="AH2109">
        <v>4</v>
      </c>
      <c r="AI2109">
        <v>24</v>
      </c>
      <c r="AJ2109">
        <v>1</v>
      </c>
      <c r="AK2109">
        <v>17</v>
      </c>
      <c r="AL2109">
        <v>40</v>
      </c>
      <c r="AM2109" t="s">
        <v>43</v>
      </c>
      <c r="AN2109" t="str">
        <f>HYPERLINK("https://www.google.com/maps?q=10.99386787,79.0828476","Open Location")</f>
        <v>Open Location</v>
      </c>
    </row>
    <row r="2110" spans="1:40" x14ac:dyDescent="0.3">
      <c r="A2110" s="1">
        <v>46210.755555555559</v>
      </c>
      <c r="B2110" t="s">
        <v>40</v>
      </c>
      <c r="C2110" t="s">
        <v>41</v>
      </c>
      <c r="D2110" s="1">
        <v>46210.758344907408</v>
      </c>
      <c r="E2110" t="s">
        <v>42</v>
      </c>
      <c r="F2110" t="s">
        <v>83</v>
      </c>
      <c r="G2110">
        <v>43</v>
      </c>
      <c r="H2110">
        <v>33197</v>
      </c>
      <c r="I2110" t="s">
        <v>1031</v>
      </c>
      <c r="J2110">
        <v>42</v>
      </c>
      <c r="K2110">
        <v>167</v>
      </c>
      <c r="L2110">
        <v>98</v>
      </c>
      <c r="M2110">
        <v>615.90002441000001</v>
      </c>
      <c r="N2110" t="s">
        <v>87</v>
      </c>
      <c r="O2110" t="s">
        <v>86</v>
      </c>
      <c r="P2110">
        <v>131</v>
      </c>
      <c r="Q2110">
        <v>6</v>
      </c>
      <c r="R2110">
        <v>84</v>
      </c>
      <c r="S2110">
        <v>1194</v>
      </c>
      <c r="T2110">
        <v>-40</v>
      </c>
      <c r="U2110">
        <v>54</v>
      </c>
      <c r="V2110">
        <v>785</v>
      </c>
      <c r="W2110">
        <v>28</v>
      </c>
      <c r="X2110">
        <v>28</v>
      </c>
      <c r="Y2110">
        <v>1</v>
      </c>
      <c r="Z2110">
        <v>8</v>
      </c>
      <c r="AA2110">
        <v>24</v>
      </c>
      <c r="AB2110">
        <v>2</v>
      </c>
      <c r="AC2110">
        <v>5</v>
      </c>
      <c r="AD2110">
        <v>3.22000003</v>
      </c>
      <c r="AE2110">
        <v>5</v>
      </c>
      <c r="AF2110">
        <v>38</v>
      </c>
      <c r="AG2110">
        <v>3.2019999000000001</v>
      </c>
      <c r="AH2110">
        <v>4</v>
      </c>
      <c r="AI2110">
        <v>24</v>
      </c>
      <c r="AJ2110">
        <v>1</v>
      </c>
      <c r="AK2110">
        <v>17</v>
      </c>
      <c r="AL2110">
        <v>40</v>
      </c>
      <c r="AM2110" t="s">
        <v>43</v>
      </c>
      <c r="AN2110" t="str">
        <f>HYPERLINK("https://www.google.com/maps?q=10.99258709,79.08293152","Open Location")</f>
        <v>Open Location</v>
      </c>
    </row>
    <row r="2111" spans="1:40" x14ac:dyDescent="0.3">
      <c r="A2111" s="1">
        <v>46210.755439814813</v>
      </c>
      <c r="B2111" t="s">
        <v>40</v>
      </c>
      <c r="C2111" t="s">
        <v>41</v>
      </c>
      <c r="D2111" s="1">
        <v>46210.758171296293</v>
      </c>
      <c r="E2111" t="s">
        <v>42</v>
      </c>
      <c r="F2111" t="s">
        <v>83</v>
      </c>
      <c r="G2111">
        <v>44</v>
      </c>
      <c r="H2111">
        <v>33197</v>
      </c>
      <c r="I2111" t="s">
        <v>1032</v>
      </c>
      <c r="J2111">
        <v>42</v>
      </c>
      <c r="K2111">
        <v>198</v>
      </c>
      <c r="L2111">
        <v>98</v>
      </c>
      <c r="M2111">
        <v>613.90002441000001</v>
      </c>
      <c r="N2111" t="s">
        <v>87</v>
      </c>
      <c r="O2111" t="s">
        <v>86</v>
      </c>
      <c r="P2111">
        <v>131</v>
      </c>
      <c r="Q2111">
        <v>6</v>
      </c>
      <c r="R2111">
        <v>102</v>
      </c>
      <c r="S2111">
        <v>1226</v>
      </c>
      <c r="T2111">
        <v>-40</v>
      </c>
      <c r="U2111">
        <v>55</v>
      </c>
      <c r="V2111">
        <v>900</v>
      </c>
      <c r="W2111">
        <v>28</v>
      </c>
      <c r="X2111">
        <v>28</v>
      </c>
      <c r="Y2111">
        <v>1</v>
      </c>
      <c r="Z2111">
        <v>8</v>
      </c>
      <c r="AA2111">
        <v>24</v>
      </c>
      <c r="AB2111">
        <v>2</v>
      </c>
      <c r="AC2111">
        <v>5</v>
      </c>
      <c r="AD2111">
        <v>3.21700001</v>
      </c>
      <c r="AE2111">
        <v>5</v>
      </c>
      <c r="AF2111">
        <v>38</v>
      </c>
      <c r="AG2111">
        <v>3.1970000299999999</v>
      </c>
      <c r="AH2111">
        <v>4</v>
      </c>
      <c r="AI2111">
        <v>24</v>
      </c>
      <c r="AJ2111">
        <v>1</v>
      </c>
      <c r="AK2111">
        <v>17</v>
      </c>
      <c r="AL2111">
        <v>40</v>
      </c>
      <c r="AM2111" t="s">
        <v>43</v>
      </c>
      <c r="AN2111" t="str">
        <f>HYPERLINK("https://www.google.com/maps?q=10.9912672,79.08298492","Open Location")</f>
        <v>Open Location</v>
      </c>
    </row>
    <row r="2112" spans="1:40" x14ac:dyDescent="0.3">
      <c r="A2112" s="1">
        <v>46210.755324074074</v>
      </c>
      <c r="B2112" t="s">
        <v>40</v>
      </c>
      <c r="C2112" t="s">
        <v>41</v>
      </c>
      <c r="D2112" s="1">
        <v>46210.758101851854</v>
      </c>
      <c r="E2112" t="s">
        <v>42</v>
      </c>
      <c r="F2112" t="s">
        <v>83</v>
      </c>
      <c r="G2112">
        <v>45</v>
      </c>
      <c r="H2112">
        <v>33197</v>
      </c>
      <c r="I2112" t="s">
        <v>43</v>
      </c>
      <c r="J2112">
        <v>42</v>
      </c>
      <c r="K2112">
        <v>199</v>
      </c>
      <c r="L2112">
        <v>98</v>
      </c>
      <c r="M2112">
        <v>614.09997558999999</v>
      </c>
      <c r="N2112" t="s">
        <v>87</v>
      </c>
      <c r="O2112" t="s">
        <v>86</v>
      </c>
      <c r="P2112">
        <v>131</v>
      </c>
      <c r="Q2112">
        <v>6</v>
      </c>
      <c r="R2112">
        <v>109</v>
      </c>
      <c r="S2112">
        <v>1254</v>
      </c>
      <c r="T2112">
        <v>-40</v>
      </c>
      <c r="U2112">
        <v>54</v>
      </c>
      <c r="V2112">
        <v>935</v>
      </c>
      <c r="W2112">
        <v>28</v>
      </c>
      <c r="X2112">
        <v>28</v>
      </c>
      <c r="Y2112">
        <v>1</v>
      </c>
      <c r="Z2112">
        <v>8</v>
      </c>
      <c r="AA2112">
        <v>24</v>
      </c>
      <c r="AB2112">
        <v>2</v>
      </c>
      <c r="AC2112">
        <v>5</v>
      </c>
      <c r="AD2112">
        <v>3.2179999399999999</v>
      </c>
      <c r="AE2112">
        <v>5</v>
      </c>
      <c r="AF2112">
        <v>38</v>
      </c>
      <c r="AG2112">
        <v>3.1979999499999998</v>
      </c>
      <c r="AH2112">
        <v>4</v>
      </c>
      <c r="AI2112">
        <v>24</v>
      </c>
      <c r="AJ2112">
        <v>1</v>
      </c>
      <c r="AK2112">
        <v>17</v>
      </c>
      <c r="AL2112">
        <v>40</v>
      </c>
      <c r="AM2112" t="s">
        <v>43</v>
      </c>
      <c r="AN2112" t="s">
        <v>43</v>
      </c>
    </row>
    <row r="2113" spans="1:40" x14ac:dyDescent="0.3">
      <c r="A2113" s="1">
        <v>46210.755208333336</v>
      </c>
      <c r="B2113" t="s">
        <v>40</v>
      </c>
      <c r="C2113" t="s">
        <v>41</v>
      </c>
      <c r="D2113" s="1">
        <v>46210.758263888885</v>
      </c>
      <c r="E2113" t="s">
        <v>42</v>
      </c>
      <c r="F2113" t="s">
        <v>83</v>
      </c>
      <c r="G2113">
        <v>46</v>
      </c>
      <c r="H2113">
        <v>33196</v>
      </c>
      <c r="I2113" t="s">
        <v>1033</v>
      </c>
      <c r="J2113">
        <v>42</v>
      </c>
      <c r="K2113">
        <v>185</v>
      </c>
      <c r="L2113">
        <v>98</v>
      </c>
      <c r="M2113">
        <v>614.5</v>
      </c>
      <c r="N2113" t="s">
        <v>87</v>
      </c>
      <c r="O2113" t="s">
        <v>86</v>
      </c>
      <c r="P2113">
        <v>131</v>
      </c>
      <c r="Q2113">
        <v>6</v>
      </c>
      <c r="R2113">
        <v>100</v>
      </c>
      <c r="S2113">
        <v>1297</v>
      </c>
      <c r="T2113">
        <v>-40</v>
      </c>
      <c r="U2113">
        <v>54</v>
      </c>
      <c r="V2113">
        <v>800</v>
      </c>
      <c r="W2113">
        <v>27</v>
      </c>
      <c r="X2113">
        <v>27</v>
      </c>
      <c r="Y2113">
        <v>1</v>
      </c>
      <c r="Z2113">
        <v>7</v>
      </c>
      <c r="AA2113">
        <v>24</v>
      </c>
      <c r="AB2113">
        <v>2</v>
      </c>
      <c r="AC2113">
        <v>5</v>
      </c>
      <c r="AD2113">
        <v>3.21700001</v>
      </c>
      <c r="AE2113">
        <v>5</v>
      </c>
      <c r="AF2113">
        <v>38</v>
      </c>
      <c r="AG2113">
        <v>3.1970000299999999</v>
      </c>
      <c r="AH2113">
        <v>4</v>
      </c>
      <c r="AI2113">
        <v>24</v>
      </c>
      <c r="AJ2113">
        <v>1</v>
      </c>
      <c r="AK2113">
        <v>17</v>
      </c>
      <c r="AL2113">
        <v>40</v>
      </c>
      <c r="AM2113" t="s">
        <v>43</v>
      </c>
      <c r="AN2113" t="str">
        <f>HYPERLINK("https://www.google.com/maps?q=10.98990059,79.08303833","Open Location")</f>
        <v>Open Location</v>
      </c>
    </row>
    <row r="2114" spans="1:40" x14ac:dyDescent="0.3">
      <c r="A2114" s="1">
        <v>46210.75509259259</v>
      </c>
      <c r="B2114" t="s">
        <v>40</v>
      </c>
      <c r="C2114" t="s">
        <v>41</v>
      </c>
      <c r="D2114" s="1">
        <v>46210.758113425924</v>
      </c>
      <c r="E2114" t="s">
        <v>42</v>
      </c>
      <c r="F2114" t="s">
        <v>83</v>
      </c>
      <c r="G2114">
        <v>47</v>
      </c>
      <c r="H2114">
        <v>33196</v>
      </c>
      <c r="I2114" t="s">
        <v>1034</v>
      </c>
      <c r="J2114">
        <v>43</v>
      </c>
      <c r="K2114">
        <v>186</v>
      </c>
      <c r="L2114">
        <v>98</v>
      </c>
      <c r="M2114">
        <v>614.09997558999999</v>
      </c>
      <c r="N2114" t="s">
        <v>87</v>
      </c>
      <c r="O2114" t="s">
        <v>86</v>
      </c>
      <c r="P2114">
        <v>131</v>
      </c>
      <c r="Q2114">
        <v>6</v>
      </c>
      <c r="R2114">
        <v>103</v>
      </c>
      <c r="S2114">
        <v>1313</v>
      </c>
      <c r="T2114">
        <v>-40</v>
      </c>
      <c r="U2114">
        <v>54</v>
      </c>
      <c r="V2114">
        <v>800</v>
      </c>
      <c r="W2114">
        <v>27</v>
      </c>
      <c r="X2114">
        <v>27</v>
      </c>
      <c r="Y2114">
        <v>1</v>
      </c>
      <c r="Z2114">
        <v>7</v>
      </c>
      <c r="AA2114">
        <v>24</v>
      </c>
      <c r="AB2114">
        <v>2</v>
      </c>
      <c r="AC2114">
        <v>5</v>
      </c>
      <c r="AD2114">
        <v>3.2190001000000001</v>
      </c>
      <c r="AE2114">
        <v>5</v>
      </c>
      <c r="AF2114">
        <v>38</v>
      </c>
      <c r="AG2114">
        <v>3.1979999499999998</v>
      </c>
      <c r="AH2114">
        <v>4</v>
      </c>
      <c r="AI2114">
        <v>24</v>
      </c>
      <c r="AJ2114">
        <v>1</v>
      </c>
      <c r="AK2114">
        <v>18</v>
      </c>
      <c r="AL2114">
        <v>40</v>
      </c>
      <c r="AM2114" t="s">
        <v>43</v>
      </c>
      <c r="AN2114" t="str">
        <f>HYPERLINK("https://www.google.com/maps?q=10.98849297,79.08309937","Open Location")</f>
        <v>Open Location</v>
      </c>
    </row>
    <row r="2115" spans="1:40" x14ac:dyDescent="0.3">
      <c r="A2115" s="1">
        <v>46210.754976851851</v>
      </c>
      <c r="B2115" t="s">
        <v>40</v>
      </c>
      <c r="C2115" t="s">
        <v>41</v>
      </c>
      <c r="D2115" s="1">
        <v>46210.757615740738</v>
      </c>
      <c r="E2115" t="s">
        <v>42</v>
      </c>
      <c r="F2115" t="s">
        <v>83</v>
      </c>
      <c r="G2115">
        <v>48</v>
      </c>
      <c r="H2115" t="s">
        <v>43</v>
      </c>
      <c r="I2115" t="s">
        <v>1035</v>
      </c>
      <c r="J2115">
        <v>43</v>
      </c>
      <c r="K2115">
        <v>170</v>
      </c>
      <c r="L2115">
        <v>98</v>
      </c>
      <c r="M2115">
        <v>615.09997558999999</v>
      </c>
      <c r="N2115" t="s">
        <v>87</v>
      </c>
      <c r="O2115" t="s">
        <v>86</v>
      </c>
      <c r="P2115">
        <v>131</v>
      </c>
      <c r="Q2115">
        <v>6</v>
      </c>
      <c r="R2115">
        <v>100</v>
      </c>
      <c r="S2115">
        <v>1325</v>
      </c>
      <c r="T2115">
        <v>-40</v>
      </c>
      <c r="U2115">
        <v>53</v>
      </c>
      <c r="V2115">
        <v>720</v>
      </c>
      <c r="W2115">
        <v>27</v>
      </c>
      <c r="X2115">
        <v>27</v>
      </c>
      <c r="Y2115">
        <v>1</v>
      </c>
      <c r="Z2115">
        <v>7</v>
      </c>
      <c r="AA2115">
        <v>24</v>
      </c>
      <c r="AB2115">
        <v>2</v>
      </c>
      <c r="AC2115">
        <v>5</v>
      </c>
      <c r="AD2115">
        <v>3.2209999599999999</v>
      </c>
      <c r="AE2115">
        <v>5</v>
      </c>
      <c r="AF2115">
        <v>38</v>
      </c>
      <c r="AG2115">
        <v>3.2019999000000001</v>
      </c>
      <c r="AH2115">
        <v>4</v>
      </c>
      <c r="AI2115">
        <v>24</v>
      </c>
      <c r="AJ2115">
        <v>1</v>
      </c>
      <c r="AK2115">
        <v>18</v>
      </c>
      <c r="AL2115">
        <v>40</v>
      </c>
      <c r="AM2115" t="s">
        <v>43</v>
      </c>
      <c r="AN2115" t="str">
        <f>HYPERLINK("https://www.google.com/maps?q=10.98705482,79.08317566","Open Location")</f>
        <v>Open Location</v>
      </c>
    </row>
    <row r="2116" spans="1:40" x14ac:dyDescent="0.3">
      <c r="A2116" s="1">
        <v>46210.754861111112</v>
      </c>
      <c r="B2116" t="s">
        <v>40</v>
      </c>
      <c r="C2116" t="s">
        <v>41</v>
      </c>
      <c r="D2116" s="1">
        <v>46210.757754629631</v>
      </c>
      <c r="E2116" t="s">
        <v>42</v>
      </c>
      <c r="F2116" t="s">
        <v>83</v>
      </c>
      <c r="G2116">
        <v>47</v>
      </c>
      <c r="H2116">
        <v>33196</v>
      </c>
      <c r="I2116" t="s">
        <v>1036</v>
      </c>
      <c r="J2116">
        <v>43</v>
      </c>
      <c r="K2116">
        <v>167</v>
      </c>
      <c r="L2116">
        <v>98</v>
      </c>
      <c r="M2116">
        <v>615.59997558999999</v>
      </c>
      <c r="N2116" t="s">
        <v>87</v>
      </c>
      <c r="O2116" t="s">
        <v>86</v>
      </c>
      <c r="P2116">
        <v>131</v>
      </c>
      <c r="Q2116">
        <v>6</v>
      </c>
      <c r="R2116">
        <v>97</v>
      </c>
      <c r="S2116">
        <v>1297</v>
      </c>
      <c r="T2116">
        <v>-40</v>
      </c>
      <c r="U2116">
        <v>54</v>
      </c>
      <c r="V2116">
        <v>740</v>
      </c>
      <c r="W2116">
        <v>27</v>
      </c>
      <c r="X2116">
        <v>27</v>
      </c>
      <c r="Y2116">
        <v>1</v>
      </c>
      <c r="Z2116">
        <v>7</v>
      </c>
      <c r="AA2116">
        <v>24</v>
      </c>
      <c r="AB2116">
        <v>2</v>
      </c>
      <c r="AC2116">
        <v>5</v>
      </c>
      <c r="AD2116">
        <v>3.2209999599999999</v>
      </c>
      <c r="AE2116">
        <v>5</v>
      </c>
      <c r="AF2116">
        <v>38</v>
      </c>
      <c r="AG2116">
        <v>3.2009999800000002</v>
      </c>
      <c r="AH2116">
        <v>4</v>
      </c>
      <c r="AI2116">
        <v>24</v>
      </c>
      <c r="AJ2116">
        <v>1</v>
      </c>
      <c r="AK2116">
        <v>18</v>
      </c>
      <c r="AL2116">
        <v>40</v>
      </c>
      <c r="AM2116" t="s">
        <v>43</v>
      </c>
      <c r="AN2116" t="str">
        <f>HYPERLINK("https://www.google.com/maps?q=10.98562622,79.08322906","Open Location")</f>
        <v>Open Location</v>
      </c>
    </row>
    <row r="2117" spans="1:40" x14ac:dyDescent="0.3">
      <c r="A2117" s="1">
        <v>46210.754745370374</v>
      </c>
      <c r="B2117" t="s">
        <v>40</v>
      </c>
      <c r="C2117" t="s">
        <v>41</v>
      </c>
      <c r="D2117" s="1">
        <v>46210.757453703707</v>
      </c>
      <c r="E2117" t="s">
        <v>42</v>
      </c>
      <c r="F2117" t="s">
        <v>83</v>
      </c>
      <c r="G2117">
        <v>46</v>
      </c>
      <c r="H2117">
        <v>33196</v>
      </c>
      <c r="I2117" t="s">
        <v>1037</v>
      </c>
      <c r="J2117">
        <v>43</v>
      </c>
      <c r="K2117">
        <v>171</v>
      </c>
      <c r="L2117">
        <v>98</v>
      </c>
      <c r="M2117">
        <v>615.20001220999995</v>
      </c>
      <c r="N2117" t="s">
        <v>87</v>
      </c>
      <c r="O2117" t="s">
        <v>86</v>
      </c>
      <c r="P2117">
        <v>131</v>
      </c>
      <c r="Q2117">
        <v>6</v>
      </c>
      <c r="R2117">
        <v>101</v>
      </c>
      <c r="S2117">
        <v>1267</v>
      </c>
      <c r="T2117">
        <v>-40</v>
      </c>
      <c r="U2117">
        <v>53</v>
      </c>
      <c r="V2117">
        <v>760</v>
      </c>
      <c r="W2117">
        <v>27</v>
      </c>
      <c r="X2117">
        <v>27</v>
      </c>
      <c r="Y2117">
        <v>1</v>
      </c>
      <c r="Z2117">
        <v>7</v>
      </c>
      <c r="AA2117">
        <v>24</v>
      </c>
      <c r="AB2117">
        <v>2</v>
      </c>
      <c r="AC2117">
        <v>5</v>
      </c>
      <c r="AD2117">
        <v>3.22300005</v>
      </c>
      <c r="AE2117">
        <v>5</v>
      </c>
      <c r="AF2117">
        <v>38</v>
      </c>
      <c r="AG2117">
        <v>3.2049999200000001</v>
      </c>
      <c r="AH2117">
        <v>4</v>
      </c>
      <c r="AI2117">
        <v>24</v>
      </c>
      <c r="AJ2117">
        <v>1</v>
      </c>
      <c r="AK2117">
        <v>18</v>
      </c>
      <c r="AL2117">
        <v>40</v>
      </c>
      <c r="AM2117" t="s">
        <v>43</v>
      </c>
      <c r="AN2117" t="str">
        <f>HYPERLINK("https://www.google.com/maps?q=10.98410988,79.08330536","Open Location")</f>
        <v>Open Location</v>
      </c>
    </row>
    <row r="2118" spans="1:40" x14ac:dyDescent="0.3">
      <c r="A2118" s="1">
        <v>46210.754629629628</v>
      </c>
      <c r="B2118" t="s">
        <v>40</v>
      </c>
      <c r="C2118" t="s">
        <v>41</v>
      </c>
      <c r="D2118" s="1">
        <v>46210.757372685184</v>
      </c>
      <c r="E2118" t="s">
        <v>42</v>
      </c>
      <c r="F2118" t="s">
        <v>83</v>
      </c>
      <c r="G2118">
        <v>45</v>
      </c>
      <c r="H2118">
        <v>33196</v>
      </c>
      <c r="I2118" t="s">
        <v>43</v>
      </c>
      <c r="J2118">
        <v>43</v>
      </c>
      <c r="K2118">
        <v>118</v>
      </c>
      <c r="L2118">
        <v>98</v>
      </c>
      <c r="M2118">
        <v>618.09997558999999</v>
      </c>
      <c r="N2118" t="s">
        <v>87</v>
      </c>
      <c r="O2118" t="s">
        <v>86</v>
      </c>
      <c r="P2118">
        <v>131</v>
      </c>
      <c r="Q2118">
        <v>6</v>
      </c>
      <c r="R2118">
        <v>73</v>
      </c>
      <c r="S2118">
        <v>1260</v>
      </c>
      <c r="T2118">
        <v>-40</v>
      </c>
      <c r="U2118">
        <v>52</v>
      </c>
      <c r="V2118">
        <v>520</v>
      </c>
      <c r="W2118" t="s">
        <v>43</v>
      </c>
      <c r="X2118" t="s">
        <v>43</v>
      </c>
      <c r="Y2118" t="s">
        <v>43</v>
      </c>
      <c r="Z2118" t="s">
        <v>43</v>
      </c>
      <c r="AA2118" t="s">
        <v>43</v>
      </c>
      <c r="AB2118" t="s">
        <v>43</v>
      </c>
      <c r="AC2118" t="s">
        <v>43</v>
      </c>
      <c r="AD2118" t="s">
        <v>43</v>
      </c>
      <c r="AE2118" t="s">
        <v>43</v>
      </c>
      <c r="AF2118" t="s">
        <v>43</v>
      </c>
      <c r="AG2118" t="s">
        <v>43</v>
      </c>
      <c r="AH2118" t="s">
        <v>43</v>
      </c>
      <c r="AI2118" t="s">
        <v>43</v>
      </c>
      <c r="AJ2118">
        <v>1</v>
      </c>
      <c r="AK2118">
        <v>18</v>
      </c>
      <c r="AL2118">
        <v>40</v>
      </c>
      <c r="AM2118" t="s">
        <v>43</v>
      </c>
      <c r="AN2118" t="s">
        <v>43</v>
      </c>
    </row>
    <row r="2119" spans="1:40" x14ac:dyDescent="0.3">
      <c r="A2119" s="1">
        <v>46210.754513888889</v>
      </c>
      <c r="B2119" t="s">
        <v>40</v>
      </c>
      <c r="C2119" t="s">
        <v>41</v>
      </c>
      <c r="D2119" s="1">
        <v>46210.757372685184</v>
      </c>
      <c r="E2119" t="s">
        <v>42</v>
      </c>
      <c r="F2119" t="s">
        <v>83</v>
      </c>
      <c r="G2119">
        <v>45</v>
      </c>
      <c r="H2119" t="s">
        <v>43</v>
      </c>
      <c r="I2119" t="s">
        <v>1038</v>
      </c>
      <c r="J2119">
        <v>43</v>
      </c>
      <c r="K2119">
        <v>109</v>
      </c>
      <c r="L2119">
        <v>98</v>
      </c>
      <c r="M2119">
        <v>618.40002441000001</v>
      </c>
      <c r="N2119" t="s">
        <v>87</v>
      </c>
      <c r="O2119" t="s">
        <v>86</v>
      </c>
      <c r="P2119">
        <v>131</v>
      </c>
      <c r="Q2119">
        <v>6</v>
      </c>
      <c r="R2119">
        <v>65</v>
      </c>
      <c r="S2119">
        <v>1232</v>
      </c>
      <c r="T2119">
        <v>-40</v>
      </c>
      <c r="U2119">
        <v>53</v>
      </c>
      <c r="V2119">
        <v>480</v>
      </c>
      <c r="W2119">
        <v>27</v>
      </c>
      <c r="X2119">
        <v>27</v>
      </c>
      <c r="Y2119">
        <v>1</v>
      </c>
      <c r="Z2119">
        <v>7</v>
      </c>
      <c r="AA2119">
        <v>24</v>
      </c>
      <c r="AB2119">
        <v>2</v>
      </c>
      <c r="AC2119">
        <v>5</v>
      </c>
      <c r="AD2119">
        <v>3.2309999500000002</v>
      </c>
      <c r="AE2119">
        <v>1</v>
      </c>
      <c r="AF2119">
        <v>42</v>
      </c>
      <c r="AG2119">
        <v>3.2160000800000001</v>
      </c>
      <c r="AH2119">
        <v>4</v>
      </c>
      <c r="AI2119">
        <v>24</v>
      </c>
      <c r="AJ2119">
        <v>1</v>
      </c>
      <c r="AK2119">
        <v>18</v>
      </c>
      <c r="AL2119">
        <v>40</v>
      </c>
      <c r="AM2119" t="s">
        <v>43</v>
      </c>
      <c r="AN2119" t="str">
        <f>HYPERLINK("https://www.google.com/maps?q=10.98273945,79.08338165","Open Location")</f>
        <v>Open Location</v>
      </c>
    </row>
    <row r="2120" spans="1:40" x14ac:dyDescent="0.3">
      <c r="A2120" s="1">
        <v>46210.75439814815</v>
      </c>
      <c r="B2120" t="s">
        <v>40</v>
      </c>
      <c r="C2120" t="s">
        <v>41</v>
      </c>
      <c r="D2120" s="1">
        <v>46210.757303240738</v>
      </c>
      <c r="E2120" t="s">
        <v>42</v>
      </c>
      <c r="F2120" t="s">
        <v>83</v>
      </c>
      <c r="G2120">
        <v>44</v>
      </c>
      <c r="H2120">
        <v>33196</v>
      </c>
      <c r="I2120" t="s">
        <v>1039</v>
      </c>
      <c r="J2120">
        <v>43</v>
      </c>
      <c r="K2120">
        <v>106</v>
      </c>
      <c r="L2120">
        <v>98</v>
      </c>
      <c r="M2120">
        <v>618.29998779000005</v>
      </c>
      <c r="N2120" t="s">
        <v>87</v>
      </c>
      <c r="O2120" t="s">
        <v>86</v>
      </c>
      <c r="P2120">
        <v>131</v>
      </c>
      <c r="Q2120">
        <v>6</v>
      </c>
      <c r="R2120">
        <v>51</v>
      </c>
      <c r="S2120">
        <v>1213</v>
      </c>
      <c r="T2120">
        <v>-40</v>
      </c>
      <c r="U2120">
        <v>53</v>
      </c>
      <c r="V2120">
        <v>480</v>
      </c>
      <c r="W2120">
        <v>27</v>
      </c>
      <c r="X2120">
        <v>27</v>
      </c>
      <c r="Y2120">
        <v>1</v>
      </c>
      <c r="Z2120">
        <v>7</v>
      </c>
      <c r="AA2120">
        <v>24</v>
      </c>
      <c r="AB2120">
        <v>2</v>
      </c>
      <c r="AC2120">
        <v>5</v>
      </c>
      <c r="AD2120">
        <v>3.2249998999999998</v>
      </c>
      <c r="AE2120">
        <v>1</v>
      </c>
      <c r="AF2120">
        <v>43</v>
      </c>
      <c r="AG2120">
        <v>3.2090001099999999</v>
      </c>
      <c r="AH2120">
        <v>4</v>
      </c>
      <c r="AI2120">
        <v>24</v>
      </c>
      <c r="AJ2120">
        <v>1</v>
      </c>
      <c r="AK2120">
        <v>18</v>
      </c>
      <c r="AL2120">
        <v>40</v>
      </c>
      <c r="AM2120" t="s">
        <v>43</v>
      </c>
      <c r="AN2120" t="str">
        <f>HYPERLINK("https://www.google.com/maps?q=10.98140526,79.08343506","Open Location")</f>
        <v>Open Location</v>
      </c>
    </row>
    <row r="2121" spans="1:40" x14ac:dyDescent="0.3">
      <c r="A2121" s="1">
        <v>46210.754282407404</v>
      </c>
      <c r="B2121" t="s">
        <v>40</v>
      </c>
      <c r="C2121" t="s">
        <v>41</v>
      </c>
      <c r="D2121" s="1">
        <v>46210.757303240738</v>
      </c>
      <c r="E2121" t="s">
        <v>42</v>
      </c>
      <c r="F2121" t="s">
        <v>83</v>
      </c>
      <c r="G2121">
        <v>43</v>
      </c>
      <c r="H2121">
        <v>33196</v>
      </c>
      <c r="I2121" t="s">
        <v>1040</v>
      </c>
      <c r="J2121">
        <v>43</v>
      </c>
      <c r="K2121">
        <v>167</v>
      </c>
      <c r="L2121">
        <v>98</v>
      </c>
      <c r="M2121">
        <v>615.70001220999995</v>
      </c>
      <c r="N2121" t="s">
        <v>87</v>
      </c>
      <c r="O2121" t="s">
        <v>86</v>
      </c>
      <c r="P2121">
        <v>131</v>
      </c>
      <c r="Q2121">
        <v>6</v>
      </c>
      <c r="R2121">
        <v>77</v>
      </c>
      <c r="S2121">
        <v>1181</v>
      </c>
      <c r="T2121">
        <v>-40</v>
      </c>
      <c r="U2121">
        <v>55</v>
      </c>
      <c r="V2121">
        <v>780</v>
      </c>
      <c r="W2121">
        <v>27</v>
      </c>
      <c r="X2121">
        <v>27</v>
      </c>
      <c r="Y2121">
        <v>1</v>
      </c>
      <c r="Z2121">
        <v>7</v>
      </c>
      <c r="AA2121">
        <v>24</v>
      </c>
      <c r="AB2121">
        <v>2</v>
      </c>
      <c r="AC2121">
        <v>5</v>
      </c>
      <c r="AD2121">
        <v>3.22000003</v>
      </c>
      <c r="AE2121">
        <v>5</v>
      </c>
      <c r="AF2121">
        <v>38</v>
      </c>
      <c r="AG2121">
        <v>3.2009999800000002</v>
      </c>
      <c r="AH2121">
        <v>4</v>
      </c>
      <c r="AI2121">
        <v>24</v>
      </c>
      <c r="AJ2121">
        <v>1</v>
      </c>
      <c r="AK2121">
        <v>18</v>
      </c>
      <c r="AL2121">
        <v>40</v>
      </c>
      <c r="AM2121" t="s">
        <v>43</v>
      </c>
      <c r="AN2121" t="str">
        <f>HYPERLINK("https://www.google.com/maps?q=10.98009014,79.08348846","Open Location")</f>
        <v>Open Location</v>
      </c>
    </row>
    <row r="2122" spans="1:40" x14ac:dyDescent="0.3">
      <c r="A2122" s="1">
        <v>46210.754166666666</v>
      </c>
      <c r="B2122" t="s">
        <v>40</v>
      </c>
      <c r="C2122" t="s">
        <v>41</v>
      </c>
      <c r="D2122" s="1">
        <v>46210.757071759261</v>
      </c>
      <c r="E2122" t="s">
        <v>42</v>
      </c>
      <c r="F2122" t="s">
        <v>83</v>
      </c>
      <c r="G2122">
        <v>41</v>
      </c>
      <c r="H2122">
        <v>33195</v>
      </c>
      <c r="I2122" t="s">
        <v>43</v>
      </c>
      <c r="J2122">
        <v>43</v>
      </c>
      <c r="K2122">
        <v>195</v>
      </c>
      <c r="L2122">
        <v>98</v>
      </c>
      <c r="M2122">
        <v>614.20001220999995</v>
      </c>
      <c r="N2122" t="s">
        <v>87</v>
      </c>
      <c r="O2122" t="s">
        <v>86</v>
      </c>
      <c r="P2122">
        <v>131</v>
      </c>
      <c r="Q2122">
        <v>6</v>
      </c>
      <c r="R2122">
        <v>94</v>
      </c>
      <c r="S2122">
        <v>1134</v>
      </c>
      <c r="T2122">
        <v>-40</v>
      </c>
      <c r="U2122">
        <v>56</v>
      </c>
      <c r="V2122">
        <v>920</v>
      </c>
      <c r="W2122" t="s">
        <v>43</v>
      </c>
      <c r="X2122" t="s">
        <v>43</v>
      </c>
      <c r="Y2122" t="s">
        <v>43</v>
      </c>
      <c r="Z2122" t="s">
        <v>43</v>
      </c>
      <c r="AA2122" t="s">
        <v>43</v>
      </c>
      <c r="AB2122" t="s">
        <v>43</v>
      </c>
      <c r="AC2122" t="s">
        <v>43</v>
      </c>
      <c r="AD2122" t="s">
        <v>43</v>
      </c>
      <c r="AE2122" t="s">
        <v>43</v>
      </c>
      <c r="AF2122" t="s">
        <v>43</v>
      </c>
      <c r="AG2122" t="s">
        <v>43</v>
      </c>
      <c r="AH2122" t="s">
        <v>43</v>
      </c>
      <c r="AI2122" t="s">
        <v>43</v>
      </c>
      <c r="AJ2122">
        <v>1</v>
      </c>
      <c r="AK2122">
        <v>18</v>
      </c>
      <c r="AL2122">
        <v>40</v>
      </c>
      <c r="AM2122" t="s">
        <v>43</v>
      </c>
      <c r="AN2122" t="s">
        <v>43</v>
      </c>
    </row>
    <row r="2123" spans="1:40" x14ac:dyDescent="0.3">
      <c r="A2123" s="1">
        <v>46210.754050925927</v>
      </c>
      <c r="B2123" t="s">
        <v>40</v>
      </c>
      <c r="C2123" t="s">
        <v>41</v>
      </c>
      <c r="D2123" s="1">
        <v>46210.756736111114</v>
      </c>
      <c r="E2123" t="s">
        <v>42</v>
      </c>
      <c r="F2123" t="s">
        <v>83</v>
      </c>
      <c r="G2123">
        <v>40</v>
      </c>
      <c r="H2123">
        <v>33195</v>
      </c>
      <c r="I2123" t="s">
        <v>1041</v>
      </c>
      <c r="J2123">
        <v>43</v>
      </c>
      <c r="K2123">
        <v>199</v>
      </c>
      <c r="L2123">
        <v>98</v>
      </c>
      <c r="M2123">
        <v>613.29998779000005</v>
      </c>
      <c r="N2123" t="s">
        <v>87</v>
      </c>
      <c r="O2123" t="s">
        <v>86</v>
      </c>
      <c r="P2123">
        <v>131</v>
      </c>
      <c r="Q2123">
        <v>6</v>
      </c>
      <c r="R2123">
        <v>121</v>
      </c>
      <c r="S2123">
        <v>1113</v>
      </c>
      <c r="T2123">
        <v>-40</v>
      </c>
      <c r="U2123">
        <v>57</v>
      </c>
      <c r="V2123">
        <v>980</v>
      </c>
      <c r="W2123">
        <v>27</v>
      </c>
      <c r="X2123">
        <v>27</v>
      </c>
      <c r="Y2123">
        <v>1</v>
      </c>
      <c r="Z2123">
        <v>7</v>
      </c>
      <c r="AA2123">
        <v>24</v>
      </c>
      <c r="AB2123">
        <v>2</v>
      </c>
      <c r="AC2123">
        <v>5</v>
      </c>
      <c r="AD2123">
        <v>3.21199989</v>
      </c>
      <c r="AE2123">
        <v>5</v>
      </c>
      <c r="AF2123">
        <v>38</v>
      </c>
      <c r="AG2123">
        <v>3.19000006</v>
      </c>
      <c r="AH2123">
        <v>6</v>
      </c>
      <c r="AI2123">
        <v>24</v>
      </c>
      <c r="AJ2123">
        <v>1</v>
      </c>
      <c r="AK2123">
        <v>18</v>
      </c>
      <c r="AL2123">
        <v>40</v>
      </c>
      <c r="AM2123" t="s">
        <v>43</v>
      </c>
      <c r="AN2123" t="str">
        <f>HYPERLINK("https://www.google.com/maps?q=10.97761726,79.08361053","Open Location")</f>
        <v>Open Location</v>
      </c>
    </row>
    <row r="2124" spans="1:40" x14ac:dyDescent="0.3">
      <c r="A2124" s="1">
        <v>46210.753935185188</v>
      </c>
      <c r="B2124" t="s">
        <v>40</v>
      </c>
      <c r="C2124" t="s">
        <v>41</v>
      </c>
      <c r="D2124" s="1">
        <v>46210.756863425922</v>
      </c>
      <c r="E2124" t="s">
        <v>42</v>
      </c>
      <c r="F2124" t="s">
        <v>83</v>
      </c>
      <c r="G2124">
        <v>39</v>
      </c>
      <c r="H2124">
        <v>33195</v>
      </c>
      <c r="I2124" t="s">
        <v>43</v>
      </c>
      <c r="J2124">
        <v>43</v>
      </c>
      <c r="K2124">
        <v>199</v>
      </c>
      <c r="L2124">
        <v>98</v>
      </c>
      <c r="M2124">
        <v>614.09997558999999</v>
      </c>
      <c r="N2124" t="s">
        <v>87</v>
      </c>
      <c r="O2124" t="s">
        <v>86</v>
      </c>
      <c r="P2124">
        <v>131</v>
      </c>
      <c r="Q2124">
        <v>6</v>
      </c>
      <c r="R2124">
        <v>111</v>
      </c>
      <c r="S2124">
        <v>1094</v>
      </c>
      <c r="T2124">
        <v>-40</v>
      </c>
      <c r="U2124">
        <v>56</v>
      </c>
      <c r="V2124">
        <v>1020</v>
      </c>
      <c r="W2124">
        <v>27</v>
      </c>
      <c r="X2124">
        <v>27</v>
      </c>
      <c r="Y2124">
        <v>1</v>
      </c>
      <c r="Z2124">
        <v>7</v>
      </c>
      <c r="AA2124">
        <v>24</v>
      </c>
      <c r="AB2124">
        <v>2</v>
      </c>
      <c r="AC2124">
        <v>5</v>
      </c>
      <c r="AD2124" t="s">
        <v>43</v>
      </c>
      <c r="AE2124" t="s">
        <v>43</v>
      </c>
      <c r="AF2124" t="s">
        <v>43</v>
      </c>
      <c r="AG2124" t="s">
        <v>43</v>
      </c>
      <c r="AH2124" t="s">
        <v>43</v>
      </c>
      <c r="AI2124" t="s">
        <v>43</v>
      </c>
      <c r="AJ2124">
        <v>1</v>
      </c>
      <c r="AK2124">
        <v>18</v>
      </c>
      <c r="AL2124">
        <v>40</v>
      </c>
      <c r="AM2124" t="s">
        <v>43</v>
      </c>
      <c r="AN2124" t="s">
        <v>43</v>
      </c>
    </row>
    <row r="2125" spans="1:40" x14ac:dyDescent="0.3">
      <c r="A2125" s="1">
        <v>46210.753819444442</v>
      </c>
      <c r="B2125" t="s">
        <v>40</v>
      </c>
      <c r="C2125" t="s">
        <v>41</v>
      </c>
      <c r="D2125" s="1">
        <v>46210.756736111114</v>
      </c>
      <c r="E2125" t="s">
        <v>42</v>
      </c>
      <c r="F2125" t="s">
        <v>83</v>
      </c>
      <c r="G2125">
        <v>39</v>
      </c>
      <c r="H2125" t="s">
        <v>43</v>
      </c>
      <c r="I2125" t="s">
        <v>1042</v>
      </c>
      <c r="J2125">
        <v>44</v>
      </c>
      <c r="K2125">
        <v>149</v>
      </c>
      <c r="L2125">
        <v>98</v>
      </c>
      <c r="M2125">
        <v>616.40002441000001</v>
      </c>
      <c r="N2125" t="s">
        <v>87</v>
      </c>
      <c r="O2125" t="s">
        <v>86</v>
      </c>
      <c r="P2125">
        <v>131</v>
      </c>
      <c r="Q2125">
        <v>6</v>
      </c>
      <c r="R2125">
        <v>88</v>
      </c>
      <c r="S2125">
        <v>1093</v>
      </c>
      <c r="T2125">
        <v>-40</v>
      </c>
      <c r="U2125">
        <v>55</v>
      </c>
      <c r="V2125">
        <v>740</v>
      </c>
      <c r="W2125">
        <v>27</v>
      </c>
      <c r="X2125">
        <v>27</v>
      </c>
      <c r="Y2125">
        <v>1</v>
      </c>
      <c r="Z2125">
        <v>7</v>
      </c>
      <c r="AA2125">
        <v>24</v>
      </c>
      <c r="AB2125">
        <v>2</v>
      </c>
      <c r="AC2125">
        <v>5</v>
      </c>
      <c r="AD2125">
        <v>3.2160000800000001</v>
      </c>
      <c r="AE2125">
        <v>5</v>
      </c>
      <c r="AF2125">
        <v>38</v>
      </c>
      <c r="AG2125">
        <v>3.1960001</v>
      </c>
      <c r="AH2125">
        <v>4</v>
      </c>
      <c r="AI2125">
        <v>24</v>
      </c>
      <c r="AJ2125">
        <v>1</v>
      </c>
      <c r="AK2125">
        <v>18</v>
      </c>
      <c r="AL2125">
        <v>40</v>
      </c>
      <c r="AM2125" t="s">
        <v>43</v>
      </c>
      <c r="AN2125" t="str">
        <f>HYPERLINK("https://www.google.com/maps?q=10.97642612,79.08364868","Open Location")</f>
        <v>Open Location</v>
      </c>
    </row>
    <row r="2126" spans="1:40" x14ac:dyDescent="0.3">
      <c r="A2126" s="1">
        <v>46210.753703703704</v>
      </c>
      <c r="B2126" t="s">
        <v>40</v>
      </c>
      <c r="C2126" t="s">
        <v>41</v>
      </c>
      <c r="D2126" s="1">
        <v>46210.756597222222</v>
      </c>
      <c r="E2126" t="s">
        <v>42</v>
      </c>
      <c r="F2126" t="s">
        <v>83</v>
      </c>
      <c r="G2126">
        <v>39</v>
      </c>
      <c r="H2126">
        <v>33195</v>
      </c>
      <c r="I2126" t="s">
        <v>1043</v>
      </c>
      <c r="J2126">
        <v>44</v>
      </c>
      <c r="K2126">
        <v>147</v>
      </c>
      <c r="L2126">
        <v>98</v>
      </c>
      <c r="M2126">
        <v>616.90002441000001</v>
      </c>
      <c r="N2126" t="s">
        <v>87</v>
      </c>
      <c r="O2126" t="s">
        <v>86</v>
      </c>
      <c r="P2126">
        <v>131</v>
      </c>
      <c r="Q2126">
        <v>6</v>
      </c>
      <c r="R2126">
        <v>94</v>
      </c>
      <c r="S2126">
        <v>1109</v>
      </c>
      <c r="T2126">
        <v>-40</v>
      </c>
      <c r="U2126">
        <v>55</v>
      </c>
      <c r="V2126">
        <v>780</v>
      </c>
      <c r="W2126">
        <v>27</v>
      </c>
      <c r="X2126">
        <v>27</v>
      </c>
      <c r="Y2126">
        <v>1</v>
      </c>
      <c r="Z2126">
        <v>7</v>
      </c>
      <c r="AA2126">
        <v>24</v>
      </c>
      <c r="AB2126">
        <v>2</v>
      </c>
      <c r="AC2126">
        <v>5</v>
      </c>
      <c r="AD2126">
        <v>3.22000003</v>
      </c>
      <c r="AE2126">
        <v>5</v>
      </c>
      <c r="AF2126">
        <v>38</v>
      </c>
      <c r="AG2126">
        <v>3.2009999800000002</v>
      </c>
      <c r="AH2126">
        <v>4</v>
      </c>
      <c r="AI2126">
        <v>24</v>
      </c>
      <c r="AJ2126">
        <v>1</v>
      </c>
      <c r="AK2126">
        <v>17</v>
      </c>
      <c r="AL2126">
        <v>40</v>
      </c>
      <c r="AM2126" t="s">
        <v>43</v>
      </c>
      <c r="AN2126" t="str">
        <f>HYPERLINK("https://www.google.com/maps?q=10.97513294,79.08366394","Open Location")</f>
        <v>Open Location</v>
      </c>
    </row>
    <row r="2127" spans="1:40" x14ac:dyDescent="0.3">
      <c r="A2127" s="1">
        <v>46210.753587962965</v>
      </c>
      <c r="B2127" t="s">
        <v>40</v>
      </c>
      <c r="C2127" t="s">
        <v>41</v>
      </c>
      <c r="D2127" s="1">
        <v>46210.756493055553</v>
      </c>
      <c r="E2127" t="s">
        <v>42</v>
      </c>
      <c r="F2127" t="s">
        <v>83</v>
      </c>
      <c r="G2127">
        <v>40</v>
      </c>
      <c r="H2127">
        <v>33195</v>
      </c>
      <c r="I2127" t="s">
        <v>1044</v>
      </c>
      <c r="J2127">
        <v>44</v>
      </c>
      <c r="K2127">
        <v>156</v>
      </c>
      <c r="L2127">
        <v>98</v>
      </c>
      <c r="M2127">
        <v>616.90002441000001</v>
      </c>
      <c r="N2127" t="s">
        <v>87</v>
      </c>
      <c r="O2127" t="s">
        <v>86</v>
      </c>
      <c r="P2127">
        <v>131</v>
      </c>
      <c r="Q2127">
        <v>6</v>
      </c>
      <c r="R2127">
        <v>84</v>
      </c>
      <c r="S2127">
        <v>1109</v>
      </c>
      <c r="T2127">
        <v>-40</v>
      </c>
      <c r="U2127">
        <v>55</v>
      </c>
      <c r="V2127">
        <v>750</v>
      </c>
      <c r="W2127">
        <v>27</v>
      </c>
      <c r="X2127">
        <v>27</v>
      </c>
      <c r="Y2127">
        <v>1</v>
      </c>
      <c r="Z2127">
        <v>7</v>
      </c>
      <c r="AA2127">
        <v>24</v>
      </c>
      <c r="AB2127">
        <v>2</v>
      </c>
      <c r="AC2127">
        <v>4</v>
      </c>
      <c r="AD2127">
        <v>3.22600007</v>
      </c>
      <c r="AE2127">
        <v>5</v>
      </c>
      <c r="AF2127">
        <v>38</v>
      </c>
      <c r="AG2127">
        <v>3.2090001099999999</v>
      </c>
      <c r="AH2127">
        <v>4</v>
      </c>
      <c r="AI2127">
        <v>24</v>
      </c>
      <c r="AJ2127">
        <v>1</v>
      </c>
      <c r="AK2127">
        <v>17</v>
      </c>
      <c r="AL2127">
        <v>40</v>
      </c>
      <c r="AM2127" t="s">
        <v>43</v>
      </c>
      <c r="AN2127" t="str">
        <f>HYPERLINK("https://www.google.com/maps?q=10.97393322,79.08371735","Open Location")</f>
        <v>Open Location</v>
      </c>
    </row>
    <row r="2128" spans="1:40" x14ac:dyDescent="0.3">
      <c r="A2128" s="1">
        <v>46210.753472222219</v>
      </c>
      <c r="B2128" t="s">
        <v>40</v>
      </c>
      <c r="C2128" t="s">
        <v>41</v>
      </c>
      <c r="D2128" s="1">
        <v>46210.756562499999</v>
      </c>
      <c r="E2128" t="s">
        <v>42</v>
      </c>
      <c r="F2128" t="s">
        <v>83</v>
      </c>
      <c r="G2128">
        <v>41</v>
      </c>
      <c r="H2128" t="s">
        <v>43</v>
      </c>
      <c r="I2128" t="s">
        <v>1045</v>
      </c>
      <c r="J2128">
        <v>44</v>
      </c>
      <c r="K2128">
        <v>165</v>
      </c>
      <c r="L2128">
        <v>98</v>
      </c>
      <c r="M2128">
        <v>615.29998779000005</v>
      </c>
      <c r="N2128" t="s">
        <v>87</v>
      </c>
      <c r="O2128" t="s">
        <v>86</v>
      </c>
      <c r="P2128">
        <v>131</v>
      </c>
      <c r="Q2128">
        <v>6</v>
      </c>
      <c r="R2128">
        <v>89</v>
      </c>
      <c r="S2128">
        <v>1140</v>
      </c>
      <c r="T2128">
        <v>-40</v>
      </c>
      <c r="U2128">
        <v>55</v>
      </c>
      <c r="V2128">
        <v>800</v>
      </c>
      <c r="W2128">
        <v>27</v>
      </c>
      <c r="X2128">
        <v>27</v>
      </c>
      <c r="Y2128">
        <v>1</v>
      </c>
      <c r="Z2128">
        <v>7</v>
      </c>
      <c r="AA2128">
        <v>24</v>
      </c>
      <c r="AB2128">
        <v>2</v>
      </c>
      <c r="AC2128">
        <v>4</v>
      </c>
      <c r="AD2128">
        <v>3.2160000800000001</v>
      </c>
      <c r="AE2128">
        <v>5</v>
      </c>
      <c r="AF2128">
        <v>38</v>
      </c>
      <c r="AG2128">
        <v>3.1960001</v>
      </c>
      <c r="AH2128">
        <v>4</v>
      </c>
      <c r="AI2128">
        <v>24</v>
      </c>
      <c r="AJ2128">
        <v>1</v>
      </c>
      <c r="AK2128">
        <v>17</v>
      </c>
      <c r="AL2128">
        <v>40</v>
      </c>
      <c r="AM2128" t="s">
        <v>43</v>
      </c>
      <c r="AN2128" t="str">
        <f>HYPERLINK("https://www.google.com/maps?q=10.97269821,79.08376312","Open Location")</f>
        <v>Open Location</v>
      </c>
    </row>
    <row r="2129" spans="1:40" x14ac:dyDescent="0.3">
      <c r="A2129" s="1">
        <v>46210.75335648148</v>
      </c>
      <c r="B2129" t="s">
        <v>40</v>
      </c>
      <c r="C2129" t="s">
        <v>41</v>
      </c>
      <c r="D2129" s="1">
        <v>46210.756261574075</v>
      </c>
      <c r="E2129" t="s">
        <v>42</v>
      </c>
      <c r="F2129" t="s">
        <v>83</v>
      </c>
      <c r="G2129">
        <v>40</v>
      </c>
      <c r="H2129">
        <v>33195</v>
      </c>
      <c r="I2129" t="s">
        <v>43</v>
      </c>
      <c r="J2129">
        <v>44</v>
      </c>
      <c r="K2129">
        <v>166</v>
      </c>
      <c r="L2129">
        <v>98</v>
      </c>
      <c r="M2129">
        <v>615.90002441000001</v>
      </c>
      <c r="N2129" t="s">
        <v>87</v>
      </c>
      <c r="O2129" t="s">
        <v>86</v>
      </c>
      <c r="P2129">
        <v>131</v>
      </c>
      <c r="Q2129">
        <v>6</v>
      </c>
      <c r="R2129">
        <v>113</v>
      </c>
      <c r="S2129">
        <v>1135</v>
      </c>
      <c r="T2129">
        <v>-40</v>
      </c>
      <c r="U2129">
        <v>55</v>
      </c>
      <c r="V2129">
        <v>800</v>
      </c>
      <c r="W2129">
        <v>27</v>
      </c>
      <c r="X2129">
        <v>27</v>
      </c>
      <c r="Y2129">
        <v>1</v>
      </c>
      <c r="Z2129">
        <v>7</v>
      </c>
      <c r="AA2129">
        <v>24</v>
      </c>
      <c r="AB2129">
        <v>2</v>
      </c>
      <c r="AC2129">
        <v>4</v>
      </c>
      <c r="AD2129">
        <v>3.2190001000000001</v>
      </c>
      <c r="AE2129">
        <v>5</v>
      </c>
      <c r="AF2129">
        <v>38</v>
      </c>
      <c r="AG2129">
        <v>3.2000000499999999</v>
      </c>
      <c r="AH2129">
        <v>6</v>
      </c>
      <c r="AI2129">
        <v>24</v>
      </c>
      <c r="AJ2129">
        <v>1</v>
      </c>
      <c r="AK2129">
        <v>17</v>
      </c>
      <c r="AL2129">
        <v>40</v>
      </c>
      <c r="AM2129" t="s">
        <v>43</v>
      </c>
      <c r="AN2129" t="s">
        <v>43</v>
      </c>
    </row>
    <row r="2130" spans="1:40" x14ac:dyDescent="0.3">
      <c r="A2130" s="1">
        <v>46210.753240740742</v>
      </c>
      <c r="B2130" t="s">
        <v>40</v>
      </c>
      <c r="C2130" t="s">
        <v>41</v>
      </c>
      <c r="D2130" s="1">
        <v>46210.756192129629</v>
      </c>
      <c r="E2130" t="s">
        <v>42</v>
      </c>
      <c r="F2130" t="s">
        <v>83</v>
      </c>
      <c r="G2130">
        <v>43</v>
      </c>
      <c r="H2130">
        <v>33195</v>
      </c>
      <c r="I2130" t="s">
        <v>1046</v>
      </c>
      <c r="J2130">
        <v>44</v>
      </c>
      <c r="K2130">
        <v>170</v>
      </c>
      <c r="L2130">
        <v>98</v>
      </c>
      <c r="M2130">
        <v>615.40002441000001</v>
      </c>
      <c r="N2130" t="s">
        <v>87</v>
      </c>
      <c r="O2130" t="s">
        <v>86</v>
      </c>
      <c r="P2130">
        <v>131</v>
      </c>
      <c r="Q2130">
        <v>6</v>
      </c>
      <c r="R2130">
        <v>97</v>
      </c>
      <c r="S2130">
        <v>1184</v>
      </c>
      <c r="T2130">
        <v>-40</v>
      </c>
      <c r="U2130">
        <v>55</v>
      </c>
      <c r="V2130">
        <v>820</v>
      </c>
      <c r="W2130" t="s">
        <v>43</v>
      </c>
      <c r="X2130" t="s">
        <v>43</v>
      </c>
      <c r="Y2130" t="s">
        <v>43</v>
      </c>
      <c r="Z2130" t="s">
        <v>43</v>
      </c>
      <c r="AA2130" t="s">
        <v>43</v>
      </c>
      <c r="AB2130" t="s">
        <v>43</v>
      </c>
      <c r="AC2130" t="s">
        <v>43</v>
      </c>
      <c r="AD2130">
        <v>3.2209999599999999</v>
      </c>
      <c r="AE2130">
        <v>1</v>
      </c>
      <c r="AF2130">
        <v>42</v>
      </c>
      <c r="AG2130">
        <v>3.2040000000000002</v>
      </c>
      <c r="AH2130">
        <v>4</v>
      </c>
      <c r="AI2130">
        <v>24</v>
      </c>
      <c r="AJ2130">
        <v>1</v>
      </c>
      <c r="AK2130">
        <v>17</v>
      </c>
      <c r="AL2130">
        <v>40</v>
      </c>
      <c r="AM2130" t="s">
        <v>43</v>
      </c>
      <c r="AN2130" t="str">
        <f>HYPERLINK("https://www.google.com/maps?q=10.97147274,79.08387756","Open Location")</f>
        <v>Open Location</v>
      </c>
    </row>
    <row r="2131" spans="1:40" x14ac:dyDescent="0.3">
      <c r="A2131" s="1">
        <v>46210.753125000003</v>
      </c>
      <c r="B2131" t="s">
        <v>40</v>
      </c>
      <c r="C2131" t="s">
        <v>41</v>
      </c>
      <c r="D2131" s="1">
        <v>46210.756006944444</v>
      </c>
      <c r="E2131" t="s">
        <v>42</v>
      </c>
      <c r="F2131" t="s">
        <v>83</v>
      </c>
      <c r="G2131">
        <v>43</v>
      </c>
      <c r="H2131">
        <v>33194</v>
      </c>
      <c r="I2131" t="s">
        <v>1047</v>
      </c>
      <c r="J2131">
        <v>44</v>
      </c>
      <c r="K2131">
        <v>175</v>
      </c>
      <c r="L2131">
        <v>98</v>
      </c>
      <c r="M2131">
        <v>614.59997558999999</v>
      </c>
      <c r="N2131" t="s">
        <v>87</v>
      </c>
      <c r="O2131" t="s">
        <v>86</v>
      </c>
      <c r="P2131">
        <v>131</v>
      </c>
      <c r="Q2131">
        <v>6</v>
      </c>
      <c r="R2131">
        <v>106</v>
      </c>
      <c r="S2131">
        <v>1200</v>
      </c>
      <c r="T2131">
        <v>-40</v>
      </c>
      <c r="U2131">
        <v>55</v>
      </c>
      <c r="V2131">
        <v>810</v>
      </c>
      <c r="W2131">
        <v>27</v>
      </c>
      <c r="X2131">
        <v>27</v>
      </c>
      <c r="Y2131">
        <v>1</v>
      </c>
      <c r="Z2131">
        <v>7</v>
      </c>
      <c r="AA2131">
        <v>24</v>
      </c>
      <c r="AB2131">
        <v>2</v>
      </c>
      <c r="AC2131">
        <v>4</v>
      </c>
      <c r="AD2131" t="s">
        <v>43</v>
      </c>
      <c r="AE2131" t="s">
        <v>43</v>
      </c>
      <c r="AF2131" t="s">
        <v>43</v>
      </c>
      <c r="AG2131" t="s">
        <v>43</v>
      </c>
      <c r="AH2131" t="s">
        <v>43</v>
      </c>
      <c r="AI2131" t="s">
        <v>43</v>
      </c>
      <c r="AJ2131">
        <v>1</v>
      </c>
      <c r="AK2131">
        <v>17</v>
      </c>
      <c r="AL2131">
        <v>40</v>
      </c>
      <c r="AM2131" t="s">
        <v>43</v>
      </c>
      <c r="AN2131" t="str">
        <f>HYPERLINK("https://www.google.com/maps?q=10.97027874,79.08437347","Open Location")</f>
        <v>Open Location</v>
      </c>
    </row>
    <row r="2132" spans="1:40" x14ac:dyDescent="0.3">
      <c r="A2132" s="1">
        <v>46210.753009259257</v>
      </c>
      <c r="B2132" t="s">
        <v>40</v>
      </c>
      <c r="C2132" t="s">
        <v>41</v>
      </c>
      <c r="D2132" s="1">
        <v>46210.755949074075</v>
      </c>
      <c r="E2132" t="s">
        <v>42</v>
      </c>
      <c r="F2132" t="s">
        <v>83</v>
      </c>
      <c r="G2132">
        <v>42</v>
      </c>
      <c r="H2132">
        <v>33194</v>
      </c>
      <c r="I2132" t="s">
        <v>1048</v>
      </c>
      <c r="J2132">
        <v>44</v>
      </c>
      <c r="K2132">
        <v>150</v>
      </c>
      <c r="L2132">
        <v>98</v>
      </c>
      <c r="M2132">
        <v>616.29998779000005</v>
      </c>
      <c r="N2132" t="s">
        <v>87</v>
      </c>
      <c r="O2132" t="s">
        <v>86</v>
      </c>
      <c r="P2132">
        <v>131</v>
      </c>
      <c r="Q2132">
        <v>6</v>
      </c>
      <c r="R2132">
        <v>88</v>
      </c>
      <c r="S2132">
        <v>1173</v>
      </c>
      <c r="T2132">
        <v>-40</v>
      </c>
      <c r="U2132">
        <v>55</v>
      </c>
      <c r="V2132">
        <v>700</v>
      </c>
      <c r="W2132">
        <v>27</v>
      </c>
      <c r="X2132">
        <v>27</v>
      </c>
      <c r="Y2132">
        <v>1</v>
      </c>
      <c r="Z2132">
        <v>7</v>
      </c>
      <c r="AA2132">
        <v>24</v>
      </c>
      <c r="AB2132">
        <v>2</v>
      </c>
      <c r="AC2132">
        <v>2</v>
      </c>
      <c r="AD2132">
        <v>3.22000003</v>
      </c>
      <c r="AE2132">
        <v>5</v>
      </c>
      <c r="AF2132">
        <v>38</v>
      </c>
      <c r="AG2132">
        <v>3.2019999000000001</v>
      </c>
      <c r="AH2132">
        <v>4</v>
      </c>
      <c r="AI2132">
        <v>24</v>
      </c>
      <c r="AJ2132">
        <v>1</v>
      </c>
      <c r="AK2132">
        <v>17</v>
      </c>
      <c r="AL2132">
        <v>40</v>
      </c>
      <c r="AM2132" t="s">
        <v>43</v>
      </c>
      <c r="AN2132" t="str">
        <f>HYPERLINK("https://www.google.com/maps?q=10.96912289,79.08495331","Open Location")</f>
        <v>Open Location</v>
      </c>
    </row>
    <row r="2133" spans="1:40" x14ac:dyDescent="0.3">
      <c r="A2133" s="1">
        <v>46210.752893518518</v>
      </c>
      <c r="B2133" t="s">
        <v>40</v>
      </c>
      <c r="C2133" t="s">
        <v>41</v>
      </c>
      <c r="D2133" s="1">
        <v>46210.755949074075</v>
      </c>
      <c r="E2133" t="s">
        <v>42</v>
      </c>
      <c r="F2133" t="s">
        <v>83</v>
      </c>
      <c r="G2133">
        <v>42</v>
      </c>
      <c r="H2133">
        <v>33194</v>
      </c>
      <c r="I2133" t="s">
        <v>1049</v>
      </c>
      <c r="J2133">
        <v>44</v>
      </c>
      <c r="K2133">
        <v>212</v>
      </c>
      <c r="L2133">
        <v>98</v>
      </c>
      <c r="M2133">
        <v>613.09997558999999</v>
      </c>
      <c r="N2133" t="s">
        <v>87</v>
      </c>
      <c r="O2133" t="s">
        <v>86</v>
      </c>
      <c r="P2133">
        <v>131</v>
      </c>
      <c r="Q2133">
        <v>6</v>
      </c>
      <c r="R2133">
        <v>107</v>
      </c>
      <c r="S2133">
        <v>1163</v>
      </c>
      <c r="T2133">
        <v>-40</v>
      </c>
      <c r="U2133">
        <v>56</v>
      </c>
      <c r="V2133">
        <v>1020</v>
      </c>
      <c r="W2133">
        <v>27</v>
      </c>
      <c r="X2133">
        <v>27</v>
      </c>
      <c r="Y2133">
        <v>1</v>
      </c>
      <c r="Z2133">
        <v>8</v>
      </c>
      <c r="AA2133">
        <v>24</v>
      </c>
      <c r="AB2133">
        <v>2</v>
      </c>
      <c r="AC2133">
        <v>2</v>
      </c>
      <c r="AD2133">
        <v>3.2179999399999999</v>
      </c>
      <c r="AE2133">
        <v>5</v>
      </c>
      <c r="AF2133">
        <v>38</v>
      </c>
      <c r="AG2133">
        <v>3.1979999499999998</v>
      </c>
      <c r="AH2133">
        <v>6</v>
      </c>
      <c r="AI2133">
        <v>24</v>
      </c>
      <c r="AJ2133">
        <v>1</v>
      </c>
      <c r="AK2133">
        <v>17</v>
      </c>
      <c r="AL2133">
        <v>40</v>
      </c>
      <c r="AM2133" t="s">
        <v>43</v>
      </c>
      <c r="AN2133" t="str">
        <f>HYPERLINK("https://www.google.com/maps?q=10.9679594,79.08547974","Open Location")</f>
        <v>Open Location</v>
      </c>
    </row>
    <row r="2134" spans="1:40" x14ac:dyDescent="0.3">
      <c r="A2134" s="1">
        <v>46210.75277777778</v>
      </c>
      <c r="B2134" t="s">
        <v>40</v>
      </c>
      <c r="C2134" t="s">
        <v>41</v>
      </c>
      <c r="D2134" s="1">
        <v>46210.755497685182</v>
      </c>
      <c r="E2134" t="s">
        <v>42</v>
      </c>
      <c r="F2134" t="s">
        <v>83</v>
      </c>
      <c r="G2134">
        <v>42</v>
      </c>
      <c r="H2134">
        <v>33194</v>
      </c>
      <c r="I2134" t="s">
        <v>1050</v>
      </c>
      <c r="J2134">
        <v>45</v>
      </c>
      <c r="K2134">
        <v>179</v>
      </c>
      <c r="L2134">
        <v>98</v>
      </c>
      <c r="M2134">
        <v>615.79998779000005</v>
      </c>
      <c r="N2134" t="s">
        <v>87</v>
      </c>
      <c r="O2134" t="s">
        <v>86</v>
      </c>
      <c r="P2134">
        <v>131</v>
      </c>
      <c r="Q2134">
        <v>6</v>
      </c>
      <c r="R2134">
        <v>98</v>
      </c>
      <c r="S2134">
        <v>1186</v>
      </c>
      <c r="T2134">
        <v>-40</v>
      </c>
      <c r="U2134">
        <v>55</v>
      </c>
      <c r="V2134">
        <v>800</v>
      </c>
      <c r="W2134">
        <v>27</v>
      </c>
      <c r="X2134">
        <v>27</v>
      </c>
      <c r="Y2134">
        <v>1</v>
      </c>
      <c r="Z2134">
        <v>8</v>
      </c>
      <c r="AA2134">
        <v>24</v>
      </c>
      <c r="AB2134">
        <v>2</v>
      </c>
      <c r="AC2134">
        <v>2</v>
      </c>
      <c r="AD2134">
        <v>3.21199989</v>
      </c>
      <c r="AE2134">
        <v>1</v>
      </c>
      <c r="AF2134">
        <v>42</v>
      </c>
      <c r="AG2134">
        <v>3.19099998</v>
      </c>
      <c r="AH2134">
        <v>6</v>
      </c>
      <c r="AI2134">
        <v>24</v>
      </c>
      <c r="AJ2134">
        <v>1</v>
      </c>
      <c r="AK2134">
        <v>17</v>
      </c>
      <c r="AL2134">
        <v>40</v>
      </c>
      <c r="AM2134" t="s">
        <v>43</v>
      </c>
      <c r="AN2134" t="str">
        <f>HYPERLINK("https://www.google.com/maps?q=10.96670246,79.0860672","Open Location")</f>
        <v>Open Location</v>
      </c>
    </row>
    <row r="2135" spans="1:40" x14ac:dyDescent="0.3">
      <c r="A2135" s="1">
        <v>46210.752662037034</v>
      </c>
      <c r="B2135" t="s">
        <v>40</v>
      </c>
      <c r="C2135" t="s">
        <v>41</v>
      </c>
      <c r="D2135" s="1">
        <v>46210.755590277775</v>
      </c>
      <c r="E2135" t="s">
        <v>42</v>
      </c>
      <c r="F2135" t="s">
        <v>83</v>
      </c>
      <c r="G2135">
        <v>42</v>
      </c>
      <c r="H2135" t="s">
        <v>43</v>
      </c>
      <c r="I2135" t="s">
        <v>43</v>
      </c>
      <c r="J2135">
        <v>45</v>
      </c>
      <c r="K2135">
        <v>145</v>
      </c>
      <c r="L2135">
        <v>98</v>
      </c>
      <c r="M2135">
        <v>616.90002441000001</v>
      </c>
      <c r="N2135" t="s">
        <v>87</v>
      </c>
      <c r="O2135" t="s">
        <v>86</v>
      </c>
      <c r="P2135">
        <v>131</v>
      </c>
      <c r="Q2135">
        <v>6</v>
      </c>
      <c r="R2135">
        <v>79</v>
      </c>
      <c r="S2135">
        <v>1184</v>
      </c>
      <c r="T2135">
        <v>-40</v>
      </c>
      <c r="U2135">
        <v>54</v>
      </c>
      <c r="V2135">
        <v>660</v>
      </c>
      <c r="W2135">
        <v>27</v>
      </c>
      <c r="X2135">
        <v>27</v>
      </c>
      <c r="Y2135">
        <v>1</v>
      </c>
      <c r="Z2135">
        <v>8</v>
      </c>
      <c r="AA2135">
        <v>24</v>
      </c>
      <c r="AB2135">
        <v>2</v>
      </c>
      <c r="AC2135">
        <v>2</v>
      </c>
      <c r="AD2135">
        <v>3.2160000800000001</v>
      </c>
      <c r="AE2135">
        <v>5</v>
      </c>
      <c r="AF2135">
        <v>38</v>
      </c>
      <c r="AG2135">
        <v>3.1960001</v>
      </c>
      <c r="AH2135">
        <v>4</v>
      </c>
      <c r="AI2135">
        <v>24</v>
      </c>
      <c r="AJ2135">
        <v>1</v>
      </c>
      <c r="AK2135">
        <v>17</v>
      </c>
      <c r="AL2135">
        <v>40</v>
      </c>
      <c r="AM2135" t="s">
        <v>43</v>
      </c>
      <c r="AN2135" t="s">
        <v>43</v>
      </c>
    </row>
    <row r="2136" spans="1:40" x14ac:dyDescent="0.3">
      <c r="A2136" s="1">
        <v>46210.752546296295</v>
      </c>
      <c r="B2136" t="s">
        <v>40</v>
      </c>
      <c r="C2136" t="s">
        <v>41</v>
      </c>
      <c r="D2136" s="1">
        <v>46210.755787037036</v>
      </c>
      <c r="E2136" t="s">
        <v>42</v>
      </c>
      <c r="F2136" t="s">
        <v>83</v>
      </c>
      <c r="G2136">
        <v>43</v>
      </c>
      <c r="H2136">
        <v>33194</v>
      </c>
      <c r="I2136" t="s">
        <v>1051</v>
      </c>
      <c r="J2136">
        <v>45</v>
      </c>
      <c r="K2136">
        <v>158</v>
      </c>
      <c r="L2136">
        <v>98</v>
      </c>
      <c r="M2136">
        <v>617.29998779000005</v>
      </c>
      <c r="N2136" t="s">
        <v>87</v>
      </c>
      <c r="O2136" t="s">
        <v>86</v>
      </c>
      <c r="P2136">
        <v>131</v>
      </c>
      <c r="Q2136">
        <v>6</v>
      </c>
      <c r="R2136">
        <v>91</v>
      </c>
      <c r="S2136">
        <v>1199</v>
      </c>
      <c r="T2136">
        <v>-40</v>
      </c>
      <c r="U2136">
        <v>54</v>
      </c>
      <c r="V2136">
        <v>720</v>
      </c>
      <c r="W2136" t="s">
        <v>43</v>
      </c>
      <c r="X2136" t="s">
        <v>43</v>
      </c>
      <c r="Y2136" t="s">
        <v>43</v>
      </c>
      <c r="Z2136" t="s">
        <v>43</v>
      </c>
      <c r="AA2136" t="s">
        <v>43</v>
      </c>
      <c r="AB2136" t="s">
        <v>43</v>
      </c>
      <c r="AC2136" t="s">
        <v>43</v>
      </c>
      <c r="AD2136">
        <v>3.22600007</v>
      </c>
      <c r="AE2136">
        <v>5</v>
      </c>
      <c r="AF2136">
        <v>38</v>
      </c>
      <c r="AG2136">
        <v>3.2090001099999999</v>
      </c>
      <c r="AH2136">
        <v>4</v>
      </c>
      <c r="AI2136">
        <v>24</v>
      </c>
      <c r="AJ2136">
        <v>1</v>
      </c>
      <c r="AK2136">
        <v>17</v>
      </c>
      <c r="AL2136">
        <v>40</v>
      </c>
      <c r="AM2136" t="s">
        <v>43</v>
      </c>
      <c r="AN2136" t="str">
        <f>HYPERLINK("https://www.google.com/maps?q=10.96553326,79.08660889","Open Location")</f>
        <v>Open Location</v>
      </c>
    </row>
    <row r="2137" spans="1:40" x14ac:dyDescent="0.3">
      <c r="A2137" s="1">
        <v>46210.752430555556</v>
      </c>
      <c r="B2137" t="s">
        <v>40</v>
      </c>
      <c r="C2137" t="s">
        <v>41</v>
      </c>
      <c r="D2137" s="1">
        <v>46210.755243055559</v>
      </c>
      <c r="E2137" t="s">
        <v>42</v>
      </c>
      <c r="F2137" t="s">
        <v>83</v>
      </c>
      <c r="G2137">
        <v>43</v>
      </c>
      <c r="H2137">
        <v>33194</v>
      </c>
      <c r="I2137" t="s">
        <v>1052</v>
      </c>
      <c r="J2137">
        <v>45</v>
      </c>
      <c r="K2137">
        <v>169</v>
      </c>
      <c r="L2137">
        <v>98</v>
      </c>
      <c r="M2137">
        <v>616.70001220999995</v>
      </c>
      <c r="N2137" t="s">
        <v>87</v>
      </c>
      <c r="O2137" t="s">
        <v>86</v>
      </c>
      <c r="P2137">
        <v>131</v>
      </c>
      <c r="Q2137">
        <v>6</v>
      </c>
      <c r="R2137">
        <v>90</v>
      </c>
      <c r="S2137">
        <v>1207</v>
      </c>
      <c r="T2137">
        <v>-40</v>
      </c>
      <c r="U2137">
        <v>54</v>
      </c>
      <c r="V2137">
        <v>812</v>
      </c>
      <c r="W2137">
        <v>27</v>
      </c>
      <c r="X2137">
        <v>27</v>
      </c>
      <c r="Y2137">
        <v>1</v>
      </c>
      <c r="Z2137">
        <v>8</v>
      </c>
      <c r="AA2137">
        <v>24</v>
      </c>
      <c r="AB2137">
        <v>2</v>
      </c>
      <c r="AC2137">
        <v>2</v>
      </c>
      <c r="AD2137" t="s">
        <v>43</v>
      </c>
      <c r="AE2137" t="s">
        <v>43</v>
      </c>
      <c r="AF2137" t="s">
        <v>43</v>
      </c>
      <c r="AG2137" t="s">
        <v>43</v>
      </c>
      <c r="AH2137" t="s">
        <v>43</v>
      </c>
      <c r="AI2137" t="s">
        <v>43</v>
      </c>
      <c r="AJ2137">
        <v>1</v>
      </c>
      <c r="AK2137">
        <v>17</v>
      </c>
      <c r="AL2137">
        <v>40</v>
      </c>
      <c r="AM2137" t="s">
        <v>43</v>
      </c>
      <c r="AN2137" t="str">
        <f>HYPERLINK("https://www.google.com/maps?q=10.9643383,79.08716583","Open Location")</f>
        <v>Open Location</v>
      </c>
    </row>
    <row r="2138" spans="1:40" x14ac:dyDescent="0.3">
      <c r="A2138" s="1">
        <v>46210.752314814818</v>
      </c>
      <c r="B2138" t="s">
        <v>40</v>
      </c>
      <c r="C2138" t="s">
        <v>41</v>
      </c>
      <c r="D2138" s="1">
        <v>46210.755347222221</v>
      </c>
      <c r="E2138" t="s">
        <v>42</v>
      </c>
      <c r="F2138" t="s">
        <v>83</v>
      </c>
      <c r="G2138">
        <v>43</v>
      </c>
      <c r="H2138">
        <v>33194</v>
      </c>
      <c r="I2138" t="s">
        <v>1053</v>
      </c>
      <c r="J2138">
        <v>45</v>
      </c>
      <c r="K2138">
        <v>157</v>
      </c>
      <c r="L2138">
        <v>98</v>
      </c>
      <c r="M2138">
        <v>617.59997558999999</v>
      </c>
      <c r="N2138" t="s">
        <v>87</v>
      </c>
      <c r="O2138" t="s">
        <v>86</v>
      </c>
      <c r="P2138">
        <v>131</v>
      </c>
      <c r="Q2138">
        <v>6</v>
      </c>
      <c r="R2138">
        <v>100</v>
      </c>
      <c r="S2138">
        <v>1195</v>
      </c>
      <c r="T2138">
        <v>-40</v>
      </c>
      <c r="U2138">
        <v>53</v>
      </c>
      <c r="V2138">
        <v>720</v>
      </c>
      <c r="W2138">
        <v>27</v>
      </c>
      <c r="X2138">
        <v>27</v>
      </c>
      <c r="Y2138">
        <v>1</v>
      </c>
      <c r="Z2138">
        <v>8</v>
      </c>
      <c r="AA2138">
        <v>24</v>
      </c>
      <c r="AB2138">
        <v>2</v>
      </c>
      <c r="AC2138">
        <v>2</v>
      </c>
      <c r="AD2138">
        <v>3.22600007</v>
      </c>
      <c r="AE2138">
        <v>5</v>
      </c>
      <c r="AF2138">
        <v>38</v>
      </c>
      <c r="AG2138">
        <v>3.2090001099999999</v>
      </c>
      <c r="AH2138">
        <v>4</v>
      </c>
      <c r="AI2138">
        <v>24</v>
      </c>
      <c r="AJ2138">
        <v>1</v>
      </c>
      <c r="AK2138">
        <v>17</v>
      </c>
      <c r="AL2138">
        <v>40</v>
      </c>
      <c r="AM2138" t="s">
        <v>43</v>
      </c>
      <c r="AN2138" t="str">
        <f>HYPERLINK("https://www.google.com/maps?q=10.96313667,79.08773041","Open Location")</f>
        <v>Open Location</v>
      </c>
    </row>
    <row r="2139" spans="1:40" x14ac:dyDescent="0.3">
      <c r="A2139" s="1">
        <v>46210.752199074072</v>
      </c>
      <c r="B2139" t="s">
        <v>40</v>
      </c>
      <c r="C2139" t="s">
        <v>41</v>
      </c>
      <c r="D2139" s="1">
        <v>46210.755347222221</v>
      </c>
      <c r="E2139" t="s">
        <v>42</v>
      </c>
      <c r="F2139" t="s">
        <v>83</v>
      </c>
      <c r="G2139">
        <v>43</v>
      </c>
      <c r="H2139">
        <v>33193</v>
      </c>
      <c r="I2139" t="s">
        <v>1054</v>
      </c>
      <c r="J2139">
        <v>45</v>
      </c>
      <c r="K2139">
        <v>72</v>
      </c>
      <c r="L2139">
        <v>98</v>
      </c>
      <c r="M2139">
        <v>620.90002441000001</v>
      </c>
      <c r="N2139" t="s">
        <v>87</v>
      </c>
      <c r="O2139" t="s">
        <v>86</v>
      </c>
      <c r="P2139">
        <v>131</v>
      </c>
      <c r="Q2139">
        <v>6</v>
      </c>
      <c r="R2139">
        <v>47</v>
      </c>
      <c r="S2139">
        <v>1227</v>
      </c>
      <c r="T2139">
        <v>-40</v>
      </c>
      <c r="U2139">
        <v>51</v>
      </c>
      <c r="V2139">
        <v>420</v>
      </c>
      <c r="W2139">
        <v>27</v>
      </c>
      <c r="X2139">
        <v>27</v>
      </c>
      <c r="Y2139">
        <v>1</v>
      </c>
      <c r="Z2139">
        <v>8</v>
      </c>
      <c r="AA2139">
        <v>24</v>
      </c>
      <c r="AB2139">
        <v>2</v>
      </c>
      <c r="AC2139">
        <v>2</v>
      </c>
      <c r="AD2139">
        <v>3.2360000599999998</v>
      </c>
      <c r="AE2139">
        <v>5</v>
      </c>
      <c r="AF2139">
        <v>38</v>
      </c>
      <c r="AG2139">
        <v>3.2209999599999999</v>
      </c>
      <c r="AH2139">
        <v>6</v>
      </c>
      <c r="AI2139">
        <v>24</v>
      </c>
      <c r="AJ2139">
        <v>1</v>
      </c>
      <c r="AK2139">
        <v>17</v>
      </c>
      <c r="AL2139">
        <v>40</v>
      </c>
      <c r="AM2139" t="s">
        <v>43</v>
      </c>
      <c r="AN2139" t="str">
        <f>HYPERLINK("https://www.google.com/maps?q=10.96194077,79.08826447","Open Location")</f>
        <v>Open Location</v>
      </c>
    </row>
    <row r="2140" spans="1:40" x14ac:dyDescent="0.3">
      <c r="A2140" s="1">
        <v>46210.752083333333</v>
      </c>
      <c r="B2140" t="s">
        <v>40</v>
      </c>
      <c r="C2140" t="s">
        <v>41</v>
      </c>
      <c r="D2140" s="1">
        <v>46210.75476851852</v>
      </c>
      <c r="E2140" t="s">
        <v>42</v>
      </c>
      <c r="F2140" t="s">
        <v>83</v>
      </c>
      <c r="G2140">
        <v>45</v>
      </c>
      <c r="H2140" t="s">
        <v>43</v>
      </c>
      <c r="I2140" t="s">
        <v>1055</v>
      </c>
      <c r="J2140">
        <v>45</v>
      </c>
      <c r="K2140">
        <v>127</v>
      </c>
      <c r="L2140">
        <v>98</v>
      </c>
      <c r="M2140">
        <v>617.70001220999995</v>
      </c>
      <c r="N2140" t="s">
        <v>87</v>
      </c>
      <c r="O2140" t="s">
        <v>86</v>
      </c>
      <c r="P2140">
        <v>131</v>
      </c>
      <c r="Q2140">
        <v>6</v>
      </c>
      <c r="R2140">
        <v>73</v>
      </c>
      <c r="S2140">
        <v>1229</v>
      </c>
      <c r="T2140">
        <v>-40</v>
      </c>
      <c r="U2140">
        <v>53</v>
      </c>
      <c r="V2140">
        <v>580</v>
      </c>
      <c r="W2140">
        <v>27</v>
      </c>
      <c r="X2140">
        <v>27</v>
      </c>
      <c r="Y2140">
        <v>1</v>
      </c>
      <c r="Z2140">
        <v>8</v>
      </c>
      <c r="AA2140">
        <v>24</v>
      </c>
      <c r="AB2140">
        <v>2</v>
      </c>
      <c r="AC2140">
        <v>2</v>
      </c>
      <c r="AD2140">
        <v>3.2660000299999998</v>
      </c>
      <c r="AE2140">
        <v>1</v>
      </c>
      <c r="AF2140">
        <v>16</v>
      </c>
      <c r="AG2140">
        <v>3.26200008</v>
      </c>
      <c r="AH2140">
        <v>2</v>
      </c>
      <c r="AI2140">
        <v>6</v>
      </c>
      <c r="AJ2140">
        <v>1</v>
      </c>
      <c r="AK2140">
        <v>17</v>
      </c>
      <c r="AL2140">
        <v>40</v>
      </c>
      <c r="AM2140" t="s">
        <v>43</v>
      </c>
      <c r="AN2140" t="str">
        <f>HYPERLINK("https://www.google.com/maps?q=10.96070862,79.0888443","Open Location")</f>
        <v>Open Location</v>
      </c>
    </row>
    <row r="2141" spans="1:40" x14ac:dyDescent="0.3">
      <c r="A2141" s="1">
        <v>46210.751967592594</v>
      </c>
      <c r="B2141" t="s">
        <v>40</v>
      </c>
      <c r="C2141" t="s">
        <v>41</v>
      </c>
      <c r="D2141" s="1">
        <v>46210.754942129628</v>
      </c>
      <c r="E2141" t="s">
        <v>42</v>
      </c>
      <c r="F2141" t="s">
        <v>83</v>
      </c>
      <c r="G2141">
        <v>44</v>
      </c>
      <c r="H2141">
        <v>33193</v>
      </c>
      <c r="I2141" t="s">
        <v>43</v>
      </c>
      <c r="J2141">
        <v>45</v>
      </c>
      <c r="K2141">
        <v>129</v>
      </c>
      <c r="L2141">
        <v>98</v>
      </c>
      <c r="M2141">
        <v>618</v>
      </c>
      <c r="N2141" t="s">
        <v>87</v>
      </c>
      <c r="O2141" t="s">
        <v>86</v>
      </c>
      <c r="P2141">
        <v>131</v>
      </c>
      <c r="Q2141">
        <v>6</v>
      </c>
      <c r="R2141">
        <v>74</v>
      </c>
      <c r="S2141">
        <v>1246</v>
      </c>
      <c r="T2141">
        <v>-40</v>
      </c>
      <c r="U2141">
        <v>53</v>
      </c>
      <c r="V2141">
        <v>580</v>
      </c>
      <c r="W2141">
        <v>27</v>
      </c>
      <c r="X2141">
        <v>27</v>
      </c>
      <c r="Y2141">
        <v>1</v>
      </c>
      <c r="Z2141">
        <v>8</v>
      </c>
      <c r="AA2141">
        <v>24</v>
      </c>
      <c r="AB2141">
        <v>2</v>
      </c>
      <c r="AC2141">
        <v>2</v>
      </c>
      <c r="AD2141">
        <v>3.23200011</v>
      </c>
      <c r="AE2141">
        <v>5</v>
      </c>
      <c r="AF2141">
        <v>38</v>
      </c>
      <c r="AG2141">
        <v>3.21700001</v>
      </c>
      <c r="AH2141">
        <v>4</v>
      </c>
      <c r="AI2141">
        <v>24</v>
      </c>
      <c r="AJ2141">
        <v>1</v>
      </c>
      <c r="AK2141">
        <v>17</v>
      </c>
      <c r="AL2141">
        <v>40</v>
      </c>
      <c r="AM2141" t="s">
        <v>43</v>
      </c>
      <c r="AN2141" t="s">
        <v>43</v>
      </c>
    </row>
    <row r="2142" spans="1:40" x14ac:dyDescent="0.3">
      <c r="A2142" s="1">
        <v>46210.751851851855</v>
      </c>
      <c r="B2142" t="s">
        <v>40</v>
      </c>
      <c r="C2142" t="s">
        <v>41</v>
      </c>
      <c r="D2142" s="1">
        <v>46210.75508101852</v>
      </c>
      <c r="E2142" t="s">
        <v>42</v>
      </c>
      <c r="F2142" t="s">
        <v>83</v>
      </c>
      <c r="G2142">
        <v>46</v>
      </c>
      <c r="H2142">
        <v>33193</v>
      </c>
      <c r="I2142" t="s">
        <v>1056</v>
      </c>
      <c r="J2142">
        <v>45</v>
      </c>
      <c r="K2142">
        <v>136</v>
      </c>
      <c r="L2142">
        <v>98</v>
      </c>
      <c r="M2142">
        <v>617.70001220999995</v>
      </c>
      <c r="N2142" t="s">
        <v>87</v>
      </c>
      <c r="O2142" t="s">
        <v>86</v>
      </c>
      <c r="P2142">
        <v>131</v>
      </c>
      <c r="Q2142">
        <v>6</v>
      </c>
      <c r="R2142">
        <v>79</v>
      </c>
      <c r="S2142">
        <v>1271</v>
      </c>
      <c r="T2142">
        <v>-40</v>
      </c>
      <c r="U2142">
        <v>53</v>
      </c>
      <c r="V2142">
        <v>600</v>
      </c>
      <c r="W2142" t="s">
        <v>43</v>
      </c>
      <c r="X2142" t="s">
        <v>43</v>
      </c>
      <c r="Y2142" t="s">
        <v>43</v>
      </c>
      <c r="Z2142" t="s">
        <v>43</v>
      </c>
      <c r="AA2142" t="s">
        <v>43</v>
      </c>
      <c r="AB2142" t="s">
        <v>43</v>
      </c>
      <c r="AC2142" t="s">
        <v>43</v>
      </c>
      <c r="AD2142">
        <v>3.2300000199999999</v>
      </c>
      <c r="AE2142">
        <v>1</v>
      </c>
      <c r="AF2142">
        <v>38</v>
      </c>
      <c r="AG2142">
        <v>3.21499991</v>
      </c>
      <c r="AH2142">
        <v>4</v>
      </c>
      <c r="AI2142">
        <v>24</v>
      </c>
      <c r="AJ2142">
        <v>1</v>
      </c>
      <c r="AK2142">
        <v>17</v>
      </c>
      <c r="AL2142">
        <v>40</v>
      </c>
      <c r="AM2142" t="s">
        <v>43</v>
      </c>
      <c r="AN2142" t="str">
        <f>HYPERLINK("https://www.google.com/maps?q=10.95947647,79.08940887","Open Location")</f>
        <v>Open Location</v>
      </c>
    </row>
    <row r="2143" spans="1:40" x14ac:dyDescent="0.3">
      <c r="A2143" s="1">
        <v>46210.751736111109</v>
      </c>
      <c r="B2143" t="s">
        <v>40</v>
      </c>
      <c r="C2143" t="s">
        <v>41</v>
      </c>
      <c r="D2143" s="1">
        <v>46210.754560185182</v>
      </c>
      <c r="E2143" t="s">
        <v>42</v>
      </c>
      <c r="F2143" t="s">
        <v>83</v>
      </c>
      <c r="G2143">
        <v>45</v>
      </c>
      <c r="H2143">
        <v>33193</v>
      </c>
      <c r="I2143" t="s">
        <v>1057</v>
      </c>
      <c r="J2143">
        <v>45</v>
      </c>
      <c r="K2143">
        <v>140</v>
      </c>
      <c r="L2143">
        <v>98</v>
      </c>
      <c r="M2143">
        <v>618</v>
      </c>
      <c r="N2143" t="s">
        <v>87</v>
      </c>
      <c r="O2143" t="s">
        <v>86</v>
      </c>
      <c r="P2143">
        <v>131</v>
      </c>
      <c r="Q2143">
        <v>6</v>
      </c>
      <c r="R2143">
        <v>81</v>
      </c>
      <c r="S2143">
        <v>1265</v>
      </c>
      <c r="T2143">
        <v>-40</v>
      </c>
      <c r="U2143">
        <v>53</v>
      </c>
      <c r="V2143">
        <v>620</v>
      </c>
      <c r="W2143" t="s">
        <v>43</v>
      </c>
      <c r="X2143" t="s">
        <v>43</v>
      </c>
      <c r="Y2143" t="s">
        <v>43</v>
      </c>
      <c r="Z2143" t="s">
        <v>43</v>
      </c>
      <c r="AA2143" t="s">
        <v>43</v>
      </c>
      <c r="AB2143" t="s">
        <v>43</v>
      </c>
      <c r="AC2143" t="s">
        <v>43</v>
      </c>
      <c r="AD2143" t="s">
        <v>43</v>
      </c>
      <c r="AE2143" t="s">
        <v>43</v>
      </c>
      <c r="AF2143" t="s">
        <v>43</v>
      </c>
      <c r="AG2143" t="s">
        <v>43</v>
      </c>
      <c r="AH2143" t="s">
        <v>43</v>
      </c>
      <c r="AI2143" t="s">
        <v>43</v>
      </c>
      <c r="AJ2143">
        <v>1</v>
      </c>
      <c r="AK2143">
        <v>17</v>
      </c>
      <c r="AL2143">
        <v>40</v>
      </c>
      <c r="AM2143" t="s">
        <v>43</v>
      </c>
      <c r="AN2143" t="str">
        <f>HYPERLINK("https://www.google.com/maps?q=10.95811081,79.09001923","Open Location")</f>
        <v>Open Location</v>
      </c>
    </row>
    <row r="2144" spans="1:40" x14ac:dyDescent="0.3">
      <c r="A2144" s="1">
        <v>46210.751620370371</v>
      </c>
      <c r="B2144" t="s">
        <v>40</v>
      </c>
      <c r="C2144" t="s">
        <v>41</v>
      </c>
      <c r="D2144" s="1">
        <v>46210.754467592589</v>
      </c>
      <c r="E2144" t="s">
        <v>42</v>
      </c>
      <c r="F2144" t="s">
        <v>83</v>
      </c>
      <c r="G2144">
        <v>45</v>
      </c>
      <c r="H2144">
        <v>33193</v>
      </c>
      <c r="I2144" t="s">
        <v>1058</v>
      </c>
      <c r="J2144">
        <v>45</v>
      </c>
      <c r="K2144">
        <v>150</v>
      </c>
      <c r="L2144">
        <v>98</v>
      </c>
      <c r="M2144">
        <v>617.90002441000001</v>
      </c>
      <c r="N2144" t="s">
        <v>87</v>
      </c>
      <c r="O2144" t="s">
        <v>86</v>
      </c>
      <c r="P2144">
        <v>131</v>
      </c>
      <c r="Q2144">
        <v>6</v>
      </c>
      <c r="R2144">
        <v>77</v>
      </c>
      <c r="S2144">
        <v>1272</v>
      </c>
      <c r="T2144">
        <v>-40</v>
      </c>
      <c r="U2144">
        <v>53</v>
      </c>
      <c r="V2144">
        <v>645</v>
      </c>
      <c r="W2144">
        <v>27</v>
      </c>
      <c r="X2144">
        <v>27</v>
      </c>
      <c r="Y2144">
        <v>1</v>
      </c>
      <c r="Z2144">
        <v>8</v>
      </c>
      <c r="AA2144">
        <v>24</v>
      </c>
      <c r="AB2144">
        <v>2</v>
      </c>
      <c r="AC2144">
        <v>2</v>
      </c>
      <c r="AD2144">
        <v>3.2300000199999999</v>
      </c>
      <c r="AE2144">
        <v>1</v>
      </c>
      <c r="AF2144">
        <v>44</v>
      </c>
      <c r="AG2144">
        <v>3.21499991</v>
      </c>
      <c r="AH2144">
        <v>4</v>
      </c>
      <c r="AI2144">
        <v>24</v>
      </c>
      <c r="AJ2144">
        <v>1</v>
      </c>
      <c r="AK2144">
        <v>17</v>
      </c>
      <c r="AL2144">
        <v>40</v>
      </c>
      <c r="AM2144" t="s">
        <v>43</v>
      </c>
      <c r="AN2144" t="str">
        <f>HYPERLINK("https://www.google.com/maps?q=10.95683098,79.0905304","Open Location")</f>
        <v>Open Location</v>
      </c>
    </row>
    <row r="2145" spans="1:40" x14ac:dyDescent="0.3">
      <c r="A2145" s="1">
        <v>46210.751504629632</v>
      </c>
      <c r="B2145" t="s">
        <v>40</v>
      </c>
      <c r="C2145" t="s">
        <v>41</v>
      </c>
      <c r="D2145" s="1">
        <v>46210.754699074074</v>
      </c>
      <c r="E2145" t="s">
        <v>42</v>
      </c>
      <c r="F2145" t="s">
        <v>83</v>
      </c>
      <c r="G2145">
        <v>45</v>
      </c>
      <c r="H2145">
        <v>33193</v>
      </c>
      <c r="I2145" t="s">
        <v>1059</v>
      </c>
      <c r="J2145">
        <v>45</v>
      </c>
      <c r="K2145">
        <v>127</v>
      </c>
      <c r="L2145">
        <v>98</v>
      </c>
      <c r="M2145">
        <v>618.40002441000001</v>
      </c>
      <c r="N2145" t="s">
        <v>87</v>
      </c>
      <c r="O2145" t="s">
        <v>86</v>
      </c>
      <c r="P2145">
        <v>131</v>
      </c>
      <c r="Q2145">
        <v>6</v>
      </c>
      <c r="R2145">
        <v>99</v>
      </c>
      <c r="S2145">
        <v>1270</v>
      </c>
      <c r="T2145">
        <v>-40</v>
      </c>
      <c r="U2145">
        <v>52</v>
      </c>
      <c r="V2145">
        <v>560</v>
      </c>
      <c r="W2145">
        <v>27</v>
      </c>
      <c r="X2145">
        <v>27</v>
      </c>
      <c r="Y2145">
        <v>1</v>
      </c>
      <c r="Z2145">
        <v>8</v>
      </c>
      <c r="AA2145">
        <v>24</v>
      </c>
      <c r="AB2145">
        <v>2</v>
      </c>
      <c r="AC2145">
        <v>2</v>
      </c>
      <c r="AD2145">
        <v>3.22900009</v>
      </c>
      <c r="AE2145">
        <v>1</v>
      </c>
      <c r="AF2145">
        <v>1</v>
      </c>
      <c r="AG2145">
        <v>3.21399999</v>
      </c>
      <c r="AH2145">
        <v>4</v>
      </c>
      <c r="AI2145">
        <v>24</v>
      </c>
      <c r="AJ2145">
        <v>1</v>
      </c>
      <c r="AK2145">
        <v>17</v>
      </c>
      <c r="AL2145">
        <v>40</v>
      </c>
      <c r="AM2145" t="s">
        <v>43</v>
      </c>
      <c r="AN2145" t="str">
        <f>HYPERLINK("https://www.google.com/maps?q=10.95554829,79.09101868","Open Location")</f>
        <v>Open Location</v>
      </c>
    </row>
    <row r="2146" spans="1:40" x14ac:dyDescent="0.3">
      <c r="A2146" s="1">
        <v>46210.751388888886</v>
      </c>
      <c r="B2146" t="s">
        <v>40</v>
      </c>
      <c r="C2146" t="s">
        <v>41</v>
      </c>
      <c r="D2146" s="1">
        <v>46210.754293981481</v>
      </c>
      <c r="E2146" t="s">
        <v>42</v>
      </c>
      <c r="F2146" t="s">
        <v>83</v>
      </c>
      <c r="G2146">
        <v>46</v>
      </c>
      <c r="H2146">
        <v>33193</v>
      </c>
      <c r="I2146" t="s">
        <v>43</v>
      </c>
      <c r="J2146">
        <v>45</v>
      </c>
      <c r="K2146">
        <v>60</v>
      </c>
      <c r="L2146">
        <v>98</v>
      </c>
      <c r="M2146">
        <v>621.20001220999995</v>
      </c>
      <c r="N2146" t="s">
        <v>87</v>
      </c>
      <c r="O2146" t="s">
        <v>86</v>
      </c>
      <c r="P2146">
        <v>131</v>
      </c>
      <c r="Q2146">
        <v>6</v>
      </c>
      <c r="R2146">
        <v>35</v>
      </c>
      <c r="S2146">
        <v>1300</v>
      </c>
      <c r="T2146">
        <v>-40</v>
      </c>
      <c r="U2146">
        <v>52</v>
      </c>
      <c r="V2146">
        <v>260</v>
      </c>
      <c r="W2146">
        <v>27</v>
      </c>
      <c r="X2146">
        <v>27</v>
      </c>
      <c r="Y2146">
        <v>1</v>
      </c>
      <c r="Z2146">
        <v>8</v>
      </c>
      <c r="AA2146">
        <v>24</v>
      </c>
      <c r="AB2146">
        <v>2</v>
      </c>
      <c r="AC2146">
        <v>2</v>
      </c>
      <c r="AD2146">
        <v>3.23799992</v>
      </c>
      <c r="AE2146">
        <v>5</v>
      </c>
      <c r="AF2146">
        <v>38</v>
      </c>
      <c r="AG2146">
        <v>3.2249998999999998</v>
      </c>
      <c r="AH2146">
        <v>4</v>
      </c>
      <c r="AI2146">
        <v>24</v>
      </c>
      <c r="AJ2146">
        <v>1</v>
      </c>
      <c r="AK2146">
        <v>17</v>
      </c>
      <c r="AL2146">
        <v>40</v>
      </c>
      <c r="AM2146" t="s">
        <v>43</v>
      </c>
      <c r="AN2146" t="s">
        <v>43</v>
      </c>
    </row>
    <row r="2147" spans="1:40" x14ac:dyDescent="0.3">
      <c r="A2147" s="1">
        <v>46210.751273148147</v>
      </c>
      <c r="B2147" t="s">
        <v>40</v>
      </c>
      <c r="C2147" t="s">
        <v>41</v>
      </c>
      <c r="D2147" s="1">
        <v>46210.754513888889</v>
      </c>
      <c r="E2147" t="s">
        <v>42</v>
      </c>
      <c r="F2147" t="s">
        <v>83</v>
      </c>
      <c r="G2147">
        <v>47</v>
      </c>
      <c r="H2147">
        <v>33193</v>
      </c>
      <c r="I2147" t="s">
        <v>43</v>
      </c>
      <c r="J2147">
        <v>46</v>
      </c>
      <c r="K2147">
        <v>123</v>
      </c>
      <c r="L2147">
        <v>98</v>
      </c>
      <c r="M2147">
        <v>618.5</v>
      </c>
      <c r="N2147" t="s">
        <v>87</v>
      </c>
      <c r="O2147" t="s">
        <v>86</v>
      </c>
      <c r="P2147">
        <v>131</v>
      </c>
      <c r="Q2147">
        <v>6</v>
      </c>
      <c r="R2147">
        <v>71</v>
      </c>
      <c r="S2147">
        <v>1313</v>
      </c>
      <c r="T2147">
        <v>-40</v>
      </c>
      <c r="U2147">
        <v>52</v>
      </c>
      <c r="V2147">
        <v>520</v>
      </c>
      <c r="W2147" t="s">
        <v>43</v>
      </c>
      <c r="X2147" t="s">
        <v>43</v>
      </c>
      <c r="Y2147" t="s">
        <v>43</v>
      </c>
      <c r="Z2147" t="s">
        <v>43</v>
      </c>
      <c r="AA2147" t="s">
        <v>43</v>
      </c>
      <c r="AB2147" t="s">
        <v>43</v>
      </c>
      <c r="AC2147" t="s">
        <v>43</v>
      </c>
      <c r="AD2147">
        <v>3.2330000399999999</v>
      </c>
      <c r="AE2147">
        <v>5</v>
      </c>
      <c r="AF2147">
        <v>38</v>
      </c>
      <c r="AG2147">
        <v>3.2179999399999999</v>
      </c>
      <c r="AH2147">
        <v>7</v>
      </c>
      <c r="AI2147">
        <v>19</v>
      </c>
      <c r="AJ2147">
        <v>1</v>
      </c>
      <c r="AK2147">
        <v>17</v>
      </c>
      <c r="AL2147">
        <v>40</v>
      </c>
      <c r="AM2147" t="s">
        <v>43</v>
      </c>
      <c r="AN2147" t="s">
        <v>43</v>
      </c>
    </row>
    <row r="2148" spans="1:40" x14ac:dyDescent="0.3">
      <c r="A2148" s="1">
        <v>46210.751157407409</v>
      </c>
      <c r="B2148" t="s">
        <v>40</v>
      </c>
      <c r="C2148" t="s">
        <v>41</v>
      </c>
      <c r="D2148" s="1">
        <v>46210.75403935185</v>
      </c>
      <c r="E2148" t="s">
        <v>42</v>
      </c>
      <c r="F2148" t="s">
        <v>83</v>
      </c>
      <c r="G2148">
        <v>47</v>
      </c>
      <c r="H2148">
        <v>33192</v>
      </c>
      <c r="I2148" t="s">
        <v>1060</v>
      </c>
      <c r="J2148">
        <v>46</v>
      </c>
      <c r="K2148">
        <v>127</v>
      </c>
      <c r="L2148">
        <v>98</v>
      </c>
      <c r="M2148">
        <v>618.09997558999999</v>
      </c>
      <c r="N2148" t="s">
        <v>87</v>
      </c>
      <c r="O2148" t="s">
        <v>86</v>
      </c>
      <c r="P2148">
        <v>131</v>
      </c>
      <c r="Q2148">
        <v>6</v>
      </c>
      <c r="R2148">
        <v>69</v>
      </c>
      <c r="S2148">
        <v>1311</v>
      </c>
      <c r="T2148">
        <v>-40</v>
      </c>
      <c r="U2148">
        <v>53</v>
      </c>
      <c r="V2148">
        <v>540</v>
      </c>
      <c r="W2148">
        <v>27</v>
      </c>
      <c r="X2148">
        <v>27</v>
      </c>
      <c r="Y2148">
        <v>1</v>
      </c>
      <c r="Z2148">
        <v>8</v>
      </c>
      <c r="AA2148">
        <v>24</v>
      </c>
      <c r="AB2148">
        <v>2</v>
      </c>
      <c r="AC2148">
        <v>2</v>
      </c>
      <c r="AD2148">
        <v>3.23200011</v>
      </c>
      <c r="AE2148">
        <v>1</v>
      </c>
      <c r="AF2148">
        <v>42</v>
      </c>
      <c r="AG2148">
        <v>3.2179999399999999</v>
      </c>
      <c r="AH2148">
        <v>6</v>
      </c>
      <c r="AI2148">
        <v>24</v>
      </c>
      <c r="AJ2148">
        <v>1</v>
      </c>
      <c r="AK2148">
        <v>17</v>
      </c>
      <c r="AL2148">
        <v>40</v>
      </c>
      <c r="AM2148" t="s">
        <v>43</v>
      </c>
      <c r="AN2148" t="str">
        <f>HYPERLINK("https://www.google.com/maps?q=10.95287609,79.09200287","Open Location")</f>
        <v>Open Location</v>
      </c>
    </row>
    <row r="2149" spans="1:40" x14ac:dyDescent="0.3">
      <c r="A2149" s="1">
        <v>46210.75104166667</v>
      </c>
      <c r="B2149" t="s">
        <v>40</v>
      </c>
      <c r="C2149" t="s">
        <v>41</v>
      </c>
      <c r="D2149" s="1">
        <v>46210.75377314815</v>
      </c>
      <c r="E2149" t="s">
        <v>42</v>
      </c>
      <c r="F2149" t="s">
        <v>83</v>
      </c>
      <c r="G2149">
        <v>47</v>
      </c>
      <c r="H2149">
        <v>33192</v>
      </c>
      <c r="I2149" t="s">
        <v>1061</v>
      </c>
      <c r="J2149">
        <v>46</v>
      </c>
      <c r="K2149">
        <v>149</v>
      </c>
      <c r="L2149">
        <v>98</v>
      </c>
      <c r="M2149">
        <v>617.29998779000005</v>
      </c>
      <c r="N2149" t="s">
        <v>87</v>
      </c>
      <c r="O2149" t="s">
        <v>86</v>
      </c>
      <c r="P2149">
        <v>131</v>
      </c>
      <c r="Q2149">
        <v>6</v>
      </c>
      <c r="R2149">
        <v>85</v>
      </c>
      <c r="S2149">
        <v>1305</v>
      </c>
      <c r="T2149">
        <v>-40</v>
      </c>
      <c r="U2149">
        <v>53</v>
      </c>
      <c r="V2149">
        <v>640</v>
      </c>
      <c r="W2149" t="s">
        <v>43</v>
      </c>
      <c r="X2149" t="s">
        <v>43</v>
      </c>
      <c r="Y2149" t="s">
        <v>43</v>
      </c>
      <c r="Z2149" t="s">
        <v>43</v>
      </c>
      <c r="AA2149" t="s">
        <v>43</v>
      </c>
      <c r="AB2149" t="s">
        <v>43</v>
      </c>
      <c r="AC2149" t="s">
        <v>43</v>
      </c>
      <c r="AD2149">
        <v>3.22900009</v>
      </c>
      <c r="AE2149">
        <v>1</v>
      </c>
      <c r="AF2149">
        <v>44</v>
      </c>
      <c r="AG2149">
        <v>3.21399999</v>
      </c>
      <c r="AH2149">
        <v>4</v>
      </c>
      <c r="AI2149">
        <v>24</v>
      </c>
      <c r="AJ2149">
        <v>1</v>
      </c>
      <c r="AK2149">
        <v>17</v>
      </c>
      <c r="AL2149">
        <v>40</v>
      </c>
      <c r="AM2149" t="s">
        <v>43</v>
      </c>
      <c r="AN2149" t="str">
        <f>HYPERLINK("https://www.google.com/maps?q=10.95153236,79.09251404","Open Location")</f>
        <v>Open Location</v>
      </c>
    </row>
    <row r="2150" spans="1:40" x14ac:dyDescent="0.3">
      <c r="A2150" s="1">
        <v>46210.750925925924</v>
      </c>
      <c r="B2150" t="s">
        <v>40</v>
      </c>
      <c r="C2150" t="s">
        <v>41</v>
      </c>
      <c r="D2150" s="1">
        <v>46210.75377314815</v>
      </c>
      <c r="E2150" t="s">
        <v>42</v>
      </c>
      <c r="F2150" t="s">
        <v>83</v>
      </c>
      <c r="G2150">
        <v>47</v>
      </c>
      <c r="H2150">
        <v>33192</v>
      </c>
      <c r="I2150" t="s">
        <v>1062</v>
      </c>
      <c r="J2150">
        <v>46</v>
      </c>
      <c r="K2150">
        <v>157</v>
      </c>
      <c r="L2150">
        <v>98</v>
      </c>
      <c r="M2150">
        <v>616.70001220999995</v>
      </c>
      <c r="N2150" t="s">
        <v>87</v>
      </c>
      <c r="O2150" t="s">
        <v>86</v>
      </c>
      <c r="P2150">
        <v>131</v>
      </c>
      <c r="Q2150">
        <v>6</v>
      </c>
      <c r="R2150">
        <v>103</v>
      </c>
      <c r="S2150">
        <v>1293</v>
      </c>
      <c r="T2150">
        <v>-40</v>
      </c>
      <c r="U2150">
        <v>54</v>
      </c>
      <c r="V2150">
        <v>680</v>
      </c>
      <c r="W2150">
        <v>27</v>
      </c>
      <c r="X2150">
        <v>27</v>
      </c>
      <c r="Y2150">
        <v>1</v>
      </c>
      <c r="Z2150">
        <v>8</v>
      </c>
      <c r="AA2150">
        <v>24</v>
      </c>
      <c r="AB2150">
        <v>2</v>
      </c>
      <c r="AC2150">
        <v>2</v>
      </c>
      <c r="AD2150">
        <v>3.2269999999999999</v>
      </c>
      <c r="AE2150">
        <v>5</v>
      </c>
      <c r="AF2150">
        <v>38</v>
      </c>
      <c r="AG2150">
        <v>3.21099997</v>
      </c>
      <c r="AH2150">
        <v>6</v>
      </c>
      <c r="AI2150">
        <v>24</v>
      </c>
      <c r="AJ2150">
        <v>1</v>
      </c>
      <c r="AK2150">
        <v>17</v>
      </c>
      <c r="AL2150">
        <v>40</v>
      </c>
      <c r="AM2150" t="s">
        <v>43</v>
      </c>
      <c r="AN2150" t="str">
        <f>HYPERLINK("https://www.google.com/maps?q=10.95020294,79.09300232","Open Location")</f>
        <v>Open Location</v>
      </c>
    </row>
    <row r="2151" spans="1:40" x14ac:dyDescent="0.3">
      <c r="A2151" s="1">
        <v>46210.750810185185</v>
      </c>
      <c r="B2151" t="s">
        <v>40</v>
      </c>
      <c r="C2151" t="s">
        <v>41</v>
      </c>
      <c r="D2151" s="1">
        <v>46210.75371527778</v>
      </c>
      <c r="E2151" t="s">
        <v>42</v>
      </c>
      <c r="F2151" t="s">
        <v>83</v>
      </c>
      <c r="G2151">
        <v>45</v>
      </c>
      <c r="H2151">
        <v>33192</v>
      </c>
      <c r="I2151" t="s">
        <v>1063</v>
      </c>
      <c r="J2151">
        <v>46</v>
      </c>
      <c r="K2151">
        <v>188</v>
      </c>
      <c r="L2151">
        <v>98</v>
      </c>
      <c r="M2151">
        <v>615.09997558999999</v>
      </c>
      <c r="N2151" t="s">
        <v>87</v>
      </c>
      <c r="O2151" t="s">
        <v>86</v>
      </c>
      <c r="P2151">
        <v>131</v>
      </c>
      <c r="Q2151">
        <v>6</v>
      </c>
      <c r="R2151">
        <v>112</v>
      </c>
      <c r="S2151">
        <v>1244</v>
      </c>
      <c r="T2151">
        <v>-40</v>
      </c>
      <c r="U2151">
        <v>54</v>
      </c>
      <c r="V2151">
        <v>840</v>
      </c>
      <c r="W2151">
        <v>27</v>
      </c>
      <c r="X2151">
        <v>27</v>
      </c>
      <c r="Y2151">
        <v>1</v>
      </c>
      <c r="Z2151">
        <v>8</v>
      </c>
      <c r="AA2151">
        <v>24</v>
      </c>
      <c r="AB2151">
        <v>2</v>
      </c>
      <c r="AC2151">
        <v>2</v>
      </c>
      <c r="AD2151">
        <v>3.2249998999999998</v>
      </c>
      <c r="AE2151">
        <v>5</v>
      </c>
      <c r="AF2151">
        <v>38</v>
      </c>
      <c r="AG2151">
        <v>3.2079999400000001</v>
      </c>
      <c r="AH2151">
        <v>4</v>
      </c>
      <c r="AI2151">
        <v>24</v>
      </c>
      <c r="AJ2151">
        <v>1</v>
      </c>
      <c r="AK2151">
        <v>17</v>
      </c>
      <c r="AL2151">
        <v>40</v>
      </c>
      <c r="AM2151" t="s">
        <v>43</v>
      </c>
      <c r="AN2151" t="str">
        <f>HYPERLINK("https://www.google.com/maps?q=10.94880867,79.09353638","Open Location")</f>
        <v>Open Location</v>
      </c>
    </row>
    <row r="2152" spans="1:40" x14ac:dyDescent="0.3">
      <c r="A2152" s="1">
        <v>46210.750694444447</v>
      </c>
      <c r="B2152" t="s">
        <v>40</v>
      </c>
      <c r="C2152" t="s">
        <v>41</v>
      </c>
      <c r="D2152" s="1">
        <v>46210.753703703704</v>
      </c>
      <c r="E2152" t="s">
        <v>42</v>
      </c>
      <c r="F2152" t="s">
        <v>83</v>
      </c>
      <c r="G2152">
        <v>44</v>
      </c>
      <c r="H2152">
        <v>33192</v>
      </c>
      <c r="I2152" t="s">
        <v>43</v>
      </c>
      <c r="J2152">
        <v>46</v>
      </c>
      <c r="K2152">
        <v>193</v>
      </c>
      <c r="L2152">
        <v>98</v>
      </c>
      <c r="M2152">
        <v>616.29998779000005</v>
      </c>
      <c r="N2152" t="s">
        <v>87</v>
      </c>
      <c r="O2152" t="s">
        <v>86</v>
      </c>
      <c r="P2152">
        <v>131</v>
      </c>
      <c r="Q2152">
        <v>6</v>
      </c>
      <c r="R2152">
        <v>109</v>
      </c>
      <c r="S2152">
        <v>1203</v>
      </c>
      <c r="T2152">
        <v>-40</v>
      </c>
      <c r="U2152">
        <v>54</v>
      </c>
      <c r="V2152">
        <v>890</v>
      </c>
      <c r="W2152">
        <v>27</v>
      </c>
      <c r="X2152">
        <v>27</v>
      </c>
      <c r="Y2152">
        <v>1</v>
      </c>
      <c r="Z2152">
        <v>8</v>
      </c>
      <c r="AA2152">
        <v>24</v>
      </c>
      <c r="AB2152">
        <v>2</v>
      </c>
      <c r="AC2152">
        <v>2</v>
      </c>
      <c r="AD2152">
        <v>3.22600007</v>
      </c>
      <c r="AE2152">
        <v>5</v>
      </c>
      <c r="AF2152">
        <v>38</v>
      </c>
      <c r="AG2152">
        <v>3.2090001099999999</v>
      </c>
      <c r="AH2152">
        <v>4</v>
      </c>
      <c r="AI2152">
        <v>24</v>
      </c>
      <c r="AJ2152">
        <v>1</v>
      </c>
      <c r="AK2152">
        <v>17</v>
      </c>
      <c r="AL2152">
        <v>40</v>
      </c>
      <c r="AM2152" t="s">
        <v>43</v>
      </c>
      <c r="AN2152" t="s">
        <v>43</v>
      </c>
    </row>
    <row r="2153" spans="1:40" x14ac:dyDescent="0.3">
      <c r="A2153" s="1">
        <v>46210.750578703701</v>
      </c>
      <c r="B2153" t="s">
        <v>40</v>
      </c>
      <c r="C2153" t="s">
        <v>41</v>
      </c>
      <c r="D2153" s="1">
        <v>46210.753472222219</v>
      </c>
      <c r="E2153" t="s">
        <v>42</v>
      </c>
      <c r="F2153" t="s">
        <v>83</v>
      </c>
      <c r="G2153">
        <v>45</v>
      </c>
      <c r="H2153">
        <v>33192</v>
      </c>
      <c r="I2153" t="s">
        <v>1064</v>
      </c>
      <c r="J2153">
        <v>46</v>
      </c>
      <c r="K2153">
        <v>-55</v>
      </c>
      <c r="L2153">
        <v>98</v>
      </c>
      <c r="M2153">
        <v>627</v>
      </c>
      <c r="N2153" t="s">
        <v>87</v>
      </c>
      <c r="O2153" t="s">
        <v>86</v>
      </c>
      <c r="P2153">
        <v>131</v>
      </c>
      <c r="Q2153">
        <v>6</v>
      </c>
      <c r="R2153">
        <v>-40</v>
      </c>
      <c r="S2153">
        <v>1256</v>
      </c>
      <c r="T2153">
        <v>-40</v>
      </c>
      <c r="U2153">
        <v>51</v>
      </c>
      <c r="V2153">
        <v>-300</v>
      </c>
      <c r="W2153">
        <v>27</v>
      </c>
      <c r="X2153">
        <v>27</v>
      </c>
      <c r="Y2153">
        <v>1</v>
      </c>
      <c r="Z2153">
        <v>8</v>
      </c>
      <c r="AA2153">
        <v>24</v>
      </c>
      <c r="AB2153">
        <v>2</v>
      </c>
      <c r="AC2153">
        <v>2</v>
      </c>
      <c r="AD2153">
        <v>3.2609999200000002</v>
      </c>
      <c r="AE2153">
        <v>1</v>
      </c>
      <c r="AF2153">
        <v>43</v>
      </c>
      <c r="AG2153">
        <v>3.2539999499999999</v>
      </c>
      <c r="AH2153">
        <v>7</v>
      </c>
      <c r="AI2153">
        <v>19</v>
      </c>
      <c r="AJ2153">
        <v>1</v>
      </c>
      <c r="AK2153">
        <v>17</v>
      </c>
      <c r="AL2153">
        <v>40</v>
      </c>
      <c r="AM2153" t="s">
        <v>43</v>
      </c>
      <c r="AN2153" t="str">
        <f>HYPERLINK("https://www.google.com/maps?q=10.94759274,79.09401703","Open Location")</f>
        <v>Open Location</v>
      </c>
    </row>
    <row r="2154" spans="1:40" x14ac:dyDescent="0.3">
      <c r="A2154" s="1">
        <v>46210.750462962962</v>
      </c>
      <c r="B2154" t="s">
        <v>40</v>
      </c>
      <c r="C2154" t="s">
        <v>41</v>
      </c>
      <c r="D2154" s="1">
        <v>46210.75335648148</v>
      </c>
      <c r="E2154" t="s">
        <v>42</v>
      </c>
      <c r="F2154" t="s">
        <v>83</v>
      </c>
      <c r="G2154">
        <v>45</v>
      </c>
      <c r="H2154">
        <v>33192</v>
      </c>
      <c r="I2154" t="s">
        <v>1065</v>
      </c>
      <c r="J2154">
        <v>46</v>
      </c>
      <c r="K2154">
        <v>125</v>
      </c>
      <c r="L2154">
        <v>98</v>
      </c>
      <c r="M2154">
        <v>618.09997558999999</v>
      </c>
      <c r="N2154" t="s">
        <v>87</v>
      </c>
      <c r="O2154" t="s">
        <v>86</v>
      </c>
      <c r="P2154">
        <v>131</v>
      </c>
      <c r="Q2154">
        <v>6</v>
      </c>
      <c r="R2154">
        <v>79</v>
      </c>
      <c r="S2154">
        <v>1264</v>
      </c>
      <c r="T2154">
        <v>-40</v>
      </c>
      <c r="U2154">
        <v>52</v>
      </c>
      <c r="V2154">
        <v>600</v>
      </c>
      <c r="W2154">
        <v>27</v>
      </c>
      <c r="X2154">
        <v>27</v>
      </c>
      <c r="Y2154">
        <v>1</v>
      </c>
      <c r="Z2154">
        <v>8</v>
      </c>
      <c r="AA2154">
        <v>24</v>
      </c>
      <c r="AB2154">
        <v>2</v>
      </c>
      <c r="AC2154">
        <v>2</v>
      </c>
      <c r="AD2154">
        <v>3.24099994</v>
      </c>
      <c r="AE2154">
        <v>5</v>
      </c>
      <c r="AF2154">
        <v>38</v>
      </c>
      <c r="AG2154">
        <v>3.22900009</v>
      </c>
      <c r="AH2154">
        <v>6</v>
      </c>
      <c r="AI2154">
        <v>24</v>
      </c>
      <c r="AJ2154">
        <v>1</v>
      </c>
      <c r="AK2154">
        <v>17</v>
      </c>
      <c r="AL2154">
        <v>40</v>
      </c>
      <c r="AM2154" t="s">
        <v>43</v>
      </c>
      <c r="AN2154" t="str">
        <f>HYPERLINK("https://www.google.com/maps?q=10.94631386,79.09451294","Open Location")</f>
        <v>Open Location</v>
      </c>
    </row>
    <row r="2155" spans="1:40" x14ac:dyDescent="0.3">
      <c r="A2155" s="1">
        <v>46210.750347222223</v>
      </c>
      <c r="B2155" t="s">
        <v>40</v>
      </c>
      <c r="C2155" t="s">
        <v>41</v>
      </c>
      <c r="D2155" s="1">
        <v>46210.753113425926</v>
      </c>
      <c r="E2155" t="s">
        <v>42</v>
      </c>
      <c r="F2155" t="s">
        <v>83</v>
      </c>
      <c r="G2155">
        <v>45</v>
      </c>
      <c r="H2155">
        <v>33191</v>
      </c>
      <c r="I2155" t="s">
        <v>1066</v>
      </c>
      <c r="J2155">
        <v>46</v>
      </c>
      <c r="K2155">
        <v>111</v>
      </c>
      <c r="L2155">
        <v>98</v>
      </c>
      <c r="M2155">
        <v>619.40002441000001</v>
      </c>
      <c r="N2155" t="s">
        <v>87</v>
      </c>
      <c r="O2155" t="s">
        <v>86</v>
      </c>
      <c r="P2155">
        <v>131</v>
      </c>
      <c r="Q2155">
        <v>6</v>
      </c>
      <c r="R2155">
        <v>63</v>
      </c>
      <c r="S2155">
        <v>1268</v>
      </c>
      <c r="T2155">
        <v>-40</v>
      </c>
      <c r="U2155">
        <v>52</v>
      </c>
      <c r="V2155">
        <v>480</v>
      </c>
      <c r="W2155" t="s">
        <v>43</v>
      </c>
      <c r="X2155" t="s">
        <v>43</v>
      </c>
      <c r="Y2155" t="s">
        <v>43</v>
      </c>
      <c r="Z2155" t="s">
        <v>43</v>
      </c>
      <c r="AA2155" t="s">
        <v>43</v>
      </c>
      <c r="AB2155" t="s">
        <v>43</v>
      </c>
      <c r="AC2155" t="s">
        <v>43</v>
      </c>
      <c r="AD2155">
        <v>3.2369999900000002</v>
      </c>
      <c r="AE2155">
        <v>5</v>
      </c>
      <c r="AF2155">
        <v>38</v>
      </c>
      <c r="AG2155">
        <v>3.2239999799999999</v>
      </c>
      <c r="AH2155">
        <v>4</v>
      </c>
      <c r="AI2155">
        <v>24</v>
      </c>
      <c r="AJ2155">
        <v>1</v>
      </c>
      <c r="AK2155">
        <v>17</v>
      </c>
      <c r="AL2155">
        <v>40</v>
      </c>
      <c r="AM2155" t="s">
        <v>43</v>
      </c>
      <c r="AN2155" t="str">
        <f>HYPERLINK("https://www.google.com/maps?q=10.94511223,79.0951767","Open Location")</f>
        <v>Open Location</v>
      </c>
    </row>
    <row r="2156" spans="1:40" x14ac:dyDescent="0.3">
      <c r="A2156" s="1">
        <v>46210.750231481485</v>
      </c>
      <c r="B2156" t="s">
        <v>40</v>
      </c>
      <c r="C2156" t="s">
        <v>41</v>
      </c>
      <c r="D2156" s="1">
        <v>46210.753009259257</v>
      </c>
      <c r="E2156" t="s">
        <v>42</v>
      </c>
      <c r="F2156" t="s">
        <v>83</v>
      </c>
      <c r="G2156">
        <v>46</v>
      </c>
      <c r="H2156" t="s">
        <v>43</v>
      </c>
      <c r="I2156" t="s">
        <v>1067</v>
      </c>
      <c r="J2156">
        <v>46</v>
      </c>
      <c r="K2156">
        <v>134</v>
      </c>
      <c r="L2156">
        <v>98</v>
      </c>
      <c r="M2156">
        <v>618.5</v>
      </c>
      <c r="N2156" t="s">
        <v>87</v>
      </c>
      <c r="O2156" t="s">
        <v>86</v>
      </c>
      <c r="P2156">
        <v>131</v>
      </c>
      <c r="Q2156">
        <v>6</v>
      </c>
      <c r="R2156">
        <v>75</v>
      </c>
      <c r="S2156">
        <v>1273</v>
      </c>
      <c r="T2156">
        <v>-40</v>
      </c>
      <c r="U2156">
        <v>52</v>
      </c>
      <c r="V2156">
        <v>600</v>
      </c>
      <c r="W2156">
        <v>27</v>
      </c>
      <c r="X2156">
        <v>27</v>
      </c>
      <c r="Y2156">
        <v>1</v>
      </c>
      <c r="Z2156">
        <v>8</v>
      </c>
      <c r="AA2156">
        <v>24</v>
      </c>
      <c r="AB2156">
        <v>2</v>
      </c>
      <c r="AC2156">
        <v>2</v>
      </c>
      <c r="AD2156">
        <v>3.2300000199999999</v>
      </c>
      <c r="AE2156">
        <v>5</v>
      </c>
      <c r="AF2156">
        <v>38</v>
      </c>
      <c r="AG2156">
        <v>3.21499991</v>
      </c>
      <c r="AH2156">
        <v>4</v>
      </c>
      <c r="AI2156">
        <v>24</v>
      </c>
      <c r="AJ2156">
        <v>1</v>
      </c>
      <c r="AK2156">
        <v>17</v>
      </c>
      <c r="AL2156">
        <v>40</v>
      </c>
      <c r="AM2156" t="s">
        <v>43</v>
      </c>
      <c r="AN2156" t="str">
        <f>HYPERLINK("https://www.google.com/maps?q=10.94390678,79.09589386","Open Location")</f>
        <v>Open Location</v>
      </c>
    </row>
    <row r="2157" spans="1:40" x14ac:dyDescent="0.3">
      <c r="A2157" s="1">
        <v>46210.750115740739</v>
      </c>
      <c r="B2157" t="s">
        <v>40</v>
      </c>
      <c r="C2157" t="s">
        <v>41</v>
      </c>
      <c r="D2157" s="1">
        <v>46210.753009259257</v>
      </c>
      <c r="E2157" t="s">
        <v>42</v>
      </c>
      <c r="F2157" t="s">
        <v>83</v>
      </c>
      <c r="G2157">
        <v>45</v>
      </c>
      <c r="H2157">
        <v>33191</v>
      </c>
      <c r="I2157" t="s">
        <v>1068</v>
      </c>
      <c r="J2157">
        <v>46</v>
      </c>
      <c r="K2157">
        <v>149</v>
      </c>
      <c r="L2157">
        <v>98</v>
      </c>
      <c r="M2157">
        <v>617.5</v>
      </c>
      <c r="N2157" t="s">
        <v>87</v>
      </c>
      <c r="O2157" t="s">
        <v>86</v>
      </c>
      <c r="P2157">
        <v>131</v>
      </c>
      <c r="Q2157">
        <v>6</v>
      </c>
      <c r="R2157">
        <v>81</v>
      </c>
      <c r="S2157">
        <v>1257</v>
      </c>
      <c r="T2157">
        <v>-40</v>
      </c>
      <c r="U2157">
        <v>52</v>
      </c>
      <c r="V2157">
        <v>660</v>
      </c>
      <c r="W2157">
        <v>27</v>
      </c>
      <c r="X2157">
        <v>27</v>
      </c>
      <c r="Y2157">
        <v>1</v>
      </c>
      <c r="Z2157">
        <v>8</v>
      </c>
      <c r="AA2157">
        <v>24</v>
      </c>
      <c r="AB2157">
        <v>2</v>
      </c>
      <c r="AC2157">
        <v>2</v>
      </c>
      <c r="AD2157">
        <v>3.2309999500000002</v>
      </c>
      <c r="AE2157">
        <v>5</v>
      </c>
      <c r="AF2157">
        <v>38</v>
      </c>
      <c r="AG2157">
        <v>3.2160000800000001</v>
      </c>
      <c r="AH2157">
        <v>4</v>
      </c>
      <c r="AI2157">
        <v>24</v>
      </c>
      <c r="AJ2157">
        <v>1</v>
      </c>
      <c r="AK2157">
        <v>17</v>
      </c>
      <c r="AL2157">
        <v>40</v>
      </c>
      <c r="AM2157" t="s">
        <v>43</v>
      </c>
      <c r="AN2157" t="str">
        <f>HYPERLINK("https://www.google.com/maps?q=10.9427166,79.09660339","Open Location")</f>
        <v>Open Location</v>
      </c>
    </row>
    <row r="2158" spans="1:40" x14ac:dyDescent="0.3">
      <c r="A2158" s="1">
        <v>46210.75</v>
      </c>
      <c r="B2158" t="s">
        <v>40</v>
      </c>
      <c r="C2158" t="s">
        <v>41</v>
      </c>
      <c r="D2158" s="1">
        <v>46210.752847222226</v>
      </c>
      <c r="E2158" t="s">
        <v>42</v>
      </c>
      <c r="F2158" t="s">
        <v>83</v>
      </c>
      <c r="G2158">
        <v>44</v>
      </c>
      <c r="H2158">
        <v>33191</v>
      </c>
      <c r="I2158" t="s">
        <v>43</v>
      </c>
      <c r="J2158">
        <v>46</v>
      </c>
      <c r="K2158">
        <v>119</v>
      </c>
      <c r="L2158">
        <v>98</v>
      </c>
      <c r="M2158">
        <v>619.29998779000005</v>
      </c>
      <c r="N2158" t="s">
        <v>87</v>
      </c>
      <c r="O2158" t="s">
        <v>86</v>
      </c>
      <c r="P2158">
        <v>131</v>
      </c>
      <c r="Q2158">
        <v>6</v>
      </c>
      <c r="R2158">
        <v>83</v>
      </c>
      <c r="S2158">
        <v>1228</v>
      </c>
      <c r="T2158">
        <v>-40</v>
      </c>
      <c r="U2158">
        <v>52</v>
      </c>
      <c r="V2158">
        <v>540</v>
      </c>
      <c r="W2158">
        <v>27</v>
      </c>
      <c r="X2158">
        <v>27</v>
      </c>
      <c r="Y2158">
        <v>1</v>
      </c>
      <c r="Z2158">
        <v>8</v>
      </c>
      <c r="AA2158">
        <v>24</v>
      </c>
      <c r="AB2158">
        <v>2</v>
      </c>
      <c r="AC2158">
        <v>2</v>
      </c>
      <c r="AD2158">
        <v>3.2339999700000002</v>
      </c>
      <c r="AE2158">
        <v>5</v>
      </c>
      <c r="AF2158">
        <v>38</v>
      </c>
      <c r="AG2158">
        <v>3.22000003</v>
      </c>
      <c r="AH2158">
        <v>4</v>
      </c>
      <c r="AI2158">
        <v>24</v>
      </c>
      <c r="AJ2158">
        <v>1</v>
      </c>
      <c r="AK2158">
        <v>17</v>
      </c>
      <c r="AL2158">
        <v>40</v>
      </c>
      <c r="AM2158" t="s">
        <v>43</v>
      </c>
      <c r="AN2158" t="s">
        <v>43</v>
      </c>
    </row>
    <row r="2159" spans="1:40" x14ac:dyDescent="0.3">
      <c r="A2159" s="1">
        <v>46210.749884259261</v>
      </c>
      <c r="B2159" t="s">
        <v>40</v>
      </c>
      <c r="C2159" t="s">
        <v>41</v>
      </c>
      <c r="D2159" s="1">
        <v>46210.753009259257</v>
      </c>
      <c r="E2159" t="s">
        <v>42</v>
      </c>
      <c r="F2159" t="s">
        <v>83</v>
      </c>
      <c r="G2159">
        <v>44</v>
      </c>
      <c r="H2159">
        <v>33191</v>
      </c>
      <c r="I2159" t="s">
        <v>1069</v>
      </c>
      <c r="J2159">
        <v>46</v>
      </c>
      <c r="K2159">
        <v>65</v>
      </c>
      <c r="L2159">
        <v>98</v>
      </c>
      <c r="M2159">
        <v>621.79998779000005</v>
      </c>
      <c r="N2159" t="s">
        <v>87</v>
      </c>
      <c r="O2159" t="s">
        <v>86</v>
      </c>
      <c r="P2159">
        <v>131</v>
      </c>
      <c r="Q2159">
        <v>6</v>
      </c>
      <c r="R2159">
        <v>61</v>
      </c>
      <c r="S2159">
        <v>1221</v>
      </c>
      <c r="T2159">
        <v>-40</v>
      </c>
      <c r="U2159">
        <v>51</v>
      </c>
      <c r="V2159">
        <v>300</v>
      </c>
      <c r="W2159">
        <v>27</v>
      </c>
      <c r="X2159">
        <v>27</v>
      </c>
      <c r="Y2159">
        <v>1</v>
      </c>
      <c r="Z2159">
        <v>8</v>
      </c>
      <c r="AA2159">
        <v>24</v>
      </c>
      <c r="AB2159">
        <v>2</v>
      </c>
      <c r="AC2159">
        <v>2</v>
      </c>
      <c r="AD2159">
        <v>3.2309999500000002</v>
      </c>
      <c r="AE2159">
        <v>5</v>
      </c>
      <c r="AF2159">
        <v>38</v>
      </c>
      <c r="AG2159">
        <v>3.21399999</v>
      </c>
      <c r="AH2159">
        <v>4</v>
      </c>
      <c r="AI2159">
        <v>24</v>
      </c>
      <c r="AJ2159">
        <v>1</v>
      </c>
      <c r="AK2159">
        <v>17</v>
      </c>
      <c r="AL2159">
        <v>40</v>
      </c>
      <c r="AM2159" t="s">
        <v>43</v>
      </c>
      <c r="AN2159" t="str">
        <f>HYPERLINK("https://www.google.com/maps?q=10.94146538,79.09734344","Open Location")</f>
        <v>Open Location</v>
      </c>
    </row>
    <row r="2160" spans="1:40" x14ac:dyDescent="0.3">
      <c r="A2160" s="1">
        <v>46210.749768518515</v>
      </c>
      <c r="B2160" t="s">
        <v>40</v>
      </c>
      <c r="C2160" t="s">
        <v>41</v>
      </c>
      <c r="D2160" s="1">
        <v>46210.752685185187</v>
      </c>
      <c r="E2160" t="s">
        <v>42</v>
      </c>
      <c r="F2160" t="s">
        <v>83</v>
      </c>
      <c r="G2160">
        <v>43</v>
      </c>
      <c r="H2160">
        <v>33191</v>
      </c>
      <c r="I2160" t="s">
        <v>1070</v>
      </c>
      <c r="J2160">
        <v>47</v>
      </c>
      <c r="K2160">
        <v>100</v>
      </c>
      <c r="L2160">
        <v>98</v>
      </c>
      <c r="M2160">
        <v>620.09997558999999</v>
      </c>
      <c r="N2160" t="s">
        <v>87</v>
      </c>
      <c r="O2160" t="s">
        <v>86</v>
      </c>
      <c r="P2160">
        <v>131</v>
      </c>
      <c r="Q2160">
        <v>6</v>
      </c>
      <c r="R2160">
        <v>58</v>
      </c>
      <c r="S2160">
        <v>1211</v>
      </c>
      <c r="T2160">
        <v>-40</v>
      </c>
      <c r="U2160">
        <v>51</v>
      </c>
      <c r="V2160">
        <v>460</v>
      </c>
      <c r="W2160">
        <v>27</v>
      </c>
      <c r="X2160">
        <v>27</v>
      </c>
      <c r="Y2160">
        <v>1</v>
      </c>
      <c r="Z2160">
        <v>8</v>
      </c>
      <c r="AA2160">
        <v>24</v>
      </c>
      <c r="AB2160">
        <v>2</v>
      </c>
      <c r="AC2160">
        <v>2</v>
      </c>
      <c r="AD2160">
        <v>3.2420000999999998</v>
      </c>
      <c r="AE2160">
        <v>1</v>
      </c>
      <c r="AF2160">
        <v>42</v>
      </c>
      <c r="AG2160">
        <v>3.2309999500000002</v>
      </c>
      <c r="AH2160">
        <v>4</v>
      </c>
      <c r="AI2160">
        <v>24</v>
      </c>
      <c r="AJ2160">
        <v>1</v>
      </c>
      <c r="AK2160">
        <v>18</v>
      </c>
      <c r="AL2160">
        <v>40</v>
      </c>
      <c r="AM2160" t="s">
        <v>43</v>
      </c>
      <c r="AN2160" t="str">
        <f>HYPERLINK("https://www.google.com/maps?q=10.94031525,79.09801483","Open Location")</f>
        <v>Open Location</v>
      </c>
    </row>
    <row r="2161" spans="1:40" x14ac:dyDescent="0.3">
      <c r="A2161" s="1">
        <v>46210.749652777777</v>
      </c>
      <c r="B2161" t="s">
        <v>40</v>
      </c>
      <c r="C2161" t="s">
        <v>41</v>
      </c>
      <c r="D2161" s="1">
        <v>46210.75277777778</v>
      </c>
      <c r="E2161" t="s">
        <v>42</v>
      </c>
      <c r="F2161" t="s">
        <v>83</v>
      </c>
      <c r="G2161">
        <v>42</v>
      </c>
      <c r="H2161">
        <v>33191</v>
      </c>
      <c r="I2161" t="s">
        <v>1071</v>
      </c>
      <c r="J2161">
        <v>47</v>
      </c>
      <c r="K2161">
        <v>66</v>
      </c>
      <c r="L2161">
        <v>98</v>
      </c>
      <c r="M2161">
        <v>621.59997558999999</v>
      </c>
      <c r="N2161" t="s">
        <v>87</v>
      </c>
      <c r="O2161" t="s">
        <v>86</v>
      </c>
      <c r="P2161">
        <v>131</v>
      </c>
      <c r="Q2161">
        <v>6</v>
      </c>
      <c r="R2161">
        <v>36</v>
      </c>
      <c r="S2161">
        <v>1156</v>
      </c>
      <c r="T2161">
        <v>-40</v>
      </c>
      <c r="U2161">
        <v>51</v>
      </c>
      <c r="V2161">
        <v>300</v>
      </c>
      <c r="W2161" t="s">
        <v>43</v>
      </c>
      <c r="X2161" t="s">
        <v>43</v>
      </c>
      <c r="Y2161" t="s">
        <v>43</v>
      </c>
      <c r="Z2161" t="s">
        <v>43</v>
      </c>
      <c r="AA2161" t="s">
        <v>43</v>
      </c>
      <c r="AB2161" t="s">
        <v>43</v>
      </c>
      <c r="AC2161" t="s">
        <v>43</v>
      </c>
      <c r="AD2161">
        <v>3.2430000300000001</v>
      </c>
      <c r="AE2161">
        <v>1</v>
      </c>
      <c r="AF2161">
        <v>43</v>
      </c>
      <c r="AG2161">
        <v>3.23200011</v>
      </c>
      <c r="AH2161">
        <v>4</v>
      </c>
      <c r="AI2161">
        <v>24</v>
      </c>
      <c r="AJ2161">
        <v>1</v>
      </c>
      <c r="AK2161">
        <v>18</v>
      </c>
      <c r="AL2161">
        <v>40</v>
      </c>
      <c r="AM2161" t="s">
        <v>43</v>
      </c>
      <c r="AN2161" t="str">
        <f>HYPERLINK("https://www.google.com/maps?q=10.93921089,79.09867859","Open Location")</f>
        <v>Open Location</v>
      </c>
    </row>
    <row r="2162" spans="1:40" x14ac:dyDescent="0.3">
      <c r="A2162" s="1">
        <v>46210.749537037038</v>
      </c>
      <c r="B2162" t="s">
        <v>40</v>
      </c>
      <c r="C2162" t="s">
        <v>41</v>
      </c>
      <c r="D2162" s="1">
        <v>46210.752442129633</v>
      </c>
      <c r="E2162" t="s">
        <v>42</v>
      </c>
      <c r="F2162" t="s">
        <v>83</v>
      </c>
      <c r="G2162">
        <v>40</v>
      </c>
      <c r="H2162">
        <v>33191</v>
      </c>
      <c r="I2162" t="s">
        <v>43</v>
      </c>
      <c r="J2162">
        <v>47</v>
      </c>
      <c r="K2162">
        <v>-8</v>
      </c>
      <c r="L2162">
        <v>98</v>
      </c>
      <c r="M2162">
        <v>623.09997558999999</v>
      </c>
      <c r="N2162" t="s">
        <v>87</v>
      </c>
      <c r="O2162" t="s">
        <v>86</v>
      </c>
      <c r="P2162">
        <v>131</v>
      </c>
      <c r="Q2162">
        <v>6</v>
      </c>
      <c r="R2162">
        <v>53</v>
      </c>
      <c r="S2162">
        <v>1095</v>
      </c>
      <c r="T2162">
        <v>-40</v>
      </c>
      <c r="U2162">
        <v>52</v>
      </c>
      <c r="V2162">
        <v>29</v>
      </c>
      <c r="W2162">
        <v>27</v>
      </c>
      <c r="X2162">
        <v>27</v>
      </c>
      <c r="Y2162">
        <v>1</v>
      </c>
      <c r="Z2162">
        <v>8</v>
      </c>
      <c r="AA2162">
        <v>24</v>
      </c>
      <c r="AB2162">
        <v>2</v>
      </c>
      <c r="AC2162">
        <v>2</v>
      </c>
      <c r="AD2162">
        <v>3.2369999900000002</v>
      </c>
      <c r="AE2162">
        <v>5</v>
      </c>
      <c r="AF2162">
        <v>38</v>
      </c>
      <c r="AG2162">
        <v>3.2239999799999999</v>
      </c>
      <c r="AH2162">
        <v>6</v>
      </c>
      <c r="AI2162">
        <v>24</v>
      </c>
      <c r="AJ2162">
        <v>1</v>
      </c>
      <c r="AK2162">
        <v>18</v>
      </c>
      <c r="AL2162">
        <v>40</v>
      </c>
      <c r="AM2162" t="s">
        <v>43</v>
      </c>
      <c r="AN2162" t="s">
        <v>43</v>
      </c>
    </row>
    <row r="2163" spans="1:40" x14ac:dyDescent="0.3">
      <c r="A2163" s="1">
        <v>46210.749421296299</v>
      </c>
      <c r="B2163" t="s">
        <v>40</v>
      </c>
      <c r="C2163" t="s">
        <v>41</v>
      </c>
      <c r="D2163" s="1">
        <v>46210.752175925925</v>
      </c>
      <c r="E2163" t="s">
        <v>42</v>
      </c>
      <c r="F2163" t="s">
        <v>83</v>
      </c>
      <c r="G2163">
        <v>38</v>
      </c>
      <c r="H2163">
        <v>33191</v>
      </c>
      <c r="I2163" t="s">
        <v>43</v>
      </c>
      <c r="J2163">
        <v>47</v>
      </c>
      <c r="K2163">
        <v>229</v>
      </c>
      <c r="L2163">
        <v>98</v>
      </c>
      <c r="M2163">
        <v>614</v>
      </c>
      <c r="N2163" t="s">
        <v>87</v>
      </c>
      <c r="O2163" t="s">
        <v>86</v>
      </c>
      <c r="P2163">
        <v>130</v>
      </c>
      <c r="Q2163">
        <v>5</v>
      </c>
      <c r="R2163">
        <v>130</v>
      </c>
      <c r="S2163">
        <v>1702</v>
      </c>
      <c r="T2163">
        <v>-40</v>
      </c>
      <c r="U2163">
        <v>54</v>
      </c>
      <c r="V2163">
        <v>740</v>
      </c>
      <c r="W2163">
        <v>27</v>
      </c>
      <c r="X2163">
        <v>27</v>
      </c>
      <c r="Y2163">
        <v>1</v>
      </c>
      <c r="Z2163">
        <v>8</v>
      </c>
      <c r="AA2163">
        <v>24</v>
      </c>
      <c r="AB2163">
        <v>2</v>
      </c>
      <c r="AC2163">
        <v>2</v>
      </c>
      <c r="AD2163">
        <v>3.21700001</v>
      </c>
      <c r="AE2163">
        <v>1</v>
      </c>
      <c r="AF2163">
        <v>44</v>
      </c>
      <c r="AG2163">
        <v>3.1979999499999998</v>
      </c>
      <c r="AH2163">
        <v>6</v>
      </c>
      <c r="AI2163">
        <v>24</v>
      </c>
      <c r="AJ2163">
        <v>1</v>
      </c>
      <c r="AK2163">
        <v>18</v>
      </c>
      <c r="AL2163">
        <v>40</v>
      </c>
      <c r="AM2163" t="s">
        <v>43</v>
      </c>
      <c r="AN2163" t="s">
        <v>43</v>
      </c>
    </row>
    <row r="2164" spans="1:40" x14ac:dyDescent="0.3">
      <c r="A2164" s="1">
        <v>46210.749305555553</v>
      </c>
      <c r="B2164" t="s">
        <v>40</v>
      </c>
      <c r="C2164" t="s">
        <v>41</v>
      </c>
      <c r="D2164" s="1">
        <v>46210.752280092594</v>
      </c>
      <c r="E2164" t="s">
        <v>42</v>
      </c>
      <c r="F2164" t="s">
        <v>83</v>
      </c>
      <c r="G2164">
        <v>34</v>
      </c>
      <c r="H2164">
        <v>33190</v>
      </c>
      <c r="I2164" t="s">
        <v>1072</v>
      </c>
      <c r="J2164">
        <v>47</v>
      </c>
      <c r="K2164">
        <v>144</v>
      </c>
      <c r="L2164">
        <v>98</v>
      </c>
      <c r="M2164">
        <v>617.59997558999999</v>
      </c>
      <c r="N2164" t="s">
        <v>87</v>
      </c>
      <c r="O2164" t="s">
        <v>86</v>
      </c>
      <c r="P2164">
        <v>130</v>
      </c>
      <c r="Q2164">
        <v>5</v>
      </c>
      <c r="R2164">
        <v>84</v>
      </c>
      <c r="S2164">
        <v>1539</v>
      </c>
      <c r="T2164">
        <v>-40</v>
      </c>
      <c r="U2164">
        <v>53</v>
      </c>
      <c r="V2164">
        <v>520</v>
      </c>
      <c r="W2164">
        <v>27</v>
      </c>
      <c r="X2164">
        <v>27</v>
      </c>
      <c r="Y2164">
        <v>1</v>
      </c>
      <c r="Z2164">
        <v>8</v>
      </c>
      <c r="AA2164">
        <v>24</v>
      </c>
      <c r="AB2164">
        <v>2</v>
      </c>
      <c r="AC2164">
        <v>1</v>
      </c>
      <c r="AD2164">
        <v>3.22900009</v>
      </c>
      <c r="AE2164">
        <v>5</v>
      </c>
      <c r="AF2164">
        <v>38</v>
      </c>
      <c r="AG2164">
        <v>3.2130000600000002</v>
      </c>
      <c r="AH2164">
        <v>6</v>
      </c>
      <c r="AI2164">
        <v>24</v>
      </c>
      <c r="AJ2164">
        <v>1</v>
      </c>
      <c r="AK2164">
        <v>18</v>
      </c>
      <c r="AL2164">
        <v>40</v>
      </c>
      <c r="AM2164" t="s">
        <v>43</v>
      </c>
      <c r="AN2164" t="str">
        <f>HYPERLINK("https://www.google.com/maps?q=10.93715954,79.09992218","Open Location")</f>
        <v>Open Location</v>
      </c>
    </row>
    <row r="2165" spans="1:40" x14ac:dyDescent="0.3">
      <c r="A2165" s="1">
        <v>46210.749189814815</v>
      </c>
      <c r="B2165" t="s">
        <v>40</v>
      </c>
      <c r="C2165" t="s">
        <v>41</v>
      </c>
      <c r="D2165" s="1">
        <v>46210.752164351848</v>
      </c>
      <c r="E2165" t="s">
        <v>42</v>
      </c>
      <c r="F2165" t="s">
        <v>83</v>
      </c>
      <c r="G2165">
        <v>31</v>
      </c>
      <c r="H2165">
        <v>33190</v>
      </c>
      <c r="I2165" t="s">
        <v>1073</v>
      </c>
      <c r="J2165">
        <v>47</v>
      </c>
      <c r="K2165">
        <v>172</v>
      </c>
      <c r="L2165">
        <v>98</v>
      </c>
      <c r="M2165">
        <v>616.5</v>
      </c>
      <c r="N2165" t="s">
        <v>87</v>
      </c>
      <c r="O2165" t="s">
        <v>86</v>
      </c>
      <c r="P2165">
        <v>130</v>
      </c>
      <c r="Q2165">
        <v>5</v>
      </c>
      <c r="R2165">
        <v>101</v>
      </c>
      <c r="S2165">
        <v>1411</v>
      </c>
      <c r="T2165">
        <v>-40</v>
      </c>
      <c r="U2165">
        <v>54</v>
      </c>
      <c r="V2165">
        <v>680</v>
      </c>
      <c r="W2165">
        <v>27</v>
      </c>
      <c r="X2165">
        <v>27</v>
      </c>
      <c r="Y2165">
        <v>1</v>
      </c>
      <c r="Z2165">
        <v>8</v>
      </c>
      <c r="AA2165">
        <v>24</v>
      </c>
      <c r="AB2165">
        <v>2</v>
      </c>
      <c r="AC2165">
        <v>1</v>
      </c>
      <c r="AD2165">
        <v>3.2239999799999999</v>
      </c>
      <c r="AE2165">
        <v>5</v>
      </c>
      <c r="AF2165">
        <v>38</v>
      </c>
      <c r="AG2165">
        <v>3.2060000899999999</v>
      </c>
      <c r="AH2165">
        <v>6</v>
      </c>
      <c r="AI2165">
        <v>24</v>
      </c>
      <c r="AJ2165">
        <v>1</v>
      </c>
      <c r="AK2165">
        <v>18</v>
      </c>
      <c r="AL2165">
        <v>40</v>
      </c>
      <c r="AM2165" t="s">
        <v>43</v>
      </c>
      <c r="AN2165" t="str">
        <f>HYPERLINK("https://www.google.com/maps?q=10.93629265,79.10044861","Open Location")</f>
        <v>Open Location</v>
      </c>
    </row>
    <row r="2166" spans="1:40" x14ac:dyDescent="0.3">
      <c r="A2166" s="1">
        <v>46210.749074074076</v>
      </c>
      <c r="B2166" t="s">
        <v>40</v>
      </c>
      <c r="C2166" t="s">
        <v>41</v>
      </c>
      <c r="D2166" s="1">
        <v>46210.751898148148</v>
      </c>
      <c r="E2166" t="s">
        <v>42</v>
      </c>
      <c r="F2166" t="s">
        <v>83</v>
      </c>
      <c r="G2166">
        <v>27</v>
      </c>
      <c r="H2166">
        <v>33190</v>
      </c>
      <c r="I2166" t="s">
        <v>1074</v>
      </c>
      <c r="J2166">
        <v>47</v>
      </c>
      <c r="K2166">
        <v>204</v>
      </c>
      <c r="L2166">
        <v>98</v>
      </c>
      <c r="M2166">
        <v>615.59997558999999</v>
      </c>
      <c r="N2166" t="s">
        <v>87</v>
      </c>
      <c r="O2166" t="s">
        <v>86</v>
      </c>
      <c r="P2166">
        <v>130</v>
      </c>
      <c r="Q2166">
        <v>5</v>
      </c>
      <c r="R2166">
        <v>123</v>
      </c>
      <c r="S2166">
        <v>1253</v>
      </c>
      <c r="T2166">
        <v>-40</v>
      </c>
      <c r="U2166">
        <v>54</v>
      </c>
      <c r="V2166">
        <v>940</v>
      </c>
      <c r="W2166">
        <v>27</v>
      </c>
      <c r="X2166">
        <v>27</v>
      </c>
      <c r="Y2166">
        <v>1</v>
      </c>
      <c r="Z2166">
        <v>8</v>
      </c>
      <c r="AA2166">
        <v>24</v>
      </c>
      <c r="AB2166">
        <v>2</v>
      </c>
      <c r="AC2166">
        <v>1</v>
      </c>
      <c r="AD2166">
        <v>3.2249998999999998</v>
      </c>
      <c r="AE2166">
        <v>1</v>
      </c>
      <c r="AF2166">
        <v>42</v>
      </c>
      <c r="AG2166">
        <v>3.2079999400000001</v>
      </c>
      <c r="AH2166">
        <v>6</v>
      </c>
      <c r="AI2166">
        <v>24</v>
      </c>
      <c r="AJ2166">
        <v>1</v>
      </c>
      <c r="AK2166">
        <v>18</v>
      </c>
      <c r="AL2166">
        <v>40</v>
      </c>
      <c r="AM2166" t="s">
        <v>43</v>
      </c>
      <c r="AN2166" t="str">
        <f>HYPERLINK("https://www.google.com/maps?q=10.93552971,79.10092926","Open Location")</f>
        <v>Open Location</v>
      </c>
    </row>
    <row r="2167" spans="1:40" x14ac:dyDescent="0.3">
      <c r="A2167" s="1">
        <v>46210.74895833333</v>
      </c>
      <c r="B2167" t="s">
        <v>40</v>
      </c>
      <c r="C2167" t="s">
        <v>41</v>
      </c>
      <c r="D2167" s="1">
        <v>46210.751828703702</v>
      </c>
      <c r="E2167" t="s">
        <v>42</v>
      </c>
      <c r="F2167" t="s">
        <v>83</v>
      </c>
      <c r="G2167">
        <v>23</v>
      </c>
      <c r="H2167">
        <v>33190</v>
      </c>
      <c r="I2167" t="s">
        <v>1075</v>
      </c>
      <c r="J2167">
        <v>47</v>
      </c>
      <c r="K2167">
        <v>199</v>
      </c>
      <c r="L2167">
        <v>98</v>
      </c>
      <c r="M2167">
        <v>616.70001220999995</v>
      </c>
      <c r="N2167" t="s">
        <v>87</v>
      </c>
      <c r="O2167" t="s">
        <v>86</v>
      </c>
      <c r="P2167">
        <v>129</v>
      </c>
      <c r="Q2167">
        <v>4</v>
      </c>
      <c r="R2167">
        <v>109</v>
      </c>
      <c r="S2167">
        <v>1681</v>
      </c>
      <c r="T2167">
        <v>-40</v>
      </c>
      <c r="U2167">
        <v>54</v>
      </c>
      <c r="V2167">
        <v>640</v>
      </c>
      <c r="W2167">
        <v>27</v>
      </c>
      <c r="X2167">
        <v>27</v>
      </c>
      <c r="Y2167">
        <v>1</v>
      </c>
      <c r="Z2167">
        <v>8</v>
      </c>
      <c r="AA2167">
        <v>24</v>
      </c>
      <c r="AB2167">
        <v>2</v>
      </c>
      <c r="AC2167">
        <v>1</v>
      </c>
      <c r="AD2167">
        <v>3.2660000299999998</v>
      </c>
      <c r="AE2167">
        <v>1</v>
      </c>
      <c r="AF2167">
        <v>35</v>
      </c>
      <c r="AG2167">
        <v>3.2569999699999999</v>
      </c>
      <c r="AH2167">
        <v>2</v>
      </c>
      <c r="AI2167">
        <v>6</v>
      </c>
      <c r="AJ2167">
        <v>1</v>
      </c>
      <c r="AK2167">
        <v>18</v>
      </c>
      <c r="AL2167">
        <v>40</v>
      </c>
      <c r="AM2167" t="s">
        <v>43</v>
      </c>
      <c r="AN2167" t="str">
        <f>HYPERLINK("https://www.google.com/maps?q=10.93482971,79.10134125","Open Location")</f>
        <v>Open Location</v>
      </c>
    </row>
    <row r="2168" spans="1:40" x14ac:dyDescent="0.3">
      <c r="A2168" s="1">
        <v>46210.748842592591</v>
      </c>
      <c r="B2168" t="s">
        <v>40</v>
      </c>
      <c r="C2168" t="s">
        <v>41</v>
      </c>
      <c r="D2168" s="1">
        <v>46210.751932870371</v>
      </c>
      <c r="E2168" t="s">
        <v>42</v>
      </c>
      <c r="F2168" t="s">
        <v>83</v>
      </c>
      <c r="G2168">
        <v>15</v>
      </c>
      <c r="H2168">
        <v>33190</v>
      </c>
      <c r="I2168" t="s">
        <v>43</v>
      </c>
      <c r="J2168">
        <v>47</v>
      </c>
      <c r="K2168">
        <v>321</v>
      </c>
      <c r="L2168">
        <v>98</v>
      </c>
      <c r="M2168">
        <v>612</v>
      </c>
      <c r="N2168" t="s">
        <v>87</v>
      </c>
      <c r="O2168" t="s">
        <v>86</v>
      </c>
      <c r="P2168">
        <v>128</v>
      </c>
      <c r="Q2168">
        <v>4</v>
      </c>
      <c r="R2168">
        <v>0</v>
      </c>
      <c r="S2168">
        <v>1824</v>
      </c>
      <c r="T2168">
        <v>-40</v>
      </c>
      <c r="U2168">
        <v>54</v>
      </c>
      <c r="V2168">
        <v>1000</v>
      </c>
      <c r="W2168">
        <v>27</v>
      </c>
      <c r="X2168">
        <v>27</v>
      </c>
      <c r="Y2168">
        <v>1</v>
      </c>
      <c r="Z2168">
        <v>8</v>
      </c>
      <c r="AA2168">
        <v>24</v>
      </c>
      <c r="AB2168">
        <v>2</v>
      </c>
      <c r="AC2168">
        <v>1</v>
      </c>
      <c r="AD2168">
        <v>3.2269999999999999</v>
      </c>
      <c r="AE2168">
        <v>5</v>
      </c>
      <c r="AF2168">
        <v>38</v>
      </c>
      <c r="AG2168">
        <v>3.2079999400000001</v>
      </c>
      <c r="AH2168">
        <v>4</v>
      </c>
      <c r="AI2168">
        <v>24</v>
      </c>
      <c r="AJ2168">
        <v>1</v>
      </c>
      <c r="AK2168">
        <v>19</v>
      </c>
      <c r="AL2168">
        <v>40</v>
      </c>
      <c r="AM2168" t="s">
        <v>43</v>
      </c>
      <c r="AN2168" t="s">
        <v>43</v>
      </c>
    </row>
    <row r="2169" spans="1:40" x14ac:dyDescent="0.3">
      <c r="A2169" s="1">
        <v>46210.748726851853</v>
      </c>
      <c r="B2169" t="s">
        <v>40</v>
      </c>
      <c r="C2169" t="s">
        <v>41</v>
      </c>
      <c r="D2169" s="1">
        <v>46210.751458333332</v>
      </c>
      <c r="E2169" t="s">
        <v>42</v>
      </c>
      <c r="F2169" t="s">
        <v>83</v>
      </c>
      <c r="G2169">
        <v>7</v>
      </c>
      <c r="H2169">
        <v>33190</v>
      </c>
      <c r="I2169" t="s">
        <v>43</v>
      </c>
      <c r="J2169">
        <v>47</v>
      </c>
      <c r="K2169">
        <v>90</v>
      </c>
      <c r="L2169">
        <v>98</v>
      </c>
      <c r="M2169">
        <v>620.20001220999995</v>
      </c>
      <c r="N2169" t="s">
        <v>87</v>
      </c>
      <c r="O2169" t="s">
        <v>86</v>
      </c>
      <c r="P2169">
        <v>127</v>
      </c>
      <c r="Q2169">
        <v>2</v>
      </c>
      <c r="R2169">
        <v>45</v>
      </c>
      <c r="S2169">
        <v>1372</v>
      </c>
      <c r="T2169">
        <v>-40</v>
      </c>
      <c r="U2169">
        <v>51</v>
      </c>
      <c r="V2169">
        <v>489</v>
      </c>
      <c r="W2169">
        <v>27</v>
      </c>
      <c r="X2169">
        <v>27</v>
      </c>
      <c r="Y2169">
        <v>1</v>
      </c>
      <c r="Z2169">
        <v>8</v>
      </c>
      <c r="AA2169">
        <v>24</v>
      </c>
      <c r="AB2169">
        <v>2</v>
      </c>
      <c r="AC2169">
        <v>1</v>
      </c>
      <c r="AD2169">
        <v>3.2539999499999999</v>
      </c>
      <c r="AE2169">
        <v>5</v>
      </c>
      <c r="AF2169">
        <v>38</v>
      </c>
      <c r="AG2169">
        <v>3.24099994</v>
      </c>
      <c r="AH2169">
        <v>7</v>
      </c>
      <c r="AI2169">
        <v>19</v>
      </c>
      <c r="AJ2169">
        <v>1</v>
      </c>
      <c r="AK2169">
        <v>18</v>
      </c>
      <c r="AL2169">
        <v>40</v>
      </c>
      <c r="AM2169" t="s">
        <v>43</v>
      </c>
      <c r="AN2169" t="s">
        <v>43</v>
      </c>
    </row>
    <row r="2170" spans="1:40" x14ac:dyDescent="0.3">
      <c r="A2170" s="1">
        <v>46210.748611111114</v>
      </c>
      <c r="B2170" t="s">
        <v>40</v>
      </c>
      <c r="C2170" t="s">
        <v>41</v>
      </c>
      <c r="D2170" s="1">
        <v>46210.751574074071</v>
      </c>
      <c r="E2170" t="s">
        <v>42</v>
      </c>
      <c r="F2170" t="s">
        <v>83</v>
      </c>
      <c r="G2170">
        <v>18</v>
      </c>
      <c r="H2170">
        <v>33190</v>
      </c>
      <c r="I2170" t="s">
        <v>1076</v>
      </c>
      <c r="J2170">
        <v>47</v>
      </c>
      <c r="K2170">
        <v>-13</v>
      </c>
      <c r="L2170">
        <v>98</v>
      </c>
      <c r="M2170">
        <v>627.5</v>
      </c>
      <c r="N2170" t="s">
        <v>87</v>
      </c>
      <c r="O2170" t="s">
        <v>86</v>
      </c>
      <c r="P2170">
        <v>129</v>
      </c>
      <c r="Q2170">
        <v>4</v>
      </c>
      <c r="R2170">
        <v>-17</v>
      </c>
      <c r="S2170">
        <v>1408</v>
      </c>
      <c r="T2170">
        <v>-40</v>
      </c>
      <c r="U2170">
        <v>51</v>
      </c>
      <c r="V2170">
        <v>-112</v>
      </c>
      <c r="W2170">
        <v>27</v>
      </c>
      <c r="X2170">
        <v>27</v>
      </c>
      <c r="Y2170">
        <v>1</v>
      </c>
      <c r="Z2170">
        <v>8</v>
      </c>
      <c r="AA2170">
        <v>24</v>
      </c>
      <c r="AB2170">
        <v>2</v>
      </c>
      <c r="AC2170">
        <v>1</v>
      </c>
      <c r="AD2170">
        <v>3.2869999399999998</v>
      </c>
      <c r="AE2170">
        <v>1</v>
      </c>
      <c r="AF2170">
        <v>17</v>
      </c>
      <c r="AG2170">
        <v>3.28299999</v>
      </c>
      <c r="AH2170">
        <v>6</v>
      </c>
      <c r="AI2170">
        <v>12</v>
      </c>
      <c r="AJ2170">
        <v>1</v>
      </c>
      <c r="AK2170">
        <v>17</v>
      </c>
      <c r="AL2170">
        <v>40</v>
      </c>
      <c r="AM2170" t="s">
        <v>43</v>
      </c>
      <c r="AN2170" t="str">
        <f>HYPERLINK("https://www.google.com/maps?q=10.93419838,79.10170746","Open Location")</f>
        <v>Open Location</v>
      </c>
    </row>
    <row r="2171" spans="1:40" x14ac:dyDescent="0.3">
      <c r="A2171" s="1">
        <v>46210.748495370368</v>
      </c>
      <c r="B2171" t="s">
        <v>40</v>
      </c>
      <c r="C2171" t="s">
        <v>41</v>
      </c>
      <c r="D2171" s="1">
        <v>46210.751539351855</v>
      </c>
      <c r="E2171" t="s">
        <v>42</v>
      </c>
      <c r="F2171" t="s">
        <v>83</v>
      </c>
      <c r="G2171">
        <v>16</v>
      </c>
      <c r="H2171">
        <v>33190</v>
      </c>
      <c r="I2171" t="s">
        <v>1077</v>
      </c>
      <c r="J2171">
        <v>47</v>
      </c>
      <c r="K2171">
        <v>115</v>
      </c>
      <c r="L2171">
        <v>98</v>
      </c>
      <c r="M2171">
        <v>622.5</v>
      </c>
      <c r="N2171" t="s">
        <v>87</v>
      </c>
      <c r="O2171" t="s">
        <v>86</v>
      </c>
      <c r="P2171">
        <v>129</v>
      </c>
      <c r="Q2171">
        <v>4</v>
      </c>
      <c r="R2171">
        <v>33</v>
      </c>
      <c r="S2171">
        <v>1211</v>
      </c>
      <c r="T2171">
        <v>-40</v>
      </c>
      <c r="U2171">
        <v>52</v>
      </c>
      <c r="V2171">
        <v>530</v>
      </c>
      <c r="W2171">
        <v>27</v>
      </c>
      <c r="X2171">
        <v>27</v>
      </c>
      <c r="Y2171">
        <v>1</v>
      </c>
      <c r="Z2171">
        <v>8</v>
      </c>
      <c r="AA2171">
        <v>24</v>
      </c>
      <c r="AB2171">
        <v>2</v>
      </c>
      <c r="AC2171">
        <v>1</v>
      </c>
      <c r="AD2171">
        <v>3.2490000700000001</v>
      </c>
      <c r="AE2171">
        <v>5</v>
      </c>
      <c r="AF2171">
        <v>38</v>
      </c>
      <c r="AG2171">
        <v>3.23799992</v>
      </c>
      <c r="AH2171">
        <v>4</v>
      </c>
      <c r="AI2171">
        <v>24</v>
      </c>
      <c r="AJ2171">
        <v>1</v>
      </c>
      <c r="AK2171">
        <v>18</v>
      </c>
      <c r="AL2171">
        <v>40</v>
      </c>
      <c r="AM2171" t="s">
        <v>43</v>
      </c>
      <c r="AN2171" t="str">
        <f>HYPERLINK("https://www.google.com/maps?q=10.93373966,79.10199738","Open Location")</f>
        <v>Open Location</v>
      </c>
    </row>
    <row r="2172" spans="1:40" x14ac:dyDescent="0.3">
      <c r="A2172" s="1">
        <v>46210.748379629629</v>
      </c>
      <c r="B2172" t="s">
        <v>40</v>
      </c>
      <c r="C2172" t="s">
        <v>41</v>
      </c>
      <c r="D2172" s="1">
        <v>46210.751168981478</v>
      </c>
      <c r="E2172" t="s">
        <v>42</v>
      </c>
      <c r="F2172" t="s">
        <v>83</v>
      </c>
      <c r="G2172">
        <v>10</v>
      </c>
      <c r="H2172">
        <v>33190</v>
      </c>
      <c r="I2172" t="s">
        <v>1078</v>
      </c>
      <c r="J2172">
        <v>47</v>
      </c>
      <c r="K2172">
        <v>16</v>
      </c>
      <c r="L2172">
        <v>98</v>
      </c>
      <c r="M2172">
        <v>627.70001220999995</v>
      </c>
      <c r="N2172" t="s">
        <v>87</v>
      </c>
      <c r="O2172" t="s">
        <v>86</v>
      </c>
      <c r="P2172">
        <v>128</v>
      </c>
      <c r="Q2172">
        <v>3</v>
      </c>
      <c r="R2172">
        <v>51</v>
      </c>
      <c r="S2172">
        <v>1134</v>
      </c>
      <c r="T2172">
        <v>-40</v>
      </c>
      <c r="U2172">
        <v>50</v>
      </c>
      <c r="V2172">
        <v>-309</v>
      </c>
      <c r="W2172">
        <v>27</v>
      </c>
      <c r="X2172">
        <v>27</v>
      </c>
      <c r="Y2172">
        <v>1</v>
      </c>
      <c r="Z2172">
        <v>8</v>
      </c>
      <c r="AA2172">
        <v>24</v>
      </c>
      <c r="AB2172">
        <v>2</v>
      </c>
      <c r="AC2172">
        <v>1</v>
      </c>
      <c r="AD2172">
        <v>3.2349999</v>
      </c>
      <c r="AE2172">
        <v>5</v>
      </c>
      <c r="AF2172">
        <v>38</v>
      </c>
      <c r="AG2172">
        <v>3.2179999399999999</v>
      </c>
      <c r="AH2172">
        <v>4</v>
      </c>
      <c r="AI2172">
        <v>24</v>
      </c>
      <c r="AJ2172">
        <v>1</v>
      </c>
      <c r="AK2172">
        <v>17</v>
      </c>
      <c r="AL2172">
        <v>40</v>
      </c>
      <c r="AM2172" t="s">
        <v>43</v>
      </c>
      <c r="AN2172" t="str">
        <f>HYPERLINK("https://www.google.com/maps?q=10.93358231,79.10238647","Open Location")</f>
        <v>Open Location</v>
      </c>
    </row>
    <row r="2173" spans="1:40" x14ac:dyDescent="0.3">
      <c r="A2173" s="1">
        <v>46210.748263888891</v>
      </c>
      <c r="B2173" t="s">
        <v>40</v>
      </c>
      <c r="C2173" t="s">
        <v>41</v>
      </c>
      <c r="D2173" s="1">
        <v>46210.751099537039</v>
      </c>
      <c r="E2173" t="s">
        <v>42</v>
      </c>
      <c r="F2173" t="s">
        <v>83</v>
      </c>
      <c r="G2173">
        <v>12</v>
      </c>
      <c r="H2173">
        <v>33190</v>
      </c>
      <c r="I2173" t="s">
        <v>1079</v>
      </c>
      <c r="J2173">
        <v>47</v>
      </c>
      <c r="K2173">
        <v>-141</v>
      </c>
      <c r="L2173">
        <v>98</v>
      </c>
      <c r="M2173">
        <v>632.90002441000001</v>
      </c>
      <c r="N2173" t="s">
        <v>87</v>
      </c>
      <c r="O2173" t="s">
        <v>86</v>
      </c>
      <c r="P2173">
        <v>129</v>
      </c>
      <c r="Q2173">
        <v>2</v>
      </c>
      <c r="R2173">
        <v>-64</v>
      </c>
      <c r="S2173">
        <v>1259</v>
      </c>
      <c r="T2173">
        <v>-40</v>
      </c>
      <c r="U2173">
        <v>51</v>
      </c>
      <c r="V2173">
        <v>-770</v>
      </c>
      <c r="W2173">
        <v>27</v>
      </c>
      <c r="X2173">
        <v>27</v>
      </c>
      <c r="Y2173">
        <v>1</v>
      </c>
      <c r="Z2173">
        <v>8</v>
      </c>
      <c r="AA2173">
        <v>24</v>
      </c>
      <c r="AB2173">
        <v>2</v>
      </c>
      <c r="AC2173">
        <v>1</v>
      </c>
      <c r="AD2173">
        <v>3.2730000000000001</v>
      </c>
      <c r="AE2173">
        <v>1</v>
      </c>
      <c r="AF2173">
        <v>16</v>
      </c>
      <c r="AG2173">
        <v>3.26799989</v>
      </c>
      <c r="AH2173">
        <v>4</v>
      </c>
      <c r="AI2173">
        <v>17</v>
      </c>
      <c r="AJ2173">
        <v>1</v>
      </c>
      <c r="AK2173">
        <v>17</v>
      </c>
      <c r="AL2173">
        <v>39</v>
      </c>
      <c r="AM2173" t="s">
        <v>43</v>
      </c>
      <c r="AN2173" t="str">
        <f>HYPERLINK("https://www.google.com/maps?q=10.9335041,79.1026535","Open Location")</f>
        <v>Open Location</v>
      </c>
    </row>
    <row r="2174" spans="1:40" x14ac:dyDescent="0.3">
      <c r="A2174" s="1">
        <v>46210.748148148145</v>
      </c>
      <c r="B2174" t="s">
        <v>40</v>
      </c>
      <c r="C2174" t="s">
        <v>41</v>
      </c>
      <c r="D2174" s="1">
        <v>46210.751099537039</v>
      </c>
      <c r="E2174" t="s">
        <v>42</v>
      </c>
      <c r="F2174" t="s">
        <v>83</v>
      </c>
      <c r="G2174">
        <v>16</v>
      </c>
      <c r="H2174">
        <v>33190</v>
      </c>
      <c r="I2174" t="s">
        <v>43</v>
      </c>
      <c r="J2174">
        <v>47</v>
      </c>
      <c r="K2174">
        <v>112</v>
      </c>
      <c r="L2174">
        <v>98</v>
      </c>
      <c r="M2174">
        <v>622.5</v>
      </c>
      <c r="N2174" t="s">
        <v>87</v>
      </c>
      <c r="O2174" t="s">
        <v>86</v>
      </c>
      <c r="P2174">
        <v>129</v>
      </c>
      <c r="Q2174">
        <v>4</v>
      </c>
      <c r="R2174">
        <v>51</v>
      </c>
      <c r="S2174">
        <v>1185</v>
      </c>
      <c r="T2174">
        <v>-40</v>
      </c>
      <c r="U2174">
        <v>51</v>
      </c>
      <c r="V2174">
        <v>500</v>
      </c>
      <c r="W2174">
        <v>27</v>
      </c>
      <c r="X2174">
        <v>27</v>
      </c>
      <c r="Y2174">
        <v>1</v>
      </c>
      <c r="Z2174">
        <v>8</v>
      </c>
      <c r="AA2174">
        <v>24</v>
      </c>
      <c r="AB2174">
        <v>2</v>
      </c>
      <c r="AC2174">
        <v>1</v>
      </c>
      <c r="AD2174">
        <v>3.2520000900000001</v>
      </c>
      <c r="AE2174">
        <v>1</v>
      </c>
      <c r="AF2174">
        <v>44</v>
      </c>
      <c r="AG2174">
        <v>3.2420000999999998</v>
      </c>
      <c r="AH2174">
        <v>4</v>
      </c>
      <c r="AI2174">
        <v>24</v>
      </c>
      <c r="AJ2174">
        <v>1</v>
      </c>
      <c r="AK2174">
        <v>17</v>
      </c>
      <c r="AL2174">
        <v>39</v>
      </c>
      <c r="AM2174" t="s">
        <v>43</v>
      </c>
      <c r="AN2174" t="s">
        <v>43</v>
      </c>
    </row>
    <row r="2175" spans="1:40" x14ac:dyDescent="0.3">
      <c r="A2175" s="1">
        <v>46210.748032407406</v>
      </c>
      <c r="B2175" t="s">
        <v>40</v>
      </c>
      <c r="C2175" t="s">
        <v>41</v>
      </c>
      <c r="D2175" s="1">
        <v>46210.751122685186</v>
      </c>
      <c r="E2175" t="s">
        <v>42</v>
      </c>
      <c r="F2175" t="s">
        <v>83</v>
      </c>
      <c r="G2175">
        <v>9</v>
      </c>
      <c r="H2175">
        <v>33190</v>
      </c>
      <c r="I2175" t="s">
        <v>43</v>
      </c>
      <c r="J2175">
        <v>48</v>
      </c>
      <c r="K2175">
        <v>35</v>
      </c>
      <c r="L2175">
        <v>98</v>
      </c>
      <c r="M2175">
        <v>625.59997558999999</v>
      </c>
      <c r="N2175" t="s">
        <v>87</v>
      </c>
      <c r="O2175" t="s">
        <v>86</v>
      </c>
      <c r="P2175">
        <v>127</v>
      </c>
      <c r="Q2175">
        <v>3</v>
      </c>
      <c r="R2175">
        <v>-12</v>
      </c>
      <c r="S2175">
        <v>1787</v>
      </c>
      <c r="T2175">
        <v>-40</v>
      </c>
      <c r="U2175">
        <v>50</v>
      </c>
      <c r="V2175">
        <v>80</v>
      </c>
      <c r="W2175">
        <v>27</v>
      </c>
      <c r="X2175">
        <v>27</v>
      </c>
      <c r="Y2175">
        <v>1</v>
      </c>
      <c r="Z2175">
        <v>8</v>
      </c>
      <c r="AA2175">
        <v>24</v>
      </c>
      <c r="AB2175">
        <v>2</v>
      </c>
      <c r="AC2175">
        <v>1</v>
      </c>
      <c r="AD2175">
        <v>3.2420000999999998</v>
      </c>
      <c r="AE2175">
        <v>5</v>
      </c>
      <c r="AF2175">
        <v>38</v>
      </c>
      <c r="AG2175">
        <v>3.2269999999999999</v>
      </c>
      <c r="AH2175">
        <v>4</v>
      </c>
      <c r="AI2175">
        <v>24</v>
      </c>
      <c r="AJ2175">
        <v>1</v>
      </c>
      <c r="AK2175">
        <v>19</v>
      </c>
      <c r="AL2175">
        <v>39</v>
      </c>
      <c r="AM2175" t="s">
        <v>43</v>
      </c>
      <c r="AN2175" t="s">
        <v>43</v>
      </c>
    </row>
    <row r="2176" spans="1:40" x14ac:dyDescent="0.3">
      <c r="A2176" s="1">
        <v>46210.747916666667</v>
      </c>
      <c r="B2176" t="s">
        <v>40</v>
      </c>
      <c r="C2176" t="s">
        <v>41</v>
      </c>
      <c r="D2176" s="1">
        <v>46210.750868055555</v>
      </c>
      <c r="E2176" t="s">
        <v>42</v>
      </c>
      <c r="F2176" t="s">
        <v>83</v>
      </c>
      <c r="G2176">
        <v>24</v>
      </c>
      <c r="H2176">
        <v>33190</v>
      </c>
      <c r="I2176" t="s">
        <v>1080</v>
      </c>
      <c r="J2176">
        <v>48</v>
      </c>
      <c r="K2176">
        <v>-125</v>
      </c>
      <c r="L2176">
        <v>98</v>
      </c>
      <c r="M2176">
        <v>632.29998779000005</v>
      </c>
      <c r="N2176" t="s">
        <v>87</v>
      </c>
      <c r="O2176" t="s">
        <v>86</v>
      </c>
      <c r="P2176">
        <v>130</v>
      </c>
      <c r="Q2176">
        <v>5</v>
      </c>
      <c r="R2176">
        <v>-96</v>
      </c>
      <c r="S2176">
        <v>1190</v>
      </c>
      <c r="T2176">
        <v>-40</v>
      </c>
      <c r="U2176">
        <v>51</v>
      </c>
      <c r="V2176">
        <v>-570</v>
      </c>
      <c r="W2176">
        <v>27</v>
      </c>
      <c r="X2176">
        <v>27</v>
      </c>
      <c r="Y2176">
        <v>1</v>
      </c>
      <c r="Z2176">
        <v>8</v>
      </c>
      <c r="AA2176">
        <v>24</v>
      </c>
      <c r="AB2176">
        <v>2</v>
      </c>
      <c r="AC2176">
        <v>1</v>
      </c>
      <c r="AD2176">
        <v>3.27999997</v>
      </c>
      <c r="AE2176">
        <v>1</v>
      </c>
      <c r="AF2176">
        <v>16</v>
      </c>
      <c r="AG2176">
        <v>3.2750001000000002</v>
      </c>
      <c r="AH2176">
        <v>5</v>
      </c>
      <c r="AI2176">
        <v>10</v>
      </c>
      <c r="AJ2176">
        <v>1</v>
      </c>
      <c r="AK2176">
        <v>18</v>
      </c>
      <c r="AL2176">
        <v>39</v>
      </c>
      <c r="AM2176" t="s">
        <v>43</v>
      </c>
      <c r="AN2176" t="str">
        <f>HYPERLINK("https://www.google.com/maps?q=10.9333086,79.10342407","Open Location")</f>
        <v>Open Location</v>
      </c>
    </row>
    <row r="2177" spans="1:40" x14ac:dyDescent="0.3">
      <c r="A2177" s="1">
        <v>46210.747800925928</v>
      </c>
      <c r="B2177" t="s">
        <v>40</v>
      </c>
      <c r="C2177" t="s">
        <v>41</v>
      </c>
      <c r="D2177" s="1">
        <v>46210.750868055555</v>
      </c>
      <c r="E2177" t="s">
        <v>42</v>
      </c>
      <c r="F2177" t="s">
        <v>83</v>
      </c>
      <c r="G2177">
        <v>28</v>
      </c>
      <c r="H2177">
        <v>33190</v>
      </c>
      <c r="I2177" t="s">
        <v>1081</v>
      </c>
      <c r="J2177">
        <v>48</v>
      </c>
      <c r="K2177">
        <v>37</v>
      </c>
      <c r="L2177">
        <v>98</v>
      </c>
      <c r="M2177">
        <v>624.09997558999999</v>
      </c>
      <c r="N2177" t="s">
        <v>87</v>
      </c>
      <c r="O2177" t="s">
        <v>86</v>
      </c>
      <c r="P2177">
        <v>130</v>
      </c>
      <c r="Q2177">
        <v>5</v>
      </c>
      <c r="R2177">
        <v>54</v>
      </c>
      <c r="S2177">
        <v>1274</v>
      </c>
      <c r="T2177">
        <v>-40</v>
      </c>
      <c r="U2177">
        <v>50</v>
      </c>
      <c r="V2177">
        <v>207</v>
      </c>
      <c r="W2177">
        <v>27</v>
      </c>
      <c r="X2177">
        <v>27</v>
      </c>
      <c r="Y2177">
        <v>1</v>
      </c>
      <c r="Z2177">
        <v>8</v>
      </c>
      <c r="AA2177">
        <v>24</v>
      </c>
      <c r="AB2177">
        <v>2</v>
      </c>
      <c r="AC2177">
        <v>1</v>
      </c>
      <c r="AD2177">
        <v>3.2630000099999998</v>
      </c>
      <c r="AE2177">
        <v>5</v>
      </c>
      <c r="AF2177">
        <v>38</v>
      </c>
      <c r="AG2177">
        <v>3.25600004</v>
      </c>
      <c r="AH2177">
        <v>4</v>
      </c>
      <c r="AI2177">
        <v>24</v>
      </c>
      <c r="AJ2177">
        <v>1</v>
      </c>
      <c r="AK2177">
        <v>17</v>
      </c>
      <c r="AL2177">
        <v>39</v>
      </c>
      <c r="AM2177" t="s">
        <v>43</v>
      </c>
      <c r="AN2177" t="str">
        <f>HYPERLINK("https://www.google.com/maps?q=10.9329977,79.10418701","Open Location")</f>
        <v>Open Location</v>
      </c>
    </row>
    <row r="2178" spans="1:40" x14ac:dyDescent="0.3">
      <c r="A2178" s="1">
        <v>46210.747685185182</v>
      </c>
      <c r="B2178" t="s">
        <v>40</v>
      </c>
      <c r="C2178" t="s">
        <v>41</v>
      </c>
      <c r="D2178" s="1">
        <v>46210.750486111108</v>
      </c>
      <c r="E2178" t="s">
        <v>42</v>
      </c>
      <c r="F2178" t="s">
        <v>83</v>
      </c>
      <c r="G2178">
        <v>32</v>
      </c>
      <c r="H2178">
        <v>33190</v>
      </c>
      <c r="I2178" t="s">
        <v>1082</v>
      </c>
      <c r="J2178">
        <v>48</v>
      </c>
      <c r="K2178">
        <v>50</v>
      </c>
      <c r="L2178">
        <v>98</v>
      </c>
      <c r="M2178">
        <v>624.20001220999995</v>
      </c>
      <c r="N2178" t="s">
        <v>87</v>
      </c>
      <c r="O2178" t="s">
        <v>86</v>
      </c>
      <c r="P2178">
        <v>130</v>
      </c>
      <c r="Q2178">
        <v>5</v>
      </c>
      <c r="R2178">
        <v>30</v>
      </c>
      <c r="S2178">
        <v>1455</v>
      </c>
      <c r="T2178">
        <v>-40</v>
      </c>
      <c r="U2178">
        <v>50</v>
      </c>
      <c r="V2178">
        <v>200</v>
      </c>
      <c r="W2178">
        <v>27</v>
      </c>
      <c r="X2178">
        <v>27</v>
      </c>
      <c r="Y2178">
        <v>1</v>
      </c>
      <c r="Z2178">
        <v>8</v>
      </c>
      <c r="AA2178">
        <v>24</v>
      </c>
      <c r="AB2178">
        <v>2</v>
      </c>
      <c r="AC2178">
        <v>1</v>
      </c>
      <c r="AD2178">
        <v>3.27699995</v>
      </c>
      <c r="AE2178">
        <v>1</v>
      </c>
      <c r="AF2178">
        <v>16</v>
      </c>
      <c r="AG2178">
        <v>3.2730000000000001</v>
      </c>
      <c r="AH2178">
        <v>2</v>
      </c>
      <c r="AI2178">
        <v>6</v>
      </c>
      <c r="AJ2178">
        <v>1</v>
      </c>
      <c r="AK2178">
        <v>17</v>
      </c>
      <c r="AL2178">
        <v>39</v>
      </c>
      <c r="AM2178" t="s">
        <v>43</v>
      </c>
      <c r="AN2178" t="str">
        <f>HYPERLINK("https://www.google.com/maps?q=10.93215847,79.10448456","Open Location")</f>
        <v>Open Location</v>
      </c>
    </row>
    <row r="2179" spans="1:40" x14ac:dyDescent="0.3">
      <c r="A2179" s="1">
        <v>46210.747569444444</v>
      </c>
      <c r="B2179" t="s">
        <v>40</v>
      </c>
      <c r="C2179" t="s">
        <v>41</v>
      </c>
      <c r="D2179" s="1">
        <v>46210.750405092593</v>
      </c>
      <c r="E2179" t="s">
        <v>42</v>
      </c>
      <c r="F2179" t="s">
        <v>83</v>
      </c>
      <c r="G2179">
        <v>26</v>
      </c>
      <c r="H2179">
        <v>33190</v>
      </c>
      <c r="I2179" t="s">
        <v>1083</v>
      </c>
      <c r="J2179">
        <v>48</v>
      </c>
      <c r="K2179">
        <v>15</v>
      </c>
      <c r="L2179">
        <v>98</v>
      </c>
      <c r="M2179">
        <v>625.29998779000005</v>
      </c>
      <c r="N2179" t="s">
        <v>87</v>
      </c>
      <c r="O2179" t="s">
        <v>86</v>
      </c>
      <c r="P2179">
        <v>130</v>
      </c>
      <c r="Q2179">
        <v>5</v>
      </c>
      <c r="R2179">
        <v>72</v>
      </c>
      <c r="S2179">
        <v>1161</v>
      </c>
      <c r="T2179">
        <v>-40</v>
      </c>
      <c r="U2179">
        <v>50</v>
      </c>
      <c r="V2179">
        <v>82</v>
      </c>
      <c r="W2179">
        <v>27</v>
      </c>
      <c r="X2179">
        <v>27</v>
      </c>
      <c r="Y2179">
        <v>1</v>
      </c>
      <c r="Z2179">
        <v>8</v>
      </c>
      <c r="AA2179">
        <v>24</v>
      </c>
      <c r="AB2179">
        <v>2</v>
      </c>
      <c r="AC2179">
        <v>1</v>
      </c>
      <c r="AD2179">
        <v>3.25300002</v>
      </c>
      <c r="AE2179">
        <v>1</v>
      </c>
      <c r="AF2179">
        <v>43</v>
      </c>
      <c r="AG2179">
        <v>3.24399996</v>
      </c>
      <c r="AH2179">
        <v>4</v>
      </c>
      <c r="AI2179">
        <v>24</v>
      </c>
      <c r="AJ2179">
        <v>1</v>
      </c>
      <c r="AK2179">
        <v>18</v>
      </c>
      <c r="AL2179">
        <v>39</v>
      </c>
      <c r="AM2179" t="s">
        <v>43</v>
      </c>
      <c r="AN2179" t="str">
        <f>HYPERLINK("https://www.google.com/maps?q=10.93133354,79.10434723","Open Location")</f>
        <v>Open Location</v>
      </c>
    </row>
    <row r="2180" spans="1:40" x14ac:dyDescent="0.3">
      <c r="A2180" s="1">
        <v>46210.747453703705</v>
      </c>
      <c r="B2180" t="s">
        <v>40</v>
      </c>
      <c r="C2180" t="s">
        <v>41</v>
      </c>
      <c r="D2180" s="1">
        <v>46210.75037037037</v>
      </c>
      <c r="E2180" t="s">
        <v>42</v>
      </c>
      <c r="F2180" t="s">
        <v>83</v>
      </c>
      <c r="G2180">
        <v>30</v>
      </c>
      <c r="H2180">
        <v>33190</v>
      </c>
      <c r="I2180" t="s">
        <v>43</v>
      </c>
      <c r="J2180">
        <v>48</v>
      </c>
      <c r="K2180">
        <v>118</v>
      </c>
      <c r="L2180">
        <v>98</v>
      </c>
      <c r="M2180">
        <v>622.90002441000001</v>
      </c>
      <c r="N2180" t="s">
        <v>87</v>
      </c>
      <c r="O2180" t="s">
        <v>86</v>
      </c>
      <c r="P2180">
        <v>130</v>
      </c>
      <c r="Q2180">
        <v>5</v>
      </c>
      <c r="R2180">
        <v>51</v>
      </c>
      <c r="S2180">
        <v>1372</v>
      </c>
      <c r="T2180">
        <v>-40</v>
      </c>
      <c r="U2180">
        <v>50</v>
      </c>
      <c r="V2180">
        <v>490</v>
      </c>
      <c r="W2180">
        <v>27</v>
      </c>
      <c r="X2180">
        <v>27</v>
      </c>
      <c r="Y2180">
        <v>1</v>
      </c>
      <c r="Z2180">
        <v>8</v>
      </c>
      <c r="AA2180">
        <v>24</v>
      </c>
      <c r="AB2180">
        <v>2</v>
      </c>
      <c r="AC2180">
        <v>1</v>
      </c>
      <c r="AD2180">
        <v>3.27399993</v>
      </c>
      <c r="AE2180">
        <v>1</v>
      </c>
      <c r="AF2180">
        <v>16</v>
      </c>
      <c r="AG2180">
        <v>3.2699999800000001</v>
      </c>
      <c r="AH2180">
        <v>2</v>
      </c>
      <c r="AI2180">
        <v>6</v>
      </c>
      <c r="AJ2180">
        <v>1</v>
      </c>
      <c r="AK2180">
        <v>18</v>
      </c>
      <c r="AL2180">
        <v>39</v>
      </c>
      <c r="AM2180" t="s">
        <v>43</v>
      </c>
      <c r="AN2180" t="s">
        <v>43</v>
      </c>
    </row>
    <row r="2181" spans="1:40" x14ac:dyDescent="0.3">
      <c r="A2181" s="1">
        <v>46210.747337962966</v>
      </c>
      <c r="B2181" t="s">
        <v>40</v>
      </c>
      <c r="C2181" t="s">
        <v>41</v>
      </c>
      <c r="D2181" s="1">
        <v>46210.750277777777</v>
      </c>
      <c r="E2181" t="s">
        <v>42</v>
      </c>
      <c r="F2181" t="s">
        <v>83</v>
      </c>
      <c r="G2181">
        <v>32</v>
      </c>
      <c r="H2181">
        <v>33189</v>
      </c>
      <c r="I2181" t="s">
        <v>43</v>
      </c>
      <c r="J2181">
        <v>48</v>
      </c>
      <c r="K2181">
        <v>-33</v>
      </c>
      <c r="L2181">
        <v>98</v>
      </c>
      <c r="M2181">
        <v>627.59997558999999</v>
      </c>
      <c r="N2181" t="s">
        <v>87</v>
      </c>
      <c r="O2181" t="s">
        <v>86</v>
      </c>
      <c r="P2181">
        <v>130</v>
      </c>
      <c r="Q2181">
        <v>5</v>
      </c>
      <c r="R2181">
        <v>4</v>
      </c>
      <c r="S2181">
        <v>1486</v>
      </c>
      <c r="T2181">
        <v>-40</v>
      </c>
      <c r="U2181">
        <v>49</v>
      </c>
      <c r="V2181">
        <v>-184</v>
      </c>
      <c r="W2181">
        <v>27</v>
      </c>
      <c r="X2181">
        <v>27</v>
      </c>
      <c r="Y2181">
        <v>1</v>
      </c>
      <c r="Z2181">
        <v>8</v>
      </c>
      <c r="AA2181">
        <v>24</v>
      </c>
      <c r="AB2181">
        <v>2</v>
      </c>
      <c r="AC2181">
        <v>1</v>
      </c>
      <c r="AD2181">
        <v>3.27399993</v>
      </c>
      <c r="AE2181">
        <v>1</v>
      </c>
      <c r="AF2181">
        <v>16</v>
      </c>
      <c r="AG2181">
        <v>3.27099991</v>
      </c>
      <c r="AH2181">
        <v>1</v>
      </c>
      <c r="AI2181">
        <v>4</v>
      </c>
      <c r="AJ2181">
        <v>1</v>
      </c>
      <c r="AK2181">
        <v>18</v>
      </c>
      <c r="AL2181">
        <v>39</v>
      </c>
      <c r="AM2181" t="s">
        <v>43</v>
      </c>
      <c r="AN2181" t="s">
        <v>43</v>
      </c>
    </row>
    <row r="2182" spans="1:40" x14ac:dyDescent="0.3">
      <c r="A2182" s="1">
        <v>46210.74722222222</v>
      </c>
      <c r="B2182" t="s">
        <v>40</v>
      </c>
      <c r="C2182" t="s">
        <v>41</v>
      </c>
      <c r="D2182" s="1">
        <v>46210.75</v>
      </c>
      <c r="E2182" t="s">
        <v>42</v>
      </c>
      <c r="F2182" t="s">
        <v>83</v>
      </c>
      <c r="G2182">
        <v>34</v>
      </c>
      <c r="H2182">
        <v>33189</v>
      </c>
      <c r="I2182" t="s">
        <v>1084</v>
      </c>
      <c r="J2182">
        <v>48</v>
      </c>
      <c r="K2182">
        <v>-42</v>
      </c>
      <c r="L2182">
        <v>98</v>
      </c>
      <c r="M2182">
        <v>627.59997558999999</v>
      </c>
      <c r="N2182" t="s">
        <v>87</v>
      </c>
      <c r="O2182" t="s">
        <v>86</v>
      </c>
      <c r="P2182">
        <v>130</v>
      </c>
      <c r="Q2182">
        <v>5</v>
      </c>
      <c r="R2182">
        <v>15</v>
      </c>
      <c r="S2182">
        <v>1574</v>
      </c>
      <c r="T2182">
        <v>-40</v>
      </c>
      <c r="U2182">
        <v>50</v>
      </c>
      <c r="V2182">
        <v>-184</v>
      </c>
      <c r="W2182">
        <v>27</v>
      </c>
      <c r="X2182">
        <v>27</v>
      </c>
      <c r="Y2182">
        <v>1</v>
      </c>
      <c r="Z2182">
        <v>8</v>
      </c>
      <c r="AA2182">
        <v>24</v>
      </c>
      <c r="AB2182">
        <v>2</v>
      </c>
      <c r="AC2182">
        <v>1</v>
      </c>
      <c r="AD2182">
        <v>3.2539999499999999</v>
      </c>
      <c r="AE2182">
        <v>1</v>
      </c>
      <c r="AF2182">
        <v>42</v>
      </c>
      <c r="AG2182">
        <v>3.2460000500000001</v>
      </c>
      <c r="AH2182">
        <v>4</v>
      </c>
      <c r="AI2182">
        <v>24</v>
      </c>
      <c r="AJ2182">
        <v>1</v>
      </c>
      <c r="AK2182">
        <v>18</v>
      </c>
      <c r="AL2182">
        <v>39</v>
      </c>
      <c r="AM2182" t="s">
        <v>43</v>
      </c>
      <c r="AN2182" t="str">
        <f>HYPERLINK("https://www.google.com/maps?q=10.92948246,79.10388947","Open Location")</f>
        <v>Open Location</v>
      </c>
    </row>
    <row r="2183" spans="1:40" x14ac:dyDescent="0.3">
      <c r="A2183" s="1">
        <v>46210.747106481482</v>
      </c>
      <c r="B2183" t="s">
        <v>40</v>
      </c>
      <c r="C2183" t="s">
        <v>41</v>
      </c>
      <c r="D2183" s="1">
        <v>46210.75</v>
      </c>
      <c r="E2183" t="s">
        <v>42</v>
      </c>
      <c r="F2183" t="s">
        <v>83</v>
      </c>
      <c r="G2183">
        <v>35</v>
      </c>
      <c r="H2183">
        <v>33189</v>
      </c>
      <c r="I2183" t="s">
        <v>1085</v>
      </c>
      <c r="J2183">
        <v>48</v>
      </c>
      <c r="K2183">
        <v>84</v>
      </c>
      <c r="L2183">
        <v>98</v>
      </c>
      <c r="M2183">
        <v>621.90002441000001</v>
      </c>
      <c r="N2183" t="s">
        <v>87</v>
      </c>
      <c r="O2183" t="s">
        <v>86</v>
      </c>
      <c r="P2183">
        <v>130</v>
      </c>
      <c r="Q2183">
        <v>5</v>
      </c>
      <c r="R2183">
        <v>50</v>
      </c>
      <c r="S2183">
        <v>1593</v>
      </c>
      <c r="T2183">
        <v>-40</v>
      </c>
      <c r="U2183">
        <v>51</v>
      </c>
      <c r="V2183">
        <v>300</v>
      </c>
      <c r="W2183">
        <v>27</v>
      </c>
      <c r="X2183">
        <v>27</v>
      </c>
      <c r="Y2183">
        <v>1</v>
      </c>
      <c r="Z2183">
        <v>8</v>
      </c>
      <c r="AA2183">
        <v>24</v>
      </c>
      <c r="AB2183">
        <v>2</v>
      </c>
      <c r="AC2183">
        <v>1</v>
      </c>
      <c r="AD2183">
        <v>3.2479999099999999</v>
      </c>
      <c r="AE2183">
        <v>1</v>
      </c>
      <c r="AF2183">
        <v>43</v>
      </c>
      <c r="AG2183">
        <v>3.23799992</v>
      </c>
      <c r="AH2183">
        <v>4</v>
      </c>
      <c r="AI2183">
        <v>24</v>
      </c>
      <c r="AJ2183">
        <v>1</v>
      </c>
      <c r="AK2183">
        <v>18</v>
      </c>
      <c r="AL2183">
        <v>39</v>
      </c>
      <c r="AM2183" t="s">
        <v>43</v>
      </c>
      <c r="AN2183" t="str">
        <f>HYPERLINK("https://www.google.com/maps?q=10.9283638,79.1036377","Open Location")</f>
        <v>Open Location</v>
      </c>
    </row>
    <row r="2184" spans="1:40" x14ac:dyDescent="0.3">
      <c r="A2184" s="1">
        <v>46210.746990740743</v>
      </c>
      <c r="B2184" t="s">
        <v>40</v>
      </c>
      <c r="C2184" t="s">
        <v>41</v>
      </c>
      <c r="D2184" s="1">
        <v>46210.749768518515</v>
      </c>
      <c r="E2184" t="s">
        <v>42</v>
      </c>
      <c r="F2184" t="s">
        <v>83</v>
      </c>
      <c r="G2184">
        <v>35</v>
      </c>
      <c r="H2184">
        <v>33189</v>
      </c>
      <c r="I2184" t="s">
        <v>1086</v>
      </c>
      <c r="J2184">
        <v>48</v>
      </c>
      <c r="K2184">
        <v>78</v>
      </c>
      <c r="L2184">
        <v>98</v>
      </c>
      <c r="M2184">
        <v>622.09997558999999</v>
      </c>
      <c r="N2184" t="s">
        <v>87</v>
      </c>
      <c r="O2184" t="s">
        <v>86</v>
      </c>
      <c r="P2184">
        <v>130</v>
      </c>
      <c r="Q2184">
        <v>5</v>
      </c>
      <c r="R2184">
        <v>46</v>
      </c>
      <c r="S2184">
        <v>1594</v>
      </c>
      <c r="T2184">
        <v>-40</v>
      </c>
      <c r="U2184">
        <v>51</v>
      </c>
      <c r="V2184">
        <v>280</v>
      </c>
      <c r="W2184">
        <v>27</v>
      </c>
      <c r="X2184">
        <v>27</v>
      </c>
      <c r="Y2184">
        <v>1</v>
      </c>
      <c r="Z2184">
        <v>8</v>
      </c>
      <c r="AA2184">
        <v>24</v>
      </c>
      <c r="AB2184">
        <v>2</v>
      </c>
      <c r="AC2184">
        <v>1</v>
      </c>
      <c r="AD2184">
        <v>3.2509999299999999</v>
      </c>
      <c r="AE2184">
        <v>5</v>
      </c>
      <c r="AF2184">
        <v>38</v>
      </c>
      <c r="AG2184">
        <v>3.2420000999999998</v>
      </c>
      <c r="AH2184">
        <v>4</v>
      </c>
      <c r="AI2184">
        <v>24</v>
      </c>
      <c r="AJ2184">
        <v>1</v>
      </c>
      <c r="AK2184">
        <v>18</v>
      </c>
      <c r="AL2184">
        <v>39</v>
      </c>
      <c r="AM2184" t="s">
        <v>43</v>
      </c>
      <c r="AN2184" t="str">
        <f>HYPERLINK("https://www.google.com/maps?q=10.92733955,79.10340118","Open Location")</f>
        <v>Open Location</v>
      </c>
    </row>
    <row r="2185" spans="1:40" x14ac:dyDescent="0.3">
      <c r="A2185" s="1">
        <v>46210.746874999997</v>
      </c>
      <c r="B2185" t="s">
        <v>40</v>
      </c>
      <c r="C2185" t="s">
        <v>41</v>
      </c>
      <c r="D2185" s="1">
        <v>46210.749641203707</v>
      </c>
      <c r="E2185" t="s">
        <v>42</v>
      </c>
      <c r="F2185" t="s">
        <v>83</v>
      </c>
      <c r="G2185">
        <v>34</v>
      </c>
      <c r="H2185">
        <v>33189</v>
      </c>
      <c r="I2185" t="s">
        <v>1087</v>
      </c>
      <c r="J2185">
        <v>48</v>
      </c>
      <c r="K2185">
        <v>116</v>
      </c>
      <c r="L2185">
        <v>98</v>
      </c>
      <c r="M2185">
        <v>620.5</v>
      </c>
      <c r="N2185" t="s">
        <v>87</v>
      </c>
      <c r="O2185" t="s">
        <v>86</v>
      </c>
      <c r="P2185">
        <v>130</v>
      </c>
      <c r="Q2185">
        <v>5</v>
      </c>
      <c r="R2185">
        <v>68</v>
      </c>
      <c r="S2185">
        <v>1563</v>
      </c>
      <c r="T2185">
        <v>-40</v>
      </c>
      <c r="U2185">
        <v>52</v>
      </c>
      <c r="V2185">
        <v>420</v>
      </c>
      <c r="W2185">
        <v>27</v>
      </c>
      <c r="X2185">
        <v>27</v>
      </c>
      <c r="Y2185">
        <v>1</v>
      </c>
      <c r="Z2185">
        <v>8</v>
      </c>
      <c r="AA2185">
        <v>24</v>
      </c>
      <c r="AB2185">
        <v>2</v>
      </c>
      <c r="AC2185">
        <v>1</v>
      </c>
      <c r="AD2185">
        <v>3.2490000700000001</v>
      </c>
      <c r="AE2185">
        <v>1</v>
      </c>
      <c r="AF2185">
        <v>43</v>
      </c>
      <c r="AG2185">
        <v>3.2400000100000002</v>
      </c>
      <c r="AH2185">
        <v>4</v>
      </c>
      <c r="AI2185">
        <v>24</v>
      </c>
      <c r="AJ2185">
        <v>1</v>
      </c>
      <c r="AK2185">
        <v>18</v>
      </c>
      <c r="AL2185">
        <v>39</v>
      </c>
      <c r="AM2185" t="s">
        <v>43</v>
      </c>
      <c r="AN2185" t="str">
        <f>HYPERLINK("https://www.google.com/maps?q=10.92632198,79.10316467","Open Location")</f>
        <v>Open Location</v>
      </c>
    </row>
    <row r="2186" spans="1:40" x14ac:dyDescent="0.3">
      <c r="A2186" s="1">
        <v>46210.746759259258</v>
      </c>
      <c r="B2186" t="s">
        <v>40</v>
      </c>
      <c r="C2186" t="s">
        <v>41</v>
      </c>
      <c r="D2186" s="1">
        <v>46210.749652777777</v>
      </c>
      <c r="E2186" t="s">
        <v>42</v>
      </c>
      <c r="F2186" t="s">
        <v>83</v>
      </c>
      <c r="G2186">
        <v>34</v>
      </c>
      <c r="H2186">
        <v>33189</v>
      </c>
      <c r="I2186" t="s">
        <v>43</v>
      </c>
      <c r="J2186">
        <v>48</v>
      </c>
      <c r="K2186">
        <v>81</v>
      </c>
      <c r="L2186">
        <v>98</v>
      </c>
      <c r="M2186">
        <v>621.59997558999999</v>
      </c>
      <c r="N2186" t="s">
        <v>87</v>
      </c>
      <c r="O2186" t="s">
        <v>86</v>
      </c>
      <c r="P2186">
        <v>130</v>
      </c>
      <c r="Q2186">
        <v>5</v>
      </c>
      <c r="R2186">
        <v>48</v>
      </c>
      <c r="S2186">
        <v>1532</v>
      </c>
      <c r="T2186">
        <v>-40</v>
      </c>
      <c r="U2186">
        <v>51</v>
      </c>
      <c r="V2186">
        <v>300</v>
      </c>
      <c r="W2186">
        <v>27</v>
      </c>
      <c r="X2186">
        <v>27</v>
      </c>
      <c r="Y2186">
        <v>1</v>
      </c>
      <c r="Z2186">
        <v>8</v>
      </c>
      <c r="AA2186">
        <v>24</v>
      </c>
      <c r="AB2186">
        <v>2</v>
      </c>
      <c r="AC2186">
        <v>1</v>
      </c>
      <c r="AD2186">
        <v>3.25300002</v>
      </c>
      <c r="AE2186">
        <v>1</v>
      </c>
      <c r="AF2186">
        <v>16</v>
      </c>
      <c r="AG2186">
        <v>3.2460000500000001</v>
      </c>
      <c r="AH2186">
        <v>4</v>
      </c>
      <c r="AI2186">
        <v>24</v>
      </c>
      <c r="AJ2186">
        <v>1</v>
      </c>
      <c r="AK2186">
        <v>17</v>
      </c>
      <c r="AL2186">
        <v>39</v>
      </c>
      <c r="AM2186" t="s">
        <v>43</v>
      </c>
      <c r="AN2186" t="s">
        <v>43</v>
      </c>
    </row>
    <row r="2187" spans="1:40" x14ac:dyDescent="0.3">
      <c r="A2187" s="1">
        <v>46210.74664351852</v>
      </c>
      <c r="B2187" t="s">
        <v>40</v>
      </c>
      <c r="C2187" t="s">
        <v>41</v>
      </c>
      <c r="D2187" s="1">
        <v>46210.749513888892</v>
      </c>
      <c r="E2187" t="s">
        <v>42</v>
      </c>
      <c r="F2187" t="s">
        <v>83</v>
      </c>
      <c r="G2187">
        <v>33</v>
      </c>
      <c r="H2187">
        <v>33189</v>
      </c>
      <c r="I2187" t="s">
        <v>1088</v>
      </c>
      <c r="J2187">
        <v>48</v>
      </c>
      <c r="K2187">
        <v>85</v>
      </c>
      <c r="L2187">
        <v>98</v>
      </c>
      <c r="M2187">
        <v>621.5</v>
      </c>
      <c r="N2187" t="s">
        <v>87</v>
      </c>
      <c r="O2187" t="s">
        <v>86</v>
      </c>
      <c r="P2187">
        <v>130</v>
      </c>
      <c r="Q2187">
        <v>5</v>
      </c>
      <c r="R2187">
        <v>50</v>
      </c>
      <c r="S2187">
        <v>1506</v>
      </c>
      <c r="T2187">
        <v>-40</v>
      </c>
      <c r="U2187">
        <v>51</v>
      </c>
      <c r="V2187">
        <v>320</v>
      </c>
      <c r="W2187">
        <v>27</v>
      </c>
      <c r="X2187">
        <v>27</v>
      </c>
      <c r="Y2187">
        <v>1</v>
      </c>
      <c r="Z2187">
        <v>8</v>
      </c>
      <c r="AA2187">
        <v>24</v>
      </c>
      <c r="AB2187">
        <v>2</v>
      </c>
      <c r="AC2187">
        <v>1</v>
      </c>
      <c r="AD2187">
        <v>3.2460000500000001</v>
      </c>
      <c r="AE2187">
        <v>1</v>
      </c>
      <c r="AF2187">
        <v>44</v>
      </c>
      <c r="AG2187">
        <v>3.2360000599999998</v>
      </c>
      <c r="AH2187">
        <v>4</v>
      </c>
      <c r="AI2187">
        <v>24</v>
      </c>
      <c r="AJ2187">
        <v>1</v>
      </c>
      <c r="AK2187">
        <v>17</v>
      </c>
      <c r="AL2187">
        <v>39</v>
      </c>
      <c r="AM2187" t="s">
        <v>43</v>
      </c>
      <c r="AN2187" t="str">
        <f>HYPERLINK("https://www.google.com/maps?q=10.92532539,79.10294342","Open Location")</f>
        <v>Open Location</v>
      </c>
    </row>
    <row r="2188" spans="1:40" x14ac:dyDescent="0.3">
      <c r="A2188" s="1">
        <v>46210.746527777781</v>
      </c>
      <c r="B2188" t="s">
        <v>40</v>
      </c>
      <c r="C2188" t="s">
        <v>41</v>
      </c>
      <c r="D2188" s="1">
        <v>46210.749282407407</v>
      </c>
      <c r="E2188" t="s">
        <v>42</v>
      </c>
      <c r="F2188" t="s">
        <v>83</v>
      </c>
      <c r="G2188">
        <v>33</v>
      </c>
      <c r="H2188" t="s">
        <v>43</v>
      </c>
      <c r="I2188" t="s">
        <v>1089</v>
      </c>
      <c r="J2188">
        <v>48</v>
      </c>
      <c r="K2188">
        <v>63</v>
      </c>
      <c r="L2188">
        <v>98</v>
      </c>
      <c r="M2188">
        <v>622.5</v>
      </c>
      <c r="N2188" t="s">
        <v>87</v>
      </c>
      <c r="O2188" t="s">
        <v>86</v>
      </c>
      <c r="P2188">
        <v>130</v>
      </c>
      <c r="Q2188">
        <v>5</v>
      </c>
      <c r="R2188">
        <v>37</v>
      </c>
      <c r="S2188">
        <v>1499</v>
      </c>
      <c r="T2188">
        <v>-40</v>
      </c>
      <c r="U2188">
        <v>51</v>
      </c>
      <c r="V2188">
        <v>240</v>
      </c>
      <c r="W2188">
        <v>27</v>
      </c>
      <c r="X2188">
        <v>27</v>
      </c>
      <c r="Y2188">
        <v>1</v>
      </c>
      <c r="Z2188">
        <v>8</v>
      </c>
      <c r="AA2188">
        <v>24</v>
      </c>
      <c r="AB2188">
        <v>2</v>
      </c>
      <c r="AC2188">
        <v>1</v>
      </c>
      <c r="AD2188">
        <v>3.2449998899999999</v>
      </c>
      <c r="AE2188">
        <v>1</v>
      </c>
      <c r="AF2188">
        <v>38</v>
      </c>
      <c r="AG2188">
        <v>3.2349999</v>
      </c>
      <c r="AH2188">
        <v>6</v>
      </c>
      <c r="AI2188">
        <v>24</v>
      </c>
      <c r="AJ2188">
        <v>1</v>
      </c>
      <c r="AK2188">
        <v>17</v>
      </c>
      <c r="AL2188">
        <v>39</v>
      </c>
      <c r="AM2188" t="s">
        <v>43</v>
      </c>
      <c r="AN2188" t="str">
        <f>HYPERLINK("https://www.google.com/maps?q=10.92434502,79.10272217","Open Location")</f>
        <v>Open Location</v>
      </c>
    </row>
    <row r="2189" spans="1:40" x14ac:dyDescent="0.3">
      <c r="A2189" s="1">
        <v>46210.746412037035</v>
      </c>
      <c r="B2189" t="s">
        <v>40</v>
      </c>
      <c r="C2189" t="s">
        <v>41</v>
      </c>
      <c r="D2189" s="1">
        <v>46210.749282407407</v>
      </c>
      <c r="E2189" t="s">
        <v>42</v>
      </c>
      <c r="F2189" t="s">
        <v>83</v>
      </c>
      <c r="G2189">
        <v>33</v>
      </c>
      <c r="H2189">
        <v>33189</v>
      </c>
      <c r="I2189" t="s">
        <v>1090</v>
      </c>
      <c r="J2189">
        <v>48</v>
      </c>
      <c r="K2189">
        <v>63</v>
      </c>
      <c r="L2189">
        <v>98</v>
      </c>
      <c r="M2189">
        <v>622</v>
      </c>
      <c r="N2189" t="s">
        <v>87</v>
      </c>
      <c r="O2189" t="s">
        <v>86</v>
      </c>
      <c r="P2189">
        <v>130</v>
      </c>
      <c r="Q2189">
        <v>5</v>
      </c>
      <c r="R2189">
        <v>41</v>
      </c>
      <c r="S2189">
        <v>1479</v>
      </c>
      <c r="T2189">
        <v>-40</v>
      </c>
      <c r="U2189">
        <v>53</v>
      </c>
      <c r="V2189">
        <v>184</v>
      </c>
      <c r="W2189">
        <v>27</v>
      </c>
      <c r="X2189">
        <v>27</v>
      </c>
      <c r="Y2189">
        <v>1</v>
      </c>
      <c r="Z2189">
        <v>8</v>
      </c>
      <c r="AA2189">
        <v>24</v>
      </c>
      <c r="AB2189">
        <v>2</v>
      </c>
      <c r="AC2189">
        <v>1</v>
      </c>
      <c r="AD2189">
        <v>3.24399996</v>
      </c>
      <c r="AE2189">
        <v>1</v>
      </c>
      <c r="AF2189">
        <v>42</v>
      </c>
      <c r="AG2189">
        <v>3.2339999700000002</v>
      </c>
      <c r="AH2189">
        <v>4</v>
      </c>
      <c r="AI2189">
        <v>24</v>
      </c>
      <c r="AJ2189">
        <v>1</v>
      </c>
      <c r="AK2189">
        <v>17</v>
      </c>
      <c r="AL2189">
        <v>39</v>
      </c>
      <c r="AM2189" t="s">
        <v>43</v>
      </c>
      <c r="AN2189" t="str">
        <f>HYPERLINK("https://www.google.com/maps?q=10.92337513,79.10250092","Open Location")</f>
        <v>Open Location</v>
      </c>
    </row>
    <row r="2190" spans="1:40" x14ac:dyDescent="0.3">
      <c r="A2190" s="1">
        <v>46210.746296296296</v>
      </c>
      <c r="B2190" t="s">
        <v>40</v>
      </c>
      <c r="C2190" t="s">
        <v>41</v>
      </c>
      <c r="D2190" s="1">
        <v>46210.749050925922</v>
      </c>
      <c r="E2190" t="s">
        <v>42</v>
      </c>
      <c r="F2190" t="s">
        <v>83</v>
      </c>
      <c r="G2190">
        <v>30</v>
      </c>
      <c r="H2190">
        <v>33189</v>
      </c>
      <c r="I2190" t="s">
        <v>1091</v>
      </c>
      <c r="J2190">
        <v>48</v>
      </c>
      <c r="K2190">
        <v>182</v>
      </c>
      <c r="L2190">
        <v>98</v>
      </c>
      <c r="M2190">
        <v>616.59997558999999</v>
      </c>
      <c r="N2190" t="s">
        <v>87</v>
      </c>
      <c r="O2190" t="s">
        <v>86</v>
      </c>
      <c r="P2190">
        <v>130</v>
      </c>
      <c r="Q2190">
        <v>5</v>
      </c>
      <c r="R2190">
        <v>111</v>
      </c>
      <c r="S2190">
        <v>1347</v>
      </c>
      <c r="T2190">
        <v>-40</v>
      </c>
      <c r="U2190">
        <v>54</v>
      </c>
      <c r="V2190">
        <v>780</v>
      </c>
      <c r="W2190">
        <v>27</v>
      </c>
      <c r="X2190">
        <v>27</v>
      </c>
      <c r="Y2190">
        <v>1</v>
      </c>
      <c r="Z2190">
        <v>8</v>
      </c>
      <c r="AA2190">
        <v>24</v>
      </c>
      <c r="AB2190">
        <v>2</v>
      </c>
      <c r="AC2190">
        <v>1</v>
      </c>
      <c r="AD2190">
        <v>3.2269999999999999</v>
      </c>
      <c r="AE2190">
        <v>1</v>
      </c>
      <c r="AF2190">
        <v>39</v>
      </c>
      <c r="AG2190">
        <v>3.21199989</v>
      </c>
      <c r="AH2190">
        <v>4</v>
      </c>
      <c r="AI2190">
        <v>24</v>
      </c>
      <c r="AJ2190">
        <v>1</v>
      </c>
      <c r="AK2190">
        <v>17</v>
      </c>
      <c r="AL2190">
        <v>39</v>
      </c>
      <c r="AM2190" t="s">
        <v>43</v>
      </c>
      <c r="AN2190" t="str">
        <f>HYPERLINK("https://www.google.com/maps?q=10.92245197,79.10230255","Open Location")</f>
        <v>Open Location</v>
      </c>
    </row>
    <row r="2191" spans="1:40" x14ac:dyDescent="0.3">
      <c r="A2191" s="1">
        <v>46210.746180555558</v>
      </c>
      <c r="B2191" t="s">
        <v>40</v>
      </c>
      <c r="C2191" t="s">
        <v>41</v>
      </c>
      <c r="D2191" s="1">
        <v>46210.749097222222</v>
      </c>
      <c r="E2191" t="s">
        <v>42</v>
      </c>
      <c r="F2191" t="s">
        <v>83</v>
      </c>
      <c r="G2191">
        <v>25</v>
      </c>
      <c r="H2191">
        <v>33189</v>
      </c>
      <c r="I2191" t="s">
        <v>43</v>
      </c>
      <c r="J2191">
        <v>48</v>
      </c>
      <c r="K2191">
        <v>104</v>
      </c>
      <c r="L2191">
        <v>98</v>
      </c>
      <c r="M2191">
        <v>619</v>
      </c>
      <c r="N2191" t="s">
        <v>87</v>
      </c>
      <c r="O2191" t="s">
        <v>86</v>
      </c>
      <c r="P2191">
        <v>130</v>
      </c>
      <c r="Q2191">
        <v>5</v>
      </c>
      <c r="R2191">
        <v>94</v>
      </c>
      <c r="S2191">
        <v>1134</v>
      </c>
      <c r="T2191">
        <v>-40</v>
      </c>
      <c r="U2191">
        <v>52</v>
      </c>
      <c r="V2191">
        <v>500</v>
      </c>
      <c r="W2191">
        <v>27</v>
      </c>
      <c r="X2191">
        <v>27</v>
      </c>
      <c r="Y2191">
        <v>1</v>
      </c>
      <c r="Z2191">
        <v>8</v>
      </c>
      <c r="AA2191">
        <v>24</v>
      </c>
      <c r="AB2191">
        <v>2</v>
      </c>
      <c r="AC2191">
        <v>1</v>
      </c>
      <c r="AD2191">
        <v>3.2400000100000002</v>
      </c>
      <c r="AE2191">
        <v>1</v>
      </c>
      <c r="AF2191">
        <v>42</v>
      </c>
      <c r="AG2191">
        <v>3.2279999300000002</v>
      </c>
      <c r="AH2191">
        <v>4</v>
      </c>
      <c r="AI2191">
        <v>24</v>
      </c>
      <c r="AJ2191">
        <v>1</v>
      </c>
      <c r="AK2191">
        <v>17</v>
      </c>
      <c r="AL2191">
        <v>39</v>
      </c>
      <c r="AM2191" t="s">
        <v>43</v>
      </c>
      <c r="AN2191" t="s">
        <v>43</v>
      </c>
    </row>
    <row r="2192" spans="1:40" x14ac:dyDescent="0.3">
      <c r="A2192" s="1">
        <v>46210.746064814812</v>
      </c>
      <c r="B2192" t="s">
        <v>40</v>
      </c>
      <c r="C2192" t="s">
        <v>41</v>
      </c>
      <c r="D2192" s="1">
        <v>46210.74900462963</v>
      </c>
      <c r="E2192" t="s">
        <v>42</v>
      </c>
      <c r="F2192" t="s">
        <v>83</v>
      </c>
      <c r="G2192">
        <v>22</v>
      </c>
      <c r="H2192">
        <v>33189</v>
      </c>
      <c r="I2192" t="s">
        <v>1092</v>
      </c>
      <c r="J2192">
        <v>48</v>
      </c>
      <c r="K2192">
        <v>259</v>
      </c>
      <c r="L2192">
        <v>98</v>
      </c>
      <c r="M2192">
        <v>615.09997558999999</v>
      </c>
      <c r="N2192" t="s">
        <v>87</v>
      </c>
      <c r="O2192" t="s">
        <v>86</v>
      </c>
      <c r="P2192">
        <v>129</v>
      </c>
      <c r="Q2192">
        <v>4</v>
      </c>
      <c r="R2192">
        <v>137</v>
      </c>
      <c r="S2192">
        <v>1552</v>
      </c>
      <c r="T2192">
        <v>-40</v>
      </c>
      <c r="U2192">
        <v>53</v>
      </c>
      <c r="V2192">
        <v>940</v>
      </c>
      <c r="W2192">
        <v>27</v>
      </c>
      <c r="X2192">
        <v>27</v>
      </c>
      <c r="Y2192">
        <v>1</v>
      </c>
      <c r="Z2192">
        <v>8</v>
      </c>
      <c r="AA2192">
        <v>23</v>
      </c>
      <c r="AB2192">
        <v>7</v>
      </c>
      <c r="AC2192">
        <v>6</v>
      </c>
      <c r="AD2192">
        <v>3.2300000199999999</v>
      </c>
      <c r="AE2192">
        <v>5</v>
      </c>
      <c r="AF2192">
        <v>38</v>
      </c>
      <c r="AG2192">
        <v>3.21399999</v>
      </c>
      <c r="AH2192">
        <v>6</v>
      </c>
      <c r="AI2192">
        <v>24</v>
      </c>
      <c r="AJ2192">
        <v>1</v>
      </c>
      <c r="AK2192">
        <v>17</v>
      </c>
      <c r="AL2192">
        <v>39</v>
      </c>
      <c r="AM2192" t="s">
        <v>43</v>
      </c>
      <c r="AN2192" t="str">
        <f>HYPERLINK("https://www.google.com/maps?q=10.92161942,79.10211945","Open Location")</f>
        <v>Open Location</v>
      </c>
    </row>
    <row r="2193" spans="1:40" x14ac:dyDescent="0.3">
      <c r="A2193" s="1">
        <v>46210.745949074073</v>
      </c>
      <c r="B2193" t="s">
        <v>40</v>
      </c>
      <c r="C2193" t="s">
        <v>41</v>
      </c>
      <c r="D2193" s="1">
        <v>46210.748900462961</v>
      </c>
      <c r="E2193" t="s">
        <v>42</v>
      </c>
      <c r="F2193" t="s">
        <v>83</v>
      </c>
      <c r="G2193">
        <v>14</v>
      </c>
      <c r="H2193">
        <v>33188</v>
      </c>
      <c r="I2193" t="s">
        <v>1093</v>
      </c>
      <c r="J2193">
        <v>48</v>
      </c>
      <c r="K2193">
        <v>29</v>
      </c>
      <c r="L2193">
        <v>98</v>
      </c>
      <c r="M2193">
        <v>625.70001220999995</v>
      </c>
      <c r="N2193" t="s">
        <v>87</v>
      </c>
      <c r="O2193" t="s">
        <v>86</v>
      </c>
      <c r="P2193">
        <v>129</v>
      </c>
      <c r="Q2193">
        <v>4</v>
      </c>
      <c r="R2193">
        <v>-13</v>
      </c>
      <c r="S2193">
        <v>1139</v>
      </c>
      <c r="T2193">
        <v>-40</v>
      </c>
      <c r="U2193">
        <v>51</v>
      </c>
      <c r="V2193">
        <v>28</v>
      </c>
      <c r="W2193">
        <v>27</v>
      </c>
      <c r="X2193">
        <v>27</v>
      </c>
      <c r="Y2193">
        <v>1</v>
      </c>
      <c r="Z2193">
        <v>8</v>
      </c>
      <c r="AA2193">
        <v>23</v>
      </c>
      <c r="AB2193">
        <v>7</v>
      </c>
      <c r="AC2193">
        <v>5</v>
      </c>
      <c r="AD2193">
        <v>3.2400000100000002</v>
      </c>
      <c r="AE2193">
        <v>5</v>
      </c>
      <c r="AF2193">
        <v>38</v>
      </c>
      <c r="AG2193">
        <v>3.22600007</v>
      </c>
      <c r="AH2193">
        <v>4</v>
      </c>
      <c r="AI2193">
        <v>17</v>
      </c>
      <c r="AJ2193">
        <v>1</v>
      </c>
      <c r="AK2193">
        <v>17</v>
      </c>
      <c r="AL2193">
        <v>39</v>
      </c>
      <c r="AM2193" t="s">
        <v>43</v>
      </c>
      <c r="AN2193" t="str">
        <f>HYPERLINK("https://www.google.com/maps?q=10.92103004,79.10199738","Open Location")</f>
        <v>Open Location</v>
      </c>
    </row>
    <row r="2194" spans="1:40" x14ac:dyDescent="0.3">
      <c r="A2194" s="1">
        <v>46210.745833333334</v>
      </c>
      <c r="B2194" t="s">
        <v>40</v>
      </c>
      <c r="C2194" t="s">
        <v>41</v>
      </c>
      <c r="D2194" s="1">
        <v>46210.748900462961</v>
      </c>
      <c r="E2194" t="s">
        <v>42</v>
      </c>
      <c r="F2194" t="s">
        <v>83</v>
      </c>
      <c r="G2194">
        <v>16</v>
      </c>
      <c r="H2194">
        <v>33188</v>
      </c>
      <c r="I2194" t="s">
        <v>1094</v>
      </c>
      <c r="J2194">
        <v>48</v>
      </c>
      <c r="K2194">
        <v>-55</v>
      </c>
      <c r="L2194">
        <v>98</v>
      </c>
      <c r="M2194">
        <v>629.90002441000001</v>
      </c>
      <c r="N2194" t="s">
        <v>87</v>
      </c>
      <c r="O2194" t="s">
        <v>86</v>
      </c>
      <c r="P2194">
        <v>130</v>
      </c>
      <c r="Q2194">
        <v>3</v>
      </c>
      <c r="R2194">
        <v>-56</v>
      </c>
      <c r="S2194">
        <v>889</v>
      </c>
      <c r="T2194">
        <v>-40</v>
      </c>
      <c r="U2194">
        <v>51</v>
      </c>
      <c r="V2194">
        <v>-616</v>
      </c>
      <c r="W2194">
        <v>27</v>
      </c>
      <c r="X2194">
        <v>27</v>
      </c>
      <c r="Y2194">
        <v>1</v>
      </c>
      <c r="Z2194">
        <v>8</v>
      </c>
      <c r="AA2194">
        <v>23</v>
      </c>
      <c r="AB2194">
        <v>7</v>
      </c>
      <c r="AC2194">
        <v>5</v>
      </c>
      <c r="AD2194">
        <v>3.2650001</v>
      </c>
      <c r="AE2194">
        <v>1</v>
      </c>
      <c r="AF2194">
        <v>1</v>
      </c>
      <c r="AG2194">
        <v>3.25900006</v>
      </c>
      <c r="AH2194">
        <v>4</v>
      </c>
      <c r="AI2194">
        <v>17</v>
      </c>
      <c r="AJ2194">
        <v>1</v>
      </c>
      <c r="AK2194">
        <v>18</v>
      </c>
      <c r="AL2194">
        <v>39</v>
      </c>
      <c r="AM2194" t="s">
        <v>43</v>
      </c>
      <c r="AN2194" t="str">
        <f>HYPERLINK("https://www.google.com/maps?q=10.92060184,79.10194397","Open Location")</f>
        <v>Open Location</v>
      </c>
    </row>
    <row r="2195" spans="1:40" x14ac:dyDescent="0.3">
      <c r="A2195" s="1">
        <v>46210.745717592596</v>
      </c>
      <c r="B2195" t="s">
        <v>40</v>
      </c>
      <c r="C2195" t="s">
        <v>41</v>
      </c>
      <c r="D2195" s="1">
        <v>46210.748912037037</v>
      </c>
      <c r="E2195" t="s">
        <v>42</v>
      </c>
      <c r="F2195" t="s">
        <v>83</v>
      </c>
      <c r="G2195">
        <v>32</v>
      </c>
      <c r="H2195">
        <v>33188</v>
      </c>
      <c r="I2195" t="s">
        <v>1095</v>
      </c>
      <c r="J2195">
        <v>48</v>
      </c>
      <c r="K2195">
        <v>275</v>
      </c>
      <c r="L2195">
        <v>98</v>
      </c>
      <c r="M2195">
        <v>614.5</v>
      </c>
      <c r="N2195" t="s">
        <v>87</v>
      </c>
      <c r="O2195" t="s">
        <v>86</v>
      </c>
      <c r="P2195">
        <v>130</v>
      </c>
      <c r="Q2195">
        <v>5</v>
      </c>
      <c r="R2195">
        <v>72</v>
      </c>
      <c r="S2195">
        <v>1458</v>
      </c>
      <c r="T2195">
        <v>-40</v>
      </c>
      <c r="U2195">
        <v>55</v>
      </c>
      <c r="V2195">
        <v>1030</v>
      </c>
      <c r="W2195">
        <v>27</v>
      </c>
      <c r="X2195">
        <v>27</v>
      </c>
      <c r="Y2195">
        <v>1</v>
      </c>
      <c r="Z2195">
        <v>8</v>
      </c>
      <c r="AA2195">
        <v>23</v>
      </c>
      <c r="AB2195">
        <v>2</v>
      </c>
      <c r="AC2195">
        <v>6</v>
      </c>
      <c r="AD2195">
        <v>3.2639999400000002</v>
      </c>
      <c r="AE2195">
        <v>1</v>
      </c>
      <c r="AF2195">
        <v>39</v>
      </c>
      <c r="AG2195">
        <v>3.2599999899999998</v>
      </c>
      <c r="AH2195">
        <v>2</v>
      </c>
      <c r="AI2195">
        <v>6</v>
      </c>
      <c r="AJ2195">
        <v>1</v>
      </c>
      <c r="AK2195">
        <v>17</v>
      </c>
      <c r="AL2195">
        <v>39</v>
      </c>
      <c r="AM2195" t="s">
        <v>43</v>
      </c>
      <c r="AN2195" t="str">
        <f>HYPERLINK("https://www.google.com/maps?q=10.91981506,79.10195923","Open Location")</f>
        <v>Open Location</v>
      </c>
    </row>
    <row r="2196" spans="1:40" x14ac:dyDescent="0.3">
      <c r="A2196" s="1">
        <v>46210.74560185185</v>
      </c>
      <c r="B2196" t="s">
        <v>40</v>
      </c>
      <c r="C2196" t="s">
        <v>41</v>
      </c>
      <c r="D2196" s="1">
        <v>46210.748368055552</v>
      </c>
      <c r="E2196" t="s">
        <v>42</v>
      </c>
      <c r="F2196" t="s">
        <v>83</v>
      </c>
      <c r="G2196">
        <v>30</v>
      </c>
      <c r="H2196">
        <v>33188</v>
      </c>
      <c r="I2196" t="s">
        <v>1096</v>
      </c>
      <c r="J2196">
        <v>48</v>
      </c>
      <c r="K2196">
        <v>189</v>
      </c>
      <c r="L2196">
        <v>98</v>
      </c>
      <c r="M2196">
        <v>617.29998779000005</v>
      </c>
      <c r="N2196" t="s">
        <v>87</v>
      </c>
      <c r="O2196" t="s">
        <v>86</v>
      </c>
      <c r="P2196">
        <v>130</v>
      </c>
      <c r="Q2196">
        <v>5</v>
      </c>
      <c r="R2196">
        <v>124</v>
      </c>
      <c r="S2196">
        <v>1350</v>
      </c>
      <c r="T2196">
        <v>-40</v>
      </c>
      <c r="U2196">
        <v>51</v>
      </c>
      <c r="V2196">
        <v>840</v>
      </c>
      <c r="W2196">
        <v>27</v>
      </c>
      <c r="X2196">
        <v>27</v>
      </c>
      <c r="Y2196">
        <v>1</v>
      </c>
      <c r="Z2196">
        <v>8</v>
      </c>
      <c r="AA2196">
        <v>23</v>
      </c>
      <c r="AB2196">
        <v>2</v>
      </c>
      <c r="AC2196">
        <v>6</v>
      </c>
      <c r="AD2196">
        <v>3.2090001099999999</v>
      </c>
      <c r="AE2196">
        <v>5</v>
      </c>
      <c r="AF2196">
        <v>38</v>
      </c>
      <c r="AG2196">
        <v>3.18499994</v>
      </c>
      <c r="AH2196">
        <v>4</v>
      </c>
      <c r="AI2196">
        <v>24</v>
      </c>
      <c r="AJ2196">
        <v>1</v>
      </c>
      <c r="AK2196">
        <v>17</v>
      </c>
      <c r="AL2196">
        <v>39</v>
      </c>
      <c r="AM2196" t="s">
        <v>43</v>
      </c>
      <c r="AN2196" t="str">
        <f>HYPERLINK("https://www.google.com/maps?q=10.91888618,79.10198975","Open Location")</f>
        <v>Open Location</v>
      </c>
    </row>
    <row r="2197" spans="1:40" x14ac:dyDescent="0.3">
      <c r="A2197" s="1">
        <v>46210.745486111111</v>
      </c>
      <c r="B2197" t="s">
        <v>40</v>
      </c>
      <c r="C2197" t="s">
        <v>41</v>
      </c>
      <c r="D2197" s="1">
        <v>46210.748379629629</v>
      </c>
      <c r="E2197" t="s">
        <v>42</v>
      </c>
      <c r="F2197" t="s">
        <v>83</v>
      </c>
      <c r="G2197">
        <v>32</v>
      </c>
      <c r="H2197">
        <v>33188</v>
      </c>
      <c r="I2197" t="s">
        <v>43</v>
      </c>
      <c r="J2197">
        <v>49</v>
      </c>
      <c r="K2197">
        <v>57</v>
      </c>
      <c r="L2197">
        <v>98</v>
      </c>
      <c r="M2197">
        <v>624</v>
      </c>
      <c r="N2197" t="s">
        <v>87</v>
      </c>
      <c r="O2197" t="s">
        <v>86</v>
      </c>
      <c r="P2197">
        <v>130</v>
      </c>
      <c r="Q2197">
        <v>5</v>
      </c>
      <c r="R2197">
        <v>67</v>
      </c>
      <c r="S2197">
        <v>1500</v>
      </c>
      <c r="T2197">
        <v>-40</v>
      </c>
      <c r="U2197">
        <v>49</v>
      </c>
      <c r="V2197">
        <v>272</v>
      </c>
      <c r="W2197">
        <v>27</v>
      </c>
      <c r="X2197">
        <v>27</v>
      </c>
      <c r="Y2197">
        <v>1</v>
      </c>
      <c r="Z2197">
        <v>8</v>
      </c>
      <c r="AA2197">
        <v>23</v>
      </c>
      <c r="AB2197">
        <v>2</v>
      </c>
      <c r="AC2197">
        <v>6</v>
      </c>
      <c r="AD2197">
        <v>3.2539999499999999</v>
      </c>
      <c r="AE2197">
        <v>1</v>
      </c>
      <c r="AF2197">
        <v>44</v>
      </c>
      <c r="AG2197">
        <v>3.24399996</v>
      </c>
      <c r="AH2197">
        <v>6</v>
      </c>
      <c r="AI2197">
        <v>24</v>
      </c>
      <c r="AJ2197">
        <v>1</v>
      </c>
      <c r="AK2197">
        <v>17</v>
      </c>
      <c r="AL2197">
        <v>39</v>
      </c>
      <c r="AM2197" t="s">
        <v>43</v>
      </c>
      <c r="AN2197" t="s">
        <v>43</v>
      </c>
    </row>
    <row r="2198" spans="1:40" x14ac:dyDescent="0.3">
      <c r="A2198" s="1">
        <v>46210.745370370372</v>
      </c>
      <c r="B2198" t="s">
        <v>40</v>
      </c>
      <c r="C2198" t="s">
        <v>41</v>
      </c>
      <c r="D2198" s="1">
        <v>46210.748090277775</v>
      </c>
      <c r="E2198" t="s">
        <v>42</v>
      </c>
      <c r="F2198" t="s">
        <v>83</v>
      </c>
      <c r="G2198">
        <v>37</v>
      </c>
      <c r="H2198" t="s">
        <v>43</v>
      </c>
      <c r="I2198" t="s">
        <v>1097</v>
      </c>
      <c r="J2198">
        <v>49</v>
      </c>
      <c r="K2198">
        <v>-45</v>
      </c>
      <c r="L2198">
        <v>98</v>
      </c>
      <c r="M2198">
        <v>629.09997558999999</v>
      </c>
      <c r="N2198" t="s">
        <v>87</v>
      </c>
      <c r="O2198" t="s">
        <v>86</v>
      </c>
      <c r="P2198">
        <v>131</v>
      </c>
      <c r="Q2198">
        <v>6</v>
      </c>
      <c r="R2198">
        <v>-33</v>
      </c>
      <c r="S2198">
        <v>1059</v>
      </c>
      <c r="T2198">
        <v>-40</v>
      </c>
      <c r="U2198">
        <v>49</v>
      </c>
      <c r="V2198">
        <v>-300</v>
      </c>
      <c r="W2198">
        <v>27</v>
      </c>
      <c r="X2198">
        <v>27</v>
      </c>
      <c r="Y2198">
        <v>1</v>
      </c>
      <c r="Z2198">
        <v>8</v>
      </c>
      <c r="AA2198">
        <v>23</v>
      </c>
      <c r="AB2198">
        <v>2</v>
      </c>
      <c r="AC2198">
        <v>6</v>
      </c>
      <c r="AD2198">
        <v>3.27999997</v>
      </c>
      <c r="AE2198">
        <v>1</v>
      </c>
      <c r="AF2198">
        <v>16</v>
      </c>
      <c r="AG2198">
        <v>3.27699995</v>
      </c>
      <c r="AH2198">
        <v>1</v>
      </c>
      <c r="AI2198">
        <v>4</v>
      </c>
      <c r="AJ2198">
        <v>1</v>
      </c>
      <c r="AK2198">
        <v>17</v>
      </c>
      <c r="AL2198">
        <v>39</v>
      </c>
      <c r="AM2198" t="s">
        <v>43</v>
      </c>
      <c r="AN2198" t="str">
        <f>HYPERLINK("https://www.google.com/maps?q=10.91790199,79.10201263","Open Location")</f>
        <v>Open Location</v>
      </c>
    </row>
    <row r="2199" spans="1:40" x14ac:dyDescent="0.3">
      <c r="A2199" s="1">
        <v>46210.745254629626</v>
      </c>
      <c r="B2199" t="s">
        <v>40</v>
      </c>
      <c r="C2199" t="s">
        <v>41</v>
      </c>
      <c r="D2199" s="1">
        <v>46210.748344907406</v>
      </c>
      <c r="E2199" t="s">
        <v>42</v>
      </c>
      <c r="F2199" t="s">
        <v>83</v>
      </c>
      <c r="G2199">
        <v>40</v>
      </c>
      <c r="H2199">
        <v>33188</v>
      </c>
      <c r="I2199" t="s">
        <v>1098</v>
      </c>
      <c r="J2199">
        <v>49</v>
      </c>
      <c r="K2199">
        <v>-50</v>
      </c>
      <c r="L2199">
        <v>98</v>
      </c>
      <c r="M2199">
        <v>627.59997558999999</v>
      </c>
      <c r="N2199" t="s">
        <v>87</v>
      </c>
      <c r="O2199" t="s">
        <v>86</v>
      </c>
      <c r="P2199">
        <v>131</v>
      </c>
      <c r="Q2199">
        <v>6</v>
      </c>
      <c r="R2199">
        <v>-36</v>
      </c>
      <c r="S2199">
        <v>1142</v>
      </c>
      <c r="T2199">
        <v>-40</v>
      </c>
      <c r="U2199">
        <v>50</v>
      </c>
      <c r="V2199">
        <v>-300</v>
      </c>
      <c r="W2199">
        <v>27</v>
      </c>
      <c r="X2199">
        <v>27</v>
      </c>
      <c r="Y2199">
        <v>1</v>
      </c>
      <c r="Z2199">
        <v>8</v>
      </c>
      <c r="AA2199">
        <v>23</v>
      </c>
      <c r="AB2199">
        <v>2</v>
      </c>
      <c r="AC2199">
        <v>6</v>
      </c>
      <c r="AD2199">
        <v>3.2760000200000001</v>
      </c>
      <c r="AE2199">
        <v>1</v>
      </c>
      <c r="AF2199">
        <v>16</v>
      </c>
      <c r="AG2199">
        <v>3.2730000000000001</v>
      </c>
      <c r="AH2199">
        <v>2</v>
      </c>
      <c r="AI2199">
        <v>6</v>
      </c>
      <c r="AJ2199">
        <v>1</v>
      </c>
      <c r="AK2199">
        <v>17</v>
      </c>
      <c r="AL2199">
        <v>39</v>
      </c>
      <c r="AM2199" t="s">
        <v>43</v>
      </c>
      <c r="AN2199" t="str">
        <f>HYPERLINK("https://www.google.com/maps?q=10.91675758,79.10212708","Open Location")</f>
        <v>Open Location</v>
      </c>
    </row>
    <row r="2200" spans="1:40" x14ac:dyDescent="0.3">
      <c r="A2200" s="1">
        <v>46210.745138888888</v>
      </c>
      <c r="B2200" t="s">
        <v>40</v>
      </c>
      <c r="C2200" t="s">
        <v>41</v>
      </c>
      <c r="D2200" s="1">
        <v>46210.748020833336</v>
      </c>
      <c r="E2200" t="s">
        <v>42</v>
      </c>
      <c r="F2200" t="s">
        <v>83</v>
      </c>
      <c r="G2200">
        <v>42</v>
      </c>
      <c r="H2200">
        <v>33188</v>
      </c>
      <c r="I2200" t="s">
        <v>1099</v>
      </c>
      <c r="J2200">
        <v>49</v>
      </c>
      <c r="K2200">
        <v>101</v>
      </c>
      <c r="L2200">
        <v>98</v>
      </c>
      <c r="M2200">
        <v>621.09997558999999</v>
      </c>
      <c r="N2200" t="s">
        <v>87</v>
      </c>
      <c r="O2200" t="s">
        <v>86</v>
      </c>
      <c r="P2200">
        <v>131</v>
      </c>
      <c r="Q2200">
        <v>6</v>
      </c>
      <c r="R2200">
        <v>58</v>
      </c>
      <c r="S2200">
        <v>1172</v>
      </c>
      <c r="T2200">
        <v>-40</v>
      </c>
      <c r="U2200">
        <v>51</v>
      </c>
      <c r="V2200">
        <v>480</v>
      </c>
      <c r="W2200">
        <v>27</v>
      </c>
      <c r="X2200">
        <v>27</v>
      </c>
      <c r="Y2200">
        <v>1</v>
      </c>
      <c r="Z2200">
        <v>8</v>
      </c>
      <c r="AA2200">
        <v>23</v>
      </c>
      <c r="AB2200">
        <v>2</v>
      </c>
      <c r="AC2200">
        <v>6</v>
      </c>
      <c r="AD2200">
        <v>3.24399996</v>
      </c>
      <c r="AE2200">
        <v>1</v>
      </c>
      <c r="AF2200">
        <v>42</v>
      </c>
      <c r="AG2200">
        <v>3.23200011</v>
      </c>
      <c r="AH2200">
        <v>7</v>
      </c>
      <c r="AI2200">
        <v>19</v>
      </c>
      <c r="AJ2200">
        <v>1</v>
      </c>
      <c r="AK2200">
        <v>17</v>
      </c>
      <c r="AL2200">
        <v>39</v>
      </c>
      <c r="AM2200" t="s">
        <v>43</v>
      </c>
      <c r="AN2200" t="str">
        <f>HYPERLINK("https://www.google.com/maps?q=10.91540623,79.10217285","Open Location")</f>
        <v>Open Location</v>
      </c>
    </row>
    <row r="2201" spans="1:40" x14ac:dyDescent="0.3">
      <c r="A2201" s="1">
        <v>46210.745023148149</v>
      </c>
      <c r="B2201" t="s">
        <v>40</v>
      </c>
      <c r="C2201" t="s">
        <v>41</v>
      </c>
      <c r="D2201" s="1">
        <v>46210.748240740744</v>
      </c>
      <c r="E2201" t="s">
        <v>42</v>
      </c>
      <c r="F2201" t="s">
        <v>83</v>
      </c>
      <c r="G2201">
        <v>41</v>
      </c>
      <c r="H2201">
        <v>33188</v>
      </c>
      <c r="I2201" t="s">
        <v>1100</v>
      </c>
      <c r="J2201">
        <v>49</v>
      </c>
      <c r="K2201">
        <v>94</v>
      </c>
      <c r="L2201">
        <v>98</v>
      </c>
      <c r="M2201">
        <v>621.29998779000005</v>
      </c>
      <c r="N2201" t="s">
        <v>87</v>
      </c>
      <c r="O2201" t="s">
        <v>86</v>
      </c>
      <c r="P2201">
        <v>131</v>
      </c>
      <c r="Q2201">
        <v>6</v>
      </c>
      <c r="R2201">
        <v>64</v>
      </c>
      <c r="S2201">
        <v>1163</v>
      </c>
      <c r="T2201">
        <v>-40</v>
      </c>
      <c r="U2201">
        <v>51</v>
      </c>
      <c r="V2201">
        <v>440</v>
      </c>
      <c r="W2201">
        <v>27</v>
      </c>
      <c r="X2201">
        <v>27</v>
      </c>
      <c r="Y2201">
        <v>1</v>
      </c>
      <c r="Z2201">
        <v>8</v>
      </c>
      <c r="AA2201">
        <v>23</v>
      </c>
      <c r="AB2201">
        <v>2</v>
      </c>
      <c r="AC2201">
        <v>6</v>
      </c>
      <c r="AD2201">
        <v>3.24399996</v>
      </c>
      <c r="AE2201">
        <v>1</v>
      </c>
      <c r="AF2201">
        <v>33</v>
      </c>
      <c r="AG2201">
        <v>3.2339999700000002</v>
      </c>
      <c r="AH2201">
        <v>4</v>
      </c>
      <c r="AI2201">
        <v>24</v>
      </c>
      <c r="AJ2201">
        <v>1</v>
      </c>
      <c r="AK2201">
        <v>17</v>
      </c>
      <c r="AL2201">
        <v>39</v>
      </c>
      <c r="AM2201" t="s">
        <v>43</v>
      </c>
      <c r="AN2201" t="str">
        <f>HYPERLINK("https://www.google.com/maps?q=10.91414261,79.102211","Open Location")</f>
        <v>Open Location</v>
      </c>
    </row>
    <row r="2202" spans="1:40" x14ac:dyDescent="0.3">
      <c r="A2202" s="1">
        <v>46210.74490740741</v>
      </c>
      <c r="B2202" t="s">
        <v>40</v>
      </c>
      <c r="C2202" t="s">
        <v>41</v>
      </c>
      <c r="D2202" s="1">
        <v>46210.747743055559</v>
      </c>
      <c r="E2202" t="s">
        <v>42</v>
      </c>
      <c r="F2202" t="s">
        <v>83</v>
      </c>
      <c r="G2202">
        <v>43</v>
      </c>
      <c r="H2202">
        <v>33188</v>
      </c>
      <c r="I2202" t="s">
        <v>1101</v>
      </c>
      <c r="J2202">
        <v>49</v>
      </c>
      <c r="K2202">
        <v>98</v>
      </c>
      <c r="L2202">
        <v>98</v>
      </c>
      <c r="M2202">
        <v>621.09997558999999</v>
      </c>
      <c r="N2202" t="s">
        <v>87</v>
      </c>
      <c r="O2202" t="s">
        <v>86</v>
      </c>
      <c r="P2202">
        <v>131</v>
      </c>
      <c r="Q2202">
        <v>6</v>
      </c>
      <c r="R2202">
        <v>49</v>
      </c>
      <c r="S2202">
        <v>1190</v>
      </c>
      <c r="T2202">
        <v>-40</v>
      </c>
      <c r="U2202">
        <v>51</v>
      </c>
      <c r="V2202">
        <v>460</v>
      </c>
      <c r="W2202">
        <v>27</v>
      </c>
      <c r="X2202">
        <v>27</v>
      </c>
      <c r="Y2202">
        <v>1</v>
      </c>
      <c r="Z2202">
        <v>8</v>
      </c>
      <c r="AA2202">
        <v>23</v>
      </c>
      <c r="AB2202">
        <v>2</v>
      </c>
      <c r="AC2202">
        <v>6</v>
      </c>
      <c r="AD2202">
        <v>3.24699998</v>
      </c>
      <c r="AE2202">
        <v>1</v>
      </c>
      <c r="AF2202">
        <v>42</v>
      </c>
      <c r="AG2202">
        <v>3.2369999900000002</v>
      </c>
      <c r="AH2202">
        <v>4</v>
      </c>
      <c r="AI2202">
        <v>24</v>
      </c>
      <c r="AJ2202">
        <v>1</v>
      </c>
      <c r="AK2202">
        <v>17</v>
      </c>
      <c r="AL2202">
        <v>39</v>
      </c>
      <c r="AM2202" t="s">
        <v>43</v>
      </c>
      <c r="AN2202" t="str">
        <f>HYPERLINK("https://www.google.com/maps?q=10.91285229,79.10234833","Open Location")</f>
        <v>Open Location</v>
      </c>
    </row>
    <row r="2203" spans="1:40" x14ac:dyDescent="0.3">
      <c r="A2203" s="1">
        <v>46210.744791666664</v>
      </c>
      <c r="B2203" t="s">
        <v>40</v>
      </c>
      <c r="C2203" t="s">
        <v>41</v>
      </c>
      <c r="D2203" s="1">
        <v>46210.747893518521</v>
      </c>
      <c r="E2203" t="s">
        <v>42</v>
      </c>
      <c r="F2203" t="s">
        <v>83</v>
      </c>
      <c r="G2203">
        <v>42</v>
      </c>
      <c r="H2203">
        <v>33187</v>
      </c>
      <c r="I2203" t="s">
        <v>43</v>
      </c>
      <c r="J2203">
        <v>49</v>
      </c>
      <c r="K2203">
        <v>77</v>
      </c>
      <c r="L2203">
        <v>98</v>
      </c>
      <c r="M2203">
        <v>622.29998779000005</v>
      </c>
      <c r="N2203" t="s">
        <v>87</v>
      </c>
      <c r="O2203" t="s">
        <v>86</v>
      </c>
      <c r="P2203">
        <v>131</v>
      </c>
      <c r="Q2203">
        <v>6</v>
      </c>
      <c r="R2203">
        <v>52</v>
      </c>
      <c r="S2203">
        <v>1178</v>
      </c>
      <c r="T2203">
        <v>-40</v>
      </c>
      <c r="U2203">
        <v>50</v>
      </c>
      <c r="V2203">
        <v>360</v>
      </c>
      <c r="W2203">
        <v>27</v>
      </c>
      <c r="X2203">
        <v>27</v>
      </c>
      <c r="Y2203">
        <v>1</v>
      </c>
      <c r="Z2203">
        <v>8</v>
      </c>
      <c r="AA2203">
        <v>23</v>
      </c>
      <c r="AB2203">
        <v>2</v>
      </c>
      <c r="AC2203">
        <v>6</v>
      </c>
      <c r="AD2203">
        <v>3.24399996</v>
      </c>
      <c r="AE2203">
        <v>1</v>
      </c>
      <c r="AF2203">
        <v>44</v>
      </c>
      <c r="AG2203">
        <v>3.23200011</v>
      </c>
      <c r="AH2203">
        <v>6</v>
      </c>
      <c r="AI2203">
        <v>24</v>
      </c>
      <c r="AJ2203">
        <v>1</v>
      </c>
      <c r="AK2203">
        <v>17</v>
      </c>
      <c r="AL2203">
        <v>39</v>
      </c>
      <c r="AM2203" t="s">
        <v>43</v>
      </c>
      <c r="AN2203" t="s">
        <v>43</v>
      </c>
    </row>
    <row r="2204" spans="1:40" x14ac:dyDescent="0.3">
      <c r="A2204" s="1">
        <v>46210.744675925926</v>
      </c>
      <c r="B2204" t="s">
        <v>40</v>
      </c>
      <c r="C2204" t="s">
        <v>41</v>
      </c>
      <c r="D2204" s="1">
        <v>46210.747743055559</v>
      </c>
      <c r="E2204" t="s">
        <v>42</v>
      </c>
      <c r="F2204" t="s">
        <v>83</v>
      </c>
      <c r="G2204">
        <v>43</v>
      </c>
      <c r="H2204">
        <v>33187</v>
      </c>
      <c r="I2204" t="s">
        <v>1102</v>
      </c>
      <c r="J2204">
        <v>49</v>
      </c>
      <c r="K2204">
        <v>84</v>
      </c>
      <c r="L2204">
        <v>98</v>
      </c>
      <c r="M2204">
        <v>621.5</v>
      </c>
      <c r="N2204" t="s">
        <v>87</v>
      </c>
      <c r="O2204" t="s">
        <v>86</v>
      </c>
      <c r="P2204">
        <v>131</v>
      </c>
      <c r="Q2204">
        <v>6</v>
      </c>
      <c r="R2204">
        <v>45</v>
      </c>
      <c r="S2204">
        <v>1193</v>
      </c>
      <c r="T2204">
        <v>-40</v>
      </c>
      <c r="U2204">
        <v>51</v>
      </c>
      <c r="V2204">
        <v>380</v>
      </c>
      <c r="W2204">
        <v>27</v>
      </c>
      <c r="X2204">
        <v>27</v>
      </c>
      <c r="Y2204">
        <v>1</v>
      </c>
      <c r="Z2204">
        <v>8</v>
      </c>
      <c r="AA2204">
        <v>23</v>
      </c>
      <c r="AB2204">
        <v>2</v>
      </c>
      <c r="AC2204">
        <v>6</v>
      </c>
      <c r="AD2204">
        <v>3.2479999099999999</v>
      </c>
      <c r="AE2204">
        <v>1</v>
      </c>
      <c r="AF2204">
        <v>42</v>
      </c>
      <c r="AG2204">
        <v>3.23799992</v>
      </c>
      <c r="AH2204">
        <v>6</v>
      </c>
      <c r="AI2204">
        <v>24</v>
      </c>
      <c r="AJ2204">
        <v>1</v>
      </c>
      <c r="AK2204">
        <v>17</v>
      </c>
      <c r="AL2204">
        <v>39</v>
      </c>
      <c r="AM2204" t="s">
        <v>43</v>
      </c>
      <c r="AN2204" t="str">
        <f>HYPERLINK("https://www.google.com/maps?q=10.91156006,79.10250854","Open Location")</f>
        <v>Open Location</v>
      </c>
    </row>
    <row r="2205" spans="1:40" x14ac:dyDescent="0.3">
      <c r="A2205" s="1">
        <v>46210.744560185187</v>
      </c>
      <c r="B2205" t="s">
        <v>40</v>
      </c>
      <c r="C2205" t="s">
        <v>41</v>
      </c>
      <c r="D2205" s="1">
        <v>46210.747858796298</v>
      </c>
      <c r="E2205" t="s">
        <v>42</v>
      </c>
      <c r="F2205" t="s">
        <v>83</v>
      </c>
      <c r="G2205">
        <v>42</v>
      </c>
      <c r="H2205">
        <v>33187</v>
      </c>
      <c r="I2205" t="s">
        <v>1103</v>
      </c>
      <c r="J2205">
        <v>49</v>
      </c>
      <c r="K2205">
        <v>116</v>
      </c>
      <c r="L2205">
        <v>98</v>
      </c>
      <c r="M2205">
        <v>620</v>
      </c>
      <c r="N2205" t="s">
        <v>87</v>
      </c>
      <c r="O2205" t="s">
        <v>86</v>
      </c>
      <c r="P2205">
        <v>131</v>
      </c>
      <c r="Q2205">
        <v>6</v>
      </c>
      <c r="R2205">
        <v>74</v>
      </c>
      <c r="S2205">
        <v>1175</v>
      </c>
      <c r="T2205">
        <v>-40</v>
      </c>
      <c r="U2205">
        <v>52</v>
      </c>
      <c r="V2205">
        <v>540</v>
      </c>
      <c r="W2205">
        <v>27</v>
      </c>
      <c r="X2205">
        <v>27</v>
      </c>
      <c r="Y2205">
        <v>1</v>
      </c>
      <c r="Z2205">
        <v>8</v>
      </c>
      <c r="AA2205">
        <v>23</v>
      </c>
      <c r="AB2205">
        <v>2</v>
      </c>
      <c r="AC2205">
        <v>6</v>
      </c>
      <c r="AD2205">
        <v>3.2400000100000002</v>
      </c>
      <c r="AE2205">
        <v>5</v>
      </c>
      <c r="AF2205">
        <v>38</v>
      </c>
      <c r="AG2205">
        <v>3.2269999999999999</v>
      </c>
      <c r="AH2205">
        <v>6</v>
      </c>
      <c r="AI2205">
        <v>24</v>
      </c>
      <c r="AJ2205">
        <v>1</v>
      </c>
      <c r="AK2205">
        <v>17</v>
      </c>
      <c r="AL2205">
        <v>39</v>
      </c>
      <c r="AM2205" t="s">
        <v>43</v>
      </c>
      <c r="AN2205" t="str">
        <f>HYPERLINK("https://www.google.com/maps?q=10.91026306,79.1026535","Open Location")</f>
        <v>Open Location</v>
      </c>
    </row>
    <row r="2206" spans="1:40" x14ac:dyDescent="0.3">
      <c r="A2206" s="1">
        <v>46210.744444444441</v>
      </c>
      <c r="B2206" t="s">
        <v>40</v>
      </c>
      <c r="C2206" t="s">
        <v>41</v>
      </c>
      <c r="D2206" s="1">
        <v>46210.747199074074</v>
      </c>
      <c r="E2206" t="s">
        <v>42</v>
      </c>
      <c r="F2206" t="s">
        <v>83</v>
      </c>
      <c r="G2206">
        <v>42</v>
      </c>
      <c r="H2206">
        <v>33187</v>
      </c>
      <c r="I2206" t="s">
        <v>1104</v>
      </c>
      <c r="J2206">
        <v>49</v>
      </c>
      <c r="K2206">
        <v>113</v>
      </c>
      <c r="L2206">
        <v>98</v>
      </c>
      <c r="M2206">
        <v>620.59997558999999</v>
      </c>
      <c r="N2206" t="s">
        <v>87</v>
      </c>
      <c r="O2206" t="s">
        <v>86</v>
      </c>
      <c r="P2206">
        <v>131</v>
      </c>
      <c r="Q2206">
        <v>6</v>
      </c>
      <c r="R2206">
        <v>66</v>
      </c>
      <c r="S2206">
        <v>1164</v>
      </c>
      <c r="T2206">
        <v>-40</v>
      </c>
      <c r="U2206">
        <v>52</v>
      </c>
      <c r="V2206">
        <v>540</v>
      </c>
      <c r="W2206">
        <v>27</v>
      </c>
      <c r="X2206">
        <v>27</v>
      </c>
      <c r="Y2206">
        <v>1</v>
      </c>
      <c r="Z2206">
        <v>8</v>
      </c>
      <c r="AA2206">
        <v>23</v>
      </c>
      <c r="AB2206">
        <v>2</v>
      </c>
      <c r="AC2206">
        <v>6</v>
      </c>
      <c r="AD2206">
        <v>3.24099994</v>
      </c>
      <c r="AE2206">
        <v>1</v>
      </c>
      <c r="AF2206">
        <v>41</v>
      </c>
      <c r="AG2206">
        <v>3.22900009</v>
      </c>
      <c r="AH2206">
        <v>6</v>
      </c>
      <c r="AI2206">
        <v>24</v>
      </c>
      <c r="AJ2206">
        <v>1</v>
      </c>
      <c r="AK2206">
        <v>17</v>
      </c>
      <c r="AL2206">
        <v>39</v>
      </c>
      <c r="AM2206" t="s">
        <v>43</v>
      </c>
      <c r="AN2206" t="str">
        <f>HYPERLINK("https://www.google.com/maps?q=10.90898991,79.10263824","Open Location")</f>
        <v>Open Location</v>
      </c>
    </row>
    <row r="2207" spans="1:40" x14ac:dyDescent="0.3">
      <c r="A2207" s="1">
        <v>46210.744328703702</v>
      </c>
      <c r="B2207" t="s">
        <v>40</v>
      </c>
      <c r="C2207" t="s">
        <v>41</v>
      </c>
      <c r="D2207" s="1">
        <v>46210.747372685182</v>
      </c>
      <c r="E2207" t="s">
        <v>42</v>
      </c>
      <c r="F2207" t="s">
        <v>83</v>
      </c>
      <c r="G2207">
        <v>41</v>
      </c>
      <c r="H2207" t="s">
        <v>43</v>
      </c>
      <c r="I2207" t="s">
        <v>1105</v>
      </c>
      <c r="J2207">
        <v>49</v>
      </c>
      <c r="K2207">
        <v>137</v>
      </c>
      <c r="L2207">
        <v>98</v>
      </c>
      <c r="M2207">
        <v>620</v>
      </c>
      <c r="N2207" t="s">
        <v>87</v>
      </c>
      <c r="O2207" t="s">
        <v>86</v>
      </c>
      <c r="P2207">
        <v>131</v>
      </c>
      <c r="Q2207">
        <v>6</v>
      </c>
      <c r="R2207">
        <v>79</v>
      </c>
      <c r="S2207">
        <v>1156</v>
      </c>
      <c r="T2207">
        <v>-40</v>
      </c>
      <c r="U2207">
        <v>52</v>
      </c>
      <c r="V2207">
        <v>660</v>
      </c>
      <c r="W2207">
        <v>27</v>
      </c>
      <c r="X2207">
        <v>27</v>
      </c>
      <c r="Y2207">
        <v>1</v>
      </c>
      <c r="Z2207">
        <v>8</v>
      </c>
      <c r="AA2207">
        <v>23</v>
      </c>
      <c r="AB2207">
        <v>2</v>
      </c>
      <c r="AC2207">
        <v>6</v>
      </c>
      <c r="AD2207">
        <v>3.2369999900000002</v>
      </c>
      <c r="AE2207">
        <v>5</v>
      </c>
      <c r="AF2207">
        <v>38</v>
      </c>
      <c r="AG2207">
        <v>3.22300005</v>
      </c>
      <c r="AH2207">
        <v>4</v>
      </c>
      <c r="AI2207">
        <v>24</v>
      </c>
      <c r="AJ2207">
        <v>1</v>
      </c>
      <c r="AK2207">
        <v>17</v>
      </c>
      <c r="AL2207">
        <v>39</v>
      </c>
      <c r="AM2207" t="s">
        <v>43</v>
      </c>
      <c r="AN2207" t="str">
        <f>HYPERLINK("https://www.google.com/maps?q=10.90773201,79.10257721","Open Location")</f>
        <v>Open Location</v>
      </c>
    </row>
    <row r="2208" spans="1:40" x14ac:dyDescent="0.3">
      <c r="A2208" s="1">
        <v>46210.744212962964</v>
      </c>
      <c r="B2208" t="s">
        <v>40</v>
      </c>
      <c r="C2208" t="s">
        <v>41</v>
      </c>
      <c r="D2208" s="1">
        <v>46210.74728009259</v>
      </c>
      <c r="E2208" t="s">
        <v>42</v>
      </c>
      <c r="F2208" t="s">
        <v>83</v>
      </c>
      <c r="G2208">
        <v>41</v>
      </c>
      <c r="H2208">
        <v>33187</v>
      </c>
      <c r="I2208" t="s">
        <v>1106</v>
      </c>
      <c r="J2208">
        <v>49</v>
      </c>
      <c r="K2208">
        <v>107</v>
      </c>
      <c r="L2208">
        <v>98</v>
      </c>
      <c r="M2208">
        <v>621.09997558999999</v>
      </c>
      <c r="N2208" t="s">
        <v>87</v>
      </c>
      <c r="O2208" t="s">
        <v>86</v>
      </c>
      <c r="P2208">
        <v>131</v>
      </c>
      <c r="Q2208">
        <v>6</v>
      </c>
      <c r="R2208">
        <v>62</v>
      </c>
      <c r="S2208">
        <v>1134</v>
      </c>
      <c r="T2208">
        <v>-40</v>
      </c>
      <c r="U2208">
        <v>51</v>
      </c>
      <c r="V2208">
        <v>520</v>
      </c>
      <c r="W2208">
        <v>27</v>
      </c>
      <c r="X2208">
        <v>27</v>
      </c>
      <c r="Y2208">
        <v>1</v>
      </c>
      <c r="Z2208">
        <v>8</v>
      </c>
      <c r="AA2208">
        <v>23</v>
      </c>
      <c r="AB2208">
        <v>2</v>
      </c>
      <c r="AC2208">
        <v>6</v>
      </c>
      <c r="AD2208">
        <v>3.2449998899999999</v>
      </c>
      <c r="AE2208">
        <v>1</v>
      </c>
      <c r="AF2208">
        <v>38</v>
      </c>
      <c r="AG2208">
        <v>3.2349999</v>
      </c>
      <c r="AH2208">
        <v>4</v>
      </c>
      <c r="AI2208">
        <v>24</v>
      </c>
      <c r="AJ2208">
        <v>1</v>
      </c>
      <c r="AK2208">
        <v>17</v>
      </c>
      <c r="AL2208">
        <v>39</v>
      </c>
      <c r="AM2208" t="s">
        <v>43</v>
      </c>
      <c r="AN2208" t="str">
        <f>HYPERLINK("https://www.google.com/maps?q=10.90639019,79.10255432","Open Location")</f>
        <v>Open Location</v>
      </c>
    </row>
    <row r="2209" spans="1:40" x14ac:dyDescent="0.3">
      <c r="A2209" s="1">
        <v>46210.744097222225</v>
      </c>
      <c r="B2209" t="s">
        <v>40</v>
      </c>
      <c r="C2209" t="s">
        <v>41</v>
      </c>
      <c r="D2209" s="1">
        <v>46210.747048611112</v>
      </c>
      <c r="E2209" t="s">
        <v>42</v>
      </c>
      <c r="F2209" t="s">
        <v>83</v>
      </c>
      <c r="G2209">
        <v>39</v>
      </c>
      <c r="H2209">
        <v>33187</v>
      </c>
      <c r="I2209" t="s">
        <v>43</v>
      </c>
      <c r="J2209">
        <v>49</v>
      </c>
      <c r="K2209">
        <v>95</v>
      </c>
      <c r="L2209">
        <v>98</v>
      </c>
      <c r="M2209">
        <v>621.70001220999995</v>
      </c>
      <c r="N2209" t="s">
        <v>87</v>
      </c>
      <c r="O2209" t="s">
        <v>86</v>
      </c>
      <c r="P2209">
        <v>131</v>
      </c>
      <c r="Q2209">
        <v>6</v>
      </c>
      <c r="R2209">
        <v>55</v>
      </c>
      <c r="S2209">
        <v>1100</v>
      </c>
      <c r="T2209">
        <v>-40</v>
      </c>
      <c r="U2209">
        <v>51</v>
      </c>
      <c r="V2209">
        <v>480</v>
      </c>
      <c r="W2209">
        <v>27</v>
      </c>
      <c r="X2209">
        <v>27</v>
      </c>
      <c r="Y2209">
        <v>1</v>
      </c>
      <c r="Z2209">
        <v>8</v>
      </c>
      <c r="AA2209">
        <v>23</v>
      </c>
      <c r="AB2209">
        <v>2</v>
      </c>
      <c r="AC2209">
        <v>6</v>
      </c>
      <c r="AD2209">
        <v>3.2400000100000002</v>
      </c>
      <c r="AE2209">
        <v>5</v>
      </c>
      <c r="AF2209">
        <v>38</v>
      </c>
      <c r="AG2209">
        <v>3.22600007</v>
      </c>
      <c r="AH2209">
        <v>6</v>
      </c>
      <c r="AI2209">
        <v>24</v>
      </c>
      <c r="AJ2209">
        <v>1</v>
      </c>
      <c r="AK2209">
        <v>17</v>
      </c>
      <c r="AL2209">
        <v>39</v>
      </c>
      <c r="AM2209" t="s">
        <v>43</v>
      </c>
      <c r="AN2209" t="s">
        <v>43</v>
      </c>
    </row>
    <row r="2210" spans="1:40" x14ac:dyDescent="0.3">
      <c r="A2210" s="1">
        <v>46210.743981481479</v>
      </c>
      <c r="B2210" t="s">
        <v>40</v>
      </c>
      <c r="C2210" t="s">
        <v>41</v>
      </c>
      <c r="D2210" s="1">
        <v>46210.746863425928</v>
      </c>
      <c r="E2210" t="s">
        <v>42</v>
      </c>
      <c r="F2210" t="s">
        <v>83</v>
      </c>
      <c r="G2210">
        <v>39</v>
      </c>
      <c r="H2210">
        <v>33187</v>
      </c>
      <c r="I2210" t="s">
        <v>1107</v>
      </c>
      <c r="J2210">
        <v>49</v>
      </c>
      <c r="K2210">
        <v>87</v>
      </c>
      <c r="L2210">
        <v>98</v>
      </c>
      <c r="M2210">
        <v>622.29998779000005</v>
      </c>
      <c r="N2210" t="s">
        <v>87</v>
      </c>
      <c r="O2210" t="s">
        <v>86</v>
      </c>
      <c r="P2210">
        <v>131</v>
      </c>
      <c r="Q2210">
        <v>6</v>
      </c>
      <c r="R2210">
        <v>52</v>
      </c>
      <c r="S2210">
        <v>1086</v>
      </c>
      <c r="T2210">
        <v>-40</v>
      </c>
      <c r="U2210">
        <v>51</v>
      </c>
      <c r="V2210">
        <v>440</v>
      </c>
      <c r="W2210">
        <v>27</v>
      </c>
      <c r="X2210">
        <v>27</v>
      </c>
      <c r="Y2210">
        <v>1</v>
      </c>
      <c r="Z2210">
        <v>8</v>
      </c>
      <c r="AA2210">
        <v>23</v>
      </c>
      <c r="AB2210">
        <v>2</v>
      </c>
      <c r="AC2210">
        <v>6</v>
      </c>
      <c r="AD2210">
        <v>3.24699998</v>
      </c>
      <c r="AE2210">
        <v>1</v>
      </c>
      <c r="AF2210">
        <v>38</v>
      </c>
      <c r="AG2210">
        <v>3.2369999900000002</v>
      </c>
      <c r="AH2210">
        <v>4</v>
      </c>
      <c r="AI2210">
        <v>24</v>
      </c>
      <c r="AJ2210">
        <v>1</v>
      </c>
      <c r="AK2210">
        <v>17</v>
      </c>
      <c r="AL2210">
        <v>39</v>
      </c>
      <c r="AM2210" t="s">
        <v>43</v>
      </c>
      <c r="AN2210" t="str">
        <f>HYPERLINK("https://www.google.com/maps?q=10.90520382,79.10262299","Open Location")</f>
        <v>Open Location</v>
      </c>
    </row>
    <row r="2211" spans="1:40" x14ac:dyDescent="0.3">
      <c r="A2211" s="1">
        <v>46210.74386574074</v>
      </c>
      <c r="B2211" t="s">
        <v>40</v>
      </c>
      <c r="C2211" t="s">
        <v>41</v>
      </c>
      <c r="D2211" s="1">
        <v>46210.746863425928</v>
      </c>
      <c r="E2211" t="s">
        <v>42</v>
      </c>
      <c r="F2211" t="s">
        <v>83</v>
      </c>
      <c r="G2211">
        <v>40</v>
      </c>
      <c r="H2211">
        <v>33187</v>
      </c>
      <c r="I2211" t="s">
        <v>1108</v>
      </c>
      <c r="J2211">
        <v>49</v>
      </c>
      <c r="K2211">
        <v>101</v>
      </c>
      <c r="L2211">
        <v>98</v>
      </c>
      <c r="M2211">
        <v>621.20001220999995</v>
      </c>
      <c r="N2211" t="s">
        <v>87</v>
      </c>
      <c r="O2211" t="s">
        <v>86</v>
      </c>
      <c r="P2211">
        <v>131</v>
      </c>
      <c r="Q2211">
        <v>6</v>
      </c>
      <c r="R2211">
        <v>57</v>
      </c>
      <c r="S2211">
        <v>1110</v>
      </c>
      <c r="T2211">
        <v>-40</v>
      </c>
      <c r="U2211">
        <v>51</v>
      </c>
      <c r="V2211">
        <v>500</v>
      </c>
      <c r="W2211">
        <v>27</v>
      </c>
      <c r="X2211">
        <v>27</v>
      </c>
      <c r="Y2211">
        <v>1</v>
      </c>
      <c r="Z2211">
        <v>8</v>
      </c>
      <c r="AA2211">
        <v>23</v>
      </c>
      <c r="AB2211">
        <v>2</v>
      </c>
      <c r="AC2211">
        <v>6</v>
      </c>
      <c r="AD2211">
        <v>3.2460000500000001</v>
      </c>
      <c r="AE2211">
        <v>1</v>
      </c>
      <c r="AF2211">
        <v>39</v>
      </c>
      <c r="AG2211">
        <v>3.2360000599999998</v>
      </c>
      <c r="AH2211">
        <v>4</v>
      </c>
      <c r="AI2211">
        <v>24</v>
      </c>
      <c r="AJ2211">
        <v>1</v>
      </c>
      <c r="AK2211">
        <v>17</v>
      </c>
      <c r="AL2211">
        <v>39</v>
      </c>
      <c r="AM2211" t="s">
        <v>43</v>
      </c>
      <c r="AN2211" t="str">
        <f>HYPERLINK("https://www.google.com/maps?q=10.90406322,79.1029892","Open Location")</f>
        <v>Open Location</v>
      </c>
    </row>
    <row r="2212" spans="1:40" x14ac:dyDescent="0.3">
      <c r="A2212" s="1">
        <v>46210.743750000001</v>
      </c>
      <c r="B2212" t="s">
        <v>40</v>
      </c>
      <c r="C2212" t="s">
        <v>41</v>
      </c>
      <c r="D2212" s="1">
        <v>46210.746828703705</v>
      </c>
      <c r="E2212" t="s">
        <v>42</v>
      </c>
      <c r="F2212" t="s">
        <v>83</v>
      </c>
      <c r="G2212">
        <v>40</v>
      </c>
      <c r="H2212">
        <v>33187</v>
      </c>
      <c r="I2212" t="s">
        <v>1109</v>
      </c>
      <c r="J2212">
        <v>49</v>
      </c>
      <c r="K2212">
        <v>61</v>
      </c>
      <c r="L2212">
        <v>98</v>
      </c>
      <c r="M2212">
        <v>625.09997558999999</v>
      </c>
      <c r="N2212" t="s">
        <v>87</v>
      </c>
      <c r="O2212" t="s">
        <v>86</v>
      </c>
      <c r="P2212">
        <v>131</v>
      </c>
      <c r="Q2212">
        <v>6</v>
      </c>
      <c r="R2212">
        <v>0</v>
      </c>
      <c r="S2212">
        <v>1802</v>
      </c>
      <c r="T2212">
        <v>-40</v>
      </c>
      <c r="U2212">
        <v>51</v>
      </c>
      <c r="V2212">
        <v>0</v>
      </c>
      <c r="W2212">
        <v>27</v>
      </c>
      <c r="X2212">
        <v>27</v>
      </c>
      <c r="Y2212">
        <v>1</v>
      </c>
      <c r="Z2212">
        <v>8</v>
      </c>
      <c r="AA2212">
        <v>23</v>
      </c>
      <c r="AB2212">
        <v>2</v>
      </c>
      <c r="AC2212">
        <v>6</v>
      </c>
      <c r="AD2212">
        <v>3.2490000700000001</v>
      </c>
      <c r="AE2212">
        <v>1</v>
      </c>
      <c r="AF2212">
        <v>38</v>
      </c>
      <c r="AG2212">
        <v>3.2400000100000002</v>
      </c>
      <c r="AH2212">
        <v>4</v>
      </c>
      <c r="AI2212">
        <v>24</v>
      </c>
      <c r="AJ2212">
        <v>1</v>
      </c>
      <c r="AK2212">
        <v>17</v>
      </c>
      <c r="AL2212">
        <v>39</v>
      </c>
      <c r="AM2212" t="s">
        <v>43</v>
      </c>
      <c r="AN2212" t="str">
        <f>HYPERLINK("https://www.google.com/maps?q=10.90288353,79.10321045","Open Location")</f>
        <v>Open Location</v>
      </c>
    </row>
    <row r="2213" spans="1:40" x14ac:dyDescent="0.3">
      <c r="A2213" s="1">
        <v>46210.743634259263</v>
      </c>
      <c r="B2213" t="s">
        <v>40</v>
      </c>
      <c r="C2213" t="s">
        <v>41</v>
      </c>
      <c r="D2213" s="1">
        <v>46210.74659722222</v>
      </c>
      <c r="E2213" t="s">
        <v>42</v>
      </c>
      <c r="F2213" t="s">
        <v>83</v>
      </c>
      <c r="G2213">
        <v>38</v>
      </c>
      <c r="H2213">
        <v>33186</v>
      </c>
      <c r="I2213" t="s">
        <v>1110</v>
      </c>
      <c r="J2213">
        <v>49</v>
      </c>
      <c r="K2213">
        <v>146</v>
      </c>
      <c r="L2213">
        <v>98</v>
      </c>
      <c r="M2213">
        <v>619.5</v>
      </c>
      <c r="N2213" t="s">
        <v>87</v>
      </c>
      <c r="O2213" t="s">
        <v>86</v>
      </c>
      <c r="P2213">
        <v>130</v>
      </c>
      <c r="Q2213">
        <v>5</v>
      </c>
      <c r="R2213">
        <v>87</v>
      </c>
      <c r="S2213">
        <v>1728</v>
      </c>
      <c r="T2213">
        <v>-40</v>
      </c>
      <c r="U2213">
        <v>51</v>
      </c>
      <c r="V2213">
        <v>480</v>
      </c>
      <c r="W2213">
        <v>27</v>
      </c>
      <c r="X2213">
        <v>27</v>
      </c>
      <c r="Y2213">
        <v>1</v>
      </c>
      <c r="Z2213">
        <v>8</v>
      </c>
      <c r="AA2213">
        <v>23</v>
      </c>
      <c r="AB2213">
        <v>2</v>
      </c>
      <c r="AC2213">
        <v>6</v>
      </c>
      <c r="AD2213">
        <v>3.2369999900000002</v>
      </c>
      <c r="AE2213">
        <v>1</v>
      </c>
      <c r="AF2213">
        <v>42</v>
      </c>
      <c r="AG2213">
        <v>3.22300005</v>
      </c>
      <c r="AH2213">
        <v>4</v>
      </c>
      <c r="AI2213">
        <v>24</v>
      </c>
      <c r="AJ2213">
        <v>1</v>
      </c>
      <c r="AK2213">
        <v>17</v>
      </c>
      <c r="AL2213">
        <v>39</v>
      </c>
      <c r="AM2213" t="s">
        <v>43</v>
      </c>
      <c r="AN2213" t="str">
        <f>HYPERLINK("https://www.google.com/maps?q=10.90172958,79.10337067","Open Location")</f>
        <v>Open Location</v>
      </c>
    </row>
    <row r="2214" spans="1:40" x14ac:dyDescent="0.3">
      <c r="A2214" s="1">
        <v>46210.743518518517</v>
      </c>
      <c r="B2214" t="s">
        <v>40</v>
      </c>
      <c r="C2214" t="s">
        <v>41</v>
      </c>
      <c r="D2214" s="1">
        <v>46210.74659722222</v>
      </c>
      <c r="E2214" t="s">
        <v>42</v>
      </c>
      <c r="F2214" t="s">
        <v>83</v>
      </c>
      <c r="G2214">
        <v>36</v>
      </c>
      <c r="H2214">
        <v>33186</v>
      </c>
      <c r="I2214" t="s">
        <v>43</v>
      </c>
      <c r="J2214">
        <v>49</v>
      </c>
      <c r="K2214">
        <v>121</v>
      </c>
      <c r="L2214">
        <v>98</v>
      </c>
      <c r="M2214">
        <v>619.20001220999995</v>
      </c>
      <c r="N2214" t="s">
        <v>87</v>
      </c>
      <c r="O2214" t="s">
        <v>86</v>
      </c>
      <c r="P2214">
        <v>130</v>
      </c>
      <c r="Q2214">
        <v>5</v>
      </c>
      <c r="R2214">
        <v>97</v>
      </c>
      <c r="S2214">
        <v>1649</v>
      </c>
      <c r="T2214">
        <v>-40</v>
      </c>
      <c r="U2214">
        <v>51</v>
      </c>
      <c r="V2214">
        <v>480</v>
      </c>
      <c r="W2214">
        <v>27</v>
      </c>
      <c r="X2214">
        <v>27</v>
      </c>
      <c r="Y2214">
        <v>1</v>
      </c>
      <c r="Z2214">
        <v>8</v>
      </c>
      <c r="AA2214">
        <v>23</v>
      </c>
      <c r="AB2214">
        <v>2</v>
      </c>
      <c r="AC2214">
        <v>6</v>
      </c>
      <c r="AD2214">
        <v>3.23799992</v>
      </c>
      <c r="AE2214">
        <v>1</v>
      </c>
      <c r="AF2214">
        <v>39</v>
      </c>
      <c r="AG2214">
        <v>3.2249998999999998</v>
      </c>
      <c r="AH2214">
        <v>4</v>
      </c>
      <c r="AI2214">
        <v>24</v>
      </c>
      <c r="AJ2214">
        <v>1</v>
      </c>
      <c r="AK2214">
        <v>17</v>
      </c>
      <c r="AL2214">
        <v>39</v>
      </c>
      <c r="AM2214" t="s">
        <v>43</v>
      </c>
      <c r="AN2214" t="s">
        <v>43</v>
      </c>
    </row>
    <row r="2215" spans="1:40" x14ac:dyDescent="0.3">
      <c r="A2215" s="1">
        <v>46210.743402777778</v>
      </c>
      <c r="B2215" t="s">
        <v>40</v>
      </c>
      <c r="C2215" t="s">
        <v>41</v>
      </c>
      <c r="D2215" s="1">
        <v>46210.746365740742</v>
      </c>
      <c r="E2215" t="s">
        <v>42</v>
      </c>
      <c r="F2215" t="s">
        <v>83</v>
      </c>
      <c r="G2215">
        <v>34</v>
      </c>
      <c r="H2215">
        <v>33186</v>
      </c>
      <c r="I2215" t="s">
        <v>1111</v>
      </c>
      <c r="J2215">
        <v>50</v>
      </c>
      <c r="K2215">
        <v>218</v>
      </c>
      <c r="L2215">
        <v>98</v>
      </c>
      <c r="M2215">
        <v>616.59997558999999</v>
      </c>
      <c r="N2215" t="s">
        <v>87</v>
      </c>
      <c r="O2215" t="s">
        <v>86</v>
      </c>
      <c r="P2215">
        <v>130</v>
      </c>
      <c r="Q2215">
        <v>5</v>
      </c>
      <c r="R2215">
        <v>113</v>
      </c>
      <c r="S2215">
        <v>1546</v>
      </c>
      <c r="T2215">
        <v>-40</v>
      </c>
      <c r="U2215">
        <v>53</v>
      </c>
      <c r="V2215">
        <v>800</v>
      </c>
      <c r="W2215">
        <v>27</v>
      </c>
      <c r="X2215">
        <v>27</v>
      </c>
      <c r="Y2215">
        <v>1</v>
      </c>
      <c r="Z2215">
        <v>8</v>
      </c>
      <c r="AA2215">
        <v>23</v>
      </c>
      <c r="AB2215">
        <v>2</v>
      </c>
      <c r="AC2215">
        <v>6</v>
      </c>
      <c r="AD2215">
        <v>3.2360000599999998</v>
      </c>
      <c r="AE2215">
        <v>1</v>
      </c>
      <c r="AF2215">
        <v>42</v>
      </c>
      <c r="AG2215">
        <v>3.2219998799999998</v>
      </c>
      <c r="AH2215">
        <v>4</v>
      </c>
      <c r="AI2215">
        <v>24</v>
      </c>
      <c r="AJ2215">
        <v>1</v>
      </c>
      <c r="AK2215">
        <v>17</v>
      </c>
      <c r="AL2215">
        <v>39</v>
      </c>
      <c r="AM2215" t="s">
        <v>43</v>
      </c>
      <c r="AN2215" t="str">
        <f>HYPERLINK("https://www.google.com/maps?q=10.90063095,79.10347748","Open Location")</f>
        <v>Open Location</v>
      </c>
    </row>
    <row r="2216" spans="1:40" x14ac:dyDescent="0.3">
      <c r="A2216" s="1">
        <v>46210.743287037039</v>
      </c>
      <c r="B2216" t="s">
        <v>40</v>
      </c>
      <c r="C2216" t="s">
        <v>41</v>
      </c>
      <c r="D2216" s="1">
        <v>46210.746203703704</v>
      </c>
      <c r="E2216" t="s">
        <v>42</v>
      </c>
      <c r="F2216" t="s">
        <v>83</v>
      </c>
      <c r="G2216">
        <v>32</v>
      </c>
      <c r="H2216">
        <v>33186</v>
      </c>
      <c r="I2216" t="s">
        <v>1112</v>
      </c>
      <c r="J2216">
        <v>50</v>
      </c>
      <c r="K2216">
        <v>140</v>
      </c>
      <c r="L2216">
        <v>98</v>
      </c>
      <c r="M2216">
        <v>620.79998779000005</v>
      </c>
      <c r="N2216" t="s">
        <v>87</v>
      </c>
      <c r="O2216" t="s">
        <v>86</v>
      </c>
      <c r="P2216">
        <v>130</v>
      </c>
      <c r="Q2216">
        <v>5</v>
      </c>
      <c r="R2216">
        <v>82</v>
      </c>
      <c r="S2216">
        <v>1452</v>
      </c>
      <c r="T2216">
        <v>-40</v>
      </c>
      <c r="U2216">
        <v>52</v>
      </c>
      <c r="V2216">
        <v>540</v>
      </c>
      <c r="W2216">
        <v>27</v>
      </c>
      <c r="X2216">
        <v>27</v>
      </c>
      <c r="Y2216">
        <v>1</v>
      </c>
      <c r="Z2216">
        <v>8</v>
      </c>
      <c r="AA2216">
        <v>23</v>
      </c>
      <c r="AB2216">
        <v>2</v>
      </c>
      <c r="AC2216">
        <v>6</v>
      </c>
      <c r="AD2216">
        <v>3.2349999</v>
      </c>
      <c r="AE2216">
        <v>1</v>
      </c>
      <c r="AF2216">
        <v>41</v>
      </c>
      <c r="AG2216">
        <v>3.22000003</v>
      </c>
      <c r="AH2216">
        <v>4</v>
      </c>
      <c r="AI2216">
        <v>24</v>
      </c>
      <c r="AJ2216">
        <v>1</v>
      </c>
      <c r="AK2216">
        <v>17</v>
      </c>
      <c r="AL2216">
        <v>39</v>
      </c>
      <c r="AM2216" t="s">
        <v>43</v>
      </c>
      <c r="AN2216" t="str">
        <f>HYPERLINK("https://www.google.com/maps?q=10.89961815,79.10361481","Open Location")</f>
        <v>Open Location</v>
      </c>
    </row>
    <row r="2217" spans="1:40" x14ac:dyDescent="0.3">
      <c r="A2217" s="1">
        <v>46210.743171296293</v>
      </c>
      <c r="B2217" t="s">
        <v>40</v>
      </c>
      <c r="C2217" t="s">
        <v>41</v>
      </c>
      <c r="D2217" s="1">
        <v>46210.746018518519</v>
      </c>
      <c r="E2217" t="s">
        <v>42</v>
      </c>
      <c r="F2217" t="s">
        <v>83</v>
      </c>
      <c r="G2217">
        <v>29</v>
      </c>
      <c r="H2217">
        <v>33186</v>
      </c>
      <c r="I2217" t="s">
        <v>1113</v>
      </c>
      <c r="J2217">
        <v>50</v>
      </c>
      <c r="K2217">
        <v>122</v>
      </c>
      <c r="L2217">
        <v>98</v>
      </c>
      <c r="M2217">
        <v>621.79998779000005</v>
      </c>
      <c r="N2217" t="s">
        <v>87</v>
      </c>
      <c r="O2217" t="s">
        <v>86</v>
      </c>
      <c r="P2217">
        <v>130</v>
      </c>
      <c r="Q2217">
        <v>5</v>
      </c>
      <c r="R2217">
        <v>71</v>
      </c>
      <c r="S2217">
        <v>1308</v>
      </c>
      <c r="T2217">
        <v>-40</v>
      </c>
      <c r="U2217">
        <v>52</v>
      </c>
      <c r="V2217">
        <v>520</v>
      </c>
      <c r="W2217">
        <v>27</v>
      </c>
      <c r="X2217">
        <v>27</v>
      </c>
      <c r="Y2217">
        <v>1</v>
      </c>
      <c r="Z2217">
        <v>8</v>
      </c>
      <c r="AA2217">
        <v>23</v>
      </c>
      <c r="AB2217">
        <v>2</v>
      </c>
      <c r="AC2217">
        <v>5</v>
      </c>
      <c r="AD2217">
        <v>3.2460000500000001</v>
      </c>
      <c r="AE2217">
        <v>1</v>
      </c>
      <c r="AF2217">
        <v>38</v>
      </c>
      <c r="AG2217">
        <v>3.2349999</v>
      </c>
      <c r="AH2217">
        <v>4</v>
      </c>
      <c r="AI2217">
        <v>24</v>
      </c>
      <c r="AJ2217">
        <v>1</v>
      </c>
      <c r="AK2217">
        <v>17</v>
      </c>
      <c r="AL2217">
        <v>39</v>
      </c>
      <c r="AM2217" t="s">
        <v>43</v>
      </c>
      <c r="AN2217" t="str">
        <f>HYPERLINK("https://www.google.com/maps?q=10.89869308,79.10379028","Open Location")</f>
        <v>Open Location</v>
      </c>
    </row>
    <row r="2218" spans="1:40" x14ac:dyDescent="0.3">
      <c r="A2218" s="1">
        <v>46210.743055555555</v>
      </c>
      <c r="B2218" t="s">
        <v>40</v>
      </c>
      <c r="C2218" t="s">
        <v>41</v>
      </c>
      <c r="D2218" s="1">
        <v>46210.745752314811</v>
      </c>
      <c r="E2218" t="s">
        <v>42</v>
      </c>
      <c r="F2218" t="s">
        <v>83</v>
      </c>
      <c r="G2218">
        <v>25</v>
      </c>
      <c r="H2218">
        <v>33186</v>
      </c>
      <c r="I2218" t="s">
        <v>1114</v>
      </c>
      <c r="J2218">
        <v>50</v>
      </c>
      <c r="K2218">
        <v>144</v>
      </c>
      <c r="L2218">
        <v>98</v>
      </c>
      <c r="M2218">
        <v>621.09997558999999</v>
      </c>
      <c r="N2218" t="s">
        <v>87</v>
      </c>
      <c r="O2218" t="s">
        <v>86</v>
      </c>
      <c r="P2218">
        <v>130</v>
      </c>
      <c r="Q2218">
        <v>5</v>
      </c>
      <c r="R2218">
        <v>96</v>
      </c>
      <c r="S2218">
        <v>1118</v>
      </c>
      <c r="T2218">
        <v>-40</v>
      </c>
      <c r="U2218">
        <v>51</v>
      </c>
      <c r="V2218">
        <v>720</v>
      </c>
      <c r="W2218">
        <v>27</v>
      </c>
      <c r="X2218">
        <v>27</v>
      </c>
      <c r="Y2218">
        <v>1</v>
      </c>
      <c r="Z2218">
        <v>8</v>
      </c>
      <c r="AA2218">
        <v>23</v>
      </c>
      <c r="AB2218">
        <v>2</v>
      </c>
      <c r="AC2218">
        <v>4</v>
      </c>
      <c r="AD2218">
        <v>3.2460000500000001</v>
      </c>
      <c r="AE2218">
        <v>1</v>
      </c>
      <c r="AF2218">
        <v>42</v>
      </c>
      <c r="AG2218">
        <v>3.2330000399999999</v>
      </c>
      <c r="AH2218">
        <v>6</v>
      </c>
      <c r="AI2218">
        <v>24</v>
      </c>
      <c r="AJ2218">
        <v>1</v>
      </c>
      <c r="AK2218">
        <v>18</v>
      </c>
      <c r="AL2218">
        <v>39</v>
      </c>
      <c r="AM2218" t="s">
        <v>43</v>
      </c>
      <c r="AN2218" t="str">
        <f>HYPERLINK("https://www.google.com/maps?q=10.89781666,79.10382843","Open Location")</f>
        <v>Open Location</v>
      </c>
    </row>
    <row r="2219" spans="1:40" x14ac:dyDescent="0.3">
      <c r="A2219" s="1">
        <v>46210.742939814816</v>
      </c>
      <c r="B2219" t="s">
        <v>40</v>
      </c>
      <c r="C2219" t="s">
        <v>41</v>
      </c>
      <c r="D2219" s="1">
        <v>46210.745752314811</v>
      </c>
      <c r="E2219" t="s">
        <v>42</v>
      </c>
      <c r="F2219" t="s">
        <v>83</v>
      </c>
      <c r="G2219">
        <v>22</v>
      </c>
      <c r="H2219">
        <v>33186</v>
      </c>
      <c r="I2219" t="s">
        <v>1115</v>
      </c>
      <c r="J2219">
        <v>50</v>
      </c>
      <c r="K2219">
        <v>110</v>
      </c>
      <c r="L2219">
        <v>98</v>
      </c>
      <c r="M2219">
        <v>623.90002441000001</v>
      </c>
      <c r="N2219" t="s">
        <v>87</v>
      </c>
      <c r="O2219" t="s">
        <v>86</v>
      </c>
      <c r="P2219">
        <v>129</v>
      </c>
      <c r="Q2219">
        <v>4</v>
      </c>
      <c r="R2219">
        <v>58</v>
      </c>
      <c r="S2219">
        <v>1602</v>
      </c>
      <c r="T2219">
        <v>-40</v>
      </c>
      <c r="U2219">
        <v>51</v>
      </c>
      <c r="V2219">
        <v>340</v>
      </c>
      <c r="W2219">
        <v>27</v>
      </c>
      <c r="X2219">
        <v>27</v>
      </c>
      <c r="Y2219">
        <v>1</v>
      </c>
      <c r="Z2219">
        <v>8</v>
      </c>
      <c r="AA2219">
        <v>23</v>
      </c>
      <c r="AB2219">
        <v>2</v>
      </c>
      <c r="AC2219">
        <v>4</v>
      </c>
      <c r="AD2219">
        <v>3.25600004</v>
      </c>
      <c r="AE2219">
        <v>1</v>
      </c>
      <c r="AF2219">
        <v>38</v>
      </c>
      <c r="AG2219">
        <v>3.24699998</v>
      </c>
      <c r="AH2219">
        <v>4</v>
      </c>
      <c r="AI2219">
        <v>24</v>
      </c>
      <c r="AJ2219">
        <v>1</v>
      </c>
      <c r="AK2219">
        <v>18</v>
      </c>
      <c r="AL2219">
        <v>39</v>
      </c>
      <c r="AM2219" t="s">
        <v>43</v>
      </c>
      <c r="AN2219" t="str">
        <f>HYPERLINK("https://www.google.com/maps?q=10.89716434,79.10398865","Open Location")</f>
        <v>Open Location</v>
      </c>
    </row>
    <row r="2220" spans="1:40" x14ac:dyDescent="0.3">
      <c r="A2220" s="1">
        <v>46210.742824074077</v>
      </c>
      <c r="B2220" t="s">
        <v>40</v>
      </c>
      <c r="C2220" t="s">
        <v>41</v>
      </c>
      <c r="D2220" s="1">
        <v>46210.745509259257</v>
      </c>
      <c r="E2220" t="s">
        <v>42</v>
      </c>
      <c r="F2220" t="s">
        <v>83</v>
      </c>
      <c r="G2220">
        <v>16</v>
      </c>
      <c r="H2220">
        <v>33186</v>
      </c>
      <c r="I2220" t="s">
        <v>43</v>
      </c>
      <c r="J2220">
        <v>50</v>
      </c>
      <c r="K2220">
        <v>13</v>
      </c>
      <c r="L2220">
        <v>98</v>
      </c>
      <c r="M2220">
        <v>626.70001220999995</v>
      </c>
      <c r="N2220" t="s">
        <v>87</v>
      </c>
      <c r="O2220" t="s">
        <v>86</v>
      </c>
      <c r="P2220">
        <v>129</v>
      </c>
      <c r="Q2220">
        <v>4</v>
      </c>
      <c r="R2220">
        <v>78</v>
      </c>
      <c r="S2220">
        <v>1138</v>
      </c>
      <c r="T2220">
        <v>-40</v>
      </c>
      <c r="U2220">
        <v>50</v>
      </c>
      <c r="V2220">
        <v>0</v>
      </c>
      <c r="W2220">
        <v>27</v>
      </c>
      <c r="X2220">
        <v>27</v>
      </c>
      <c r="Y2220">
        <v>1</v>
      </c>
      <c r="Z2220">
        <v>8</v>
      </c>
      <c r="AA2220">
        <v>23</v>
      </c>
      <c r="AB2220">
        <v>2</v>
      </c>
      <c r="AC2220">
        <v>4</v>
      </c>
      <c r="AD2220">
        <v>3.2579999000000002</v>
      </c>
      <c r="AE2220">
        <v>1</v>
      </c>
      <c r="AF2220">
        <v>42</v>
      </c>
      <c r="AG2220">
        <v>3.2479999099999999</v>
      </c>
      <c r="AH2220">
        <v>6</v>
      </c>
      <c r="AI2220">
        <v>24</v>
      </c>
      <c r="AJ2220">
        <v>1</v>
      </c>
      <c r="AK2220">
        <v>18</v>
      </c>
      <c r="AL2220">
        <v>39</v>
      </c>
      <c r="AM2220" t="s">
        <v>43</v>
      </c>
      <c r="AN2220" t="s">
        <v>43</v>
      </c>
    </row>
    <row r="2221" spans="1:40" x14ac:dyDescent="0.3">
      <c r="A2221" s="1">
        <v>46210.742708333331</v>
      </c>
      <c r="B2221" t="s">
        <v>40</v>
      </c>
      <c r="C2221" t="s">
        <v>41</v>
      </c>
      <c r="D2221" s="1">
        <v>46210.745567129627</v>
      </c>
      <c r="E2221" t="s">
        <v>42</v>
      </c>
      <c r="F2221" t="s">
        <v>83</v>
      </c>
      <c r="G2221">
        <v>8</v>
      </c>
      <c r="H2221">
        <v>33186</v>
      </c>
      <c r="I2221" t="s">
        <v>1116</v>
      </c>
      <c r="J2221">
        <v>50</v>
      </c>
      <c r="K2221">
        <v>138</v>
      </c>
      <c r="L2221">
        <v>98</v>
      </c>
      <c r="M2221">
        <v>623.70001220999995</v>
      </c>
      <c r="N2221" t="s">
        <v>87</v>
      </c>
      <c r="O2221" t="s">
        <v>86</v>
      </c>
      <c r="P2221">
        <v>127</v>
      </c>
      <c r="Q2221">
        <v>3</v>
      </c>
      <c r="R2221">
        <v>0</v>
      </c>
      <c r="S2221">
        <v>1848</v>
      </c>
      <c r="T2221">
        <v>-40</v>
      </c>
      <c r="U2221">
        <v>49</v>
      </c>
      <c r="V2221">
        <v>440</v>
      </c>
      <c r="W2221">
        <v>27</v>
      </c>
      <c r="X2221">
        <v>27</v>
      </c>
      <c r="Y2221">
        <v>1</v>
      </c>
      <c r="Z2221">
        <v>8</v>
      </c>
      <c r="AA2221">
        <v>23</v>
      </c>
      <c r="AB2221">
        <v>2</v>
      </c>
      <c r="AC2221">
        <v>4</v>
      </c>
      <c r="AD2221">
        <v>3.2690000499999998</v>
      </c>
      <c r="AE2221">
        <v>1</v>
      </c>
      <c r="AF2221">
        <v>41</v>
      </c>
      <c r="AG2221">
        <v>3.26200008</v>
      </c>
      <c r="AH2221">
        <v>6</v>
      </c>
      <c r="AI2221">
        <v>24</v>
      </c>
      <c r="AJ2221">
        <v>1</v>
      </c>
      <c r="AK2221">
        <v>19</v>
      </c>
      <c r="AL2221">
        <v>39</v>
      </c>
      <c r="AM2221" t="s">
        <v>43</v>
      </c>
      <c r="AN2221" t="str">
        <f>HYPERLINK("https://www.google.com/maps?q=10.89673424,79.10417938","Open Location")</f>
        <v>Open Location</v>
      </c>
    </row>
    <row r="2222" spans="1:40" x14ac:dyDescent="0.3">
      <c r="A2222" s="1">
        <v>46210.742592592593</v>
      </c>
      <c r="B2222" t="s">
        <v>40</v>
      </c>
      <c r="C2222" t="s">
        <v>41</v>
      </c>
      <c r="D2222" s="1">
        <v>46210.745439814818</v>
      </c>
      <c r="E2222" t="s">
        <v>42</v>
      </c>
      <c r="F2222" t="s">
        <v>83</v>
      </c>
      <c r="G2222">
        <v>3</v>
      </c>
      <c r="H2222">
        <v>33186</v>
      </c>
      <c r="I2222" t="s">
        <v>1117</v>
      </c>
      <c r="J2222">
        <v>50</v>
      </c>
      <c r="K2222">
        <v>39</v>
      </c>
      <c r="L2222">
        <v>98</v>
      </c>
      <c r="M2222">
        <v>628.40002441000001</v>
      </c>
      <c r="N2222" t="s">
        <v>87</v>
      </c>
      <c r="O2222" t="s">
        <v>86</v>
      </c>
      <c r="P2222">
        <v>127</v>
      </c>
      <c r="Q2222">
        <v>2</v>
      </c>
      <c r="R2222">
        <v>8</v>
      </c>
      <c r="S2222">
        <v>641</v>
      </c>
      <c r="T2222">
        <v>-40</v>
      </c>
      <c r="U2222">
        <v>48</v>
      </c>
      <c r="V2222">
        <v>280</v>
      </c>
      <c r="W2222">
        <v>27</v>
      </c>
      <c r="X2222">
        <v>27</v>
      </c>
      <c r="Y2222">
        <v>1</v>
      </c>
      <c r="Z2222">
        <v>8</v>
      </c>
      <c r="AA2222">
        <v>23</v>
      </c>
      <c r="AB2222">
        <v>2</v>
      </c>
      <c r="AC2222">
        <v>4</v>
      </c>
      <c r="AD2222">
        <v>3.2839999199999999</v>
      </c>
      <c r="AE2222">
        <v>1</v>
      </c>
      <c r="AF2222">
        <v>1</v>
      </c>
      <c r="AG2222">
        <v>3.2809998999999999</v>
      </c>
      <c r="AH2222">
        <v>4</v>
      </c>
      <c r="AI2222">
        <v>17</v>
      </c>
      <c r="AJ2222">
        <v>1</v>
      </c>
      <c r="AK2222">
        <v>19</v>
      </c>
      <c r="AL2222">
        <v>39</v>
      </c>
      <c r="AM2222" t="s">
        <v>43</v>
      </c>
      <c r="AN2222" t="str">
        <f>HYPERLINK("https://www.google.com/maps?q=10.89654732,79.10425568","Open Location")</f>
        <v>Open Location</v>
      </c>
    </row>
    <row r="2223" spans="1:40" x14ac:dyDescent="0.3">
      <c r="A2223" s="1">
        <v>46210.742476851854</v>
      </c>
      <c r="B2223" t="s">
        <v>40</v>
      </c>
      <c r="C2223" t="s">
        <v>41</v>
      </c>
      <c r="D2223" s="1">
        <v>46210.745717592596</v>
      </c>
      <c r="E2223" t="s">
        <v>42</v>
      </c>
      <c r="F2223" t="s">
        <v>83</v>
      </c>
      <c r="G2223">
        <v>0</v>
      </c>
      <c r="H2223">
        <v>33186</v>
      </c>
      <c r="I2223" t="s">
        <v>1118</v>
      </c>
      <c r="J2223">
        <v>50</v>
      </c>
      <c r="K2223">
        <v>10</v>
      </c>
      <c r="L2223">
        <v>98</v>
      </c>
      <c r="M2223">
        <v>630.09997558999999</v>
      </c>
      <c r="N2223" t="s">
        <v>85</v>
      </c>
      <c r="O2223" t="s">
        <v>86</v>
      </c>
      <c r="P2223">
        <v>127</v>
      </c>
      <c r="Q2223">
        <v>2</v>
      </c>
      <c r="R2223">
        <v>0</v>
      </c>
      <c r="S2223">
        <v>387</v>
      </c>
      <c r="T2223">
        <v>-40</v>
      </c>
      <c r="U2223">
        <v>46</v>
      </c>
      <c r="V2223">
        <v>30</v>
      </c>
      <c r="W2223">
        <v>27</v>
      </c>
      <c r="X2223">
        <v>27</v>
      </c>
      <c r="Y2223">
        <v>1</v>
      </c>
      <c r="Z2223">
        <v>8</v>
      </c>
      <c r="AA2223">
        <v>23</v>
      </c>
      <c r="AB2223">
        <v>2</v>
      </c>
      <c r="AC2223">
        <v>4</v>
      </c>
      <c r="AD2223">
        <v>3.28500009</v>
      </c>
      <c r="AE2223">
        <v>1</v>
      </c>
      <c r="AF2223">
        <v>16</v>
      </c>
      <c r="AG2223">
        <v>3.2809998999999999</v>
      </c>
      <c r="AH2223">
        <v>4</v>
      </c>
      <c r="AI2223">
        <v>17</v>
      </c>
      <c r="AJ2223">
        <v>1</v>
      </c>
      <c r="AK2223">
        <v>20</v>
      </c>
      <c r="AL2223">
        <v>39</v>
      </c>
      <c r="AM2223" t="s">
        <v>43</v>
      </c>
      <c r="AN2223" t="str">
        <f>HYPERLINK("https://www.google.com/maps?q=10.89648628,79.10427094","Open Location")</f>
        <v>Open Location</v>
      </c>
    </row>
    <row r="2224" spans="1:40" x14ac:dyDescent="0.3">
      <c r="A2224" s="1">
        <v>46210.742361111108</v>
      </c>
      <c r="B2224" t="s">
        <v>40</v>
      </c>
      <c r="C2224" t="s">
        <v>41</v>
      </c>
      <c r="D2224" s="1">
        <v>46210.745115740741</v>
      </c>
      <c r="E2224" t="s">
        <v>42</v>
      </c>
      <c r="F2224" t="s">
        <v>83</v>
      </c>
      <c r="G2224">
        <v>3</v>
      </c>
      <c r="H2224" t="s">
        <v>43</v>
      </c>
      <c r="I2224" t="s">
        <v>1119</v>
      </c>
      <c r="J2224">
        <v>50</v>
      </c>
      <c r="K2224">
        <v>17</v>
      </c>
      <c r="L2224">
        <v>98</v>
      </c>
      <c r="M2224">
        <v>629.70001220999995</v>
      </c>
      <c r="N2224" t="s">
        <v>87</v>
      </c>
      <c r="O2224" t="s">
        <v>86</v>
      </c>
      <c r="P2224">
        <v>127</v>
      </c>
      <c r="Q2224">
        <v>2</v>
      </c>
      <c r="R2224">
        <v>3</v>
      </c>
      <c r="S2224">
        <v>642</v>
      </c>
      <c r="T2224">
        <v>-40</v>
      </c>
      <c r="U2224">
        <v>46</v>
      </c>
      <c r="V2224">
        <v>60</v>
      </c>
      <c r="W2224">
        <v>27</v>
      </c>
      <c r="X2224">
        <v>27</v>
      </c>
      <c r="Y2224">
        <v>1</v>
      </c>
      <c r="Z2224">
        <v>8</v>
      </c>
      <c r="AA2224">
        <v>23</v>
      </c>
      <c r="AB2224">
        <v>2</v>
      </c>
      <c r="AC2224">
        <v>4</v>
      </c>
      <c r="AD2224">
        <v>3.28500009</v>
      </c>
      <c r="AE2224">
        <v>5</v>
      </c>
      <c r="AF2224">
        <v>38</v>
      </c>
      <c r="AG2224">
        <v>3.2809998999999999</v>
      </c>
      <c r="AH2224">
        <v>4</v>
      </c>
      <c r="AI2224">
        <v>17</v>
      </c>
      <c r="AJ2224">
        <v>1</v>
      </c>
      <c r="AK2224">
        <v>23</v>
      </c>
      <c r="AL2224">
        <v>39</v>
      </c>
      <c r="AM2224" t="s">
        <v>43</v>
      </c>
      <c r="AN2224" t="str">
        <f>HYPERLINK("https://www.google.com/maps?q=10.8964138,79.10427856","Open Location")</f>
        <v>Open Location</v>
      </c>
    </row>
    <row r="2225" spans="1:40" x14ac:dyDescent="0.3">
      <c r="A2225" s="1">
        <v>46210.742245370369</v>
      </c>
      <c r="B2225" t="s">
        <v>40</v>
      </c>
      <c r="C2225" t="s">
        <v>41</v>
      </c>
      <c r="D2225" s="1">
        <v>46210.745416666665</v>
      </c>
      <c r="E2225" t="s">
        <v>42</v>
      </c>
      <c r="F2225" t="s">
        <v>83</v>
      </c>
      <c r="G2225">
        <v>2</v>
      </c>
      <c r="H2225">
        <v>33186</v>
      </c>
      <c r="I2225" t="s">
        <v>43</v>
      </c>
      <c r="J2225">
        <v>50</v>
      </c>
      <c r="K2225">
        <v>17</v>
      </c>
      <c r="L2225">
        <v>98</v>
      </c>
      <c r="M2225">
        <v>629.70001220999995</v>
      </c>
      <c r="N2225" t="s">
        <v>87</v>
      </c>
      <c r="O2225" t="s">
        <v>86</v>
      </c>
      <c r="P2225">
        <v>127</v>
      </c>
      <c r="Q2225">
        <v>2</v>
      </c>
      <c r="R2225">
        <v>10</v>
      </c>
      <c r="S2225">
        <v>465</v>
      </c>
      <c r="T2225">
        <v>-40</v>
      </c>
      <c r="U2225">
        <v>47</v>
      </c>
      <c r="V2225">
        <v>80</v>
      </c>
      <c r="W2225">
        <v>27</v>
      </c>
      <c r="X2225">
        <v>27</v>
      </c>
      <c r="Y2225">
        <v>1</v>
      </c>
      <c r="Z2225">
        <v>8</v>
      </c>
      <c r="AA2225">
        <v>23</v>
      </c>
      <c r="AB2225">
        <v>2</v>
      </c>
      <c r="AC2225">
        <v>4</v>
      </c>
      <c r="AD2225">
        <v>3.2809998999999999</v>
      </c>
      <c r="AE2225">
        <v>1</v>
      </c>
      <c r="AF2225">
        <v>1</v>
      </c>
      <c r="AG2225">
        <v>3.27699995</v>
      </c>
      <c r="AH2225">
        <v>4</v>
      </c>
      <c r="AI2225">
        <v>17</v>
      </c>
      <c r="AJ2225">
        <v>1</v>
      </c>
      <c r="AK2225">
        <v>20</v>
      </c>
      <c r="AL2225">
        <v>39</v>
      </c>
      <c r="AM2225" t="s">
        <v>43</v>
      </c>
      <c r="AN2225" t="s">
        <v>43</v>
      </c>
    </row>
    <row r="2226" spans="1:40" x14ac:dyDescent="0.3">
      <c r="A2226" s="1">
        <v>46210.742129629631</v>
      </c>
      <c r="B2226" t="s">
        <v>40</v>
      </c>
      <c r="C2226" t="s">
        <v>41</v>
      </c>
      <c r="D2226" s="1">
        <v>46210.745034722226</v>
      </c>
      <c r="E2226" t="s">
        <v>42</v>
      </c>
      <c r="F2226" t="s">
        <v>83</v>
      </c>
      <c r="G2226">
        <v>0</v>
      </c>
      <c r="H2226">
        <v>33186</v>
      </c>
      <c r="I2226" t="s">
        <v>1120</v>
      </c>
      <c r="J2226">
        <v>50</v>
      </c>
      <c r="K2226">
        <v>9</v>
      </c>
      <c r="L2226">
        <v>98</v>
      </c>
      <c r="M2226">
        <v>630.5</v>
      </c>
      <c r="N2226" t="s">
        <v>85</v>
      </c>
      <c r="O2226" t="s">
        <v>86</v>
      </c>
      <c r="P2226">
        <v>125</v>
      </c>
      <c r="Q2226">
        <v>2</v>
      </c>
      <c r="R2226">
        <v>0</v>
      </c>
      <c r="S2226">
        <v>0</v>
      </c>
      <c r="T2226">
        <v>-40</v>
      </c>
      <c r="U2226">
        <v>46</v>
      </c>
      <c r="V2226">
        <v>0</v>
      </c>
      <c r="W2226">
        <v>27</v>
      </c>
      <c r="X2226">
        <v>27</v>
      </c>
      <c r="Y2226">
        <v>1</v>
      </c>
      <c r="Z2226">
        <v>8</v>
      </c>
      <c r="AA2226">
        <v>23</v>
      </c>
      <c r="AB2226">
        <v>2</v>
      </c>
      <c r="AC2226">
        <v>4</v>
      </c>
      <c r="AD2226">
        <v>3.2869999399999998</v>
      </c>
      <c r="AE2226">
        <v>1</v>
      </c>
      <c r="AF2226">
        <v>46</v>
      </c>
      <c r="AG2226">
        <v>3.2820000600000001</v>
      </c>
      <c r="AH2226">
        <v>4</v>
      </c>
      <c r="AI2226">
        <v>17</v>
      </c>
      <c r="AJ2226">
        <v>2</v>
      </c>
      <c r="AK2226">
        <v>33</v>
      </c>
      <c r="AL2226">
        <v>39</v>
      </c>
      <c r="AM2226" t="s">
        <v>43</v>
      </c>
      <c r="AN2226" t="str">
        <f>HYPERLINK("https://www.google.com/maps?q=10.89632607,79.10429382","Open Location")</f>
        <v>Open Location</v>
      </c>
    </row>
    <row r="2227" spans="1:40" x14ac:dyDescent="0.3">
      <c r="A2227" s="1">
        <v>46210.742013888892</v>
      </c>
      <c r="B2227" t="s">
        <v>40</v>
      </c>
      <c r="C2227" t="s">
        <v>41</v>
      </c>
      <c r="D2227" s="1">
        <v>46210.74523148148</v>
      </c>
      <c r="E2227" t="s">
        <v>42</v>
      </c>
      <c r="F2227" t="s">
        <v>83</v>
      </c>
      <c r="G2227">
        <v>0</v>
      </c>
      <c r="H2227">
        <v>33186</v>
      </c>
      <c r="I2227" t="s">
        <v>1121</v>
      </c>
      <c r="J2227">
        <v>50</v>
      </c>
      <c r="K2227">
        <v>0</v>
      </c>
      <c r="L2227">
        <v>98</v>
      </c>
      <c r="M2227">
        <v>630.59997558999999</v>
      </c>
      <c r="N2227" t="s">
        <v>81</v>
      </c>
      <c r="O2227" t="s">
        <v>82</v>
      </c>
      <c r="P2227">
        <v>125</v>
      </c>
      <c r="Q2227" t="s">
        <v>82</v>
      </c>
      <c r="R2227">
        <v>0</v>
      </c>
      <c r="S2227">
        <v>0</v>
      </c>
      <c r="T2227">
        <v>-40</v>
      </c>
      <c r="U2227">
        <v>46</v>
      </c>
      <c r="V2227">
        <v>0</v>
      </c>
      <c r="W2227">
        <v>27</v>
      </c>
      <c r="X2227">
        <v>27</v>
      </c>
      <c r="Y2227">
        <v>1</v>
      </c>
      <c r="Z2227">
        <v>8</v>
      </c>
      <c r="AA2227">
        <v>23</v>
      </c>
      <c r="AB2227">
        <v>2</v>
      </c>
      <c r="AC2227">
        <v>4</v>
      </c>
      <c r="AD2227">
        <v>3.28900003</v>
      </c>
      <c r="AE2227">
        <v>1</v>
      </c>
      <c r="AF2227">
        <v>16</v>
      </c>
      <c r="AG2227">
        <v>3.28600001</v>
      </c>
      <c r="AH2227">
        <v>6</v>
      </c>
      <c r="AI2227">
        <v>17</v>
      </c>
      <c r="AJ2227">
        <v>0</v>
      </c>
      <c r="AK2227">
        <v>0</v>
      </c>
      <c r="AL2227">
        <v>39</v>
      </c>
      <c r="AM2227" t="s">
        <v>43</v>
      </c>
      <c r="AN2227" t="str">
        <f>HYPERLINK("https://www.google.com/maps?q=10.89632511,79.10429382","Open Location")</f>
        <v>Open Location</v>
      </c>
    </row>
    <row r="2228" spans="1:40" x14ac:dyDescent="0.3">
      <c r="A2228" s="1">
        <v>46210.741898148146</v>
      </c>
      <c r="B2228" t="s">
        <v>40</v>
      </c>
      <c r="C2228" t="s">
        <v>41</v>
      </c>
      <c r="D2228" s="1">
        <v>46210.744745370372</v>
      </c>
      <c r="E2228" t="s">
        <v>42</v>
      </c>
      <c r="F2228" t="s">
        <v>83</v>
      </c>
      <c r="G2228">
        <v>0</v>
      </c>
      <c r="H2228">
        <v>33186</v>
      </c>
      <c r="I2228" t="s">
        <v>1122</v>
      </c>
      <c r="J2228">
        <v>50</v>
      </c>
      <c r="K2228">
        <v>0</v>
      </c>
      <c r="L2228">
        <v>98</v>
      </c>
      <c r="M2228">
        <v>630.59997558999999</v>
      </c>
      <c r="N2228" t="s">
        <v>81</v>
      </c>
      <c r="O2228" t="s">
        <v>82</v>
      </c>
      <c r="P2228">
        <v>125</v>
      </c>
      <c r="Q2228" t="s">
        <v>82</v>
      </c>
      <c r="R2228">
        <v>0</v>
      </c>
      <c r="S2228">
        <v>0</v>
      </c>
      <c r="T2228">
        <v>-40</v>
      </c>
      <c r="U2228">
        <v>46</v>
      </c>
      <c r="V2228">
        <v>0</v>
      </c>
      <c r="W2228">
        <v>27</v>
      </c>
      <c r="X2228">
        <v>27</v>
      </c>
      <c r="Y2228">
        <v>1</v>
      </c>
      <c r="Z2228">
        <v>8</v>
      </c>
      <c r="AA2228">
        <v>23</v>
      </c>
      <c r="AB2228">
        <v>2</v>
      </c>
      <c r="AC2228">
        <v>4</v>
      </c>
      <c r="AD2228">
        <v>3.28900003</v>
      </c>
      <c r="AE2228">
        <v>1</v>
      </c>
      <c r="AF2228">
        <v>16</v>
      </c>
      <c r="AG2228">
        <v>3.2869999399999998</v>
      </c>
      <c r="AH2228">
        <v>1</v>
      </c>
      <c r="AI2228">
        <v>4</v>
      </c>
      <c r="AJ2228">
        <v>0</v>
      </c>
      <c r="AK2228">
        <v>0</v>
      </c>
      <c r="AL2228">
        <v>39</v>
      </c>
      <c r="AM2228" t="s">
        <v>43</v>
      </c>
      <c r="AN2228" t="str">
        <f>HYPERLINK("https://www.google.com/maps?q=10.89632225,79.10430145","Open Location")</f>
        <v>Open Location</v>
      </c>
    </row>
    <row r="2229" spans="1:40" x14ac:dyDescent="0.3">
      <c r="A2229" s="1">
        <v>46210.741782407407</v>
      </c>
      <c r="B2229" t="s">
        <v>40</v>
      </c>
      <c r="C2229" t="s">
        <v>41</v>
      </c>
      <c r="D2229" s="1">
        <v>46210.744733796295</v>
      </c>
      <c r="E2229" t="s">
        <v>42</v>
      </c>
      <c r="F2229" t="s">
        <v>83</v>
      </c>
      <c r="G2229">
        <v>0</v>
      </c>
      <c r="H2229">
        <v>33186</v>
      </c>
      <c r="I2229" t="s">
        <v>1123</v>
      </c>
      <c r="J2229">
        <v>0</v>
      </c>
      <c r="K2229">
        <v>-3200</v>
      </c>
      <c r="L2229">
        <v>0</v>
      </c>
      <c r="M2229">
        <v>0</v>
      </c>
      <c r="N2229" t="s">
        <v>81</v>
      </c>
      <c r="O2229" t="s">
        <v>82</v>
      </c>
      <c r="P2229">
        <v>125</v>
      </c>
      <c r="Q2229" t="s">
        <v>43</v>
      </c>
      <c r="R2229">
        <v>0</v>
      </c>
      <c r="S2229">
        <v>0</v>
      </c>
      <c r="T2229">
        <v>-40</v>
      </c>
      <c r="U2229">
        <v>46</v>
      </c>
      <c r="V2229">
        <v>0</v>
      </c>
      <c r="W2229">
        <v>27</v>
      </c>
      <c r="X2229">
        <v>27</v>
      </c>
      <c r="Y2229">
        <v>1</v>
      </c>
      <c r="Z2229">
        <v>8</v>
      </c>
      <c r="AA2229">
        <v>23</v>
      </c>
      <c r="AB2229">
        <v>2</v>
      </c>
      <c r="AC2229">
        <v>4</v>
      </c>
      <c r="AD2229">
        <v>3.28900003</v>
      </c>
      <c r="AE2229">
        <v>1</v>
      </c>
      <c r="AF2229">
        <v>29</v>
      </c>
      <c r="AG2229">
        <v>3.2869999399999998</v>
      </c>
      <c r="AH2229">
        <v>1</v>
      </c>
      <c r="AI2229">
        <v>4</v>
      </c>
      <c r="AJ2229">
        <v>0</v>
      </c>
      <c r="AK2229">
        <v>0</v>
      </c>
      <c r="AL2229">
        <v>39</v>
      </c>
      <c r="AM2229" t="s">
        <v>43</v>
      </c>
      <c r="AN2229" t="str">
        <f>HYPERLINK("https://www.google.com/maps?q=10.89632416,79.10429382","Open Location")</f>
        <v>Open Location</v>
      </c>
    </row>
    <row r="2230" spans="1:40" x14ac:dyDescent="0.3">
      <c r="A2230" s="1">
        <v>46210.741666666669</v>
      </c>
      <c r="B2230" t="s">
        <v>40</v>
      </c>
      <c r="C2230" t="s">
        <v>41</v>
      </c>
      <c r="D2230" s="1">
        <v>46210.744502314818</v>
      </c>
      <c r="E2230" t="s">
        <v>42</v>
      </c>
      <c r="F2230" t="s">
        <v>43</v>
      </c>
      <c r="G2230" t="s">
        <v>43</v>
      </c>
      <c r="H2230" t="s">
        <v>43</v>
      </c>
      <c r="I2230" t="s">
        <v>1124</v>
      </c>
      <c r="J2230" t="s">
        <v>43</v>
      </c>
      <c r="K2230" t="s">
        <v>43</v>
      </c>
      <c r="L2230" t="s">
        <v>43</v>
      </c>
      <c r="M2230" t="s">
        <v>43</v>
      </c>
      <c r="N2230" t="s">
        <v>45</v>
      </c>
      <c r="O2230" t="s">
        <v>43</v>
      </c>
      <c r="P2230" t="s">
        <v>43</v>
      </c>
      <c r="Q2230" t="s">
        <v>43</v>
      </c>
      <c r="R2230" t="s">
        <v>43</v>
      </c>
      <c r="S2230" t="s">
        <v>43</v>
      </c>
      <c r="T2230" t="s">
        <v>43</v>
      </c>
      <c r="U2230" t="s">
        <v>43</v>
      </c>
      <c r="V2230" t="s">
        <v>43</v>
      </c>
      <c r="W2230" t="s">
        <v>43</v>
      </c>
      <c r="X2230" t="s">
        <v>43</v>
      </c>
      <c r="Y2230" t="s">
        <v>43</v>
      </c>
      <c r="Z2230" t="s">
        <v>43</v>
      </c>
      <c r="AA2230" t="s">
        <v>43</v>
      </c>
      <c r="AB2230" t="s">
        <v>43</v>
      </c>
      <c r="AC2230" t="s">
        <v>43</v>
      </c>
      <c r="AD2230" t="s">
        <v>43</v>
      </c>
      <c r="AE2230" t="s">
        <v>43</v>
      </c>
      <c r="AF2230" t="s">
        <v>43</v>
      </c>
      <c r="AG2230" t="s">
        <v>43</v>
      </c>
      <c r="AH2230" t="s">
        <v>43</v>
      </c>
      <c r="AI2230" t="s">
        <v>43</v>
      </c>
      <c r="AJ2230" t="s">
        <v>43</v>
      </c>
      <c r="AK2230" t="s">
        <v>43</v>
      </c>
      <c r="AL2230" t="s">
        <v>43</v>
      </c>
      <c r="AM2230" t="s">
        <v>43</v>
      </c>
      <c r="AN2230" t="str">
        <f>HYPERLINK("https://www.google.com/maps?q=10.89632702,79.10428619","Open Location")</f>
        <v>Open Location</v>
      </c>
    </row>
    <row r="2231" spans="1:40" x14ac:dyDescent="0.3">
      <c r="A2231" s="1">
        <v>46210.741550925923</v>
      </c>
      <c r="B2231" t="s">
        <v>40</v>
      </c>
      <c r="C2231" t="s">
        <v>41</v>
      </c>
      <c r="D2231" s="1">
        <v>46210.744675925926</v>
      </c>
      <c r="E2231" t="s">
        <v>42</v>
      </c>
      <c r="F2231" t="s">
        <v>43</v>
      </c>
      <c r="G2231" t="s">
        <v>43</v>
      </c>
      <c r="H2231" t="s">
        <v>43</v>
      </c>
      <c r="I2231" t="s">
        <v>43</v>
      </c>
      <c r="J2231" t="s">
        <v>43</v>
      </c>
      <c r="K2231" t="s">
        <v>43</v>
      </c>
      <c r="L2231" t="s">
        <v>43</v>
      </c>
      <c r="M2231" t="s">
        <v>43</v>
      </c>
      <c r="N2231" t="s">
        <v>45</v>
      </c>
      <c r="O2231" t="s">
        <v>43</v>
      </c>
      <c r="P2231" t="s">
        <v>43</v>
      </c>
      <c r="Q2231" t="s">
        <v>43</v>
      </c>
      <c r="R2231" t="s">
        <v>43</v>
      </c>
      <c r="S2231" t="s">
        <v>43</v>
      </c>
      <c r="T2231" t="s">
        <v>43</v>
      </c>
      <c r="U2231" t="s">
        <v>43</v>
      </c>
      <c r="V2231" t="s">
        <v>43</v>
      </c>
      <c r="W2231" t="s">
        <v>43</v>
      </c>
      <c r="X2231" t="s">
        <v>43</v>
      </c>
      <c r="Y2231" t="s">
        <v>43</v>
      </c>
      <c r="Z2231" t="s">
        <v>43</v>
      </c>
      <c r="AA2231" t="s">
        <v>43</v>
      </c>
      <c r="AB2231" t="s">
        <v>43</v>
      </c>
      <c r="AC2231" t="s">
        <v>43</v>
      </c>
      <c r="AD2231" t="s">
        <v>43</v>
      </c>
      <c r="AE2231" t="s">
        <v>43</v>
      </c>
      <c r="AF2231" t="s">
        <v>43</v>
      </c>
      <c r="AG2231" t="s">
        <v>43</v>
      </c>
      <c r="AH2231" t="s">
        <v>43</v>
      </c>
      <c r="AI2231" t="s">
        <v>43</v>
      </c>
      <c r="AJ2231" t="s">
        <v>43</v>
      </c>
      <c r="AK2231" t="s">
        <v>43</v>
      </c>
      <c r="AL2231" t="s">
        <v>43</v>
      </c>
      <c r="AM2231" t="s">
        <v>43</v>
      </c>
      <c r="AN2231" t="s">
        <v>43</v>
      </c>
    </row>
    <row r="2232" spans="1:40" x14ac:dyDescent="0.3">
      <c r="A2232" s="1">
        <v>46210.741435185184</v>
      </c>
      <c r="B2232" t="s">
        <v>40</v>
      </c>
      <c r="C2232" t="s">
        <v>41</v>
      </c>
      <c r="D2232" s="1">
        <v>46210.744201388887</v>
      </c>
      <c r="E2232" t="s">
        <v>42</v>
      </c>
      <c r="F2232" t="s">
        <v>43</v>
      </c>
      <c r="G2232" t="s">
        <v>43</v>
      </c>
      <c r="H2232" t="s">
        <v>43</v>
      </c>
      <c r="I2232" t="s">
        <v>1125</v>
      </c>
      <c r="J2232" t="s">
        <v>43</v>
      </c>
      <c r="K2232" t="s">
        <v>43</v>
      </c>
      <c r="L2232" t="s">
        <v>43</v>
      </c>
      <c r="M2232" t="s">
        <v>43</v>
      </c>
      <c r="N2232" t="s">
        <v>45</v>
      </c>
      <c r="O2232" t="s">
        <v>43</v>
      </c>
      <c r="P2232" t="s">
        <v>43</v>
      </c>
      <c r="Q2232" t="s">
        <v>43</v>
      </c>
      <c r="R2232" t="s">
        <v>43</v>
      </c>
      <c r="S2232" t="s">
        <v>43</v>
      </c>
      <c r="T2232" t="s">
        <v>43</v>
      </c>
      <c r="U2232" t="s">
        <v>43</v>
      </c>
      <c r="V2232" t="s">
        <v>43</v>
      </c>
      <c r="W2232" t="s">
        <v>43</v>
      </c>
      <c r="X2232" t="s">
        <v>43</v>
      </c>
      <c r="Y2232" t="s">
        <v>43</v>
      </c>
      <c r="Z2232" t="s">
        <v>43</v>
      </c>
      <c r="AA2232" t="s">
        <v>43</v>
      </c>
      <c r="AB2232" t="s">
        <v>43</v>
      </c>
      <c r="AC2232" t="s">
        <v>43</v>
      </c>
      <c r="AD2232" t="s">
        <v>43</v>
      </c>
      <c r="AE2232" t="s">
        <v>43</v>
      </c>
      <c r="AF2232" t="s">
        <v>43</v>
      </c>
      <c r="AG2232" t="s">
        <v>43</v>
      </c>
      <c r="AH2232" t="s">
        <v>43</v>
      </c>
      <c r="AI2232" t="s">
        <v>43</v>
      </c>
      <c r="AJ2232" t="s">
        <v>43</v>
      </c>
      <c r="AK2232" t="s">
        <v>43</v>
      </c>
      <c r="AL2232" t="s">
        <v>43</v>
      </c>
      <c r="AM2232" t="s">
        <v>43</v>
      </c>
      <c r="AN2232" t="str">
        <f>HYPERLINK("https://www.google.com/maps?q=10.89632607,79.10428619","Open Location")</f>
        <v>Open Location</v>
      </c>
    </row>
    <row r="2233" spans="1:40" x14ac:dyDescent="0.3">
      <c r="A2233" s="1">
        <v>46210.741319444445</v>
      </c>
      <c r="B2233" t="s">
        <v>40</v>
      </c>
      <c r="C2233" t="s">
        <v>41</v>
      </c>
      <c r="D2233" s="1">
        <v>46210.744305555556</v>
      </c>
      <c r="E2233" t="s">
        <v>42</v>
      </c>
      <c r="F2233" t="s">
        <v>43</v>
      </c>
      <c r="G2233" t="s">
        <v>43</v>
      </c>
      <c r="H2233" t="s">
        <v>43</v>
      </c>
      <c r="I2233" t="s">
        <v>1126</v>
      </c>
      <c r="J2233" t="s">
        <v>43</v>
      </c>
      <c r="K2233" t="s">
        <v>43</v>
      </c>
      <c r="L2233" t="s">
        <v>43</v>
      </c>
      <c r="M2233" t="s">
        <v>43</v>
      </c>
      <c r="N2233" t="s">
        <v>45</v>
      </c>
      <c r="O2233" t="s">
        <v>43</v>
      </c>
      <c r="P2233" t="s">
        <v>43</v>
      </c>
      <c r="Q2233" t="s">
        <v>43</v>
      </c>
      <c r="R2233" t="s">
        <v>43</v>
      </c>
      <c r="S2233" t="s">
        <v>43</v>
      </c>
      <c r="T2233" t="s">
        <v>43</v>
      </c>
      <c r="U2233" t="s">
        <v>43</v>
      </c>
      <c r="V2233" t="s">
        <v>43</v>
      </c>
      <c r="W2233" t="s">
        <v>43</v>
      </c>
      <c r="X2233" t="s">
        <v>43</v>
      </c>
      <c r="Y2233" t="s">
        <v>43</v>
      </c>
      <c r="Z2233" t="s">
        <v>43</v>
      </c>
      <c r="AA2233" t="s">
        <v>43</v>
      </c>
      <c r="AB2233" t="s">
        <v>43</v>
      </c>
      <c r="AC2233" t="s">
        <v>43</v>
      </c>
      <c r="AD2233" t="s">
        <v>43</v>
      </c>
      <c r="AE2233" t="s">
        <v>43</v>
      </c>
      <c r="AF2233" t="s">
        <v>43</v>
      </c>
      <c r="AG2233" t="s">
        <v>43</v>
      </c>
      <c r="AH2233" t="s">
        <v>43</v>
      </c>
      <c r="AI2233" t="s">
        <v>43</v>
      </c>
      <c r="AJ2233" t="s">
        <v>43</v>
      </c>
      <c r="AK2233" t="s">
        <v>43</v>
      </c>
      <c r="AL2233" t="s">
        <v>43</v>
      </c>
      <c r="AM2233" t="s">
        <v>43</v>
      </c>
      <c r="AN2233" t="str">
        <f>HYPERLINK("https://www.google.com/maps?q=10.89632988,79.10428619","Open Location")</f>
        <v>Open Location</v>
      </c>
    </row>
    <row r="2234" spans="1:40" x14ac:dyDescent="0.3">
      <c r="A2234" s="1">
        <v>46210.741203703707</v>
      </c>
      <c r="B2234" t="s">
        <v>40</v>
      </c>
      <c r="C2234" t="s">
        <v>41</v>
      </c>
      <c r="D2234" s="1">
        <v>46210.744074074071</v>
      </c>
      <c r="E2234" t="s">
        <v>42</v>
      </c>
      <c r="F2234" t="s">
        <v>43</v>
      </c>
      <c r="G2234" t="s">
        <v>43</v>
      </c>
      <c r="H2234" t="s">
        <v>43</v>
      </c>
      <c r="I2234" t="s">
        <v>1126</v>
      </c>
      <c r="J2234" t="s">
        <v>43</v>
      </c>
      <c r="K2234" t="s">
        <v>43</v>
      </c>
      <c r="L2234" t="s">
        <v>43</v>
      </c>
      <c r="M2234" t="s">
        <v>43</v>
      </c>
      <c r="N2234" t="s">
        <v>45</v>
      </c>
      <c r="O2234" t="s">
        <v>43</v>
      </c>
      <c r="P2234" t="s">
        <v>43</v>
      </c>
      <c r="Q2234" t="s">
        <v>43</v>
      </c>
      <c r="R2234" t="s">
        <v>43</v>
      </c>
      <c r="S2234" t="s">
        <v>43</v>
      </c>
      <c r="T2234" t="s">
        <v>43</v>
      </c>
      <c r="U2234" t="s">
        <v>43</v>
      </c>
      <c r="V2234" t="s">
        <v>43</v>
      </c>
      <c r="W2234" t="s">
        <v>43</v>
      </c>
      <c r="X2234" t="s">
        <v>43</v>
      </c>
      <c r="Y2234" t="s">
        <v>43</v>
      </c>
      <c r="Z2234" t="s">
        <v>43</v>
      </c>
      <c r="AA2234" t="s">
        <v>43</v>
      </c>
      <c r="AB2234" t="s">
        <v>43</v>
      </c>
      <c r="AC2234" t="s">
        <v>43</v>
      </c>
      <c r="AD2234" t="s">
        <v>43</v>
      </c>
      <c r="AE2234" t="s">
        <v>43</v>
      </c>
      <c r="AF2234" t="s">
        <v>43</v>
      </c>
      <c r="AG2234" t="s">
        <v>43</v>
      </c>
      <c r="AH2234" t="s">
        <v>43</v>
      </c>
      <c r="AI2234" t="s">
        <v>43</v>
      </c>
      <c r="AJ2234" t="s">
        <v>43</v>
      </c>
      <c r="AK2234" t="s">
        <v>43</v>
      </c>
      <c r="AL2234" t="s">
        <v>43</v>
      </c>
      <c r="AM2234" t="s">
        <v>43</v>
      </c>
      <c r="AN2234" t="str">
        <f>HYPERLINK("https://www.google.com/maps?q=10.89632988,79.10428619","Open Location")</f>
        <v>Open Location</v>
      </c>
    </row>
    <row r="2235" spans="1:40" x14ac:dyDescent="0.3">
      <c r="A2235" s="1">
        <v>46210.741087962961</v>
      </c>
      <c r="B2235" t="s">
        <v>40</v>
      </c>
      <c r="C2235" t="s">
        <v>41</v>
      </c>
      <c r="D2235" s="1">
        <v>46210.744143518517</v>
      </c>
      <c r="E2235" t="s">
        <v>42</v>
      </c>
      <c r="F2235" t="s">
        <v>43</v>
      </c>
      <c r="G2235" t="s">
        <v>43</v>
      </c>
      <c r="H2235" t="s">
        <v>43</v>
      </c>
      <c r="I2235" t="s">
        <v>1127</v>
      </c>
      <c r="J2235" t="s">
        <v>43</v>
      </c>
      <c r="K2235" t="s">
        <v>43</v>
      </c>
      <c r="L2235" t="s">
        <v>43</v>
      </c>
      <c r="M2235" t="s">
        <v>43</v>
      </c>
      <c r="N2235" t="s">
        <v>45</v>
      </c>
      <c r="O2235" t="s">
        <v>43</v>
      </c>
      <c r="P2235" t="s">
        <v>43</v>
      </c>
      <c r="Q2235" t="s">
        <v>43</v>
      </c>
      <c r="R2235" t="s">
        <v>43</v>
      </c>
      <c r="S2235" t="s">
        <v>43</v>
      </c>
      <c r="T2235" t="s">
        <v>43</v>
      </c>
      <c r="U2235" t="s">
        <v>43</v>
      </c>
      <c r="V2235" t="s">
        <v>43</v>
      </c>
      <c r="W2235" t="s">
        <v>43</v>
      </c>
      <c r="X2235" t="s">
        <v>43</v>
      </c>
      <c r="Y2235" t="s">
        <v>43</v>
      </c>
      <c r="Z2235" t="s">
        <v>43</v>
      </c>
      <c r="AA2235" t="s">
        <v>43</v>
      </c>
      <c r="AB2235" t="s">
        <v>43</v>
      </c>
      <c r="AC2235" t="s">
        <v>43</v>
      </c>
      <c r="AD2235" t="s">
        <v>43</v>
      </c>
      <c r="AE2235" t="s">
        <v>43</v>
      </c>
      <c r="AF2235" t="s">
        <v>43</v>
      </c>
      <c r="AG2235" t="s">
        <v>43</v>
      </c>
      <c r="AH2235" t="s">
        <v>43</v>
      </c>
      <c r="AI2235" t="s">
        <v>43</v>
      </c>
      <c r="AJ2235" t="s">
        <v>43</v>
      </c>
      <c r="AK2235" t="s">
        <v>43</v>
      </c>
      <c r="AL2235" t="s">
        <v>43</v>
      </c>
      <c r="AM2235" t="s">
        <v>43</v>
      </c>
      <c r="AN2235" t="str">
        <f>HYPERLINK("https://www.google.com/maps?q=10.89632797,79.10428619","Open Location")</f>
        <v>Open Location</v>
      </c>
    </row>
    <row r="2236" spans="1:40" x14ac:dyDescent="0.3">
      <c r="A2236" s="1">
        <v>46210.740972222222</v>
      </c>
      <c r="B2236" t="s">
        <v>40</v>
      </c>
      <c r="C2236" t="s">
        <v>41</v>
      </c>
      <c r="D2236" s="1">
        <v>46210.744074074071</v>
      </c>
      <c r="E2236" t="s">
        <v>42</v>
      </c>
      <c r="F2236" t="s">
        <v>43</v>
      </c>
      <c r="G2236" t="s">
        <v>43</v>
      </c>
      <c r="H2236" t="s">
        <v>43</v>
      </c>
      <c r="I2236" t="s">
        <v>1128</v>
      </c>
      <c r="J2236" t="s">
        <v>43</v>
      </c>
      <c r="K2236" t="s">
        <v>43</v>
      </c>
      <c r="L2236" t="s">
        <v>43</v>
      </c>
      <c r="M2236" t="s">
        <v>43</v>
      </c>
      <c r="N2236" t="s">
        <v>45</v>
      </c>
      <c r="O2236" t="s">
        <v>43</v>
      </c>
      <c r="P2236" t="s">
        <v>43</v>
      </c>
      <c r="Q2236" t="s">
        <v>43</v>
      </c>
      <c r="R2236" t="s">
        <v>43</v>
      </c>
      <c r="S2236" t="s">
        <v>43</v>
      </c>
      <c r="T2236" t="s">
        <v>43</v>
      </c>
      <c r="U2236" t="s">
        <v>43</v>
      </c>
      <c r="V2236" t="s">
        <v>43</v>
      </c>
      <c r="W2236" t="s">
        <v>43</v>
      </c>
      <c r="X2236" t="s">
        <v>43</v>
      </c>
      <c r="Y2236" t="s">
        <v>43</v>
      </c>
      <c r="Z2236" t="s">
        <v>43</v>
      </c>
      <c r="AA2236" t="s">
        <v>43</v>
      </c>
      <c r="AB2236" t="s">
        <v>43</v>
      </c>
      <c r="AC2236" t="s">
        <v>43</v>
      </c>
      <c r="AD2236" t="s">
        <v>43</v>
      </c>
      <c r="AE2236" t="s">
        <v>43</v>
      </c>
      <c r="AF2236" t="s">
        <v>43</v>
      </c>
      <c r="AG2236" t="s">
        <v>43</v>
      </c>
      <c r="AH2236" t="s">
        <v>43</v>
      </c>
      <c r="AI2236" t="s">
        <v>43</v>
      </c>
      <c r="AJ2236" t="s">
        <v>43</v>
      </c>
      <c r="AK2236" t="s">
        <v>43</v>
      </c>
      <c r="AL2236" t="s">
        <v>43</v>
      </c>
      <c r="AM2236" t="s">
        <v>43</v>
      </c>
      <c r="AN2236" t="str">
        <f>HYPERLINK("https://www.google.com/maps?q=10.8963232,79.10428619","Open Location")</f>
        <v>Open Location</v>
      </c>
    </row>
    <row r="2237" spans="1:40" x14ac:dyDescent="0.3">
      <c r="A2237" s="1">
        <v>46210.740856481483</v>
      </c>
      <c r="B2237" t="s">
        <v>40</v>
      </c>
      <c r="C2237" t="s">
        <v>41</v>
      </c>
      <c r="D2237" s="1">
        <v>46210.743981481479</v>
      </c>
      <c r="E2237" t="s">
        <v>42</v>
      </c>
      <c r="F2237" t="s">
        <v>43</v>
      </c>
      <c r="G2237" t="s">
        <v>43</v>
      </c>
      <c r="H2237" t="s">
        <v>43</v>
      </c>
      <c r="I2237" t="s">
        <v>43</v>
      </c>
      <c r="J2237" t="s">
        <v>43</v>
      </c>
      <c r="K2237" t="s">
        <v>43</v>
      </c>
      <c r="L2237" t="s">
        <v>43</v>
      </c>
      <c r="M2237" t="s">
        <v>43</v>
      </c>
      <c r="N2237" t="s">
        <v>45</v>
      </c>
      <c r="O2237" t="s">
        <v>43</v>
      </c>
      <c r="P2237" t="s">
        <v>43</v>
      </c>
      <c r="Q2237" t="s">
        <v>43</v>
      </c>
      <c r="R2237" t="s">
        <v>43</v>
      </c>
      <c r="S2237" t="s">
        <v>43</v>
      </c>
      <c r="T2237" t="s">
        <v>43</v>
      </c>
      <c r="U2237" t="s">
        <v>43</v>
      </c>
      <c r="V2237" t="s">
        <v>43</v>
      </c>
      <c r="W2237" t="s">
        <v>43</v>
      </c>
      <c r="X2237" t="s">
        <v>43</v>
      </c>
      <c r="Y2237" t="s">
        <v>43</v>
      </c>
      <c r="Z2237" t="s">
        <v>43</v>
      </c>
      <c r="AA2237" t="s">
        <v>43</v>
      </c>
      <c r="AB2237" t="s">
        <v>43</v>
      </c>
      <c r="AC2237" t="s">
        <v>43</v>
      </c>
      <c r="AD2237" t="s">
        <v>43</v>
      </c>
      <c r="AE2237" t="s">
        <v>43</v>
      </c>
      <c r="AF2237" t="s">
        <v>43</v>
      </c>
      <c r="AG2237" t="s">
        <v>43</v>
      </c>
      <c r="AH2237" t="s">
        <v>43</v>
      </c>
      <c r="AI2237" t="s">
        <v>43</v>
      </c>
      <c r="AJ2237" t="s">
        <v>43</v>
      </c>
      <c r="AK2237" t="s">
        <v>43</v>
      </c>
      <c r="AL2237" t="s">
        <v>43</v>
      </c>
      <c r="AM2237" t="s">
        <v>43</v>
      </c>
      <c r="AN2237" t="s">
        <v>43</v>
      </c>
    </row>
    <row r="2238" spans="1:40" x14ac:dyDescent="0.3">
      <c r="A2238" s="1">
        <v>46210.740740740737</v>
      </c>
      <c r="B2238" t="s">
        <v>40</v>
      </c>
      <c r="C2238" t="s">
        <v>41</v>
      </c>
      <c r="D2238" s="1">
        <v>46210.743611111109</v>
      </c>
      <c r="E2238" t="s">
        <v>42</v>
      </c>
      <c r="F2238" t="s">
        <v>43</v>
      </c>
      <c r="G2238" t="s">
        <v>43</v>
      </c>
      <c r="H2238" t="s">
        <v>43</v>
      </c>
      <c r="I2238" t="s">
        <v>1129</v>
      </c>
      <c r="J2238" t="s">
        <v>43</v>
      </c>
      <c r="K2238" t="s">
        <v>43</v>
      </c>
      <c r="L2238" t="s">
        <v>43</v>
      </c>
      <c r="M2238" t="s">
        <v>43</v>
      </c>
      <c r="N2238" t="s">
        <v>45</v>
      </c>
      <c r="O2238" t="s">
        <v>43</v>
      </c>
      <c r="P2238" t="s">
        <v>43</v>
      </c>
      <c r="Q2238" t="s">
        <v>43</v>
      </c>
      <c r="R2238" t="s">
        <v>43</v>
      </c>
      <c r="S2238" t="s">
        <v>43</v>
      </c>
      <c r="T2238" t="s">
        <v>43</v>
      </c>
      <c r="U2238" t="s">
        <v>43</v>
      </c>
      <c r="V2238" t="s">
        <v>43</v>
      </c>
      <c r="W2238" t="s">
        <v>43</v>
      </c>
      <c r="X2238" t="s">
        <v>43</v>
      </c>
      <c r="Y2238" t="s">
        <v>43</v>
      </c>
      <c r="Z2238" t="s">
        <v>43</v>
      </c>
      <c r="AA2238" t="s">
        <v>43</v>
      </c>
      <c r="AB2238" t="s">
        <v>43</v>
      </c>
      <c r="AC2238" t="s">
        <v>43</v>
      </c>
      <c r="AD2238" t="s">
        <v>43</v>
      </c>
      <c r="AE2238" t="s">
        <v>43</v>
      </c>
      <c r="AF2238" t="s">
        <v>43</v>
      </c>
      <c r="AG2238" t="s">
        <v>43</v>
      </c>
      <c r="AH2238" t="s">
        <v>43</v>
      </c>
      <c r="AI2238" t="s">
        <v>43</v>
      </c>
      <c r="AJ2238" t="s">
        <v>43</v>
      </c>
      <c r="AK2238" t="s">
        <v>43</v>
      </c>
      <c r="AL2238" t="s">
        <v>43</v>
      </c>
      <c r="AM2238" t="s">
        <v>43</v>
      </c>
      <c r="AN2238" t="str">
        <f>HYPERLINK("https://www.google.com/maps?q=10.8963213,79.10429382","Open Location")</f>
        <v>Open Location</v>
      </c>
    </row>
    <row r="2239" spans="1:40" x14ac:dyDescent="0.3">
      <c r="A2239" s="1">
        <v>46210.740624999999</v>
      </c>
      <c r="B2239" t="s">
        <v>40</v>
      </c>
      <c r="C2239" t="s">
        <v>41</v>
      </c>
      <c r="D2239" s="1">
        <v>46210.743726851855</v>
      </c>
      <c r="E2239" t="s">
        <v>42</v>
      </c>
      <c r="F2239" t="s">
        <v>43</v>
      </c>
      <c r="G2239" t="s">
        <v>43</v>
      </c>
      <c r="H2239" t="s">
        <v>43</v>
      </c>
      <c r="I2239" t="s">
        <v>1130</v>
      </c>
      <c r="J2239" t="s">
        <v>43</v>
      </c>
      <c r="K2239" t="s">
        <v>43</v>
      </c>
      <c r="L2239" t="s">
        <v>43</v>
      </c>
      <c r="M2239" t="s">
        <v>43</v>
      </c>
      <c r="N2239" t="s">
        <v>45</v>
      </c>
      <c r="O2239" t="s">
        <v>43</v>
      </c>
      <c r="P2239" t="s">
        <v>43</v>
      </c>
      <c r="Q2239" t="s">
        <v>43</v>
      </c>
      <c r="R2239" t="s">
        <v>43</v>
      </c>
      <c r="S2239" t="s">
        <v>43</v>
      </c>
      <c r="T2239" t="s">
        <v>43</v>
      </c>
      <c r="U2239" t="s">
        <v>43</v>
      </c>
      <c r="V2239" t="s">
        <v>43</v>
      </c>
      <c r="W2239" t="s">
        <v>43</v>
      </c>
      <c r="X2239" t="s">
        <v>43</v>
      </c>
      <c r="Y2239" t="s">
        <v>43</v>
      </c>
      <c r="Z2239" t="s">
        <v>43</v>
      </c>
      <c r="AA2239" t="s">
        <v>43</v>
      </c>
      <c r="AB2239" t="s">
        <v>43</v>
      </c>
      <c r="AC2239" t="s">
        <v>43</v>
      </c>
      <c r="AD2239" t="s">
        <v>43</v>
      </c>
      <c r="AE2239" t="s">
        <v>43</v>
      </c>
      <c r="AF2239" t="s">
        <v>43</v>
      </c>
      <c r="AG2239" t="s">
        <v>43</v>
      </c>
      <c r="AH2239" t="s">
        <v>43</v>
      </c>
      <c r="AI2239" t="s">
        <v>43</v>
      </c>
      <c r="AJ2239" t="s">
        <v>43</v>
      </c>
      <c r="AK2239" t="s">
        <v>43</v>
      </c>
      <c r="AL2239" t="s">
        <v>43</v>
      </c>
      <c r="AM2239" t="s">
        <v>43</v>
      </c>
      <c r="AN2239" t="str">
        <f>HYPERLINK("https://www.google.com/maps?q=10.89632893,79.10428619","Open Location")</f>
        <v>Open Location</v>
      </c>
    </row>
    <row r="2240" spans="1:40" x14ac:dyDescent="0.3">
      <c r="A2240" s="1">
        <v>46210.74050925926</v>
      </c>
      <c r="B2240" t="s">
        <v>40</v>
      </c>
      <c r="C2240" t="s">
        <v>41</v>
      </c>
      <c r="D2240" s="1">
        <v>46210.743310185186</v>
      </c>
      <c r="E2240" t="s">
        <v>42</v>
      </c>
      <c r="F2240" t="s">
        <v>43</v>
      </c>
      <c r="G2240" t="s">
        <v>43</v>
      </c>
      <c r="H2240" t="s">
        <v>43</v>
      </c>
      <c r="I2240" t="s">
        <v>1131</v>
      </c>
      <c r="J2240" t="s">
        <v>43</v>
      </c>
      <c r="K2240" t="s">
        <v>43</v>
      </c>
      <c r="L2240" t="s">
        <v>43</v>
      </c>
      <c r="M2240" t="s">
        <v>43</v>
      </c>
      <c r="N2240" t="s">
        <v>45</v>
      </c>
      <c r="O2240" t="s">
        <v>43</v>
      </c>
      <c r="P2240" t="s">
        <v>43</v>
      </c>
      <c r="Q2240" t="s">
        <v>43</v>
      </c>
      <c r="R2240" t="s">
        <v>43</v>
      </c>
      <c r="S2240" t="s">
        <v>43</v>
      </c>
      <c r="T2240" t="s">
        <v>43</v>
      </c>
      <c r="U2240" t="s">
        <v>43</v>
      </c>
      <c r="V2240" t="s">
        <v>43</v>
      </c>
      <c r="W2240" t="s">
        <v>43</v>
      </c>
      <c r="X2240" t="s">
        <v>43</v>
      </c>
      <c r="Y2240" t="s">
        <v>43</v>
      </c>
      <c r="Z2240" t="s">
        <v>43</v>
      </c>
      <c r="AA2240" t="s">
        <v>43</v>
      </c>
      <c r="AB2240" t="s">
        <v>43</v>
      </c>
      <c r="AC2240" t="s">
        <v>43</v>
      </c>
      <c r="AD2240" t="s">
        <v>43</v>
      </c>
      <c r="AE2240" t="s">
        <v>43</v>
      </c>
      <c r="AF2240" t="s">
        <v>43</v>
      </c>
      <c r="AG2240" t="s">
        <v>43</v>
      </c>
      <c r="AH2240" t="s">
        <v>43</v>
      </c>
      <c r="AI2240" t="s">
        <v>43</v>
      </c>
      <c r="AJ2240" t="s">
        <v>43</v>
      </c>
      <c r="AK2240" t="s">
        <v>43</v>
      </c>
      <c r="AL2240" t="s">
        <v>43</v>
      </c>
      <c r="AM2240" t="s">
        <v>43</v>
      </c>
      <c r="AN2240" t="str">
        <f>HYPERLINK("https://www.google.com/maps?q=10.89633083,79.10428619","Open Location")</f>
        <v>Open Location</v>
      </c>
    </row>
    <row r="2241" spans="1:40" x14ac:dyDescent="0.3">
      <c r="A2241" s="1">
        <v>46210.740393518521</v>
      </c>
      <c r="B2241" t="s">
        <v>40</v>
      </c>
      <c r="C2241" t="s">
        <v>41</v>
      </c>
      <c r="D2241" s="1">
        <v>46210.743344907409</v>
      </c>
      <c r="E2241" t="s">
        <v>42</v>
      </c>
      <c r="F2241" t="s">
        <v>43</v>
      </c>
      <c r="G2241" t="s">
        <v>43</v>
      </c>
      <c r="H2241" t="s">
        <v>43</v>
      </c>
      <c r="I2241" t="s">
        <v>1132</v>
      </c>
      <c r="J2241" t="s">
        <v>43</v>
      </c>
      <c r="K2241" t="s">
        <v>43</v>
      </c>
      <c r="L2241" t="s">
        <v>43</v>
      </c>
      <c r="M2241" t="s">
        <v>43</v>
      </c>
      <c r="N2241" t="s">
        <v>45</v>
      </c>
      <c r="O2241" t="s">
        <v>43</v>
      </c>
      <c r="P2241" t="s">
        <v>43</v>
      </c>
      <c r="Q2241" t="s">
        <v>43</v>
      </c>
      <c r="R2241" t="s">
        <v>43</v>
      </c>
      <c r="S2241" t="s">
        <v>43</v>
      </c>
      <c r="T2241" t="s">
        <v>43</v>
      </c>
      <c r="U2241" t="s">
        <v>43</v>
      </c>
      <c r="V2241" t="s">
        <v>43</v>
      </c>
      <c r="W2241" t="s">
        <v>43</v>
      </c>
      <c r="X2241" t="s">
        <v>43</v>
      </c>
      <c r="Y2241" t="s">
        <v>43</v>
      </c>
      <c r="Z2241" t="s">
        <v>43</v>
      </c>
      <c r="AA2241" t="s">
        <v>43</v>
      </c>
      <c r="AB2241" t="s">
        <v>43</v>
      </c>
      <c r="AC2241" t="s">
        <v>43</v>
      </c>
      <c r="AD2241" t="s">
        <v>43</v>
      </c>
      <c r="AE2241" t="s">
        <v>43</v>
      </c>
      <c r="AF2241" t="s">
        <v>43</v>
      </c>
      <c r="AG2241" t="s">
        <v>43</v>
      </c>
      <c r="AH2241" t="s">
        <v>43</v>
      </c>
      <c r="AI2241" t="s">
        <v>43</v>
      </c>
      <c r="AJ2241" t="s">
        <v>43</v>
      </c>
      <c r="AK2241" t="s">
        <v>43</v>
      </c>
      <c r="AL2241" t="s">
        <v>43</v>
      </c>
      <c r="AM2241" t="s">
        <v>43</v>
      </c>
      <c r="AN2241" t="str">
        <f>HYPERLINK("https://www.google.com/maps?q=10.89633179,79.10428619","Open Location")</f>
        <v>Open Location</v>
      </c>
    </row>
    <row r="2242" spans="1:40" x14ac:dyDescent="0.3">
      <c r="A2242" s="1">
        <v>46210.740277777775</v>
      </c>
      <c r="B2242" t="s">
        <v>40</v>
      </c>
      <c r="C2242" t="s">
        <v>41</v>
      </c>
      <c r="D2242" s="1">
        <v>46210.743368055555</v>
      </c>
      <c r="E2242" t="s">
        <v>42</v>
      </c>
      <c r="F2242" t="s">
        <v>43</v>
      </c>
      <c r="G2242" t="s">
        <v>43</v>
      </c>
      <c r="H2242" t="s">
        <v>43</v>
      </c>
      <c r="I2242" t="s">
        <v>1133</v>
      </c>
      <c r="J2242" t="s">
        <v>43</v>
      </c>
      <c r="K2242" t="s">
        <v>43</v>
      </c>
      <c r="L2242" t="s">
        <v>43</v>
      </c>
      <c r="M2242" t="s">
        <v>43</v>
      </c>
      <c r="N2242" t="s">
        <v>45</v>
      </c>
      <c r="O2242" t="s">
        <v>43</v>
      </c>
      <c r="P2242" t="s">
        <v>43</v>
      </c>
      <c r="Q2242" t="s">
        <v>43</v>
      </c>
      <c r="R2242" t="s">
        <v>43</v>
      </c>
      <c r="S2242" t="s">
        <v>43</v>
      </c>
      <c r="T2242" t="s">
        <v>43</v>
      </c>
      <c r="U2242" t="s">
        <v>43</v>
      </c>
      <c r="V2242" t="s">
        <v>43</v>
      </c>
      <c r="W2242" t="s">
        <v>43</v>
      </c>
      <c r="X2242" t="s">
        <v>43</v>
      </c>
      <c r="Y2242" t="s">
        <v>43</v>
      </c>
      <c r="Z2242" t="s">
        <v>43</v>
      </c>
      <c r="AA2242" t="s">
        <v>43</v>
      </c>
      <c r="AB2242" t="s">
        <v>43</v>
      </c>
      <c r="AC2242" t="s">
        <v>43</v>
      </c>
      <c r="AD2242" t="s">
        <v>43</v>
      </c>
      <c r="AE2242" t="s">
        <v>43</v>
      </c>
      <c r="AF2242" t="s">
        <v>43</v>
      </c>
      <c r="AG2242" t="s">
        <v>43</v>
      </c>
      <c r="AH2242" t="s">
        <v>43</v>
      </c>
      <c r="AI2242" t="s">
        <v>43</v>
      </c>
      <c r="AJ2242" t="s">
        <v>43</v>
      </c>
      <c r="AK2242" t="s">
        <v>43</v>
      </c>
      <c r="AL2242" t="s">
        <v>43</v>
      </c>
      <c r="AM2242" t="s">
        <v>43</v>
      </c>
      <c r="AN2242" t="str">
        <f>HYPERLINK("https://www.google.com/maps?q=10.89632702,79.10429382","Open Location")</f>
        <v>Open Location</v>
      </c>
    </row>
    <row r="2243" spans="1:40" x14ac:dyDescent="0.3">
      <c r="A2243" s="1">
        <v>46210.740162037036</v>
      </c>
      <c r="B2243" t="s">
        <v>40</v>
      </c>
      <c r="C2243" t="s">
        <v>41</v>
      </c>
      <c r="D2243" s="1">
        <v>46210.743368055555</v>
      </c>
      <c r="E2243" t="s">
        <v>42</v>
      </c>
      <c r="F2243" t="s">
        <v>43</v>
      </c>
      <c r="G2243" t="s">
        <v>43</v>
      </c>
      <c r="H2243" t="s">
        <v>43</v>
      </c>
      <c r="I2243" t="s">
        <v>43</v>
      </c>
      <c r="J2243" t="s">
        <v>43</v>
      </c>
      <c r="K2243" t="s">
        <v>43</v>
      </c>
      <c r="L2243" t="s">
        <v>43</v>
      </c>
      <c r="M2243" t="s">
        <v>43</v>
      </c>
      <c r="N2243" t="s">
        <v>45</v>
      </c>
      <c r="O2243" t="s">
        <v>43</v>
      </c>
      <c r="P2243" t="s">
        <v>43</v>
      </c>
      <c r="Q2243" t="s">
        <v>43</v>
      </c>
      <c r="R2243" t="s">
        <v>43</v>
      </c>
      <c r="S2243" t="s">
        <v>43</v>
      </c>
      <c r="T2243" t="s">
        <v>43</v>
      </c>
      <c r="U2243" t="s">
        <v>43</v>
      </c>
      <c r="V2243" t="s">
        <v>43</v>
      </c>
      <c r="W2243" t="s">
        <v>43</v>
      </c>
      <c r="X2243" t="s">
        <v>43</v>
      </c>
      <c r="Y2243" t="s">
        <v>43</v>
      </c>
      <c r="Z2243" t="s">
        <v>43</v>
      </c>
      <c r="AA2243" t="s">
        <v>43</v>
      </c>
      <c r="AB2243" t="s">
        <v>43</v>
      </c>
      <c r="AC2243" t="s">
        <v>43</v>
      </c>
      <c r="AD2243" t="s">
        <v>43</v>
      </c>
      <c r="AE2243" t="s">
        <v>43</v>
      </c>
      <c r="AF2243" t="s">
        <v>43</v>
      </c>
      <c r="AG2243" t="s">
        <v>43</v>
      </c>
      <c r="AH2243" t="s">
        <v>43</v>
      </c>
      <c r="AI2243" t="s">
        <v>43</v>
      </c>
      <c r="AJ2243" t="s">
        <v>43</v>
      </c>
      <c r="AK2243" t="s">
        <v>43</v>
      </c>
      <c r="AL2243" t="s">
        <v>43</v>
      </c>
      <c r="AM2243" t="s">
        <v>43</v>
      </c>
      <c r="AN2243" t="s">
        <v>43</v>
      </c>
    </row>
    <row r="2244" spans="1:40" x14ac:dyDescent="0.3">
      <c r="A2244" s="1">
        <v>46210.740046296298</v>
      </c>
      <c r="B2244" t="s">
        <v>40</v>
      </c>
      <c r="C2244" t="s">
        <v>41</v>
      </c>
      <c r="D2244" s="1">
        <v>46210.742928240739</v>
      </c>
      <c r="E2244" t="s">
        <v>42</v>
      </c>
      <c r="F2244" t="s">
        <v>43</v>
      </c>
      <c r="G2244" t="s">
        <v>43</v>
      </c>
      <c r="H2244" t="s">
        <v>43</v>
      </c>
      <c r="I2244" t="s">
        <v>1127</v>
      </c>
      <c r="J2244" t="s">
        <v>43</v>
      </c>
      <c r="K2244" t="s">
        <v>43</v>
      </c>
      <c r="L2244" t="s">
        <v>43</v>
      </c>
      <c r="M2244" t="s">
        <v>43</v>
      </c>
      <c r="N2244" t="s">
        <v>45</v>
      </c>
      <c r="O2244" t="s">
        <v>43</v>
      </c>
      <c r="P2244" t="s">
        <v>43</v>
      </c>
      <c r="Q2244" t="s">
        <v>43</v>
      </c>
      <c r="R2244" t="s">
        <v>43</v>
      </c>
      <c r="S2244" t="s">
        <v>43</v>
      </c>
      <c r="T2244" t="s">
        <v>43</v>
      </c>
      <c r="U2244" t="s">
        <v>43</v>
      </c>
      <c r="V2244" t="s">
        <v>43</v>
      </c>
      <c r="W2244" t="s">
        <v>43</v>
      </c>
      <c r="X2244" t="s">
        <v>43</v>
      </c>
      <c r="Y2244" t="s">
        <v>43</v>
      </c>
      <c r="Z2244" t="s">
        <v>43</v>
      </c>
      <c r="AA2244" t="s">
        <v>43</v>
      </c>
      <c r="AB2244" t="s">
        <v>43</v>
      </c>
      <c r="AC2244" t="s">
        <v>43</v>
      </c>
      <c r="AD2244" t="s">
        <v>43</v>
      </c>
      <c r="AE2244" t="s">
        <v>43</v>
      </c>
      <c r="AF2244" t="s">
        <v>43</v>
      </c>
      <c r="AG2244" t="s">
        <v>43</v>
      </c>
      <c r="AH2244" t="s">
        <v>43</v>
      </c>
      <c r="AI2244" t="s">
        <v>43</v>
      </c>
      <c r="AJ2244" t="s">
        <v>43</v>
      </c>
      <c r="AK2244" t="s">
        <v>43</v>
      </c>
      <c r="AL2244" t="s">
        <v>43</v>
      </c>
      <c r="AM2244" t="s">
        <v>43</v>
      </c>
      <c r="AN2244" t="str">
        <f>HYPERLINK("https://www.google.com/maps?q=10.89632797,79.10428619","Open Location")</f>
        <v>Open Location</v>
      </c>
    </row>
    <row r="2245" spans="1:40" x14ac:dyDescent="0.3">
      <c r="A2245" s="1">
        <v>46210.739930555559</v>
      </c>
      <c r="B2245" t="s">
        <v>40</v>
      </c>
      <c r="C2245" t="s">
        <v>41</v>
      </c>
      <c r="D2245" s="1">
        <v>46210.743310185186</v>
      </c>
      <c r="E2245" t="s">
        <v>42</v>
      </c>
      <c r="F2245" t="s">
        <v>43</v>
      </c>
      <c r="G2245" t="s">
        <v>43</v>
      </c>
      <c r="H2245" t="s">
        <v>43</v>
      </c>
      <c r="I2245" t="s">
        <v>1126</v>
      </c>
      <c r="J2245" t="s">
        <v>43</v>
      </c>
      <c r="K2245" t="s">
        <v>43</v>
      </c>
      <c r="L2245" t="s">
        <v>43</v>
      </c>
      <c r="M2245" t="s">
        <v>43</v>
      </c>
      <c r="N2245" t="s">
        <v>45</v>
      </c>
      <c r="O2245" t="s">
        <v>43</v>
      </c>
      <c r="P2245" t="s">
        <v>43</v>
      </c>
      <c r="Q2245" t="s">
        <v>43</v>
      </c>
      <c r="R2245" t="s">
        <v>43</v>
      </c>
      <c r="S2245" t="s">
        <v>43</v>
      </c>
      <c r="T2245" t="s">
        <v>43</v>
      </c>
      <c r="U2245" t="s">
        <v>43</v>
      </c>
      <c r="V2245" t="s">
        <v>43</v>
      </c>
      <c r="W2245" t="s">
        <v>43</v>
      </c>
      <c r="X2245" t="s">
        <v>43</v>
      </c>
      <c r="Y2245" t="s">
        <v>43</v>
      </c>
      <c r="Z2245" t="s">
        <v>43</v>
      </c>
      <c r="AA2245" t="s">
        <v>43</v>
      </c>
      <c r="AB2245" t="s">
        <v>43</v>
      </c>
      <c r="AC2245" t="s">
        <v>43</v>
      </c>
      <c r="AD2245" t="s">
        <v>43</v>
      </c>
      <c r="AE2245" t="s">
        <v>43</v>
      </c>
      <c r="AF2245" t="s">
        <v>43</v>
      </c>
      <c r="AG2245" t="s">
        <v>43</v>
      </c>
      <c r="AH2245" t="s">
        <v>43</v>
      </c>
      <c r="AI2245" t="s">
        <v>43</v>
      </c>
      <c r="AJ2245" t="s">
        <v>43</v>
      </c>
      <c r="AK2245" t="s">
        <v>43</v>
      </c>
      <c r="AL2245" t="s">
        <v>43</v>
      </c>
      <c r="AM2245" t="s">
        <v>43</v>
      </c>
      <c r="AN2245" t="str">
        <f>HYPERLINK("https://www.google.com/maps?q=10.89632988,79.10428619","Open Location")</f>
        <v>Open Location</v>
      </c>
    </row>
    <row r="2246" spans="1:40" x14ac:dyDescent="0.3">
      <c r="A2246" s="1">
        <v>46210.739814814813</v>
      </c>
      <c r="B2246" t="s">
        <v>40</v>
      </c>
      <c r="C2246" t="s">
        <v>41</v>
      </c>
      <c r="D2246" s="1">
        <v>46210.742881944447</v>
      </c>
      <c r="E2246" t="s">
        <v>42</v>
      </c>
      <c r="F2246" t="s">
        <v>43</v>
      </c>
      <c r="G2246" t="s">
        <v>43</v>
      </c>
      <c r="H2246" t="s">
        <v>43</v>
      </c>
      <c r="I2246" t="s">
        <v>1126</v>
      </c>
      <c r="J2246" t="s">
        <v>43</v>
      </c>
      <c r="K2246" t="s">
        <v>43</v>
      </c>
      <c r="L2246" t="s">
        <v>43</v>
      </c>
      <c r="M2246" t="s">
        <v>43</v>
      </c>
      <c r="N2246" t="s">
        <v>45</v>
      </c>
      <c r="O2246" t="s">
        <v>43</v>
      </c>
      <c r="P2246" t="s">
        <v>43</v>
      </c>
      <c r="Q2246" t="s">
        <v>43</v>
      </c>
      <c r="R2246" t="s">
        <v>43</v>
      </c>
      <c r="S2246" t="s">
        <v>43</v>
      </c>
      <c r="T2246" t="s">
        <v>43</v>
      </c>
      <c r="U2246" t="s">
        <v>43</v>
      </c>
      <c r="V2246" t="s">
        <v>43</v>
      </c>
      <c r="W2246" t="s">
        <v>43</v>
      </c>
      <c r="X2246" t="s">
        <v>43</v>
      </c>
      <c r="Y2246" t="s">
        <v>43</v>
      </c>
      <c r="Z2246" t="s">
        <v>43</v>
      </c>
      <c r="AA2246" t="s">
        <v>43</v>
      </c>
      <c r="AB2246" t="s">
        <v>43</v>
      </c>
      <c r="AC2246" t="s">
        <v>43</v>
      </c>
      <c r="AD2246" t="s">
        <v>43</v>
      </c>
      <c r="AE2246" t="s">
        <v>43</v>
      </c>
      <c r="AF2246" t="s">
        <v>43</v>
      </c>
      <c r="AG2246" t="s">
        <v>43</v>
      </c>
      <c r="AH2246" t="s">
        <v>43</v>
      </c>
      <c r="AI2246" t="s">
        <v>43</v>
      </c>
      <c r="AJ2246" t="s">
        <v>43</v>
      </c>
      <c r="AK2246" t="s">
        <v>43</v>
      </c>
      <c r="AL2246" t="s">
        <v>43</v>
      </c>
      <c r="AM2246" t="s">
        <v>43</v>
      </c>
      <c r="AN2246" t="str">
        <f>HYPERLINK("https://www.google.com/maps?q=10.89632988,79.10428619","Open Location")</f>
        <v>Open Location</v>
      </c>
    </row>
    <row r="2247" spans="1:40" x14ac:dyDescent="0.3">
      <c r="A2247" s="1">
        <v>46210.739699074074</v>
      </c>
      <c r="B2247" t="s">
        <v>40</v>
      </c>
      <c r="C2247" t="s">
        <v>41</v>
      </c>
      <c r="D2247" s="1">
        <v>46210.742881944447</v>
      </c>
      <c r="E2247" t="s">
        <v>42</v>
      </c>
      <c r="F2247" t="s">
        <v>43</v>
      </c>
      <c r="G2247" t="s">
        <v>43</v>
      </c>
      <c r="H2247" t="s">
        <v>43</v>
      </c>
      <c r="I2247" t="s">
        <v>1134</v>
      </c>
      <c r="J2247" t="s">
        <v>43</v>
      </c>
      <c r="K2247" t="s">
        <v>43</v>
      </c>
      <c r="L2247" t="s">
        <v>43</v>
      </c>
      <c r="M2247" t="s">
        <v>43</v>
      </c>
      <c r="N2247" t="s">
        <v>45</v>
      </c>
      <c r="O2247" t="s">
        <v>43</v>
      </c>
      <c r="P2247" t="s">
        <v>43</v>
      </c>
      <c r="Q2247" t="s">
        <v>43</v>
      </c>
      <c r="R2247" t="s">
        <v>43</v>
      </c>
      <c r="S2247" t="s">
        <v>43</v>
      </c>
      <c r="T2247" t="s">
        <v>43</v>
      </c>
      <c r="U2247" t="s">
        <v>43</v>
      </c>
      <c r="V2247" t="s">
        <v>43</v>
      </c>
      <c r="W2247" t="s">
        <v>43</v>
      </c>
      <c r="X2247" t="s">
        <v>43</v>
      </c>
      <c r="Y2247" t="s">
        <v>43</v>
      </c>
      <c r="Z2247" t="s">
        <v>43</v>
      </c>
      <c r="AA2247" t="s">
        <v>43</v>
      </c>
      <c r="AB2247" t="s">
        <v>43</v>
      </c>
      <c r="AC2247" t="s">
        <v>43</v>
      </c>
      <c r="AD2247" t="s">
        <v>43</v>
      </c>
      <c r="AE2247" t="s">
        <v>43</v>
      </c>
      <c r="AF2247" t="s">
        <v>43</v>
      </c>
      <c r="AG2247" t="s">
        <v>43</v>
      </c>
      <c r="AH2247" t="s">
        <v>43</v>
      </c>
      <c r="AI2247" t="s">
        <v>43</v>
      </c>
      <c r="AJ2247" t="s">
        <v>43</v>
      </c>
      <c r="AK2247" t="s">
        <v>43</v>
      </c>
      <c r="AL2247" t="s">
        <v>43</v>
      </c>
      <c r="AM2247" t="s">
        <v>43</v>
      </c>
      <c r="AN2247" t="str">
        <f>HYPERLINK("https://www.google.com/maps?q=10.89633465,79.10427856","Open Location")</f>
        <v>Open Location</v>
      </c>
    </row>
    <row r="2248" spans="1:40" x14ac:dyDescent="0.3">
      <c r="A2248" s="1">
        <v>46210.739583333336</v>
      </c>
      <c r="B2248" t="s">
        <v>40</v>
      </c>
      <c r="C2248" t="s">
        <v>41</v>
      </c>
      <c r="D2248" s="1">
        <v>46210.742280092592</v>
      </c>
      <c r="E2248" t="s">
        <v>42</v>
      </c>
      <c r="F2248" t="s">
        <v>43</v>
      </c>
      <c r="G2248" t="s">
        <v>43</v>
      </c>
      <c r="H2248" t="s">
        <v>43</v>
      </c>
      <c r="I2248" t="s">
        <v>43</v>
      </c>
      <c r="J2248" t="s">
        <v>43</v>
      </c>
      <c r="K2248" t="s">
        <v>43</v>
      </c>
      <c r="L2248" t="s">
        <v>43</v>
      </c>
      <c r="M2248" t="s">
        <v>43</v>
      </c>
      <c r="N2248" t="s">
        <v>45</v>
      </c>
      <c r="O2248" t="s">
        <v>43</v>
      </c>
      <c r="P2248" t="s">
        <v>43</v>
      </c>
      <c r="Q2248" t="s">
        <v>43</v>
      </c>
      <c r="R2248" t="s">
        <v>43</v>
      </c>
      <c r="S2248" t="s">
        <v>43</v>
      </c>
      <c r="T2248" t="s">
        <v>43</v>
      </c>
      <c r="U2248" t="s">
        <v>43</v>
      </c>
      <c r="V2248" t="s">
        <v>43</v>
      </c>
      <c r="W2248" t="s">
        <v>43</v>
      </c>
      <c r="X2248" t="s">
        <v>43</v>
      </c>
      <c r="Y2248" t="s">
        <v>43</v>
      </c>
      <c r="Z2248" t="s">
        <v>43</v>
      </c>
      <c r="AA2248" t="s">
        <v>43</v>
      </c>
      <c r="AB2248" t="s">
        <v>43</v>
      </c>
      <c r="AC2248" t="s">
        <v>43</v>
      </c>
      <c r="AD2248" t="s">
        <v>43</v>
      </c>
      <c r="AE2248" t="s">
        <v>43</v>
      </c>
      <c r="AF2248" t="s">
        <v>43</v>
      </c>
      <c r="AG2248" t="s">
        <v>43</v>
      </c>
      <c r="AH2248" t="s">
        <v>43</v>
      </c>
      <c r="AI2248" t="s">
        <v>43</v>
      </c>
      <c r="AJ2248" t="s">
        <v>43</v>
      </c>
      <c r="AK2248" t="s">
        <v>43</v>
      </c>
      <c r="AL2248" t="s">
        <v>43</v>
      </c>
      <c r="AM2248" t="s">
        <v>43</v>
      </c>
      <c r="AN2248" t="s">
        <v>43</v>
      </c>
    </row>
    <row r="2249" spans="1:40" x14ac:dyDescent="0.3">
      <c r="A2249" s="1">
        <v>46210.73946759259</v>
      </c>
      <c r="B2249" t="s">
        <v>40</v>
      </c>
      <c r="C2249" t="s">
        <v>41</v>
      </c>
      <c r="D2249" s="1">
        <v>46210.742430555554</v>
      </c>
      <c r="E2249" t="s">
        <v>42</v>
      </c>
      <c r="F2249" t="s">
        <v>43</v>
      </c>
      <c r="G2249" t="s">
        <v>43</v>
      </c>
      <c r="H2249" t="s">
        <v>43</v>
      </c>
      <c r="I2249" t="s">
        <v>1135</v>
      </c>
      <c r="J2249" t="s">
        <v>43</v>
      </c>
      <c r="K2249" t="s">
        <v>43</v>
      </c>
      <c r="L2249" t="s">
        <v>43</v>
      </c>
      <c r="M2249" t="s">
        <v>43</v>
      </c>
      <c r="N2249" t="s">
        <v>45</v>
      </c>
      <c r="O2249" t="s">
        <v>43</v>
      </c>
      <c r="P2249" t="s">
        <v>43</v>
      </c>
      <c r="Q2249" t="s">
        <v>43</v>
      </c>
      <c r="R2249" t="s">
        <v>43</v>
      </c>
      <c r="S2249" t="s">
        <v>43</v>
      </c>
      <c r="T2249" t="s">
        <v>43</v>
      </c>
      <c r="U2249" t="s">
        <v>43</v>
      </c>
      <c r="V2249" t="s">
        <v>43</v>
      </c>
      <c r="W2249" t="s">
        <v>43</v>
      </c>
      <c r="X2249" t="s">
        <v>43</v>
      </c>
      <c r="Y2249" t="s">
        <v>43</v>
      </c>
      <c r="Z2249" t="s">
        <v>43</v>
      </c>
      <c r="AA2249" t="s">
        <v>43</v>
      </c>
      <c r="AB2249" t="s">
        <v>43</v>
      </c>
      <c r="AC2249" t="s">
        <v>43</v>
      </c>
      <c r="AD2249" t="s">
        <v>43</v>
      </c>
      <c r="AE2249" t="s">
        <v>43</v>
      </c>
      <c r="AF2249" t="s">
        <v>43</v>
      </c>
      <c r="AG2249" t="s">
        <v>43</v>
      </c>
      <c r="AH2249" t="s">
        <v>43</v>
      </c>
      <c r="AI2249" t="s">
        <v>43</v>
      </c>
      <c r="AJ2249" t="s">
        <v>43</v>
      </c>
      <c r="AK2249" t="s">
        <v>43</v>
      </c>
      <c r="AL2249" t="s">
        <v>43</v>
      </c>
      <c r="AM2249" t="s">
        <v>43</v>
      </c>
      <c r="AN2249" t="str">
        <f>HYPERLINK("https://www.google.com/maps?q=10.89633369,79.10427856","Open Location")</f>
        <v>Open Location</v>
      </c>
    </row>
    <row r="2250" spans="1:40" x14ac:dyDescent="0.3">
      <c r="A2250" s="1">
        <v>46210.739351851851</v>
      </c>
      <c r="B2250" t="s">
        <v>40</v>
      </c>
      <c r="C2250" t="s">
        <v>41</v>
      </c>
      <c r="D2250" s="1">
        <v>46210.742280092592</v>
      </c>
      <c r="E2250" t="s">
        <v>42</v>
      </c>
      <c r="F2250" t="s">
        <v>43</v>
      </c>
      <c r="G2250" t="s">
        <v>43</v>
      </c>
      <c r="H2250" t="s">
        <v>43</v>
      </c>
      <c r="I2250" t="s">
        <v>1136</v>
      </c>
      <c r="J2250" t="s">
        <v>43</v>
      </c>
      <c r="K2250" t="s">
        <v>43</v>
      </c>
      <c r="L2250" t="s">
        <v>43</v>
      </c>
      <c r="M2250" t="s">
        <v>43</v>
      </c>
      <c r="N2250" t="s">
        <v>45</v>
      </c>
      <c r="O2250" t="s">
        <v>43</v>
      </c>
      <c r="P2250" t="s">
        <v>43</v>
      </c>
      <c r="Q2250" t="s">
        <v>43</v>
      </c>
      <c r="R2250" t="s">
        <v>43</v>
      </c>
      <c r="S2250" t="s">
        <v>43</v>
      </c>
      <c r="T2250" t="s">
        <v>43</v>
      </c>
      <c r="U2250" t="s">
        <v>43</v>
      </c>
      <c r="V2250" t="s">
        <v>43</v>
      </c>
      <c r="W2250" t="s">
        <v>43</v>
      </c>
      <c r="X2250" t="s">
        <v>43</v>
      </c>
      <c r="Y2250" t="s">
        <v>43</v>
      </c>
      <c r="Z2250" t="s">
        <v>43</v>
      </c>
      <c r="AA2250" t="s">
        <v>43</v>
      </c>
      <c r="AB2250" t="s">
        <v>43</v>
      </c>
      <c r="AC2250" t="s">
        <v>43</v>
      </c>
      <c r="AD2250" t="s">
        <v>43</v>
      </c>
      <c r="AE2250" t="s">
        <v>43</v>
      </c>
      <c r="AF2250" t="s">
        <v>43</v>
      </c>
      <c r="AG2250" t="s">
        <v>43</v>
      </c>
      <c r="AH2250" t="s">
        <v>43</v>
      </c>
      <c r="AI2250" t="s">
        <v>43</v>
      </c>
      <c r="AJ2250" t="s">
        <v>43</v>
      </c>
      <c r="AK2250" t="s">
        <v>43</v>
      </c>
      <c r="AL2250" t="s">
        <v>43</v>
      </c>
      <c r="AM2250" t="s">
        <v>43</v>
      </c>
      <c r="AN2250" t="str">
        <f>HYPERLINK("https://www.google.com/maps?q=10.89633274,79.10427856","Open Location")</f>
        <v>Open Location</v>
      </c>
    </row>
    <row r="2251" spans="1:40" x14ac:dyDescent="0.3">
      <c r="A2251" s="1">
        <v>46210.739236111112</v>
      </c>
      <c r="B2251" t="s">
        <v>40</v>
      </c>
      <c r="C2251" t="s">
        <v>41</v>
      </c>
      <c r="D2251" s="1">
        <v>46210.742280092592</v>
      </c>
      <c r="E2251" t="s">
        <v>42</v>
      </c>
      <c r="F2251" t="s">
        <v>43</v>
      </c>
      <c r="G2251" t="s">
        <v>43</v>
      </c>
      <c r="H2251" t="s">
        <v>43</v>
      </c>
      <c r="I2251" t="s">
        <v>1127</v>
      </c>
      <c r="J2251" t="s">
        <v>43</v>
      </c>
      <c r="K2251" t="s">
        <v>43</v>
      </c>
      <c r="L2251" t="s">
        <v>43</v>
      </c>
      <c r="M2251" t="s">
        <v>43</v>
      </c>
      <c r="N2251" t="s">
        <v>45</v>
      </c>
      <c r="O2251" t="s">
        <v>43</v>
      </c>
      <c r="P2251" t="s">
        <v>43</v>
      </c>
      <c r="Q2251" t="s">
        <v>43</v>
      </c>
      <c r="R2251" t="s">
        <v>43</v>
      </c>
      <c r="S2251" t="s">
        <v>43</v>
      </c>
      <c r="T2251" t="s">
        <v>43</v>
      </c>
      <c r="U2251" t="s">
        <v>43</v>
      </c>
      <c r="V2251" t="s">
        <v>43</v>
      </c>
      <c r="W2251" t="s">
        <v>43</v>
      </c>
      <c r="X2251" t="s">
        <v>43</v>
      </c>
      <c r="Y2251" t="s">
        <v>43</v>
      </c>
      <c r="Z2251" t="s">
        <v>43</v>
      </c>
      <c r="AA2251" t="s">
        <v>43</v>
      </c>
      <c r="AB2251" t="s">
        <v>43</v>
      </c>
      <c r="AC2251" t="s">
        <v>43</v>
      </c>
      <c r="AD2251" t="s">
        <v>43</v>
      </c>
      <c r="AE2251" t="s">
        <v>43</v>
      </c>
      <c r="AF2251" t="s">
        <v>43</v>
      </c>
      <c r="AG2251" t="s">
        <v>43</v>
      </c>
      <c r="AH2251" t="s">
        <v>43</v>
      </c>
      <c r="AI2251" t="s">
        <v>43</v>
      </c>
      <c r="AJ2251" t="s">
        <v>43</v>
      </c>
      <c r="AK2251" t="s">
        <v>43</v>
      </c>
      <c r="AL2251" t="s">
        <v>43</v>
      </c>
      <c r="AM2251" t="s">
        <v>43</v>
      </c>
      <c r="AN2251" t="str">
        <f>HYPERLINK("https://www.google.com/maps?q=10.89632797,79.10428619","Open Location")</f>
        <v>Open Location</v>
      </c>
    </row>
    <row r="2252" spans="1:40" x14ac:dyDescent="0.3">
      <c r="A2252" s="1">
        <v>46210.739120370374</v>
      </c>
      <c r="B2252" t="s">
        <v>40</v>
      </c>
      <c r="C2252" t="s">
        <v>41</v>
      </c>
      <c r="D2252" s="1">
        <v>46210.742002314815</v>
      </c>
      <c r="E2252" t="s">
        <v>42</v>
      </c>
      <c r="F2252" t="s">
        <v>43</v>
      </c>
      <c r="G2252" t="s">
        <v>43</v>
      </c>
      <c r="H2252" t="s">
        <v>43</v>
      </c>
      <c r="I2252" t="s">
        <v>1123</v>
      </c>
      <c r="J2252" t="s">
        <v>43</v>
      </c>
      <c r="K2252" t="s">
        <v>43</v>
      </c>
      <c r="L2252" t="s">
        <v>43</v>
      </c>
      <c r="M2252" t="s">
        <v>43</v>
      </c>
      <c r="N2252" t="s">
        <v>45</v>
      </c>
      <c r="O2252" t="s">
        <v>43</v>
      </c>
      <c r="P2252" t="s">
        <v>43</v>
      </c>
      <c r="Q2252" t="s">
        <v>43</v>
      </c>
      <c r="R2252" t="s">
        <v>43</v>
      </c>
      <c r="S2252" t="s">
        <v>43</v>
      </c>
      <c r="T2252" t="s">
        <v>43</v>
      </c>
      <c r="U2252" t="s">
        <v>43</v>
      </c>
      <c r="V2252" t="s">
        <v>43</v>
      </c>
      <c r="W2252" t="s">
        <v>43</v>
      </c>
      <c r="X2252" t="s">
        <v>43</v>
      </c>
      <c r="Y2252" t="s">
        <v>43</v>
      </c>
      <c r="Z2252" t="s">
        <v>43</v>
      </c>
      <c r="AA2252" t="s">
        <v>43</v>
      </c>
      <c r="AB2252" t="s">
        <v>43</v>
      </c>
      <c r="AC2252" t="s">
        <v>43</v>
      </c>
      <c r="AD2252" t="s">
        <v>43</v>
      </c>
      <c r="AE2252" t="s">
        <v>43</v>
      </c>
      <c r="AF2252" t="s">
        <v>43</v>
      </c>
      <c r="AG2252" t="s">
        <v>43</v>
      </c>
      <c r="AH2252" t="s">
        <v>43</v>
      </c>
      <c r="AI2252" t="s">
        <v>43</v>
      </c>
      <c r="AJ2252" t="s">
        <v>43</v>
      </c>
      <c r="AK2252" t="s">
        <v>43</v>
      </c>
      <c r="AL2252" t="s">
        <v>43</v>
      </c>
      <c r="AM2252" t="s">
        <v>43</v>
      </c>
      <c r="AN2252" t="str">
        <f>HYPERLINK("https://www.google.com/maps?q=10.89632416,79.10429382","Open Location")</f>
        <v>Open Location</v>
      </c>
    </row>
    <row r="2253" spans="1:40" x14ac:dyDescent="0.3">
      <c r="A2253" s="1">
        <v>46210.739004629628</v>
      </c>
      <c r="B2253" t="s">
        <v>40</v>
      </c>
      <c r="C2253" t="s">
        <v>41</v>
      </c>
      <c r="D2253" s="1">
        <v>46210.742048611108</v>
      </c>
      <c r="E2253" t="s">
        <v>42</v>
      </c>
      <c r="F2253" t="s">
        <v>43</v>
      </c>
      <c r="G2253" t="s">
        <v>43</v>
      </c>
      <c r="H2253" t="s">
        <v>43</v>
      </c>
      <c r="I2253" t="s">
        <v>1137</v>
      </c>
      <c r="J2253" t="s">
        <v>43</v>
      </c>
      <c r="K2253" t="s">
        <v>43</v>
      </c>
      <c r="L2253" t="s">
        <v>43</v>
      </c>
      <c r="M2253" t="s">
        <v>43</v>
      </c>
      <c r="N2253" t="s">
        <v>45</v>
      </c>
      <c r="O2253" t="s">
        <v>43</v>
      </c>
      <c r="P2253" t="s">
        <v>43</v>
      </c>
      <c r="Q2253" t="s">
        <v>43</v>
      </c>
      <c r="R2253" t="s">
        <v>43</v>
      </c>
      <c r="S2253" t="s">
        <v>43</v>
      </c>
      <c r="T2253" t="s">
        <v>43</v>
      </c>
      <c r="U2253" t="s">
        <v>43</v>
      </c>
      <c r="V2253" t="s">
        <v>43</v>
      </c>
      <c r="W2253" t="s">
        <v>43</v>
      </c>
      <c r="X2253" t="s">
        <v>43</v>
      </c>
      <c r="Y2253" t="s">
        <v>43</v>
      </c>
      <c r="Z2253" t="s">
        <v>43</v>
      </c>
      <c r="AA2253" t="s">
        <v>43</v>
      </c>
      <c r="AB2253" t="s">
        <v>43</v>
      </c>
      <c r="AC2253" t="s">
        <v>43</v>
      </c>
      <c r="AD2253" t="s">
        <v>43</v>
      </c>
      <c r="AE2253" t="s">
        <v>43</v>
      </c>
      <c r="AF2253" t="s">
        <v>43</v>
      </c>
      <c r="AG2253" t="s">
        <v>43</v>
      </c>
      <c r="AH2253" t="s">
        <v>43</v>
      </c>
      <c r="AI2253" t="s">
        <v>43</v>
      </c>
      <c r="AJ2253" t="s">
        <v>43</v>
      </c>
      <c r="AK2253" t="s">
        <v>43</v>
      </c>
      <c r="AL2253" t="s">
        <v>43</v>
      </c>
      <c r="AM2253" t="s">
        <v>43</v>
      </c>
      <c r="AN2253" t="str">
        <f>HYPERLINK("https://www.google.com/maps?q=10.89632797,79.10429382","Open Location")</f>
        <v>Open Location</v>
      </c>
    </row>
    <row r="2254" spans="1:40" x14ac:dyDescent="0.3">
      <c r="A2254" s="1">
        <v>46210.738888888889</v>
      </c>
      <c r="B2254" t="s">
        <v>40</v>
      </c>
      <c r="C2254" t="s">
        <v>41</v>
      </c>
      <c r="D2254" s="1">
        <v>46210.741655092592</v>
      </c>
      <c r="E2254" t="s">
        <v>42</v>
      </c>
      <c r="F2254" t="s">
        <v>43</v>
      </c>
      <c r="G2254" t="s">
        <v>43</v>
      </c>
      <c r="H2254" t="s">
        <v>43</v>
      </c>
      <c r="I2254" t="s">
        <v>43</v>
      </c>
      <c r="J2254" t="s">
        <v>43</v>
      </c>
      <c r="K2254" t="s">
        <v>43</v>
      </c>
      <c r="L2254" t="s">
        <v>43</v>
      </c>
      <c r="M2254" t="s">
        <v>43</v>
      </c>
      <c r="N2254" t="s">
        <v>45</v>
      </c>
      <c r="O2254" t="s">
        <v>43</v>
      </c>
      <c r="P2254" t="s">
        <v>43</v>
      </c>
      <c r="Q2254" t="s">
        <v>43</v>
      </c>
      <c r="R2254" t="s">
        <v>43</v>
      </c>
      <c r="S2254" t="s">
        <v>43</v>
      </c>
      <c r="T2254" t="s">
        <v>43</v>
      </c>
      <c r="U2254" t="s">
        <v>43</v>
      </c>
      <c r="V2254" t="s">
        <v>43</v>
      </c>
      <c r="W2254" t="s">
        <v>43</v>
      </c>
      <c r="X2254" t="s">
        <v>43</v>
      </c>
      <c r="Y2254" t="s">
        <v>43</v>
      </c>
      <c r="Z2254" t="s">
        <v>43</v>
      </c>
      <c r="AA2254" t="s">
        <v>43</v>
      </c>
      <c r="AB2254" t="s">
        <v>43</v>
      </c>
      <c r="AC2254" t="s">
        <v>43</v>
      </c>
      <c r="AD2254" t="s">
        <v>43</v>
      </c>
      <c r="AE2254" t="s">
        <v>43</v>
      </c>
      <c r="AF2254" t="s">
        <v>43</v>
      </c>
      <c r="AG2254" t="s">
        <v>43</v>
      </c>
      <c r="AH2254" t="s">
        <v>43</v>
      </c>
      <c r="AI2254" t="s">
        <v>43</v>
      </c>
      <c r="AJ2254" t="s">
        <v>43</v>
      </c>
      <c r="AK2254" t="s">
        <v>43</v>
      </c>
      <c r="AL2254" t="s">
        <v>43</v>
      </c>
      <c r="AM2254" t="s">
        <v>43</v>
      </c>
      <c r="AN2254" t="s">
        <v>43</v>
      </c>
    </row>
    <row r="2255" spans="1:40" x14ac:dyDescent="0.3">
      <c r="A2255" s="1">
        <v>46210.73877314815</v>
      </c>
      <c r="B2255" t="s">
        <v>40</v>
      </c>
      <c r="C2255" t="s">
        <v>41</v>
      </c>
      <c r="D2255" s="1">
        <v>46210.741967592592</v>
      </c>
      <c r="E2255" t="s">
        <v>42</v>
      </c>
      <c r="F2255" t="s">
        <v>43</v>
      </c>
      <c r="G2255" t="s">
        <v>43</v>
      </c>
      <c r="H2255" t="s">
        <v>43</v>
      </c>
      <c r="I2255" t="s">
        <v>1138</v>
      </c>
      <c r="J2255" t="s">
        <v>43</v>
      </c>
      <c r="K2255" t="s">
        <v>43</v>
      </c>
      <c r="L2255" t="s">
        <v>43</v>
      </c>
      <c r="M2255" t="s">
        <v>43</v>
      </c>
      <c r="N2255" t="s">
        <v>45</v>
      </c>
      <c r="O2255" t="s">
        <v>43</v>
      </c>
      <c r="P2255" t="s">
        <v>43</v>
      </c>
      <c r="Q2255" t="s">
        <v>43</v>
      </c>
      <c r="R2255" t="s">
        <v>43</v>
      </c>
      <c r="S2255" t="s">
        <v>43</v>
      </c>
      <c r="T2255" t="s">
        <v>43</v>
      </c>
      <c r="U2255" t="s">
        <v>43</v>
      </c>
      <c r="V2255" t="s">
        <v>43</v>
      </c>
      <c r="W2255" t="s">
        <v>43</v>
      </c>
      <c r="X2255" t="s">
        <v>43</v>
      </c>
      <c r="Y2255" t="s">
        <v>43</v>
      </c>
      <c r="Z2255" t="s">
        <v>43</v>
      </c>
      <c r="AA2255" t="s">
        <v>43</v>
      </c>
      <c r="AB2255" t="s">
        <v>43</v>
      </c>
      <c r="AC2255" t="s">
        <v>43</v>
      </c>
      <c r="AD2255" t="s">
        <v>43</v>
      </c>
      <c r="AE2255" t="s">
        <v>43</v>
      </c>
      <c r="AF2255" t="s">
        <v>43</v>
      </c>
      <c r="AG2255" t="s">
        <v>43</v>
      </c>
      <c r="AH2255" t="s">
        <v>43</v>
      </c>
      <c r="AI2255" t="s">
        <v>43</v>
      </c>
      <c r="AJ2255" t="s">
        <v>43</v>
      </c>
      <c r="AK2255" t="s">
        <v>43</v>
      </c>
      <c r="AL2255" t="s">
        <v>43</v>
      </c>
      <c r="AM2255" t="s">
        <v>43</v>
      </c>
      <c r="AN2255" t="str">
        <f>HYPERLINK("https://www.google.com/maps?q=10.89632511,79.10430145","Open Location")</f>
        <v>Open Location</v>
      </c>
    </row>
    <row r="2256" spans="1:40" x14ac:dyDescent="0.3">
      <c r="A2256" s="1">
        <v>46210.738657407404</v>
      </c>
      <c r="B2256" t="s">
        <v>40</v>
      </c>
      <c r="C2256" t="s">
        <v>41</v>
      </c>
      <c r="D2256" s="1">
        <v>46210.741446759261</v>
      </c>
      <c r="E2256" t="s">
        <v>42</v>
      </c>
      <c r="F2256" t="s">
        <v>43</v>
      </c>
      <c r="G2256" t="s">
        <v>43</v>
      </c>
      <c r="H2256" t="s">
        <v>43</v>
      </c>
      <c r="I2256" t="s">
        <v>1139</v>
      </c>
      <c r="J2256" t="s">
        <v>43</v>
      </c>
      <c r="K2256" t="s">
        <v>43</v>
      </c>
      <c r="L2256" t="s">
        <v>43</v>
      </c>
      <c r="M2256" t="s">
        <v>43</v>
      </c>
      <c r="N2256" t="s">
        <v>45</v>
      </c>
      <c r="O2256" t="s">
        <v>43</v>
      </c>
      <c r="P2256" t="s">
        <v>43</v>
      </c>
      <c r="Q2256" t="s">
        <v>43</v>
      </c>
      <c r="R2256" t="s">
        <v>43</v>
      </c>
      <c r="S2256" t="s">
        <v>43</v>
      </c>
      <c r="T2256" t="s">
        <v>43</v>
      </c>
      <c r="U2256" t="s">
        <v>43</v>
      </c>
      <c r="V2256" t="s">
        <v>43</v>
      </c>
      <c r="W2256" t="s">
        <v>43</v>
      </c>
      <c r="X2256" t="s">
        <v>43</v>
      </c>
      <c r="Y2256" t="s">
        <v>43</v>
      </c>
      <c r="Z2256" t="s">
        <v>43</v>
      </c>
      <c r="AA2256" t="s">
        <v>43</v>
      </c>
      <c r="AB2256" t="s">
        <v>43</v>
      </c>
      <c r="AC2256" t="s">
        <v>43</v>
      </c>
      <c r="AD2256" t="s">
        <v>43</v>
      </c>
      <c r="AE2256" t="s">
        <v>43</v>
      </c>
      <c r="AF2256" t="s">
        <v>43</v>
      </c>
      <c r="AG2256" t="s">
        <v>43</v>
      </c>
      <c r="AH2256" t="s">
        <v>43</v>
      </c>
      <c r="AI2256" t="s">
        <v>43</v>
      </c>
      <c r="AJ2256" t="s">
        <v>43</v>
      </c>
      <c r="AK2256" t="s">
        <v>43</v>
      </c>
      <c r="AL2256" t="s">
        <v>43</v>
      </c>
      <c r="AM2256" t="s">
        <v>43</v>
      </c>
      <c r="AN2256" t="str">
        <f>HYPERLINK("https://www.google.com/maps?q=10.8963232,79.10430145","Open Location")</f>
        <v>Open Location</v>
      </c>
    </row>
    <row r="2257" spans="1:40" x14ac:dyDescent="0.3">
      <c r="A2257" s="1">
        <v>46210.738541666666</v>
      </c>
      <c r="B2257" t="s">
        <v>40</v>
      </c>
      <c r="C2257" t="s">
        <v>41</v>
      </c>
      <c r="D2257" s="1">
        <v>46210.741446759261</v>
      </c>
      <c r="E2257" t="s">
        <v>42</v>
      </c>
      <c r="F2257" t="s">
        <v>43</v>
      </c>
      <c r="G2257" t="s">
        <v>43</v>
      </c>
      <c r="H2257" t="s">
        <v>43</v>
      </c>
      <c r="I2257" t="s">
        <v>1122</v>
      </c>
      <c r="J2257" t="s">
        <v>43</v>
      </c>
      <c r="K2257" t="s">
        <v>43</v>
      </c>
      <c r="L2257" t="s">
        <v>43</v>
      </c>
      <c r="M2257" t="s">
        <v>43</v>
      </c>
      <c r="N2257" t="s">
        <v>45</v>
      </c>
      <c r="O2257" t="s">
        <v>43</v>
      </c>
      <c r="P2257" t="s">
        <v>43</v>
      </c>
      <c r="Q2257" t="s">
        <v>43</v>
      </c>
      <c r="R2257" t="s">
        <v>43</v>
      </c>
      <c r="S2257" t="s">
        <v>43</v>
      </c>
      <c r="T2257" t="s">
        <v>43</v>
      </c>
      <c r="U2257" t="s">
        <v>43</v>
      </c>
      <c r="V2257" t="s">
        <v>43</v>
      </c>
      <c r="W2257" t="s">
        <v>43</v>
      </c>
      <c r="X2257" t="s">
        <v>43</v>
      </c>
      <c r="Y2257" t="s">
        <v>43</v>
      </c>
      <c r="Z2257" t="s">
        <v>43</v>
      </c>
      <c r="AA2257" t="s">
        <v>43</v>
      </c>
      <c r="AB2257" t="s">
        <v>43</v>
      </c>
      <c r="AC2257" t="s">
        <v>43</v>
      </c>
      <c r="AD2257" t="s">
        <v>43</v>
      </c>
      <c r="AE2257" t="s">
        <v>43</v>
      </c>
      <c r="AF2257" t="s">
        <v>43</v>
      </c>
      <c r="AG2257" t="s">
        <v>43</v>
      </c>
      <c r="AH2257" t="s">
        <v>43</v>
      </c>
      <c r="AI2257" t="s">
        <v>43</v>
      </c>
      <c r="AJ2257" t="s">
        <v>43</v>
      </c>
      <c r="AK2257" t="s">
        <v>43</v>
      </c>
      <c r="AL2257" t="s">
        <v>43</v>
      </c>
      <c r="AM2257" t="s">
        <v>43</v>
      </c>
      <c r="AN2257" t="str">
        <f>HYPERLINK("https://www.google.com/maps?q=10.89632225,79.10430145","Open Location")</f>
        <v>Open Location</v>
      </c>
    </row>
    <row r="2258" spans="1:40" x14ac:dyDescent="0.3">
      <c r="A2258" s="1">
        <v>46210.738425925927</v>
      </c>
      <c r="B2258" t="s">
        <v>40</v>
      </c>
      <c r="C2258" t="s">
        <v>41</v>
      </c>
      <c r="D2258" s="1">
        <v>46210.741562499999</v>
      </c>
      <c r="E2258" t="s">
        <v>42</v>
      </c>
      <c r="F2258" t="s">
        <v>43</v>
      </c>
      <c r="G2258" t="s">
        <v>43</v>
      </c>
      <c r="H2258" t="s">
        <v>43</v>
      </c>
      <c r="I2258" t="s">
        <v>1140</v>
      </c>
      <c r="J2258" t="s">
        <v>43</v>
      </c>
      <c r="K2258" t="s">
        <v>43</v>
      </c>
      <c r="L2258" t="s">
        <v>43</v>
      </c>
      <c r="M2258" t="s">
        <v>43</v>
      </c>
      <c r="N2258" t="s">
        <v>45</v>
      </c>
      <c r="O2258" t="s">
        <v>43</v>
      </c>
      <c r="P2258" t="s">
        <v>43</v>
      </c>
      <c r="Q2258" t="s">
        <v>43</v>
      </c>
      <c r="R2258" t="s">
        <v>43</v>
      </c>
      <c r="S2258" t="s">
        <v>43</v>
      </c>
      <c r="T2258" t="s">
        <v>43</v>
      </c>
      <c r="U2258" t="s">
        <v>43</v>
      </c>
      <c r="V2258" t="s">
        <v>43</v>
      </c>
      <c r="W2258" t="s">
        <v>43</v>
      </c>
      <c r="X2258" t="s">
        <v>43</v>
      </c>
      <c r="Y2258" t="s">
        <v>43</v>
      </c>
      <c r="Z2258" t="s">
        <v>43</v>
      </c>
      <c r="AA2258" t="s">
        <v>43</v>
      </c>
      <c r="AB2258" t="s">
        <v>43</v>
      </c>
      <c r="AC2258" t="s">
        <v>43</v>
      </c>
      <c r="AD2258" t="s">
        <v>43</v>
      </c>
      <c r="AE2258" t="s">
        <v>43</v>
      </c>
      <c r="AF2258" t="s">
        <v>43</v>
      </c>
      <c r="AG2258" t="s">
        <v>43</v>
      </c>
      <c r="AH2258" t="s">
        <v>43</v>
      </c>
      <c r="AI2258" t="s">
        <v>43</v>
      </c>
      <c r="AJ2258" t="s">
        <v>43</v>
      </c>
      <c r="AK2258" t="s">
        <v>43</v>
      </c>
      <c r="AL2258" t="s">
        <v>43</v>
      </c>
      <c r="AM2258" t="s">
        <v>43</v>
      </c>
      <c r="AN2258" t="str">
        <f>HYPERLINK("https://www.google.com/maps?q=10.89631557,79.10430908","Open Location")</f>
        <v>Open Location</v>
      </c>
    </row>
    <row r="2259" spans="1:40" x14ac:dyDescent="0.3">
      <c r="A2259" s="1">
        <v>46210.738310185188</v>
      </c>
      <c r="B2259" t="s">
        <v>40</v>
      </c>
      <c r="C2259" t="s">
        <v>41</v>
      </c>
      <c r="D2259" s="1">
        <v>46210.741273148145</v>
      </c>
      <c r="E2259" t="s">
        <v>42</v>
      </c>
      <c r="F2259" t="s">
        <v>43</v>
      </c>
      <c r="G2259" t="s">
        <v>43</v>
      </c>
      <c r="H2259" t="s">
        <v>43</v>
      </c>
      <c r="I2259" t="s">
        <v>1141</v>
      </c>
      <c r="J2259" t="s">
        <v>43</v>
      </c>
      <c r="K2259" t="s">
        <v>43</v>
      </c>
      <c r="L2259" t="s">
        <v>43</v>
      </c>
      <c r="M2259" t="s">
        <v>43</v>
      </c>
      <c r="N2259" t="s">
        <v>45</v>
      </c>
      <c r="O2259" t="s">
        <v>43</v>
      </c>
      <c r="P2259" t="s">
        <v>43</v>
      </c>
      <c r="Q2259" t="s">
        <v>43</v>
      </c>
      <c r="R2259" t="s">
        <v>43</v>
      </c>
      <c r="S2259" t="s">
        <v>43</v>
      </c>
      <c r="T2259" t="s">
        <v>43</v>
      </c>
      <c r="U2259" t="s">
        <v>43</v>
      </c>
      <c r="V2259" t="s">
        <v>43</v>
      </c>
      <c r="W2259" t="s">
        <v>43</v>
      </c>
      <c r="X2259" t="s">
        <v>43</v>
      </c>
      <c r="Y2259" t="s">
        <v>43</v>
      </c>
      <c r="Z2259" t="s">
        <v>43</v>
      </c>
      <c r="AA2259" t="s">
        <v>43</v>
      </c>
      <c r="AB2259" t="s">
        <v>43</v>
      </c>
      <c r="AC2259" t="s">
        <v>43</v>
      </c>
      <c r="AD2259" t="s">
        <v>43</v>
      </c>
      <c r="AE2259" t="s">
        <v>43</v>
      </c>
      <c r="AF2259" t="s">
        <v>43</v>
      </c>
      <c r="AG2259" t="s">
        <v>43</v>
      </c>
      <c r="AH2259" t="s">
        <v>43</v>
      </c>
      <c r="AI2259" t="s">
        <v>43</v>
      </c>
      <c r="AJ2259" t="s">
        <v>43</v>
      </c>
      <c r="AK2259" t="s">
        <v>43</v>
      </c>
      <c r="AL2259" t="s">
        <v>43</v>
      </c>
      <c r="AM2259" t="s">
        <v>43</v>
      </c>
      <c r="AN2259" t="str">
        <f>HYPERLINK("https://www.google.com/maps?q=10.89631176,79.10430908","Open Location")</f>
        <v>Open Location</v>
      </c>
    </row>
    <row r="2260" spans="1:40" x14ac:dyDescent="0.3">
      <c r="A2260" s="1">
        <v>46210.738194444442</v>
      </c>
      <c r="B2260" t="s">
        <v>40</v>
      </c>
      <c r="C2260" t="s">
        <v>41</v>
      </c>
      <c r="D2260" s="1">
        <v>46210.74113425926</v>
      </c>
      <c r="E2260" t="s">
        <v>42</v>
      </c>
      <c r="F2260" t="s">
        <v>43</v>
      </c>
      <c r="G2260" t="s">
        <v>43</v>
      </c>
      <c r="H2260" t="s">
        <v>43</v>
      </c>
      <c r="I2260" t="s">
        <v>43</v>
      </c>
      <c r="J2260" t="s">
        <v>43</v>
      </c>
      <c r="K2260" t="s">
        <v>43</v>
      </c>
      <c r="L2260" t="s">
        <v>43</v>
      </c>
      <c r="M2260" t="s">
        <v>43</v>
      </c>
      <c r="N2260" t="s">
        <v>45</v>
      </c>
      <c r="O2260" t="s">
        <v>43</v>
      </c>
      <c r="P2260" t="s">
        <v>43</v>
      </c>
      <c r="Q2260" t="s">
        <v>43</v>
      </c>
      <c r="R2260" t="s">
        <v>43</v>
      </c>
      <c r="S2260" t="s">
        <v>43</v>
      </c>
      <c r="T2260" t="s">
        <v>43</v>
      </c>
      <c r="U2260" t="s">
        <v>43</v>
      </c>
      <c r="V2260" t="s">
        <v>43</v>
      </c>
      <c r="W2260" t="s">
        <v>43</v>
      </c>
      <c r="X2260" t="s">
        <v>43</v>
      </c>
      <c r="Y2260" t="s">
        <v>43</v>
      </c>
      <c r="Z2260" t="s">
        <v>43</v>
      </c>
      <c r="AA2260" t="s">
        <v>43</v>
      </c>
      <c r="AB2260" t="s">
        <v>43</v>
      </c>
      <c r="AC2260" t="s">
        <v>43</v>
      </c>
      <c r="AD2260" t="s">
        <v>43</v>
      </c>
      <c r="AE2260" t="s">
        <v>43</v>
      </c>
      <c r="AF2260" t="s">
        <v>43</v>
      </c>
      <c r="AG2260" t="s">
        <v>43</v>
      </c>
      <c r="AH2260" t="s">
        <v>43</v>
      </c>
      <c r="AI2260" t="s">
        <v>43</v>
      </c>
      <c r="AJ2260" t="s">
        <v>43</v>
      </c>
      <c r="AK2260" t="s">
        <v>43</v>
      </c>
      <c r="AL2260" t="s">
        <v>43</v>
      </c>
      <c r="AM2260" t="s">
        <v>43</v>
      </c>
      <c r="AN2260" t="s">
        <v>43</v>
      </c>
    </row>
    <row r="2261" spans="1:40" x14ac:dyDescent="0.3">
      <c r="A2261" s="1">
        <v>46210.738078703704</v>
      </c>
      <c r="B2261" t="s">
        <v>40</v>
      </c>
      <c r="C2261" t="s">
        <v>41</v>
      </c>
      <c r="D2261" s="1">
        <v>46210.741111111114</v>
      </c>
      <c r="E2261" t="s">
        <v>42</v>
      </c>
      <c r="F2261" t="s">
        <v>43</v>
      </c>
      <c r="G2261" t="s">
        <v>43</v>
      </c>
      <c r="H2261" t="s">
        <v>43</v>
      </c>
      <c r="I2261" t="s">
        <v>1142</v>
      </c>
      <c r="J2261" t="s">
        <v>43</v>
      </c>
      <c r="K2261" t="s">
        <v>43</v>
      </c>
      <c r="L2261" t="s">
        <v>43</v>
      </c>
      <c r="M2261" t="s">
        <v>43</v>
      </c>
      <c r="N2261" t="s">
        <v>45</v>
      </c>
      <c r="O2261" t="s">
        <v>43</v>
      </c>
      <c r="P2261" t="s">
        <v>43</v>
      </c>
      <c r="Q2261" t="s">
        <v>43</v>
      </c>
      <c r="R2261" t="s">
        <v>43</v>
      </c>
      <c r="S2261" t="s">
        <v>43</v>
      </c>
      <c r="T2261" t="s">
        <v>43</v>
      </c>
      <c r="U2261" t="s">
        <v>43</v>
      </c>
      <c r="V2261" t="s">
        <v>43</v>
      </c>
      <c r="W2261" t="s">
        <v>43</v>
      </c>
      <c r="X2261" t="s">
        <v>43</v>
      </c>
      <c r="Y2261" t="s">
        <v>43</v>
      </c>
      <c r="Z2261" t="s">
        <v>43</v>
      </c>
      <c r="AA2261" t="s">
        <v>43</v>
      </c>
      <c r="AB2261" t="s">
        <v>43</v>
      </c>
      <c r="AC2261" t="s">
        <v>43</v>
      </c>
      <c r="AD2261" t="s">
        <v>43</v>
      </c>
      <c r="AE2261" t="s">
        <v>43</v>
      </c>
      <c r="AF2261" t="s">
        <v>43</v>
      </c>
      <c r="AG2261" t="s">
        <v>43</v>
      </c>
      <c r="AH2261" t="s">
        <v>43</v>
      </c>
      <c r="AI2261" t="s">
        <v>43</v>
      </c>
      <c r="AJ2261" t="s">
        <v>43</v>
      </c>
      <c r="AK2261" t="s">
        <v>43</v>
      </c>
      <c r="AL2261" t="s">
        <v>43</v>
      </c>
      <c r="AM2261" t="s">
        <v>43</v>
      </c>
      <c r="AN2261" t="str">
        <f>HYPERLINK("https://www.google.com/maps?q=10.89631081,79.10430145","Open Location")</f>
        <v>Open Location</v>
      </c>
    </row>
    <row r="2262" spans="1:40" x14ac:dyDescent="0.3">
      <c r="A2262" s="1">
        <v>46210.737962962965</v>
      </c>
      <c r="B2262" t="s">
        <v>40</v>
      </c>
      <c r="C2262" t="s">
        <v>41</v>
      </c>
      <c r="D2262" s="1">
        <v>46210.740856481483</v>
      </c>
      <c r="E2262" t="s">
        <v>42</v>
      </c>
      <c r="F2262" t="s">
        <v>43</v>
      </c>
      <c r="G2262" t="s">
        <v>43</v>
      </c>
      <c r="H2262" t="s">
        <v>43</v>
      </c>
      <c r="I2262" t="s">
        <v>1143</v>
      </c>
      <c r="J2262" t="s">
        <v>43</v>
      </c>
      <c r="K2262" t="s">
        <v>43</v>
      </c>
      <c r="L2262" t="s">
        <v>43</v>
      </c>
      <c r="M2262" t="s">
        <v>43</v>
      </c>
      <c r="N2262" t="s">
        <v>45</v>
      </c>
      <c r="O2262" t="s">
        <v>43</v>
      </c>
      <c r="P2262" t="s">
        <v>43</v>
      </c>
      <c r="Q2262" t="s">
        <v>43</v>
      </c>
      <c r="R2262" t="s">
        <v>43</v>
      </c>
      <c r="S2262" t="s">
        <v>43</v>
      </c>
      <c r="T2262" t="s">
        <v>43</v>
      </c>
      <c r="U2262" t="s">
        <v>43</v>
      </c>
      <c r="V2262" t="s">
        <v>43</v>
      </c>
      <c r="W2262" t="s">
        <v>43</v>
      </c>
      <c r="X2262" t="s">
        <v>43</v>
      </c>
      <c r="Y2262" t="s">
        <v>43</v>
      </c>
      <c r="Z2262" t="s">
        <v>43</v>
      </c>
      <c r="AA2262" t="s">
        <v>43</v>
      </c>
      <c r="AB2262" t="s">
        <v>43</v>
      </c>
      <c r="AC2262" t="s">
        <v>43</v>
      </c>
      <c r="AD2262" t="s">
        <v>43</v>
      </c>
      <c r="AE2262" t="s">
        <v>43</v>
      </c>
      <c r="AF2262" t="s">
        <v>43</v>
      </c>
      <c r="AG2262" t="s">
        <v>43</v>
      </c>
      <c r="AH2262" t="s">
        <v>43</v>
      </c>
      <c r="AI2262" t="s">
        <v>43</v>
      </c>
      <c r="AJ2262" t="s">
        <v>43</v>
      </c>
      <c r="AK2262" t="s">
        <v>43</v>
      </c>
      <c r="AL2262" t="s">
        <v>43</v>
      </c>
      <c r="AM2262" t="s">
        <v>43</v>
      </c>
      <c r="AN2262" t="str">
        <f>HYPERLINK("https://www.google.com/maps?q=10.89631271,79.10430145","Open Location")</f>
        <v>Open Location</v>
      </c>
    </row>
    <row r="2263" spans="1:40" x14ac:dyDescent="0.3">
      <c r="A2263" s="1">
        <v>46210.737847222219</v>
      </c>
      <c r="B2263" t="s">
        <v>40</v>
      </c>
      <c r="C2263" t="s">
        <v>41</v>
      </c>
      <c r="D2263" s="1">
        <v>46210.740740740737</v>
      </c>
      <c r="E2263" t="s">
        <v>42</v>
      </c>
      <c r="F2263" t="s">
        <v>43</v>
      </c>
      <c r="G2263" t="s">
        <v>43</v>
      </c>
      <c r="H2263" t="s">
        <v>43</v>
      </c>
      <c r="I2263" t="s">
        <v>1142</v>
      </c>
      <c r="J2263" t="s">
        <v>43</v>
      </c>
      <c r="K2263" t="s">
        <v>43</v>
      </c>
      <c r="L2263" t="s">
        <v>43</v>
      </c>
      <c r="M2263" t="s">
        <v>43</v>
      </c>
      <c r="N2263" t="s">
        <v>45</v>
      </c>
      <c r="O2263" t="s">
        <v>43</v>
      </c>
      <c r="P2263" t="s">
        <v>43</v>
      </c>
      <c r="Q2263" t="s">
        <v>43</v>
      </c>
      <c r="R2263" t="s">
        <v>43</v>
      </c>
      <c r="S2263" t="s">
        <v>43</v>
      </c>
      <c r="T2263" t="s">
        <v>43</v>
      </c>
      <c r="U2263" t="s">
        <v>43</v>
      </c>
      <c r="V2263" t="s">
        <v>43</v>
      </c>
      <c r="W2263" t="s">
        <v>43</v>
      </c>
      <c r="X2263" t="s">
        <v>43</v>
      </c>
      <c r="Y2263" t="s">
        <v>43</v>
      </c>
      <c r="Z2263" t="s">
        <v>43</v>
      </c>
      <c r="AA2263" t="s">
        <v>43</v>
      </c>
      <c r="AB2263" t="s">
        <v>43</v>
      </c>
      <c r="AC2263" t="s">
        <v>43</v>
      </c>
      <c r="AD2263" t="s">
        <v>43</v>
      </c>
      <c r="AE2263" t="s">
        <v>43</v>
      </c>
      <c r="AF2263" t="s">
        <v>43</v>
      </c>
      <c r="AG2263" t="s">
        <v>43</v>
      </c>
      <c r="AH2263" t="s">
        <v>43</v>
      </c>
      <c r="AI2263" t="s">
        <v>43</v>
      </c>
      <c r="AJ2263" t="s">
        <v>43</v>
      </c>
      <c r="AK2263" t="s">
        <v>43</v>
      </c>
      <c r="AL2263" t="s">
        <v>43</v>
      </c>
      <c r="AM2263" t="s">
        <v>43</v>
      </c>
      <c r="AN2263" t="str">
        <f>HYPERLINK("https://www.google.com/maps?q=10.89631081,79.10430145","Open Location")</f>
        <v>Open Location</v>
      </c>
    </row>
    <row r="2264" spans="1:40" x14ac:dyDescent="0.3">
      <c r="A2264" s="1">
        <v>46210.73773148148</v>
      </c>
      <c r="B2264" t="s">
        <v>40</v>
      </c>
      <c r="C2264" t="s">
        <v>41</v>
      </c>
      <c r="D2264" s="1">
        <v>46210.740740740737</v>
      </c>
      <c r="E2264" t="s">
        <v>42</v>
      </c>
      <c r="F2264" t="s">
        <v>43</v>
      </c>
      <c r="G2264" t="s">
        <v>43</v>
      </c>
      <c r="H2264" t="s">
        <v>43</v>
      </c>
      <c r="I2264" t="s">
        <v>1143</v>
      </c>
      <c r="J2264" t="s">
        <v>43</v>
      </c>
      <c r="K2264" t="s">
        <v>43</v>
      </c>
      <c r="L2264" t="s">
        <v>43</v>
      </c>
      <c r="M2264" t="s">
        <v>43</v>
      </c>
      <c r="N2264" t="s">
        <v>45</v>
      </c>
      <c r="O2264" t="s">
        <v>43</v>
      </c>
      <c r="P2264" t="s">
        <v>43</v>
      </c>
      <c r="Q2264" t="s">
        <v>43</v>
      </c>
      <c r="R2264" t="s">
        <v>43</v>
      </c>
      <c r="S2264" t="s">
        <v>43</v>
      </c>
      <c r="T2264" t="s">
        <v>43</v>
      </c>
      <c r="U2264" t="s">
        <v>43</v>
      </c>
      <c r="V2264" t="s">
        <v>43</v>
      </c>
      <c r="W2264" t="s">
        <v>43</v>
      </c>
      <c r="X2264" t="s">
        <v>43</v>
      </c>
      <c r="Y2264" t="s">
        <v>43</v>
      </c>
      <c r="Z2264" t="s">
        <v>43</v>
      </c>
      <c r="AA2264" t="s">
        <v>43</v>
      </c>
      <c r="AB2264" t="s">
        <v>43</v>
      </c>
      <c r="AC2264" t="s">
        <v>43</v>
      </c>
      <c r="AD2264" t="s">
        <v>43</v>
      </c>
      <c r="AE2264" t="s">
        <v>43</v>
      </c>
      <c r="AF2264" t="s">
        <v>43</v>
      </c>
      <c r="AG2264" t="s">
        <v>43</v>
      </c>
      <c r="AH2264" t="s">
        <v>43</v>
      </c>
      <c r="AI2264" t="s">
        <v>43</v>
      </c>
      <c r="AJ2264" t="s">
        <v>43</v>
      </c>
      <c r="AK2264" t="s">
        <v>43</v>
      </c>
      <c r="AL2264" t="s">
        <v>43</v>
      </c>
      <c r="AM2264" t="s">
        <v>43</v>
      </c>
      <c r="AN2264" t="str">
        <f>HYPERLINK("https://www.google.com/maps?q=10.89631271,79.10430145","Open Location")</f>
        <v>Open Location</v>
      </c>
    </row>
    <row r="2265" spans="1:40" x14ac:dyDescent="0.3">
      <c r="A2265" s="1">
        <v>46210.737615740742</v>
      </c>
      <c r="B2265" t="s">
        <v>40</v>
      </c>
      <c r="C2265" t="s">
        <v>41</v>
      </c>
      <c r="D2265" s="1">
        <v>46210.740601851852</v>
      </c>
      <c r="E2265" t="s">
        <v>42</v>
      </c>
      <c r="F2265" t="s">
        <v>43</v>
      </c>
      <c r="G2265" t="s">
        <v>43</v>
      </c>
      <c r="H2265" t="s">
        <v>43</v>
      </c>
      <c r="I2265" t="s">
        <v>43</v>
      </c>
      <c r="J2265" t="s">
        <v>43</v>
      </c>
      <c r="K2265" t="s">
        <v>43</v>
      </c>
      <c r="L2265" t="s">
        <v>43</v>
      </c>
      <c r="M2265" t="s">
        <v>43</v>
      </c>
      <c r="N2265" t="s">
        <v>45</v>
      </c>
      <c r="O2265" t="s">
        <v>43</v>
      </c>
      <c r="P2265" t="s">
        <v>43</v>
      </c>
      <c r="Q2265" t="s">
        <v>43</v>
      </c>
      <c r="R2265" t="s">
        <v>43</v>
      </c>
      <c r="S2265" t="s">
        <v>43</v>
      </c>
      <c r="T2265" t="s">
        <v>43</v>
      </c>
      <c r="U2265" t="s">
        <v>43</v>
      </c>
      <c r="V2265" t="s">
        <v>43</v>
      </c>
      <c r="W2265" t="s">
        <v>43</v>
      </c>
      <c r="X2265" t="s">
        <v>43</v>
      </c>
      <c r="Y2265" t="s">
        <v>43</v>
      </c>
      <c r="Z2265" t="s">
        <v>43</v>
      </c>
      <c r="AA2265" t="s">
        <v>43</v>
      </c>
      <c r="AB2265" t="s">
        <v>43</v>
      </c>
      <c r="AC2265" t="s">
        <v>43</v>
      </c>
      <c r="AD2265" t="s">
        <v>43</v>
      </c>
      <c r="AE2265" t="s">
        <v>43</v>
      </c>
      <c r="AF2265" t="s">
        <v>43</v>
      </c>
      <c r="AG2265" t="s">
        <v>43</v>
      </c>
      <c r="AH2265" t="s">
        <v>43</v>
      </c>
      <c r="AI2265" t="s">
        <v>43</v>
      </c>
      <c r="AJ2265" t="s">
        <v>43</v>
      </c>
      <c r="AK2265" t="s">
        <v>43</v>
      </c>
      <c r="AL2265" t="s">
        <v>43</v>
      </c>
      <c r="AM2265" t="s">
        <v>43</v>
      </c>
      <c r="AN2265" t="s">
        <v>43</v>
      </c>
    </row>
    <row r="2266" spans="1:40" x14ac:dyDescent="0.3">
      <c r="A2266" s="1">
        <v>46210.737500000003</v>
      </c>
      <c r="B2266" t="s">
        <v>40</v>
      </c>
      <c r="C2266" t="s">
        <v>41</v>
      </c>
      <c r="D2266" s="1">
        <v>46210.740601851852</v>
      </c>
      <c r="E2266" t="s">
        <v>42</v>
      </c>
      <c r="F2266" t="s">
        <v>43</v>
      </c>
      <c r="G2266" t="s">
        <v>43</v>
      </c>
      <c r="H2266" t="s">
        <v>43</v>
      </c>
      <c r="I2266" t="s">
        <v>1144</v>
      </c>
      <c r="J2266" t="s">
        <v>43</v>
      </c>
      <c r="K2266" t="s">
        <v>43</v>
      </c>
      <c r="L2266" t="s">
        <v>43</v>
      </c>
      <c r="M2266" t="s">
        <v>43</v>
      </c>
      <c r="N2266" t="s">
        <v>45</v>
      </c>
      <c r="O2266" t="s">
        <v>43</v>
      </c>
      <c r="P2266" t="s">
        <v>43</v>
      </c>
      <c r="Q2266" t="s">
        <v>43</v>
      </c>
      <c r="R2266" t="s">
        <v>43</v>
      </c>
      <c r="S2266" t="s">
        <v>43</v>
      </c>
      <c r="T2266" t="s">
        <v>43</v>
      </c>
      <c r="U2266" t="s">
        <v>43</v>
      </c>
      <c r="V2266" t="s">
        <v>43</v>
      </c>
      <c r="W2266" t="s">
        <v>43</v>
      </c>
      <c r="X2266" t="s">
        <v>43</v>
      </c>
      <c r="Y2266" t="s">
        <v>43</v>
      </c>
      <c r="Z2266" t="s">
        <v>43</v>
      </c>
      <c r="AA2266" t="s">
        <v>43</v>
      </c>
      <c r="AB2266" t="s">
        <v>43</v>
      </c>
      <c r="AC2266" t="s">
        <v>43</v>
      </c>
      <c r="AD2266" t="s">
        <v>43</v>
      </c>
      <c r="AE2266" t="s">
        <v>43</v>
      </c>
      <c r="AF2266" t="s">
        <v>43</v>
      </c>
      <c r="AG2266" t="s">
        <v>43</v>
      </c>
      <c r="AH2266" t="s">
        <v>43</v>
      </c>
      <c r="AI2266" t="s">
        <v>43</v>
      </c>
      <c r="AJ2266" t="s">
        <v>43</v>
      </c>
      <c r="AK2266" t="s">
        <v>43</v>
      </c>
      <c r="AL2266" t="s">
        <v>43</v>
      </c>
      <c r="AM2266" t="s">
        <v>43</v>
      </c>
      <c r="AN2266" t="str">
        <f>HYPERLINK("https://www.google.com/maps?q=10.89631176,79.10429382","Open Location")</f>
        <v>Open Location</v>
      </c>
    </row>
    <row r="2267" spans="1:40" x14ac:dyDescent="0.3">
      <c r="A2267" s="1">
        <v>46210.737384259257</v>
      </c>
      <c r="B2267" t="s">
        <v>40</v>
      </c>
      <c r="C2267" t="s">
        <v>41</v>
      </c>
      <c r="D2267" s="1">
        <v>46210.740520833337</v>
      </c>
      <c r="E2267" t="s">
        <v>42</v>
      </c>
      <c r="F2267" t="s">
        <v>43</v>
      </c>
      <c r="G2267" t="s">
        <v>43</v>
      </c>
      <c r="H2267" t="s">
        <v>43</v>
      </c>
      <c r="I2267" t="s">
        <v>1145</v>
      </c>
      <c r="J2267" t="s">
        <v>43</v>
      </c>
      <c r="K2267" t="s">
        <v>43</v>
      </c>
      <c r="L2267" t="s">
        <v>43</v>
      </c>
      <c r="M2267" t="s">
        <v>43</v>
      </c>
      <c r="N2267" t="s">
        <v>45</v>
      </c>
      <c r="O2267" t="s">
        <v>43</v>
      </c>
      <c r="P2267" t="s">
        <v>43</v>
      </c>
      <c r="Q2267" t="s">
        <v>43</v>
      </c>
      <c r="R2267" t="s">
        <v>43</v>
      </c>
      <c r="S2267" t="s">
        <v>43</v>
      </c>
      <c r="T2267" t="s">
        <v>43</v>
      </c>
      <c r="U2267" t="s">
        <v>43</v>
      </c>
      <c r="V2267" t="s">
        <v>43</v>
      </c>
      <c r="W2267" t="s">
        <v>43</v>
      </c>
      <c r="X2267" t="s">
        <v>43</v>
      </c>
      <c r="Y2267" t="s">
        <v>43</v>
      </c>
      <c r="Z2267" t="s">
        <v>43</v>
      </c>
      <c r="AA2267" t="s">
        <v>43</v>
      </c>
      <c r="AB2267" t="s">
        <v>43</v>
      </c>
      <c r="AC2267" t="s">
        <v>43</v>
      </c>
      <c r="AD2267" t="s">
        <v>43</v>
      </c>
      <c r="AE2267" t="s">
        <v>43</v>
      </c>
      <c r="AF2267" t="s">
        <v>43</v>
      </c>
      <c r="AG2267" t="s">
        <v>43</v>
      </c>
      <c r="AH2267" t="s">
        <v>43</v>
      </c>
      <c r="AI2267" t="s">
        <v>43</v>
      </c>
      <c r="AJ2267" t="s">
        <v>43</v>
      </c>
      <c r="AK2267" t="s">
        <v>43</v>
      </c>
      <c r="AL2267" t="s">
        <v>43</v>
      </c>
      <c r="AM2267" t="s">
        <v>43</v>
      </c>
      <c r="AN2267" t="str">
        <f>HYPERLINK("https://www.google.com/maps?q=10.89631844,79.10428619","Open Location")</f>
        <v>Open Location</v>
      </c>
    </row>
    <row r="2268" spans="1:40" x14ac:dyDescent="0.3">
      <c r="A2268" s="1">
        <v>46210.737268518518</v>
      </c>
      <c r="B2268" t="s">
        <v>40</v>
      </c>
      <c r="C2268" t="s">
        <v>41</v>
      </c>
      <c r="D2268" s="1">
        <v>46210.740104166667</v>
      </c>
      <c r="E2268" t="s">
        <v>42</v>
      </c>
      <c r="F2268" t="s">
        <v>43</v>
      </c>
      <c r="G2268" t="s">
        <v>43</v>
      </c>
      <c r="H2268" t="s">
        <v>43</v>
      </c>
      <c r="I2268" t="s">
        <v>1146</v>
      </c>
      <c r="J2268" t="s">
        <v>43</v>
      </c>
      <c r="K2268" t="s">
        <v>43</v>
      </c>
      <c r="L2268" t="s">
        <v>43</v>
      </c>
      <c r="M2268" t="s">
        <v>43</v>
      </c>
      <c r="N2268" t="s">
        <v>45</v>
      </c>
      <c r="O2268" t="s">
        <v>43</v>
      </c>
      <c r="P2268" t="s">
        <v>43</v>
      </c>
      <c r="Q2268" t="s">
        <v>43</v>
      </c>
      <c r="R2268" t="s">
        <v>43</v>
      </c>
      <c r="S2268" t="s">
        <v>43</v>
      </c>
      <c r="T2268" t="s">
        <v>43</v>
      </c>
      <c r="U2268" t="s">
        <v>43</v>
      </c>
      <c r="V2268" t="s">
        <v>43</v>
      </c>
      <c r="W2268" t="s">
        <v>43</v>
      </c>
      <c r="X2268" t="s">
        <v>43</v>
      </c>
      <c r="Y2268" t="s">
        <v>43</v>
      </c>
      <c r="Z2268" t="s">
        <v>43</v>
      </c>
      <c r="AA2268" t="s">
        <v>43</v>
      </c>
      <c r="AB2268" t="s">
        <v>43</v>
      </c>
      <c r="AC2268" t="s">
        <v>43</v>
      </c>
      <c r="AD2268" t="s">
        <v>43</v>
      </c>
      <c r="AE2268" t="s">
        <v>43</v>
      </c>
      <c r="AF2268" t="s">
        <v>43</v>
      </c>
      <c r="AG2268" t="s">
        <v>43</v>
      </c>
      <c r="AH2268" t="s">
        <v>43</v>
      </c>
      <c r="AI2268" t="s">
        <v>43</v>
      </c>
      <c r="AJ2268" t="s">
        <v>43</v>
      </c>
      <c r="AK2268" t="s">
        <v>43</v>
      </c>
      <c r="AL2268" t="s">
        <v>43</v>
      </c>
      <c r="AM2268" t="s">
        <v>43</v>
      </c>
      <c r="AN2268" t="str">
        <f>HYPERLINK("https://www.google.com/maps?q=10.89631939,79.10428619","Open Location")</f>
        <v>Open Location</v>
      </c>
    </row>
    <row r="2269" spans="1:40" x14ac:dyDescent="0.3">
      <c r="A2269" s="1">
        <v>46210.73715277778</v>
      </c>
      <c r="B2269" t="s">
        <v>40</v>
      </c>
      <c r="C2269" t="s">
        <v>41</v>
      </c>
      <c r="D2269" s="1">
        <v>46210.740416666667</v>
      </c>
      <c r="E2269" t="s">
        <v>42</v>
      </c>
      <c r="F2269" t="s">
        <v>43</v>
      </c>
      <c r="G2269" t="s">
        <v>43</v>
      </c>
      <c r="H2269" t="s">
        <v>43</v>
      </c>
      <c r="I2269" t="s">
        <v>1147</v>
      </c>
      <c r="J2269" t="s">
        <v>43</v>
      </c>
      <c r="K2269" t="s">
        <v>43</v>
      </c>
      <c r="L2269" t="s">
        <v>43</v>
      </c>
      <c r="M2269" t="s">
        <v>43</v>
      </c>
      <c r="N2269" t="s">
        <v>45</v>
      </c>
      <c r="O2269" t="s">
        <v>43</v>
      </c>
      <c r="P2269" t="s">
        <v>43</v>
      </c>
      <c r="Q2269" t="s">
        <v>43</v>
      </c>
      <c r="R2269" t="s">
        <v>43</v>
      </c>
      <c r="S2269" t="s">
        <v>43</v>
      </c>
      <c r="T2269" t="s">
        <v>43</v>
      </c>
      <c r="U2269" t="s">
        <v>43</v>
      </c>
      <c r="V2269" t="s">
        <v>43</v>
      </c>
      <c r="W2269" t="s">
        <v>43</v>
      </c>
      <c r="X2269" t="s">
        <v>43</v>
      </c>
      <c r="Y2269" t="s">
        <v>43</v>
      </c>
      <c r="Z2269" t="s">
        <v>43</v>
      </c>
      <c r="AA2269" t="s">
        <v>43</v>
      </c>
      <c r="AB2269" t="s">
        <v>43</v>
      </c>
      <c r="AC2269" t="s">
        <v>43</v>
      </c>
      <c r="AD2269" t="s">
        <v>43</v>
      </c>
      <c r="AE2269" t="s">
        <v>43</v>
      </c>
      <c r="AF2269" t="s">
        <v>43</v>
      </c>
      <c r="AG2269" t="s">
        <v>43</v>
      </c>
      <c r="AH2269" t="s">
        <v>43</v>
      </c>
      <c r="AI2269" t="s">
        <v>43</v>
      </c>
      <c r="AJ2269" t="s">
        <v>43</v>
      </c>
      <c r="AK2269" t="s">
        <v>43</v>
      </c>
      <c r="AL2269" t="s">
        <v>43</v>
      </c>
      <c r="AM2269" t="s">
        <v>43</v>
      </c>
      <c r="AN2269" t="str">
        <f>HYPERLINK("https://www.google.com/maps?q=10.8963213,79.10428619","Open Location")</f>
        <v>Open Location</v>
      </c>
    </row>
    <row r="2270" spans="1:40" x14ac:dyDescent="0.3">
      <c r="A2270" s="1">
        <v>46210.737037037034</v>
      </c>
      <c r="B2270" t="s">
        <v>40</v>
      </c>
      <c r="C2270" t="s">
        <v>41</v>
      </c>
      <c r="D2270" s="1">
        <v>46210.739965277775</v>
      </c>
      <c r="E2270" t="s">
        <v>42</v>
      </c>
      <c r="F2270" t="s">
        <v>43</v>
      </c>
      <c r="G2270" t="s">
        <v>43</v>
      </c>
      <c r="H2270" t="s">
        <v>43</v>
      </c>
      <c r="I2270" t="s">
        <v>1148</v>
      </c>
      <c r="J2270" t="s">
        <v>43</v>
      </c>
      <c r="K2270" t="s">
        <v>43</v>
      </c>
      <c r="L2270" t="s">
        <v>43</v>
      </c>
      <c r="M2270" t="s">
        <v>43</v>
      </c>
      <c r="N2270" t="s">
        <v>45</v>
      </c>
      <c r="O2270" t="s">
        <v>43</v>
      </c>
      <c r="P2270" t="s">
        <v>43</v>
      </c>
      <c r="Q2270" t="s">
        <v>43</v>
      </c>
      <c r="R2270" t="s">
        <v>43</v>
      </c>
      <c r="S2270" t="s">
        <v>43</v>
      </c>
      <c r="T2270" t="s">
        <v>43</v>
      </c>
      <c r="U2270" t="s">
        <v>43</v>
      </c>
      <c r="V2270" t="s">
        <v>43</v>
      </c>
      <c r="W2270" t="s">
        <v>43</v>
      </c>
      <c r="X2270" t="s">
        <v>43</v>
      </c>
      <c r="Y2270" t="s">
        <v>43</v>
      </c>
      <c r="Z2270" t="s">
        <v>43</v>
      </c>
      <c r="AA2270" t="s">
        <v>43</v>
      </c>
      <c r="AB2270" t="s">
        <v>43</v>
      </c>
      <c r="AC2270" t="s">
        <v>43</v>
      </c>
      <c r="AD2270" t="s">
        <v>43</v>
      </c>
      <c r="AE2270" t="s">
        <v>43</v>
      </c>
      <c r="AF2270" t="s">
        <v>43</v>
      </c>
      <c r="AG2270" t="s">
        <v>43</v>
      </c>
      <c r="AH2270" t="s">
        <v>43</v>
      </c>
      <c r="AI2270" t="s">
        <v>43</v>
      </c>
      <c r="AJ2270" t="s">
        <v>43</v>
      </c>
      <c r="AK2270" t="s">
        <v>43</v>
      </c>
      <c r="AL2270" t="s">
        <v>43</v>
      </c>
      <c r="AM2270" t="s">
        <v>43</v>
      </c>
      <c r="AN2270" t="str">
        <f>HYPERLINK("https://www.google.com/maps?q=10.89632416,79.10428619","Open Location")</f>
        <v>Open Location</v>
      </c>
    </row>
    <row r="2271" spans="1:40" x14ac:dyDescent="0.3">
      <c r="A2271" s="1">
        <v>46210.736921296295</v>
      </c>
      <c r="B2271" t="s">
        <v>40</v>
      </c>
      <c r="C2271" t="s">
        <v>41</v>
      </c>
      <c r="D2271" s="1">
        <v>46210.739768518521</v>
      </c>
      <c r="E2271" t="s">
        <v>42</v>
      </c>
      <c r="F2271" t="s">
        <v>43</v>
      </c>
      <c r="G2271" t="s">
        <v>43</v>
      </c>
      <c r="H2271" t="s">
        <v>43</v>
      </c>
      <c r="I2271" t="s">
        <v>43</v>
      </c>
      <c r="J2271" t="s">
        <v>43</v>
      </c>
      <c r="K2271" t="s">
        <v>43</v>
      </c>
      <c r="L2271" t="s">
        <v>43</v>
      </c>
      <c r="M2271" t="s">
        <v>43</v>
      </c>
      <c r="N2271" t="s">
        <v>45</v>
      </c>
      <c r="O2271" t="s">
        <v>43</v>
      </c>
      <c r="P2271" t="s">
        <v>43</v>
      </c>
      <c r="Q2271" t="s">
        <v>43</v>
      </c>
      <c r="R2271" t="s">
        <v>43</v>
      </c>
      <c r="S2271" t="s">
        <v>43</v>
      </c>
      <c r="T2271" t="s">
        <v>43</v>
      </c>
      <c r="U2271" t="s">
        <v>43</v>
      </c>
      <c r="V2271" t="s">
        <v>43</v>
      </c>
      <c r="W2271" t="s">
        <v>43</v>
      </c>
      <c r="X2271" t="s">
        <v>43</v>
      </c>
      <c r="Y2271" t="s">
        <v>43</v>
      </c>
      <c r="Z2271" t="s">
        <v>43</v>
      </c>
      <c r="AA2271" t="s">
        <v>43</v>
      </c>
      <c r="AB2271" t="s">
        <v>43</v>
      </c>
      <c r="AC2271" t="s">
        <v>43</v>
      </c>
      <c r="AD2271" t="s">
        <v>43</v>
      </c>
      <c r="AE2271" t="s">
        <v>43</v>
      </c>
      <c r="AF2271" t="s">
        <v>43</v>
      </c>
      <c r="AG2271" t="s">
        <v>43</v>
      </c>
      <c r="AH2271" t="s">
        <v>43</v>
      </c>
      <c r="AI2271" t="s">
        <v>43</v>
      </c>
      <c r="AJ2271" t="s">
        <v>43</v>
      </c>
      <c r="AK2271" t="s">
        <v>43</v>
      </c>
      <c r="AL2271" t="s">
        <v>43</v>
      </c>
      <c r="AM2271" t="s">
        <v>43</v>
      </c>
      <c r="AN2271" t="s">
        <v>43</v>
      </c>
    </row>
    <row r="2272" spans="1:40" x14ac:dyDescent="0.3">
      <c r="A2272" s="1">
        <v>46210.736805555556</v>
      </c>
      <c r="B2272" t="s">
        <v>40</v>
      </c>
      <c r="C2272" t="s">
        <v>41</v>
      </c>
      <c r="D2272" s="1">
        <v>46210.739652777775</v>
      </c>
      <c r="E2272" t="s">
        <v>42</v>
      </c>
      <c r="F2272" t="s">
        <v>43</v>
      </c>
      <c r="G2272" t="s">
        <v>43</v>
      </c>
      <c r="H2272" t="s">
        <v>43</v>
      </c>
      <c r="I2272" t="s">
        <v>1125</v>
      </c>
      <c r="J2272" t="s">
        <v>43</v>
      </c>
      <c r="K2272" t="s">
        <v>43</v>
      </c>
      <c r="L2272" t="s">
        <v>43</v>
      </c>
      <c r="M2272" t="s">
        <v>43</v>
      </c>
      <c r="N2272" t="s">
        <v>45</v>
      </c>
      <c r="O2272" t="s">
        <v>43</v>
      </c>
      <c r="P2272" t="s">
        <v>43</v>
      </c>
      <c r="Q2272" t="s">
        <v>43</v>
      </c>
      <c r="R2272" t="s">
        <v>43</v>
      </c>
      <c r="S2272" t="s">
        <v>43</v>
      </c>
      <c r="T2272" t="s">
        <v>43</v>
      </c>
      <c r="U2272" t="s">
        <v>43</v>
      </c>
      <c r="V2272" t="s">
        <v>43</v>
      </c>
      <c r="W2272" t="s">
        <v>43</v>
      </c>
      <c r="X2272" t="s">
        <v>43</v>
      </c>
      <c r="Y2272" t="s">
        <v>43</v>
      </c>
      <c r="Z2272" t="s">
        <v>43</v>
      </c>
      <c r="AA2272" t="s">
        <v>43</v>
      </c>
      <c r="AB2272" t="s">
        <v>43</v>
      </c>
      <c r="AC2272" t="s">
        <v>43</v>
      </c>
      <c r="AD2272" t="s">
        <v>43</v>
      </c>
      <c r="AE2272" t="s">
        <v>43</v>
      </c>
      <c r="AF2272" t="s">
        <v>43</v>
      </c>
      <c r="AG2272" t="s">
        <v>43</v>
      </c>
      <c r="AH2272" t="s">
        <v>43</v>
      </c>
      <c r="AI2272" t="s">
        <v>43</v>
      </c>
      <c r="AJ2272" t="s">
        <v>43</v>
      </c>
      <c r="AK2272" t="s">
        <v>43</v>
      </c>
      <c r="AL2272" t="s">
        <v>43</v>
      </c>
      <c r="AM2272" t="s">
        <v>43</v>
      </c>
      <c r="AN2272" t="str">
        <f>HYPERLINK("https://www.google.com/maps?q=10.89632607,79.10428619","Open Location")</f>
        <v>Open Location</v>
      </c>
    </row>
    <row r="2273" spans="1:40" x14ac:dyDescent="0.3">
      <c r="A2273" s="1">
        <v>46210.736689814818</v>
      </c>
      <c r="B2273" t="s">
        <v>40</v>
      </c>
      <c r="C2273" t="s">
        <v>41</v>
      </c>
      <c r="D2273" s="1">
        <v>46210.739629629628</v>
      </c>
      <c r="E2273" t="s">
        <v>42</v>
      </c>
      <c r="F2273" t="s">
        <v>43</v>
      </c>
      <c r="G2273" t="s">
        <v>43</v>
      </c>
      <c r="H2273" t="s">
        <v>43</v>
      </c>
      <c r="I2273" t="s">
        <v>1123</v>
      </c>
      <c r="J2273" t="s">
        <v>43</v>
      </c>
      <c r="K2273" t="s">
        <v>43</v>
      </c>
      <c r="L2273" t="s">
        <v>43</v>
      </c>
      <c r="M2273" t="s">
        <v>43</v>
      </c>
      <c r="N2273" t="s">
        <v>45</v>
      </c>
      <c r="O2273" t="s">
        <v>43</v>
      </c>
      <c r="P2273" t="s">
        <v>43</v>
      </c>
      <c r="Q2273" t="s">
        <v>43</v>
      </c>
      <c r="R2273" t="s">
        <v>43</v>
      </c>
      <c r="S2273" t="s">
        <v>43</v>
      </c>
      <c r="T2273" t="s">
        <v>43</v>
      </c>
      <c r="U2273" t="s">
        <v>43</v>
      </c>
      <c r="V2273" t="s">
        <v>43</v>
      </c>
      <c r="W2273" t="s">
        <v>43</v>
      </c>
      <c r="X2273" t="s">
        <v>43</v>
      </c>
      <c r="Y2273" t="s">
        <v>43</v>
      </c>
      <c r="Z2273" t="s">
        <v>43</v>
      </c>
      <c r="AA2273" t="s">
        <v>43</v>
      </c>
      <c r="AB2273" t="s">
        <v>43</v>
      </c>
      <c r="AC2273" t="s">
        <v>43</v>
      </c>
      <c r="AD2273" t="s">
        <v>43</v>
      </c>
      <c r="AE2273" t="s">
        <v>43</v>
      </c>
      <c r="AF2273" t="s">
        <v>43</v>
      </c>
      <c r="AG2273" t="s">
        <v>43</v>
      </c>
      <c r="AH2273" t="s">
        <v>43</v>
      </c>
      <c r="AI2273" t="s">
        <v>43</v>
      </c>
      <c r="AJ2273" t="s">
        <v>43</v>
      </c>
      <c r="AK2273" t="s">
        <v>43</v>
      </c>
      <c r="AL2273" t="s">
        <v>43</v>
      </c>
      <c r="AM2273" t="s">
        <v>43</v>
      </c>
      <c r="AN2273" t="str">
        <f>HYPERLINK("https://www.google.com/maps?q=10.89632416,79.10429382","Open Location")</f>
        <v>Open Location</v>
      </c>
    </row>
    <row r="2274" spans="1:40" x14ac:dyDescent="0.3">
      <c r="A2274" s="1">
        <v>46210.736574074072</v>
      </c>
      <c r="B2274" t="s">
        <v>40</v>
      </c>
      <c r="C2274" t="s">
        <v>41</v>
      </c>
      <c r="D2274" s="1">
        <v>46210.739560185182</v>
      </c>
      <c r="E2274" t="s">
        <v>42</v>
      </c>
      <c r="F2274" t="s">
        <v>43</v>
      </c>
      <c r="G2274" t="s">
        <v>43</v>
      </c>
      <c r="H2274" t="s">
        <v>43</v>
      </c>
      <c r="I2274" t="s">
        <v>1121</v>
      </c>
      <c r="J2274" t="s">
        <v>43</v>
      </c>
      <c r="K2274" t="s">
        <v>43</v>
      </c>
      <c r="L2274" t="s">
        <v>43</v>
      </c>
      <c r="M2274" t="s">
        <v>43</v>
      </c>
      <c r="N2274" t="s">
        <v>45</v>
      </c>
      <c r="O2274" t="s">
        <v>43</v>
      </c>
      <c r="P2274" t="s">
        <v>43</v>
      </c>
      <c r="Q2274" t="s">
        <v>43</v>
      </c>
      <c r="R2274" t="s">
        <v>43</v>
      </c>
      <c r="S2274" t="s">
        <v>43</v>
      </c>
      <c r="T2274" t="s">
        <v>43</v>
      </c>
      <c r="U2274" t="s">
        <v>43</v>
      </c>
      <c r="V2274" t="s">
        <v>43</v>
      </c>
      <c r="W2274" t="s">
        <v>43</v>
      </c>
      <c r="X2274" t="s">
        <v>43</v>
      </c>
      <c r="Y2274" t="s">
        <v>43</v>
      </c>
      <c r="Z2274" t="s">
        <v>43</v>
      </c>
      <c r="AA2274" t="s">
        <v>43</v>
      </c>
      <c r="AB2274" t="s">
        <v>43</v>
      </c>
      <c r="AC2274" t="s">
        <v>43</v>
      </c>
      <c r="AD2274" t="s">
        <v>43</v>
      </c>
      <c r="AE2274" t="s">
        <v>43</v>
      </c>
      <c r="AF2274" t="s">
        <v>43</v>
      </c>
      <c r="AG2274" t="s">
        <v>43</v>
      </c>
      <c r="AH2274" t="s">
        <v>43</v>
      </c>
      <c r="AI2274" t="s">
        <v>43</v>
      </c>
      <c r="AJ2274" t="s">
        <v>43</v>
      </c>
      <c r="AK2274" t="s">
        <v>43</v>
      </c>
      <c r="AL2274" t="s">
        <v>43</v>
      </c>
      <c r="AM2274" t="s">
        <v>43</v>
      </c>
      <c r="AN2274" t="str">
        <f>HYPERLINK("https://www.google.com/maps?q=10.89632511,79.10429382","Open Location")</f>
        <v>Open Location</v>
      </c>
    </row>
    <row r="2275" spans="1:40" x14ac:dyDescent="0.3">
      <c r="A2275" s="1">
        <v>46210.736458333333</v>
      </c>
      <c r="B2275" t="s">
        <v>40</v>
      </c>
      <c r="C2275" t="s">
        <v>41</v>
      </c>
      <c r="D2275" s="1">
        <v>46210.73940972222</v>
      </c>
      <c r="E2275" t="s">
        <v>42</v>
      </c>
      <c r="F2275" t="s">
        <v>43</v>
      </c>
      <c r="G2275" t="s">
        <v>43</v>
      </c>
      <c r="H2275" t="s">
        <v>43</v>
      </c>
      <c r="I2275" t="s">
        <v>1149</v>
      </c>
      <c r="J2275" t="s">
        <v>43</v>
      </c>
      <c r="K2275" t="s">
        <v>43</v>
      </c>
      <c r="L2275" t="s">
        <v>43</v>
      </c>
      <c r="M2275" t="s">
        <v>43</v>
      </c>
      <c r="N2275" t="s">
        <v>45</v>
      </c>
      <c r="O2275" t="s">
        <v>43</v>
      </c>
      <c r="P2275" t="s">
        <v>43</v>
      </c>
      <c r="Q2275" t="s">
        <v>43</v>
      </c>
      <c r="R2275" t="s">
        <v>43</v>
      </c>
      <c r="S2275" t="s">
        <v>43</v>
      </c>
      <c r="T2275" t="s">
        <v>43</v>
      </c>
      <c r="U2275" t="s">
        <v>43</v>
      </c>
      <c r="V2275" t="s">
        <v>43</v>
      </c>
      <c r="W2275" t="s">
        <v>43</v>
      </c>
      <c r="X2275" t="s">
        <v>43</v>
      </c>
      <c r="Y2275" t="s">
        <v>43</v>
      </c>
      <c r="Z2275" t="s">
        <v>43</v>
      </c>
      <c r="AA2275" t="s">
        <v>43</v>
      </c>
      <c r="AB2275" t="s">
        <v>43</v>
      </c>
      <c r="AC2275" t="s">
        <v>43</v>
      </c>
      <c r="AD2275" t="s">
        <v>43</v>
      </c>
      <c r="AE2275" t="s">
        <v>43</v>
      </c>
      <c r="AF2275" t="s">
        <v>43</v>
      </c>
      <c r="AG2275" t="s">
        <v>43</v>
      </c>
      <c r="AH2275" t="s">
        <v>43</v>
      </c>
      <c r="AI2275" t="s">
        <v>43</v>
      </c>
      <c r="AJ2275" t="s">
        <v>43</v>
      </c>
      <c r="AK2275" t="s">
        <v>43</v>
      </c>
      <c r="AL2275" t="s">
        <v>43</v>
      </c>
      <c r="AM2275" t="s">
        <v>43</v>
      </c>
      <c r="AN2275" t="str">
        <f>HYPERLINK("https://www.google.com/maps?q=10.89632034,79.10429382","Open Location")</f>
        <v>Open Location</v>
      </c>
    </row>
    <row r="2276" spans="1:40" x14ac:dyDescent="0.3">
      <c r="A2276" s="1">
        <v>46210.736342592594</v>
      </c>
      <c r="B2276" t="s">
        <v>40</v>
      </c>
      <c r="C2276" t="s">
        <v>41</v>
      </c>
      <c r="D2276" s="1">
        <v>46210.73914351852</v>
      </c>
      <c r="E2276" t="s">
        <v>42</v>
      </c>
      <c r="F2276" t="s">
        <v>43</v>
      </c>
      <c r="G2276" t="s">
        <v>43</v>
      </c>
      <c r="H2276" t="s">
        <v>43</v>
      </c>
      <c r="I2276" t="s">
        <v>43</v>
      </c>
      <c r="J2276" t="s">
        <v>43</v>
      </c>
      <c r="K2276" t="s">
        <v>43</v>
      </c>
      <c r="L2276" t="s">
        <v>43</v>
      </c>
      <c r="M2276" t="s">
        <v>43</v>
      </c>
      <c r="N2276" t="s">
        <v>45</v>
      </c>
      <c r="O2276" t="s">
        <v>43</v>
      </c>
      <c r="P2276" t="s">
        <v>43</v>
      </c>
      <c r="Q2276" t="s">
        <v>43</v>
      </c>
      <c r="R2276" t="s">
        <v>43</v>
      </c>
      <c r="S2276" t="s">
        <v>43</v>
      </c>
      <c r="T2276" t="s">
        <v>43</v>
      </c>
      <c r="U2276" t="s">
        <v>43</v>
      </c>
      <c r="V2276" t="s">
        <v>43</v>
      </c>
      <c r="W2276" t="s">
        <v>43</v>
      </c>
      <c r="X2276" t="s">
        <v>43</v>
      </c>
      <c r="Y2276" t="s">
        <v>43</v>
      </c>
      <c r="Z2276" t="s">
        <v>43</v>
      </c>
      <c r="AA2276" t="s">
        <v>43</v>
      </c>
      <c r="AB2276" t="s">
        <v>43</v>
      </c>
      <c r="AC2276" t="s">
        <v>43</v>
      </c>
      <c r="AD2276" t="s">
        <v>43</v>
      </c>
      <c r="AE2276" t="s">
        <v>43</v>
      </c>
      <c r="AF2276" t="s">
        <v>43</v>
      </c>
      <c r="AG2276" t="s">
        <v>43</v>
      </c>
      <c r="AH2276" t="s">
        <v>43</v>
      </c>
      <c r="AI2276" t="s">
        <v>43</v>
      </c>
      <c r="AJ2276" t="s">
        <v>43</v>
      </c>
      <c r="AK2276" t="s">
        <v>43</v>
      </c>
      <c r="AL2276" t="s">
        <v>43</v>
      </c>
      <c r="AM2276" t="s">
        <v>43</v>
      </c>
      <c r="AN2276" t="s">
        <v>43</v>
      </c>
    </row>
    <row r="2277" spans="1:40" x14ac:dyDescent="0.3">
      <c r="A2277" s="1">
        <v>46210.736226851855</v>
      </c>
      <c r="B2277" t="s">
        <v>40</v>
      </c>
      <c r="C2277" t="s">
        <v>41</v>
      </c>
      <c r="D2277" s="1">
        <v>46210.739201388889</v>
      </c>
      <c r="E2277" t="s">
        <v>42</v>
      </c>
      <c r="F2277" t="s">
        <v>43</v>
      </c>
      <c r="G2277" t="s">
        <v>43</v>
      </c>
      <c r="H2277" t="s">
        <v>43</v>
      </c>
      <c r="I2277" t="s">
        <v>1149</v>
      </c>
      <c r="J2277" t="s">
        <v>43</v>
      </c>
      <c r="K2277" t="s">
        <v>43</v>
      </c>
      <c r="L2277" t="s">
        <v>43</v>
      </c>
      <c r="M2277" t="s">
        <v>43</v>
      </c>
      <c r="N2277" t="s">
        <v>45</v>
      </c>
      <c r="O2277" t="s">
        <v>43</v>
      </c>
      <c r="P2277" t="s">
        <v>43</v>
      </c>
      <c r="Q2277" t="s">
        <v>43</v>
      </c>
      <c r="R2277" t="s">
        <v>43</v>
      </c>
      <c r="S2277" t="s">
        <v>43</v>
      </c>
      <c r="T2277" t="s">
        <v>43</v>
      </c>
      <c r="U2277" t="s">
        <v>43</v>
      </c>
      <c r="V2277" t="s">
        <v>43</v>
      </c>
      <c r="W2277" t="s">
        <v>43</v>
      </c>
      <c r="X2277" t="s">
        <v>43</v>
      </c>
      <c r="Y2277" t="s">
        <v>43</v>
      </c>
      <c r="Z2277" t="s">
        <v>43</v>
      </c>
      <c r="AA2277" t="s">
        <v>43</v>
      </c>
      <c r="AB2277" t="s">
        <v>43</v>
      </c>
      <c r="AC2277" t="s">
        <v>43</v>
      </c>
      <c r="AD2277" t="s">
        <v>43</v>
      </c>
      <c r="AE2277" t="s">
        <v>43</v>
      </c>
      <c r="AF2277" t="s">
        <v>43</v>
      </c>
      <c r="AG2277" t="s">
        <v>43</v>
      </c>
      <c r="AH2277" t="s">
        <v>43</v>
      </c>
      <c r="AI2277" t="s">
        <v>43</v>
      </c>
      <c r="AJ2277" t="s">
        <v>43</v>
      </c>
      <c r="AK2277" t="s">
        <v>43</v>
      </c>
      <c r="AL2277" t="s">
        <v>43</v>
      </c>
      <c r="AM2277" t="s">
        <v>43</v>
      </c>
      <c r="AN2277" t="str">
        <f>HYPERLINK("https://www.google.com/maps?q=10.89632034,79.10429382","Open Location")</f>
        <v>Open Location</v>
      </c>
    </row>
    <row r="2278" spans="1:40" x14ac:dyDescent="0.3">
      <c r="A2278" s="1">
        <v>46210.736111111109</v>
      </c>
      <c r="B2278" t="s">
        <v>40</v>
      </c>
      <c r="C2278" t="s">
        <v>41</v>
      </c>
      <c r="D2278" s="1">
        <v>46210.739085648151</v>
      </c>
      <c r="E2278" t="s">
        <v>42</v>
      </c>
      <c r="F2278" t="s">
        <v>43</v>
      </c>
      <c r="G2278" t="s">
        <v>43</v>
      </c>
      <c r="H2278" t="s">
        <v>43</v>
      </c>
      <c r="I2278" t="s">
        <v>1150</v>
      </c>
      <c r="J2278" t="s">
        <v>43</v>
      </c>
      <c r="K2278" t="s">
        <v>43</v>
      </c>
      <c r="L2278" t="s">
        <v>43</v>
      </c>
      <c r="M2278" t="s">
        <v>43</v>
      </c>
      <c r="N2278" t="s">
        <v>45</v>
      </c>
      <c r="O2278" t="s">
        <v>43</v>
      </c>
      <c r="P2278" t="s">
        <v>43</v>
      </c>
      <c r="Q2278" t="s">
        <v>43</v>
      </c>
      <c r="R2278" t="s">
        <v>43</v>
      </c>
      <c r="S2278" t="s">
        <v>43</v>
      </c>
      <c r="T2278" t="s">
        <v>43</v>
      </c>
      <c r="U2278" t="s">
        <v>43</v>
      </c>
      <c r="V2278" t="s">
        <v>43</v>
      </c>
      <c r="W2278" t="s">
        <v>43</v>
      </c>
      <c r="X2278" t="s">
        <v>43</v>
      </c>
      <c r="Y2278" t="s">
        <v>43</v>
      </c>
      <c r="Z2278" t="s">
        <v>43</v>
      </c>
      <c r="AA2278" t="s">
        <v>43</v>
      </c>
      <c r="AB2278" t="s">
        <v>43</v>
      </c>
      <c r="AC2278" t="s">
        <v>43</v>
      </c>
      <c r="AD2278" t="s">
        <v>43</v>
      </c>
      <c r="AE2278" t="s">
        <v>43</v>
      </c>
      <c r="AF2278" t="s">
        <v>43</v>
      </c>
      <c r="AG2278" t="s">
        <v>43</v>
      </c>
      <c r="AH2278" t="s">
        <v>43</v>
      </c>
      <c r="AI2278" t="s">
        <v>43</v>
      </c>
      <c r="AJ2278" t="s">
        <v>43</v>
      </c>
      <c r="AK2278" t="s">
        <v>43</v>
      </c>
      <c r="AL2278" t="s">
        <v>43</v>
      </c>
      <c r="AM2278" t="s">
        <v>43</v>
      </c>
      <c r="AN2278" t="str">
        <f>HYPERLINK("https://www.google.com/maps?q=10.8963232,79.10429382","Open Location")</f>
        <v>Open Location</v>
      </c>
    </row>
    <row r="2279" spans="1:40" x14ac:dyDescent="0.3">
      <c r="A2279" s="1">
        <v>46210.735995370371</v>
      </c>
      <c r="B2279" t="s">
        <v>40</v>
      </c>
      <c r="C2279" t="s">
        <v>41</v>
      </c>
      <c r="D2279" s="1">
        <v>46210.739201388889</v>
      </c>
      <c r="E2279" t="s">
        <v>42</v>
      </c>
      <c r="F2279" t="s">
        <v>43</v>
      </c>
      <c r="G2279" t="s">
        <v>43</v>
      </c>
      <c r="H2279" t="s">
        <v>43</v>
      </c>
      <c r="I2279" t="s">
        <v>1151</v>
      </c>
      <c r="J2279" t="s">
        <v>43</v>
      </c>
      <c r="K2279" t="s">
        <v>43</v>
      </c>
      <c r="L2279" t="s">
        <v>43</v>
      </c>
      <c r="M2279" t="s">
        <v>43</v>
      </c>
      <c r="N2279" t="s">
        <v>45</v>
      </c>
      <c r="O2279" t="s">
        <v>43</v>
      </c>
      <c r="P2279" t="s">
        <v>43</v>
      </c>
      <c r="Q2279" t="s">
        <v>43</v>
      </c>
      <c r="R2279" t="s">
        <v>43</v>
      </c>
      <c r="S2279" t="s">
        <v>43</v>
      </c>
      <c r="T2279" t="s">
        <v>43</v>
      </c>
      <c r="U2279" t="s">
        <v>43</v>
      </c>
      <c r="V2279" t="s">
        <v>43</v>
      </c>
      <c r="W2279" t="s">
        <v>43</v>
      </c>
      <c r="X2279" t="s">
        <v>43</v>
      </c>
      <c r="Y2279" t="s">
        <v>43</v>
      </c>
      <c r="Z2279" t="s">
        <v>43</v>
      </c>
      <c r="AA2279" t="s">
        <v>43</v>
      </c>
      <c r="AB2279" t="s">
        <v>43</v>
      </c>
      <c r="AC2279" t="s">
        <v>43</v>
      </c>
      <c r="AD2279" t="s">
        <v>43</v>
      </c>
      <c r="AE2279" t="s">
        <v>43</v>
      </c>
      <c r="AF2279" t="s">
        <v>43</v>
      </c>
      <c r="AG2279" t="s">
        <v>43</v>
      </c>
      <c r="AH2279" t="s">
        <v>43</v>
      </c>
      <c r="AI2279" t="s">
        <v>43</v>
      </c>
      <c r="AJ2279" t="s">
        <v>43</v>
      </c>
      <c r="AK2279" t="s">
        <v>43</v>
      </c>
      <c r="AL2279" t="s">
        <v>43</v>
      </c>
      <c r="AM2279" t="s">
        <v>43</v>
      </c>
      <c r="AN2279" t="str">
        <f>HYPERLINK("https://www.google.com/maps?q=10.8963213,79.10430145","Open Location")</f>
        <v>Open Location</v>
      </c>
    </row>
    <row r="2280" spans="1:40" x14ac:dyDescent="0.3">
      <c r="A2280" s="1">
        <v>46210.735879629632</v>
      </c>
      <c r="B2280" t="s">
        <v>40</v>
      </c>
      <c r="C2280" t="s">
        <v>41</v>
      </c>
      <c r="D2280" s="1">
        <v>46210.738564814812</v>
      </c>
      <c r="E2280" t="s">
        <v>42</v>
      </c>
      <c r="F2280" t="s">
        <v>43</v>
      </c>
      <c r="G2280" t="s">
        <v>43</v>
      </c>
      <c r="H2280" t="s">
        <v>43</v>
      </c>
      <c r="I2280" t="s">
        <v>1152</v>
      </c>
      <c r="J2280" t="s">
        <v>43</v>
      </c>
      <c r="K2280" t="s">
        <v>43</v>
      </c>
      <c r="L2280" t="s">
        <v>43</v>
      </c>
      <c r="M2280" t="s">
        <v>43</v>
      </c>
      <c r="N2280" t="s">
        <v>45</v>
      </c>
      <c r="O2280" t="s">
        <v>43</v>
      </c>
      <c r="P2280" t="s">
        <v>43</v>
      </c>
      <c r="Q2280" t="s">
        <v>43</v>
      </c>
      <c r="R2280" t="s">
        <v>43</v>
      </c>
      <c r="S2280" t="s">
        <v>43</v>
      </c>
      <c r="T2280" t="s">
        <v>43</v>
      </c>
      <c r="U2280" t="s">
        <v>43</v>
      </c>
      <c r="V2280" t="s">
        <v>43</v>
      </c>
      <c r="W2280" t="s">
        <v>43</v>
      </c>
      <c r="X2280" t="s">
        <v>43</v>
      </c>
      <c r="Y2280" t="s">
        <v>43</v>
      </c>
      <c r="Z2280" t="s">
        <v>43</v>
      </c>
      <c r="AA2280" t="s">
        <v>43</v>
      </c>
      <c r="AB2280" t="s">
        <v>43</v>
      </c>
      <c r="AC2280" t="s">
        <v>43</v>
      </c>
      <c r="AD2280" t="s">
        <v>43</v>
      </c>
      <c r="AE2280" t="s">
        <v>43</v>
      </c>
      <c r="AF2280" t="s">
        <v>43</v>
      </c>
      <c r="AG2280" t="s">
        <v>43</v>
      </c>
      <c r="AH2280" t="s">
        <v>43</v>
      </c>
      <c r="AI2280" t="s">
        <v>43</v>
      </c>
      <c r="AJ2280" t="s">
        <v>43</v>
      </c>
      <c r="AK2280" t="s">
        <v>43</v>
      </c>
      <c r="AL2280" t="s">
        <v>43</v>
      </c>
      <c r="AM2280" t="s">
        <v>43</v>
      </c>
      <c r="AN2280" t="str">
        <f>HYPERLINK("https://www.google.com/maps?q=10.89632416,79.10430145","Open Location")</f>
        <v>Open Location</v>
      </c>
    </row>
    <row r="2281" spans="1:40" x14ac:dyDescent="0.3">
      <c r="A2281" s="1">
        <v>46210.735763888886</v>
      </c>
      <c r="B2281" t="s">
        <v>40</v>
      </c>
      <c r="C2281" t="s">
        <v>41</v>
      </c>
      <c r="D2281" s="1">
        <v>46210.738611111112</v>
      </c>
      <c r="E2281" t="s">
        <v>42</v>
      </c>
      <c r="F2281" t="s">
        <v>43</v>
      </c>
      <c r="G2281" t="s">
        <v>43</v>
      </c>
      <c r="H2281" t="s">
        <v>43</v>
      </c>
      <c r="I2281" t="s">
        <v>1153</v>
      </c>
      <c r="J2281" t="s">
        <v>43</v>
      </c>
      <c r="K2281" t="s">
        <v>43</v>
      </c>
      <c r="L2281" t="s">
        <v>43</v>
      </c>
      <c r="M2281" t="s">
        <v>43</v>
      </c>
      <c r="N2281" t="s">
        <v>45</v>
      </c>
      <c r="O2281" t="s">
        <v>43</v>
      </c>
      <c r="P2281" t="s">
        <v>43</v>
      </c>
      <c r="Q2281" t="s">
        <v>43</v>
      </c>
      <c r="R2281" t="s">
        <v>43</v>
      </c>
      <c r="S2281" t="s">
        <v>43</v>
      </c>
      <c r="T2281" t="s">
        <v>43</v>
      </c>
      <c r="U2281" t="s">
        <v>43</v>
      </c>
      <c r="V2281" t="s">
        <v>43</v>
      </c>
      <c r="W2281" t="s">
        <v>43</v>
      </c>
      <c r="X2281" t="s">
        <v>43</v>
      </c>
      <c r="Y2281" t="s">
        <v>43</v>
      </c>
      <c r="Z2281" t="s">
        <v>43</v>
      </c>
      <c r="AA2281" t="s">
        <v>43</v>
      </c>
      <c r="AB2281" t="s">
        <v>43</v>
      </c>
      <c r="AC2281" t="s">
        <v>43</v>
      </c>
      <c r="AD2281" t="s">
        <v>43</v>
      </c>
      <c r="AE2281" t="s">
        <v>43</v>
      </c>
      <c r="AF2281" t="s">
        <v>43</v>
      </c>
      <c r="AG2281" t="s">
        <v>43</v>
      </c>
      <c r="AH2281" t="s">
        <v>43</v>
      </c>
      <c r="AI2281" t="s">
        <v>43</v>
      </c>
      <c r="AJ2281" t="s">
        <v>43</v>
      </c>
      <c r="AK2281" t="s">
        <v>43</v>
      </c>
      <c r="AL2281" t="s">
        <v>43</v>
      </c>
      <c r="AM2281" t="s">
        <v>43</v>
      </c>
      <c r="AN2281" t="str">
        <f>HYPERLINK("https://www.google.com/maps?q=10.89632607,79.10430145","Open Location")</f>
        <v>Open Location</v>
      </c>
    </row>
    <row r="2282" spans="1:40" x14ac:dyDescent="0.3">
      <c r="A2282" s="1">
        <v>46210.735648148147</v>
      </c>
      <c r="B2282" t="s">
        <v>40</v>
      </c>
      <c r="C2282" t="s">
        <v>41</v>
      </c>
      <c r="D2282" s="1">
        <v>46210.73878472222</v>
      </c>
      <c r="E2282" t="s">
        <v>42</v>
      </c>
      <c r="F2282" t="s">
        <v>43</v>
      </c>
      <c r="G2282" t="s">
        <v>43</v>
      </c>
      <c r="H2282" t="s">
        <v>43</v>
      </c>
      <c r="I2282" t="s">
        <v>43</v>
      </c>
      <c r="J2282" t="s">
        <v>43</v>
      </c>
      <c r="K2282" t="s">
        <v>43</v>
      </c>
      <c r="L2282" t="s">
        <v>43</v>
      </c>
      <c r="M2282" t="s">
        <v>43</v>
      </c>
      <c r="N2282" t="s">
        <v>45</v>
      </c>
      <c r="O2282" t="s">
        <v>43</v>
      </c>
      <c r="P2282" t="s">
        <v>43</v>
      </c>
      <c r="Q2282" t="s">
        <v>43</v>
      </c>
      <c r="R2282" t="s">
        <v>43</v>
      </c>
      <c r="S2282" t="s">
        <v>43</v>
      </c>
      <c r="T2282" t="s">
        <v>43</v>
      </c>
      <c r="U2282" t="s">
        <v>43</v>
      </c>
      <c r="V2282" t="s">
        <v>43</v>
      </c>
      <c r="W2282" t="s">
        <v>43</v>
      </c>
      <c r="X2282" t="s">
        <v>43</v>
      </c>
      <c r="Y2282" t="s">
        <v>43</v>
      </c>
      <c r="Z2282" t="s">
        <v>43</v>
      </c>
      <c r="AA2282" t="s">
        <v>43</v>
      </c>
      <c r="AB2282" t="s">
        <v>43</v>
      </c>
      <c r="AC2282" t="s">
        <v>43</v>
      </c>
      <c r="AD2282" t="s">
        <v>43</v>
      </c>
      <c r="AE2282" t="s">
        <v>43</v>
      </c>
      <c r="AF2282" t="s">
        <v>43</v>
      </c>
      <c r="AG2282" t="s">
        <v>43</v>
      </c>
      <c r="AH2282" t="s">
        <v>43</v>
      </c>
      <c r="AI2282" t="s">
        <v>43</v>
      </c>
      <c r="AJ2282" t="s">
        <v>43</v>
      </c>
      <c r="AK2282" t="s">
        <v>43</v>
      </c>
      <c r="AL2282" t="s">
        <v>43</v>
      </c>
      <c r="AM2282" t="s">
        <v>43</v>
      </c>
      <c r="AN2282" t="s">
        <v>43</v>
      </c>
    </row>
    <row r="2283" spans="1:40" x14ac:dyDescent="0.3">
      <c r="A2283" s="1">
        <v>46210.735532407409</v>
      </c>
      <c r="B2283" t="s">
        <v>40</v>
      </c>
      <c r="C2283" t="s">
        <v>41</v>
      </c>
      <c r="D2283" s="1">
        <v>46210.738449074073</v>
      </c>
      <c r="E2283" t="s">
        <v>42</v>
      </c>
      <c r="F2283" t="s">
        <v>43</v>
      </c>
      <c r="G2283" t="s">
        <v>43</v>
      </c>
      <c r="H2283" t="s">
        <v>43</v>
      </c>
      <c r="I2283" t="s">
        <v>1138</v>
      </c>
      <c r="J2283" t="s">
        <v>43</v>
      </c>
      <c r="K2283" t="s">
        <v>43</v>
      </c>
      <c r="L2283" t="s">
        <v>43</v>
      </c>
      <c r="M2283" t="s">
        <v>43</v>
      </c>
      <c r="N2283" t="s">
        <v>45</v>
      </c>
      <c r="O2283" t="s">
        <v>43</v>
      </c>
      <c r="P2283" t="s">
        <v>43</v>
      </c>
      <c r="Q2283" t="s">
        <v>43</v>
      </c>
      <c r="R2283" t="s">
        <v>43</v>
      </c>
      <c r="S2283" t="s">
        <v>43</v>
      </c>
      <c r="T2283" t="s">
        <v>43</v>
      </c>
      <c r="U2283" t="s">
        <v>43</v>
      </c>
      <c r="V2283" t="s">
        <v>43</v>
      </c>
      <c r="W2283" t="s">
        <v>43</v>
      </c>
      <c r="X2283" t="s">
        <v>43</v>
      </c>
      <c r="Y2283" t="s">
        <v>43</v>
      </c>
      <c r="Z2283" t="s">
        <v>43</v>
      </c>
      <c r="AA2283" t="s">
        <v>43</v>
      </c>
      <c r="AB2283" t="s">
        <v>43</v>
      </c>
      <c r="AC2283" t="s">
        <v>43</v>
      </c>
      <c r="AD2283" t="s">
        <v>43</v>
      </c>
      <c r="AE2283" t="s">
        <v>43</v>
      </c>
      <c r="AF2283" t="s">
        <v>43</v>
      </c>
      <c r="AG2283" t="s">
        <v>43</v>
      </c>
      <c r="AH2283" t="s">
        <v>43</v>
      </c>
      <c r="AI2283" t="s">
        <v>43</v>
      </c>
      <c r="AJ2283" t="s">
        <v>43</v>
      </c>
      <c r="AK2283" t="s">
        <v>43</v>
      </c>
      <c r="AL2283" t="s">
        <v>43</v>
      </c>
      <c r="AM2283" t="s">
        <v>43</v>
      </c>
      <c r="AN2283" t="str">
        <f>HYPERLINK("https://www.google.com/maps?q=10.89632511,79.10430145","Open Location")</f>
        <v>Open Location</v>
      </c>
    </row>
    <row r="2284" spans="1:40" x14ac:dyDescent="0.3">
      <c r="A2284" s="1">
        <v>46210.73541666667</v>
      </c>
      <c r="B2284" t="s">
        <v>40</v>
      </c>
      <c r="C2284" t="s">
        <v>41</v>
      </c>
      <c r="D2284" s="1">
        <v>46210.738217592596</v>
      </c>
      <c r="E2284" t="s">
        <v>42</v>
      </c>
      <c r="F2284" t="s">
        <v>43</v>
      </c>
      <c r="G2284" t="s">
        <v>43</v>
      </c>
      <c r="H2284" t="s">
        <v>43</v>
      </c>
      <c r="I2284" t="s">
        <v>1139</v>
      </c>
      <c r="J2284" t="s">
        <v>43</v>
      </c>
      <c r="K2284" t="s">
        <v>43</v>
      </c>
      <c r="L2284" t="s">
        <v>43</v>
      </c>
      <c r="M2284" t="s">
        <v>43</v>
      </c>
      <c r="N2284" t="s">
        <v>45</v>
      </c>
      <c r="O2284" t="s">
        <v>43</v>
      </c>
      <c r="P2284" t="s">
        <v>43</v>
      </c>
      <c r="Q2284" t="s">
        <v>43</v>
      </c>
      <c r="R2284" t="s">
        <v>43</v>
      </c>
      <c r="S2284" t="s">
        <v>43</v>
      </c>
      <c r="T2284" t="s">
        <v>43</v>
      </c>
      <c r="U2284" t="s">
        <v>43</v>
      </c>
      <c r="V2284" t="s">
        <v>43</v>
      </c>
      <c r="W2284" t="s">
        <v>43</v>
      </c>
      <c r="X2284" t="s">
        <v>43</v>
      </c>
      <c r="Y2284" t="s">
        <v>43</v>
      </c>
      <c r="Z2284" t="s">
        <v>43</v>
      </c>
      <c r="AA2284" t="s">
        <v>43</v>
      </c>
      <c r="AB2284" t="s">
        <v>43</v>
      </c>
      <c r="AC2284" t="s">
        <v>43</v>
      </c>
      <c r="AD2284" t="s">
        <v>43</v>
      </c>
      <c r="AE2284" t="s">
        <v>43</v>
      </c>
      <c r="AF2284" t="s">
        <v>43</v>
      </c>
      <c r="AG2284" t="s">
        <v>43</v>
      </c>
      <c r="AH2284" t="s">
        <v>43</v>
      </c>
      <c r="AI2284" t="s">
        <v>43</v>
      </c>
      <c r="AJ2284" t="s">
        <v>43</v>
      </c>
      <c r="AK2284" t="s">
        <v>43</v>
      </c>
      <c r="AL2284" t="s">
        <v>43</v>
      </c>
      <c r="AM2284" t="s">
        <v>43</v>
      </c>
      <c r="AN2284" t="str">
        <f>HYPERLINK("https://www.google.com/maps?q=10.8963232,79.10430145","Open Location")</f>
        <v>Open Location</v>
      </c>
    </row>
    <row r="2285" spans="1:40" x14ac:dyDescent="0.3">
      <c r="A2285" s="1">
        <v>46210.735300925924</v>
      </c>
      <c r="B2285" t="s">
        <v>40</v>
      </c>
      <c r="C2285" t="s">
        <v>41</v>
      </c>
      <c r="D2285" s="1">
        <v>46210.738206018519</v>
      </c>
      <c r="E2285" t="s">
        <v>42</v>
      </c>
      <c r="F2285" t="s">
        <v>43</v>
      </c>
      <c r="G2285" t="s">
        <v>43</v>
      </c>
      <c r="H2285" t="s">
        <v>43</v>
      </c>
      <c r="I2285" t="s">
        <v>1152</v>
      </c>
      <c r="J2285" t="s">
        <v>43</v>
      </c>
      <c r="K2285" t="s">
        <v>43</v>
      </c>
      <c r="L2285" t="s">
        <v>43</v>
      </c>
      <c r="M2285" t="s">
        <v>43</v>
      </c>
      <c r="N2285" t="s">
        <v>45</v>
      </c>
      <c r="O2285" t="s">
        <v>43</v>
      </c>
      <c r="P2285" t="s">
        <v>43</v>
      </c>
      <c r="Q2285" t="s">
        <v>43</v>
      </c>
      <c r="R2285" t="s">
        <v>43</v>
      </c>
      <c r="S2285" t="s">
        <v>43</v>
      </c>
      <c r="T2285" t="s">
        <v>43</v>
      </c>
      <c r="U2285" t="s">
        <v>43</v>
      </c>
      <c r="V2285" t="s">
        <v>43</v>
      </c>
      <c r="W2285" t="s">
        <v>43</v>
      </c>
      <c r="X2285" t="s">
        <v>43</v>
      </c>
      <c r="Y2285" t="s">
        <v>43</v>
      </c>
      <c r="Z2285" t="s">
        <v>43</v>
      </c>
      <c r="AA2285" t="s">
        <v>43</v>
      </c>
      <c r="AB2285" t="s">
        <v>43</v>
      </c>
      <c r="AC2285" t="s">
        <v>43</v>
      </c>
      <c r="AD2285" t="s">
        <v>43</v>
      </c>
      <c r="AE2285" t="s">
        <v>43</v>
      </c>
      <c r="AF2285" t="s">
        <v>43</v>
      </c>
      <c r="AG2285" t="s">
        <v>43</v>
      </c>
      <c r="AH2285" t="s">
        <v>43</v>
      </c>
      <c r="AI2285" t="s">
        <v>43</v>
      </c>
      <c r="AJ2285" t="s">
        <v>43</v>
      </c>
      <c r="AK2285" t="s">
        <v>43</v>
      </c>
      <c r="AL2285" t="s">
        <v>43</v>
      </c>
      <c r="AM2285" t="s">
        <v>43</v>
      </c>
      <c r="AN2285" t="str">
        <f>HYPERLINK("https://www.google.com/maps?q=10.89632416,79.10430145","Open Location")</f>
        <v>Open Location</v>
      </c>
    </row>
    <row r="2286" spans="1:40" x14ac:dyDescent="0.3">
      <c r="A2286" s="1">
        <v>46210.735185185185</v>
      </c>
      <c r="B2286" t="s">
        <v>40</v>
      </c>
      <c r="C2286" t="s">
        <v>41</v>
      </c>
      <c r="D2286" s="1">
        <v>46210.737986111111</v>
      </c>
      <c r="E2286" t="s">
        <v>42</v>
      </c>
      <c r="F2286" t="s">
        <v>43</v>
      </c>
      <c r="G2286" t="s">
        <v>43</v>
      </c>
      <c r="H2286" t="s">
        <v>43</v>
      </c>
      <c r="I2286" t="s">
        <v>1137</v>
      </c>
      <c r="J2286" t="s">
        <v>43</v>
      </c>
      <c r="K2286" t="s">
        <v>43</v>
      </c>
      <c r="L2286" t="s">
        <v>43</v>
      </c>
      <c r="M2286" t="s">
        <v>43</v>
      </c>
      <c r="N2286" t="s">
        <v>45</v>
      </c>
      <c r="O2286" t="s">
        <v>43</v>
      </c>
      <c r="P2286" t="s">
        <v>43</v>
      </c>
      <c r="Q2286" t="s">
        <v>43</v>
      </c>
      <c r="R2286" t="s">
        <v>43</v>
      </c>
      <c r="S2286" t="s">
        <v>43</v>
      </c>
      <c r="T2286" t="s">
        <v>43</v>
      </c>
      <c r="U2286" t="s">
        <v>43</v>
      </c>
      <c r="V2286" t="s">
        <v>43</v>
      </c>
      <c r="W2286" t="s">
        <v>43</v>
      </c>
      <c r="X2286" t="s">
        <v>43</v>
      </c>
      <c r="Y2286" t="s">
        <v>43</v>
      </c>
      <c r="Z2286" t="s">
        <v>43</v>
      </c>
      <c r="AA2286" t="s">
        <v>43</v>
      </c>
      <c r="AB2286" t="s">
        <v>43</v>
      </c>
      <c r="AC2286" t="s">
        <v>43</v>
      </c>
      <c r="AD2286" t="s">
        <v>43</v>
      </c>
      <c r="AE2286" t="s">
        <v>43</v>
      </c>
      <c r="AF2286" t="s">
        <v>43</v>
      </c>
      <c r="AG2286" t="s">
        <v>43</v>
      </c>
      <c r="AH2286" t="s">
        <v>43</v>
      </c>
      <c r="AI2286" t="s">
        <v>43</v>
      </c>
      <c r="AJ2286" t="s">
        <v>43</v>
      </c>
      <c r="AK2286" t="s">
        <v>43</v>
      </c>
      <c r="AL2286" t="s">
        <v>43</v>
      </c>
      <c r="AM2286" t="s">
        <v>43</v>
      </c>
      <c r="AN2286" t="str">
        <f>HYPERLINK("https://www.google.com/maps?q=10.89632797,79.10429382","Open Location")</f>
        <v>Open Location</v>
      </c>
    </row>
    <row r="2287" spans="1:40" x14ac:dyDescent="0.3">
      <c r="A2287" s="1">
        <v>46210.735069444447</v>
      </c>
      <c r="B2287" t="s">
        <v>40</v>
      </c>
      <c r="C2287" t="s">
        <v>41</v>
      </c>
      <c r="D2287" s="1">
        <v>46210.738275462965</v>
      </c>
      <c r="E2287" t="s">
        <v>42</v>
      </c>
      <c r="F2287" t="s">
        <v>43</v>
      </c>
      <c r="G2287" t="s">
        <v>43</v>
      </c>
      <c r="H2287" t="s">
        <v>43</v>
      </c>
      <c r="I2287" t="s">
        <v>1154</v>
      </c>
      <c r="J2287" t="s">
        <v>43</v>
      </c>
      <c r="K2287" t="s">
        <v>43</v>
      </c>
      <c r="L2287" t="s">
        <v>43</v>
      </c>
      <c r="M2287" t="s">
        <v>43</v>
      </c>
      <c r="N2287" t="s">
        <v>45</v>
      </c>
      <c r="O2287" t="s">
        <v>43</v>
      </c>
      <c r="P2287" t="s">
        <v>43</v>
      </c>
      <c r="Q2287" t="s">
        <v>43</v>
      </c>
      <c r="R2287" t="s">
        <v>43</v>
      </c>
      <c r="S2287" t="s">
        <v>43</v>
      </c>
      <c r="T2287" t="s">
        <v>43</v>
      </c>
      <c r="U2287" t="s">
        <v>43</v>
      </c>
      <c r="V2287" t="s">
        <v>43</v>
      </c>
      <c r="W2287" t="s">
        <v>43</v>
      </c>
      <c r="X2287" t="s">
        <v>43</v>
      </c>
      <c r="Y2287" t="s">
        <v>43</v>
      </c>
      <c r="Z2287" t="s">
        <v>43</v>
      </c>
      <c r="AA2287" t="s">
        <v>43</v>
      </c>
      <c r="AB2287" t="s">
        <v>43</v>
      </c>
      <c r="AC2287" t="s">
        <v>43</v>
      </c>
      <c r="AD2287" t="s">
        <v>43</v>
      </c>
      <c r="AE2287" t="s">
        <v>43</v>
      </c>
      <c r="AF2287" t="s">
        <v>43</v>
      </c>
      <c r="AG2287" t="s">
        <v>43</v>
      </c>
      <c r="AH2287" t="s">
        <v>43</v>
      </c>
      <c r="AI2287" t="s">
        <v>43</v>
      </c>
      <c r="AJ2287" t="s">
        <v>43</v>
      </c>
      <c r="AK2287" t="s">
        <v>43</v>
      </c>
      <c r="AL2287" t="s">
        <v>43</v>
      </c>
      <c r="AM2287" t="s">
        <v>43</v>
      </c>
      <c r="AN2287" t="str">
        <f>HYPERLINK("https://www.google.com/maps?q=10.89632988,79.10429382","Open Location")</f>
        <v>Open Location</v>
      </c>
    </row>
    <row r="2288" spans="1:40" x14ac:dyDescent="0.3">
      <c r="A2288" s="1">
        <v>46210.734953703701</v>
      </c>
      <c r="B2288" t="s">
        <v>40</v>
      </c>
      <c r="C2288" t="s">
        <v>41</v>
      </c>
      <c r="D2288" s="1">
        <v>46210.737951388888</v>
      </c>
      <c r="E2288" t="s">
        <v>42</v>
      </c>
      <c r="F2288" t="s">
        <v>43</v>
      </c>
      <c r="G2288" t="s">
        <v>43</v>
      </c>
      <c r="H2288" t="s">
        <v>43</v>
      </c>
      <c r="I2288" t="s">
        <v>43</v>
      </c>
      <c r="J2288" t="s">
        <v>43</v>
      </c>
      <c r="K2288" t="s">
        <v>43</v>
      </c>
      <c r="L2288" t="s">
        <v>43</v>
      </c>
      <c r="M2288" t="s">
        <v>43</v>
      </c>
      <c r="N2288" t="s">
        <v>45</v>
      </c>
      <c r="O2288" t="s">
        <v>43</v>
      </c>
      <c r="P2288" t="s">
        <v>43</v>
      </c>
      <c r="Q2288" t="s">
        <v>43</v>
      </c>
      <c r="R2288" t="s">
        <v>43</v>
      </c>
      <c r="S2288" t="s">
        <v>43</v>
      </c>
      <c r="T2288" t="s">
        <v>43</v>
      </c>
      <c r="U2288" t="s">
        <v>43</v>
      </c>
      <c r="V2288" t="s">
        <v>43</v>
      </c>
      <c r="W2288" t="s">
        <v>43</v>
      </c>
      <c r="X2288" t="s">
        <v>43</v>
      </c>
      <c r="Y2288" t="s">
        <v>43</v>
      </c>
      <c r="Z2288" t="s">
        <v>43</v>
      </c>
      <c r="AA2288" t="s">
        <v>43</v>
      </c>
      <c r="AB2288" t="s">
        <v>43</v>
      </c>
      <c r="AC2288" t="s">
        <v>43</v>
      </c>
      <c r="AD2288" t="s">
        <v>43</v>
      </c>
      <c r="AE2288" t="s">
        <v>43</v>
      </c>
      <c r="AF2288" t="s">
        <v>43</v>
      </c>
      <c r="AG2288" t="s">
        <v>43</v>
      </c>
      <c r="AH2288" t="s">
        <v>43</v>
      </c>
      <c r="AI2288" t="s">
        <v>43</v>
      </c>
      <c r="AJ2288" t="s">
        <v>43</v>
      </c>
      <c r="AK2288" t="s">
        <v>43</v>
      </c>
      <c r="AL2288" t="s">
        <v>43</v>
      </c>
      <c r="AM2288" t="s">
        <v>43</v>
      </c>
      <c r="AN2288" t="s">
        <v>43</v>
      </c>
    </row>
    <row r="2289" spans="1:40" x14ac:dyDescent="0.3">
      <c r="A2289" s="1">
        <v>46210.734837962962</v>
      </c>
      <c r="B2289" t="s">
        <v>40</v>
      </c>
      <c r="C2289" t="s">
        <v>41</v>
      </c>
      <c r="D2289" s="1">
        <v>46210.737662037034</v>
      </c>
      <c r="E2289" t="s">
        <v>42</v>
      </c>
      <c r="F2289" t="s">
        <v>43</v>
      </c>
      <c r="G2289" t="s">
        <v>43</v>
      </c>
      <c r="H2289" t="s">
        <v>43</v>
      </c>
      <c r="I2289" t="s">
        <v>1155</v>
      </c>
      <c r="J2289" t="s">
        <v>43</v>
      </c>
      <c r="K2289" t="s">
        <v>43</v>
      </c>
      <c r="L2289" t="s">
        <v>43</v>
      </c>
      <c r="M2289" t="s">
        <v>43</v>
      </c>
      <c r="N2289" t="s">
        <v>45</v>
      </c>
      <c r="O2289" t="s">
        <v>43</v>
      </c>
      <c r="P2289" t="s">
        <v>43</v>
      </c>
      <c r="Q2289" t="s">
        <v>43</v>
      </c>
      <c r="R2289" t="s">
        <v>43</v>
      </c>
      <c r="S2289" t="s">
        <v>43</v>
      </c>
      <c r="T2289" t="s">
        <v>43</v>
      </c>
      <c r="U2289" t="s">
        <v>43</v>
      </c>
      <c r="V2289" t="s">
        <v>43</v>
      </c>
      <c r="W2289" t="s">
        <v>43</v>
      </c>
      <c r="X2289" t="s">
        <v>43</v>
      </c>
      <c r="Y2289" t="s">
        <v>43</v>
      </c>
      <c r="Z2289" t="s">
        <v>43</v>
      </c>
      <c r="AA2289" t="s">
        <v>43</v>
      </c>
      <c r="AB2289" t="s">
        <v>43</v>
      </c>
      <c r="AC2289" t="s">
        <v>43</v>
      </c>
      <c r="AD2289" t="s">
        <v>43</v>
      </c>
      <c r="AE2289" t="s">
        <v>43</v>
      </c>
      <c r="AF2289" t="s">
        <v>43</v>
      </c>
      <c r="AG2289" t="s">
        <v>43</v>
      </c>
      <c r="AH2289" t="s">
        <v>43</v>
      </c>
      <c r="AI2289" t="s">
        <v>43</v>
      </c>
      <c r="AJ2289" t="s">
        <v>43</v>
      </c>
      <c r="AK2289" t="s">
        <v>43</v>
      </c>
      <c r="AL2289" t="s">
        <v>43</v>
      </c>
      <c r="AM2289" t="s">
        <v>43</v>
      </c>
      <c r="AN2289" t="str">
        <f>HYPERLINK("https://www.google.com/maps?q=10.89633274,79.10429382","Open Location")</f>
        <v>Open Location</v>
      </c>
    </row>
    <row r="2290" spans="1:40" x14ac:dyDescent="0.3">
      <c r="A2290" s="1">
        <v>46210.734722222223</v>
      </c>
      <c r="B2290" t="s">
        <v>40</v>
      </c>
      <c r="C2290" t="s">
        <v>41</v>
      </c>
      <c r="D2290" s="1">
        <v>46210.737476851849</v>
      </c>
      <c r="E2290" t="s">
        <v>42</v>
      </c>
      <c r="F2290" t="s">
        <v>43</v>
      </c>
      <c r="G2290" t="s">
        <v>43</v>
      </c>
      <c r="H2290" t="s">
        <v>43</v>
      </c>
      <c r="I2290" t="s">
        <v>1156</v>
      </c>
      <c r="J2290" t="s">
        <v>43</v>
      </c>
      <c r="K2290" t="s">
        <v>43</v>
      </c>
      <c r="L2290" t="s">
        <v>43</v>
      </c>
      <c r="M2290" t="s">
        <v>43</v>
      </c>
      <c r="N2290" t="s">
        <v>45</v>
      </c>
      <c r="O2290" t="s">
        <v>43</v>
      </c>
      <c r="P2290" t="s">
        <v>43</v>
      </c>
      <c r="Q2290" t="s">
        <v>43</v>
      </c>
      <c r="R2290" t="s">
        <v>43</v>
      </c>
      <c r="S2290" t="s">
        <v>43</v>
      </c>
      <c r="T2290" t="s">
        <v>43</v>
      </c>
      <c r="U2290" t="s">
        <v>43</v>
      </c>
      <c r="V2290" t="s">
        <v>43</v>
      </c>
      <c r="W2290" t="s">
        <v>43</v>
      </c>
      <c r="X2290" t="s">
        <v>43</v>
      </c>
      <c r="Y2290" t="s">
        <v>43</v>
      </c>
      <c r="Z2290" t="s">
        <v>43</v>
      </c>
      <c r="AA2290" t="s">
        <v>43</v>
      </c>
      <c r="AB2290" t="s">
        <v>43</v>
      </c>
      <c r="AC2290" t="s">
        <v>43</v>
      </c>
      <c r="AD2290" t="s">
        <v>43</v>
      </c>
      <c r="AE2290" t="s">
        <v>43</v>
      </c>
      <c r="AF2290" t="s">
        <v>43</v>
      </c>
      <c r="AG2290" t="s">
        <v>43</v>
      </c>
      <c r="AH2290" t="s">
        <v>43</v>
      </c>
      <c r="AI2290" t="s">
        <v>43</v>
      </c>
      <c r="AJ2290" t="s">
        <v>43</v>
      </c>
      <c r="AK2290" t="s">
        <v>43</v>
      </c>
      <c r="AL2290" t="s">
        <v>43</v>
      </c>
      <c r="AM2290" t="s">
        <v>43</v>
      </c>
      <c r="AN2290" t="str">
        <f>HYPERLINK("https://www.google.com/maps?q=10.8963356,79.10429382","Open Location")</f>
        <v>Open Location</v>
      </c>
    </row>
    <row r="2291" spans="1:40" x14ac:dyDescent="0.3">
      <c r="A2291" s="1">
        <v>46210.734606481485</v>
      </c>
      <c r="B2291" t="s">
        <v>40</v>
      </c>
      <c r="C2291" t="s">
        <v>41</v>
      </c>
      <c r="D2291" s="1">
        <v>46210.737476851849</v>
      </c>
      <c r="E2291" t="s">
        <v>42</v>
      </c>
      <c r="F2291" t="s">
        <v>43</v>
      </c>
      <c r="G2291" t="s">
        <v>43</v>
      </c>
      <c r="H2291" t="s">
        <v>43</v>
      </c>
      <c r="I2291" t="s">
        <v>1157</v>
      </c>
      <c r="J2291" t="s">
        <v>43</v>
      </c>
      <c r="K2291" t="s">
        <v>43</v>
      </c>
      <c r="L2291" t="s">
        <v>43</v>
      </c>
      <c r="M2291" t="s">
        <v>43</v>
      </c>
      <c r="N2291" t="s">
        <v>45</v>
      </c>
      <c r="O2291" t="s">
        <v>43</v>
      </c>
      <c r="P2291" t="s">
        <v>43</v>
      </c>
      <c r="Q2291" t="s">
        <v>43</v>
      </c>
      <c r="R2291" t="s">
        <v>43</v>
      </c>
      <c r="S2291" t="s">
        <v>43</v>
      </c>
      <c r="T2291" t="s">
        <v>43</v>
      </c>
      <c r="U2291" t="s">
        <v>43</v>
      </c>
      <c r="V2291" t="s">
        <v>43</v>
      </c>
      <c r="W2291" t="s">
        <v>43</v>
      </c>
      <c r="X2291" t="s">
        <v>43</v>
      </c>
      <c r="Y2291" t="s">
        <v>43</v>
      </c>
      <c r="Z2291" t="s">
        <v>43</v>
      </c>
      <c r="AA2291" t="s">
        <v>43</v>
      </c>
      <c r="AB2291" t="s">
        <v>43</v>
      </c>
      <c r="AC2291" t="s">
        <v>43</v>
      </c>
      <c r="AD2291" t="s">
        <v>43</v>
      </c>
      <c r="AE2291" t="s">
        <v>43</v>
      </c>
      <c r="AF2291" t="s">
        <v>43</v>
      </c>
      <c r="AG2291" t="s">
        <v>43</v>
      </c>
      <c r="AH2291" t="s">
        <v>43</v>
      </c>
      <c r="AI2291" t="s">
        <v>43</v>
      </c>
      <c r="AJ2291" t="s">
        <v>43</v>
      </c>
      <c r="AK2291" t="s">
        <v>43</v>
      </c>
      <c r="AL2291" t="s">
        <v>43</v>
      </c>
      <c r="AM2291" t="s">
        <v>43</v>
      </c>
      <c r="AN2291" t="str">
        <f>HYPERLINK("https://www.google.com/maps?q=10.89633369,79.10430145","Open Location")</f>
        <v>Open Location</v>
      </c>
    </row>
    <row r="2292" spans="1:40" x14ac:dyDescent="0.3">
      <c r="A2292" s="1">
        <v>46210.734490740739</v>
      </c>
      <c r="B2292" t="s">
        <v>40</v>
      </c>
      <c r="C2292" t="s">
        <v>41</v>
      </c>
      <c r="D2292" s="1">
        <v>46210.737129629626</v>
      </c>
      <c r="E2292" t="s">
        <v>42</v>
      </c>
      <c r="F2292" t="s">
        <v>43</v>
      </c>
      <c r="G2292" t="s">
        <v>43</v>
      </c>
      <c r="H2292" t="s">
        <v>43</v>
      </c>
      <c r="I2292" t="s">
        <v>1158</v>
      </c>
      <c r="J2292" t="s">
        <v>43</v>
      </c>
      <c r="K2292" t="s">
        <v>43</v>
      </c>
      <c r="L2292" t="s">
        <v>43</v>
      </c>
      <c r="M2292" t="s">
        <v>43</v>
      </c>
      <c r="N2292" t="s">
        <v>45</v>
      </c>
      <c r="O2292" t="s">
        <v>43</v>
      </c>
      <c r="P2292" t="s">
        <v>43</v>
      </c>
      <c r="Q2292" t="s">
        <v>43</v>
      </c>
      <c r="R2292" t="s">
        <v>43</v>
      </c>
      <c r="S2292" t="s">
        <v>43</v>
      </c>
      <c r="T2292" t="s">
        <v>43</v>
      </c>
      <c r="U2292" t="s">
        <v>43</v>
      </c>
      <c r="V2292" t="s">
        <v>43</v>
      </c>
      <c r="W2292" t="s">
        <v>43</v>
      </c>
      <c r="X2292" t="s">
        <v>43</v>
      </c>
      <c r="Y2292" t="s">
        <v>43</v>
      </c>
      <c r="Z2292" t="s">
        <v>43</v>
      </c>
      <c r="AA2292" t="s">
        <v>43</v>
      </c>
      <c r="AB2292" t="s">
        <v>43</v>
      </c>
      <c r="AC2292" t="s">
        <v>43</v>
      </c>
      <c r="AD2292" t="s">
        <v>43</v>
      </c>
      <c r="AE2292" t="s">
        <v>43</v>
      </c>
      <c r="AF2292" t="s">
        <v>43</v>
      </c>
      <c r="AG2292" t="s">
        <v>43</v>
      </c>
      <c r="AH2292" t="s">
        <v>43</v>
      </c>
      <c r="AI2292" t="s">
        <v>43</v>
      </c>
      <c r="AJ2292" t="s">
        <v>43</v>
      </c>
      <c r="AK2292" t="s">
        <v>43</v>
      </c>
      <c r="AL2292" t="s">
        <v>43</v>
      </c>
      <c r="AM2292" t="s">
        <v>43</v>
      </c>
      <c r="AN2292" t="str">
        <f>HYPERLINK("https://www.google.com/maps?q=10.89633083,79.10430145","Open Location")</f>
        <v>Open Location</v>
      </c>
    </row>
    <row r="2293" spans="1:40" x14ac:dyDescent="0.3">
      <c r="A2293" s="1">
        <v>46210.734375</v>
      </c>
      <c r="B2293" t="s">
        <v>40</v>
      </c>
      <c r="C2293" t="s">
        <v>41</v>
      </c>
      <c r="D2293" s="1">
        <v>46210.73746527778</v>
      </c>
      <c r="E2293" t="s">
        <v>42</v>
      </c>
      <c r="F2293" t="s">
        <v>43</v>
      </c>
      <c r="G2293" t="s">
        <v>43</v>
      </c>
      <c r="H2293" t="s">
        <v>43</v>
      </c>
      <c r="I2293" t="s">
        <v>1155</v>
      </c>
      <c r="J2293" t="s">
        <v>43</v>
      </c>
      <c r="K2293" t="s">
        <v>43</v>
      </c>
      <c r="L2293" t="s">
        <v>43</v>
      </c>
      <c r="M2293" t="s">
        <v>43</v>
      </c>
      <c r="N2293" t="s">
        <v>45</v>
      </c>
      <c r="O2293" t="s">
        <v>43</v>
      </c>
      <c r="P2293" t="s">
        <v>43</v>
      </c>
      <c r="Q2293" t="s">
        <v>43</v>
      </c>
      <c r="R2293" t="s">
        <v>43</v>
      </c>
      <c r="S2293" t="s">
        <v>43</v>
      </c>
      <c r="T2293" t="s">
        <v>43</v>
      </c>
      <c r="U2293" t="s">
        <v>43</v>
      </c>
      <c r="V2293" t="s">
        <v>43</v>
      </c>
      <c r="W2293" t="s">
        <v>43</v>
      </c>
      <c r="X2293" t="s">
        <v>43</v>
      </c>
      <c r="Y2293" t="s">
        <v>43</v>
      </c>
      <c r="Z2293" t="s">
        <v>43</v>
      </c>
      <c r="AA2293" t="s">
        <v>43</v>
      </c>
      <c r="AB2293" t="s">
        <v>43</v>
      </c>
      <c r="AC2293" t="s">
        <v>43</v>
      </c>
      <c r="AD2293" t="s">
        <v>43</v>
      </c>
      <c r="AE2293" t="s">
        <v>43</v>
      </c>
      <c r="AF2293" t="s">
        <v>43</v>
      </c>
      <c r="AG2293" t="s">
        <v>43</v>
      </c>
      <c r="AH2293" t="s">
        <v>43</v>
      </c>
      <c r="AI2293" t="s">
        <v>43</v>
      </c>
      <c r="AJ2293" t="s">
        <v>43</v>
      </c>
      <c r="AK2293" t="s">
        <v>43</v>
      </c>
      <c r="AL2293" t="s">
        <v>43</v>
      </c>
      <c r="AM2293" t="s">
        <v>43</v>
      </c>
      <c r="AN2293" t="str">
        <f>HYPERLINK("https://www.google.com/maps?q=10.89633274,79.10429382","Open Location")</f>
        <v>Open Location</v>
      </c>
    </row>
    <row r="2294" spans="1:40" x14ac:dyDescent="0.3">
      <c r="A2294" s="1">
        <v>46210.734259259261</v>
      </c>
      <c r="B2294" t="s">
        <v>40</v>
      </c>
      <c r="C2294" t="s">
        <v>41</v>
      </c>
      <c r="D2294" s="1">
        <v>46210.73746527778</v>
      </c>
      <c r="E2294" t="s">
        <v>42</v>
      </c>
      <c r="F2294" t="s">
        <v>43</v>
      </c>
      <c r="G2294" t="s">
        <v>43</v>
      </c>
      <c r="H2294" t="s">
        <v>43</v>
      </c>
      <c r="I2294" t="s">
        <v>43</v>
      </c>
      <c r="J2294" t="s">
        <v>43</v>
      </c>
      <c r="K2294" t="s">
        <v>43</v>
      </c>
      <c r="L2294" t="s">
        <v>43</v>
      </c>
      <c r="M2294" t="s">
        <v>43</v>
      </c>
      <c r="N2294" t="s">
        <v>45</v>
      </c>
      <c r="O2294" t="s">
        <v>43</v>
      </c>
      <c r="P2294" t="s">
        <v>43</v>
      </c>
      <c r="Q2294" t="s">
        <v>43</v>
      </c>
      <c r="R2294" t="s">
        <v>43</v>
      </c>
      <c r="S2294" t="s">
        <v>43</v>
      </c>
      <c r="T2294" t="s">
        <v>43</v>
      </c>
      <c r="U2294" t="s">
        <v>43</v>
      </c>
      <c r="V2294" t="s">
        <v>43</v>
      </c>
      <c r="W2294" t="s">
        <v>43</v>
      </c>
      <c r="X2294" t="s">
        <v>43</v>
      </c>
      <c r="Y2294" t="s">
        <v>43</v>
      </c>
      <c r="Z2294" t="s">
        <v>43</v>
      </c>
      <c r="AA2294" t="s">
        <v>43</v>
      </c>
      <c r="AB2294" t="s">
        <v>43</v>
      </c>
      <c r="AC2294" t="s">
        <v>43</v>
      </c>
      <c r="AD2294" t="s">
        <v>43</v>
      </c>
      <c r="AE2294" t="s">
        <v>43</v>
      </c>
      <c r="AF2294" t="s">
        <v>43</v>
      </c>
      <c r="AG2294" t="s">
        <v>43</v>
      </c>
      <c r="AH2294" t="s">
        <v>43</v>
      </c>
      <c r="AI2294" t="s">
        <v>43</v>
      </c>
      <c r="AJ2294" t="s">
        <v>43</v>
      </c>
      <c r="AK2294" t="s">
        <v>43</v>
      </c>
      <c r="AL2294" t="s">
        <v>43</v>
      </c>
      <c r="AM2294" t="s">
        <v>43</v>
      </c>
      <c r="AN2294" t="s">
        <v>43</v>
      </c>
    </row>
    <row r="2295" spans="1:40" x14ac:dyDescent="0.3">
      <c r="A2295" s="1">
        <v>46210.734143518515</v>
      </c>
      <c r="B2295" t="s">
        <v>40</v>
      </c>
      <c r="C2295" t="s">
        <v>41</v>
      </c>
      <c r="D2295" s="1">
        <v>46210.73746527778</v>
      </c>
      <c r="E2295" t="s">
        <v>42</v>
      </c>
      <c r="F2295" t="s">
        <v>43</v>
      </c>
      <c r="G2295" t="s">
        <v>43</v>
      </c>
      <c r="H2295" t="s">
        <v>43</v>
      </c>
      <c r="I2295" t="s">
        <v>1159</v>
      </c>
      <c r="J2295" t="s">
        <v>43</v>
      </c>
      <c r="K2295" t="s">
        <v>43</v>
      </c>
      <c r="L2295" t="s">
        <v>43</v>
      </c>
      <c r="M2295" t="s">
        <v>43</v>
      </c>
      <c r="N2295" t="s">
        <v>45</v>
      </c>
      <c r="O2295" t="s">
        <v>43</v>
      </c>
      <c r="P2295" t="s">
        <v>43</v>
      </c>
      <c r="Q2295" t="s">
        <v>43</v>
      </c>
      <c r="R2295" t="s">
        <v>43</v>
      </c>
      <c r="S2295" t="s">
        <v>43</v>
      </c>
      <c r="T2295" t="s">
        <v>43</v>
      </c>
      <c r="U2295" t="s">
        <v>43</v>
      </c>
      <c r="V2295" t="s">
        <v>43</v>
      </c>
      <c r="W2295" t="s">
        <v>43</v>
      </c>
      <c r="X2295" t="s">
        <v>43</v>
      </c>
      <c r="Y2295" t="s">
        <v>43</v>
      </c>
      <c r="Z2295" t="s">
        <v>43</v>
      </c>
      <c r="AA2295" t="s">
        <v>43</v>
      </c>
      <c r="AB2295" t="s">
        <v>43</v>
      </c>
      <c r="AC2295" t="s">
        <v>43</v>
      </c>
      <c r="AD2295" t="s">
        <v>43</v>
      </c>
      <c r="AE2295" t="s">
        <v>43</v>
      </c>
      <c r="AF2295" t="s">
        <v>43</v>
      </c>
      <c r="AG2295" t="s">
        <v>43</v>
      </c>
      <c r="AH2295" t="s">
        <v>43</v>
      </c>
      <c r="AI2295" t="s">
        <v>43</v>
      </c>
      <c r="AJ2295" t="s">
        <v>43</v>
      </c>
      <c r="AK2295" t="s">
        <v>43</v>
      </c>
      <c r="AL2295" t="s">
        <v>43</v>
      </c>
      <c r="AM2295" t="s">
        <v>43</v>
      </c>
      <c r="AN2295" t="str">
        <f>HYPERLINK("https://www.google.com/maps?q=10.89633465,79.10430145","Open Location")</f>
        <v>Open Location</v>
      </c>
    </row>
    <row r="2296" spans="1:40" x14ac:dyDescent="0.3">
      <c r="A2296" s="1">
        <v>46210.734027777777</v>
      </c>
      <c r="B2296" t="s">
        <v>40</v>
      </c>
      <c r="C2296" t="s">
        <v>41</v>
      </c>
      <c r="D2296" s="1">
        <v>46210.736759259256</v>
      </c>
      <c r="E2296" t="s">
        <v>42</v>
      </c>
      <c r="F2296" t="s">
        <v>43</v>
      </c>
      <c r="G2296" t="s">
        <v>43</v>
      </c>
      <c r="H2296" t="s">
        <v>43</v>
      </c>
      <c r="I2296" t="s">
        <v>1160</v>
      </c>
      <c r="J2296" t="s">
        <v>43</v>
      </c>
      <c r="K2296" t="s">
        <v>43</v>
      </c>
      <c r="L2296" t="s">
        <v>43</v>
      </c>
      <c r="M2296" t="s">
        <v>43</v>
      </c>
      <c r="N2296" t="s">
        <v>45</v>
      </c>
      <c r="O2296" t="s">
        <v>43</v>
      </c>
      <c r="P2296" t="s">
        <v>43</v>
      </c>
      <c r="Q2296" t="s">
        <v>43</v>
      </c>
      <c r="R2296" t="s">
        <v>43</v>
      </c>
      <c r="S2296" t="s">
        <v>43</v>
      </c>
      <c r="T2296" t="s">
        <v>43</v>
      </c>
      <c r="U2296" t="s">
        <v>43</v>
      </c>
      <c r="V2296" t="s">
        <v>43</v>
      </c>
      <c r="W2296" t="s">
        <v>43</v>
      </c>
      <c r="X2296" t="s">
        <v>43</v>
      </c>
      <c r="Y2296" t="s">
        <v>43</v>
      </c>
      <c r="Z2296" t="s">
        <v>43</v>
      </c>
      <c r="AA2296" t="s">
        <v>43</v>
      </c>
      <c r="AB2296" t="s">
        <v>43</v>
      </c>
      <c r="AC2296" t="s">
        <v>43</v>
      </c>
      <c r="AD2296" t="s">
        <v>43</v>
      </c>
      <c r="AE2296" t="s">
        <v>43</v>
      </c>
      <c r="AF2296" t="s">
        <v>43</v>
      </c>
      <c r="AG2296" t="s">
        <v>43</v>
      </c>
      <c r="AH2296" t="s">
        <v>43</v>
      </c>
      <c r="AI2296" t="s">
        <v>43</v>
      </c>
      <c r="AJ2296" t="s">
        <v>43</v>
      </c>
      <c r="AK2296" t="s">
        <v>43</v>
      </c>
      <c r="AL2296" t="s">
        <v>43</v>
      </c>
      <c r="AM2296" t="s">
        <v>43</v>
      </c>
      <c r="AN2296" t="str">
        <f>HYPERLINK("https://www.google.com/maps?q=10.8963356,79.10430145","Open Location")</f>
        <v>Open Location</v>
      </c>
    </row>
    <row r="2297" spans="1:40" x14ac:dyDescent="0.3">
      <c r="A2297" s="1">
        <v>46210.733912037038</v>
      </c>
      <c r="B2297" t="s">
        <v>40</v>
      </c>
      <c r="C2297" t="s">
        <v>41</v>
      </c>
      <c r="D2297" s="1">
        <v>46210.736921296295</v>
      </c>
      <c r="E2297" t="s">
        <v>42</v>
      </c>
      <c r="F2297" t="s">
        <v>43</v>
      </c>
      <c r="G2297" t="s">
        <v>43</v>
      </c>
      <c r="H2297" t="s">
        <v>43</v>
      </c>
      <c r="I2297" t="s">
        <v>1161</v>
      </c>
      <c r="J2297" t="s">
        <v>43</v>
      </c>
      <c r="K2297" t="s">
        <v>43</v>
      </c>
      <c r="L2297" t="s">
        <v>43</v>
      </c>
      <c r="M2297" t="s">
        <v>43</v>
      </c>
      <c r="N2297" t="s">
        <v>45</v>
      </c>
      <c r="O2297" t="s">
        <v>43</v>
      </c>
      <c r="P2297" t="s">
        <v>43</v>
      </c>
      <c r="Q2297" t="s">
        <v>43</v>
      </c>
      <c r="R2297" t="s">
        <v>43</v>
      </c>
      <c r="S2297" t="s">
        <v>43</v>
      </c>
      <c r="T2297" t="s">
        <v>43</v>
      </c>
      <c r="U2297" t="s">
        <v>43</v>
      </c>
      <c r="V2297" t="s">
        <v>43</v>
      </c>
      <c r="W2297" t="s">
        <v>43</v>
      </c>
      <c r="X2297" t="s">
        <v>43</v>
      </c>
      <c r="Y2297" t="s">
        <v>43</v>
      </c>
      <c r="Z2297" t="s">
        <v>43</v>
      </c>
      <c r="AA2297" t="s">
        <v>43</v>
      </c>
      <c r="AB2297" t="s">
        <v>43</v>
      </c>
      <c r="AC2297" t="s">
        <v>43</v>
      </c>
      <c r="AD2297" t="s">
        <v>43</v>
      </c>
      <c r="AE2297" t="s">
        <v>43</v>
      </c>
      <c r="AF2297" t="s">
        <v>43</v>
      </c>
      <c r="AG2297" t="s">
        <v>43</v>
      </c>
      <c r="AH2297" t="s">
        <v>43</v>
      </c>
      <c r="AI2297" t="s">
        <v>43</v>
      </c>
      <c r="AJ2297" t="s">
        <v>43</v>
      </c>
      <c r="AK2297" t="s">
        <v>43</v>
      </c>
      <c r="AL2297" t="s">
        <v>43</v>
      </c>
      <c r="AM2297" t="s">
        <v>43</v>
      </c>
      <c r="AN2297" t="str">
        <f>HYPERLINK("https://www.google.com/maps?q=10.89633846,79.10429382","Open Location")</f>
        <v>Open Location</v>
      </c>
    </row>
    <row r="2298" spans="1:40" x14ac:dyDescent="0.3">
      <c r="A2298" s="1">
        <v>46210.733796296299</v>
      </c>
      <c r="B2298" t="s">
        <v>40</v>
      </c>
      <c r="C2298" t="s">
        <v>41</v>
      </c>
      <c r="D2298" s="1">
        <v>46210.736585648148</v>
      </c>
      <c r="E2298" t="s">
        <v>42</v>
      </c>
      <c r="F2298" t="s">
        <v>43</v>
      </c>
      <c r="G2298" t="s">
        <v>43</v>
      </c>
      <c r="H2298" t="s">
        <v>43</v>
      </c>
      <c r="I2298" t="s">
        <v>1162</v>
      </c>
      <c r="J2298" t="s">
        <v>43</v>
      </c>
      <c r="K2298" t="s">
        <v>43</v>
      </c>
      <c r="L2298" t="s">
        <v>43</v>
      </c>
      <c r="M2298" t="s">
        <v>43</v>
      </c>
      <c r="N2298" t="s">
        <v>45</v>
      </c>
      <c r="O2298" t="s">
        <v>43</v>
      </c>
      <c r="P2298" t="s">
        <v>43</v>
      </c>
      <c r="Q2298" t="s">
        <v>43</v>
      </c>
      <c r="R2298" t="s">
        <v>43</v>
      </c>
      <c r="S2298" t="s">
        <v>43</v>
      </c>
      <c r="T2298" t="s">
        <v>43</v>
      </c>
      <c r="U2298" t="s">
        <v>43</v>
      </c>
      <c r="V2298" t="s">
        <v>43</v>
      </c>
      <c r="W2298" t="s">
        <v>43</v>
      </c>
      <c r="X2298" t="s">
        <v>43</v>
      </c>
      <c r="Y2298" t="s">
        <v>43</v>
      </c>
      <c r="Z2298" t="s">
        <v>43</v>
      </c>
      <c r="AA2298" t="s">
        <v>43</v>
      </c>
      <c r="AB2298" t="s">
        <v>43</v>
      </c>
      <c r="AC2298" t="s">
        <v>43</v>
      </c>
      <c r="AD2298" t="s">
        <v>43</v>
      </c>
      <c r="AE2298" t="s">
        <v>43</v>
      </c>
      <c r="AF2298" t="s">
        <v>43</v>
      </c>
      <c r="AG2298" t="s">
        <v>43</v>
      </c>
      <c r="AH2298" t="s">
        <v>43</v>
      </c>
      <c r="AI2298" t="s">
        <v>43</v>
      </c>
      <c r="AJ2298" t="s">
        <v>43</v>
      </c>
      <c r="AK2298" t="s">
        <v>43</v>
      </c>
      <c r="AL2298" t="s">
        <v>43</v>
      </c>
      <c r="AM2298" t="s">
        <v>43</v>
      </c>
      <c r="AN2298" t="str">
        <f>HYPERLINK("https://www.google.com/maps?q=10.89634132,79.10429382","Open Location")</f>
        <v>Open Location</v>
      </c>
    </row>
    <row r="2299" spans="1:40" x14ac:dyDescent="0.3">
      <c r="A2299" s="1">
        <v>46210.733680555553</v>
      </c>
      <c r="B2299" t="s">
        <v>40</v>
      </c>
      <c r="C2299" t="s">
        <v>41</v>
      </c>
      <c r="D2299" s="1">
        <v>46210.736585648148</v>
      </c>
      <c r="E2299" t="s">
        <v>42</v>
      </c>
      <c r="F2299" t="s">
        <v>43</v>
      </c>
      <c r="G2299" t="s">
        <v>43</v>
      </c>
      <c r="H2299" t="s">
        <v>43</v>
      </c>
      <c r="I2299" t="s">
        <v>43</v>
      </c>
      <c r="J2299" t="s">
        <v>43</v>
      </c>
      <c r="K2299" t="s">
        <v>43</v>
      </c>
      <c r="L2299" t="s">
        <v>43</v>
      </c>
      <c r="M2299" t="s">
        <v>43</v>
      </c>
      <c r="N2299" t="s">
        <v>45</v>
      </c>
      <c r="O2299" t="s">
        <v>43</v>
      </c>
      <c r="P2299" t="s">
        <v>43</v>
      </c>
      <c r="Q2299" t="s">
        <v>43</v>
      </c>
      <c r="R2299" t="s">
        <v>43</v>
      </c>
      <c r="S2299" t="s">
        <v>43</v>
      </c>
      <c r="T2299" t="s">
        <v>43</v>
      </c>
      <c r="U2299" t="s">
        <v>43</v>
      </c>
      <c r="V2299" t="s">
        <v>43</v>
      </c>
      <c r="W2299" t="s">
        <v>43</v>
      </c>
      <c r="X2299" t="s">
        <v>43</v>
      </c>
      <c r="Y2299" t="s">
        <v>43</v>
      </c>
      <c r="Z2299" t="s">
        <v>43</v>
      </c>
      <c r="AA2299" t="s">
        <v>43</v>
      </c>
      <c r="AB2299" t="s">
        <v>43</v>
      </c>
      <c r="AC2299" t="s">
        <v>43</v>
      </c>
      <c r="AD2299" t="s">
        <v>43</v>
      </c>
      <c r="AE2299" t="s">
        <v>43</v>
      </c>
      <c r="AF2299" t="s">
        <v>43</v>
      </c>
      <c r="AG2299" t="s">
        <v>43</v>
      </c>
      <c r="AH2299" t="s">
        <v>43</v>
      </c>
      <c r="AI2299" t="s">
        <v>43</v>
      </c>
      <c r="AJ2299" t="s">
        <v>43</v>
      </c>
      <c r="AK2299" t="s">
        <v>43</v>
      </c>
      <c r="AL2299" t="s">
        <v>43</v>
      </c>
      <c r="AM2299" t="s">
        <v>43</v>
      </c>
      <c r="AN2299" t="s">
        <v>43</v>
      </c>
    </row>
    <row r="2300" spans="1:40" x14ac:dyDescent="0.3">
      <c r="A2300" s="1">
        <v>46210.733564814815</v>
      </c>
      <c r="B2300" t="s">
        <v>40</v>
      </c>
      <c r="C2300" t="s">
        <v>41</v>
      </c>
      <c r="D2300" s="1">
        <v>46210.73641203704</v>
      </c>
      <c r="E2300" t="s">
        <v>42</v>
      </c>
      <c r="F2300" t="s">
        <v>43</v>
      </c>
      <c r="G2300" t="s">
        <v>43</v>
      </c>
      <c r="H2300" t="s">
        <v>43</v>
      </c>
      <c r="I2300" t="s">
        <v>1163</v>
      </c>
      <c r="J2300" t="s">
        <v>43</v>
      </c>
      <c r="K2300" t="s">
        <v>43</v>
      </c>
      <c r="L2300" t="s">
        <v>43</v>
      </c>
      <c r="M2300" t="s">
        <v>43</v>
      </c>
      <c r="N2300" t="s">
        <v>45</v>
      </c>
      <c r="O2300" t="s">
        <v>43</v>
      </c>
      <c r="P2300" t="s">
        <v>43</v>
      </c>
      <c r="Q2300" t="s">
        <v>43</v>
      </c>
      <c r="R2300" t="s">
        <v>43</v>
      </c>
      <c r="S2300" t="s">
        <v>43</v>
      </c>
      <c r="T2300" t="s">
        <v>43</v>
      </c>
      <c r="U2300" t="s">
        <v>43</v>
      </c>
      <c r="V2300" t="s">
        <v>43</v>
      </c>
      <c r="W2300" t="s">
        <v>43</v>
      </c>
      <c r="X2300" t="s">
        <v>43</v>
      </c>
      <c r="Y2300" t="s">
        <v>43</v>
      </c>
      <c r="Z2300" t="s">
        <v>43</v>
      </c>
      <c r="AA2300" t="s">
        <v>43</v>
      </c>
      <c r="AB2300" t="s">
        <v>43</v>
      </c>
      <c r="AC2300" t="s">
        <v>43</v>
      </c>
      <c r="AD2300" t="s">
        <v>43</v>
      </c>
      <c r="AE2300" t="s">
        <v>43</v>
      </c>
      <c r="AF2300" t="s">
        <v>43</v>
      </c>
      <c r="AG2300" t="s">
        <v>43</v>
      </c>
      <c r="AH2300" t="s">
        <v>43</v>
      </c>
      <c r="AI2300" t="s">
        <v>43</v>
      </c>
      <c r="AJ2300" t="s">
        <v>43</v>
      </c>
      <c r="AK2300" t="s">
        <v>43</v>
      </c>
      <c r="AL2300" t="s">
        <v>43</v>
      </c>
      <c r="AM2300" t="s">
        <v>43</v>
      </c>
      <c r="AN2300" t="str">
        <f>HYPERLINK("https://www.google.com/maps?q=10.89634323,79.10429382","Open Location")</f>
        <v>Open Location</v>
      </c>
    </row>
    <row r="2301" spans="1:40" x14ac:dyDescent="0.3">
      <c r="A2301" s="1">
        <v>46210.733449074076</v>
      </c>
      <c r="B2301" t="s">
        <v>40</v>
      </c>
      <c r="C2301" t="s">
        <v>41</v>
      </c>
      <c r="D2301" s="1">
        <v>46210.736435185187</v>
      </c>
      <c r="E2301" t="s">
        <v>42</v>
      </c>
      <c r="F2301" t="s">
        <v>43</v>
      </c>
      <c r="G2301" t="s">
        <v>43</v>
      </c>
      <c r="H2301" t="s">
        <v>43</v>
      </c>
      <c r="I2301" t="s">
        <v>1164</v>
      </c>
      <c r="J2301" t="s">
        <v>43</v>
      </c>
      <c r="K2301" t="s">
        <v>43</v>
      </c>
      <c r="L2301" t="s">
        <v>43</v>
      </c>
      <c r="M2301" t="s">
        <v>43</v>
      </c>
      <c r="N2301" t="s">
        <v>45</v>
      </c>
      <c r="O2301" t="s">
        <v>43</v>
      </c>
      <c r="P2301" t="s">
        <v>43</v>
      </c>
      <c r="Q2301" t="s">
        <v>43</v>
      </c>
      <c r="R2301" t="s">
        <v>43</v>
      </c>
      <c r="S2301" t="s">
        <v>43</v>
      </c>
      <c r="T2301" t="s">
        <v>43</v>
      </c>
      <c r="U2301" t="s">
        <v>43</v>
      </c>
      <c r="V2301" t="s">
        <v>43</v>
      </c>
      <c r="W2301" t="s">
        <v>43</v>
      </c>
      <c r="X2301" t="s">
        <v>43</v>
      </c>
      <c r="Y2301" t="s">
        <v>43</v>
      </c>
      <c r="Z2301" t="s">
        <v>43</v>
      </c>
      <c r="AA2301" t="s">
        <v>43</v>
      </c>
      <c r="AB2301" t="s">
        <v>43</v>
      </c>
      <c r="AC2301" t="s">
        <v>43</v>
      </c>
      <c r="AD2301" t="s">
        <v>43</v>
      </c>
      <c r="AE2301" t="s">
        <v>43</v>
      </c>
      <c r="AF2301" t="s">
        <v>43</v>
      </c>
      <c r="AG2301" t="s">
        <v>43</v>
      </c>
      <c r="AH2301" t="s">
        <v>43</v>
      </c>
      <c r="AI2301" t="s">
        <v>43</v>
      </c>
      <c r="AJ2301" t="s">
        <v>43</v>
      </c>
      <c r="AK2301" t="s">
        <v>43</v>
      </c>
      <c r="AL2301" t="s">
        <v>43</v>
      </c>
      <c r="AM2301" t="s">
        <v>43</v>
      </c>
      <c r="AN2301" t="str">
        <f>HYPERLINK("https://www.google.com/maps?q=10.89633942,79.10429382","Open Location")</f>
        <v>Open Location</v>
      </c>
    </row>
    <row r="2302" spans="1:40" x14ac:dyDescent="0.3">
      <c r="A2302" s="1">
        <v>46210.73333333333</v>
      </c>
      <c r="B2302" t="s">
        <v>40</v>
      </c>
      <c r="C2302" t="s">
        <v>41</v>
      </c>
      <c r="D2302" s="1">
        <v>46210.736215277779</v>
      </c>
      <c r="E2302" t="s">
        <v>42</v>
      </c>
      <c r="F2302" t="s">
        <v>43</v>
      </c>
      <c r="G2302" t="s">
        <v>43</v>
      </c>
      <c r="H2302" t="s">
        <v>43</v>
      </c>
      <c r="I2302" t="s">
        <v>1165</v>
      </c>
      <c r="J2302" t="s">
        <v>43</v>
      </c>
      <c r="K2302" t="s">
        <v>43</v>
      </c>
      <c r="L2302" t="s">
        <v>43</v>
      </c>
      <c r="M2302" t="s">
        <v>43</v>
      </c>
      <c r="N2302" t="s">
        <v>45</v>
      </c>
      <c r="O2302" t="s">
        <v>43</v>
      </c>
      <c r="P2302" t="s">
        <v>43</v>
      </c>
      <c r="Q2302" t="s">
        <v>43</v>
      </c>
      <c r="R2302" t="s">
        <v>43</v>
      </c>
      <c r="S2302" t="s">
        <v>43</v>
      </c>
      <c r="T2302" t="s">
        <v>43</v>
      </c>
      <c r="U2302" t="s">
        <v>43</v>
      </c>
      <c r="V2302" t="s">
        <v>43</v>
      </c>
      <c r="W2302" t="s">
        <v>43</v>
      </c>
      <c r="X2302" t="s">
        <v>43</v>
      </c>
      <c r="Y2302" t="s">
        <v>43</v>
      </c>
      <c r="Z2302" t="s">
        <v>43</v>
      </c>
      <c r="AA2302" t="s">
        <v>43</v>
      </c>
      <c r="AB2302" t="s">
        <v>43</v>
      </c>
      <c r="AC2302" t="s">
        <v>43</v>
      </c>
      <c r="AD2302" t="s">
        <v>43</v>
      </c>
      <c r="AE2302" t="s">
        <v>43</v>
      </c>
      <c r="AF2302" t="s">
        <v>43</v>
      </c>
      <c r="AG2302" t="s">
        <v>43</v>
      </c>
      <c r="AH2302" t="s">
        <v>43</v>
      </c>
      <c r="AI2302" t="s">
        <v>43</v>
      </c>
      <c r="AJ2302" t="s">
        <v>43</v>
      </c>
      <c r="AK2302" t="s">
        <v>43</v>
      </c>
      <c r="AL2302" t="s">
        <v>43</v>
      </c>
      <c r="AM2302" t="s">
        <v>43</v>
      </c>
      <c r="AN2302" t="str">
        <f>HYPERLINK("https://www.google.com/maps?q=10.89633369,79.10429382","Open Location")</f>
        <v>Open Location</v>
      </c>
    </row>
    <row r="2303" spans="1:40" x14ac:dyDescent="0.3">
      <c r="A2303" s="1">
        <v>46210.733217592591</v>
      </c>
      <c r="B2303" t="s">
        <v>40</v>
      </c>
      <c r="C2303" t="s">
        <v>41</v>
      </c>
      <c r="D2303" s="1">
        <v>46210.736597222225</v>
      </c>
      <c r="E2303" t="s">
        <v>42</v>
      </c>
      <c r="F2303" t="s">
        <v>43</v>
      </c>
      <c r="G2303" t="s">
        <v>43</v>
      </c>
      <c r="H2303" t="s">
        <v>43</v>
      </c>
      <c r="I2303" t="s">
        <v>1155</v>
      </c>
      <c r="J2303" t="s">
        <v>43</v>
      </c>
      <c r="K2303" t="s">
        <v>43</v>
      </c>
      <c r="L2303" t="s">
        <v>43</v>
      </c>
      <c r="M2303" t="s">
        <v>43</v>
      </c>
      <c r="N2303" t="s">
        <v>45</v>
      </c>
      <c r="O2303" t="s">
        <v>43</v>
      </c>
      <c r="P2303" t="s">
        <v>43</v>
      </c>
      <c r="Q2303" t="s">
        <v>43</v>
      </c>
      <c r="R2303" t="s">
        <v>43</v>
      </c>
      <c r="S2303" t="s">
        <v>43</v>
      </c>
      <c r="T2303" t="s">
        <v>43</v>
      </c>
      <c r="U2303" t="s">
        <v>43</v>
      </c>
      <c r="V2303" t="s">
        <v>43</v>
      </c>
      <c r="W2303" t="s">
        <v>43</v>
      </c>
      <c r="X2303" t="s">
        <v>43</v>
      </c>
      <c r="Y2303" t="s">
        <v>43</v>
      </c>
      <c r="Z2303" t="s">
        <v>43</v>
      </c>
      <c r="AA2303" t="s">
        <v>43</v>
      </c>
      <c r="AB2303" t="s">
        <v>43</v>
      </c>
      <c r="AC2303" t="s">
        <v>43</v>
      </c>
      <c r="AD2303" t="s">
        <v>43</v>
      </c>
      <c r="AE2303" t="s">
        <v>43</v>
      </c>
      <c r="AF2303" t="s">
        <v>43</v>
      </c>
      <c r="AG2303" t="s">
        <v>43</v>
      </c>
      <c r="AH2303" t="s">
        <v>43</v>
      </c>
      <c r="AI2303" t="s">
        <v>43</v>
      </c>
      <c r="AJ2303" t="s">
        <v>43</v>
      </c>
      <c r="AK2303" t="s">
        <v>43</v>
      </c>
      <c r="AL2303" t="s">
        <v>43</v>
      </c>
      <c r="AM2303" t="s">
        <v>43</v>
      </c>
      <c r="AN2303" t="str">
        <f>HYPERLINK("https://www.google.com/maps?q=10.89633274,79.10429382","Open Location")</f>
        <v>Open Location</v>
      </c>
    </row>
    <row r="2304" spans="1:40" x14ac:dyDescent="0.3">
      <c r="A2304" s="1">
        <v>46210.733101851853</v>
      </c>
      <c r="B2304" t="s">
        <v>40</v>
      </c>
      <c r="C2304" t="s">
        <v>41</v>
      </c>
      <c r="D2304" s="1">
        <v>46210.736087962963</v>
      </c>
      <c r="E2304" t="s">
        <v>42</v>
      </c>
      <c r="F2304" t="s">
        <v>43</v>
      </c>
      <c r="G2304" t="s">
        <v>43</v>
      </c>
      <c r="H2304" t="s">
        <v>43</v>
      </c>
      <c r="I2304" t="s">
        <v>1155</v>
      </c>
      <c r="J2304" t="s">
        <v>43</v>
      </c>
      <c r="K2304" t="s">
        <v>43</v>
      </c>
      <c r="L2304" t="s">
        <v>43</v>
      </c>
      <c r="M2304" t="s">
        <v>43</v>
      </c>
      <c r="N2304" t="s">
        <v>45</v>
      </c>
      <c r="O2304" t="s">
        <v>43</v>
      </c>
      <c r="P2304" t="s">
        <v>43</v>
      </c>
      <c r="Q2304" t="s">
        <v>43</v>
      </c>
      <c r="R2304" t="s">
        <v>43</v>
      </c>
      <c r="S2304" t="s">
        <v>43</v>
      </c>
      <c r="T2304" t="s">
        <v>43</v>
      </c>
      <c r="U2304" t="s">
        <v>43</v>
      </c>
      <c r="V2304" t="s">
        <v>43</v>
      </c>
      <c r="W2304" t="s">
        <v>43</v>
      </c>
      <c r="X2304" t="s">
        <v>43</v>
      </c>
      <c r="Y2304" t="s">
        <v>43</v>
      </c>
      <c r="Z2304" t="s">
        <v>43</v>
      </c>
      <c r="AA2304" t="s">
        <v>43</v>
      </c>
      <c r="AB2304" t="s">
        <v>43</v>
      </c>
      <c r="AC2304" t="s">
        <v>43</v>
      </c>
      <c r="AD2304" t="s">
        <v>43</v>
      </c>
      <c r="AE2304" t="s">
        <v>43</v>
      </c>
      <c r="AF2304" t="s">
        <v>43</v>
      </c>
      <c r="AG2304" t="s">
        <v>43</v>
      </c>
      <c r="AH2304" t="s">
        <v>43</v>
      </c>
      <c r="AI2304" t="s">
        <v>43</v>
      </c>
      <c r="AJ2304" t="s">
        <v>43</v>
      </c>
      <c r="AK2304" t="s">
        <v>43</v>
      </c>
      <c r="AL2304" t="s">
        <v>43</v>
      </c>
      <c r="AM2304" t="s">
        <v>43</v>
      </c>
      <c r="AN2304" t="str">
        <f>HYPERLINK("https://www.google.com/maps?q=10.89633274,79.10429382","Open Location")</f>
        <v>Open Location</v>
      </c>
    </row>
    <row r="2305" spans="1:40" x14ac:dyDescent="0.3">
      <c r="A2305" s="1">
        <v>46210.732986111114</v>
      </c>
      <c r="B2305" t="s">
        <v>40</v>
      </c>
      <c r="C2305" t="s">
        <v>41</v>
      </c>
      <c r="D2305" s="1">
        <v>46210.73605324074</v>
      </c>
      <c r="E2305" t="s">
        <v>42</v>
      </c>
      <c r="F2305" t="s">
        <v>43</v>
      </c>
      <c r="G2305" t="s">
        <v>43</v>
      </c>
      <c r="H2305" t="s">
        <v>43</v>
      </c>
      <c r="I2305" t="s">
        <v>43</v>
      </c>
      <c r="J2305" t="s">
        <v>43</v>
      </c>
      <c r="K2305" t="s">
        <v>43</v>
      </c>
      <c r="L2305" t="s">
        <v>43</v>
      </c>
      <c r="M2305" t="s">
        <v>43</v>
      </c>
      <c r="N2305" t="s">
        <v>45</v>
      </c>
      <c r="O2305" t="s">
        <v>43</v>
      </c>
      <c r="P2305" t="s">
        <v>43</v>
      </c>
      <c r="Q2305" t="s">
        <v>43</v>
      </c>
      <c r="R2305" t="s">
        <v>43</v>
      </c>
      <c r="S2305" t="s">
        <v>43</v>
      </c>
      <c r="T2305" t="s">
        <v>43</v>
      </c>
      <c r="U2305" t="s">
        <v>43</v>
      </c>
      <c r="V2305" t="s">
        <v>43</v>
      </c>
      <c r="W2305" t="s">
        <v>43</v>
      </c>
      <c r="X2305" t="s">
        <v>43</v>
      </c>
      <c r="Y2305" t="s">
        <v>43</v>
      </c>
      <c r="Z2305" t="s">
        <v>43</v>
      </c>
      <c r="AA2305" t="s">
        <v>43</v>
      </c>
      <c r="AB2305" t="s">
        <v>43</v>
      </c>
      <c r="AC2305" t="s">
        <v>43</v>
      </c>
      <c r="AD2305" t="s">
        <v>43</v>
      </c>
      <c r="AE2305" t="s">
        <v>43</v>
      </c>
      <c r="AF2305" t="s">
        <v>43</v>
      </c>
      <c r="AG2305" t="s">
        <v>43</v>
      </c>
      <c r="AH2305" t="s">
        <v>43</v>
      </c>
      <c r="AI2305" t="s">
        <v>43</v>
      </c>
      <c r="AJ2305" t="s">
        <v>43</v>
      </c>
      <c r="AK2305" t="s">
        <v>43</v>
      </c>
      <c r="AL2305" t="s">
        <v>43</v>
      </c>
      <c r="AM2305" t="s">
        <v>43</v>
      </c>
      <c r="AN2305" t="s">
        <v>43</v>
      </c>
    </row>
    <row r="2306" spans="1:40" x14ac:dyDescent="0.3">
      <c r="A2306" s="1">
        <v>46210.732870370368</v>
      </c>
      <c r="B2306" t="s">
        <v>40</v>
      </c>
      <c r="C2306" t="s">
        <v>41</v>
      </c>
      <c r="D2306" s="1">
        <v>46210.736030092594</v>
      </c>
      <c r="E2306" t="s">
        <v>42</v>
      </c>
      <c r="F2306" t="s">
        <v>43</v>
      </c>
      <c r="G2306" t="s">
        <v>43</v>
      </c>
      <c r="H2306" t="s">
        <v>43</v>
      </c>
      <c r="I2306" t="s">
        <v>1156</v>
      </c>
      <c r="J2306" t="s">
        <v>43</v>
      </c>
      <c r="K2306" t="s">
        <v>43</v>
      </c>
      <c r="L2306" t="s">
        <v>43</v>
      </c>
      <c r="M2306" t="s">
        <v>43</v>
      </c>
      <c r="N2306" t="s">
        <v>45</v>
      </c>
      <c r="O2306" t="s">
        <v>43</v>
      </c>
      <c r="P2306" t="s">
        <v>43</v>
      </c>
      <c r="Q2306" t="s">
        <v>43</v>
      </c>
      <c r="R2306" t="s">
        <v>43</v>
      </c>
      <c r="S2306" t="s">
        <v>43</v>
      </c>
      <c r="T2306" t="s">
        <v>43</v>
      </c>
      <c r="U2306" t="s">
        <v>43</v>
      </c>
      <c r="V2306" t="s">
        <v>43</v>
      </c>
      <c r="W2306" t="s">
        <v>43</v>
      </c>
      <c r="X2306" t="s">
        <v>43</v>
      </c>
      <c r="Y2306" t="s">
        <v>43</v>
      </c>
      <c r="Z2306" t="s">
        <v>43</v>
      </c>
      <c r="AA2306" t="s">
        <v>43</v>
      </c>
      <c r="AB2306" t="s">
        <v>43</v>
      </c>
      <c r="AC2306" t="s">
        <v>43</v>
      </c>
      <c r="AD2306" t="s">
        <v>43</v>
      </c>
      <c r="AE2306" t="s">
        <v>43</v>
      </c>
      <c r="AF2306" t="s">
        <v>43</v>
      </c>
      <c r="AG2306" t="s">
        <v>43</v>
      </c>
      <c r="AH2306" t="s">
        <v>43</v>
      </c>
      <c r="AI2306" t="s">
        <v>43</v>
      </c>
      <c r="AJ2306" t="s">
        <v>43</v>
      </c>
      <c r="AK2306" t="s">
        <v>43</v>
      </c>
      <c r="AL2306" t="s">
        <v>43</v>
      </c>
      <c r="AM2306" t="s">
        <v>43</v>
      </c>
      <c r="AN2306" t="str">
        <f>HYPERLINK("https://www.google.com/maps?q=10.8963356,79.10429382","Open Location")</f>
        <v>Open Location</v>
      </c>
    </row>
    <row r="2307" spans="1:40" x14ac:dyDescent="0.3">
      <c r="A2307" s="1">
        <v>46210.732754629629</v>
      </c>
      <c r="B2307" t="s">
        <v>40</v>
      </c>
      <c r="C2307" t="s">
        <v>41</v>
      </c>
      <c r="D2307" s="1">
        <v>46210.73609953704</v>
      </c>
      <c r="E2307" t="s">
        <v>42</v>
      </c>
      <c r="F2307" t="s">
        <v>43</v>
      </c>
      <c r="G2307" t="s">
        <v>43</v>
      </c>
      <c r="H2307" t="s">
        <v>43</v>
      </c>
      <c r="I2307" t="s">
        <v>1155</v>
      </c>
      <c r="J2307" t="s">
        <v>43</v>
      </c>
      <c r="K2307" t="s">
        <v>43</v>
      </c>
      <c r="L2307" t="s">
        <v>43</v>
      </c>
      <c r="M2307" t="s">
        <v>43</v>
      </c>
      <c r="N2307" t="s">
        <v>45</v>
      </c>
      <c r="O2307" t="s">
        <v>43</v>
      </c>
      <c r="P2307" t="s">
        <v>43</v>
      </c>
      <c r="Q2307" t="s">
        <v>43</v>
      </c>
      <c r="R2307" t="s">
        <v>43</v>
      </c>
      <c r="S2307" t="s">
        <v>43</v>
      </c>
      <c r="T2307" t="s">
        <v>43</v>
      </c>
      <c r="U2307" t="s">
        <v>43</v>
      </c>
      <c r="V2307" t="s">
        <v>43</v>
      </c>
      <c r="W2307" t="s">
        <v>43</v>
      </c>
      <c r="X2307" t="s">
        <v>43</v>
      </c>
      <c r="Y2307" t="s">
        <v>43</v>
      </c>
      <c r="Z2307" t="s">
        <v>43</v>
      </c>
      <c r="AA2307" t="s">
        <v>43</v>
      </c>
      <c r="AB2307" t="s">
        <v>43</v>
      </c>
      <c r="AC2307" t="s">
        <v>43</v>
      </c>
      <c r="AD2307" t="s">
        <v>43</v>
      </c>
      <c r="AE2307" t="s">
        <v>43</v>
      </c>
      <c r="AF2307" t="s">
        <v>43</v>
      </c>
      <c r="AG2307" t="s">
        <v>43</v>
      </c>
      <c r="AH2307" t="s">
        <v>43</v>
      </c>
      <c r="AI2307" t="s">
        <v>43</v>
      </c>
      <c r="AJ2307" t="s">
        <v>43</v>
      </c>
      <c r="AK2307" t="s">
        <v>43</v>
      </c>
      <c r="AL2307" t="s">
        <v>43</v>
      </c>
      <c r="AM2307" t="s">
        <v>43</v>
      </c>
      <c r="AN2307" t="str">
        <f>HYPERLINK("https://www.google.com/maps?q=10.89633274,79.10429382","Open Location")</f>
        <v>Open Location</v>
      </c>
    </row>
    <row r="2308" spans="1:40" x14ac:dyDescent="0.3">
      <c r="A2308" s="1">
        <v>46210.732638888891</v>
      </c>
      <c r="B2308" t="s">
        <v>40</v>
      </c>
      <c r="C2308" t="s">
        <v>41</v>
      </c>
      <c r="D2308" s="1">
        <v>46210.735729166663</v>
      </c>
      <c r="E2308" t="s">
        <v>42</v>
      </c>
      <c r="F2308" t="s">
        <v>43</v>
      </c>
      <c r="G2308" t="s">
        <v>43</v>
      </c>
      <c r="H2308" t="s">
        <v>43</v>
      </c>
      <c r="I2308" t="s">
        <v>1166</v>
      </c>
      <c r="J2308" t="s">
        <v>43</v>
      </c>
      <c r="K2308" t="s">
        <v>43</v>
      </c>
      <c r="L2308" t="s">
        <v>43</v>
      </c>
      <c r="M2308" t="s">
        <v>43</v>
      </c>
      <c r="N2308" t="s">
        <v>45</v>
      </c>
      <c r="O2308" t="s">
        <v>43</v>
      </c>
      <c r="P2308" t="s">
        <v>43</v>
      </c>
      <c r="Q2308" t="s">
        <v>43</v>
      </c>
      <c r="R2308" t="s">
        <v>43</v>
      </c>
      <c r="S2308" t="s">
        <v>43</v>
      </c>
      <c r="T2308" t="s">
        <v>43</v>
      </c>
      <c r="U2308" t="s">
        <v>43</v>
      </c>
      <c r="V2308" t="s">
        <v>43</v>
      </c>
      <c r="W2308" t="s">
        <v>43</v>
      </c>
      <c r="X2308" t="s">
        <v>43</v>
      </c>
      <c r="Y2308" t="s">
        <v>43</v>
      </c>
      <c r="Z2308" t="s">
        <v>43</v>
      </c>
      <c r="AA2308" t="s">
        <v>43</v>
      </c>
      <c r="AB2308" t="s">
        <v>43</v>
      </c>
      <c r="AC2308" t="s">
        <v>43</v>
      </c>
      <c r="AD2308" t="s">
        <v>43</v>
      </c>
      <c r="AE2308" t="s">
        <v>43</v>
      </c>
      <c r="AF2308" t="s">
        <v>43</v>
      </c>
      <c r="AG2308" t="s">
        <v>43</v>
      </c>
      <c r="AH2308" t="s">
        <v>43</v>
      </c>
      <c r="AI2308" t="s">
        <v>43</v>
      </c>
      <c r="AJ2308" t="s">
        <v>43</v>
      </c>
      <c r="AK2308" t="s">
        <v>43</v>
      </c>
      <c r="AL2308" t="s">
        <v>43</v>
      </c>
      <c r="AM2308" t="s">
        <v>43</v>
      </c>
      <c r="AN2308" t="str">
        <f>HYPERLINK("https://www.google.com/maps?q=10.89632893,79.10429382","Open Location")</f>
        <v>Open Location</v>
      </c>
    </row>
    <row r="2309" spans="1:40" x14ac:dyDescent="0.3">
      <c r="A2309" s="1">
        <v>46210.732523148145</v>
      </c>
      <c r="B2309" t="s">
        <v>40</v>
      </c>
      <c r="C2309" t="s">
        <v>41</v>
      </c>
      <c r="D2309" s="1">
        <v>46210.735810185186</v>
      </c>
      <c r="E2309" t="s">
        <v>42</v>
      </c>
      <c r="F2309" t="s">
        <v>43</v>
      </c>
      <c r="G2309" t="s">
        <v>43</v>
      </c>
      <c r="H2309" t="s">
        <v>43</v>
      </c>
      <c r="I2309" t="s">
        <v>1167</v>
      </c>
      <c r="J2309" t="s">
        <v>43</v>
      </c>
      <c r="K2309" t="s">
        <v>43</v>
      </c>
      <c r="L2309" t="s">
        <v>43</v>
      </c>
      <c r="M2309" t="s">
        <v>43</v>
      </c>
      <c r="N2309" t="s">
        <v>45</v>
      </c>
      <c r="O2309" t="s">
        <v>43</v>
      </c>
      <c r="P2309" t="s">
        <v>43</v>
      </c>
      <c r="Q2309" t="s">
        <v>43</v>
      </c>
      <c r="R2309" t="s">
        <v>43</v>
      </c>
      <c r="S2309" t="s">
        <v>43</v>
      </c>
      <c r="T2309" t="s">
        <v>43</v>
      </c>
      <c r="U2309" t="s">
        <v>43</v>
      </c>
      <c r="V2309" t="s">
        <v>43</v>
      </c>
      <c r="W2309" t="s">
        <v>43</v>
      </c>
      <c r="X2309" t="s">
        <v>43</v>
      </c>
      <c r="Y2309" t="s">
        <v>43</v>
      </c>
      <c r="Z2309" t="s">
        <v>43</v>
      </c>
      <c r="AA2309" t="s">
        <v>43</v>
      </c>
      <c r="AB2309" t="s">
        <v>43</v>
      </c>
      <c r="AC2309" t="s">
        <v>43</v>
      </c>
      <c r="AD2309" t="s">
        <v>43</v>
      </c>
      <c r="AE2309" t="s">
        <v>43</v>
      </c>
      <c r="AF2309" t="s">
        <v>43</v>
      </c>
      <c r="AG2309" t="s">
        <v>43</v>
      </c>
      <c r="AH2309" t="s">
        <v>43</v>
      </c>
      <c r="AI2309" t="s">
        <v>43</v>
      </c>
      <c r="AJ2309" t="s">
        <v>43</v>
      </c>
      <c r="AK2309" t="s">
        <v>43</v>
      </c>
      <c r="AL2309" t="s">
        <v>43</v>
      </c>
      <c r="AM2309" t="s">
        <v>43</v>
      </c>
      <c r="AN2309" t="str">
        <f>HYPERLINK("https://www.google.com/maps?q=10.89632511,79.10428619","Open Location")</f>
        <v>Open Location</v>
      </c>
    </row>
    <row r="2310" spans="1:40" x14ac:dyDescent="0.3">
      <c r="A2310" s="1">
        <v>46210.732407407406</v>
      </c>
      <c r="B2310" t="s">
        <v>40</v>
      </c>
      <c r="C2310" t="s">
        <v>41</v>
      </c>
      <c r="D2310" s="1">
        <v>46210.735671296294</v>
      </c>
      <c r="E2310" t="s">
        <v>42</v>
      </c>
      <c r="F2310" t="s">
        <v>43</v>
      </c>
      <c r="G2310" t="s">
        <v>43</v>
      </c>
      <c r="H2310" t="s">
        <v>43</v>
      </c>
      <c r="I2310" t="s">
        <v>1124</v>
      </c>
      <c r="J2310" t="s">
        <v>43</v>
      </c>
      <c r="K2310" t="s">
        <v>43</v>
      </c>
      <c r="L2310" t="s">
        <v>43</v>
      </c>
      <c r="M2310" t="s">
        <v>43</v>
      </c>
      <c r="N2310" t="s">
        <v>45</v>
      </c>
      <c r="O2310" t="s">
        <v>43</v>
      </c>
      <c r="P2310" t="s">
        <v>43</v>
      </c>
      <c r="Q2310" t="s">
        <v>43</v>
      </c>
      <c r="R2310" t="s">
        <v>43</v>
      </c>
      <c r="S2310" t="s">
        <v>43</v>
      </c>
      <c r="T2310" t="s">
        <v>43</v>
      </c>
      <c r="U2310" t="s">
        <v>43</v>
      </c>
      <c r="V2310" t="s">
        <v>43</v>
      </c>
      <c r="W2310" t="s">
        <v>43</v>
      </c>
      <c r="X2310" t="s">
        <v>43</v>
      </c>
      <c r="Y2310" t="s">
        <v>43</v>
      </c>
      <c r="Z2310" t="s">
        <v>43</v>
      </c>
      <c r="AA2310" t="s">
        <v>43</v>
      </c>
      <c r="AB2310" t="s">
        <v>43</v>
      </c>
      <c r="AC2310" t="s">
        <v>43</v>
      </c>
      <c r="AD2310" t="s">
        <v>43</v>
      </c>
      <c r="AE2310" t="s">
        <v>43</v>
      </c>
      <c r="AF2310" t="s">
        <v>43</v>
      </c>
      <c r="AG2310" t="s">
        <v>43</v>
      </c>
      <c r="AH2310" t="s">
        <v>43</v>
      </c>
      <c r="AI2310" t="s">
        <v>43</v>
      </c>
      <c r="AJ2310" t="s">
        <v>43</v>
      </c>
      <c r="AK2310" t="s">
        <v>43</v>
      </c>
      <c r="AL2310" t="s">
        <v>43</v>
      </c>
      <c r="AM2310" t="s">
        <v>43</v>
      </c>
      <c r="AN2310" t="str">
        <f>HYPERLINK("https://www.google.com/maps?q=10.89632702,79.10428619","Open Location")</f>
        <v>Open Location</v>
      </c>
    </row>
    <row r="2311" spans="1:40" x14ac:dyDescent="0.3">
      <c r="A2311" s="1">
        <v>46210.732291666667</v>
      </c>
      <c r="B2311" t="s">
        <v>40</v>
      </c>
      <c r="C2311" t="s">
        <v>41</v>
      </c>
      <c r="D2311" s="1">
        <v>46210.735810185186</v>
      </c>
      <c r="E2311" t="s">
        <v>42</v>
      </c>
      <c r="F2311" t="s">
        <v>43</v>
      </c>
      <c r="G2311" t="s">
        <v>43</v>
      </c>
      <c r="H2311" t="s">
        <v>43</v>
      </c>
      <c r="I2311" t="s">
        <v>43</v>
      </c>
      <c r="J2311" t="s">
        <v>43</v>
      </c>
      <c r="K2311" t="s">
        <v>43</v>
      </c>
      <c r="L2311" t="s">
        <v>43</v>
      </c>
      <c r="M2311" t="s">
        <v>43</v>
      </c>
      <c r="N2311" t="s">
        <v>45</v>
      </c>
      <c r="O2311" t="s">
        <v>43</v>
      </c>
      <c r="P2311" t="s">
        <v>43</v>
      </c>
      <c r="Q2311" t="s">
        <v>43</v>
      </c>
      <c r="R2311" t="s">
        <v>43</v>
      </c>
      <c r="S2311" t="s">
        <v>43</v>
      </c>
      <c r="T2311" t="s">
        <v>43</v>
      </c>
      <c r="U2311" t="s">
        <v>43</v>
      </c>
      <c r="V2311" t="s">
        <v>43</v>
      </c>
      <c r="W2311" t="s">
        <v>43</v>
      </c>
      <c r="X2311" t="s">
        <v>43</v>
      </c>
      <c r="Y2311" t="s">
        <v>43</v>
      </c>
      <c r="Z2311" t="s">
        <v>43</v>
      </c>
      <c r="AA2311" t="s">
        <v>43</v>
      </c>
      <c r="AB2311" t="s">
        <v>43</v>
      </c>
      <c r="AC2311" t="s">
        <v>43</v>
      </c>
      <c r="AD2311" t="s">
        <v>43</v>
      </c>
      <c r="AE2311" t="s">
        <v>43</v>
      </c>
      <c r="AF2311" t="s">
        <v>43</v>
      </c>
      <c r="AG2311" t="s">
        <v>43</v>
      </c>
      <c r="AH2311" t="s">
        <v>43</v>
      </c>
      <c r="AI2311" t="s">
        <v>43</v>
      </c>
      <c r="AJ2311" t="s">
        <v>43</v>
      </c>
      <c r="AK2311" t="s">
        <v>43</v>
      </c>
      <c r="AL2311" t="s">
        <v>43</v>
      </c>
      <c r="AM2311" t="s">
        <v>43</v>
      </c>
      <c r="AN2311" t="s">
        <v>43</v>
      </c>
    </row>
    <row r="2312" spans="1:40" x14ac:dyDescent="0.3">
      <c r="A2312" s="1">
        <v>46210.732175925928</v>
      </c>
      <c r="B2312" t="s">
        <v>40</v>
      </c>
      <c r="C2312" t="s">
        <v>41</v>
      </c>
      <c r="D2312" s="1">
        <v>46210.73609953704</v>
      </c>
      <c r="E2312" t="s">
        <v>42</v>
      </c>
      <c r="F2312" t="s">
        <v>43</v>
      </c>
      <c r="G2312" t="s">
        <v>43</v>
      </c>
      <c r="H2312" t="s">
        <v>43</v>
      </c>
      <c r="I2312" t="s">
        <v>1124</v>
      </c>
      <c r="J2312" t="s">
        <v>43</v>
      </c>
      <c r="K2312" t="s">
        <v>43</v>
      </c>
      <c r="L2312" t="s">
        <v>43</v>
      </c>
      <c r="M2312" t="s">
        <v>43</v>
      </c>
      <c r="N2312" t="s">
        <v>45</v>
      </c>
      <c r="O2312" t="s">
        <v>43</v>
      </c>
      <c r="P2312" t="s">
        <v>43</v>
      </c>
      <c r="Q2312" t="s">
        <v>43</v>
      </c>
      <c r="R2312" t="s">
        <v>43</v>
      </c>
      <c r="S2312" t="s">
        <v>43</v>
      </c>
      <c r="T2312" t="s">
        <v>43</v>
      </c>
      <c r="U2312" t="s">
        <v>43</v>
      </c>
      <c r="V2312" t="s">
        <v>43</v>
      </c>
      <c r="W2312" t="s">
        <v>43</v>
      </c>
      <c r="X2312" t="s">
        <v>43</v>
      </c>
      <c r="Y2312" t="s">
        <v>43</v>
      </c>
      <c r="Z2312" t="s">
        <v>43</v>
      </c>
      <c r="AA2312" t="s">
        <v>43</v>
      </c>
      <c r="AB2312" t="s">
        <v>43</v>
      </c>
      <c r="AC2312" t="s">
        <v>43</v>
      </c>
      <c r="AD2312" t="s">
        <v>43</v>
      </c>
      <c r="AE2312" t="s">
        <v>43</v>
      </c>
      <c r="AF2312" t="s">
        <v>43</v>
      </c>
      <c r="AG2312" t="s">
        <v>43</v>
      </c>
      <c r="AH2312" t="s">
        <v>43</v>
      </c>
      <c r="AI2312" t="s">
        <v>43</v>
      </c>
      <c r="AJ2312" t="s">
        <v>43</v>
      </c>
      <c r="AK2312" t="s">
        <v>43</v>
      </c>
      <c r="AL2312" t="s">
        <v>43</v>
      </c>
      <c r="AM2312" t="s">
        <v>43</v>
      </c>
      <c r="AN2312" t="str">
        <f>HYPERLINK("https://www.google.com/maps?q=10.89632702,79.10428619","Open Location")</f>
        <v>Open Location</v>
      </c>
    </row>
    <row r="2313" spans="1:40" x14ac:dyDescent="0.3">
      <c r="A2313" s="1">
        <v>46210.732060185182</v>
      </c>
      <c r="B2313" t="s">
        <v>40</v>
      </c>
      <c r="C2313" t="s">
        <v>41</v>
      </c>
      <c r="D2313" s="1">
        <v>46210.735729166663</v>
      </c>
      <c r="E2313" t="s">
        <v>42</v>
      </c>
      <c r="F2313" t="s">
        <v>43</v>
      </c>
      <c r="G2313" t="s">
        <v>43</v>
      </c>
      <c r="H2313" t="s">
        <v>43</v>
      </c>
      <c r="I2313" t="s">
        <v>1130</v>
      </c>
      <c r="J2313" t="s">
        <v>43</v>
      </c>
      <c r="K2313" t="s">
        <v>43</v>
      </c>
      <c r="L2313" t="s">
        <v>43</v>
      </c>
      <c r="M2313" t="s">
        <v>43</v>
      </c>
      <c r="N2313" t="s">
        <v>45</v>
      </c>
      <c r="O2313" t="s">
        <v>43</v>
      </c>
      <c r="P2313" t="s">
        <v>43</v>
      </c>
      <c r="Q2313" t="s">
        <v>43</v>
      </c>
      <c r="R2313" t="s">
        <v>43</v>
      </c>
      <c r="S2313" t="s">
        <v>43</v>
      </c>
      <c r="T2313" t="s">
        <v>43</v>
      </c>
      <c r="U2313" t="s">
        <v>43</v>
      </c>
      <c r="V2313" t="s">
        <v>43</v>
      </c>
      <c r="W2313" t="s">
        <v>43</v>
      </c>
      <c r="X2313" t="s">
        <v>43</v>
      </c>
      <c r="Y2313" t="s">
        <v>43</v>
      </c>
      <c r="Z2313" t="s">
        <v>43</v>
      </c>
      <c r="AA2313" t="s">
        <v>43</v>
      </c>
      <c r="AB2313" t="s">
        <v>43</v>
      </c>
      <c r="AC2313" t="s">
        <v>43</v>
      </c>
      <c r="AD2313" t="s">
        <v>43</v>
      </c>
      <c r="AE2313" t="s">
        <v>43</v>
      </c>
      <c r="AF2313" t="s">
        <v>43</v>
      </c>
      <c r="AG2313" t="s">
        <v>43</v>
      </c>
      <c r="AH2313" t="s">
        <v>43</v>
      </c>
      <c r="AI2313" t="s">
        <v>43</v>
      </c>
      <c r="AJ2313" t="s">
        <v>43</v>
      </c>
      <c r="AK2313" t="s">
        <v>43</v>
      </c>
      <c r="AL2313" t="s">
        <v>43</v>
      </c>
      <c r="AM2313" t="s">
        <v>43</v>
      </c>
      <c r="AN2313" t="str">
        <f>HYPERLINK("https://www.google.com/maps?q=10.89632893,79.10428619","Open Location")</f>
        <v>Open Location</v>
      </c>
    </row>
    <row r="2314" spans="1:40" x14ac:dyDescent="0.3">
      <c r="A2314" s="1">
        <v>46210.731944444444</v>
      </c>
      <c r="B2314" t="s">
        <v>40</v>
      </c>
      <c r="C2314" t="s">
        <v>41</v>
      </c>
      <c r="D2314" s="1">
        <v>46210.735775462963</v>
      </c>
      <c r="E2314" t="s">
        <v>42</v>
      </c>
      <c r="F2314" t="s">
        <v>43</v>
      </c>
      <c r="G2314" t="s">
        <v>43</v>
      </c>
      <c r="H2314" t="s">
        <v>43</v>
      </c>
      <c r="I2314" t="s">
        <v>1168</v>
      </c>
      <c r="J2314" t="s">
        <v>43</v>
      </c>
      <c r="K2314" t="s">
        <v>43</v>
      </c>
      <c r="L2314" t="s">
        <v>43</v>
      </c>
      <c r="M2314" t="s">
        <v>43</v>
      </c>
      <c r="N2314" t="s">
        <v>45</v>
      </c>
      <c r="O2314" t="s">
        <v>43</v>
      </c>
      <c r="P2314" t="s">
        <v>43</v>
      </c>
      <c r="Q2314" t="s">
        <v>43</v>
      </c>
      <c r="R2314" t="s">
        <v>43</v>
      </c>
      <c r="S2314" t="s">
        <v>43</v>
      </c>
      <c r="T2314" t="s">
        <v>43</v>
      </c>
      <c r="U2314" t="s">
        <v>43</v>
      </c>
      <c r="V2314" t="s">
        <v>43</v>
      </c>
      <c r="W2314" t="s">
        <v>43</v>
      </c>
      <c r="X2314" t="s">
        <v>43</v>
      </c>
      <c r="Y2314" t="s">
        <v>43</v>
      </c>
      <c r="Z2314" t="s">
        <v>43</v>
      </c>
      <c r="AA2314" t="s">
        <v>43</v>
      </c>
      <c r="AB2314" t="s">
        <v>43</v>
      </c>
      <c r="AC2314" t="s">
        <v>43</v>
      </c>
      <c r="AD2314" t="s">
        <v>43</v>
      </c>
      <c r="AE2314" t="s">
        <v>43</v>
      </c>
      <c r="AF2314" t="s">
        <v>43</v>
      </c>
      <c r="AG2314" t="s">
        <v>43</v>
      </c>
      <c r="AH2314" t="s">
        <v>43</v>
      </c>
      <c r="AI2314" t="s">
        <v>43</v>
      </c>
      <c r="AJ2314" t="s">
        <v>43</v>
      </c>
      <c r="AK2314" t="s">
        <v>43</v>
      </c>
      <c r="AL2314" t="s">
        <v>43</v>
      </c>
      <c r="AM2314" t="s">
        <v>43</v>
      </c>
      <c r="AN2314" t="str">
        <f>HYPERLINK("https://www.google.com/maps?q=10.89632702,79.10427856","Open Location")</f>
        <v>Open Location</v>
      </c>
    </row>
    <row r="2315" spans="1:40" x14ac:dyDescent="0.3">
      <c r="A2315" s="1">
        <v>46210.731828703705</v>
      </c>
      <c r="B2315" t="s">
        <v>40</v>
      </c>
      <c r="C2315" t="s">
        <v>41</v>
      </c>
      <c r="D2315" s="1">
        <v>46210.735659722224</v>
      </c>
      <c r="E2315" t="s">
        <v>42</v>
      </c>
      <c r="F2315" t="s">
        <v>43</v>
      </c>
      <c r="G2315" t="s">
        <v>43</v>
      </c>
      <c r="H2315" t="s">
        <v>43</v>
      </c>
      <c r="I2315" t="s">
        <v>1169</v>
      </c>
      <c r="J2315" t="s">
        <v>43</v>
      </c>
      <c r="K2315" t="s">
        <v>43</v>
      </c>
      <c r="L2315" t="s">
        <v>43</v>
      </c>
      <c r="M2315" t="s">
        <v>43</v>
      </c>
      <c r="N2315" t="s">
        <v>45</v>
      </c>
      <c r="O2315" t="s">
        <v>43</v>
      </c>
      <c r="P2315" t="s">
        <v>43</v>
      </c>
      <c r="Q2315" t="s">
        <v>43</v>
      </c>
      <c r="R2315" t="s">
        <v>43</v>
      </c>
      <c r="S2315" t="s">
        <v>43</v>
      </c>
      <c r="T2315" t="s">
        <v>43</v>
      </c>
      <c r="U2315" t="s">
        <v>43</v>
      </c>
      <c r="V2315" t="s">
        <v>43</v>
      </c>
      <c r="W2315" t="s">
        <v>43</v>
      </c>
      <c r="X2315" t="s">
        <v>43</v>
      </c>
      <c r="Y2315" t="s">
        <v>43</v>
      </c>
      <c r="Z2315" t="s">
        <v>43</v>
      </c>
      <c r="AA2315" t="s">
        <v>43</v>
      </c>
      <c r="AB2315" t="s">
        <v>43</v>
      </c>
      <c r="AC2315" t="s">
        <v>43</v>
      </c>
      <c r="AD2315" t="s">
        <v>43</v>
      </c>
      <c r="AE2315" t="s">
        <v>43</v>
      </c>
      <c r="AF2315" t="s">
        <v>43</v>
      </c>
      <c r="AG2315" t="s">
        <v>43</v>
      </c>
      <c r="AH2315" t="s">
        <v>43</v>
      </c>
      <c r="AI2315" t="s">
        <v>43</v>
      </c>
      <c r="AJ2315" t="s">
        <v>43</v>
      </c>
      <c r="AK2315" t="s">
        <v>43</v>
      </c>
      <c r="AL2315" t="s">
        <v>43</v>
      </c>
      <c r="AM2315" t="s">
        <v>43</v>
      </c>
      <c r="AN2315" t="str">
        <f>HYPERLINK("https://www.google.com/maps?q=10.89632893,79.10427856","Open Location")</f>
        <v>Open Location</v>
      </c>
    </row>
    <row r="2316" spans="1:40" x14ac:dyDescent="0.3">
      <c r="A2316" s="1">
        <v>46210.731712962966</v>
      </c>
      <c r="B2316" t="s">
        <v>40</v>
      </c>
      <c r="C2316" t="s">
        <v>41</v>
      </c>
      <c r="D2316" s="1">
        <v>46210.734976851854</v>
      </c>
      <c r="E2316" t="s">
        <v>42</v>
      </c>
      <c r="F2316" t="s">
        <v>43</v>
      </c>
      <c r="G2316" t="s">
        <v>43</v>
      </c>
      <c r="H2316" t="s">
        <v>43</v>
      </c>
      <c r="I2316" t="s">
        <v>43</v>
      </c>
      <c r="J2316" t="s">
        <v>43</v>
      </c>
      <c r="K2316" t="s">
        <v>43</v>
      </c>
      <c r="L2316" t="s">
        <v>43</v>
      </c>
      <c r="M2316" t="s">
        <v>43</v>
      </c>
      <c r="N2316" t="s">
        <v>45</v>
      </c>
      <c r="O2316" t="s">
        <v>43</v>
      </c>
      <c r="P2316" t="s">
        <v>43</v>
      </c>
      <c r="Q2316" t="s">
        <v>43</v>
      </c>
      <c r="R2316" t="s">
        <v>43</v>
      </c>
      <c r="S2316" t="s">
        <v>43</v>
      </c>
      <c r="T2316" t="s">
        <v>43</v>
      </c>
      <c r="U2316" t="s">
        <v>43</v>
      </c>
      <c r="V2316" t="s">
        <v>43</v>
      </c>
      <c r="W2316" t="s">
        <v>43</v>
      </c>
      <c r="X2316" t="s">
        <v>43</v>
      </c>
      <c r="Y2316" t="s">
        <v>43</v>
      </c>
      <c r="Z2316" t="s">
        <v>43</v>
      </c>
      <c r="AA2316" t="s">
        <v>43</v>
      </c>
      <c r="AB2316" t="s">
        <v>43</v>
      </c>
      <c r="AC2316" t="s">
        <v>43</v>
      </c>
      <c r="AD2316" t="s">
        <v>43</v>
      </c>
      <c r="AE2316" t="s">
        <v>43</v>
      </c>
      <c r="AF2316" t="s">
        <v>43</v>
      </c>
      <c r="AG2316" t="s">
        <v>43</v>
      </c>
      <c r="AH2316" t="s">
        <v>43</v>
      </c>
      <c r="AI2316" t="s">
        <v>43</v>
      </c>
      <c r="AJ2316" t="s">
        <v>43</v>
      </c>
      <c r="AK2316" t="s">
        <v>43</v>
      </c>
      <c r="AL2316" t="s">
        <v>43</v>
      </c>
      <c r="AM2316" t="s">
        <v>43</v>
      </c>
      <c r="AN2316" t="s">
        <v>43</v>
      </c>
    </row>
    <row r="2317" spans="1:40" x14ac:dyDescent="0.3">
      <c r="A2317" s="1">
        <v>46210.73159722222</v>
      </c>
      <c r="B2317" t="s">
        <v>40</v>
      </c>
      <c r="C2317" t="s">
        <v>41</v>
      </c>
      <c r="D2317" s="1">
        <v>46210.73510416667</v>
      </c>
      <c r="E2317" t="s">
        <v>42</v>
      </c>
      <c r="F2317" t="s">
        <v>43</v>
      </c>
      <c r="G2317" t="s">
        <v>43</v>
      </c>
      <c r="H2317" t="s">
        <v>43</v>
      </c>
      <c r="I2317" t="s">
        <v>1170</v>
      </c>
      <c r="J2317" t="s">
        <v>43</v>
      </c>
      <c r="K2317" t="s">
        <v>43</v>
      </c>
      <c r="L2317" t="s">
        <v>43</v>
      </c>
      <c r="M2317" t="s">
        <v>43</v>
      </c>
      <c r="N2317" t="s">
        <v>45</v>
      </c>
      <c r="O2317" t="s">
        <v>43</v>
      </c>
      <c r="P2317" t="s">
        <v>43</v>
      </c>
      <c r="Q2317" t="s">
        <v>43</v>
      </c>
      <c r="R2317" t="s">
        <v>43</v>
      </c>
      <c r="S2317" t="s">
        <v>43</v>
      </c>
      <c r="T2317" t="s">
        <v>43</v>
      </c>
      <c r="U2317" t="s">
        <v>43</v>
      </c>
      <c r="V2317" t="s">
        <v>43</v>
      </c>
      <c r="W2317" t="s">
        <v>43</v>
      </c>
      <c r="X2317" t="s">
        <v>43</v>
      </c>
      <c r="Y2317" t="s">
        <v>43</v>
      </c>
      <c r="Z2317" t="s">
        <v>43</v>
      </c>
      <c r="AA2317" t="s">
        <v>43</v>
      </c>
      <c r="AB2317" t="s">
        <v>43</v>
      </c>
      <c r="AC2317" t="s">
        <v>43</v>
      </c>
      <c r="AD2317" t="s">
        <v>43</v>
      </c>
      <c r="AE2317" t="s">
        <v>43</v>
      </c>
      <c r="AF2317" t="s">
        <v>43</v>
      </c>
      <c r="AG2317" t="s">
        <v>43</v>
      </c>
      <c r="AH2317" t="s">
        <v>43</v>
      </c>
      <c r="AI2317" t="s">
        <v>43</v>
      </c>
      <c r="AJ2317" t="s">
        <v>43</v>
      </c>
      <c r="AK2317" t="s">
        <v>43</v>
      </c>
      <c r="AL2317" t="s">
        <v>43</v>
      </c>
      <c r="AM2317" t="s">
        <v>43</v>
      </c>
      <c r="AN2317" t="str">
        <f>HYPERLINK("https://www.google.com/maps?q=10.89632607,79.10427856","Open Location")</f>
        <v>Open Location</v>
      </c>
    </row>
    <row r="2318" spans="1:40" x14ac:dyDescent="0.3">
      <c r="A2318" s="1">
        <v>46210.731481481482</v>
      </c>
      <c r="B2318" t="s">
        <v>40</v>
      </c>
      <c r="C2318" t="s">
        <v>41</v>
      </c>
      <c r="D2318" s="1">
        <v>46210.734907407408</v>
      </c>
      <c r="E2318" t="s">
        <v>42</v>
      </c>
      <c r="F2318" t="s">
        <v>43</v>
      </c>
      <c r="G2318" t="s">
        <v>43</v>
      </c>
      <c r="H2318" t="s">
        <v>43</v>
      </c>
      <c r="I2318" t="s">
        <v>1171</v>
      </c>
      <c r="J2318" t="s">
        <v>43</v>
      </c>
      <c r="K2318" t="s">
        <v>43</v>
      </c>
      <c r="L2318" t="s">
        <v>43</v>
      </c>
      <c r="M2318" t="s">
        <v>43</v>
      </c>
      <c r="N2318" t="s">
        <v>45</v>
      </c>
      <c r="O2318" t="s">
        <v>43</v>
      </c>
      <c r="P2318" t="s">
        <v>43</v>
      </c>
      <c r="Q2318" t="s">
        <v>43</v>
      </c>
      <c r="R2318" t="s">
        <v>43</v>
      </c>
      <c r="S2318" t="s">
        <v>43</v>
      </c>
      <c r="T2318" t="s">
        <v>43</v>
      </c>
      <c r="U2318" t="s">
        <v>43</v>
      </c>
      <c r="V2318" t="s">
        <v>43</v>
      </c>
      <c r="W2318" t="s">
        <v>43</v>
      </c>
      <c r="X2318" t="s">
        <v>43</v>
      </c>
      <c r="Y2318" t="s">
        <v>43</v>
      </c>
      <c r="Z2318" t="s">
        <v>43</v>
      </c>
      <c r="AA2318" t="s">
        <v>43</v>
      </c>
      <c r="AB2318" t="s">
        <v>43</v>
      </c>
      <c r="AC2318" t="s">
        <v>43</v>
      </c>
      <c r="AD2318" t="s">
        <v>43</v>
      </c>
      <c r="AE2318" t="s">
        <v>43</v>
      </c>
      <c r="AF2318" t="s">
        <v>43</v>
      </c>
      <c r="AG2318" t="s">
        <v>43</v>
      </c>
      <c r="AH2318" t="s">
        <v>43</v>
      </c>
      <c r="AI2318" t="s">
        <v>43</v>
      </c>
      <c r="AJ2318" t="s">
        <v>43</v>
      </c>
      <c r="AK2318" t="s">
        <v>43</v>
      </c>
      <c r="AL2318" t="s">
        <v>43</v>
      </c>
      <c r="AM2318" t="s">
        <v>43</v>
      </c>
      <c r="AN2318" t="str">
        <f>HYPERLINK("https://www.google.com/maps?q=10.89632511,79.10427856","Open Location")</f>
        <v>Open Location</v>
      </c>
    </row>
    <row r="2319" spans="1:40" x14ac:dyDescent="0.3">
      <c r="A2319" s="1">
        <v>46210.731365740743</v>
      </c>
      <c r="B2319" t="s">
        <v>40</v>
      </c>
      <c r="C2319" t="s">
        <v>41</v>
      </c>
      <c r="D2319" s="1">
        <v>46210.735520833332</v>
      </c>
      <c r="E2319" t="s">
        <v>42</v>
      </c>
      <c r="F2319" t="s">
        <v>43</v>
      </c>
      <c r="G2319" t="s">
        <v>43</v>
      </c>
      <c r="H2319" t="s">
        <v>43</v>
      </c>
      <c r="I2319" t="s">
        <v>1172</v>
      </c>
      <c r="J2319" t="s">
        <v>43</v>
      </c>
      <c r="K2319" t="s">
        <v>43</v>
      </c>
      <c r="L2319" t="s">
        <v>43</v>
      </c>
      <c r="M2319" t="s">
        <v>43</v>
      </c>
      <c r="N2319" t="s">
        <v>45</v>
      </c>
      <c r="O2319" t="s">
        <v>43</v>
      </c>
      <c r="P2319" t="s">
        <v>43</v>
      </c>
      <c r="Q2319" t="s">
        <v>43</v>
      </c>
      <c r="R2319" t="s">
        <v>43</v>
      </c>
      <c r="S2319" t="s">
        <v>43</v>
      </c>
      <c r="T2319" t="s">
        <v>43</v>
      </c>
      <c r="U2319" t="s">
        <v>43</v>
      </c>
      <c r="V2319" t="s">
        <v>43</v>
      </c>
      <c r="W2319" t="s">
        <v>43</v>
      </c>
      <c r="X2319" t="s">
        <v>43</v>
      </c>
      <c r="Y2319" t="s">
        <v>43</v>
      </c>
      <c r="Z2319" t="s">
        <v>43</v>
      </c>
      <c r="AA2319" t="s">
        <v>43</v>
      </c>
      <c r="AB2319" t="s">
        <v>43</v>
      </c>
      <c r="AC2319" t="s">
        <v>43</v>
      </c>
      <c r="AD2319" t="s">
        <v>43</v>
      </c>
      <c r="AE2319" t="s">
        <v>43</v>
      </c>
      <c r="AF2319" t="s">
        <v>43</v>
      </c>
      <c r="AG2319" t="s">
        <v>43</v>
      </c>
      <c r="AH2319" t="s">
        <v>43</v>
      </c>
      <c r="AI2319" t="s">
        <v>43</v>
      </c>
      <c r="AJ2319" t="s">
        <v>43</v>
      </c>
      <c r="AK2319" t="s">
        <v>43</v>
      </c>
      <c r="AL2319" t="s">
        <v>43</v>
      </c>
      <c r="AM2319" t="s">
        <v>43</v>
      </c>
      <c r="AN2319" t="str">
        <f>HYPERLINK("https://www.google.com/maps?q=10.89632416,79.10427856","Open Location")</f>
        <v>Open Location</v>
      </c>
    </row>
    <row r="2320" spans="1:40" x14ac:dyDescent="0.3">
      <c r="A2320" s="1">
        <v>46210.731249999997</v>
      </c>
      <c r="B2320" t="s">
        <v>40</v>
      </c>
      <c r="C2320" t="s">
        <v>41</v>
      </c>
      <c r="D2320" s="1">
        <v>46210.735520833332</v>
      </c>
      <c r="E2320" t="s">
        <v>42</v>
      </c>
      <c r="F2320" t="s">
        <v>43</v>
      </c>
      <c r="G2320" t="s">
        <v>43</v>
      </c>
      <c r="H2320" t="s">
        <v>43</v>
      </c>
      <c r="I2320" t="s">
        <v>1169</v>
      </c>
      <c r="J2320" t="s">
        <v>43</v>
      </c>
      <c r="K2320" t="s">
        <v>43</v>
      </c>
      <c r="L2320" t="s">
        <v>43</v>
      </c>
      <c r="M2320" t="s">
        <v>43</v>
      </c>
      <c r="N2320" t="s">
        <v>45</v>
      </c>
      <c r="O2320" t="s">
        <v>43</v>
      </c>
      <c r="P2320" t="s">
        <v>43</v>
      </c>
      <c r="Q2320" t="s">
        <v>43</v>
      </c>
      <c r="R2320" t="s">
        <v>43</v>
      </c>
      <c r="S2320" t="s">
        <v>43</v>
      </c>
      <c r="T2320" t="s">
        <v>43</v>
      </c>
      <c r="U2320" t="s">
        <v>43</v>
      </c>
      <c r="V2320" t="s">
        <v>43</v>
      </c>
      <c r="W2320" t="s">
        <v>43</v>
      </c>
      <c r="X2320" t="s">
        <v>43</v>
      </c>
      <c r="Y2320" t="s">
        <v>43</v>
      </c>
      <c r="Z2320" t="s">
        <v>43</v>
      </c>
      <c r="AA2320" t="s">
        <v>43</v>
      </c>
      <c r="AB2320" t="s">
        <v>43</v>
      </c>
      <c r="AC2320" t="s">
        <v>43</v>
      </c>
      <c r="AD2320" t="s">
        <v>43</v>
      </c>
      <c r="AE2320" t="s">
        <v>43</v>
      </c>
      <c r="AF2320" t="s">
        <v>43</v>
      </c>
      <c r="AG2320" t="s">
        <v>43</v>
      </c>
      <c r="AH2320" t="s">
        <v>43</v>
      </c>
      <c r="AI2320" t="s">
        <v>43</v>
      </c>
      <c r="AJ2320" t="s">
        <v>43</v>
      </c>
      <c r="AK2320" t="s">
        <v>43</v>
      </c>
      <c r="AL2320" t="s">
        <v>43</v>
      </c>
      <c r="AM2320" t="s">
        <v>43</v>
      </c>
      <c r="AN2320" t="str">
        <f>HYPERLINK("https://www.google.com/maps?q=10.89632893,79.10427856","Open Location")</f>
        <v>Open Location</v>
      </c>
    </row>
    <row r="2321" spans="1:40" x14ac:dyDescent="0.3">
      <c r="A2321" s="1">
        <v>46210.731134259258</v>
      </c>
      <c r="B2321" t="s">
        <v>40</v>
      </c>
      <c r="C2321" t="s">
        <v>41</v>
      </c>
      <c r="D2321" s="1">
        <v>46210.734918981485</v>
      </c>
      <c r="E2321" t="s">
        <v>42</v>
      </c>
      <c r="F2321" t="s">
        <v>43</v>
      </c>
      <c r="G2321" t="s">
        <v>43</v>
      </c>
      <c r="H2321" t="s">
        <v>43</v>
      </c>
      <c r="I2321" t="s">
        <v>1170</v>
      </c>
      <c r="J2321" t="s">
        <v>43</v>
      </c>
      <c r="K2321" t="s">
        <v>43</v>
      </c>
      <c r="L2321" t="s">
        <v>43</v>
      </c>
      <c r="M2321" t="s">
        <v>43</v>
      </c>
      <c r="N2321" t="s">
        <v>45</v>
      </c>
      <c r="O2321" t="s">
        <v>43</v>
      </c>
      <c r="P2321" t="s">
        <v>43</v>
      </c>
      <c r="Q2321" t="s">
        <v>43</v>
      </c>
      <c r="R2321" t="s">
        <v>43</v>
      </c>
      <c r="S2321" t="s">
        <v>43</v>
      </c>
      <c r="T2321" t="s">
        <v>43</v>
      </c>
      <c r="U2321" t="s">
        <v>43</v>
      </c>
      <c r="V2321" t="s">
        <v>43</v>
      </c>
      <c r="W2321" t="s">
        <v>43</v>
      </c>
      <c r="X2321" t="s">
        <v>43</v>
      </c>
      <c r="Y2321" t="s">
        <v>43</v>
      </c>
      <c r="Z2321" t="s">
        <v>43</v>
      </c>
      <c r="AA2321" t="s">
        <v>43</v>
      </c>
      <c r="AB2321" t="s">
        <v>43</v>
      </c>
      <c r="AC2321" t="s">
        <v>43</v>
      </c>
      <c r="AD2321" t="s">
        <v>43</v>
      </c>
      <c r="AE2321" t="s">
        <v>43</v>
      </c>
      <c r="AF2321" t="s">
        <v>43</v>
      </c>
      <c r="AG2321" t="s">
        <v>43</v>
      </c>
      <c r="AH2321" t="s">
        <v>43</v>
      </c>
      <c r="AI2321" t="s">
        <v>43</v>
      </c>
      <c r="AJ2321" t="s">
        <v>43</v>
      </c>
      <c r="AK2321" t="s">
        <v>43</v>
      </c>
      <c r="AL2321" t="s">
        <v>43</v>
      </c>
      <c r="AM2321" t="s">
        <v>43</v>
      </c>
      <c r="AN2321" t="str">
        <f>HYPERLINK("https://www.google.com/maps?q=10.89632607,79.10427856","Open Location")</f>
        <v>Open Location</v>
      </c>
    </row>
    <row r="2322" spans="1:40" x14ac:dyDescent="0.3">
      <c r="A2322" s="1">
        <v>46210.73101851852</v>
      </c>
      <c r="B2322" t="s">
        <v>40</v>
      </c>
      <c r="C2322" t="s">
        <v>41</v>
      </c>
      <c r="D2322" s="1">
        <v>46210.734918981485</v>
      </c>
      <c r="E2322" t="s">
        <v>42</v>
      </c>
      <c r="F2322" t="s">
        <v>43</v>
      </c>
      <c r="G2322" t="s">
        <v>43</v>
      </c>
      <c r="H2322" t="s">
        <v>43</v>
      </c>
      <c r="I2322" t="s">
        <v>43</v>
      </c>
      <c r="J2322" t="s">
        <v>43</v>
      </c>
      <c r="K2322" t="s">
        <v>43</v>
      </c>
      <c r="L2322" t="s">
        <v>43</v>
      </c>
      <c r="M2322" t="s">
        <v>43</v>
      </c>
      <c r="N2322" t="s">
        <v>45</v>
      </c>
      <c r="O2322" t="s">
        <v>43</v>
      </c>
      <c r="P2322" t="s">
        <v>43</v>
      </c>
      <c r="Q2322" t="s">
        <v>43</v>
      </c>
      <c r="R2322" t="s">
        <v>43</v>
      </c>
      <c r="S2322" t="s">
        <v>43</v>
      </c>
      <c r="T2322" t="s">
        <v>43</v>
      </c>
      <c r="U2322" t="s">
        <v>43</v>
      </c>
      <c r="V2322" t="s">
        <v>43</v>
      </c>
      <c r="W2322" t="s">
        <v>43</v>
      </c>
      <c r="X2322" t="s">
        <v>43</v>
      </c>
      <c r="Y2322" t="s">
        <v>43</v>
      </c>
      <c r="Z2322" t="s">
        <v>43</v>
      </c>
      <c r="AA2322" t="s">
        <v>43</v>
      </c>
      <c r="AB2322" t="s">
        <v>43</v>
      </c>
      <c r="AC2322" t="s">
        <v>43</v>
      </c>
      <c r="AD2322" t="s">
        <v>43</v>
      </c>
      <c r="AE2322" t="s">
        <v>43</v>
      </c>
      <c r="AF2322" t="s">
        <v>43</v>
      </c>
      <c r="AG2322" t="s">
        <v>43</v>
      </c>
      <c r="AH2322" t="s">
        <v>43</v>
      </c>
      <c r="AI2322" t="s">
        <v>43</v>
      </c>
      <c r="AJ2322" t="s">
        <v>43</v>
      </c>
      <c r="AK2322" t="s">
        <v>43</v>
      </c>
      <c r="AL2322" t="s">
        <v>43</v>
      </c>
      <c r="AM2322" t="s">
        <v>43</v>
      </c>
      <c r="AN2322" t="s">
        <v>43</v>
      </c>
    </row>
    <row r="2323" spans="1:40" x14ac:dyDescent="0.3">
      <c r="A2323" s="1">
        <v>46210.730902777781</v>
      </c>
      <c r="B2323" t="s">
        <v>40</v>
      </c>
      <c r="C2323" t="s">
        <v>41</v>
      </c>
      <c r="D2323" s="1">
        <v>46210.736446759256</v>
      </c>
      <c r="E2323" t="s">
        <v>42</v>
      </c>
      <c r="F2323" t="s">
        <v>43</v>
      </c>
      <c r="G2323" t="s">
        <v>43</v>
      </c>
      <c r="H2323" t="s">
        <v>43</v>
      </c>
      <c r="I2323" t="s">
        <v>1173</v>
      </c>
      <c r="J2323" t="s">
        <v>43</v>
      </c>
      <c r="K2323" t="s">
        <v>43</v>
      </c>
      <c r="L2323" t="s">
        <v>43</v>
      </c>
      <c r="M2323" t="s">
        <v>43</v>
      </c>
      <c r="N2323" t="s">
        <v>45</v>
      </c>
      <c r="O2323" t="s">
        <v>43</v>
      </c>
      <c r="P2323" t="s">
        <v>43</v>
      </c>
      <c r="Q2323" t="s">
        <v>43</v>
      </c>
      <c r="R2323" t="s">
        <v>43</v>
      </c>
      <c r="S2323" t="s">
        <v>43</v>
      </c>
      <c r="T2323" t="s">
        <v>43</v>
      </c>
      <c r="U2323" t="s">
        <v>43</v>
      </c>
      <c r="V2323" t="s">
        <v>43</v>
      </c>
      <c r="W2323" t="s">
        <v>43</v>
      </c>
      <c r="X2323" t="s">
        <v>43</v>
      </c>
      <c r="Y2323" t="s">
        <v>43</v>
      </c>
      <c r="Z2323" t="s">
        <v>43</v>
      </c>
      <c r="AA2323" t="s">
        <v>43</v>
      </c>
      <c r="AB2323" t="s">
        <v>43</v>
      </c>
      <c r="AC2323" t="s">
        <v>43</v>
      </c>
      <c r="AD2323" t="s">
        <v>43</v>
      </c>
      <c r="AE2323" t="s">
        <v>43</v>
      </c>
      <c r="AF2323" t="s">
        <v>43</v>
      </c>
      <c r="AG2323" t="s">
        <v>43</v>
      </c>
      <c r="AH2323" t="s">
        <v>43</v>
      </c>
      <c r="AI2323" t="s">
        <v>43</v>
      </c>
      <c r="AJ2323" t="s">
        <v>43</v>
      </c>
      <c r="AK2323" t="s">
        <v>43</v>
      </c>
      <c r="AL2323" t="s">
        <v>43</v>
      </c>
      <c r="AM2323" t="s">
        <v>43</v>
      </c>
      <c r="AN2323" t="str">
        <f>HYPERLINK("https://www.google.com/maps?q=10.8963232,79.10427856","Open Location")</f>
        <v>Open Location</v>
      </c>
    </row>
    <row r="2324" spans="1:40" x14ac:dyDescent="0.3">
      <c r="A2324" s="1">
        <v>46210.730787037035</v>
      </c>
      <c r="B2324" t="s">
        <v>40</v>
      </c>
      <c r="C2324" t="s">
        <v>41</v>
      </c>
      <c r="D2324" s="1">
        <v>46210.734259259261</v>
      </c>
      <c r="E2324" t="s">
        <v>42</v>
      </c>
      <c r="F2324" t="s">
        <v>43</v>
      </c>
      <c r="G2324" t="s">
        <v>43</v>
      </c>
      <c r="H2324" t="s">
        <v>43</v>
      </c>
      <c r="I2324" t="s">
        <v>1174</v>
      </c>
      <c r="J2324" t="s">
        <v>43</v>
      </c>
      <c r="K2324" t="s">
        <v>43</v>
      </c>
      <c r="L2324" t="s">
        <v>43</v>
      </c>
      <c r="M2324" t="s">
        <v>43</v>
      </c>
      <c r="N2324" t="s">
        <v>45</v>
      </c>
      <c r="O2324" t="s">
        <v>43</v>
      </c>
      <c r="P2324" t="s">
        <v>43</v>
      </c>
      <c r="Q2324" t="s">
        <v>43</v>
      </c>
      <c r="R2324" t="s">
        <v>43</v>
      </c>
      <c r="S2324" t="s">
        <v>43</v>
      </c>
      <c r="T2324" t="s">
        <v>43</v>
      </c>
      <c r="U2324" t="s">
        <v>43</v>
      </c>
      <c r="V2324" t="s">
        <v>43</v>
      </c>
      <c r="W2324" t="s">
        <v>43</v>
      </c>
      <c r="X2324" t="s">
        <v>43</v>
      </c>
      <c r="Y2324" t="s">
        <v>43</v>
      </c>
      <c r="Z2324" t="s">
        <v>43</v>
      </c>
      <c r="AA2324" t="s">
        <v>43</v>
      </c>
      <c r="AB2324" t="s">
        <v>43</v>
      </c>
      <c r="AC2324" t="s">
        <v>43</v>
      </c>
      <c r="AD2324" t="s">
        <v>43</v>
      </c>
      <c r="AE2324" t="s">
        <v>43</v>
      </c>
      <c r="AF2324" t="s">
        <v>43</v>
      </c>
      <c r="AG2324" t="s">
        <v>43</v>
      </c>
      <c r="AH2324" t="s">
        <v>43</v>
      </c>
      <c r="AI2324" t="s">
        <v>43</v>
      </c>
      <c r="AJ2324" t="s">
        <v>43</v>
      </c>
      <c r="AK2324" t="s">
        <v>43</v>
      </c>
      <c r="AL2324" t="s">
        <v>43</v>
      </c>
      <c r="AM2324" t="s">
        <v>43</v>
      </c>
      <c r="AN2324" t="str">
        <f>HYPERLINK("https://www.google.com/maps?q=10.89632225,79.10428619","Open Location")</f>
        <v>Open Location</v>
      </c>
    </row>
    <row r="2325" spans="1:40" x14ac:dyDescent="0.3">
      <c r="A2325" s="1">
        <v>46210.730671296296</v>
      </c>
      <c r="B2325" t="s">
        <v>40</v>
      </c>
      <c r="C2325" t="s">
        <v>41</v>
      </c>
      <c r="D2325" s="1">
        <v>46210.735381944447</v>
      </c>
      <c r="E2325" t="s">
        <v>42</v>
      </c>
      <c r="F2325" t="s">
        <v>43</v>
      </c>
      <c r="G2325" t="s">
        <v>43</v>
      </c>
      <c r="H2325" t="s">
        <v>43</v>
      </c>
      <c r="I2325" t="s">
        <v>1172</v>
      </c>
      <c r="J2325" t="s">
        <v>43</v>
      </c>
      <c r="K2325" t="s">
        <v>43</v>
      </c>
      <c r="L2325" t="s">
        <v>43</v>
      </c>
      <c r="M2325" t="s">
        <v>43</v>
      </c>
      <c r="N2325" t="s">
        <v>45</v>
      </c>
      <c r="O2325" t="s">
        <v>43</v>
      </c>
      <c r="P2325" t="s">
        <v>43</v>
      </c>
      <c r="Q2325" t="s">
        <v>43</v>
      </c>
      <c r="R2325" t="s">
        <v>43</v>
      </c>
      <c r="S2325" t="s">
        <v>43</v>
      </c>
      <c r="T2325" t="s">
        <v>43</v>
      </c>
      <c r="U2325" t="s">
        <v>43</v>
      </c>
      <c r="V2325" t="s">
        <v>43</v>
      </c>
      <c r="W2325" t="s">
        <v>43</v>
      </c>
      <c r="X2325" t="s">
        <v>43</v>
      </c>
      <c r="Y2325" t="s">
        <v>43</v>
      </c>
      <c r="Z2325" t="s">
        <v>43</v>
      </c>
      <c r="AA2325" t="s">
        <v>43</v>
      </c>
      <c r="AB2325" t="s">
        <v>43</v>
      </c>
      <c r="AC2325" t="s">
        <v>43</v>
      </c>
      <c r="AD2325" t="s">
        <v>43</v>
      </c>
      <c r="AE2325" t="s">
        <v>43</v>
      </c>
      <c r="AF2325" t="s">
        <v>43</v>
      </c>
      <c r="AG2325" t="s">
        <v>43</v>
      </c>
      <c r="AH2325" t="s">
        <v>43</v>
      </c>
      <c r="AI2325" t="s">
        <v>43</v>
      </c>
      <c r="AJ2325" t="s">
        <v>43</v>
      </c>
      <c r="AK2325" t="s">
        <v>43</v>
      </c>
      <c r="AL2325" t="s">
        <v>43</v>
      </c>
      <c r="AM2325" t="s">
        <v>43</v>
      </c>
      <c r="AN2325" t="str">
        <f>HYPERLINK("https://www.google.com/maps?q=10.89632416,79.10427856","Open Location")</f>
        <v>Open Location</v>
      </c>
    </row>
    <row r="2326" spans="1:40" x14ac:dyDescent="0.3">
      <c r="A2326" s="1">
        <v>46210.730555555558</v>
      </c>
      <c r="B2326" t="s">
        <v>40</v>
      </c>
      <c r="C2326" t="s">
        <v>41</v>
      </c>
      <c r="D2326" s="1">
        <v>46210.735115740739</v>
      </c>
      <c r="E2326" t="s">
        <v>42</v>
      </c>
      <c r="F2326" t="s">
        <v>43</v>
      </c>
      <c r="G2326" t="s">
        <v>43</v>
      </c>
      <c r="H2326" t="s">
        <v>43</v>
      </c>
      <c r="I2326" t="s">
        <v>1172</v>
      </c>
      <c r="J2326" t="s">
        <v>43</v>
      </c>
      <c r="K2326" t="s">
        <v>43</v>
      </c>
      <c r="L2326" t="s">
        <v>43</v>
      </c>
      <c r="M2326" t="s">
        <v>43</v>
      </c>
      <c r="N2326" t="s">
        <v>45</v>
      </c>
      <c r="O2326" t="s">
        <v>43</v>
      </c>
      <c r="P2326" t="s">
        <v>43</v>
      </c>
      <c r="Q2326" t="s">
        <v>43</v>
      </c>
      <c r="R2326" t="s">
        <v>43</v>
      </c>
      <c r="S2326">
        <v>0</v>
      </c>
      <c r="T2326">
        <v>-40</v>
      </c>
      <c r="U2326">
        <v>48</v>
      </c>
      <c r="V2326">
        <v>0</v>
      </c>
      <c r="W2326" t="s">
        <v>43</v>
      </c>
      <c r="X2326" t="s">
        <v>43</v>
      </c>
      <c r="Y2326" t="s">
        <v>43</v>
      </c>
      <c r="Z2326" t="s">
        <v>43</v>
      </c>
      <c r="AA2326" t="s">
        <v>43</v>
      </c>
      <c r="AB2326" t="s">
        <v>43</v>
      </c>
      <c r="AC2326" t="s">
        <v>43</v>
      </c>
      <c r="AD2326" t="s">
        <v>43</v>
      </c>
      <c r="AE2326" t="s">
        <v>43</v>
      </c>
      <c r="AF2326" t="s">
        <v>43</v>
      </c>
      <c r="AG2326" t="s">
        <v>43</v>
      </c>
      <c r="AH2326" t="s">
        <v>43</v>
      </c>
      <c r="AI2326" t="s">
        <v>43</v>
      </c>
      <c r="AJ2326" t="s">
        <v>43</v>
      </c>
      <c r="AK2326" t="s">
        <v>43</v>
      </c>
      <c r="AL2326" t="s">
        <v>43</v>
      </c>
      <c r="AM2326" t="s">
        <v>43</v>
      </c>
      <c r="AN2326" t="str">
        <f>HYPERLINK("https://www.google.com/maps?q=10.89632416,79.10427856","Open Location")</f>
        <v>Open Location</v>
      </c>
    </row>
    <row r="2327" spans="1:40" x14ac:dyDescent="0.3">
      <c r="A2327" s="1">
        <v>46210.730439814812</v>
      </c>
      <c r="B2327" t="s">
        <v>40</v>
      </c>
      <c r="C2327" t="s">
        <v>41</v>
      </c>
      <c r="D2327" s="1">
        <v>46210.735763888886</v>
      </c>
      <c r="E2327" t="s">
        <v>42</v>
      </c>
      <c r="F2327" t="s">
        <v>43</v>
      </c>
      <c r="G2327" t="s">
        <v>43</v>
      </c>
      <c r="H2327" t="s">
        <v>43</v>
      </c>
      <c r="I2327" t="s">
        <v>1175</v>
      </c>
      <c r="J2327" t="s">
        <v>43</v>
      </c>
      <c r="K2327" t="s">
        <v>43</v>
      </c>
      <c r="L2327" t="s">
        <v>43</v>
      </c>
      <c r="M2327" t="s">
        <v>43</v>
      </c>
      <c r="N2327" t="s">
        <v>45</v>
      </c>
      <c r="O2327" t="s">
        <v>43</v>
      </c>
      <c r="P2327" t="s">
        <v>43</v>
      </c>
      <c r="Q2327" t="s">
        <v>43</v>
      </c>
      <c r="R2327" t="s">
        <v>43</v>
      </c>
      <c r="S2327">
        <v>0</v>
      </c>
      <c r="T2327">
        <v>-40</v>
      </c>
      <c r="U2327">
        <v>48</v>
      </c>
      <c r="V2327">
        <v>0</v>
      </c>
      <c r="W2327" t="s">
        <v>43</v>
      </c>
      <c r="X2327" t="s">
        <v>43</v>
      </c>
      <c r="Y2327" t="s">
        <v>43</v>
      </c>
      <c r="Z2327" t="s">
        <v>43</v>
      </c>
      <c r="AA2327" t="s">
        <v>43</v>
      </c>
      <c r="AB2327" t="s">
        <v>43</v>
      </c>
      <c r="AC2327" t="s">
        <v>43</v>
      </c>
      <c r="AD2327" t="s">
        <v>43</v>
      </c>
      <c r="AE2327" t="s">
        <v>43</v>
      </c>
      <c r="AF2327" t="s">
        <v>43</v>
      </c>
      <c r="AG2327" t="s">
        <v>43</v>
      </c>
      <c r="AH2327" t="s">
        <v>43</v>
      </c>
      <c r="AI2327" t="s">
        <v>43</v>
      </c>
      <c r="AJ2327" t="s">
        <v>43</v>
      </c>
      <c r="AK2327" t="s">
        <v>43</v>
      </c>
      <c r="AL2327" t="s">
        <v>43</v>
      </c>
      <c r="AM2327" t="s">
        <v>43</v>
      </c>
      <c r="AN2327" t="str">
        <f>HYPERLINK("https://www.google.com/maps?q=10.89633083,79.10427856","Open Location")</f>
        <v>Open Location</v>
      </c>
    </row>
    <row r="2328" spans="1:40" x14ac:dyDescent="0.3">
      <c r="A2328" s="1">
        <v>46210.730324074073</v>
      </c>
      <c r="B2328" t="s">
        <v>40</v>
      </c>
      <c r="C2328" t="s">
        <v>41</v>
      </c>
      <c r="D2328" s="1">
        <v>46210.736087962963</v>
      </c>
      <c r="E2328" t="s">
        <v>42</v>
      </c>
      <c r="F2328" t="s">
        <v>43</v>
      </c>
      <c r="G2328" t="s">
        <v>43</v>
      </c>
      <c r="H2328" t="s">
        <v>43</v>
      </c>
      <c r="I2328" t="s">
        <v>43</v>
      </c>
      <c r="J2328" t="s">
        <v>43</v>
      </c>
      <c r="K2328" t="s">
        <v>43</v>
      </c>
      <c r="L2328" t="s">
        <v>43</v>
      </c>
      <c r="M2328" t="s">
        <v>43</v>
      </c>
      <c r="N2328" t="s">
        <v>45</v>
      </c>
      <c r="O2328" t="s">
        <v>43</v>
      </c>
      <c r="P2328" t="s">
        <v>43</v>
      </c>
      <c r="Q2328" t="s">
        <v>43</v>
      </c>
      <c r="R2328" t="s">
        <v>43</v>
      </c>
      <c r="S2328">
        <v>0</v>
      </c>
      <c r="T2328">
        <v>-40</v>
      </c>
      <c r="U2328">
        <v>48</v>
      </c>
      <c r="V2328">
        <v>0</v>
      </c>
      <c r="W2328" t="s">
        <v>43</v>
      </c>
      <c r="X2328" t="s">
        <v>43</v>
      </c>
      <c r="Y2328" t="s">
        <v>43</v>
      </c>
      <c r="Z2328" t="s">
        <v>43</v>
      </c>
      <c r="AA2328" t="s">
        <v>43</v>
      </c>
      <c r="AB2328" t="s">
        <v>43</v>
      </c>
      <c r="AC2328" t="s">
        <v>43</v>
      </c>
      <c r="AD2328" t="s">
        <v>43</v>
      </c>
      <c r="AE2328" t="s">
        <v>43</v>
      </c>
      <c r="AF2328" t="s">
        <v>43</v>
      </c>
      <c r="AG2328" t="s">
        <v>43</v>
      </c>
      <c r="AH2328" t="s">
        <v>43</v>
      </c>
      <c r="AI2328" t="s">
        <v>43</v>
      </c>
      <c r="AJ2328" t="s">
        <v>43</v>
      </c>
      <c r="AK2328" t="s">
        <v>43</v>
      </c>
      <c r="AL2328" t="s">
        <v>43</v>
      </c>
      <c r="AM2328" t="s">
        <v>43</v>
      </c>
      <c r="AN2328" t="s">
        <v>43</v>
      </c>
    </row>
    <row r="2329" spans="1:40" x14ac:dyDescent="0.3">
      <c r="A2329" s="1">
        <v>46210.730208333334</v>
      </c>
      <c r="B2329" t="s">
        <v>40</v>
      </c>
      <c r="C2329" t="s">
        <v>41</v>
      </c>
      <c r="D2329" s="1">
        <v>46210.734259259261</v>
      </c>
      <c r="E2329" t="s">
        <v>42</v>
      </c>
      <c r="F2329" t="s">
        <v>43</v>
      </c>
      <c r="G2329" t="s">
        <v>43</v>
      </c>
      <c r="H2329" t="s">
        <v>43</v>
      </c>
      <c r="I2329" t="s">
        <v>1176</v>
      </c>
      <c r="J2329" t="s">
        <v>43</v>
      </c>
      <c r="K2329" t="s">
        <v>43</v>
      </c>
      <c r="L2329" t="s">
        <v>43</v>
      </c>
      <c r="M2329" t="s">
        <v>43</v>
      </c>
      <c r="N2329" t="s">
        <v>45</v>
      </c>
      <c r="O2329" t="s">
        <v>43</v>
      </c>
      <c r="P2329" t="s">
        <v>43</v>
      </c>
      <c r="Q2329" t="s">
        <v>43</v>
      </c>
      <c r="R2329" t="s">
        <v>43</v>
      </c>
      <c r="S2329">
        <v>0</v>
      </c>
      <c r="T2329">
        <v>-40</v>
      </c>
      <c r="U2329">
        <v>48</v>
      </c>
      <c r="V2329">
        <v>0</v>
      </c>
      <c r="W2329" t="s">
        <v>43</v>
      </c>
      <c r="X2329" t="s">
        <v>43</v>
      </c>
      <c r="Y2329" t="s">
        <v>43</v>
      </c>
      <c r="Z2329" t="s">
        <v>43</v>
      </c>
      <c r="AA2329" t="s">
        <v>43</v>
      </c>
      <c r="AB2329" t="s">
        <v>43</v>
      </c>
      <c r="AC2329" t="s">
        <v>43</v>
      </c>
      <c r="AD2329" t="s">
        <v>43</v>
      </c>
      <c r="AE2329" t="s">
        <v>43</v>
      </c>
      <c r="AF2329" t="s">
        <v>43</v>
      </c>
      <c r="AG2329" t="s">
        <v>43</v>
      </c>
      <c r="AH2329" t="s">
        <v>43</v>
      </c>
      <c r="AI2329" t="s">
        <v>43</v>
      </c>
      <c r="AJ2329" t="s">
        <v>43</v>
      </c>
      <c r="AK2329" t="s">
        <v>43</v>
      </c>
      <c r="AL2329" t="s">
        <v>43</v>
      </c>
      <c r="AM2329" t="s">
        <v>43</v>
      </c>
      <c r="AN2329" t="str">
        <f>HYPERLINK("https://www.google.com/maps?q=10.89633274,79.10428619","Open Location")</f>
        <v>Open Location</v>
      </c>
    </row>
    <row r="2330" spans="1:40" x14ac:dyDescent="0.3">
      <c r="A2330" s="1">
        <v>46210.730092592596</v>
      </c>
      <c r="B2330" t="s">
        <v>40</v>
      </c>
      <c r="C2330" t="s">
        <v>41</v>
      </c>
      <c r="D2330" s="1">
        <v>46210.734282407408</v>
      </c>
      <c r="E2330" t="s">
        <v>42</v>
      </c>
      <c r="F2330" t="s">
        <v>43</v>
      </c>
      <c r="G2330" t="s">
        <v>43</v>
      </c>
      <c r="H2330" t="s">
        <v>43</v>
      </c>
      <c r="I2330" t="s">
        <v>1177</v>
      </c>
      <c r="J2330" t="s">
        <v>43</v>
      </c>
      <c r="K2330" t="s">
        <v>43</v>
      </c>
      <c r="L2330" t="s">
        <v>43</v>
      </c>
      <c r="M2330" t="s">
        <v>43</v>
      </c>
      <c r="N2330" t="s">
        <v>45</v>
      </c>
      <c r="O2330" t="s">
        <v>43</v>
      </c>
      <c r="P2330" t="s">
        <v>43</v>
      </c>
      <c r="Q2330" t="s">
        <v>43</v>
      </c>
      <c r="R2330" t="s">
        <v>43</v>
      </c>
      <c r="S2330">
        <v>0</v>
      </c>
      <c r="T2330">
        <v>-40</v>
      </c>
      <c r="U2330">
        <v>48</v>
      </c>
      <c r="V2330">
        <v>0</v>
      </c>
      <c r="W2330" t="s">
        <v>43</v>
      </c>
      <c r="X2330" t="s">
        <v>43</v>
      </c>
      <c r="Y2330" t="s">
        <v>43</v>
      </c>
      <c r="Z2330" t="s">
        <v>43</v>
      </c>
      <c r="AA2330" t="s">
        <v>43</v>
      </c>
      <c r="AB2330" t="s">
        <v>43</v>
      </c>
      <c r="AC2330" t="s">
        <v>43</v>
      </c>
      <c r="AD2330" t="s">
        <v>43</v>
      </c>
      <c r="AE2330" t="s">
        <v>43</v>
      </c>
      <c r="AF2330" t="s">
        <v>43</v>
      </c>
      <c r="AG2330" t="s">
        <v>43</v>
      </c>
      <c r="AH2330" t="s">
        <v>43</v>
      </c>
      <c r="AI2330" t="s">
        <v>43</v>
      </c>
      <c r="AJ2330" t="s">
        <v>43</v>
      </c>
      <c r="AK2330" t="s">
        <v>43</v>
      </c>
      <c r="AL2330" t="s">
        <v>43</v>
      </c>
      <c r="AM2330" t="s">
        <v>43</v>
      </c>
      <c r="AN2330" t="str">
        <f>HYPERLINK("https://www.google.com/maps?q=10.89633083,79.10429382","Open Location")</f>
        <v>Open Location</v>
      </c>
    </row>
    <row r="2331" spans="1:40" x14ac:dyDescent="0.3">
      <c r="A2331" s="1">
        <v>46210.72997685185</v>
      </c>
      <c r="B2331" t="s">
        <v>40</v>
      </c>
      <c r="C2331" t="s">
        <v>41</v>
      </c>
      <c r="D2331" s="1">
        <v>46210.733483796299</v>
      </c>
      <c r="E2331" t="s">
        <v>42</v>
      </c>
      <c r="F2331" t="s">
        <v>43</v>
      </c>
      <c r="G2331" t="s">
        <v>43</v>
      </c>
      <c r="H2331" t="s">
        <v>43</v>
      </c>
      <c r="I2331" t="s">
        <v>1178</v>
      </c>
      <c r="J2331" t="s">
        <v>43</v>
      </c>
      <c r="K2331" t="s">
        <v>43</v>
      </c>
      <c r="L2331" t="s">
        <v>43</v>
      </c>
      <c r="M2331" t="s">
        <v>43</v>
      </c>
      <c r="N2331" t="s">
        <v>45</v>
      </c>
      <c r="O2331" t="s">
        <v>43</v>
      </c>
      <c r="P2331" t="s">
        <v>43</v>
      </c>
      <c r="Q2331" t="s">
        <v>43</v>
      </c>
      <c r="R2331" t="s">
        <v>43</v>
      </c>
      <c r="S2331">
        <v>0</v>
      </c>
      <c r="T2331">
        <v>-40</v>
      </c>
      <c r="U2331">
        <v>48</v>
      </c>
      <c r="V2331">
        <v>0</v>
      </c>
      <c r="W2331" t="s">
        <v>43</v>
      </c>
      <c r="X2331" t="s">
        <v>43</v>
      </c>
      <c r="Y2331" t="s">
        <v>43</v>
      </c>
      <c r="Z2331" t="s">
        <v>43</v>
      </c>
      <c r="AA2331" t="s">
        <v>43</v>
      </c>
      <c r="AB2331" t="s">
        <v>43</v>
      </c>
      <c r="AC2331" t="s">
        <v>43</v>
      </c>
      <c r="AD2331" t="s">
        <v>43</v>
      </c>
      <c r="AE2331" t="s">
        <v>43</v>
      </c>
      <c r="AF2331" t="s">
        <v>43</v>
      </c>
      <c r="AG2331" t="s">
        <v>43</v>
      </c>
      <c r="AH2331" t="s">
        <v>43</v>
      </c>
      <c r="AI2331" t="s">
        <v>43</v>
      </c>
      <c r="AJ2331" t="s">
        <v>43</v>
      </c>
      <c r="AK2331" t="s">
        <v>43</v>
      </c>
      <c r="AL2331" t="s">
        <v>43</v>
      </c>
      <c r="AM2331" t="s">
        <v>43</v>
      </c>
      <c r="AN2331" t="str">
        <f>HYPERLINK("https://www.google.com/maps?q=10.89633179,79.10430145","Open Location")</f>
        <v>Open Location</v>
      </c>
    </row>
    <row r="2332" spans="1:40" x14ac:dyDescent="0.3">
      <c r="A2332" s="1">
        <v>46210.729861111111</v>
      </c>
      <c r="B2332" t="s">
        <v>40</v>
      </c>
      <c r="C2332" t="s">
        <v>41</v>
      </c>
      <c r="D2332" s="1">
        <v>46210.73332175926</v>
      </c>
      <c r="E2332" t="s">
        <v>42</v>
      </c>
      <c r="F2332" t="s">
        <v>43</v>
      </c>
      <c r="G2332" t="s">
        <v>43</v>
      </c>
      <c r="H2332" t="s">
        <v>43</v>
      </c>
      <c r="I2332" t="s">
        <v>1179</v>
      </c>
      <c r="J2332" t="s">
        <v>43</v>
      </c>
      <c r="K2332" t="s">
        <v>43</v>
      </c>
      <c r="L2332" t="s">
        <v>43</v>
      </c>
      <c r="M2332" t="s">
        <v>43</v>
      </c>
      <c r="N2332" t="s">
        <v>45</v>
      </c>
      <c r="O2332" t="s">
        <v>43</v>
      </c>
      <c r="P2332" t="s">
        <v>43</v>
      </c>
      <c r="Q2332" t="s">
        <v>43</v>
      </c>
      <c r="R2332" t="s">
        <v>43</v>
      </c>
      <c r="S2332">
        <v>0</v>
      </c>
      <c r="T2332">
        <v>-40</v>
      </c>
      <c r="U2332">
        <v>48</v>
      </c>
      <c r="V2332">
        <v>0</v>
      </c>
      <c r="W2332" t="s">
        <v>43</v>
      </c>
      <c r="X2332" t="s">
        <v>43</v>
      </c>
      <c r="Y2332" t="s">
        <v>43</v>
      </c>
      <c r="Z2332" t="s">
        <v>43</v>
      </c>
      <c r="AA2332" t="s">
        <v>43</v>
      </c>
      <c r="AB2332" t="s">
        <v>43</v>
      </c>
      <c r="AC2332" t="s">
        <v>43</v>
      </c>
      <c r="AD2332" t="s">
        <v>43</v>
      </c>
      <c r="AE2332" t="s">
        <v>43</v>
      </c>
      <c r="AF2332" t="s">
        <v>43</v>
      </c>
      <c r="AG2332" t="s">
        <v>43</v>
      </c>
      <c r="AH2332" t="s">
        <v>43</v>
      </c>
      <c r="AI2332" t="s">
        <v>43</v>
      </c>
      <c r="AJ2332" t="s">
        <v>43</v>
      </c>
      <c r="AK2332" t="s">
        <v>43</v>
      </c>
      <c r="AL2332" t="s">
        <v>43</v>
      </c>
      <c r="AM2332" t="s">
        <v>43</v>
      </c>
      <c r="AN2332" t="str">
        <f>HYPERLINK("https://www.google.com/maps?q=10.89633656,79.10430145","Open Location")</f>
        <v>Open Location</v>
      </c>
    </row>
    <row r="2333" spans="1:40" x14ac:dyDescent="0.3">
      <c r="A2333" s="1">
        <v>46210.729745370372</v>
      </c>
      <c r="B2333" t="s">
        <v>40</v>
      </c>
      <c r="C2333" t="s">
        <v>41</v>
      </c>
      <c r="D2333" s="1">
        <v>46210.734143518515</v>
      </c>
      <c r="E2333" t="s">
        <v>42</v>
      </c>
      <c r="F2333" t="s">
        <v>43</v>
      </c>
      <c r="G2333" t="s">
        <v>43</v>
      </c>
      <c r="H2333" t="s">
        <v>43</v>
      </c>
      <c r="I2333" t="s">
        <v>43</v>
      </c>
      <c r="J2333" t="s">
        <v>43</v>
      </c>
      <c r="K2333" t="s">
        <v>43</v>
      </c>
      <c r="L2333" t="s">
        <v>43</v>
      </c>
      <c r="M2333" t="s">
        <v>43</v>
      </c>
      <c r="N2333" t="s">
        <v>45</v>
      </c>
      <c r="O2333" t="s">
        <v>43</v>
      </c>
      <c r="P2333" t="s">
        <v>43</v>
      </c>
      <c r="Q2333" t="s">
        <v>43</v>
      </c>
      <c r="R2333" t="s">
        <v>43</v>
      </c>
      <c r="S2333">
        <v>0</v>
      </c>
      <c r="T2333">
        <v>-40</v>
      </c>
      <c r="U2333">
        <v>48</v>
      </c>
      <c r="V2333">
        <v>0</v>
      </c>
      <c r="W2333" t="s">
        <v>43</v>
      </c>
      <c r="X2333" t="s">
        <v>43</v>
      </c>
      <c r="Y2333" t="s">
        <v>43</v>
      </c>
      <c r="Z2333" t="s">
        <v>43</v>
      </c>
      <c r="AA2333" t="s">
        <v>43</v>
      </c>
      <c r="AB2333" t="s">
        <v>43</v>
      </c>
      <c r="AC2333" t="s">
        <v>43</v>
      </c>
      <c r="AD2333" t="s">
        <v>43</v>
      </c>
      <c r="AE2333" t="s">
        <v>43</v>
      </c>
      <c r="AF2333" t="s">
        <v>43</v>
      </c>
      <c r="AG2333" t="s">
        <v>43</v>
      </c>
      <c r="AH2333" t="s">
        <v>43</v>
      </c>
      <c r="AI2333" t="s">
        <v>43</v>
      </c>
      <c r="AJ2333" t="s">
        <v>43</v>
      </c>
      <c r="AK2333" t="s">
        <v>43</v>
      </c>
      <c r="AL2333" t="s">
        <v>43</v>
      </c>
      <c r="AM2333" t="s">
        <v>43</v>
      </c>
      <c r="AN2333" t="s">
        <v>43</v>
      </c>
    </row>
    <row r="2334" spans="1:40" x14ac:dyDescent="0.3">
      <c r="A2334" s="1">
        <v>46210.729629629626</v>
      </c>
      <c r="B2334" t="s">
        <v>40</v>
      </c>
      <c r="C2334" t="s">
        <v>41</v>
      </c>
      <c r="D2334" s="1">
        <v>46210.734502314815</v>
      </c>
      <c r="E2334" t="s">
        <v>42</v>
      </c>
      <c r="F2334" t="s">
        <v>43</v>
      </c>
      <c r="G2334" t="s">
        <v>43</v>
      </c>
      <c r="H2334" t="s">
        <v>43</v>
      </c>
      <c r="I2334" t="s">
        <v>1179</v>
      </c>
      <c r="J2334" t="s">
        <v>43</v>
      </c>
      <c r="K2334" t="s">
        <v>43</v>
      </c>
      <c r="L2334" t="s">
        <v>43</v>
      </c>
      <c r="M2334" t="s">
        <v>43</v>
      </c>
      <c r="N2334" t="s">
        <v>45</v>
      </c>
      <c r="O2334" t="s">
        <v>43</v>
      </c>
      <c r="P2334" t="s">
        <v>43</v>
      </c>
      <c r="Q2334" t="s">
        <v>43</v>
      </c>
      <c r="R2334" t="s">
        <v>43</v>
      </c>
      <c r="S2334">
        <v>0</v>
      </c>
      <c r="T2334">
        <v>-40</v>
      </c>
      <c r="U2334">
        <v>48</v>
      </c>
      <c r="V2334">
        <v>0</v>
      </c>
      <c r="W2334" t="s">
        <v>43</v>
      </c>
      <c r="X2334" t="s">
        <v>43</v>
      </c>
      <c r="Y2334" t="s">
        <v>43</v>
      </c>
      <c r="Z2334" t="s">
        <v>43</v>
      </c>
      <c r="AA2334" t="s">
        <v>43</v>
      </c>
      <c r="AB2334" t="s">
        <v>43</v>
      </c>
      <c r="AC2334" t="s">
        <v>43</v>
      </c>
      <c r="AD2334" t="s">
        <v>43</v>
      </c>
      <c r="AE2334" t="s">
        <v>43</v>
      </c>
      <c r="AF2334" t="s">
        <v>43</v>
      </c>
      <c r="AG2334" t="s">
        <v>43</v>
      </c>
      <c r="AH2334" t="s">
        <v>43</v>
      </c>
      <c r="AI2334" t="s">
        <v>43</v>
      </c>
      <c r="AJ2334" t="s">
        <v>43</v>
      </c>
      <c r="AK2334" t="s">
        <v>43</v>
      </c>
      <c r="AL2334" t="s">
        <v>43</v>
      </c>
      <c r="AM2334" t="s">
        <v>43</v>
      </c>
      <c r="AN2334" t="str">
        <f>HYPERLINK("https://www.google.com/maps?q=10.89633656,79.10430145","Open Location")</f>
        <v>Open Location</v>
      </c>
    </row>
    <row r="2335" spans="1:40" x14ac:dyDescent="0.3">
      <c r="A2335" s="1">
        <v>46210.729513888888</v>
      </c>
      <c r="B2335" t="s">
        <v>40</v>
      </c>
      <c r="C2335" t="s">
        <v>41</v>
      </c>
      <c r="D2335" s="1">
        <v>46210.7340625</v>
      </c>
      <c r="E2335" t="s">
        <v>42</v>
      </c>
      <c r="F2335" t="s">
        <v>83</v>
      </c>
      <c r="G2335">
        <v>0</v>
      </c>
      <c r="H2335">
        <v>33186</v>
      </c>
      <c r="I2335" t="s">
        <v>1179</v>
      </c>
      <c r="J2335">
        <v>50</v>
      </c>
      <c r="K2335">
        <v>5</v>
      </c>
      <c r="L2335">
        <v>98</v>
      </c>
      <c r="M2335">
        <v>629.40002441000001</v>
      </c>
      <c r="N2335" t="s">
        <v>81</v>
      </c>
      <c r="O2335" t="s">
        <v>86</v>
      </c>
      <c r="P2335">
        <v>125</v>
      </c>
      <c r="Q2335" t="s">
        <v>82</v>
      </c>
      <c r="R2335">
        <v>0</v>
      </c>
      <c r="S2335">
        <v>344</v>
      </c>
      <c r="T2335">
        <v>-40</v>
      </c>
      <c r="U2335">
        <v>48</v>
      </c>
      <c r="V2335">
        <v>0</v>
      </c>
      <c r="W2335">
        <v>27</v>
      </c>
      <c r="X2335">
        <v>27</v>
      </c>
      <c r="Y2335">
        <v>1</v>
      </c>
      <c r="Z2335">
        <v>8</v>
      </c>
      <c r="AA2335">
        <v>23</v>
      </c>
      <c r="AB2335">
        <v>2</v>
      </c>
      <c r="AC2335">
        <v>6</v>
      </c>
      <c r="AD2335">
        <v>3.2809998999999999</v>
      </c>
      <c r="AE2335">
        <v>1</v>
      </c>
      <c r="AF2335">
        <v>43</v>
      </c>
      <c r="AG2335">
        <v>3.2780001200000002</v>
      </c>
      <c r="AH2335">
        <v>1</v>
      </c>
      <c r="AI2335">
        <v>4</v>
      </c>
      <c r="AJ2335">
        <v>1</v>
      </c>
      <c r="AK2335">
        <v>20</v>
      </c>
      <c r="AL2335">
        <v>47</v>
      </c>
      <c r="AM2335" t="s">
        <v>43</v>
      </c>
      <c r="AN2335" t="str">
        <f>HYPERLINK("https://www.google.com/maps?q=10.89633656,79.10430145","Open Location")</f>
        <v>Open Location</v>
      </c>
    </row>
    <row r="2336" spans="1:40" x14ac:dyDescent="0.3">
      <c r="A2336" s="1">
        <v>46210.729398148149</v>
      </c>
      <c r="B2336" t="s">
        <v>40</v>
      </c>
      <c r="C2336" t="s">
        <v>41</v>
      </c>
      <c r="D2336" s="1">
        <v>46210.733217592591</v>
      </c>
      <c r="E2336" t="s">
        <v>42</v>
      </c>
      <c r="F2336" t="s">
        <v>83</v>
      </c>
      <c r="G2336">
        <v>8</v>
      </c>
      <c r="H2336" t="s">
        <v>43</v>
      </c>
      <c r="I2336" t="s">
        <v>1180</v>
      </c>
      <c r="J2336">
        <v>50</v>
      </c>
      <c r="K2336">
        <v>-37</v>
      </c>
      <c r="L2336">
        <v>98</v>
      </c>
      <c r="M2336">
        <v>631.5</v>
      </c>
      <c r="N2336" t="s">
        <v>87</v>
      </c>
      <c r="O2336" t="s">
        <v>86</v>
      </c>
      <c r="P2336">
        <v>129</v>
      </c>
      <c r="Q2336">
        <v>2</v>
      </c>
      <c r="R2336">
        <v>0</v>
      </c>
      <c r="S2336">
        <v>873</v>
      </c>
      <c r="T2336">
        <v>-40</v>
      </c>
      <c r="U2336">
        <v>49</v>
      </c>
      <c r="V2336">
        <v>-120</v>
      </c>
      <c r="W2336">
        <v>27</v>
      </c>
      <c r="X2336">
        <v>27</v>
      </c>
      <c r="Y2336">
        <v>1</v>
      </c>
      <c r="Z2336">
        <v>8</v>
      </c>
      <c r="AA2336">
        <v>24</v>
      </c>
      <c r="AB2336">
        <v>1</v>
      </c>
      <c r="AC2336">
        <v>3</v>
      </c>
      <c r="AD2336">
        <v>3.2820000600000001</v>
      </c>
      <c r="AE2336">
        <v>1</v>
      </c>
      <c r="AF2336">
        <v>43</v>
      </c>
      <c r="AG2336">
        <v>3.2790000400000001</v>
      </c>
      <c r="AH2336">
        <v>1</v>
      </c>
      <c r="AI2336">
        <v>4</v>
      </c>
      <c r="AJ2336">
        <v>1</v>
      </c>
      <c r="AK2336">
        <v>20</v>
      </c>
      <c r="AL2336">
        <v>47</v>
      </c>
      <c r="AM2336" t="s">
        <v>43</v>
      </c>
      <c r="AN2336" t="str">
        <f>HYPERLINK("https://www.google.com/maps?q=10.89617062,79.1043396","Open Location")</f>
        <v>Open Location</v>
      </c>
    </row>
    <row r="2337" spans="1:40" x14ac:dyDescent="0.3">
      <c r="A2337" s="1">
        <v>46210.72928240741</v>
      </c>
      <c r="B2337" t="s">
        <v>40</v>
      </c>
      <c r="C2337" t="s">
        <v>41</v>
      </c>
      <c r="D2337" s="1">
        <v>46210.733252314814</v>
      </c>
      <c r="E2337" t="s">
        <v>42</v>
      </c>
      <c r="F2337" t="s">
        <v>83</v>
      </c>
      <c r="G2337">
        <v>15</v>
      </c>
      <c r="H2337">
        <v>33186</v>
      </c>
      <c r="I2337" t="s">
        <v>1181</v>
      </c>
      <c r="J2337">
        <v>50</v>
      </c>
      <c r="K2337">
        <v>49</v>
      </c>
      <c r="L2337">
        <v>98</v>
      </c>
      <c r="M2337">
        <v>625.40002441000001</v>
      </c>
      <c r="N2337" t="s">
        <v>87</v>
      </c>
      <c r="O2337" t="s">
        <v>86</v>
      </c>
      <c r="P2337">
        <v>129</v>
      </c>
      <c r="Q2337">
        <v>4</v>
      </c>
      <c r="R2337">
        <v>-13</v>
      </c>
      <c r="S2337">
        <v>1321</v>
      </c>
      <c r="T2337">
        <v>-40</v>
      </c>
      <c r="U2337">
        <v>50</v>
      </c>
      <c r="V2337">
        <v>200</v>
      </c>
      <c r="W2337">
        <v>27</v>
      </c>
      <c r="X2337">
        <v>27</v>
      </c>
      <c r="Y2337">
        <v>1</v>
      </c>
      <c r="Z2337">
        <v>8</v>
      </c>
      <c r="AA2337">
        <v>24</v>
      </c>
      <c r="AB2337">
        <v>1</v>
      </c>
      <c r="AC2337">
        <v>3</v>
      </c>
      <c r="AD2337">
        <v>3.27999997</v>
      </c>
      <c r="AE2337">
        <v>1</v>
      </c>
      <c r="AF2337">
        <v>36</v>
      </c>
      <c r="AG2337">
        <v>3.27699995</v>
      </c>
      <c r="AH2337">
        <v>2</v>
      </c>
      <c r="AI2337">
        <v>6</v>
      </c>
      <c r="AJ2337">
        <v>1</v>
      </c>
      <c r="AK2337">
        <v>19</v>
      </c>
      <c r="AL2337">
        <v>47</v>
      </c>
      <c r="AM2337" t="s">
        <v>43</v>
      </c>
      <c r="AN2337" t="str">
        <f>HYPERLINK("https://www.google.com/maps?q=10.89574623,79.10430908","Open Location")</f>
        <v>Open Location</v>
      </c>
    </row>
    <row r="2338" spans="1:40" x14ac:dyDescent="0.3">
      <c r="A2338" s="1">
        <v>46210.729166666664</v>
      </c>
      <c r="B2338" t="s">
        <v>40</v>
      </c>
      <c r="C2338" t="s">
        <v>41</v>
      </c>
      <c r="D2338" s="1">
        <v>46210.732245370367</v>
      </c>
      <c r="E2338" t="s">
        <v>42</v>
      </c>
      <c r="F2338" t="s">
        <v>83</v>
      </c>
      <c r="G2338">
        <v>18</v>
      </c>
      <c r="H2338">
        <v>33186</v>
      </c>
      <c r="I2338" t="s">
        <v>1182</v>
      </c>
      <c r="J2338">
        <v>50</v>
      </c>
      <c r="K2338">
        <v>69</v>
      </c>
      <c r="L2338">
        <v>98</v>
      </c>
      <c r="M2338">
        <v>624.29998779000005</v>
      </c>
      <c r="N2338" t="s">
        <v>87</v>
      </c>
      <c r="O2338" t="s">
        <v>86</v>
      </c>
      <c r="P2338">
        <v>129</v>
      </c>
      <c r="Q2338">
        <v>4</v>
      </c>
      <c r="R2338">
        <v>16</v>
      </c>
      <c r="S2338">
        <v>1376</v>
      </c>
      <c r="T2338">
        <v>-40</v>
      </c>
      <c r="U2338">
        <v>51</v>
      </c>
      <c r="V2338">
        <v>280</v>
      </c>
      <c r="W2338">
        <v>27</v>
      </c>
      <c r="X2338">
        <v>27</v>
      </c>
      <c r="Y2338">
        <v>1</v>
      </c>
      <c r="Z2338">
        <v>8</v>
      </c>
      <c r="AA2338">
        <v>24</v>
      </c>
      <c r="AB2338">
        <v>1</v>
      </c>
      <c r="AC2338">
        <v>3</v>
      </c>
      <c r="AD2338">
        <v>3.2690000499999998</v>
      </c>
      <c r="AE2338">
        <v>1</v>
      </c>
      <c r="AF2338">
        <v>41</v>
      </c>
      <c r="AG2338">
        <v>3.2630000099999998</v>
      </c>
      <c r="AH2338">
        <v>4</v>
      </c>
      <c r="AI2338">
        <v>17</v>
      </c>
      <c r="AJ2338">
        <v>1</v>
      </c>
      <c r="AK2338">
        <v>19</v>
      </c>
      <c r="AL2338">
        <v>47</v>
      </c>
      <c r="AM2338" t="s">
        <v>43</v>
      </c>
      <c r="AN2338" t="str">
        <f>HYPERLINK("https://www.google.com/maps?q=10.89520931,79.10437012","Open Location")</f>
        <v>Open Location</v>
      </c>
    </row>
    <row r="2339" spans="1:40" x14ac:dyDescent="0.3">
      <c r="A2339" s="1">
        <v>46210.729050925926</v>
      </c>
      <c r="B2339" t="s">
        <v>40</v>
      </c>
      <c r="C2339" t="s">
        <v>41</v>
      </c>
      <c r="D2339" s="1">
        <v>46210.733900462961</v>
      </c>
      <c r="E2339" t="s">
        <v>42</v>
      </c>
      <c r="F2339" t="s">
        <v>83</v>
      </c>
      <c r="G2339">
        <v>17</v>
      </c>
      <c r="H2339">
        <v>33186</v>
      </c>
      <c r="I2339" t="s">
        <v>43</v>
      </c>
      <c r="J2339">
        <v>50</v>
      </c>
      <c r="K2339">
        <v>123</v>
      </c>
      <c r="L2339">
        <v>98</v>
      </c>
      <c r="M2339">
        <v>622.40002441000001</v>
      </c>
      <c r="N2339" t="s">
        <v>87</v>
      </c>
      <c r="O2339" t="s">
        <v>86</v>
      </c>
      <c r="P2339">
        <v>129</v>
      </c>
      <c r="Q2339">
        <v>4</v>
      </c>
      <c r="R2339">
        <v>75</v>
      </c>
      <c r="S2339">
        <v>1765</v>
      </c>
      <c r="T2339">
        <v>-40</v>
      </c>
      <c r="U2339">
        <v>52</v>
      </c>
      <c r="V2339">
        <v>388</v>
      </c>
      <c r="W2339">
        <v>27</v>
      </c>
      <c r="X2339">
        <v>27</v>
      </c>
      <c r="Y2339">
        <v>1</v>
      </c>
      <c r="Z2339">
        <v>8</v>
      </c>
      <c r="AA2339">
        <v>24</v>
      </c>
      <c r="AB2339">
        <v>1</v>
      </c>
      <c r="AC2339">
        <v>3</v>
      </c>
      <c r="AD2339">
        <v>3.2569999699999999</v>
      </c>
      <c r="AE2339">
        <v>5</v>
      </c>
      <c r="AF2339">
        <v>38</v>
      </c>
      <c r="AG2339">
        <v>3.24699998</v>
      </c>
      <c r="AH2339">
        <v>4</v>
      </c>
      <c r="AI2339">
        <v>17</v>
      </c>
      <c r="AJ2339">
        <v>1</v>
      </c>
      <c r="AK2339">
        <v>17</v>
      </c>
      <c r="AL2339">
        <v>47</v>
      </c>
      <c r="AM2339" t="s">
        <v>43</v>
      </c>
      <c r="AN2339" t="s">
        <v>43</v>
      </c>
    </row>
    <row r="2340" spans="1:40" x14ac:dyDescent="0.3">
      <c r="A2340" s="1">
        <v>46210.728935185187</v>
      </c>
      <c r="B2340" t="s">
        <v>40</v>
      </c>
      <c r="C2340" t="s">
        <v>41</v>
      </c>
      <c r="D2340" s="1">
        <v>46210.734282407408</v>
      </c>
      <c r="E2340" t="s">
        <v>42</v>
      </c>
      <c r="F2340" t="s">
        <v>83</v>
      </c>
      <c r="G2340">
        <v>12</v>
      </c>
      <c r="H2340">
        <v>33186</v>
      </c>
      <c r="I2340" t="s">
        <v>1183</v>
      </c>
      <c r="J2340">
        <v>50</v>
      </c>
      <c r="K2340">
        <v>6</v>
      </c>
      <c r="L2340">
        <v>98</v>
      </c>
      <c r="M2340">
        <v>627.29998779000005</v>
      </c>
      <c r="N2340" t="s">
        <v>87</v>
      </c>
      <c r="O2340" t="s">
        <v>86</v>
      </c>
      <c r="P2340">
        <v>128</v>
      </c>
      <c r="Q2340">
        <v>3</v>
      </c>
      <c r="R2340">
        <v>73</v>
      </c>
      <c r="S2340">
        <v>1128</v>
      </c>
      <c r="T2340">
        <v>-40</v>
      </c>
      <c r="U2340">
        <v>52</v>
      </c>
      <c r="V2340">
        <v>-52</v>
      </c>
      <c r="W2340">
        <v>27</v>
      </c>
      <c r="X2340">
        <v>27</v>
      </c>
      <c r="Y2340">
        <v>1</v>
      </c>
      <c r="Z2340">
        <v>8</v>
      </c>
      <c r="AA2340">
        <v>23</v>
      </c>
      <c r="AB2340">
        <v>2</v>
      </c>
      <c r="AC2340">
        <v>6</v>
      </c>
      <c r="AD2340">
        <v>3.2539999499999999</v>
      </c>
      <c r="AE2340">
        <v>5</v>
      </c>
      <c r="AF2340">
        <v>38</v>
      </c>
      <c r="AG2340">
        <v>3.24099994</v>
      </c>
      <c r="AH2340">
        <v>4</v>
      </c>
      <c r="AI2340">
        <v>17</v>
      </c>
      <c r="AJ2340">
        <v>1</v>
      </c>
      <c r="AK2340">
        <v>17</v>
      </c>
      <c r="AL2340">
        <v>47</v>
      </c>
      <c r="AM2340" t="s">
        <v>43</v>
      </c>
      <c r="AN2340" t="str">
        <f>HYPERLINK("https://www.google.com/maps?q=10.89474392,79.10424042","Open Location")</f>
        <v>Open Location</v>
      </c>
    </row>
    <row r="2341" spans="1:40" x14ac:dyDescent="0.3">
      <c r="A2341" s="1">
        <v>46210.728819444441</v>
      </c>
      <c r="B2341" t="s">
        <v>40</v>
      </c>
      <c r="C2341" t="s">
        <v>41</v>
      </c>
      <c r="D2341" s="1">
        <v>46210.734282407408</v>
      </c>
      <c r="E2341" t="s">
        <v>42</v>
      </c>
      <c r="F2341" t="s">
        <v>83</v>
      </c>
      <c r="G2341">
        <v>6</v>
      </c>
      <c r="H2341">
        <v>33186</v>
      </c>
      <c r="I2341" t="s">
        <v>1184</v>
      </c>
      <c r="J2341">
        <v>50</v>
      </c>
      <c r="K2341">
        <v>11</v>
      </c>
      <c r="L2341">
        <v>98</v>
      </c>
      <c r="M2341">
        <v>628.79998779000005</v>
      </c>
      <c r="N2341" t="s">
        <v>87</v>
      </c>
      <c r="O2341" t="s">
        <v>86</v>
      </c>
      <c r="P2341">
        <v>127</v>
      </c>
      <c r="Q2341">
        <v>2</v>
      </c>
      <c r="R2341">
        <v>35</v>
      </c>
      <c r="S2341">
        <v>7</v>
      </c>
      <c r="T2341">
        <v>-40</v>
      </c>
      <c r="U2341">
        <v>50</v>
      </c>
      <c r="V2341">
        <v>5</v>
      </c>
      <c r="W2341">
        <v>27</v>
      </c>
      <c r="X2341">
        <v>27</v>
      </c>
      <c r="Y2341">
        <v>1</v>
      </c>
      <c r="Z2341">
        <v>8</v>
      </c>
      <c r="AA2341">
        <v>24</v>
      </c>
      <c r="AB2341">
        <v>1</v>
      </c>
      <c r="AC2341">
        <v>3</v>
      </c>
      <c r="AD2341">
        <v>3.2690000499999998</v>
      </c>
      <c r="AE2341">
        <v>5</v>
      </c>
      <c r="AF2341">
        <v>38</v>
      </c>
      <c r="AG2341">
        <v>3.2599999899999998</v>
      </c>
      <c r="AH2341">
        <v>4</v>
      </c>
      <c r="AI2341">
        <v>17</v>
      </c>
      <c r="AJ2341">
        <v>1</v>
      </c>
      <c r="AK2341">
        <v>17</v>
      </c>
      <c r="AL2341">
        <v>47</v>
      </c>
      <c r="AM2341" t="s">
        <v>43</v>
      </c>
      <c r="AN2341" t="str">
        <f>HYPERLINK("https://www.google.com/maps?q=10.89457798,79.10405731","Open Location")</f>
        <v>Open Location</v>
      </c>
    </row>
    <row r="2342" spans="1:40" x14ac:dyDescent="0.3">
      <c r="A2342" s="1">
        <v>46210.728703703702</v>
      </c>
      <c r="B2342" t="s">
        <v>40</v>
      </c>
      <c r="C2342" t="s">
        <v>41</v>
      </c>
      <c r="D2342" s="1">
        <v>46210.733287037037</v>
      </c>
      <c r="E2342" t="s">
        <v>42</v>
      </c>
      <c r="F2342" t="s">
        <v>83</v>
      </c>
      <c r="G2342">
        <v>0</v>
      </c>
      <c r="H2342">
        <v>33186</v>
      </c>
      <c r="I2342" t="s">
        <v>1185</v>
      </c>
      <c r="J2342">
        <v>50</v>
      </c>
      <c r="K2342">
        <v>4</v>
      </c>
      <c r="L2342">
        <v>98</v>
      </c>
      <c r="M2342">
        <v>629.70001220999995</v>
      </c>
      <c r="N2342" t="s">
        <v>85</v>
      </c>
      <c r="O2342" t="s">
        <v>86</v>
      </c>
      <c r="P2342">
        <v>127</v>
      </c>
      <c r="Q2342">
        <v>2</v>
      </c>
      <c r="R2342">
        <v>0</v>
      </c>
      <c r="S2342">
        <v>0</v>
      </c>
      <c r="T2342">
        <v>-40</v>
      </c>
      <c r="U2342">
        <v>48</v>
      </c>
      <c r="V2342">
        <v>5</v>
      </c>
      <c r="W2342">
        <v>27</v>
      </c>
      <c r="X2342">
        <v>27</v>
      </c>
      <c r="Y2342">
        <v>1</v>
      </c>
      <c r="Z2342">
        <v>8</v>
      </c>
      <c r="AA2342">
        <v>24</v>
      </c>
      <c r="AB2342">
        <v>1</v>
      </c>
      <c r="AC2342">
        <v>3</v>
      </c>
      <c r="AD2342">
        <v>3.2820000600000001</v>
      </c>
      <c r="AE2342">
        <v>1</v>
      </c>
      <c r="AF2342">
        <v>36</v>
      </c>
      <c r="AG2342">
        <v>3.27699995</v>
      </c>
      <c r="AH2342">
        <v>6</v>
      </c>
      <c r="AI2342">
        <v>17</v>
      </c>
      <c r="AJ2342">
        <v>1</v>
      </c>
      <c r="AK2342">
        <v>17</v>
      </c>
      <c r="AL2342">
        <v>47</v>
      </c>
      <c r="AM2342" t="s">
        <v>43</v>
      </c>
      <c r="AN2342" t="str">
        <f>HYPERLINK("https://www.google.com/maps?q=10.89456558,79.10404968","Open Location")</f>
        <v>Open Location</v>
      </c>
    </row>
    <row r="2343" spans="1:40" x14ac:dyDescent="0.3">
      <c r="A2343" s="1">
        <v>46210.728587962964</v>
      </c>
      <c r="B2343" t="s">
        <v>40</v>
      </c>
      <c r="C2343" t="s">
        <v>41</v>
      </c>
      <c r="D2343" s="1">
        <v>46210.734201388892</v>
      </c>
      <c r="E2343" t="s">
        <v>42</v>
      </c>
      <c r="F2343" t="s">
        <v>83</v>
      </c>
      <c r="G2343">
        <v>0</v>
      </c>
      <c r="H2343">
        <v>33186</v>
      </c>
      <c r="I2343" t="s">
        <v>1186</v>
      </c>
      <c r="J2343">
        <v>50</v>
      </c>
      <c r="K2343">
        <v>4</v>
      </c>
      <c r="L2343">
        <v>98</v>
      </c>
      <c r="M2343">
        <v>629.59997558999999</v>
      </c>
      <c r="N2343" t="s">
        <v>85</v>
      </c>
      <c r="O2343" t="s">
        <v>82</v>
      </c>
      <c r="P2343">
        <v>125</v>
      </c>
      <c r="Q2343" t="s">
        <v>82</v>
      </c>
      <c r="R2343">
        <v>0</v>
      </c>
      <c r="S2343">
        <v>0</v>
      </c>
      <c r="T2343">
        <v>-40</v>
      </c>
      <c r="U2343">
        <v>48</v>
      </c>
      <c r="V2343">
        <v>0</v>
      </c>
      <c r="W2343">
        <v>27</v>
      </c>
      <c r="X2343">
        <v>27</v>
      </c>
      <c r="Y2343">
        <v>1</v>
      </c>
      <c r="Z2343">
        <v>8</v>
      </c>
      <c r="AA2343">
        <v>24</v>
      </c>
      <c r="AB2343">
        <v>1</v>
      </c>
      <c r="AC2343">
        <v>3</v>
      </c>
      <c r="AD2343">
        <v>3.28299999</v>
      </c>
      <c r="AE2343">
        <v>1</v>
      </c>
      <c r="AF2343">
        <v>25</v>
      </c>
      <c r="AG2343">
        <v>3.27999997</v>
      </c>
      <c r="AH2343">
        <v>2</v>
      </c>
      <c r="AI2343">
        <v>12</v>
      </c>
      <c r="AJ2343">
        <v>1</v>
      </c>
      <c r="AK2343">
        <v>17</v>
      </c>
      <c r="AL2343">
        <v>47</v>
      </c>
      <c r="AM2343" t="s">
        <v>43</v>
      </c>
      <c r="AN2343" t="str">
        <f>HYPERLINK("https://www.google.com/maps?q=10.89456367,79.10404205","Open Location")</f>
        <v>Open Location</v>
      </c>
    </row>
    <row r="2344" spans="1:40" x14ac:dyDescent="0.3">
      <c r="A2344" s="1">
        <v>46210.728472222225</v>
      </c>
      <c r="B2344" t="s">
        <v>40</v>
      </c>
      <c r="C2344" t="s">
        <v>41</v>
      </c>
      <c r="D2344" s="1">
        <v>46210.732175925928</v>
      </c>
      <c r="E2344" t="s">
        <v>42</v>
      </c>
      <c r="F2344" t="s">
        <v>83</v>
      </c>
      <c r="G2344">
        <v>0</v>
      </c>
      <c r="H2344">
        <v>33186</v>
      </c>
      <c r="I2344" t="s">
        <v>1187</v>
      </c>
      <c r="J2344">
        <v>50</v>
      </c>
      <c r="K2344">
        <v>4</v>
      </c>
      <c r="L2344">
        <v>98</v>
      </c>
      <c r="M2344">
        <v>629.29998779000005</v>
      </c>
      <c r="N2344" t="s">
        <v>85</v>
      </c>
      <c r="O2344" t="s">
        <v>82</v>
      </c>
      <c r="P2344">
        <v>125</v>
      </c>
      <c r="Q2344" t="s">
        <v>82</v>
      </c>
      <c r="R2344">
        <v>0</v>
      </c>
      <c r="S2344">
        <v>0</v>
      </c>
      <c r="T2344">
        <v>-40</v>
      </c>
      <c r="U2344">
        <v>48</v>
      </c>
      <c r="V2344">
        <v>0</v>
      </c>
      <c r="W2344">
        <v>27</v>
      </c>
      <c r="X2344">
        <v>27</v>
      </c>
      <c r="Y2344">
        <v>1</v>
      </c>
      <c r="Z2344">
        <v>8</v>
      </c>
      <c r="AA2344">
        <v>24</v>
      </c>
      <c r="AB2344">
        <v>1</v>
      </c>
      <c r="AC2344">
        <v>3</v>
      </c>
      <c r="AD2344">
        <v>3.28299999</v>
      </c>
      <c r="AE2344">
        <v>1</v>
      </c>
      <c r="AF2344">
        <v>36</v>
      </c>
      <c r="AG2344">
        <v>3.27999997</v>
      </c>
      <c r="AH2344">
        <v>1</v>
      </c>
      <c r="AI2344">
        <v>30</v>
      </c>
      <c r="AJ2344">
        <v>1</v>
      </c>
      <c r="AK2344">
        <v>17</v>
      </c>
      <c r="AL2344">
        <v>47</v>
      </c>
      <c r="AM2344" t="s">
        <v>43</v>
      </c>
      <c r="AN2344" t="str">
        <f>HYPERLINK("https://www.google.com/maps?q=10.89456654,79.10404968","Open Location")</f>
        <v>Open Location</v>
      </c>
    </row>
    <row r="2345" spans="1:40" x14ac:dyDescent="0.3">
      <c r="A2345" s="1">
        <v>46210.728356481479</v>
      </c>
      <c r="B2345" t="s">
        <v>40</v>
      </c>
      <c r="C2345" t="s">
        <v>41</v>
      </c>
      <c r="D2345" s="1">
        <v>46210.733252314814</v>
      </c>
      <c r="E2345" t="s">
        <v>42</v>
      </c>
      <c r="F2345" t="s">
        <v>83</v>
      </c>
      <c r="G2345">
        <v>0</v>
      </c>
      <c r="H2345">
        <v>33186</v>
      </c>
      <c r="I2345" t="s">
        <v>43</v>
      </c>
      <c r="J2345">
        <v>50</v>
      </c>
      <c r="K2345">
        <v>4</v>
      </c>
      <c r="L2345">
        <v>98</v>
      </c>
      <c r="M2345">
        <v>629.70001220999995</v>
      </c>
      <c r="N2345" t="s">
        <v>85</v>
      </c>
      <c r="O2345" t="s">
        <v>82</v>
      </c>
      <c r="P2345">
        <v>125</v>
      </c>
      <c r="Q2345" t="s">
        <v>82</v>
      </c>
      <c r="R2345">
        <v>0</v>
      </c>
      <c r="S2345">
        <v>0</v>
      </c>
      <c r="T2345">
        <v>-40</v>
      </c>
      <c r="U2345">
        <v>48</v>
      </c>
      <c r="V2345">
        <v>0</v>
      </c>
      <c r="W2345">
        <v>27</v>
      </c>
      <c r="X2345">
        <v>27</v>
      </c>
      <c r="Y2345">
        <v>1</v>
      </c>
      <c r="Z2345">
        <v>8</v>
      </c>
      <c r="AA2345">
        <v>24</v>
      </c>
      <c r="AB2345">
        <v>1</v>
      </c>
      <c r="AC2345">
        <v>3</v>
      </c>
      <c r="AD2345">
        <v>3.28299999</v>
      </c>
      <c r="AE2345">
        <v>1</v>
      </c>
      <c r="AF2345">
        <v>36</v>
      </c>
      <c r="AG2345">
        <v>3.27999997</v>
      </c>
      <c r="AH2345">
        <v>1</v>
      </c>
      <c r="AI2345">
        <v>4</v>
      </c>
      <c r="AJ2345">
        <v>1</v>
      </c>
      <c r="AK2345">
        <v>17</v>
      </c>
      <c r="AL2345">
        <v>47</v>
      </c>
      <c r="AM2345" t="s">
        <v>43</v>
      </c>
      <c r="AN2345" t="s">
        <v>43</v>
      </c>
    </row>
    <row r="2346" spans="1:40" x14ac:dyDescent="0.3">
      <c r="A2346" s="1">
        <v>46210.72824074074</v>
      </c>
      <c r="B2346" t="s">
        <v>40</v>
      </c>
      <c r="C2346" t="s">
        <v>41</v>
      </c>
      <c r="D2346" s="1">
        <v>46210.733113425929</v>
      </c>
      <c r="E2346" t="s">
        <v>42</v>
      </c>
      <c r="F2346" t="s">
        <v>83</v>
      </c>
      <c r="G2346">
        <v>0</v>
      </c>
      <c r="H2346">
        <v>33186</v>
      </c>
      <c r="I2346" t="s">
        <v>1188</v>
      </c>
      <c r="J2346">
        <v>50</v>
      </c>
      <c r="K2346">
        <v>3</v>
      </c>
      <c r="L2346">
        <v>98</v>
      </c>
      <c r="M2346">
        <v>629</v>
      </c>
      <c r="N2346" t="s">
        <v>85</v>
      </c>
      <c r="O2346" t="s">
        <v>82</v>
      </c>
      <c r="P2346">
        <v>125</v>
      </c>
      <c r="Q2346" t="s">
        <v>82</v>
      </c>
      <c r="R2346">
        <v>0</v>
      </c>
      <c r="S2346">
        <v>0</v>
      </c>
      <c r="T2346">
        <v>-40</v>
      </c>
      <c r="U2346">
        <v>48</v>
      </c>
      <c r="V2346">
        <v>0</v>
      </c>
      <c r="W2346">
        <v>27</v>
      </c>
      <c r="X2346">
        <v>27</v>
      </c>
      <c r="Y2346">
        <v>1</v>
      </c>
      <c r="Z2346">
        <v>8</v>
      </c>
      <c r="AA2346">
        <v>24</v>
      </c>
      <c r="AB2346">
        <v>1</v>
      </c>
      <c r="AC2346">
        <v>3</v>
      </c>
      <c r="AD2346">
        <v>3.2820000600000001</v>
      </c>
      <c r="AE2346">
        <v>1</v>
      </c>
      <c r="AF2346">
        <v>1</v>
      </c>
      <c r="AG2346">
        <v>3.27999997</v>
      </c>
      <c r="AH2346">
        <v>1</v>
      </c>
      <c r="AI2346">
        <v>4</v>
      </c>
      <c r="AJ2346">
        <v>1</v>
      </c>
      <c r="AK2346">
        <v>17</v>
      </c>
      <c r="AL2346">
        <v>47</v>
      </c>
      <c r="AM2346" t="s">
        <v>43</v>
      </c>
      <c r="AN2346" t="str">
        <f>HYPERLINK("https://www.google.com/maps?q=10.89456272,79.10404968","Open Location")</f>
        <v>Open Location</v>
      </c>
    </row>
    <row r="2347" spans="1:40" x14ac:dyDescent="0.3">
      <c r="A2347" s="1">
        <v>46210.728125000001</v>
      </c>
      <c r="B2347" t="s">
        <v>40</v>
      </c>
      <c r="C2347" t="s">
        <v>41</v>
      </c>
      <c r="D2347" s="1">
        <v>46210.733935185184</v>
      </c>
      <c r="E2347" t="s">
        <v>42</v>
      </c>
      <c r="F2347" t="s">
        <v>83</v>
      </c>
      <c r="G2347">
        <v>0</v>
      </c>
      <c r="H2347">
        <v>33186</v>
      </c>
      <c r="I2347" t="s">
        <v>1189</v>
      </c>
      <c r="J2347">
        <v>50</v>
      </c>
      <c r="K2347">
        <v>11</v>
      </c>
      <c r="L2347">
        <v>98</v>
      </c>
      <c r="M2347">
        <v>628.5</v>
      </c>
      <c r="N2347" t="s">
        <v>85</v>
      </c>
      <c r="O2347" t="s">
        <v>82</v>
      </c>
      <c r="P2347">
        <v>125</v>
      </c>
      <c r="Q2347" t="s">
        <v>82</v>
      </c>
      <c r="R2347">
        <v>0</v>
      </c>
      <c r="S2347">
        <v>0</v>
      </c>
      <c r="T2347">
        <v>-40</v>
      </c>
      <c r="U2347">
        <v>48</v>
      </c>
      <c r="V2347">
        <v>0</v>
      </c>
      <c r="W2347">
        <v>27</v>
      </c>
      <c r="X2347">
        <v>27</v>
      </c>
      <c r="Y2347">
        <v>1</v>
      </c>
      <c r="Z2347">
        <v>8</v>
      </c>
      <c r="AA2347">
        <v>24</v>
      </c>
      <c r="AB2347">
        <v>1</v>
      </c>
      <c r="AC2347">
        <v>3</v>
      </c>
      <c r="AD2347">
        <v>3.2820000600000001</v>
      </c>
      <c r="AE2347">
        <v>1</v>
      </c>
      <c r="AF2347">
        <v>36</v>
      </c>
      <c r="AG2347">
        <v>3.27699995</v>
      </c>
      <c r="AH2347">
        <v>6</v>
      </c>
      <c r="AI2347">
        <v>17</v>
      </c>
      <c r="AJ2347">
        <v>1</v>
      </c>
      <c r="AK2347">
        <v>17</v>
      </c>
      <c r="AL2347">
        <v>47</v>
      </c>
      <c r="AM2347" t="s">
        <v>43</v>
      </c>
      <c r="AN2347" t="str">
        <f>HYPERLINK("https://www.google.com/maps?q=10.894557,79.10404968","Open Location")</f>
        <v>Open Location</v>
      </c>
    </row>
    <row r="2348" spans="1:40" x14ac:dyDescent="0.3">
      <c r="A2348" s="1">
        <v>46210.728009259263</v>
      </c>
      <c r="B2348" t="s">
        <v>40</v>
      </c>
      <c r="C2348" t="s">
        <v>41</v>
      </c>
      <c r="D2348" s="1">
        <v>46210.732141203705</v>
      </c>
      <c r="E2348" t="s">
        <v>42</v>
      </c>
      <c r="F2348" t="s">
        <v>83</v>
      </c>
      <c r="G2348">
        <v>0</v>
      </c>
      <c r="H2348">
        <v>33186</v>
      </c>
      <c r="I2348" t="s">
        <v>1190</v>
      </c>
      <c r="J2348">
        <v>50</v>
      </c>
      <c r="K2348">
        <v>11</v>
      </c>
      <c r="L2348">
        <v>98</v>
      </c>
      <c r="M2348">
        <v>629.20001220999995</v>
      </c>
      <c r="N2348" t="s">
        <v>85</v>
      </c>
      <c r="O2348" t="s">
        <v>82</v>
      </c>
      <c r="P2348">
        <v>125</v>
      </c>
      <c r="Q2348" t="s">
        <v>82</v>
      </c>
      <c r="R2348">
        <v>0</v>
      </c>
      <c r="S2348">
        <v>0</v>
      </c>
      <c r="T2348">
        <v>-40</v>
      </c>
      <c r="U2348">
        <v>48</v>
      </c>
      <c r="V2348">
        <v>0</v>
      </c>
      <c r="W2348">
        <v>27</v>
      </c>
      <c r="X2348">
        <v>27</v>
      </c>
      <c r="Y2348">
        <v>1</v>
      </c>
      <c r="Z2348">
        <v>8</v>
      </c>
      <c r="AA2348">
        <v>24</v>
      </c>
      <c r="AB2348">
        <v>1</v>
      </c>
      <c r="AC2348">
        <v>3</v>
      </c>
      <c r="AD2348">
        <v>3.2809998999999999</v>
      </c>
      <c r="AE2348">
        <v>1</v>
      </c>
      <c r="AF2348">
        <v>36</v>
      </c>
      <c r="AG2348">
        <v>3.27699995</v>
      </c>
      <c r="AH2348">
        <v>6</v>
      </c>
      <c r="AI2348">
        <v>17</v>
      </c>
      <c r="AJ2348">
        <v>1</v>
      </c>
      <c r="AK2348">
        <v>17</v>
      </c>
      <c r="AL2348">
        <v>47</v>
      </c>
      <c r="AM2348" t="s">
        <v>43</v>
      </c>
      <c r="AN2348" t="str">
        <f>HYPERLINK("https://www.google.com/maps?q=10.89455318,79.10404968","Open Location")</f>
        <v>Open Location</v>
      </c>
    </row>
    <row r="2349" spans="1:40" x14ac:dyDescent="0.3">
      <c r="A2349" s="1">
        <v>46210.727893518517</v>
      </c>
      <c r="B2349" t="s">
        <v>40</v>
      </c>
      <c r="C2349" t="s">
        <v>41</v>
      </c>
      <c r="D2349" s="1">
        <v>46210.734293981484</v>
      </c>
      <c r="E2349" t="s">
        <v>42</v>
      </c>
      <c r="F2349" t="s">
        <v>83</v>
      </c>
      <c r="G2349">
        <v>0</v>
      </c>
      <c r="H2349">
        <v>33186</v>
      </c>
      <c r="I2349" t="s">
        <v>1191</v>
      </c>
      <c r="J2349">
        <v>50</v>
      </c>
      <c r="K2349">
        <v>11</v>
      </c>
      <c r="L2349">
        <v>98</v>
      </c>
      <c r="M2349">
        <v>628.79998779000005</v>
      </c>
      <c r="N2349" t="s">
        <v>85</v>
      </c>
      <c r="O2349" t="s">
        <v>82</v>
      </c>
      <c r="P2349">
        <v>125</v>
      </c>
      <c r="Q2349" t="s">
        <v>82</v>
      </c>
      <c r="R2349">
        <v>0</v>
      </c>
      <c r="S2349">
        <v>0</v>
      </c>
      <c r="T2349">
        <v>-40</v>
      </c>
      <c r="U2349">
        <v>48</v>
      </c>
      <c r="V2349">
        <v>0</v>
      </c>
      <c r="W2349">
        <v>27</v>
      </c>
      <c r="X2349">
        <v>27</v>
      </c>
      <c r="Y2349">
        <v>1</v>
      </c>
      <c r="Z2349">
        <v>8</v>
      </c>
      <c r="AA2349">
        <v>24</v>
      </c>
      <c r="AB2349">
        <v>1</v>
      </c>
      <c r="AC2349">
        <v>3</v>
      </c>
      <c r="AD2349">
        <v>3.2809998999999999</v>
      </c>
      <c r="AE2349">
        <v>1</v>
      </c>
      <c r="AF2349">
        <v>25</v>
      </c>
      <c r="AG2349">
        <v>3.2760000200000001</v>
      </c>
      <c r="AH2349">
        <v>6</v>
      </c>
      <c r="AI2349">
        <v>17</v>
      </c>
      <c r="AJ2349">
        <v>1</v>
      </c>
      <c r="AK2349">
        <v>17</v>
      </c>
      <c r="AL2349">
        <v>47</v>
      </c>
      <c r="AM2349" t="s">
        <v>43</v>
      </c>
      <c r="AN2349" t="str">
        <f>HYPERLINK("https://www.google.com/maps?q=10.89455223,79.10404968","Open Location")</f>
        <v>Open Location</v>
      </c>
    </row>
    <row r="2350" spans="1:40" x14ac:dyDescent="0.3">
      <c r="A2350" s="1">
        <v>46210.727777777778</v>
      </c>
      <c r="B2350" t="s">
        <v>40</v>
      </c>
      <c r="C2350" t="s">
        <v>41</v>
      </c>
      <c r="D2350" s="1">
        <v>46210.734293981484</v>
      </c>
      <c r="E2350" t="s">
        <v>42</v>
      </c>
      <c r="F2350" t="s">
        <v>83</v>
      </c>
      <c r="G2350">
        <v>0</v>
      </c>
      <c r="H2350" t="s">
        <v>43</v>
      </c>
      <c r="I2350" t="s">
        <v>43</v>
      </c>
      <c r="J2350">
        <v>50</v>
      </c>
      <c r="K2350">
        <v>12</v>
      </c>
      <c r="L2350">
        <v>98</v>
      </c>
      <c r="M2350">
        <v>628.90002441000001</v>
      </c>
      <c r="N2350" t="s">
        <v>85</v>
      </c>
      <c r="O2350" t="s">
        <v>86</v>
      </c>
      <c r="P2350">
        <v>127</v>
      </c>
      <c r="Q2350">
        <v>2</v>
      </c>
      <c r="R2350">
        <v>0</v>
      </c>
      <c r="S2350">
        <v>242</v>
      </c>
      <c r="T2350">
        <v>-40</v>
      </c>
      <c r="U2350">
        <v>48</v>
      </c>
      <c r="V2350">
        <v>220</v>
      </c>
      <c r="W2350">
        <v>27</v>
      </c>
      <c r="X2350">
        <v>27</v>
      </c>
      <c r="Y2350">
        <v>1</v>
      </c>
      <c r="Z2350">
        <v>8</v>
      </c>
      <c r="AA2350">
        <v>24</v>
      </c>
      <c r="AB2350">
        <v>1</v>
      </c>
      <c r="AC2350">
        <v>3</v>
      </c>
      <c r="AD2350">
        <v>3.2820000600000001</v>
      </c>
      <c r="AE2350">
        <v>1</v>
      </c>
      <c r="AF2350">
        <v>36</v>
      </c>
      <c r="AG2350">
        <v>3.2750001000000002</v>
      </c>
      <c r="AH2350">
        <v>6</v>
      </c>
      <c r="AI2350">
        <v>17</v>
      </c>
      <c r="AJ2350">
        <v>1</v>
      </c>
      <c r="AK2350">
        <v>17</v>
      </c>
      <c r="AL2350">
        <v>47</v>
      </c>
      <c r="AM2350" t="s">
        <v>43</v>
      </c>
      <c r="AN2350" t="s">
        <v>43</v>
      </c>
    </row>
    <row r="2351" spans="1:40" x14ac:dyDescent="0.3">
      <c r="A2351" s="1">
        <v>46210.727662037039</v>
      </c>
      <c r="B2351" t="s">
        <v>40</v>
      </c>
      <c r="C2351" t="s">
        <v>41</v>
      </c>
      <c r="D2351" s="1">
        <v>46210.734282407408</v>
      </c>
      <c r="E2351" t="s">
        <v>42</v>
      </c>
      <c r="F2351" t="s">
        <v>83</v>
      </c>
      <c r="G2351">
        <v>0</v>
      </c>
      <c r="H2351">
        <v>33186</v>
      </c>
      <c r="I2351" t="s">
        <v>1192</v>
      </c>
      <c r="J2351">
        <v>50</v>
      </c>
      <c r="K2351">
        <v>4</v>
      </c>
      <c r="L2351">
        <v>98</v>
      </c>
      <c r="M2351">
        <v>628.90002441000001</v>
      </c>
      <c r="N2351" t="s">
        <v>85</v>
      </c>
      <c r="O2351" t="s">
        <v>82</v>
      </c>
      <c r="P2351">
        <v>127</v>
      </c>
      <c r="Q2351" t="s">
        <v>82</v>
      </c>
      <c r="R2351">
        <v>0</v>
      </c>
      <c r="S2351">
        <v>0</v>
      </c>
      <c r="T2351">
        <v>-40</v>
      </c>
      <c r="U2351">
        <v>47</v>
      </c>
      <c r="V2351">
        <v>0</v>
      </c>
      <c r="W2351">
        <v>27</v>
      </c>
      <c r="X2351">
        <v>27</v>
      </c>
      <c r="Y2351">
        <v>1</v>
      </c>
      <c r="Z2351">
        <v>8</v>
      </c>
      <c r="AA2351">
        <v>24</v>
      </c>
      <c r="AB2351">
        <v>1</v>
      </c>
      <c r="AC2351">
        <v>3</v>
      </c>
      <c r="AD2351">
        <v>3.28299999</v>
      </c>
      <c r="AE2351">
        <v>1</v>
      </c>
      <c r="AF2351">
        <v>43</v>
      </c>
      <c r="AG2351">
        <v>3.27999997</v>
      </c>
      <c r="AH2351">
        <v>1</v>
      </c>
      <c r="AI2351">
        <v>4</v>
      </c>
      <c r="AJ2351">
        <v>1</v>
      </c>
      <c r="AK2351">
        <v>17</v>
      </c>
      <c r="AL2351">
        <v>47</v>
      </c>
      <c r="AM2351" t="s">
        <v>43</v>
      </c>
      <c r="AN2351" t="str">
        <f>HYPERLINK("https://www.google.com/maps?q=10.89454269,79.10403442","Open Location")</f>
        <v>Open Location</v>
      </c>
    </row>
    <row r="2352" spans="1:40" x14ac:dyDescent="0.3">
      <c r="A2352" s="1">
        <v>46210.727546296293</v>
      </c>
      <c r="B2352" t="s">
        <v>40</v>
      </c>
      <c r="C2352" t="s">
        <v>41</v>
      </c>
      <c r="D2352" s="1">
        <v>46210.733437499999</v>
      </c>
      <c r="E2352" t="s">
        <v>42</v>
      </c>
      <c r="F2352" t="s">
        <v>83</v>
      </c>
      <c r="G2352">
        <v>0</v>
      </c>
      <c r="H2352">
        <v>33186</v>
      </c>
      <c r="I2352" t="s">
        <v>1193</v>
      </c>
      <c r="J2352">
        <v>50</v>
      </c>
      <c r="K2352">
        <v>4</v>
      </c>
      <c r="L2352">
        <v>98</v>
      </c>
      <c r="M2352">
        <v>629</v>
      </c>
      <c r="N2352" t="s">
        <v>85</v>
      </c>
      <c r="O2352" t="s">
        <v>82</v>
      </c>
      <c r="P2352">
        <v>125</v>
      </c>
      <c r="Q2352" t="s">
        <v>82</v>
      </c>
      <c r="R2352">
        <v>0</v>
      </c>
      <c r="S2352">
        <v>0</v>
      </c>
      <c r="T2352">
        <v>-40</v>
      </c>
      <c r="U2352">
        <v>47</v>
      </c>
      <c r="V2352">
        <v>0</v>
      </c>
      <c r="W2352">
        <v>27</v>
      </c>
      <c r="X2352">
        <v>27</v>
      </c>
      <c r="Y2352">
        <v>1</v>
      </c>
      <c r="Z2352">
        <v>8</v>
      </c>
      <c r="AA2352">
        <v>24</v>
      </c>
      <c r="AB2352">
        <v>1</v>
      </c>
      <c r="AC2352">
        <v>3</v>
      </c>
      <c r="AD2352">
        <v>3.28299999</v>
      </c>
      <c r="AE2352">
        <v>5</v>
      </c>
      <c r="AF2352">
        <v>38</v>
      </c>
      <c r="AG2352">
        <v>3.27999997</v>
      </c>
      <c r="AH2352">
        <v>1</v>
      </c>
      <c r="AI2352">
        <v>4</v>
      </c>
      <c r="AJ2352">
        <v>1</v>
      </c>
      <c r="AK2352">
        <v>17</v>
      </c>
      <c r="AL2352">
        <v>47</v>
      </c>
      <c r="AM2352" t="s">
        <v>43</v>
      </c>
      <c r="AN2352" t="str">
        <f>HYPERLINK("https://www.google.com/maps?q=10.89454174,79.10403442","Open Location")</f>
        <v>Open Location</v>
      </c>
    </row>
    <row r="2353" spans="1:40" x14ac:dyDescent="0.3">
      <c r="A2353" s="1">
        <v>46210.727430555555</v>
      </c>
      <c r="B2353" t="s">
        <v>40</v>
      </c>
      <c r="C2353" t="s">
        <v>41</v>
      </c>
      <c r="D2353" s="1">
        <v>46210.733865740738</v>
      </c>
      <c r="E2353" t="s">
        <v>42</v>
      </c>
      <c r="F2353" t="s">
        <v>83</v>
      </c>
      <c r="G2353">
        <v>0</v>
      </c>
      <c r="H2353">
        <v>33186</v>
      </c>
      <c r="I2353" t="s">
        <v>1194</v>
      </c>
      <c r="J2353">
        <v>50</v>
      </c>
      <c r="K2353">
        <v>4</v>
      </c>
      <c r="L2353">
        <v>98</v>
      </c>
      <c r="M2353">
        <v>629.20001220999995</v>
      </c>
      <c r="N2353" t="s">
        <v>85</v>
      </c>
      <c r="O2353" t="s">
        <v>82</v>
      </c>
      <c r="P2353">
        <v>125</v>
      </c>
      <c r="Q2353" t="s">
        <v>82</v>
      </c>
      <c r="R2353">
        <v>0</v>
      </c>
      <c r="S2353">
        <v>0</v>
      </c>
      <c r="T2353">
        <v>-40</v>
      </c>
      <c r="U2353">
        <v>47</v>
      </c>
      <c r="V2353">
        <v>0</v>
      </c>
      <c r="W2353">
        <v>27</v>
      </c>
      <c r="X2353">
        <v>27</v>
      </c>
      <c r="Y2353">
        <v>1</v>
      </c>
      <c r="Z2353">
        <v>8</v>
      </c>
      <c r="AA2353">
        <v>24</v>
      </c>
      <c r="AB2353">
        <v>1</v>
      </c>
      <c r="AC2353">
        <v>3</v>
      </c>
      <c r="AD2353">
        <v>3.2820000600000001</v>
      </c>
      <c r="AE2353">
        <v>1</v>
      </c>
      <c r="AF2353">
        <v>1</v>
      </c>
      <c r="AG2353">
        <v>3.27999997</v>
      </c>
      <c r="AH2353">
        <v>1</v>
      </c>
      <c r="AI2353">
        <v>4</v>
      </c>
      <c r="AJ2353">
        <v>1</v>
      </c>
      <c r="AK2353">
        <v>17</v>
      </c>
      <c r="AL2353">
        <v>47</v>
      </c>
      <c r="AM2353" t="s">
        <v>43</v>
      </c>
      <c r="AN2353" t="str">
        <f>HYPERLINK("https://www.google.com/maps?q=10.89454079,79.10402679","Open Location")</f>
        <v>Open Location</v>
      </c>
    </row>
    <row r="2354" spans="1:40" x14ac:dyDescent="0.3">
      <c r="A2354" s="1">
        <v>46210.727314814816</v>
      </c>
      <c r="B2354" t="s">
        <v>40</v>
      </c>
      <c r="C2354" t="s">
        <v>41</v>
      </c>
      <c r="D2354" s="1">
        <v>46210.733437499999</v>
      </c>
      <c r="E2354" t="s">
        <v>42</v>
      </c>
      <c r="F2354" t="s">
        <v>83</v>
      </c>
      <c r="G2354">
        <v>0</v>
      </c>
      <c r="H2354" t="s">
        <v>43</v>
      </c>
      <c r="I2354" t="s">
        <v>1195</v>
      </c>
      <c r="J2354">
        <v>50</v>
      </c>
      <c r="K2354">
        <v>4</v>
      </c>
      <c r="L2354">
        <v>98</v>
      </c>
      <c r="M2354">
        <v>629.20001220999995</v>
      </c>
      <c r="N2354" t="s">
        <v>85</v>
      </c>
      <c r="O2354" t="s">
        <v>82</v>
      </c>
      <c r="P2354">
        <v>125</v>
      </c>
      <c r="Q2354" t="s">
        <v>82</v>
      </c>
      <c r="R2354">
        <v>0</v>
      </c>
      <c r="S2354">
        <v>0</v>
      </c>
      <c r="T2354">
        <v>-40</v>
      </c>
      <c r="U2354">
        <v>47</v>
      </c>
      <c r="V2354">
        <v>0</v>
      </c>
      <c r="W2354">
        <v>27</v>
      </c>
      <c r="X2354">
        <v>27</v>
      </c>
      <c r="Y2354">
        <v>1</v>
      </c>
      <c r="Z2354">
        <v>8</v>
      </c>
      <c r="AA2354">
        <v>24</v>
      </c>
      <c r="AB2354">
        <v>1</v>
      </c>
      <c r="AC2354">
        <v>3</v>
      </c>
      <c r="AD2354">
        <v>3.2820000600000001</v>
      </c>
      <c r="AE2354">
        <v>1</v>
      </c>
      <c r="AF2354">
        <v>1</v>
      </c>
      <c r="AG2354">
        <v>3.27999997</v>
      </c>
      <c r="AH2354">
        <v>1</v>
      </c>
      <c r="AI2354">
        <v>4</v>
      </c>
      <c r="AJ2354">
        <v>1</v>
      </c>
      <c r="AK2354">
        <v>17</v>
      </c>
      <c r="AL2354">
        <v>47</v>
      </c>
      <c r="AM2354" t="s">
        <v>43</v>
      </c>
      <c r="AN2354" t="str">
        <f>HYPERLINK("https://www.google.com/maps?q=10.89453888,79.10402679","Open Location")</f>
        <v>Open Location</v>
      </c>
    </row>
    <row r="2355" spans="1:40" x14ac:dyDescent="0.3">
      <c r="A2355" s="1">
        <v>46210.727199074077</v>
      </c>
      <c r="B2355" t="s">
        <v>40</v>
      </c>
      <c r="C2355" t="s">
        <v>41</v>
      </c>
      <c r="D2355" s="1">
        <v>46210.733738425923</v>
      </c>
      <c r="E2355" t="s">
        <v>42</v>
      </c>
      <c r="F2355" t="s">
        <v>83</v>
      </c>
      <c r="G2355">
        <v>0</v>
      </c>
      <c r="H2355">
        <v>33186</v>
      </c>
      <c r="I2355" t="s">
        <v>1196</v>
      </c>
      <c r="J2355">
        <v>50</v>
      </c>
      <c r="K2355">
        <v>4</v>
      </c>
      <c r="L2355">
        <v>98</v>
      </c>
      <c r="M2355">
        <v>629.5</v>
      </c>
      <c r="N2355" t="s">
        <v>85</v>
      </c>
      <c r="O2355" t="s">
        <v>82</v>
      </c>
      <c r="P2355">
        <v>125</v>
      </c>
      <c r="Q2355" t="s">
        <v>82</v>
      </c>
      <c r="R2355">
        <v>0</v>
      </c>
      <c r="S2355">
        <v>0</v>
      </c>
      <c r="T2355">
        <v>-40</v>
      </c>
      <c r="U2355">
        <v>47</v>
      </c>
      <c r="V2355">
        <v>0</v>
      </c>
      <c r="W2355">
        <v>27</v>
      </c>
      <c r="X2355">
        <v>27</v>
      </c>
      <c r="Y2355">
        <v>1</v>
      </c>
      <c r="Z2355">
        <v>8</v>
      </c>
      <c r="AA2355">
        <v>24</v>
      </c>
      <c r="AB2355">
        <v>1</v>
      </c>
      <c r="AC2355">
        <v>3</v>
      </c>
      <c r="AD2355">
        <v>3.2820000600000001</v>
      </c>
      <c r="AE2355">
        <v>1</v>
      </c>
      <c r="AF2355">
        <v>16</v>
      </c>
      <c r="AG2355">
        <v>3.27999997</v>
      </c>
      <c r="AH2355">
        <v>1</v>
      </c>
      <c r="AI2355">
        <v>4</v>
      </c>
      <c r="AJ2355">
        <v>1</v>
      </c>
      <c r="AK2355">
        <v>19</v>
      </c>
      <c r="AL2355">
        <v>47</v>
      </c>
      <c r="AM2355" t="s">
        <v>43</v>
      </c>
      <c r="AN2355" t="str">
        <f>HYPERLINK("https://www.google.com/maps?q=10.8945446,79.10401917","Open Location")</f>
        <v>Open Location</v>
      </c>
    </row>
    <row r="2356" spans="1:40" x14ac:dyDescent="0.3">
      <c r="A2356" s="1">
        <v>46210.727083333331</v>
      </c>
      <c r="B2356" t="s">
        <v>40</v>
      </c>
      <c r="C2356" t="s">
        <v>41</v>
      </c>
      <c r="D2356" s="1">
        <v>46210.731932870367</v>
      </c>
      <c r="E2356" t="s">
        <v>42</v>
      </c>
      <c r="F2356" t="s">
        <v>83</v>
      </c>
      <c r="G2356">
        <v>0</v>
      </c>
      <c r="H2356">
        <v>33186</v>
      </c>
      <c r="I2356" t="s">
        <v>43</v>
      </c>
      <c r="J2356">
        <v>50</v>
      </c>
      <c r="K2356">
        <v>4</v>
      </c>
      <c r="L2356">
        <v>98</v>
      </c>
      <c r="M2356">
        <v>629.20001220999995</v>
      </c>
      <c r="N2356" t="s">
        <v>85</v>
      </c>
      <c r="O2356" t="s">
        <v>82</v>
      </c>
      <c r="P2356">
        <v>125</v>
      </c>
      <c r="Q2356" t="s">
        <v>82</v>
      </c>
      <c r="R2356">
        <v>0</v>
      </c>
      <c r="S2356">
        <v>0</v>
      </c>
      <c r="T2356">
        <v>-40</v>
      </c>
      <c r="U2356">
        <v>47</v>
      </c>
      <c r="V2356">
        <v>0</v>
      </c>
      <c r="W2356">
        <v>27</v>
      </c>
      <c r="X2356">
        <v>27</v>
      </c>
      <c r="Y2356">
        <v>1</v>
      </c>
      <c r="Z2356">
        <v>8</v>
      </c>
      <c r="AA2356">
        <v>24</v>
      </c>
      <c r="AB2356">
        <v>1</v>
      </c>
      <c r="AC2356">
        <v>3</v>
      </c>
      <c r="AD2356">
        <v>3.2820000600000001</v>
      </c>
      <c r="AE2356">
        <v>1</v>
      </c>
      <c r="AF2356">
        <v>25</v>
      </c>
      <c r="AG2356">
        <v>3.2790000400000001</v>
      </c>
      <c r="AH2356">
        <v>2</v>
      </c>
      <c r="AI2356">
        <v>12</v>
      </c>
      <c r="AJ2356">
        <v>1</v>
      </c>
      <c r="AK2356">
        <v>19</v>
      </c>
      <c r="AL2356">
        <v>48</v>
      </c>
      <c r="AM2356" t="s">
        <v>43</v>
      </c>
      <c r="AN2356" t="s">
        <v>43</v>
      </c>
    </row>
    <row r="2357" spans="1:40" x14ac:dyDescent="0.3">
      <c r="A2357" s="1">
        <v>46210.726967592593</v>
      </c>
      <c r="B2357" t="s">
        <v>40</v>
      </c>
      <c r="C2357" t="s">
        <v>41</v>
      </c>
      <c r="D2357" s="1">
        <v>46210.731736111113</v>
      </c>
      <c r="E2357" t="s">
        <v>42</v>
      </c>
      <c r="F2357" t="s">
        <v>83</v>
      </c>
      <c r="G2357">
        <v>0</v>
      </c>
      <c r="H2357">
        <v>33186</v>
      </c>
      <c r="I2357" t="s">
        <v>1196</v>
      </c>
      <c r="J2357">
        <v>50</v>
      </c>
      <c r="K2357">
        <v>4</v>
      </c>
      <c r="L2357">
        <v>98</v>
      </c>
      <c r="M2357">
        <v>629.40002441000001</v>
      </c>
      <c r="N2357" t="s">
        <v>85</v>
      </c>
      <c r="O2357" t="s">
        <v>82</v>
      </c>
      <c r="P2357">
        <v>125</v>
      </c>
      <c r="Q2357" t="s">
        <v>82</v>
      </c>
      <c r="R2357">
        <v>0</v>
      </c>
      <c r="S2357">
        <v>0</v>
      </c>
      <c r="T2357">
        <v>-40</v>
      </c>
      <c r="U2357">
        <v>47</v>
      </c>
      <c r="V2357">
        <v>0</v>
      </c>
      <c r="W2357">
        <v>27</v>
      </c>
      <c r="X2357">
        <v>27</v>
      </c>
      <c r="Y2357">
        <v>1</v>
      </c>
      <c r="Z2357">
        <v>8</v>
      </c>
      <c r="AA2357">
        <v>24</v>
      </c>
      <c r="AB2357">
        <v>1</v>
      </c>
      <c r="AC2357">
        <v>3</v>
      </c>
      <c r="AD2357">
        <v>3.2820000600000001</v>
      </c>
      <c r="AE2357">
        <v>1</v>
      </c>
      <c r="AF2357">
        <v>36</v>
      </c>
      <c r="AG2357">
        <v>3.2790000400000001</v>
      </c>
      <c r="AH2357">
        <v>1</v>
      </c>
      <c r="AI2357">
        <v>30</v>
      </c>
      <c r="AJ2357">
        <v>1</v>
      </c>
      <c r="AK2357">
        <v>19</v>
      </c>
      <c r="AL2357">
        <v>48</v>
      </c>
      <c r="AM2357" t="s">
        <v>43</v>
      </c>
      <c r="AN2357" t="str">
        <f>HYPERLINK("https://www.google.com/maps?q=10.8945446,79.10401917","Open Location")</f>
        <v>Open Location</v>
      </c>
    </row>
    <row r="2358" spans="1:40" x14ac:dyDescent="0.3">
      <c r="A2358" s="1">
        <v>46210.726851851854</v>
      </c>
      <c r="B2358" t="s">
        <v>40</v>
      </c>
      <c r="C2358" t="s">
        <v>41</v>
      </c>
      <c r="D2358" s="1">
        <v>46210.731412037036</v>
      </c>
      <c r="E2358" t="s">
        <v>42</v>
      </c>
      <c r="F2358" t="s">
        <v>83</v>
      </c>
      <c r="G2358">
        <v>0</v>
      </c>
      <c r="H2358">
        <v>33186</v>
      </c>
      <c r="I2358" t="s">
        <v>1197</v>
      </c>
      <c r="J2358">
        <v>50</v>
      </c>
      <c r="K2358">
        <v>4</v>
      </c>
      <c r="L2358">
        <v>98</v>
      </c>
      <c r="M2358">
        <v>628.90002441000001</v>
      </c>
      <c r="N2358" t="s">
        <v>85</v>
      </c>
      <c r="O2358" t="s">
        <v>82</v>
      </c>
      <c r="P2358">
        <v>125</v>
      </c>
      <c r="Q2358" t="s">
        <v>82</v>
      </c>
      <c r="R2358">
        <v>0</v>
      </c>
      <c r="S2358">
        <v>0</v>
      </c>
      <c r="T2358">
        <v>-40</v>
      </c>
      <c r="U2358">
        <v>47</v>
      </c>
      <c r="V2358">
        <v>0</v>
      </c>
      <c r="W2358">
        <v>27</v>
      </c>
      <c r="X2358">
        <v>27</v>
      </c>
      <c r="Y2358">
        <v>1</v>
      </c>
      <c r="Z2358">
        <v>8</v>
      </c>
      <c r="AA2358">
        <v>24</v>
      </c>
      <c r="AB2358">
        <v>1</v>
      </c>
      <c r="AC2358">
        <v>3</v>
      </c>
      <c r="AD2358">
        <v>3.2820000600000001</v>
      </c>
      <c r="AE2358">
        <v>1</v>
      </c>
      <c r="AF2358">
        <v>36</v>
      </c>
      <c r="AG2358">
        <v>3.2790000400000001</v>
      </c>
      <c r="AH2358">
        <v>1</v>
      </c>
      <c r="AI2358">
        <v>4</v>
      </c>
      <c r="AJ2358">
        <v>1</v>
      </c>
      <c r="AK2358">
        <v>19</v>
      </c>
      <c r="AL2358">
        <v>48</v>
      </c>
      <c r="AM2358" t="s">
        <v>43</v>
      </c>
      <c r="AN2358" t="str">
        <f>HYPERLINK("https://www.google.com/maps?q=10.8945446,79.10403442","Open Location")</f>
        <v>Open Location</v>
      </c>
    </row>
    <row r="2359" spans="1:40" x14ac:dyDescent="0.3">
      <c r="A2359" s="1">
        <v>46210.726736111108</v>
      </c>
      <c r="B2359" t="s">
        <v>40</v>
      </c>
      <c r="C2359" t="s">
        <v>41</v>
      </c>
      <c r="D2359" s="1">
        <v>46210.731435185182</v>
      </c>
      <c r="E2359" t="s">
        <v>42</v>
      </c>
      <c r="F2359" t="s">
        <v>83</v>
      </c>
      <c r="G2359">
        <v>0</v>
      </c>
      <c r="H2359">
        <v>33186</v>
      </c>
      <c r="I2359" t="s">
        <v>1198</v>
      </c>
      <c r="J2359">
        <v>50</v>
      </c>
      <c r="K2359">
        <v>10</v>
      </c>
      <c r="L2359">
        <v>98</v>
      </c>
      <c r="M2359">
        <v>629.20001220999995</v>
      </c>
      <c r="N2359" t="s">
        <v>85</v>
      </c>
      <c r="O2359" t="s">
        <v>82</v>
      </c>
      <c r="P2359">
        <v>125</v>
      </c>
      <c r="Q2359" t="s">
        <v>82</v>
      </c>
      <c r="R2359">
        <v>0</v>
      </c>
      <c r="S2359">
        <v>0</v>
      </c>
      <c r="T2359">
        <v>-40</v>
      </c>
      <c r="U2359">
        <v>47</v>
      </c>
      <c r="V2359">
        <v>0</v>
      </c>
      <c r="W2359">
        <v>27</v>
      </c>
      <c r="X2359">
        <v>27</v>
      </c>
      <c r="Y2359">
        <v>1</v>
      </c>
      <c r="Z2359">
        <v>8</v>
      </c>
      <c r="AA2359">
        <v>24</v>
      </c>
      <c r="AB2359">
        <v>1</v>
      </c>
      <c r="AC2359">
        <v>3</v>
      </c>
      <c r="AD2359">
        <v>3.2809998999999999</v>
      </c>
      <c r="AE2359">
        <v>1</v>
      </c>
      <c r="AF2359">
        <v>25</v>
      </c>
      <c r="AG2359">
        <v>3.2730000000000001</v>
      </c>
      <c r="AH2359">
        <v>6</v>
      </c>
      <c r="AI2359">
        <v>17</v>
      </c>
      <c r="AJ2359">
        <v>1</v>
      </c>
      <c r="AK2359">
        <v>19</v>
      </c>
      <c r="AL2359">
        <v>48</v>
      </c>
      <c r="AM2359" t="s">
        <v>43</v>
      </c>
      <c r="AN2359" t="str">
        <f>HYPERLINK("https://www.google.com/maps?q=10.89454365,79.10403442","Open Location")</f>
        <v>Open Location</v>
      </c>
    </row>
    <row r="2360" spans="1:40" x14ac:dyDescent="0.3">
      <c r="A2360" s="1">
        <v>46210.726620370369</v>
      </c>
      <c r="B2360" t="s">
        <v>40</v>
      </c>
      <c r="C2360" t="s">
        <v>41</v>
      </c>
      <c r="D2360" s="1">
        <v>46210.731087962966</v>
      </c>
      <c r="E2360" t="s">
        <v>42</v>
      </c>
      <c r="F2360" t="s">
        <v>83</v>
      </c>
      <c r="G2360">
        <v>0</v>
      </c>
      <c r="H2360">
        <v>33186</v>
      </c>
      <c r="I2360" t="s">
        <v>1199</v>
      </c>
      <c r="J2360">
        <v>50</v>
      </c>
      <c r="K2360">
        <v>11</v>
      </c>
      <c r="L2360">
        <v>98</v>
      </c>
      <c r="M2360">
        <v>629.20001220999995</v>
      </c>
      <c r="N2360" t="s">
        <v>85</v>
      </c>
      <c r="O2360" t="s">
        <v>82</v>
      </c>
      <c r="P2360">
        <v>125</v>
      </c>
      <c r="Q2360" t="s">
        <v>82</v>
      </c>
      <c r="R2360">
        <v>0</v>
      </c>
      <c r="S2360">
        <v>0</v>
      </c>
      <c r="T2360">
        <v>-40</v>
      </c>
      <c r="U2360">
        <v>47</v>
      </c>
      <c r="V2360">
        <v>0</v>
      </c>
      <c r="W2360">
        <v>27</v>
      </c>
      <c r="X2360">
        <v>27</v>
      </c>
      <c r="Y2360">
        <v>1</v>
      </c>
      <c r="Z2360">
        <v>8</v>
      </c>
      <c r="AA2360">
        <v>24</v>
      </c>
      <c r="AB2360">
        <v>1</v>
      </c>
      <c r="AC2360">
        <v>3</v>
      </c>
      <c r="AD2360">
        <v>3.27999997</v>
      </c>
      <c r="AE2360">
        <v>1</v>
      </c>
      <c r="AF2360">
        <v>36</v>
      </c>
      <c r="AG2360">
        <v>3.27399993</v>
      </c>
      <c r="AH2360">
        <v>6</v>
      </c>
      <c r="AI2360">
        <v>17</v>
      </c>
      <c r="AJ2360">
        <v>1</v>
      </c>
      <c r="AK2360">
        <v>19</v>
      </c>
      <c r="AL2360">
        <v>48</v>
      </c>
      <c r="AM2360" t="s">
        <v>43</v>
      </c>
      <c r="AN2360" t="str">
        <f>HYPERLINK("https://www.google.com/maps?q=10.89454842,79.10403442","Open Location")</f>
        <v>Open Location</v>
      </c>
    </row>
    <row r="2361" spans="1:40" x14ac:dyDescent="0.3">
      <c r="A2361" s="1">
        <v>46210.726504629631</v>
      </c>
      <c r="B2361" t="s">
        <v>40</v>
      </c>
      <c r="C2361" t="s">
        <v>41</v>
      </c>
      <c r="D2361" s="1">
        <v>46210.731446759259</v>
      </c>
      <c r="E2361" t="s">
        <v>42</v>
      </c>
      <c r="F2361" t="s">
        <v>83</v>
      </c>
      <c r="G2361">
        <v>0</v>
      </c>
      <c r="H2361">
        <v>33186</v>
      </c>
      <c r="I2361" t="s">
        <v>1200</v>
      </c>
      <c r="J2361">
        <v>50</v>
      </c>
      <c r="K2361">
        <v>5</v>
      </c>
      <c r="L2361">
        <v>98</v>
      </c>
      <c r="M2361">
        <v>628.90002441000001</v>
      </c>
      <c r="N2361" t="s">
        <v>85</v>
      </c>
      <c r="O2361" t="s">
        <v>82</v>
      </c>
      <c r="P2361">
        <v>125</v>
      </c>
      <c r="Q2361" t="s">
        <v>82</v>
      </c>
      <c r="R2361">
        <v>0</v>
      </c>
      <c r="S2361">
        <v>0</v>
      </c>
      <c r="T2361">
        <v>-40</v>
      </c>
      <c r="U2361">
        <v>47</v>
      </c>
      <c r="V2361">
        <v>0</v>
      </c>
      <c r="W2361">
        <v>27</v>
      </c>
      <c r="X2361">
        <v>27</v>
      </c>
      <c r="Y2361">
        <v>1</v>
      </c>
      <c r="Z2361">
        <v>8</v>
      </c>
      <c r="AA2361">
        <v>24</v>
      </c>
      <c r="AB2361">
        <v>1</v>
      </c>
      <c r="AC2361">
        <v>3</v>
      </c>
      <c r="AD2361">
        <v>3.27999997</v>
      </c>
      <c r="AE2361">
        <v>1</v>
      </c>
      <c r="AF2361">
        <v>1</v>
      </c>
      <c r="AG2361">
        <v>3.27399993</v>
      </c>
      <c r="AH2361">
        <v>6</v>
      </c>
      <c r="AI2361">
        <v>17</v>
      </c>
      <c r="AJ2361">
        <v>1</v>
      </c>
      <c r="AK2361">
        <v>19</v>
      </c>
      <c r="AL2361">
        <v>48</v>
      </c>
      <c r="AM2361" t="s">
        <v>43</v>
      </c>
      <c r="AN2361" t="str">
        <f>HYPERLINK("https://www.google.com/maps?q=10.89455128,79.10402679","Open Location")</f>
        <v>Open Location</v>
      </c>
    </row>
    <row r="2362" spans="1:40" x14ac:dyDescent="0.3">
      <c r="A2362" s="1">
        <v>46210.726388888892</v>
      </c>
      <c r="B2362" t="s">
        <v>40</v>
      </c>
      <c r="C2362" t="s">
        <v>41</v>
      </c>
      <c r="D2362" s="1">
        <v>46210.730069444442</v>
      </c>
      <c r="E2362" t="s">
        <v>42</v>
      </c>
      <c r="F2362" t="s">
        <v>83</v>
      </c>
      <c r="G2362">
        <v>0</v>
      </c>
      <c r="H2362">
        <v>33186</v>
      </c>
      <c r="I2362" t="s">
        <v>43</v>
      </c>
      <c r="J2362">
        <v>50</v>
      </c>
      <c r="K2362">
        <v>4</v>
      </c>
      <c r="L2362">
        <v>98</v>
      </c>
      <c r="M2362">
        <v>629.59997558999999</v>
      </c>
      <c r="N2362" t="s">
        <v>85</v>
      </c>
      <c r="O2362" t="s">
        <v>82</v>
      </c>
      <c r="P2362">
        <v>125</v>
      </c>
      <c r="Q2362" t="s">
        <v>82</v>
      </c>
      <c r="R2362">
        <v>0</v>
      </c>
      <c r="S2362">
        <v>0</v>
      </c>
      <c r="T2362">
        <v>-40</v>
      </c>
      <c r="U2362">
        <v>47</v>
      </c>
      <c r="V2362">
        <v>0</v>
      </c>
      <c r="W2362">
        <v>27</v>
      </c>
      <c r="X2362">
        <v>27</v>
      </c>
      <c r="Y2362">
        <v>1</v>
      </c>
      <c r="Z2362">
        <v>8</v>
      </c>
      <c r="AA2362">
        <v>24</v>
      </c>
      <c r="AB2362">
        <v>1</v>
      </c>
      <c r="AC2362">
        <v>3</v>
      </c>
      <c r="AD2362">
        <v>3.2820000600000001</v>
      </c>
      <c r="AE2362">
        <v>1</v>
      </c>
      <c r="AF2362">
        <v>36</v>
      </c>
      <c r="AG2362">
        <v>3.2790000400000001</v>
      </c>
      <c r="AH2362">
        <v>1</v>
      </c>
      <c r="AI2362">
        <v>4</v>
      </c>
      <c r="AJ2362">
        <v>1</v>
      </c>
      <c r="AK2362">
        <v>19</v>
      </c>
      <c r="AL2362">
        <v>48</v>
      </c>
      <c r="AM2362" t="s">
        <v>43</v>
      </c>
      <c r="AN2362" t="s">
        <v>43</v>
      </c>
    </row>
    <row r="2363" spans="1:40" x14ac:dyDescent="0.3">
      <c r="A2363" s="1">
        <v>46210.726273148146</v>
      </c>
      <c r="B2363" t="s">
        <v>40</v>
      </c>
      <c r="C2363" t="s">
        <v>41</v>
      </c>
      <c r="D2363" s="1">
        <v>46210.731412037036</v>
      </c>
      <c r="E2363" t="s">
        <v>42</v>
      </c>
      <c r="F2363" t="s">
        <v>83</v>
      </c>
      <c r="G2363">
        <v>0</v>
      </c>
      <c r="H2363" t="s">
        <v>43</v>
      </c>
      <c r="I2363" t="s">
        <v>1201</v>
      </c>
      <c r="J2363">
        <v>50</v>
      </c>
      <c r="K2363">
        <v>4</v>
      </c>
      <c r="L2363">
        <v>98</v>
      </c>
      <c r="M2363">
        <v>628.79998779000005</v>
      </c>
      <c r="N2363" t="s">
        <v>85</v>
      </c>
      <c r="O2363" t="s">
        <v>82</v>
      </c>
      <c r="P2363">
        <v>125</v>
      </c>
      <c r="Q2363" t="s">
        <v>82</v>
      </c>
      <c r="R2363">
        <v>0</v>
      </c>
      <c r="S2363">
        <v>0</v>
      </c>
      <c r="T2363">
        <v>-40</v>
      </c>
      <c r="U2363">
        <v>47</v>
      </c>
      <c r="V2363">
        <v>0</v>
      </c>
      <c r="W2363">
        <v>27</v>
      </c>
      <c r="X2363">
        <v>27</v>
      </c>
      <c r="Y2363">
        <v>1</v>
      </c>
      <c r="Z2363">
        <v>8</v>
      </c>
      <c r="AA2363">
        <v>24</v>
      </c>
      <c r="AB2363">
        <v>1</v>
      </c>
      <c r="AC2363">
        <v>3</v>
      </c>
      <c r="AD2363">
        <v>3.2820000600000001</v>
      </c>
      <c r="AE2363">
        <v>1</v>
      </c>
      <c r="AF2363">
        <v>43</v>
      </c>
      <c r="AG2363">
        <v>3.2790000400000001</v>
      </c>
      <c r="AH2363">
        <v>1</v>
      </c>
      <c r="AI2363">
        <v>4</v>
      </c>
      <c r="AJ2363">
        <v>1</v>
      </c>
      <c r="AK2363">
        <v>19</v>
      </c>
      <c r="AL2363">
        <v>48</v>
      </c>
      <c r="AM2363" t="s">
        <v>43</v>
      </c>
      <c r="AN2363" t="str">
        <f>HYPERLINK("https://www.google.com/maps?q=10.89455509,79.10403442","Open Location")</f>
        <v>Open Location</v>
      </c>
    </row>
    <row r="2364" spans="1:40" x14ac:dyDescent="0.3">
      <c r="A2364" s="1">
        <v>46210.726157407407</v>
      </c>
      <c r="B2364" t="s">
        <v>40</v>
      </c>
      <c r="C2364" t="s">
        <v>41</v>
      </c>
      <c r="D2364" s="1">
        <v>46210.731412037036</v>
      </c>
      <c r="E2364" t="s">
        <v>42</v>
      </c>
      <c r="F2364" t="s">
        <v>83</v>
      </c>
      <c r="G2364">
        <v>0</v>
      </c>
      <c r="H2364">
        <v>33186</v>
      </c>
      <c r="I2364" t="s">
        <v>1202</v>
      </c>
      <c r="J2364">
        <v>50</v>
      </c>
      <c r="K2364">
        <v>4</v>
      </c>
      <c r="L2364">
        <v>98</v>
      </c>
      <c r="M2364">
        <v>629.40002441000001</v>
      </c>
      <c r="N2364" t="s">
        <v>85</v>
      </c>
      <c r="O2364" t="s">
        <v>82</v>
      </c>
      <c r="P2364">
        <v>125</v>
      </c>
      <c r="Q2364" t="s">
        <v>82</v>
      </c>
      <c r="R2364">
        <v>0</v>
      </c>
      <c r="S2364">
        <v>0</v>
      </c>
      <c r="T2364">
        <v>-40</v>
      </c>
      <c r="U2364">
        <v>47</v>
      </c>
      <c r="V2364">
        <v>0</v>
      </c>
      <c r="W2364">
        <v>27</v>
      </c>
      <c r="X2364">
        <v>27</v>
      </c>
      <c r="Y2364">
        <v>1</v>
      </c>
      <c r="Z2364">
        <v>8</v>
      </c>
      <c r="AA2364">
        <v>24</v>
      </c>
      <c r="AB2364">
        <v>1</v>
      </c>
      <c r="AC2364">
        <v>3</v>
      </c>
      <c r="AD2364">
        <v>3.2809998999999999</v>
      </c>
      <c r="AE2364">
        <v>1</v>
      </c>
      <c r="AF2364">
        <v>1</v>
      </c>
      <c r="AG2364">
        <v>3.2790000400000001</v>
      </c>
      <c r="AH2364">
        <v>1</v>
      </c>
      <c r="AI2364">
        <v>4</v>
      </c>
      <c r="AJ2364">
        <v>1</v>
      </c>
      <c r="AK2364">
        <v>19</v>
      </c>
      <c r="AL2364">
        <v>48</v>
      </c>
      <c r="AM2364" t="s">
        <v>43</v>
      </c>
      <c r="AN2364" t="str">
        <f>HYPERLINK("https://www.google.com/maps?q=10.89455605,79.10403442","Open Location")</f>
        <v>Open Location</v>
      </c>
    </row>
    <row r="2365" spans="1:40" x14ac:dyDescent="0.3">
      <c r="A2365" s="1">
        <v>46210.726041666669</v>
      </c>
      <c r="B2365" t="s">
        <v>40</v>
      </c>
      <c r="C2365" t="s">
        <v>41</v>
      </c>
      <c r="D2365" s="1">
        <v>46210.730925925927</v>
      </c>
      <c r="E2365" t="s">
        <v>42</v>
      </c>
      <c r="F2365" t="s">
        <v>83</v>
      </c>
      <c r="G2365">
        <v>0</v>
      </c>
      <c r="H2365">
        <v>33186</v>
      </c>
      <c r="I2365" t="s">
        <v>1203</v>
      </c>
      <c r="J2365">
        <v>50</v>
      </c>
      <c r="K2365">
        <v>4</v>
      </c>
      <c r="L2365">
        <v>98</v>
      </c>
      <c r="M2365">
        <v>628.79998779000005</v>
      </c>
      <c r="N2365" t="s">
        <v>85</v>
      </c>
      <c r="O2365" t="s">
        <v>82</v>
      </c>
      <c r="P2365">
        <v>125</v>
      </c>
      <c r="Q2365" t="s">
        <v>82</v>
      </c>
      <c r="R2365">
        <v>0</v>
      </c>
      <c r="S2365">
        <v>0</v>
      </c>
      <c r="T2365">
        <v>-40</v>
      </c>
      <c r="U2365">
        <v>47</v>
      </c>
      <c r="V2365">
        <v>0</v>
      </c>
      <c r="W2365">
        <v>27</v>
      </c>
      <c r="X2365">
        <v>27</v>
      </c>
      <c r="Y2365">
        <v>1</v>
      </c>
      <c r="Z2365">
        <v>8</v>
      </c>
      <c r="AA2365">
        <v>24</v>
      </c>
      <c r="AB2365">
        <v>1</v>
      </c>
      <c r="AC2365">
        <v>3</v>
      </c>
      <c r="AD2365">
        <v>3.2809998999999999</v>
      </c>
      <c r="AE2365">
        <v>1</v>
      </c>
      <c r="AF2365">
        <v>1</v>
      </c>
      <c r="AG2365">
        <v>3.2790000400000001</v>
      </c>
      <c r="AH2365">
        <v>1</v>
      </c>
      <c r="AI2365">
        <v>4</v>
      </c>
      <c r="AJ2365">
        <v>1</v>
      </c>
      <c r="AK2365">
        <v>19</v>
      </c>
      <c r="AL2365">
        <v>48</v>
      </c>
      <c r="AM2365" t="s">
        <v>43</v>
      </c>
      <c r="AN2365" t="str">
        <f>HYPERLINK("https://www.google.com/maps?q=10.89456177,79.10403442","Open Location")</f>
        <v>Open Location</v>
      </c>
    </row>
    <row r="2366" spans="1:40" x14ac:dyDescent="0.3">
      <c r="A2366" s="1">
        <v>46210.725925925923</v>
      </c>
      <c r="B2366" t="s">
        <v>40</v>
      </c>
      <c r="C2366" t="s">
        <v>41</v>
      </c>
      <c r="D2366" s="1">
        <v>46210.729953703703</v>
      </c>
      <c r="E2366" t="s">
        <v>42</v>
      </c>
      <c r="F2366" t="s">
        <v>83</v>
      </c>
      <c r="G2366">
        <v>0</v>
      </c>
      <c r="H2366">
        <v>33186</v>
      </c>
      <c r="I2366" t="s">
        <v>1204</v>
      </c>
      <c r="J2366">
        <v>50</v>
      </c>
      <c r="K2366">
        <v>4</v>
      </c>
      <c r="L2366">
        <v>98</v>
      </c>
      <c r="M2366">
        <v>629.59997558999999</v>
      </c>
      <c r="N2366" t="s">
        <v>85</v>
      </c>
      <c r="O2366" t="s">
        <v>82</v>
      </c>
      <c r="P2366">
        <v>125</v>
      </c>
      <c r="Q2366" t="s">
        <v>82</v>
      </c>
      <c r="R2366">
        <v>0</v>
      </c>
      <c r="S2366">
        <v>0</v>
      </c>
      <c r="T2366">
        <v>-40</v>
      </c>
      <c r="U2366">
        <v>47</v>
      </c>
      <c r="V2366">
        <v>0</v>
      </c>
      <c r="W2366">
        <v>27</v>
      </c>
      <c r="X2366">
        <v>27</v>
      </c>
      <c r="Y2366">
        <v>1</v>
      </c>
      <c r="Z2366">
        <v>8</v>
      </c>
      <c r="AA2366">
        <v>24</v>
      </c>
      <c r="AB2366">
        <v>1</v>
      </c>
      <c r="AC2366">
        <v>3</v>
      </c>
      <c r="AD2366">
        <v>3.2809998999999999</v>
      </c>
      <c r="AE2366">
        <v>1</v>
      </c>
      <c r="AF2366">
        <v>16</v>
      </c>
      <c r="AG2366">
        <v>3.2780001200000002</v>
      </c>
      <c r="AH2366">
        <v>2</v>
      </c>
      <c r="AI2366">
        <v>12</v>
      </c>
      <c r="AJ2366">
        <v>1</v>
      </c>
      <c r="AK2366">
        <v>18</v>
      </c>
      <c r="AL2366">
        <v>48</v>
      </c>
      <c r="AM2366" t="s">
        <v>43</v>
      </c>
      <c r="AN2366" t="str">
        <f>HYPERLINK("https://www.google.com/maps?q=10.89456654,79.10403442","Open Location")</f>
        <v>Open Location</v>
      </c>
    </row>
    <row r="2367" spans="1:40" x14ac:dyDescent="0.3">
      <c r="A2367" s="1">
        <v>46210.725810185184</v>
      </c>
      <c r="B2367" t="s">
        <v>40</v>
      </c>
      <c r="C2367" t="s">
        <v>41</v>
      </c>
      <c r="D2367" s="1">
        <v>46210.731770833336</v>
      </c>
      <c r="E2367" t="s">
        <v>42</v>
      </c>
      <c r="F2367" t="s">
        <v>83</v>
      </c>
      <c r="G2367">
        <v>0</v>
      </c>
      <c r="H2367">
        <v>33186</v>
      </c>
      <c r="I2367" t="s">
        <v>43</v>
      </c>
      <c r="J2367">
        <v>50</v>
      </c>
      <c r="K2367">
        <v>4</v>
      </c>
      <c r="L2367">
        <v>98</v>
      </c>
      <c r="M2367">
        <v>629.20001220999995</v>
      </c>
      <c r="N2367" t="s">
        <v>85</v>
      </c>
      <c r="O2367" t="s">
        <v>82</v>
      </c>
      <c r="P2367">
        <v>125</v>
      </c>
      <c r="Q2367" t="s">
        <v>82</v>
      </c>
      <c r="R2367">
        <v>0</v>
      </c>
      <c r="S2367">
        <v>0</v>
      </c>
      <c r="T2367">
        <v>-40</v>
      </c>
      <c r="U2367">
        <v>47</v>
      </c>
      <c r="V2367">
        <v>0</v>
      </c>
      <c r="W2367">
        <v>27</v>
      </c>
      <c r="X2367">
        <v>27</v>
      </c>
      <c r="Y2367">
        <v>1</v>
      </c>
      <c r="Z2367">
        <v>8</v>
      </c>
      <c r="AA2367">
        <v>24</v>
      </c>
      <c r="AB2367">
        <v>2</v>
      </c>
      <c r="AC2367">
        <v>1</v>
      </c>
      <c r="AD2367">
        <v>3.2809998999999999</v>
      </c>
      <c r="AE2367">
        <v>1</v>
      </c>
      <c r="AF2367">
        <v>25</v>
      </c>
      <c r="AG2367">
        <v>3.2780001200000002</v>
      </c>
      <c r="AH2367">
        <v>1</v>
      </c>
      <c r="AI2367">
        <v>30</v>
      </c>
      <c r="AJ2367">
        <v>1</v>
      </c>
      <c r="AK2367">
        <v>19</v>
      </c>
      <c r="AL2367">
        <v>48</v>
      </c>
      <c r="AM2367" t="s">
        <v>43</v>
      </c>
      <c r="AN2367" t="s">
        <v>43</v>
      </c>
    </row>
    <row r="2368" spans="1:40" x14ac:dyDescent="0.3">
      <c r="A2368" s="1">
        <v>46210.725694444445</v>
      </c>
      <c r="B2368" t="s">
        <v>40</v>
      </c>
      <c r="C2368" t="s">
        <v>41</v>
      </c>
      <c r="D2368" s="1">
        <v>46210.729884259257</v>
      </c>
      <c r="E2368" t="s">
        <v>42</v>
      </c>
      <c r="F2368" t="s">
        <v>83</v>
      </c>
      <c r="G2368">
        <v>0</v>
      </c>
      <c r="H2368">
        <v>33186</v>
      </c>
      <c r="I2368" t="s">
        <v>1186</v>
      </c>
      <c r="J2368">
        <v>50</v>
      </c>
      <c r="K2368">
        <v>4</v>
      </c>
      <c r="L2368">
        <v>98</v>
      </c>
      <c r="M2368">
        <v>629.5</v>
      </c>
      <c r="N2368" t="s">
        <v>85</v>
      </c>
      <c r="O2368" t="s">
        <v>82</v>
      </c>
      <c r="P2368">
        <v>125</v>
      </c>
      <c r="Q2368" t="s">
        <v>82</v>
      </c>
      <c r="R2368">
        <v>0</v>
      </c>
      <c r="S2368">
        <v>0</v>
      </c>
      <c r="T2368">
        <v>-40</v>
      </c>
      <c r="U2368">
        <v>48</v>
      </c>
      <c r="V2368">
        <v>0</v>
      </c>
      <c r="W2368">
        <v>27</v>
      </c>
      <c r="X2368">
        <v>27</v>
      </c>
      <c r="Y2368">
        <v>1</v>
      </c>
      <c r="Z2368">
        <v>8</v>
      </c>
      <c r="AA2368">
        <v>24</v>
      </c>
      <c r="AB2368">
        <v>2</v>
      </c>
      <c r="AC2368">
        <v>1</v>
      </c>
      <c r="AD2368">
        <v>3.2809998999999999</v>
      </c>
      <c r="AE2368">
        <v>1</v>
      </c>
      <c r="AF2368">
        <v>36</v>
      </c>
      <c r="AG2368">
        <v>3.2780001200000002</v>
      </c>
      <c r="AH2368">
        <v>1</v>
      </c>
      <c r="AI2368">
        <v>30</v>
      </c>
      <c r="AJ2368">
        <v>1</v>
      </c>
      <c r="AK2368">
        <v>19</v>
      </c>
      <c r="AL2368">
        <v>48</v>
      </c>
      <c r="AM2368" t="s">
        <v>43</v>
      </c>
      <c r="AN2368" t="str">
        <f>HYPERLINK("https://www.google.com/maps?q=10.89456367,79.10404205","Open Location")</f>
        <v>Open Location</v>
      </c>
    </row>
    <row r="2369" spans="1:40" x14ac:dyDescent="0.3">
      <c r="A2369" s="1">
        <v>46210.725578703707</v>
      </c>
      <c r="B2369" t="s">
        <v>40</v>
      </c>
      <c r="C2369" t="s">
        <v>41</v>
      </c>
      <c r="D2369" s="1">
        <v>46210.731585648151</v>
      </c>
      <c r="E2369" t="s">
        <v>42</v>
      </c>
      <c r="F2369" t="s">
        <v>83</v>
      </c>
      <c r="G2369">
        <v>0</v>
      </c>
      <c r="H2369">
        <v>33186</v>
      </c>
      <c r="I2369" t="s">
        <v>1205</v>
      </c>
      <c r="J2369">
        <v>50</v>
      </c>
      <c r="K2369">
        <v>4</v>
      </c>
      <c r="L2369">
        <v>98</v>
      </c>
      <c r="M2369">
        <v>629.40002441000001</v>
      </c>
      <c r="N2369" t="s">
        <v>85</v>
      </c>
      <c r="O2369" t="s">
        <v>82</v>
      </c>
      <c r="P2369">
        <v>125</v>
      </c>
      <c r="Q2369" t="s">
        <v>82</v>
      </c>
      <c r="R2369">
        <v>0</v>
      </c>
      <c r="S2369">
        <v>0</v>
      </c>
      <c r="T2369">
        <v>-40</v>
      </c>
      <c r="U2369">
        <v>48</v>
      </c>
      <c r="V2369">
        <v>0</v>
      </c>
      <c r="W2369">
        <v>27</v>
      </c>
      <c r="X2369">
        <v>27</v>
      </c>
      <c r="Y2369">
        <v>1</v>
      </c>
      <c r="Z2369">
        <v>8</v>
      </c>
      <c r="AA2369">
        <v>24</v>
      </c>
      <c r="AB2369">
        <v>2</v>
      </c>
      <c r="AC2369">
        <v>1</v>
      </c>
      <c r="AD2369">
        <v>3.2809998999999999</v>
      </c>
      <c r="AE2369">
        <v>1</v>
      </c>
      <c r="AF2369">
        <v>36</v>
      </c>
      <c r="AG2369">
        <v>3.2780001200000002</v>
      </c>
      <c r="AH2369">
        <v>1</v>
      </c>
      <c r="AI2369">
        <v>4</v>
      </c>
      <c r="AJ2369">
        <v>1</v>
      </c>
      <c r="AK2369">
        <v>19</v>
      </c>
      <c r="AL2369">
        <v>49</v>
      </c>
      <c r="AM2369" t="s">
        <v>43</v>
      </c>
      <c r="AN2369" t="str">
        <f>HYPERLINK("https://www.google.com/maps?q=10.89456177,79.10404205","Open Location")</f>
        <v>Open Location</v>
      </c>
    </row>
    <row r="2370" spans="1:40" x14ac:dyDescent="0.3">
      <c r="A2370" s="1">
        <v>46210.725462962961</v>
      </c>
      <c r="B2370" t="s">
        <v>40</v>
      </c>
      <c r="C2370" t="s">
        <v>41</v>
      </c>
      <c r="D2370" s="1">
        <v>46210.731215277781</v>
      </c>
      <c r="E2370" t="s">
        <v>42</v>
      </c>
      <c r="F2370" t="s">
        <v>83</v>
      </c>
      <c r="G2370">
        <v>0</v>
      </c>
      <c r="H2370">
        <v>33186</v>
      </c>
      <c r="I2370" t="s">
        <v>1188</v>
      </c>
      <c r="J2370">
        <v>50</v>
      </c>
      <c r="K2370">
        <v>4</v>
      </c>
      <c r="L2370">
        <v>98</v>
      </c>
      <c r="M2370">
        <v>629.40002441000001</v>
      </c>
      <c r="N2370" t="s">
        <v>85</v>
      </c>
      <c r="O2370" t="s">
        <v>82</v>
      </c>
      <c r="P2370">
        <v>125</v>
      </c>
      <c r="Q2370" t="s">
        <v>82</v>
      </c>
      <c r="R2370">
        <v>0</v>
      </c>
      <c r="S2370">
        <v>0</v>
      </c>
      <c r="T2370">
        <v>-40</v>
      </c>
      <c r="U2370">
        <v>48</v>
      </c>
      <c r="V2370">
        <v>0</v>
      </c>
      <c r="W2370">
        <v>27</v>
      </c>
      <c r="X2370">
        <v>27</v>
      </c>
      <c r="Y2370">
        <v>1</v>
      </c>
      <c r="Z2370">
        <v>8</v>
      </c>
      <c r="AA2370">
        <v>24</v>
      </c>
      <c r="AB2370">
        <v>2</v>
      </c>
      <c r="AC2370">
        <v>1</v>
      </c>
      <c r="AD2370">
        <v>3.2809998999999999</v>
      </c>
      <c r="AE2370">
        <v>1</v>
      </c>
      <c r="AF2370">
        <v>36</v>
      </c>
      <c r="AG2370">
        <v>3.2780001200000002</v>
      </c>
      <c r="AH2370">
        <v>1</v>
      </c>
      <c r="AI2370">
        <v>4</v>
      </c>
      <c r="AJ2370">
        <v>1</v>
      </c>
      <c r="AK2370">
        <v>18</v>
      </c>
      <c r="AL2370">
        <v>49</v>
      </c>
      <c r="AM2370" t="s">
        <v>43</v>
      </c>
      <c r="AN2370" t="str">
        <f>HYPERLINK("https://www.google.com/maps?q=10.89456272,79.10404968","Open Location")</f>
        <v>Open Location</v>
      </c>
    </row>
    <row r="2371" spans="1:40" x14ac:dyDescent="0.3">
      <c r="A2371" s="1">
        <v>46210.725347222222</v>
      </c>
      <c r="B2371" t="s">
        <v>40</v>
      </c>
      <c r="C2371" t="s">
        <v>41</v>
      </c>
      <c r="D2371" s="1">
        <v>46210.731215277781</v>
      </c>
      <c r="E2371" t="s">
        <v>42</v>
      </c>
      <c r="F2371" t="s">
        <v>83</v>
      </c>
      <c r="G2371">
        <v>0</v>
      </c>
      <c r="H2371">
        <v>33186</v>
      </c>
      <c r="I2371" t="s">
        <v>1206</v>
      </c>
      <c r="J2371">
        <v>50</v>
      </c>
      <c r="K2371">
        <v>4</v>
      </c>
      <c r="L2371">
        <v>98</v>
      </c>
      <c r="M2371">
        <v>629.20001220999995</v>
      </c>
      <c r="N2371" t="s">
        <v>85</v>
      </c>
      <c r="O2371" t="s">
        <v>82</v>
      </c>
      <c r="P2371">
        <v>125</v>
      </c>
      <c r="Q2371" t="s">
        <v>82</v>
      </c>
      <c r="R2371">
        <v>0</v>
      </c>
      <c r="S2371">
        <v>0</v>
      </c>
      <c r="T2371">
        <v>-40</v>
      </c>
      <c r="U2371">
        <v>48</v>
      </c>
      <c r="V2371">
        <v>0</v>
      </c>
      <c r="W2371">
        <v>27</v>
      </c>
      <c r="X2371">
        <v>27</v>
      </c>
      <c r="Y2371">
        <v>1</v>
      </c>
      <c r="Z2371">
        <v>8</v>
      </c>
      <c r="AA2371">
        <v>24</v>
      </c>
      <c r="AB2371">
        <v>2</v>
      </c>
      <c r="AC2371">
        <v>1</v>
      </c>
      <c r="AD2371">
        <v>3.2809998999999999</v>
      </c>
      <c r="AE2371">
        <v>1</v>
      </c>
      <c r="AF2371">
        <v>43</v>
      </c>
      <c r="AG2371">
        <v>3.2780001200000002</v>
      </c>
      <c r="AH2371">
        <v>1</v>
      </c>
      <c r="AI2371">
        <v>4</v>
      </c>
      <c r="AJ2371">
        <v>1</v>
      </c>
      <c r="AK2371">
        <v>19</v>
      </c>
      <c r="AL2371">
        <v>49</v>
      </c>
      <c r="AM2371" t="s">
        <v>43</v>
      </c>
      <c r="AN2371" t="str">
        <f>HYPERLINK("https://www.google.com/maps?q=10.89455986,79.10404968","Open Location")</f>
        <v>Open Location</v>
      </c>
    </row>
    <row r="2372" spans="1:40" x14ac:dyDescent="0.3">
      <c r="A2372" s="1">
        <v>46210.725231481483</v>
      </c>
      <c r="B2372" t="s">
        <v>40</v>
      </c>
      <c r="C2372" t="s">
        <v>41</v>
      </c>
      <c r="D2372" s="1">
        <v>46210.730509259258</v>
      </c>
      <c r="E2372" t="s">
        <v>42</v>
      </c>
      <c r="F2372" t="s">
        <v>83</v>
      </c>
      <c r="G2372">
        <v>0</v>
      </c>
      <c r="H2372" t="s">
        <v>43</v>
      </c>
      <c r="I2372" t="s">
        <v>1207</v>
      </c>
      <c r="J2372">
        <v>50</v>
      </c>
      <c r="K2372">
        <v>4</v>
      </c>
      <c r="L2372">
        <v>98</v>
      </c>
      <c r="M2372">
        <v>628.40002441000001</v>
      </c>
      <c r="N2372" t="s">
        <v>85</v>
      </c>
      <c r="O2372" t="s">
        <v>82</v>
      </c>
      <c r="P2372">
        <v>125</v>
      </c>
      <c r="Q2372" t="s">
        <v>82</v>
      </c>
      <c r="R2372">
        <v>0</v>
      </c>
      <c r="S2372">
        <v>0</v>
      </c>
      <c r="T2372">
        <v>-40</v>
      </c>
      <c r="U2372">
        <v>48</v>
      </c>
      <c r="V2372">
        <v>0</v>
      </c>
      <c r="W2372">
        <v>27</v>
      </c>
      <c r="X2372">
        <v>27</v>
      </c>
      <c r="Y2372">
        <v>1</v>
      </c>
      <c r="Z2372">
        <v>8</v>
      </c>
      <c r="AA2372">
        <v>24</v>
      </c>
      <c r="AB2372">
        <v>2</v>
      </c>
      <c r="AC2372">
        <v>1</v>
      </c>
      <c r="AD2372">
        <v>3.27999997</v>
      </c>
      <c r="AE2372">
        <v>1</v>
      </c>
      <c r="AF2372">
        <v>1</v>
      </c>
      <c r="AG2372">
        <v>3.2780001200000002</v>
      </c>
      <c r="AH2372">
        <v>1</v>
      </c>
      <c r="AI2372">
        <v>4</v>
      </c>
      <c r="AJ2372">
        <v>1</v>
      </c>
      <c r="AK2372">
        <v>19</v>
      </c>
      <c r="AL2372">
        <v>49</v>
      </c>
      <c r="AM2372" t="s">
        <v>43</v>
      </c>
      <c r="AN2372" t="str">
        <f>HYPERLINK("https://www.google.com/maps?q=10.89456081,79.10404205","Open Location")</f>
        <v>Open Location</v>
      </c>
    </row>
    <row r="2373" spans="1:40" x14ac:dyDescent="0.3">
      <c r="A2373" s="1">
        <v>46210.725115740737</v>
      </c>
      <c r="B2373" t="s">
        <v>40</v>
      </c>
      <c r="C2373" t="s">
        <v>41</v>
      </c>
      <c r="D2373" s="1">
        <v>46210.730451388888</v>
      </c>
      <c r="E2373" t="s">
        <v>42</v>
      </c>
      <c r="F2373" t="s">
        <v>83</v>
      </c>
      <c r="G2373">
        <v>0</v>
      </c>
      <c r="H2373">
        <v>33186</v>
      </c>
      <c r="I2373" t="s">
        <v>43</v>
      </c>
      <c r="J2373">
        <v>50</v>
      </c>
      <c r="K2373">
        <v>11</v>
      </c>
      <c r="L2373">
        <v>98</v>
      </c>
      <c r="M2373">
        <v>628.20001220999995</v>
      </c>
      <c r="N2373" t="s">
        <v>85</v>
      </c>
      <c r="O2373" t="s">
        <v>82</v>
      </c>
      <c r="P2373">
        <v>125</v>
      </c>
      <c r="Q2373" t="s">
        <v>82</v>
      </c>
      <c r="R2373">
        <v>0</v>
      </c>
      <c r="S2373">
        <v>0</v>
      </c>
      <c r="T2373">
        <v>-40</v>
      </c>
      <c r="U2373">
        <v>48</v>
      </c>
      <c r="V2373">
        <v>0</v>
      </c>
      <c r="W2373">
        <v>27</v>
      </c>
      <c r="X2373">
        <v>27</v>
      </c>
      <c r="Y2373">
        <v>1</v>
      </c>
      <c r="Z2373">
        <v>8</v>
      </c>
      <c r="AA2373">
        <v>24</v>
      </c>
      <c r="AB2373">
        <v>2</v>
      </c>
      <c r="AC2373">
        <v>3</v>
      </c>
      <c r="AD2373">
        <v>3.2790000400000001</v>
      </c>
      <c r="AE2373">
        <v>1</v>
      </c>
      <c r="AF2373">
        <v>36</v>
      </c>
      <c r="AG2373">
        <v>3.2720000699999998</v>
      </c>
      <c r="AH2373">
        <v>6</v>
      </c>
      <c r="AI2373">
        <v>17</v>
      </c>
      <c r="AJ2373">
        <v>1</v>
      </c>
      <c r="AK2373">
        <v>19</v>
      </c>
      <c r="AL2373">
        <v>49</v>
      </c>
      <c r="AM2373" t="s">
        <v>43</v>
      </c>
      <c r="AN2373" t="s">
        <v>43</v>
      </c>
    </row>
    <row r="2374" spans="1:40" x14ac:dyDescent="0.3">
      <c r="A2374" s="1">
        <v>46210.724999999999</v>
      </c>
      <c r="B2374" t="s">
        <v>40</v>
      </c>
      <c r="C2374" t="s">
        <v>41</v>
      </c>
      <c r="D2374" s="1">
        <v>46210.728321759256</v>
      </c>
      <c r="E2374" t="s">
        <v>42</v>
      </c>
      <c r="F2374" t="s">
        <v>83</v>
      </c>
      <c r="G2374">
        <v>0</v>
      </c>
      <c r="H2374">
        <v>33186</v>
      </c>
      <c r="I2374" t="s">
        <v>1208</v>
      </c>
      <c r="J2374">
        <v>50</v>
      </c>
      <c r="K2374">
        <v>11</v>
      </c>
      <c r="L2374">
        <v>98</v>
      </c>
      <c r="M2374">
        <v>628.09997558999999</v>
      </c>
      <c r="N2374" t="s">
        <v>85</v>
      </c>
      <c r="O2374" t="s">
        <v>82</v>
      </c>
      <c r="P2374">
        <v>125</v>
      </c>
      <c r="Q2374" t="s">
        <v>82</v>
      </c>
      <c r="R2374">
        <v>0</v>
      </c>
      <c r="S2374">
        <v>0</v>
      </c>
      <c r="T2374">
        <v>-40</v>
      </c>
      <c r="U2374">
        <v>48</v>
      </c>
      <c r="V2374">
        <v>0</v>
      </c>
      <c r="W2374">
        <v>27</v>
      </c>
      <c r="X2374">
        <v>27</v>
      </c>
      <c r="Y2374">
        <v>1</v>
      </c>
      <c r="Z2374">
        <v>8</v>
      </c>
      <c r="AA2374">
        <v>24</v>
      </c>
      <c r="AB2374">
        <v>2</v>
      </c>
      <c r="AC2374">
        <v>3</v>
      </c>
      <c r="AD2374">
        <v>3.2790000400000001</v>
      </c>
      <c r="AE2374">
        <v>1</v>
      </c>
      <c r="AF2374">
        <v>25</v>
      </c>
      <c r="AG2374">
        <v>3.2720000699999998</v>
      </c>
      <c r="AH2374">
        <v>6</v>
      </c>
      <c r="AI2374">
        <v>17</v>
      </c>
      <c r="AJ2374">
        <v>1</v>
      </c>
      <c r="AK2374">
        <v>19</v>
      </c>
      <c r="AL2374">
        <v>49</v>
      </c>
      <c r="AM2374" t="s">
        <v>43</v>
      </c>
      <c r="AN2374" t="str">
        <f>HYPERLINK("https://www.google.com/maps?q=10.89455795,79.10404205","Open Location")</f>
        <v>Open Location</v>
      </c>
    </row>
    <row r="2375" spans="1:40" x14ac:dyDescent="0.3">
      <c r="A2375" s="1">
        <v>46210.72488425926</v>
      </c>
      <c r="B2375" t="s">
        <v>40</v>
      </c>
      <c r="C2375" t="s">
        <v>41</v>
      </c>
      <c r="D2375" s="1">
        <v>46210.729594907411</v>
      </c>
      <c r="E2375" t="s">
        <v>42</v>
      </c>
      <c r="F2375" t="s">
        <v>83</v>
      </c>
      <c r="G2375">
        <v>0</v>
      </c>
      <c r="H2375">
        <v>33186</v>
      </c>
      <c r="I2375" t="s">
        <v>1209</v>
      </c>
      <c r="J2375">
        <v>50</v>
      </c>
      <c r="K2375">
        <v>9</v>
      </c>
      <c r="L2375">
        <v>98</v>
      </c>
      <c r="M2375">
        <v>629.20001220999995</v>
      </c>
      <c r="N2375" t="s">
        <v>85</v>
      </c>
      <c r="O2375" t="s">
        <v>82</v>
      </c>
      <c r="P2375">
        <v>125</v>
      </c>
      <c r="Q2375" t="s">
        <v>82</v>
      </c>
      <c r="R2375">
        <v>0</v>
      </c>
      <c r="S2375">
        <v>0</v>
      </c>
      <c r="T2375">
        <v>-40</v>
      </c>
      <c r="U2375">
        <v>48</v>
      </c>
      <c r="V2375">
        <v>0</v>
      </c>
      <c r="W2375">
        <v>27</v>
      </c>
      <c r="X2375">
        <v>27</v>
      </c>
      <c r="Y2375">
        <v>1</v>
      </c>
      <c r="Z2375">
        <v>8</v>
      </c>
      <c r="AA2375">
        <v>24</v>
      </c>
      <c r="AB2375">
        <v>2</v>
      </c>
      <c r="AC2375">
        <v>3</v>
      </c>
      <c r="AD2375">
        <v>3.27999997</v>
      </c>
      <c r="AE2375">
        <v>1</v>
      </c>
      <c r="AF2375">
        <v>36</v>
      </c>
      <c r="AG2375">
        <v>3.27399993</v>
      </c>
      <c r="AH2375">
        <v>6</v>
      </c>
      <c r="AI2375">
        <v>17</v>
      </c>
      <c r="AJ2375">
        <v>1</v>
      </c>
      <c r="AK2375">
        <v>19</v>
      </c>
      <c r="AL2375">
        <v>49</v>
      </c>
      <c r="AM2375" t="s">
        <v>43</v>
      </c>
      <c r="AN2375" t="str">
        <f>HYPERLINK("https://www.google.com/maps?q=10.89455509,79.10404205","Open Location")</f>
        <v>Open Location</v>
      </c>
    </row>
    <row r="2376" spans="1:40" x14ac:dyDescent="0.3">
      <c r="A2376" s="1">
        <v>46210.724768518521</v>
      </c>
      <c r="B2376" t="s">
        <v>40</v>
      </c>
      <c r="C2376" t="s">
        <v>41</v>
      </c>
      <c r="D2376" s="1">
        <v>46210.729189814818</v>
      </c>
      <c r="E2376" t="s">
        <v>42</v>
      </c>
      <c r="F2376" t="s">
        <v>83</v>
      </c>
      <c r="G2376">
        <v>0</v>
      </c>
      <c r="H2376">
        <v>33186</v>
      </c>
      <c r="I2376" t="s">
        <v>1210</v>
      </c>
      <c r="J2376">
        <v>50</v>
      </c>
      <c r="K2376">
        <v>4</v>
      </c>
      <c r="L2376">
        <v>98</v>
      </c>
      <c r="M2376">
        <v>629.40002441000001</v>
      </c>
      <c r="N2376" t="s">
        <v>85</v>
      </c>
      <c r="O2376" t="s">
        <v>82</v>
      </c>
      <c r="P2376">
        <v>125</v>
      </c>
      <c r="Q2376" t="s">
        <v>82</v>
      </c>
      <c r="R2376">
        <v>0</v>
      </c>
      <c r="S2376">
        <v>0</v>
      </c>
      <c r="T2376">
        <v>-40</v>
      </c>
      <c r="U2376">
        <v>49</v>
      </c>
      <c r="V2376">
        <v>0</v>
      </c>
      <c r="W2376">
        <v>28</v>
      </c>
      <c r="X2376">
        <v>28</v>
      </c>
      <c r="Y2376">
        <v>1</v>
      </c>
      <c r="Z2376">
        <v>8</v>
      </c>
      <c r="AA2376">
        <v>24</v>
      </c>
      <c r="AB2376">
        <v>2</v>
      </c>
      <c r="AC2376">
        <v>3</v>
      </c>
      <c r="AD2376">
        <v>3.2820000600000001</v>
      </c>
      <c r="AE2376">
        <v>1</v>
      </c>
      <c r="AF2376">
        <v>36</v>
      </c>
      <c r="AG2376">
        <v>3.2790000400000001</v>
      </c>
      <c r="AH2376">
        <v>1</v>
      </c>
      <c r="AI2376">
        <v>4</v>
      </c>
      <c r="AJ2376">
        <v>1</v>
      </c>
      <c r="AK2376">
        <v>19</v>
      </c>
      <c r="AL2376">
        <v>49</v>
      </c>
      <c r="AM2376" t="s">
        <v>43</v>
      </c>
      <c r="AN2376" t="str">
        <f>HYPERLINK("https://www.google.com/maps?q=10.89455318,79.10403442","Open Location")</f>
        <v>Open Location</v>
      </c>
    </row>
    <row r="2377" spans="1:40" x14ac:dyDescent="0.3">
      <c r="A2377" s="1">
        <v>46210.724652777775</v>
      </c>
      <c r="B2377" t="s">
        <v>40</v>
      </c>
      <c r="C2377" t="s">
        <v>41</v>
      </c>
      <c r="D2377" s="1">
        <v>46210.729398148149</v>
      </c>
      <c r="E2377" t="s">
        <v>42</v>
      </c>
      <c r="F2377" t="s">
        <v>83</v>
      </c>
      <c r="G2377">
        <v>0</v>
      </c>
      <c r="H2377">
        <v>33186</v>
      </c>
      <c r="I2377" t="s">
        <v>1211</v>
      </c>
      <c r="J2377">
        <v>50</v>
      </c>
      <c r="K2377">
        <v>-14</v>
      </c>
      <c r="L2377">
        <v>98</v>
      </c>
      <c r="M2377">
        <v>630.09997558999999</v>
      </c>
      <c r="N2377" t="s">
        <v>85</v>
      </c>
      <c r="O2377" t="s">
        <v>86</v>
      </c>
      <c r="P2377">
        <v>127</v>
      </c>
      <c r="Q2377">
        <v>3</v>
      </c>
      <c r="R2377">
        <v>0</v>
      </c>
      <c r="S2377">
        <v>1287</v>
      </c>
      <c r="T2377">
        <v>-40</v>
      </c>
      <c r="U2377">
        <v>50</v>
      </c>
      <c r="V2377">
        <v>-68</v>
      </c>
      <c r="W2377">
        <v>28</v>
      </c>
      <c r="X2377">
        <v>28</v>
      </c>
      <c r="Y2377">
        <v>1</v>
      </c>
      <c r="Z2377">
        <v>8</v>
      </c>
      <c r="AA2377">
        <v>24</v>
      </c>
      <c r="AB2377">
        <v>2</v>
      </c>
      <c r="AC2377">
        <v>3</v>
      </c>
      <c r="AD2377">
        <v>3.28600001</v>
      </c>
      <c r="AE2377">
        <v>1</v>
      </c>
      <c r="AF2377">
        <v>26</v>
      </c>
      <c r="AG2377">
        <v>3.28299999</v>
      </c>
      <c r="AH2377">
        <v>1</v>
      </c>
      <c r="AI2377">
        <v>4</v>
      </c>
      <c r="AJ2377">
        <v>1</v>
      </c>
      <c r="AK2377">
        <v>19</v>
      </c>
      <c r="AL2377">
        <v>49</v>
      </c>
      <c r="AM2377" t="s">
        <v>43</v>
      </c>
      <c r="AN2377" t="str">
        <f>HYPERLINK("https://www.google.com/maps?q=10.89447594,79.10394287","Open Location")</f>
        <v>Open Location</v>
      </c>
    </row>
    <row r="2378" spans="1:40" x14ac:dyDescent="0.3">
      <c r="A2378" s="1">
        <v>46210.724537037036</v>
      </c>
      <c r="B2378" t="s">
        <v>40</v>
      </c>
      <c r="C2378" t="s">
        <v>41</v>
      </c>
      <c r="D2378" s="1">
        <v>46210.729305555556</v>
      </c>
      <c r="E2378" t="s">
        <v>42</v>
      </c>
      <c r="F2378" t="s">
        <v>83</v>
      </c>
      <c r="G2378">
        <v>15</v>
      </c>
      <c r="H2378">
        <v>33186</v>
      </c>
      <c r="I2378" t="s">
        <v>1212</v>
      </c>
      <c r="J2378">
        <v>50</v>
      </c>
      <c r="K2378">
        <v>-22</v>
      </c>
      <c r="L2378">
        <v>98</v>
      </c>
      <c r="M2378">
        <v>630.09997558999999</v>
      </c>
      <c r="N2378" t="s">
        <v>87</v>
      </c>
      <c r="O2378" t="s">
        <v>86</v>
      </c>
      <c r="P2378">
        <v>131</v>
      </c>
      <c r="Q2378">
        <v>4</v>
      </c>
      <c r="R2378">
        <v>0</v>
      </c>
      <c r="S2378">
        <v>607</v>
      </c>
      <c r="T2378">
        <v>-40</v>
      </c>
      <c r="U2378">
        <v>52</v>
      </c>
      <c r="V2378">
        <v>-300</v>
      </c>
      <c r="W2378">
        <v>28</v>
      </c>
      <c r="X2378">
        <v>28</v>
      </c>
      <c r="Y2378">
        <v>1</v>
      </c>
      <c r="Z2378">
        <v>8</v>
      </c>
      <c r="AA2378">
        <v>24</v>
      </c>
      <c r="AB2378">
        <v>2</v>
      </c>
      <c r="AC2378">
        <v>3</v>
      </c>
      <c r="AD2378">
        <v>3.2950000799999999</v>
      </c>
      <c r="AE2378">
        <v>1</v>
      </c>
      <c r="AF2378">
        <v>26</v>
      </c>
      <c r="AG2378">
        <v>3.2909998900000001</v>
      </c>
      <c r="AH2378">
        <v>5</v>
      </c>
      <c r="AI2378">
        <v>10</v>
      </c>
      <c r="AJ2378">
        <v>1</v>
      </c>
      <c r="AK2378">
        <v>17</v>
      </c>
      <c r="AL2378">
        <v>49</v>
      </c>
      <c r="AM2378" t="s">
        <v>43</v>
      </c>
      <c r="AN2378" t="str">
        <f>HYPERLINK("https://www.google.com/maps?q=10.89414024,79.10349274","Open Location")</f>
        <v>Open Location</v>
      </c>
    </row>
    <row r="2379" spans="1:40" x14ac:dyDescent="0.3">
      <c r="A2379" s="1">
        <v>46210.724421296298</v>
      </c>
      <c r="B2379" t="s">
        <v>40</v>
      </c>
      <c r="C2379" t="s">
        <v>41</v>
      </c>
      <c r="D2379" s="1">
        <v>46210.729675925926</v>
      </c>
      <c r="E2379" t="s">
        <v>42</v>
      </c>
      <c r="F2379" t="s">
        <v>83</v>
      </c>
      <c r="G2379">
        <v>23</v>
      </c>
      <c r="H2379">
        <v>33186</v>
      </c>
      <c r="I2379" t="s">
        <v>43</v>
      </c>
      <c r="J2379">
        <v>50</v>
      </c>
      <c r="K2379">
        <v>-26</v>
      </c>
      <c r="L2379">
        <v>98</v>
      </c>
      <c r="M2379">
        <v>629.90002441000001</v>
      </c>
      <c r="N2379" t="s">
        <v>87</v>
      </c>
      <c r="O2379" t="s">
        <v>86</v>
      </c>
      <c r="P2379">
        <v>131</v>
      </c>
      <c r="Q2379">
        <v>4</v>
      </c>
      <c r="R2379">
        <v>-21</v>
      </c>
      <c r="S2379">
        <v>700</v>
      </c>
      <c r="T2379">
        <v>-40</v>
      </c>
      <c r="U2379">
        <v>51</v>
      </c>
      <c r="V2379">
        <v>-300</v>
      </c>
      <c r="W2379">
        <v>28</v>
      </c>
      <c r="X2379">
        <v>28</v>
      </c>
      <c r="Y2379">
        <v>1</v>
      </c>
      <c r="Z2379">
        <v>8</v>
      </c>
      <c r="AA2379">
        <v>24</v>
      </c>
      <c r="AB2379">
        <v>2</v>
      </c>
      <c r="AC2379">
        <v>3</v>
      </c>
      <c r="AD2379">
        <v>3.2869999399999998</v>
      </c>
      <c r="AE2379">
        <v>1</v>
      </c>
      <c r="AF2379">
        <v>17</v>
      </c>
      <c r="AG2379">
        <v>3.2839999199999999</v>
      </c>
      <c r="AH2379">
        <v>1</v>
      </c>
      <c r="AI2379">
        <v>4</v>
      </c>
      <c r="AJ2379">
        <v>1</v>
      </c>
      <c r="AK2379">
        <v>17</v>
      </c>
      <c r="AL2379">
        <v>49</v>
      </c>
      <c r="AM2379" t="s">
        <v>43</v>
      </c>
      <c r="AN2379" t="s">
        <v>43</v>
      </c>
    </row>
    <row r="2380" spans="1:40" x14ac:dyDescent="0.3">
      <c r="A2380" s="1">
        <v>46210.724305555559</v>
      </c>
      <c r="B2380" t="s">
        <v>40</v>
      </c>
      <c r="C2380" t="s">
        <v>41</v>
      </c>
      <c r="D2380" s="1">
        <v>46210.729398148149</v>
      </c>
      <c r="E2380" t="s">
        <v>42</v>
      </c>
      <c r="F2380" t="s">
        <v>83</v>
      </c>
      <c r="G2380">
        <v>26</v>
      </c>
      <c r="H2380" t="s">
        <v>43</v>
      </c>
      <c r="I2380" t="s">
        <v>1213</v>
      </c>
      <c r="J2380">
        <v>50</v>
      </c>
      <c r="K2380">
        <v>-31</v>
      </c>
      <c r="L2380">
        <v>98</v>
      </c>
      <c r="M2380">
        <v>630.70001220999995</v>
      </c>
      <c r="N2380" t="s">
        <v>87</v>
      </c>
      <c r="O2380" t="s">
        <v>86</v>
      </c>
      <c r="P2380">
        <v>131</v>
      </c>
      <c r="Q2380">
        <v>5</v>
      </c>
      <c r="R2380">
        <v>-24</v>
      </c>
      <c r="S2380">
        <v>785</v>
      </c>
      <c r="T2380">
        <v>-40</v>
      </c>
      <c r="U2380">
        <v>51</v>
      </c>
      <c r="V2380">
        <v>-300</v>
      </c>
      <c r="W2380">
        <v>28</v>
      </c>
      <c r="X2380">
        <v>28</v>
      </c>
      <c r="Y2380">
        <v>1</v>
      </c>
      <c r="Z2380">
        <v>8</v>
      </c>
      <c r="AA2380">
        <v>24</v>
      </c>
      <c r="AB2380">
        <v>2</v>
      </c>
      <c r="AC2380">
        <v>3</v>
      </c>
      <c r="AD2380">
        <v>3.2869999399999998</v>
      </c>
      <c r="AE2380">
        <v>1</v>
      </c>
      <c r="AF2380">
        <v>24</v>
      </c>
      <c r="AG2380">
        <v>3.2839999199999999</v>
      </c>
      <c r="AH2380">
        <v>1</v>
      </c>
      <c r="AI2380">
        <v>4</v>
      </c>
      <c r="AJ2380">
        <v>1</v>
      </c>
      <c r="AK2380">
        <v>17</v>
      </c>
      <c r="AL2380">
        <v>50</v>
      </c>
      <c r="AM2380" t="s">
        <v>43</v>
      </c>
      <c r="AN2380" t="str">
        <f>HYPERLINK("https://www.google.com/maps?q=10.89362621,79.10293579","Open Location")</f>
        <v>Open Location</v>
      </c>
    </row>
    <row r="2381" spans="1:40" x14ac:dyDescent="0.3">
      <c r="A2381" s="1">
        <v>46210.724189814813</v>
      </c>
      <c r="B2381" t="s">
        <v>40</v>
      </c>
      <c r="C2381" t="s">
        <v>41</v>
      </c>
      <c r="D2381" s="1">
        <v>46210.72934027778</v>
      </c>
      <c r="E2381" t="s">
        <v>42</v>
      </c>
      <c r="F2381" t="s">
        <v>83</v>
      </c>
      <c r="G2381">
        <v>30</v>
      </c>
      <c r="H2381">
        <v>33185</v>
      </c>
      <c r="I2381" t="s">
        <v>1214</v>
      </c>
      <c r="J2381">
        <v>50</v>
      </c>
      <c r="K2381">
        <v>-35</v>
      </c>
      <c r="L2381">
        <v>98</v>
      </c>
      <c r="M2381">
        <v>630.59997558999999</v>
      </c>
      <c r="N2381" t="s">
        <v>87</v>
      </c>
      <c r="O2381" t="s">
        <v>86</v>
      </c>
      <c r="P2381">
        <v>131</v>
      </c>
      <c r="Q2381">
        <v>6</v>
      </c>
      <c r="R2381">
        <v>-26</v>
      </c>
      <c r="S2381">
        <v>876</v>
      </c>
      <c r="T2381">
        <v>-40</v>
      </c>
      <c r="U2381">
        <v>50</v>
      </c>
      <c r="V2381">
        <v>-300</v>
      </c>
      <c r="W2381">
        <v>28</v>
      </c>
      <c r="X2381">
        <v>28</v>
      </c>
      <c r="Y2381">
        <v>1</v>
      </c>
      <c r="Z2381">
        <v>8</v>
      </c>
      <c r="AA2381">
        <v>24</v>
      </c>
      <c r="AB2381">
        <v>2</v>
      </c>
      <c r="AC2381">
        <v>3</v>
      </c>
      <c r="AD2381">
        <v>3.2869999399999998</v>
      </c>
      <c r="AE2381">
        <v>1</v>
      </c>
      <c r="AF2381">
        <v>26</v>
      </c>
      <c r="AG2381">
        <v>3.2839999199999999</v>
      </c>
      <c r="AH2381">
        <v>1</v>
      </c>
      <c r="AI2381">
        <v>4</v>
      </c>
      <c r="AJ2381">
        <v>1</v>
      </c>
      <c r="AK2381">
        <v>17</v>
      </c>
      <c r="AL2381">
        <v>50</v>
      </c>
      <c r="AM2381" t="s">
        <v>43</v>
      </c>
      <c r="AN2381" t="str">
        <f>HYPERLINK("https://www.google.com/maps?q=10.89305305,79.10228729","Open Location")</f>
        <v>Open Location</v>
      </c>
    </row>
    <row r="2382" spans="1:40" x14ac:dyDescent="0.3">
      <c r="A2382" s="1">
        <v>46210.724074074074</v>
      </c>
      <c r="B2382" t="s">
        <v>40</v>
      </c>
      <c r="C2382" t="s">
        <v>41</v>
      </c>
      <c r="D2382" s="1">
        <v>46210.728958333333</v>
      </c>
      <c r="E2382" t="s">
        <v>42</v>
      </c>
      <c r="F2382" t="s">
        <v>83</v>
      </c>
      <c r="G2382">
        <v>33</v>
      </c>
      <c r="H2382">
        <v>33185</v>
      </c>
      <c r="I2382" t="s">
        <v>1215</v>
      </c>
      <c r="J2382">
        <v>50</v>
      </c>
      <c r="K2382">
        <v>-40</v>
      </c>
      <c r="L2382">
        <v>98</v>
      </c>
      <c r="M2382">
        <v>630.40002441000001</v>
      </c>
      <c r="N2382" t="s">
        <v>87</v>
      </c>
      <c r="O2382" t="s">
        <v>86</v>
      </c>
      <c r="P2382">
        <v>131</v>
      </c>
      <c r="Q2382">
        <v>6</v>
      </c>
      <c r="R2382">
        <v>-29</v>
      </c>
      <c r="S2382">
        <v>982</v>
      </c>
      <c r="T2382">
        <v>-40</v>
      </c>
      <c r="U2382">
        <v>50</v>
      </c>
      <c r="V2382">
        <v>-300</v>
      </c>
      <c r="W2382">
        <v>28</v>
      </c>
      <c r="X2382">
        <v>28</v>
      </c>
      <c r="Y2382">
        <v>1</v>
      </c>
      <c r="Z2382">
        <v>8</v>
      </c>
      <c r="AA2382">
        <v>24</v>
      </c>
      <c r="AB2382">
        <v>2</v>
      </c>
      <c r="AC2382">
        <v>3</v>
      </c>
      <c r="AD2382">
        <v>3.28600001</v>
      </c>
      <c r="AE2382">
        <v>1</v>
      </c>
      <c r="AF2382">
        <v>26</v>
      </c>
      <c r="AG2382">
        <v>3.28299999</v>
      </c>
      <c r="AH2382">
        <v>1</v>
      </c>
      <c r="AI2382">
        <v>4</v>
      </c>
      <c r="AJ2382">
        <v>1</v>
      </c>
      <c r="AK2382">
        <v>17</v>
      </c>
      <c r="AL2382">
        <v>50</v>
      </c>
      <c r="AM2382" t="s">
        <v>43</v>
      </c>
      <c r="AN2382" t="str">
        <f>HYPERLINK("https://www.google.com/maps?q=10.8924036,79.10153961","Open Location")</f>
        <v>Open Location</v>
      </c>
    </row>
    <row r="2383" spans="1:40" x14ac:dyDescent="0.3">
      <c r="A2383" s="1">
        <v>46210.723958333336</v>
      </c>
      <c r="B2383" t="s">
        <v>40</v>
      </c>
      <c r="C2383" t="s">
        <v>41</v>
      </c>
      <c r="D2383" s="1">
        <v>46210.727511574078</v>
      </c>
      <c r="E2383" t="s">
        <v>42</v>
      </c>
      <c r="F2383" t="s">
        <v>83</v>
      </c>
      <c r="G2383">
        <v>37</v>
      </c>
      <c r="H2383">
        <v>33185</v>
      </c>
      <c r="I2383" t="s">
        <v>1216</v>
      </c>
      <c r="J2383">
        <v>50</v>
      </c>
      <c r="K2383">
        <v>-44</v>
      </c>
      <c r="L2383">
        <v>98</v>
      </c>
      <c r="M2383">
        <v>629.40002441000001</v>
      </c>
      <c r="N2383" t="s">
        <v>87</v>
      </c>
      <c r="O2383" t="s">
        <v>86</v>
      </c>
      <c r="P2383">
        <v>131</v>
      </c>
      <c r="Q2383">
        <v>6</v>
      </c>
      <c r="R2383">
        <v>-33</v>
      </c>
      <c r="S2383">
        <v>1080</v>
      </c>
      <c r="T2383">
        <v>-40</v>
      </c>
      <c r="U2383">
        <v>50</v>
      </c>
      <c r="V2383">
        <v>-300</v>
      </c>
      <c r="W2383">
        <v>28</v>
      </c>
      <c r="X2383">
        <v>28</v>
      </c>
      <c r="Y2383">
        <v>1</v>
      </c>
      <c r="Z2383">
        <v>8</v>
      </c>
      <c r="AA2383">
        <v>24</v>
      </c>
      <c r="AB2383">
        <v>2</v>
      </c>
      <c r="AC2383">
        <v>3</v>
      </c>
      <c r="AD2383">
        <v>3.2839999199999999</v>
      </c>
      <c r="AE2383">
        <v>1</v>
      </c>
      <c r="AF2383">
        <v>17</v>
      </c>
      <c r="AG2383">
        <v>3.2809998999999999</v>
      </c>
      <c r="AH2383">
        <v>2</v>
      </c>
      <c r="AI2383">
        <v>12</v>
      </c>
      <c r="AJ2383">
        <v>1</v>
      </c>
      <c r="AK2383">
        <v>17</v>
      </c>
      <c r="AL2383">
        <v>50</v>
      </c>
      <c r="AM2383" t="s">
        <v>43</v>
      </c>
      <c r="AN2383" t="str">
        <f>HYPERLINK("https://www.google.com/maps?q=10.89159298,79.10061646","Open Location")</f>
        <v>Open Location</v>
      </c>
    </row>
    <row r="2384" spans="1:40" x14ac:dyDescent="0.3">
      <c r="A2384" s="1">
        <v>46210.72384259259</v>
      </c>
      <c r="B2384" t="s">
        <v>40</v>
      </c>
      <c r="C2384" t="s">
        <v>41</v>
      </c>
      <c r="D2384" s="1">
        <v>46210.727349537039</v>
      </c>
      <c r="E2384" t="s">
        <v>42</v>
      </c>
      <c r="F2384" t="s">
        <v>83</v>
      </c>
      <c r="G2384">
        <v>40</v>
      </c>
      <c r="H2384">
        <v>33185</v>
      </c>
      <c r="I2384" t="s">
        <v>43</v>
      </c>
      <c r="J2384">
        <v>50</v>
      </c>
      <c r="K2384">
        <v>52</v>
      </c>
      <c r="L2384">
        <v>98</v>
      </c>
      <c r="M2384">
        <v>626</v>
      </c>
      <c r="N2384" t="s">
        <v>87</v>
      </c>
      <c r="O2384" t="s">
        <v>86</v>
      </c>
      <c r="P2384">
        <v>131</v>
      </c>
      <c r="Q2384">
        <v>6</v>
      </c>
      <c r="R2384">
        <v>-36</v>
      </c>
      <c r="S2384">
        <v>1172</v>
      </c>
      <c r="T2384">
        <v>-40</v>
      </c>
      <c r="U2384">
        <v>50</v>
      </c>
      <c r="V2384">
        <v>220</v>
      </c>
      <c r="W2384">
        <v>28</v>
      </c>
      <c r="X2384">
        <v>28</v>
      </c>
      <c r="Y2384">
        <v>1</v>
      </c>
      <c r="Z2384">
        <v>8</v>
      </c>
      <c r="AA2384">
        <v>24</v>
      </c>
      <c r="AB2384">
        <v>2</v>
      </c>
      <c r="AC2384">
        <v>3</v>
      </c>
      <c r="AD2384">
        <v>3.2790000400000001</v>
      </c>
      <c r="AE2384">
        <v>1</v>
      </c>
      <c r="AF2384">
        <v>43</v>
      </c>
      <c r="AG2384">
        <v>3.2730000000000001</v>
      </c>
      <c r="AH2384">
        <v>5</v>
      </c>
      <c r="AI2384">
        <v>17</v>
      </c>
      <c r="AJ2384">
        <v>1</v>
      </c>
      <c r="AK2384">
        <v>19</v>
      </c>
      <c r="AL2384">
        <v>50</v>
      </c>
      <c r="AM2384" t="s">
        <v>43</v>
      </c>
      <c r="AN2384" t="s">
        <v>43</v>
      </c>
    </row>
    <row r="2385" spans="1:40" x14ac:dyDescent="0.3">
      <c r="A2385" s="1">
        <v>46210.723726851851</v>
      </c>
      <c r="B2385" t="s">
        <v>40</v>
      </c>
      <c r="C2385" t="s">
        <v>41</v>
      </c>
      <c r="D2385" s="1">
        <v>46210.727534722224</v>
      </c>
      <c r="E2385" t="s">
        <v>42</v>
      </c>
      <c r="F2385" t="s">
        <v>83</v>
      </c>
      <c r="G2385">
        <v>42</v>
      </c>
      <c r="H2385">
        <v>33185</v>
      </c>
      <c r="I2385" t="s">
        <v>1217</v>
      </c>
      <c r="J2385">
        <v>50</v>
      </c>
      <c r="K2385">
        <v>71</v>
      </c>
      <c r="L2385">
        <v>98</v>
      </c>
      <c r="M2385">
        <v>623.5</v>
      </c>
      <c r="N2385" t="s">
        <v>87</v>
      </c>
      <c r="O2385" t="s">
        <v>86</v>
      </c>
      <c r="P2385">
        <v>131</v>
      </c>
      <c r="Q2385">
        <v>6</v>
      </c>
      <c r="R2385">
        <v>36</v>
      </c>
      <c r="S2385">
        <v>1180</v>
      </c>
      <c r="T2385">
        <v>-40</v>
      </c>
      <c r="U2385">
        <v>50</v>
      </c>
      <c r="V2385">
        <v>300</v>
      </c>
      <c r="W2385">
        <v>28</v>
      </c>
      <c r="X2385">
        <v>28</v>
      </c>
      <c r="Y2385">
        <v>1</v>
      </c>
      <c r="Z2385">
        <v>8</v>
      </c>
      <c r="AA2385">
        <v>24</v>
      </c>
      <c r="AB2385">
        <v>2</v>
      </c>
      <c r="AC2385">
        <v>3</v>
      </c>
      <c r="AD2385">
        <v>3.25900006</v>
      </c>
      <c r="AE2385">
        <v>1</v>
      </c>
      <c r="AF2385">
        <v>38</v>
      </c>
      <c r="AG2385">
        <v>3.25</v>
      </c>
      <c r="AH2385">
        <v>4</v>
      </c>
      <c r="AI2385">
        <v>17</v>
      </c>
      <c r="AJ2385">
        <v>1</v>
      </c>
      <c r="AK2385">
        <v>19</v>
      </c>
      <c r="AL2385">
        <v>50</v>
      </c>
      <c r="AM2385" t="s">
        <v>43</v>
      </c>
      <c r="AN2385" t="str">
        <f>HYPERLINK("https://www.google.com/maps?q=10.89076519,79.09965515","Open Location")</f>
        <v>Open Location</v>
      </c>
    </row>
    <row r="2386" spans="1:40" x14ac:dyDescent="0.3">
      <c r="A2386" s="1">
        <v>46210.723611111112</v>
      </c>
      <c r="B2386" t="s">
        <v>40</v>
      </c>
      <c r="C2386" t="s">
        <v>41</v>
      </c>
      <c r="D2386" s="1">
        <v>46210.727349537039</v>
      </c>
      <c r="E2386" t="s">
        <v>42</v>
      </c>
      <c r="F2386" t="s">
        <v>83</v>
      </c>
      <c r="G2386">
        <v>43</v>
      </c>
      <c r="H2386">
        <v>33185</v>
      </c>
      <c r="I2386" t="s">
        <v>1218</v>
      </c>
      <c r="J2386">
        <v>50</v>
      </c>
      <c r="K2386">
        <v>48</v>
      </c>
      <c r="L2386">
        <v>98</v>
      </c>
      <c r="M2386">
        <v>625.29998779000005</v>
      </c>
      <c r="N2386" t="s">
        <v>87</v>
      </c>
      <c r="O2386" t="s">
        <v>86</v>
      </c>
      <c r="P2386">
        <v>131</v>
      </c>
      <c r="Q2386">
        <v>6</v>
      </c>
      <c r="R2386">
        <v>27</v>
      </c>
      <c r="S2386">
        <v>1180</v>
      </c>
      <c r="T2386">
        <v>-40</v>
      </c>
      <c r="U2386">
        <v>49</v>
      </c>
      <c r="V2386">
        <v>220</v>
      </c>
      <c r="W2386">
        <v>28</v>
      </c>
      <c r="X2386">
        <v>28</v>
      </c>
      <c r="Y2386">
        <v>1</v>
      </c>
      <c r="Z2386">
        <v>8</v>
      </c>
      <c r="AA2386">
        <v>24</v>
      </c>
      <c r="AB2386">
        <v>2</v>
      </c>
      <c r="AC2386">
        <v>3</v>
      </c>
      <c r="AD2386">
        <v>3.2630000099999998</v>
      </c>
      <c r="AE2386">
        <v>1</v>
      </c>
      <c r="AF2386">
        <v>43</v>
      </c>
      <c r="AG2386">
        <v>3.25600004</v>
      </c>
      <c r="AH2386">
        <v>4</v>
      </c>
      <c r="AI2386">
        <v>17</v>
      </c>
      <c r="AJ2386">
        <v>1</v>
      </c>
      <c r="AK2386">
        <v>19</v>
      </c>
      <c r="AL2386">
        <v>50</v>
      </c>
      <c r="AM2386" t="s">
        <v>43</v>
      </c>
      <c r="AN2386" t="str">
        <f>HYPERLINK("https://www.google.com/maps?q=10.88988495,79.09870911","Open Location")</f>
        <v>Open Location</v>
      </c>
    </row>
    <row r="2387" spans="1:40" x14ac:dyDescent="0.3">
      <c r="A2387" s="1">
        <v>46210.723495370374</v>
      </c>
      <c r="B2387" t="s">
        <v>40</v>
      </c>
      <c r="C2387" t="s">
        <v>41</v>
      </c>
      <c r="D2387" s="1">
        <v>46210.727523148147</v>
      </c>
      <c r="E2387" t="s">
        <v>42</v>
      </c>
      <c r="F2387" t="s">
        <v>83</v>
      </c>
      <c r="G2387">
        <v>42</v>
      </c>
      <c r="H2387" t="s">
        <v>43</v>
      </c>
      <c r="I2387" t="s">
        <v>1219</v>
      </c>
      <c r="J2387">
        <v>50</v>
      </c>
      <c r="K2387">
        <v>48</v>
      </c>
      <c r="L2387">
        <v>98</v>
      </c>
      <c r="M2387">
        <v>625.20001220999995</v>
      </c>
      <c r="N2387" t="s">
        <v>87</v>
      </c>
      <c r="O2387" t="s">
        <v>86</v>
      </c>
      <c r="P2387">
        <v>131</v>
      </c>
      <c r="Q2387">
        <v>6</v>
      </c>
      <c r="R2387">
        <v>27</v>
      </c>
      <c r="S2387">
        <v>1177</v>
      </c>
      <c r="T2387">
        <v>-40</v>
      </c>
      <c r="U2387">
        <v>49</v>
      </c>
      <c r="V2387">
        <v>220</v>
      </c>
      <c r="W2387">
        <v>28</v>
      </c>
      <c r="X2387">
        <v>28</v>
      </c>
      <c r="Y2387">
        <v>1</v>
      </c>
      <c r="Z2387">
        <v>8</v>
      </c>
      <c r="AA2387">
        <v>24</v>
      </c>
      <c r="AB2387">
        <v>2</v>
      </c>
      <c r="AC2387">
        <v>3</v>
      </c>
      <c r="AD2387">
        <v>3.26200008</v>
      </c>
      <c r="AE2387">
        <v>1</v>
      </c>
      <c r="AF2387">
        <v>36</v>
      </c>
      <c r="AG2387">
        <v>3.25600004</v>
      </c>
      <c r="AH2387">
        <v>4</v>
      </c>
      <c r="AI2387">
        <v>17</v>
      </c>
      <c r="AJ2387">
        <v>1</v>
      </c>
      <c r="AK2387">
        <v>19</v>
      </c>
      <c r="AL2387">
        <v>50</v>
      </c>
      <c r="AM2387" t="s">
        <v>43</v>
      </c>
      <c r="AN2387" t="str">
        <f>HYPERLINK("https://www.google.com/maps?q=10.88895416,79.09780884","Open Location")</f>
        <v>Open Location</v>
      </c>
    </row>
    <row r="2388" spans="1:40" x14ac:dyDescent="0.3">
      <c r="A2388" s="1">
        <v>46210.723379629628</v>
      </c>
      <c r="B2388" t="s">
        <v>40</v>
      </c>
      <c r="C2388" t="s">
        <v>41</v>
      </c>
      <c r="D2388" s="1">
        <v>46210.727546296293</v>
      </c>
      <c r="E2388" t="s">
        <v>42</v>
      </c>
      <c r="F2388" t="s">
        <v>83</v>
      </c>
      <c r="G2388">
        <v>42</v>
      </c>
      <c r="H2388">
        <v>33185</v>
      </c>
      <c r="I2388" t="s">
        <v>1220</v>
      </c>
      <c r="J2388">
        <v>50</v>
      </c>
      <c r="K2388">
        <v>48</v>
      </c>
      <c r="L2388">
        <v>98</v>
      </c>
      <c r="M2388">
        <v>624.70001220999995</v>
      </c>
      <c r="N2388" t="s">
        <v>87</v>
      </c>
      <c r="O2388" t="s">
        <v>86</v>
      </c>
      <c r="P2388">
        <v>131</v>
      </c>
      <c r="Q2388">
        <v>6</v>
      </c>
      <c r="R2388">
        <v>27</v>
      </c>
      <c r="S2388">
        <v>1183</v>
      </c>
      <c r="T2388">
        <v>-40</v>
      </c>
      <c r="U2388">
        <v>50</v>
      </c>
      <c r="V2388">
        <v>220</v>
      </c>
      <c r="W2388">
        <v>28</v>
      </c>
      <c r="X2388">
        <v>28</v>
      </c>
      <c r="Y2388">
        <v>1</v>
      </c>
      <c r="Z2388">
        <v>8</v>
      </c>
      <c r="AA2388">
        <v>24</v>
      </c>
      <c r="AB2388">
        <v>2</v>
      </c>
      <c r="AC2388">
        <v>3</v>
      </c>
      <c r="AD2388">
        <v>3.26200008</v>
      </c>
      <c r="AE2388">
        <v>1</v>
      </c>
      <c r="AF2388">
        <v>36</v>
      </c>
      <c r="AG2388">
        <v>3.25600004</v>
      </c>
      <c r="AH2388">
        <v>4</v>
      </c>
      <c r="AI2388">
        <v>17</v>
      </c>
      <c r="AJ2388">
        <v>1</v>
      </c>
      <c r="AK2388">
        <v>19</v>
      </c>
      <c r="AL2388">
        <v>50</v>
      </c>
      <c r="AM2388" t="s">
        <v>43</v>
      </c>
      <c r="AN2388" t="str">
        <f>HYPERLINK("https://www.google.com/maps?q=10.88792706,79.09702301","Open Location")</f>
        <v>Open Location</v>
      </c>
    </row>
    <row r="2389" spans="1:40" x14ac:dyDescent="0.3">
      <c r="A2389" s="1">
        <v>46210.723263888889</v>
      </c>
      <c r="B2389" t="s">
        <v>40</v>
      </c>
      <c r="C2389" t="s">
        <v>41</v>
      </c>
      <c r="D2389" s="1">
        <v>46210.727546296293</v>
      </c>
      <c r="E2389" t="s">
        <v>42</v>
      </c>
      <c r="F2389" t="s">
        <v>83</v>
      </c>
      <c r="G2389">
        <v>43</v>
      </c>
      <c r="H2389">
        <v>33185</v>
      </c>
      <c r="I2389" t="s">
        <v>1221</v>
      </c>
      <c r="J2389">
        <v>50</v>
      </c>
      <c r="K2389">
        <v>49</v>
      </c>
      <c r="L2389">
        <v>98</v>
      </c>
      <c r="M2389">
        <v>624.59997558999999</v>
      </c>
      <c r="N2389" t="s">
        <v>87</v>
      </c>
      <c r="O2389" t="s">
        <v>86</v>
      </c>
      <c r="P2389">
        <v>131</v>
      </c>
      <c r="Q2389">
        <v>6</v>
      </c>
      <c r="R2389">
        <v>27</v>
      </c>
      <c r="S2389">
        <v>1201</v>
      </c>
      <c r="T2389">
        <v>-40</v>
      </c>
      <c r="U2389">
        <v>50</v>
      </c>
      <c r="V2389">
        <v>220</v>
      </c>
      <c r="W2389">
        <v>28</v>
      </c>
      <c r="X2389">
        <v>28</v>
      </c>
      <c r="Y2389">
        <v>1</v>
      </c>
      <c r="Z2389">
        <v>8</v>
      </c>
      <c r="AA2389">
        <v>24</v>
      </c>
      <c r="AB2389">
        <v>2</v>
      </c>
      <c r="AC2389">
        <v>3</v>
      </c>
      <c r="AD2389">
        <v>3.26200008</v>
      </c>
      <c r="AE2389">
        <v>1</v>
      </c>
      <c r="AF2389">
        <v>38</v>
      </c>
      <c r="AG2389">
        <v>3.2550001100000001</v>
      </c>
      <c r="AH2389">
        <v>4</v>
      </c>
      <c r="AI2389">
        <v>17</v>
      </c>
      <c r="AJ2389">
        <v>1</v>
      </c>
      <c r="AK2389">
        <v>19</v>
      </c>
      <c r="AL2389">
        <v>50</v>
      </c>
      <c r="AM2389" t="s">
        <v>43</v>
      </c>
      <c r="AN2389" t="str">
        <f>HYPERLINK("https://www.google.com/maps?q=10.88678455,79.09638214","Open Location")</f>
        <v>Open Location</v>
      </c>
    </row>
    <row r="2390" spans="1:40" x14ac:dyDescent="0.3">
      <c r="A2390" s="1">
        <v>46210.72314814815</v>
      </c>
      <c r="B2390" t="s">
        <v>40</v>
      </c>
      <c r="C2390" t="s">
        <v>41</v>
      </c>
      <c r="D2390" s="1">
        <v>46210.727349537039</v>
      </c>
      <c r="E2390" t="s">
        <v>42</v>
      </c>
      <c r="F2390" t="s">
        <v>83</v>
      </c>
      <c r="G2390">
        <v>44</v>
      </c>
      <c r="H2390">
        <v>33184</v>
      </c>
      <c r="I2390" t="s">
        <v>43</v>
      </c>
      <c r="J2390">
        <v>50</v>
      </c>
      <c r="K2390">
        <v>54</v>
      </c>
      <c r="L2390">
        <v>98</v>
      </c>
      <c r="M2390">
        <v>624.59997558999999</v>
      </c>
      <c r="N2390" t="s">
        <v>87</v>
      </c>
      <c r="O2390" t="s">
        <v>86</v>
      </c>
      <c r="P2390">
        <v>131</v>
      </c>
      <c r="Q2390">
        <v>6</v>
      </c>
      <c r="R2390">
        <v>27</v>
      </c>
      <c r="S2390">
        <v>1231</v>
      </c>
      <c r="T2390">
        <v>-40</v>
      </c>
      <c r="U2390">
        <v>50</v>
      </c>
      <c r="V2390">
        <v>240</v>
      </c>
      <c r="W2390">
        <v>28</v>
      </c>
      <c r="X2390">
        <v>28</v>
      </c>
      <c r="Y2390">
        <v>1</v>
      </c>
      <c r="Z2390">
        <v>8</v>
      </c>
      <c r="AA2390">
        <v>24</v>
      </c>
      <c r="AB2390">
        <v>2</v>
      </c>
      <c r="AC2390">
        <v>3</v>
      </c>
      <c r="AD2390" t="s">
        <v>43</v>
      </c>
      <c r="AE2390" t="s">
        <v>43</v>
      </c>
      <c r="AF2390" t="s">
        <v>43</v>
      </c>
      <c r="AG2390" t="s">
        <v>43</v>
      </c>
      <c r="AH2390" t="s">
        <v>43</v>
      </c>
      <c r="AI2390" t="s">
        <v>43</v>
      </c>
      <c r="AJ2390">
        <v>1</v>
      </c>
      <c r="AK2390">
        <v>18</v>
      </c>
      <c r="AL2390">
        <v>50</v>
      </c>
      <c r="AM2390" t="s">
        <v>43</v>
      </c>
      <c r="AN2390" t="s">
        <v>43</v>
      </c>
    </row>
    <row r="2391" spans="1:40" x14ac:dyDescent="0.3">
      <c r="A2391" s="1">
        <v>46210.723032407404</v>
      </c>
      <c r="B2391" t="s">
        <v>40</v>
      </c>
      <c r="C2391" t="s">
        <v>41</v>
      </c>
      <c r="D2391" s="1">
        <v>46210.727523148147</v>
      </c>
      <c r="E2391" t="s">
        <v>43</v>
      </c>
      <c r="F2391" t="s">
        <v>83</v>
      </c>
      <c r="G2391">
        <v>45</v>
      </c>
      <c r="H2391">
        <v>33184</v>
      </c>
      <c r="I2391" t="s">
        <v>1222</v>
      </c>
      <c r="J2391">
        <v>50</v>
      </c>
      <c r="K2391">
        <v>71</v>
      </c>
      <c r="L2391">
        <v>98</v>
      </c>
      <c r="M2391">
        <v>624.29998779000005</v>
      </c>
      <c r="N2391" t="s">
        <v>87</v>
      </c>
      <c r="O2391" t="s">
        <v>86</v>
      </c>
      <c r="P2391">
        <v>131</v>
      </c>
      <c r="Q2391">
        <v>6</v>
      </c>
      <c r="R2391">
        <v>38</v>
      </c>
      <c r="S2391">
        <v>1247</v>
      </c>
      <c r="T2391">
        <v>-40</v>
      </c>
      <c r="U2391">
        <v>51</v>
      </c>
      <c r="V2391">
        <v>288</v>
      </c>
      <c r="W2391">
        <v>28</v>
      </c>
      <c r="X2391">
        <v>28</v>
      </c>
      <c r="Y2391">
        <v>1</v>
      </c>
      <c r="Z2391">
        <v>8</v>
      </c>
      <c r="AA2391">
        <v>24</v>
      </c>
      <c r="AB2391">
        <v>2</v>
      </c>
      <c r="AC2391">
        <v>4</v>
      </c>
      <c r="AD2391">
        <v>3.25600004</v>
      </c>
      <c r="AE2391">
        <v>1</v>
      </c>
      <c r="AF2391">
        <v>43</v>
      </c>
      <c r="AG2391">
        <v>3.24699998</v>
      </c>
      <c r="AH2391">
        <v>4</v>
      </c>
      <c r="AI2391">
        <v>17</v>
      </c>
      <c r="AJ2391" t="s">
        <v>43</v>
      </c>
      <c r="AK2391" t="s">
        <v>43</v>
      </c>
      <c r="AL2391" t="s">
        <v>43</v>
      </c>
      <c r="AM2391" t="s">
        <v>43</v>
      </c>
      <c r="AN2391" t="str">
        <f>HYPERLINK("https://www.google.com/maps?q=10.88554478,79.09590149","Open Location")</f>
        <v>Open Location</v>
      </c>
    </row>
    <row r="2392" spans="1:40" x14ac:dyDescent="0.3">
      <c r="A2392" s="1">
        <v>46210.722800925927</v>
      </c>
      <c r="B2392" t="s">
        <v>40</v>
      </c>
      <c r="C2392" t="s">
        <v>41</v>
      </c>
      <c r="D2392" s="1">
        <v>46210.72583333333</v>
      </c>
      <c r="E2392" t="s">
        <v>42</v>
      </c>
      <c r="F2392" t="s">
        <v>83</v>
      </c>
      <c r="G2392" t="s">
        <v>43</v>
      </c>
      <c r="H2392" t="s">
        <v>43</v>
      </c>
      <c r="I2392" t="s">
        <v>43</v>
      </c>
      <c r="J2392">
        <v>50</v>
      </c>
      <c r="K2392">
        <v>53</v>
      </c>
      <c r="L2392">
        <v>98</v>
      </c>
      <c r="M2392">
        <v>625.09997558999999</v>
      </c>
      <c r="N2392" t="s">
        <v>45</v>
      </c>
      <c r="O2392" t="s">
        <v>86</v>
      </c>
      <c r="P2392" t="s">
        <v>43</v>
      </c>
      <c r="Q2392">
        <v>6</v>
      </c>
      <c r="R2392" t="s">
        <v>43</v>
      </c>
      <c r="S2392">
        <v>1302</v>
      </c>
      <c r="T2392">
        <v>-40</v>
      </c>
      <c r="U2392">
        <v>51</v>
      </c>
      <c r="V2392">
        <v>220</v>
      </c>
      <c r="W2392" t="s">
        <v>43</v>
      </c>
      <c r="X2392" t="s">
        <v>43</v>
      </c>
      <c r="Y2392" t="s">
        <v>43</v>
      </c>
      <c r="Z2392" t="s">
        <v>43</v>
      </c>
      <c r="AA2392" t="s">
        <v>43</v>
      </c>
      <c r="AB2392" t="s">
        <v>43</v>
      </c>
      <c r="AC2392" t="s">
        <v>43</v>
      </c>
      <c r="AD2392" t="s">
        <v>43</v>
      </c>
      <c r="AE2392" t="s">
        <v>43</v>
      </c>
      <c r="AF2392" t="s">
        <v>43</v>
      </c>
      <c r="AG2392" t="s">
        <v>43</v>
      </c>
      <c r="AH2392" t="s">
        <v>43</v>
      </c>
      <c r="AI2392" t="s">
        <v>43</v>
      </c>
      <c r="AJ2392">
        <v>1</v>
      </c>
      <c r="AK2392">
        <v>17</v>
      </c>
      <c r="AL2392">
        <v>50</v>
      </c>
      <c r="AM2392" t="s">
        <v>43</v>
      </c>
      <c r="AN2392" t="s">
        <v>43</v>
      </c>
    </row>
    <row r="2393" spans="1:40" x14ac:dyDescent="0.3">
      <c r="A2393" s="1">
        <v>46210.722685185188</v>
      </c>
      <c r="B2393" t="s">
        <v>40</v>
      </c>
      <c r="C2393" t="s">
        <v>41</v>
      </c>
      <c r="D2393" s="1">
        <v>46210.726168981484</v>
      </c>
      <c r="E2393" t="s">
        <v>42</v>
      </c>
      <c r="F2393" t="s">
        <v>83</v>
      </c>
      <c r="G2393">
        <v>48</v>
      </c>
      <c r="H2393">
        <v>33184</v>
      </c>
      <c r="I2393" t="s">
        <v>1223</v>
      </c>
      <c r="J2393">
        <v>51</v>
      </c>
      <c r="K2393">
        <v>-57</v>
      </c>
      <c r="L2393">
        <v>98</v>
      </c>
      <c r="M2393">
        <v>630.09997558999999</v>
      </c>
      <c r="N2393" t="s">
        <v>87</v>
      </c>
      <c r="O2393" t="s">
        <v>86</v>
      </c>
      <c r="P2393">
        <v>131</v>
      </c>
      <c r="Q2393">
        <v>6</v>
      </c>
      <c r="R2393">
        <v>30</v>
      </c>
      <c r="S2393">
        <v>1353</v>
      </c>
      <c r="T2393">
        <v>-40</v>
      </c>
      <c r="U2393">
        <v>51</v>
      </c>
      <c r="V2393">
        <v>-300</v>
      </c>
      <c r="W2393">
        <v>28</v>
      </c>
      <c r="X2393">
        <v>28</v>
      </c>
      <c r="Y2393">
        <v>1</v>
      </c>
      <c r="Z2393">
        <v>8</v>
      </c>
      <c r="AA2393">
        <v>24</v>
      </c>
      <c r="AB2393">
        <v>2</v>
      </c>
      <c r="AC2393">
        <v>4</v>
      </c>
      <c r="AD2393">
        <v>3.2790000400000001</v>
      </c>
      <c r="AE2393">
        <v>1</v>
      </c>
      <c r="AF2393">
        <v>36</v>
      </c>
      <c r="AG2393">
        <v>3.27399993</v>
      </c>
      <c r="AH2393">
        <v>2</v>
      </c>
      <c r="AI2393">
        <v>3</v>
      </c>
      <c r="AJ2393">
        <v>1</v>
      </c>
      <c r="AK2393">
        <v>17</v>
      </c>
      <c r="AL2393">
        <v>50</v>
      </c>
      <c r="AM2393" t="s">
        <v>43</v>
      </c>
      <c r="AN2393" t="str">
        <f>HYPERLINK("https://www.google.com/maps?q=10.88147736,79.0943985","Open Location")</f>
        <v>Open Location</v>
      </c>
    </row>
    <row r="2394" spans="1:40" x14ac:dyDescent="0.3">
      <c r="A2394" s="1">
        <v>46210.722569444442</v>
      </c>
      <c r="B2394" t="s">
        <v>40</v>
      </c>
      <c r="C2394" t="s">
        <v>41</v>
      </c>
      <c r="D2394" s="1">
        <v>46210.725937499999</v>
      </c>
      <c r="E2394" t="s">
        <v>42</v>
      </c>
      <c r="F2394" t="s">
        <v>83</v>
      </c>
      <c r="G2394">
        <v>50</v>
      </c>
      <c r="H2394">
        <v>33184</v>
      </c>
      <c r="I2394" t="s">
        <v>1224</v>
      </c>
      <c r="J2394">
        <v>50</v>
      </c>
      <c r="K2394">
        <v>-60</v>
      </c>
      <c r="L2394">
        <v>98</v>
      </c>
      <c r="M2394">
        <v>629</v>
      </c>
      <c r="N2394" t="s">
        <v>87</v>
      </c>
      <c r="O2394" t="s">
        <v>86</v>
      </c>
      <c r="P2394">
        <v>131</v>
      </c>
      <c r="Q2394">
        <v>6</v>
      </c>
      <c r="R2394">
        <v>-45</v>
      </c>
      <c r="S2394">
        <v>1417</v>
      </c>
      <c r="T2394">
        <v>-40</v>
      </c>
      <c r="U2394">
        <v>51</v>
      </c>
      <c r="V2394">
        <v>-300</v>
      </c>
      <c r="W2394">
        <v>28</v>
      </c>
      <c r="X2394">
        <v>28</v>
      </c>
      <c r="Y2394">
        <v>1</v>
      </c>
      <c r="Z2394">
        <v>8</v>
      </c>
      <c r="AA2394">
        <v>24</v>
      </c>
      <c r="AB2394">
        <v>2</v>
      </c>
      <c r="AC2394">
        <v>4</v>
      </c>
      <c r="AD2394">
        <v>3.28299999</v>
      </c>
      <c r="AE2394">
        <v>1</v>
      </c>
      <c r="AF2394">
        <v>26</v>
      </c>
      <c r="AG2394">
        <v>3.2790000400000001</v>
      </c>
      <c r="AH2394">
        <v>2</v>
      </c>
      <c r="AI2394">
        <v>12</v>
      </c>
      <c r="AJ2394">
        <v>1</v>
      </c>
      <c r="AK2394">
        <v>18</v>
      </c>
      <c r="AL2394">
        <v>50</v>
      </c>
      <c r="AM2394" t="s">
        <v>43</v>
      </c>
      <c r="AN2394" t="str">
        <f>HYPERLINK("https://www.google.com/maps?q=10.88003445,79.09387207","Open Location")</f>
        <v>Open Location</v>
      </c>
    </row>
    <row r="2395" spans="1:40" x14ac:dyDescent="0.3">
      <c r="A2395" s="1">
        <v>46210.722453703704</v>
      </c>
      <c r="B2395" t="s">
        <v>40</v>
      </c>
      <c r="C2395" t="s">
        <v>41</v>
      </c>
      <c r="D2395" s="1">
        <v>46210.725937499999</v>
      </c>
      <c r="E2395" t="s">
        <v>42</v>
      </c>
      <c r="F2395" t="s">
        <v>83</v>
      </c>
      <c r="G2395">
        <v>48</v>
      </c>
      <c r="H2395">
        <v>33184</v>
      </c>
      <c r="I2395" t="s">
        <v>43</v>
      </c>
      <c r="J2395">
        <v>50</v>
      </c>
      <c r="K2395">
        <v>-51</v>
      </c>
      <c r="L2395">
        <v>98</v>
      </c>
      <c r="M2395">
        <v>628.09997558999999</v>
      </c>
      <c r="N2395" t="s">
        <v>87</v>
      </c>
      <c r="O2395" t="s">
        <v>86</v>
      </c>
      <c r="P2395">
        <v>131</v>
      </c>
      <c r="Q2395">
        <v>6</v>
      </c>
      <c r="R2395">
        <v>-43</v>
      </c>
      <c r="S2395">
        <v>1222</v>
      </c>
      <c r="T2395">
        <v>-40</v>
      </c>
      <c r="U2395">
        <v>51</v>
      </c>
      <c r="V2395">
        <v>-300</v>
      </c>
      <c r="W2395">
        <v>28</v>
      </c>
      <c r="X2395">
        <v>28</v>
      </c>
      <c r="Y2395">
        <v>1</v>
      </c>
      <c r="Z2395">
        <v>8</v>
      </c>
      <c r="AA2395">
        <v>24</v>
      </c>
      <c r="AB2395">
        <v>2</v>
      </c>
      <c r="AC2395">
        <v>4</v>
      </c>
      <c r="AD2395">
        <v>3.2760000200000001</v>
      </c>
      <c r="AE2395">
        <v>1</v>
      </c>
      <c r="AF2395">
        <v>41</v>
      </c>
      <c r="AG2395">
        <v>3.2720000699999998</v>
      </c>
      <c r="AH2395">
        <v>2</v>
      </c>
      <c r="AI2395">
        <v>6</v>
      </c>
      <c r="AJ2395">
        <v>1</v>
      </c>
      <c r="AK2395">
        <v>17</v>
      </c>
      <c r="AL2395">
        <v>50</v>
      </c>
      <c r="AM2395" t="s">
        <v>43</v>
      </c>
      <c r="AN2395" t="s">
        <v>43</v>
      </c>
    </row>
    <row r="2396" spans="1:40" x14ac:dyDescent="0.3">
      <c r="A2396" s="1">
        <v>46210.722337962965</v>
      </c>
      <c r="B2396" t="s">
        <v>40</v>
      </c>
      <c r="C2396" t="s">
        <v>41</v>
      </c>
      <c r="D2396" s="1">
        <v>46210.726168981484</v>
      </c>
      <c r="E2396" t="s">
        <v>42</v>
      </c>
      <c r="F2396" t="s">
        <v>83</v>
      </c>
      <c r="G2396">
        <v>40</v>
      </c>
      <c r="H2396">
        <v>33184</v>
      </c>
      <c r="I2396" t="s">
        <v>1225</v>
      </c>
      <c r="J2396">
        <v>50</v>
      </c>
      <c r="K2396">
        <v>74</v>
      </c>
      <c r="L2396">
        <v>98</v>
      </c>
      <c r="M2396">
        <v>621.09997558999999</v>
      </c>
      <c r="N2396" t="s">
        <v>87</v>
      </c>
      <c r="O2396" t="s">
        <v>86</v>
      </c>
      <c r="P2396">
        <v>131</v>
      </c>
      <c r="Q2396">
        <v>5</v>
      </c>
      <c r="R2396">
        <v>9</v>
      </c>
      <c r="S2396">
        <v>1686</v>
      </c>
      <c r="T2396">
        <v>-40</v>
      </c>
      <c r="U2396">
        <v>51</v>
      </c>
      <c r="V2396">
        <v>240</v>
      </c>
      <c r="W2396">
        <v>28</v>
      </c>
      <c r="X2396">
        <v>28</v>
      </c>
      <c r="Y2396">
        <v>1</v>
      </c>
      <c r="Z2396">
        <v>8</v>
      </c>
      <c r="AA2396">
        <v>24</v>
      </c>
      <c r="AB2396">
        <v>2</v>
      </c>
      <c r="AC2396">
        <v>4</v>
      </c>
      <c r="AD2396">
        <v>3.2539999499999999</v>
      </c>
      <c r="AE2396">
        <v>1</v>
      </c>
      <c r="AF2396">
        <v>38</v>
      </c>
      <c r="AG2396">
        <v>3.24699998</v>
      </c>
      <c r="AH2396">
        <v>4</v>
      </c>
      <c r="AI2396">
        <v>17</v>
      </c>
      <c r="AJ2396">
        <v>1</v>
      </c>
      <c r="AK2396">
        <v>17</v>
      </c>
      <c r="AL2396">
        <v>50</v>
      </c>
      <c r="AM2396" t="s">
        <v>43</v>
      </c>
      <c r="AN2396" t="str">
        <f>HYPERLINK("https://www.google.com/maps?q=10.87873459,79.09343719","Open Location")</f>
        <v>Open Location</v>
      </c>
    </row>
    <row r="2397" spans="1:40" x14ac:dyDescent="0.3">
      <c r="A2397" s="1">
        <v>46210.722222222219</v>
      </c>
      <c r="B2397" t="s">
        <v>40</v>
      </c>
      <c r="C2397" t="s">
        <v>41</v>
      </c>
      <c r="D2397" s="1">
        <v>46210.72583333333</v>
      </c>
      <c r="E2397" t="s">
        <v>42</v>
      </c>
      <c r="F2397" t="s">
        <v>83</v>
      </c>
      <c r="G2397">
        <v>35</v>
      </c>
      <c r="H2397">
        <v>33183</v>
      </c>
      <c r="I2397" t="s">
        <v>1226</v>
      </c>
      <c r="J2397">
        <v>51</v>
      </c>
      <c r="K2397">
        <v>215</v>
      </c>
      <c r="L2397">
        <v>98</v>
      </c>
      <c r="M2397">
        <v>615</v>
      </c>
      <c r="N2397" t="s">
        <v>87</v>
      </c>
      <c r="O2397" t="s">
        <v>86</v>
      </c>
      <c r="P2397">
        <v>130</v>
      </c>
      <c r="Q2397">
        <v>5</v>
      </c>
      <c r="R2397">
        <v>82</v>
      </c>
      <c r="S2397">
        <v>1474</v>
      </c>
      <c r="T2397">
        <v>-40</v>
      </c>
      <c r="U2397">
        <v>55</v>
      </c>
      <c r="V2397">
        <v>780</v>
      </c>
      <c r="W2397">
        <v>28</v>
      </c>
      <c r="X2397">
        <v>28</v>
      </c>
      <c r="Y2397">
        <v>1</v>
      </c>
      <c r="Z2397">
        <v>8</v>
      </c>
      <c r="AA2397">
        <v>24</v>
      </c>
      <c r="AB2397">
        <v>2</v>
      </c>
      <c r="AC2397">
        <v>4</v>
      </c>
      <c r="AD2397">
        <v>3.21199989</v>
      </c>
      <c r="AE2397">
        <v>1</v>
      </c>
      <c r="AF2397">
        <v>41</v>
      </c>
      <c r="AG2397">
        <v>3.1919999099999998</v>
      </c>
      <c r="AH2397">
        <v>4</v>
      </c>
      <c r="AI2397">
        <v>17</v>
      </c>
      <c r="AJ2397">
        <v>1</v>
      </c>
      <c r="AK2397">
        <v>17</v>
      </c>
      <c r="AL2397">
        <v>50</v>
      </c>
      <c r="AM2397" t="s">
        <v>43</v>
      </c>
      <c r="AN2397" t="str">
        <f>HYPERLINK("https://www.google.com/maps?q=10.87766075,79.09314728","Open Location")</f>
        <v>Open Location</v>
      </c>
    </row>
    <row r="2398" spans="1:40" x14ac:dyDescent="0.3">
      <c r="A2398" s="1">
        <v>46210.72210648148</v>
      </c>
      <c r="B2398" t="s">
        <v>40</v>
      </c>
      <c r="C2398" t="s">
        <v>41</v>
      </c>
      <c r="D2398" s="1">
        <v>46210.72583333333</v>
      </c>
      <c r="E2398" t="s">
        <v>42</v>
      </c>
      <c r="F2398" t="s">
        <v>83</v>
      </c>
      <c r="G2398">
        <v>31</v>
      </c>
      <c r="H2398">
        <v>33183</v>
      </c>
      <c r="I2398" t="s">
        <v>1227</v>
      </c>
      <c r="J2398">
        <v>51</v>
      </c>
      <c r="K2398">
        <v>256</v>
      </c>
      <c r="L2398">
        <v>98</v>
      </c>
      <c r="M2398">
        <v>612.59997558999999</v>
      </c>
      <c r="N2398" t="s">
        <v>87</v>
      </c>
      <c r="O2398" t="s">
        <v>86</v>
      </c>
      <c r="P2398">
        <v>130</v>
      </c>
      <c r="Q2398">
        <v>5</v>
      </c>
      <c r="R2398">
        <v>138</v>
      </c>
      <c r="S2398">
        <v>1500</v>
      </c>
      <c r="T2398">
        <v>-40</v>
      </c>
      <c r="U2398">
        <v>55</v>
      </c>
      <c r="V2398">
        <v>1115</v>
      </c>
      <c r="W2398">
        <v>28</v>
      </c>
      <c r="X2398">
        <v>28</v>
      </c>
      <c r="Y2398">
        <v>1</v>
      </c>
      <c r="Z2398">
        <v>8</v>
      </c>
      <c r="AA2398">
        <v>24</v>
      </c>
      <c r="AB2398">
        <v>2</v>
      </c>
      <c r="AC2398">
        <v>4</v>
      </c>
      <c r="AD2398">
        <v>3.21199989</v>
      </c>
      <c r="AE2398">
        <v>1</v>
      </c>
      <c r="AF2398">
        <v>42</v>
      </c>
      <c r="AG2398">
        <v>3.19099998</v>
      </c>
      <c r="AH2398">
        <v>6</v>
      </c>
      <c r="AI2398">
        <v>24</v>
      </c>
      <c r="AJ2398">
        <v>1</v>
      </c>
      <c r="AK2398">
        <v>18</v>
      </c>
      <c r="AL2398">
        <v>50</v>
      </c>
      <c r="AM2398" t="s">
        <v>43</v>
      </c>
      <c r="AN2398" t="str">
        <f>HYPERLINK("https://www.google.com/maps?q=10.87661171,79.09299469","Open Location")</f>
        <v>Open Location</v>
      </c>
    </row>
    <row r="2399" spans="1:40" x14ac:dyDescent="0.3">
      <c r="A2399" s="1">
        <v>46210.721990740742</v>
      </c>
      <c r="B2399" t="s">
        <v>40</v>
      </c>
      <c r="C2399" t="s">
        <v>41</v>
      </c>
      <c r="D2399" s="1">
        <v>46210.725844907407</v>
      </c>
      <c r="E2399" t="s">
        <v>42</v>
      </c>
      <c r="F2399" t="s">
        <v>83</v>
      </c>
      <c r="G2399">
        <v>37</v>
      </c>
      <c r="H2399">
        <v>33183</v>
      </c>
      <c r="I2399" t="s">
        <v>1228</v>
      </c>
      <c r="J2399">
        <v>51</v>
      </c>
      <c r="K2399">
        <v>165</v>
      </c>
      <c r="L2399">
        <v>98</v>
      </c>
      <c r="M2399">
        <v>618.5</v>
      </c>
      <c r="N2399" t="s">
        <v>87</v>
      </c>
      <c r="O2399" t="s">
        <v>86</v>
      </c>
      <c r="P2399">
        <v>131</v>
      </c>
      <c r="Q2399">
        <v>6</v>
      </c>
      <c r="R2399">
        <v>90</v>
      </c>
      <c r="S2399">
        <v>1170</v>
      </c>
      <c r="T2399">
        <v>-40</v>
      </c>
      <c r="U2399">
        <v>53</v>
      </c>
      <c r="V2399">
        <v>756</v>
      </c>
      <c r="W2399">
        <v>28</v>
      </c>
      <c r="X2399">
        <v>28</v>
      </c>
      <c r="Y2399">
        <v>1</v>
      </c>
      <c r="Z2399">
        <v>8</v>
      </c>
      <c r="AA2399">
        <v>24</v>
      </c>
      <c r="AB2399">
        <v>2</v>
      </c>
      <c r="AC2399">
        <v>4</v>
      </c>
      <c r="AD2399">
        <v>3.2369999900000002</v>
      </c>
      <c r="AE2399">
        <v>1</v>
      </c>
      <c r="AF2399">
        <v>42</v>
      </c>
      <c r="AG2399">
        <v>3.2239999799999999</v>
      </c>
      <c r="AH2399">
        <v>4</v>
      </c>
      <c r="AI2399">
        <v>17</v>
      </c>
      <c r="AJ2399">
        <v>1</v>
      </c>
      <c r="AK2399">
        <v>17</v>
      </c>
      <c r="AL2399">
        <v>50</v>
      </c>
      <c r="AM2399" t="s">
        <v>43</v>
      </c>
      <c r="AN2399" t="str">
        <f>HYPERLINK("https://www.google.com/maps?q=10.87545967,79.09294891","Open Location")</f>
        <v>Open Location</v>
      </c>
    </row>
    <row r="2400" spans="1:40" x14ac:dyDescent="0.3">
      <c r="A2400" s="1">
        <v>46210.721875000003</v>
      </c>
      <c r="B2400" t="s">
        <v>40</v>
      </c>
      <c r="C2400" t="s">
        <v>41</v>
      </c>
      <c r="D2400" s="1">
        <v>46210.725937499999</v>
      </c>
      <c r="E2400" t="s">
        <v>42</v>
      </c>
      <c r="F2400" t="s">
        <v>83</v>
      </c>
      <c r="G2400">
        <v>43</v>
      </c>
      <c r="H2400">
        <v>33183</v>
      </c>
      <c r="I2400" t="s">
        <v>43</v>
      </c>
      <c r="J2400">
        <v>51</v>
      </c>
      <c r="K2400">
        <v>48</v>
      </c>
      <c r="L2400">
        <v>98</v>
      </c>
      <c r="M2400">
        <v>623.40002441000001</v>
      </c>
      <c r="N2400" t="s">
        <v>87</v>
      </c>
      <c r="O2400" t="s">
        <v>86</v>
      </c>
      <c r="P2400">
        <v>131</v>
      </c>
      <c r="Q2400">
        <v>6</v>
      </c>
      <c r="R2400">
        <v>55</v>
      </c>
      <c r="S2400">
        <v>1215</v>
      </c>
      <c r="T2400">
        <v>-40</v>
      </c>
      <c r="U2400">
        <v>50</v>
      </c>
      <c r="V2400">
        <v>240</v>
      </c>
      <c r="W2400">
        <v>28</v>
      </c>
      <c r="X2400">
        <v>28</v>
      </c>
      <c r="Y2400">
        <v>1</v>
      </c>
      <c r="Z2400">
        <v>8</v>
      </c>
      <c r="AA2400">
        <v>24</v>
      </c>
      <c r="AB2400">
        <v>2</v>
      </c>
      <c r="AC2400">
        <v>4</v>
      </c>
      <c r="AD2400">
        <v>3.2539999499999999</v>
      </c>
      <c r="AE2400">
        <v>1</v>
      </c>
      <c r="AF2400">
        <v>43</v>
      </c>
      <c r="AG2400">
        <v>3.2449998899999999</v>
      </c>
      <c r="AH2400">
        <v>4</v>
      </c>
      <c r="AI2400">
        <v>17</v>
      </c>
      <c r="AJ2400">
        <v>1</v>
      </c>
      <c r="AK2400">
        <v>17</v>
      </c>
      <c r="AL2400">
        <v>51</v>
      </c>
      <c r="AM2400" t="s">
        <v>43</v>
      </c>
      <c r="AN2400" t="s">
        <v>43</v>
      </c>
    </row>
    <row r="2401" spans="1:40" x14ac:dyDescent="0.3">
      <c r="A2401" s="1">
        <v>46210.721759259257</v>
      </c>
      <c r="B2401" t="s">
        <v>40</v>
      </c>
      <c r="C2401" t="s">
        <v>41</v>
      </c>
      <c r="D2401" s="1">
        <v>46210.72483796296</v>
      </c>
      <c r="E2401" t="s">
        <v>42</v>
      </c>
      <c r="F2401" t="s">
        <v>83</v>
      </c>
      <c r="G2401">
        <v>44</v>
      </c>
      <c r="H2401">
        <v>33183</v>
      </c>
      <c r="I2401" t="s">
        <v>1229</v>
      </c>
      <c r="J2401">
        <v>51</v>
      </c>
      <c r="K2401">
        <v>141</v>
      </c>
      <c r="L2401">
        <v>98</v>
      </c>
      <c r="M2401">
        <v>618.5</v>
      </c>
      <c r="N2401" t="s">
        <v>87</v>
      </c>
      <c r="O2401" t="s">
        <v>86</v>
      </c>
      <c r="P2401">
        <v>131</v>
      </c>
      <c r="Q2401">
        <v>6</v>
      </c>
      <c r="R2401">
        <v>20</v>
      </c>
      <c r="S2401">
        <v>1238</v>
      </c>
      <c r="T2401">
        <v>-40</v>
      </c>
      <c r="U2401">
        <v>51</v>
      </c>
      <c r="V2401">
        <v>580</v>
      </c>
      <c r="W2401">
        <v>28</v>
      </c>
      <c r="X2401">
        <v>28</v>
      </c>
      <c r="Y2401">
        <v>1</v>
      </c>
      <c r="Z2401">
        <v>8</v>
      </c>
      <c r="AA2401">
        <v>24</v>
      </c>
      <c r="AB2401">
        <v>2</v>
      </c>
      <c r="AC2401">
        <v>4</v>
      </c>
      <c r="AD2401">
        <v>3.25300002</v>
      </c>
      <c r="AE2401">
        <v>1</v>
      </c>
      <c r="AF2401">
        <v>43</v>
      </c>
      <c r="AG2401">
        <v>3.24399996</v>
      </c>
      <c r="AH2401">
        <v>4</v>
      </c>
      <c r="AI2401">
        <v>17</v>
      </c>
      <c r="AJ2401" t="s">
        <v>43</v>
      </c>
      <c r="AK2401" t="s">
        <v>43</v>
      </c>
      <c r="AL2401" t="s">
        <v>43</v>
      </c>
      <c r="AM2401" t="s">
        <v>43</v>
      </c>
      <c r="AN2401" t="str">
        <f>HYPERLINK("https://www.google.com/maps?q=10.87415695,79.09291077","Open Location")</f>
        <v>Open Location</v>
      </c>
    </row>
    <row r="2402" spans="1:40" x14ac:dyDescent="0.3">
      <c r="A2402" s="1">
        <v>46210.721643518518</v>
      </c>
      <c r="B2402" t="s">
        <v>40</v>
      </c>
      <c r="C2402" t="s">
        <v>41</v>
      </c>
      <c r="D2402" s="1">
        <v>46210.724340277775</v>
      </c>
      <c r="E2402" t="s">
        <v>42</v>
      </c>
      <c r="F2402" t="s">
        <v>83</v>
      </c>
      <c r="G2402">
        <v>44</v>
      </c>
      <c r="H2402">
        <v>33183</v>
      </c>
      <c r="I2402" t="s">
        <v>1230</v>
      </c>
      <c r="J2402">
        <v>51</v>
      </c>
      <c r="K2402">
        <v>130</v>
      </c>
      <c r="L2402">
        <v>98</v>
      </c>
      <c r="M2402">
        <v>619.40002441000001</v>
      </c>
      <c r="N2402" t="s">
        <v>87</v>
      </c>
      <c r="O2402" t="s">
        <v>86</v>
      </c>
      <c r="P2402">
        <v>131</v>
      </c>
      <c r="Q2402">
        <v>6</v>
      </c>
      <c r="R2402">
        <v>78</v>
      </c>
      <c r="S2402">
        <v>1228</v>
      </c>
      <c r="T2402">
        <v>-40</v>
      </c>
      <c r="U2402">
        <v>52</v>
      </c>
      <c r="V2402">
        <v>488</v>
      </c>
      <c r="W2402">
        <v>28</v>
      </c>
      <c r="X2402">
        <v>28</v>
      </c>
      <c r="Y2402">
        <v>1</v>
      </c>
      <c r="Z2402">
        <v>8</v>
      </c>
      <c r="AA2402">
        <v>24</v>
      </c>
      <c r="AB2402">
        <v>2</v>
      </c>
      <c r="AC2402">
        <v>4</v>
      </c>
      <c r="AD2402">
        <v>3.2339999700000002</v>
      </c>
      <c r="AE2402">
        <v>1</v>
      </c>
      <c r="AF2402">
        <v>42</v>
      </c>
      <c r="AG2402">
        <v>3.22000003</v>
      </c>
      <c r="AH2402">
        <v>4</v>
      </c>
      <c r="AI2402">
        <v>17</v>
      </c>
      <c r="AJ2402">
        <v>1</v>
      </c>
      <c r="AK2402">
        <v>19</v>
      </c>
      <c r="AL2402">
        <v>51</v>
      </c>
      <c r="AM2402" t="s">
        <v>43</v>
      </c>
      <c r="AN2402" t="str">
        <f>HYPERLINK("https://www.google.com/maps?q=10.87281322,79.09282684","Open Location")</f>
        <v>Open Location</v>
      </c>
    </row>
    <row r="2403" spans="1:40" x14ac:dyDescent="0.3">
      <c r="A2403" s="1">
        <v>46210.72152777778</v>
      </c>
      <c r="B2403" t="s">
        <v>40</v>
      </c>
      <c r="C2403" t="s">
        <v>41</v>
      </c>
      <c r="D2403" s="1">
        <v>46210.724328703705</v>
      </c>
      <c r="E2403" t="s">
        <v>42</v>
      </c>
      <c r="F2403" t="s">
        <v>83</v>
      </c>
      <c r="G2403">
        <v>44</v>
      </c>
      <c r="H2403">
        <v>33183</v>
      </c>
      <c r="I2403" t="s">
        <v>1231</v>
      </c>
      <c r="J2403">
        <v>51</v>
      </c>
      <c r="K2403">
        <v>137</v>
      </c>
      <c r="L2403">
        <v>98</v>
      </c>
      <c r="M2403">
        <v>619.5</v>
      </c>
      <c r="N2403" t="s">
        <v>87</v>
      </c>
      <c r="O2403" t="s">
        <v>86</v>
      </c>
      <c r="P2403">
        <v>131</v>
      </c>
      <c r="Q2403">
        <v>6</v>
      </c>
      <c r="R2403">
        <v>77</v>
      </c>
      <c r="S2403">
        <v>1247</v>
      </c>
      <c r="T2403">
        <v>-40</v>
      </c>
      <c r="U2403">
        <v>52</v>
      </c>
      <c r="V2403">
        <v>630</v>
      </c>
      <c r="W2403">
        <v>28</v>
      </c>
      <c r="X2403">
        <v>28</v>
      </c>
      <c r="Y2403">
        <v>1</v>
      </c>
      <c r="Z2403">
        <v>8</v>
      </c>
      <c r="AA2403">
        <v>24</v>
      </c>
      <c r="AB2403">
        <v>2</v>
      </c>
      <c r="AC2403">
        <v>4</v>
      </c>
      <c r="AD2403">
        <v>3.2460000500000001</v>
      </c>
      <c r="AE2403">
        <v>1</v>
      </c>
      <c r="AF2403">
        <v>38</v>
      </c>
      <c r="AG2403">
        <v>3.2360000599999998</v>
      </c>
      <c r="AH2403">
        <v>4</v>
      </c>
      <c r="AI2403">
        <v>17</v>
      </c>
      <c r="AJ2403">
        <v>1</v>
      </c>
      <c r="AK2403">
        <v>19</v>
      </c>
      <c r="AL2403">
        <v>51</v>
      </c>
      <c r="AM2403" t="s">
        <v>43</v>
      </c>
      <c r="AN2403" t="str">
        <f>HYPERLINK("https://www.google.com/maps?q=10.87147522,79.09268951","Open Location")</f>
        <v>Open Location</v>
      </c>
    </row>
    <row r="2404" spans="1:40" x14ac:dyDescent="0.3">
      <c r="A2404" s="1">
        <v>46210.721412037034</v>
      </c>
      <c r="B2404" t="s">
        <v>40</v>
      </c>
      <c r="C2404" t="s">
        <v>41</v>
      </c>
      <c r="D2404" s="1">
        <v>46210.724340277775</v>
      </c>
      <c r="E2404" t="s">
        <v>42</v>
      </c>
      <c r="F2404" t="s">
        <v>83</v>
      </c>
      <c r="G2404">
        <v>44</v>
      </c>
      <c r="H2404">
        <v>33183</v>
      </c>
      <c r="I2404" t="s">
        <v>1232</v>
      </c>
      <c r="J2404">
        <v>51</v>
      </c>
      <c r="K2404">
        <v>139</v>
      </c>
      <c r="L2404">
        <v>98</v>
      </c>
      <c r="M2404">
        <v>618.70001220999995</v>
      </c>
      <c r="N2404" t="s">
        <v>87</v>
      </c>
      <c r="O2404" t="s">
        <v>86</v>
      </c>
      <c r="P2404">
        <v>131</v>
      </c>
      <c r="Q2404">
        <v>6</v>
      </c>
      <c r="R2404">
        <v>68</v>
      </c>
      <c r="S2404">
        <v>1224</v>
      </c>
      <c r="T2404">
        <v>-40</v>
      </c>
      <c r="U2404">
        <v>53</v>
      </c>
      <c r="V2404">
        <v>629</v>
      </c>
      <c r="W2404">
        <v>28</v>
      </c>
      <c r="X2404">
        <v>28</v>
      </c>
      <c r="Y2404">
        <v>1</v>
      </c>
      <c r="Z2404">
        <v>8</v>
      </c>
      <c r="AA2404">
        <v>24</v>
      </c>
      <c r="AB2404">
        <v>2</v>
      </c>
      <c r="AC2404">
        <v>4</v>
      </c>
      <c r="AD2404">
        <v>3.22900009</v>
      </c>
      <c r="AE2404">
        <v>1</v>
      </c>
      <c r="AF2404">
        <v>38</v>
      </c>
      <c r="AG2404">
        <v>3.21399999</v>
      </c>
      <c r="AH2404">
        <v>4</v>
      </c>
      <c r="AI2404">
        <v>17</v>
      </c>
      <c r="AJ2404">
        <v>1</v>
      </c>
      <c r="AK2404">
        <v>19</v>
      </c>
      <c r="AL2404">
        <v>51</v>
      </c>
      <c r="AM2404" t="s">
        <v>43</v>
      </c>
      <c r="AN2404" t="str">
        <f>HYPERLINK("https://www.google.com/maps?q=10.87012577,79.09268951","Open Location")</f>
        <v>Open Location</v>
      </c>
    </row>
    <row r="2405" spans="1:40" x14ac:dyDescent="0.3">
      <c r="A2405" s="1">
        <v>46210.721296296295</v>
      </c>
      <c r="B2405" t="s">
        <v>40</v>
      </c>
      <c r="C2405" t="s">
        <v>41</v>
      </c>
      <c r="D2405" s="1">
        <v>46210.724131944444</v>
      </c>
      <c r="E2405" t="s">
        <v>42</v>
      </c>
      <c r="F2405" t="s">
        <v>83</v>
      </c>
      <c r="G2405">
        <v>44</v>
      </c>
      <c r="H2405">
        <v>33182</v>
      </c>
      <c r="I2405" t="s">
        <v>1233</v>
      </c>
      <c r="J2405">
        <v>51</v>
      </c>
      <c r="K2405">
        <v>122</v>
      </c>
      <c r="L2405">
        <v>98</v>
      </c>
      <c r="M2405">
        <v>620.09997558999999</v>
      </c>
      <c r="N2405" t="s">
        <v>87</v>
      </c>
      <c r="O2405" t="s">
        <v>86</v>
      </c>
      <c r="P2405">
        <v>131</v>
      </c>
      <c r="Q2405">
        <v>6</v>
      </c>
      <c r="R2405">
        <v>99</v>
      </c>
      <c r="S2405">
        <v>1204</v>
      </c>
      <c r="T2405">
        <v>-40</v>
      </c>
      <c r="U2405">
        <v>53</v>
      </c>
      <c r="V2405">
        <v>560</v>
      </c>
      <c r="W2405">
        <v>28</v>
      </c>
      <c r="X2405">
        <v>28</v>
      </c>
      <c r="Y2405">
        <v>1</v>
      </c>
      <c r="Z2405">
        <v>8</v>
      </c>
      <c r="AA2405">
        <v>24</v>
      </c>
      <c r="AB2405">
        <v>2</v>
      </c>
      <c r="AC2405">
        <v>4</v>
      </c>
      <c r="AD2405">
        <v>3.2339999700000002</v>
      </c>
      <c r="AE2405">
        <v>1</v>
      </c>
      <c r="AF2405">
        <v>44</v>
      </c>
      <c r="AG2405">
        <v>3.2190001000000001</v>
      </c>
      <c r="AH2405">
        <v>4</v>
      </c>
      <c r="AI2405">
        <v>17</v>
      </c>
      <c r="AJ2405" t="s">
        <v>43</v>
      </c>
      <c r="AK2405" t="s">
        <v>43</v>
      </c>
      <c r="AL2405" t="s">
        <v>43</v>
      </c>
      <c r="AM2405" t="s">
        <v>43</v>
      </c>
      <c r="AN2405" t="str">
        <f>HYPERLINK("https://www.google.com/maps?q=10.86882401,79.09286499","Open Location")</f>
        <v>Open Location</v>
      </c>
    </row>
    <row r="2406" spans="1:40" x14ac:dyDescent="0.3">
      <c r="A2406" s="1">
        <v>46210.721180555556</v>
      </c>
      <c r="B2406" t="s">
        <v>40</v>
      </c>
      <c r="C2406" t="s">
        <v>41</v>
      </c>
      <c r="D2406" s="1">
        <v>46210.724143518521</v>
      </c>
      <c r="E2406" t="s">
        <v>42</v>
      </c>
      <c r="F2406" t="s">
        <v>83</v>
      </c>
      <c r="G2406">
        <v>43</v>
      </c>
      <c r="H2406">
        <v>33182</v>
      </c>
      <c r="I2406" t="s">
        <v>43</v>
      </c>
      <c r="J2406">
        <v>51</v>
      </c>
      <c r="K2406">
        <v>105</v>
      </c>
      <c r="L2406">
        <v>98</v>
      </c>
      <c r="M2406">
        <v>620.70001220999995</v>
      </c>
      <c r="N2406" t="s">
        <v>87</v>
      </c>
      <c r="O2406" t="s">
        <v>86</v>
      </c>
      <c r="P2406">
        <v>131</v>
      </c>
      <c r="Q2406">
        <v>6</v>
      </c>
      <c r="R2406">
        <v>65</v>
      </c>
      <c r="S2406">
        <v>1213</v>
      </c>
      <c r="T2406">
        <v>-40</v>
      </c>
      <c r="U2406">
        <v>52</v>
      </c>
      <c r="V2406">
        <v>480</v>
      </c>
      <c r="W2406">
        <v>28</v>
      </c>
      <c r="X2406">
        <v>28</v>
      </c>
      <c r="Y2406">
        <v>1</v>
      </c>
      <c r="Z2406">
        <v>8</v>
      </c>
      <c r="AA2406">
        <v>24</v>
      </c>
      <c r="AB2406">
        <v>2</v>
      </c>
      <c r="AC2406">
        <v>4</v>
      </c>
      <c r="AD2406">
        <v>3.24099994</v>
      </c>
      <c r="AE2406">
        <v>1</v>
      </c>
      <c r="AF2406">
        <v>41</v>
      </c>
      <c r="AG2406">
        <v>3.22900009</v>
      </c>
      <c r="AH2406">
        <v>4</v>
      </c>
      <c r="AI2406">
        <v>17</v>
      </c>
      <c r="AJ2406" t="s">
        <v>43</v>
      </c>
      <c r="AK2406">
        <v>19</v>
      </c>
      <c r="AL2406">
        <v>51</v>
      </c>
      <c r="AM2406" t="s">
        <v>43</v>
      </c>
      <c r="AN2406" t="s">
        <v>43</v>
      </c>
    </row>
    <row r="2407" spans="1:40" x14ac:dyDescent="0.3">
      <c r="A2407" s="1">
        <v>46210.721064814818</v>
      </c>
      <c r="B2407" t="s">
        <v>40</v>
      </c>
      <c r="C2407" t="s">
        <v>41</v>
      </c>
      <c r="D2407" s="1">
        <v>46210.72383101852</v>
      </c>
      <c r="E2407" t="s">
        <v>42</v>
      </c>
      <c r="F2407" t="s">
        <v>83</v>
      </c>
      <c r="G2407">
        <v>44</v>
      </c>
      <c r="H2407">
        <v>33182</v>
      </c>
      <c r="I2407" t="s">
        <v>1234</v>
      </c>
      <c r="J2407">
        <v>51</v>
      </c>
      <c r="K2407">
        <v>99</v>
      </c>
      <c r="L2407">
        <v>98</v>
      </c>
      <c r="M2407">
        <v>621.5</v>
      </c>
      <c r="N2407" t="s">
        <v>87</v>
      </c>
      <c r="O2407" t="s">
        <v>86</v>
      </c>
      <c r="P2407">
        <v>131</v>
      </c>
      <c r="Q2407">
        <v>6</v>
      </c>
      <c r="R2407">
        <v>48</v>
      </c>
      <c r="S2407">
        <v>1231</v>
      </c>
      <c r="T2407">
        <v>-40</v>
      </c>
      <c r="U2407">
        <v>51</v>
      </c>
      <c r="V2407">
        <v>440</v>
      </c>
      <c r="W2407">
        <v>28</v>
      </c>
      <c r="X2407">
        <v>28</v>
      </c>
      <c r="Y2407">
        <v>1</v>
      </c>
      <c r="Z2407">
        <v>8</v>
      </c>
      <c r="AA2407">
        <v>24</v>
      </c>
      <c r="AB2407">
        <v>2</v>
      </c>
      <c r="AC2407">
        <v>4</v>
      </c>
      <c r="AD2407">
        <v>3.24699998</v>
      </c>
      <c r="AE2407">
        <v>1</v>
      </c>
      <c r="AF2407">
        <v>41</v>
      </c>
      <c r="AG2407">
        <v>3.2360000599999998</v>
      </c>
      <c r="AH2407">
        <v>4</v>
      </c>
      <c r="AI2407">
        <v>17</v>
      </c>
      <c r="AJ2407">
        <v>1</v>
      </c>
      <c r="AK2407">
        <v>19</v>
      </c>
      <c r="AL2407">
        <v>51</v>
      </c>
      <c r="AM2407" t="s">
        <v>43</v>
      </c>
      <c r="AN2407" t="str">
        <f>HYPERLINK("https://www.google.com/maps?q=10.8675108,79.09342194","Open Location")</f>
        <v>Open Location</v>
      </c>
    </row>
    <row r="2408" spans="1:40" x14ac:dyDescent="0.3">
      <c r="A2408" s="1">
        <v>46210.720949074072</v>
      </c>
      <c r="B2408" t="s">
        <v>40</v>
      </c>
      <c r="C2408" t="s">
        <v>41</v>
      </c>
      <c r="D2408" s="1">
        <v>46210.723680555559</v>
      </c>
      <c r="E2408" t="s">
        <v>42</v>
      </c>
      <c r="F2408" t="s">
        <v>83</v>
      </c>
      <c r="G2408">
        <v>44</v>
      </c>
      <c r="H2408">
        <v>33182</v>
      </c>
      <c r="I2408" t="s">
        <v>1235</v>
      </c>
      <c r="J2408">
        <v>51</v>
      </c>
      <c r="K2408">
        <v>114</v>
      </c>
      <c r="L2408">
        <v>98</v>
      </c>
      <c r="M2408">
        <v>620.59997558999999</v>
      </c>
      <c r="N2408" t="s">
        <v>87</v>
      </c>
      <c r="O2408" t="s">
        <v>86</v>
      </c>
      <c r="P2408">
        <v>131</v>
      </c>
      <c r="Q2408">
        <v>6</v>
      </c>
      <c r="R2408">
        <v>45</v>
      </c>
      <c r="S2408">
        <v>1197</v>
      </c>
      <c r="T2408">
        <v>-40</v>
      </c>
      <c r="U2408">
        <v>52</v>
      </c>
      <c r="V2408">
        <v>480</v>
      </c>
      <c r="W2408">
        <v>28</v>
      </c>
      <c r="X2408">
        <v>28</v>
      </c>
      <c r="Y2408">
        <v>1</v>
      </c>
      <c r="Z2408">
        <v>8</v>
      </c>
      <c r="AA2408">
        <v>24</v>
      </c>
      <c r="AB2408">
        <v>2</v>
      </c>
      <c r="AC2408">
        <v>4</v>
      </c>
      <c r="AD2408">
        <v>3.23799992</v>
      </c>
      <c r="AE2408">
        <v>1</v>
      </c>
      <c r="AF2408">
        <v>42</v>
      </c>
      <c r="AG2408">
        <v>3.2249998999999998</v>
      </c>
      <c r="AH2408">
        <v>4</v>
      </c>
      <c r="AI2408">
        <v>17</v>
      </c>
      <c r="AJ2408" t="s">
        <v>43</v>
      </c>
      <c r="AK2408" t="s">
        <v>43</v>
      </c>
      <c r="AL2408" t="s">
        <v>43</v>
      </c>
      <c r="AM2408" t="s">
        <v>43</v>
      </c>
      <c r="AN2408" t="str">
        <f>HYPERLINK("https://www.google.com/maps?q=10.86648655,79.09429932","Open Location")</f>
        <v>Open Location</v>
      </c>
    </row>
    <row r="2409" spans="1:40" x14ac:dyDescent="0.3">
      <c r="A2409" s="1">
        <v>46210.720833333333</v>
      </c>
      <c r="B2409" t="s">
        <v>40</v>
      </c>
      <c r="C2409" t="s">
        <v>41</v>
      </c>
      <c r="D2409" s="1">
        <v>46210.72383101852</v>
      </c>
      <c r="E2409" t="s">
        <v>42</v>
      </c>
      <c r="F2409" t="s">
        <v>83</v>
      </c>
      <c r="G2409">
        <v>42</v>
      </c>
      <c r="H2409">
        <v>33182</v>
      </c>
      <c r="I2409" t="s">
        <v>1236</v>
      </c>
      <c r="J2409">
        <v>51</v>
      </c>
      <c r="K2409">
        <v>118</v>
      </c>
      <c r="L2409">
        <v>98</v>
      </c>
      <c r="M2409">
        <v>620.09997558999999</v>
      </c>
      <c r="N2409" t="s">
        <v>87</v>
      </c>
      <c r="O2409" t="s">
        <v>86</v>
      </c>
      <c r="P2409">
        <v>131</v>
      </c>
      <c r="Q2409">
        <v>6</v>
      </c>
      <c r="R2409">
        <v>78</v>
      </c>
      <c r="S2409">
        <v>1141</v>
      </c>
      <c r="T2409">
        <v>-40</v>
      </c>
      <c r="U2409">
        <v>53</v>
      </c>
      <c r="V2409">
        <v>576</v>
      </c>
      <c r="W2409">
        <v>28</v>
      </c>
      <c r="X2409">
        <v>28</v>
      </c>
      <c r="Y2409">
        <v>1</v>
      </c>
      <c r="Z2409">
        <v>8</v>
      </c>
      <c r="AA2409">
        <v>24</v>
      </c>
      <c r="AB2409">
        <v>2</v>
      </c>
      <c r="AC2409">
        <v>4</v>
      </c>
      <c r="AD2409">
        <v>3.2390000799999998</v>
      </c>
      <c r="AE2409">
        <v>1</v>
      </c>
      <c r="AF2409">
        <v>42</v>
      </c>
      <c r="AG2409">
        <v>3.22600007</v>
      </c>
      <c r="AH2409">
        <v>4</v>
      </c>
      <c r="AI2409">
        <v>17</v>
      </c>
      <c r="AJ2409">
        <v>1</v>
      </c>
      <c r="AK2409">
        <v>19</v>
      </c>
      <c r="AL2409">
        <v>51</v>
      </c>
      <c r="AM2409" t="s">
        <v>43</v>
      </c>
      <c r="AN2409" t="str">
        <f>HYPERLINK("https://www.google.com/maps?q=10.86553383,79.0951767","Open Location")</f>
        <v>Open Location</v>
      </c>
    </row>
    <row r="2410" spans="1:40" x14ac:dyDescent="0.3">
      <c r="A2410" s="1">
        <v>46210.720717592594</v>
      </c>
      <c r="B2410" t="s">
        <v>40</v>
      </c>
      <c r="C2410" t="s">
        <v>41</v>
      </c>
      <c r="D2410" s="1">
        <v>46210.72383101852</v>
      </c>
      <c r="E2410" t="s">
        <v>42</v>
      </c>
      <c r="F2410" t="s">
        <v>83</v>
      </c>
      <c r="G2410">
        <v>41</v>
      </c>
      <c r="H2410">
        <v>33182</v>
      </c>
      <c r="I2410" t="s">
        <v>1237</v>
      </c>
      <c r="J2410">
        <v>52</v>
      </c>
      <c r="K2410">
        <v>132</v>
      </c>
      <c r="L2410">
        <v>98</v>
      </c>
      <c r="M2410">
        <v>618.79998779000005</v>
      </c>
      <c r="N2410" t="s">
        <v>87</v>
      </c>
      <c r="O2410" t="s">
        <v>86</v>
      </c>
      <c r="P2410">
        <v>131</v>
      </c>
      <c r="Q2410">
        <v>6</v>
      </c>
      <c r="R2410">
        <v>76</v>
      </c>
      <c r="S2410">
        <v>1127</v>
      </c>
      <c r="T2410">
        <v>-40</v>
      </c>
      <c r="U2410">
        <v>53</v>
      </c>
      <c r="V2410">
        <v>600</v>
      </c>
      <c r="W2410">
        <v>28</v>
      </c>
      <c r="X2410">
        <v>28</v>
      </c>
      <c r="Y2410">
        <v>1</v>
      </c>
      <c r="Z2410">
        <v>8</v>
      </c>
      <c r="AA2410">
        <v>24</v>
      </c>
      <c r="AB2410">
        <v>2</v>
      </c>
      <c r="AC2410">
        <v>4</v>
      </c>
      <c r="AD2410">
        <v>3.2430000300000001</v>
      </c>
      <c r="AE2410">
        <v>1</v>
      </c>
      <c r="AF2410">
        <v>38</v>
      </c>
      <c r="AG2410">
        <v>3.2309999500000002</v>
      </c>
      <c r="AH2410">
        <v>4</v>
      </c>
      <c r="AI2410">
        <v>17</v>
      </c>
      <c r="AJ2410">
        <v>1</v>
      </c>
      <c r="AK2410">
        <v>19</v>
      </c>
      <c r="AL2410">
        <v>51</v>
      </c>
      <c r="AM2410" t="s">
        <v>43</v>
      </c>
      <c r="AN2410" t="str">
        <f>HYPERLINK("https://www.google.com/maps?q=10.86458683,79.09598541","Open Location")</f>
        <v>Open Location</v>
      </c>
    </row>
    <row r="2411" spans="1:40" x14ac:dyDescent="0.3">
      <c r="A2411" s="1">
        <v>46210.720601851855</v>
      </c>
      <c r="B2411" t="s">
        <v>40</v>
      </c>
      <c r="C2411" t="s">
        <v>41</v>
      </c>
      <c r="D2411" s="1">
        <v>46210.723506944443</v>
      </c>
      <c r="E2411" t="s">
        <v>42</v>
      </c>
      <c r="F2411" t="s">
        <v>83</v>
      </c>
      <c r="G2411">
        <v>41</v>
      </c>
      <c r="H2411">
        <v>33182</v>
      </c>
      <c r="I2411" t="s">
        <v>1238</v>
      </c>
      <c r="J2411">
        <v>52</v>
      </c>
      <c r="K2411">
        <v>136</v>
      </c>
      <c r="L2411">
        <v>98</v>
      </c>
      <c r="M2411">
        <v>619.59997558999999</v>
      </c>
      <c r="N2411" t="s">
        <v>87</v>
      </c>
      <c r="O2411" t="s">
        <v>86</v>
      </c>
      <c r="P2411">
        <v>131</v>
      </c>
      <c r="Q2411">
        <v>6</v>
      </c>
      <c r="R2411">
        <v>65</v>
      </c>
      <c r="S2411">
        <v>1189</v>
      </c>
      <c r="T2411">
        <v>-40</v>
      </c>
      <c r="U2411">
        <v>53</v>
      </c>
      <c r="V2411">
        <v>640</v>
      </c>
      <c r="W2411">
        <v>28</v>
      </c>
      <c r="X2411">
        <v>28</v>
      </c>
      <c r="Y2411">
        <v>1</v>
      </c>
      <c r="Z2411">
        <v>8</v>
      </c>
      <c r="AA2411">
        <v>24</v>
      </c>
      <c r="AB2411">
        <v>2</v>
      </c>
      <c r="AC2411">
        <v>4</v>
      </c>
      <c r="AD2411">
        <v>3.2430000300000001</v>
      </c>
      <c r="AE2411">
        <v>1</v>
      </c>
      <c r="AF2411">
        <v>41</v>
      </c>
      <c r="AG2411">
        <v>3.2309999500000002</v>
      </c>
      <c r="AH2411">
        <v>4</v>
      </c>
      <c r="AI2411">
        <v>17</v>
      </c>
      <c r="AJ2411">
        <v>1</v>
      </c>
      <c r="AK2411">
        <v>19</v>
      </c>
      <c r="AL2411">
        <v>51</v>
      </c>
      <c r="AM2411" t="s">
        <v>43</v>
      </c>
      <c r="AN2411" t="str">
        <f>HYPERLINK("https://www.google.com/maps?q=10.86362457,79.09683228","Open Location")</f>
        <v>Open Location</v>
      </c>
    </row>
    <row r="2412" spans="1:40" x14ac:dyDescent="0.3">
      <c r="A2412" s="1">
        <v>46210.720486111109</v>
      </c>
      <c r="B2412" t="s">
        <v>40</v>
      </c>
      <c r="C2412" t="s">
        <v>41</v>
      </c>
      <c r="D2412" s="1">
        <v>46210.723506944443</v>
      </c>
      <c r="E2412" t="s">
        <v>42</v>
      </c>
      <c r="F2412" t="s">
        <v>83</v>
      </c>
      <c r="G2412">
        <v>45</v>
      </c>
      <c r="H2412">
        <v>33182</v>
      </c>
      <c r="I2412" t="s">
        <v>43</v>
      </c>
      <c r="J2412">
        <v>52</v>
      </c>
      <c r="K2412">
        <v>139</v>
      </c>
      <c r="L2412">
        <v>98</v>
      </c>
      <c r="M2412">
        <v>619.40002441000001</v>
      </c>
      <c r="N2412" t="s">
        <v>87</v>
      </c>
      <c r="O2412" t="s">
        <v>86</v>
      </c>
      <c r="P2412">
        <v>131</v>
      </c>
      <c r="Q2412">
        <v>6</v>
      </c>
      <c r="R2412">
        <v>77</v>
      </c>
      <c r="S2412">
        <v>1283</v>
      </c>
      <c r="T2412">
        <v>-40</v>
      </c>
      <c r="U2412">
        <v>53</v>
      </c>
      <c r="V2412">
        <v>600</v>
      </c>
      <c r="W2412">
        <v>28</v>
      </c>
      <c r="X2412">
        <v>28</v>
      </c>
      <c r="Y2412">
        <v>1</v>
      </c>
      <c r="Z2412">
        <v>8</v>
      </c>
      <c r="AA2412">
        <v>24</v>
      </c>
      <c r="AB2412">
        <v>2</v>
      </c>
      <c r="AC2412">
        <v>4</v>
      </c>
      <c r="AD2412">
        <v>3.2400000100000002</v>
      </c>
      <c r="AE2412">
        <v>1</v>
      </c>
      <c r="AF2412">
        <v>43</v>
      </c>
      <c r="AG2412">
        <v>3.2269999999999999</v>
      </c>
      <c r="AH2412">
        <v>4</v>
      </c>
      <c r="AI2412">
        <v>17</v>
      </c>
      <c r="AJ2412">
        <v>1</v>
      </c>
      <c r="AK2412">
        <v>19</v>
      </c>
      <c r="AL2412">
        <v>51</v>
      </c>
      <c r="AM2412" t="s">
        <v>43</v>
      </c>
      <c r="AN2412" t="s">
        <v>43</v>
      </c>
    </row>
    <row r="2413" spans="1:40" x14ac:dyDescent="0.3">
      <c r="A2413" s="1">
        <v>46210.720370370371</v>
      </c>
      <c r="B2413" t="s">
        <v>40</v>
      </c>
      <c r="C2413" t="s">
        <v>41</v>
      </c>
      <c r="D2413" s="1">
        <v>46210.723263888889</v>
      </c>
      <c r="E2413" t="s">
        <v>42</v>
      </c>
      <c r="F2413" t="s">
        <v>83</v>
      </c>
      <c r="G2413">
        <v>46</v>
      </c>
      <c r="H2413">
        <v>33182</v>
      </c>
      <c r="I2413" t="s">
        <v>1239</v>
      </c>
      <c r="J2413">
        <v>52</v>
      </c>
      <c r="K2413">
        <v>102</v>
      </c>
      <c r="L2413">
        <v>98</v>
      </c>
      <c r="M2413">
        <v>621.5</v>
      </c>
      <c r="N2413" t="s">
        <v>87</v>
      </c>
      <c r="O2413" t="s">
        <v>86</v>
      </c>
      <c r="P2413">
        <v>131</v>
      </c>
      <c r="Q2413">
        <v>6</v>
      </c>
      <c r="R2413">
        <v>88</v>
      </c>
      <c r="S2413">
        <v>1276</v>
      </c>
      <c r="T2413">
        <v>-40</v>
      </c>
      <c r="U2413">
        <v>53</v>
      </c>
      <c r="V2413">
        <v>440</v>
      </c>
      <c r="W2413">
        <v>28</v>
      </c>
      <c r="X2413">
        <v>28</v>
      </c>
      <c r="Y2413">
        <v>1</v>
      </c>
      <c r="Z2413">
        <v>8</v>
      </c>
      <c r="AA2413">
        <v>24</v>
      </c>
      <c r="AB2413">
        <v>2</v>
      </c>
      <c r="AC2413">
        <v>4</v>
      </c>
      <c r="AD2413">
        <v>3.2420000999999998</v>
      </c>
      <c r="AE2413">
        <v>1</v>
      </c>
      <c r="AF2413">
        <v>38</v>
      </c>
      <c r="AG2413">
        <v>3.2300000199999999</v>
      </c>
      <c r="AH2413">
        <v>4</v>
      </c>
      <c r="AI2413">
        <v>17</v>
      </c>
      <c r="AJ2413">
        <v>1</v>
      </c>
      <c r="AK2413">
        <v>19</v>
      </c>
      <c r="AL2413">
        <v>51</v>
      </c>
      <c r="AM2413" t="s">
        <v>43</v>
      </c>
      <c r="AN2413" t="str">
        <f>HYPERLINK("https://www.google.com/maps?q=10.86254692,79.09770203","Open Location")</f>
        <v>Open Location</v>
      </c>
    </row>
    <row r="2414" spans="1:40" x14ac:dyDescent="0.3">
      <c r="A2414" s="1">
        <v>46210.720254629632</v>
      </c>
      <c r="B2414" t="s">
        <v>40</v>
      </c>
      <c r="C2414" t="s">
        <v>41</v>
      </c>
      <c r="D2414" s="1">
        <v>46210.723067129627</v>
      </c>
      <c r="E2414" t="s">
        <v>42</v>
      </c>
      <c r="F2414" t="s">
        <v>83</v>
      </c>
      <c r="G2414">
        <v>46</v>
      </c>
      <c r="H2414">
        <v>33181</v>
      </c>
      <c r="I2414" t="s">
        <v>1240</v>
      </c>
      <c r="J2414">
        <v>52</v>
      </c>
      <c r="K2414">
        <v>21</v>
      </c>
      <c r="L2414">
        <v>98</v>
      </c>
      <c r="M2414">
        <v>624.40002441000001</v>
      </c>
      <c r="N2414" t="s">
        <v>87</v>
      </c>
      <c r="O2414" t="s">
        <v>86</v>
      </c>
      <c r="P2414">
        <v>131</v>
      </c>
      <c r="Q2414">
        <v>6</v>
      </c>
      <c r="R2414">
        <v>-40</v>
      </c>
      <c r="S2414">
        <v>1202</v>
      </c>
      <c r="T2414">
        <v>-40</v>
      </c>
      <c r="U2414">
        <v>51</v>
      </c>
      <c r="V2414">
        <v>80</v>
      </c>
      <c r="W2414">
        <v>28</v>
      </c>
      <c r="X2414">
        <v>28</v>
      </c>
      <c r="Y2414">
        <v>1</v>
      </c>
      <c r="Z2414">
        <v>8</v>
      </c>
      <c r="AA2414">
        <v>25</v>
      </c>
      <c r="AB2414">
        <v>1</v>
      </c>
      <c r="AC2414">
        <v>3</v>
      </c>
      <c r="AD2414">
        <v>3.2720000699999998</v>
      </c>
      <c r="AE2414">
        <v>1</v>
      </c>
      <c r="AF2414">
        <v>26</v>
      </c>
      <c r="AG2414">
        <v>3.26799989</v>
      </c>
      <c r="AH2414">
        <v>2</v>
      </c>
      <c r="AI2414">
        <v>12</v>
      </c>
      <c r="AJ2414" t="s">
        <v>43</v>
      </c>
      <c r="AK2414" t="s">
        <v>43</v>
      </c>
      <c r="AL2414" t="s">
        <v>43</v>
      </c>
      <c r="AM2414" t="s">
        <v>43</v>
      </c>
      <c r="AN2414" t="str">
        <f>HYPERLINK("https://www.google.com/maps?q=10.86146164,79.09857178","Open Location")</f>
        <v>Open Location</v>
      </c>
    </row>
    <row r="2415" spans="1:40" x14ac:dyDescent="0.3">
      <c r="A2415" s="1">
        <v>46210.720138888886</v>
      </c>
      <c r="B2415" t="s">
        <v>40</v>
      </c>
      <c r="C2415" t="s">
        <v>41</v>
      </c>
      <c r="D2415" s="1">
        <v>46210.723136574074</v>
      </c>
      <c r="E2415" t="s">
        <v>42</v>
      </c>
      <c r="F2415" t="s">
        <v>83</v>
      </c>
      <c r="G2415">
        <v>40</v>
      </c>
      <c r="H2415" t="s">
        <v>43</v>
      </c>
      <c r="I2415" t="s">
        <v>1241</v>
      </c>
      <c r="J2415">
        <v>52</v>
      </c>
      <c r="K2415">
        <v>138</v>
      </c>
      <c r="L2415">
        <v>98</v>
      </c>
      <c r="M2415">
        <v>618.70001220999995</v>
      </c>
      <c r="N2415" t="s">
        <v>87</v>
      </c>
      <c r="O2415" t="s">
        <v>86</v>
      </c>
      <c r="P2415">
        <v>131</v>
      </c>
      <c r="Q2415">
        <v>5</v>
      </c>
      <c r="R2415">
        <v>42</v>
      </c>
      <c r="S2415">
        <v>1667</v>
      </c>
      <c r="T2415">
        <v>-40</v>
      </c>
      <c r="U2415">
        <v>52</v>
      </c>
      <c r="V2415">
        <v>460</v>
      </c>
      <c r="W2415">
        <v>28</v>
      </c>
      <c r="X2415">
        <v>28</v>
      </c>
      <c r="Y2415">
        <v>1</v>
      </c>
      <c r="Z2415">
        <v>8</v>
      </c>
      <c r="AA2415">
        <v>25</v>
      </c>
      <c r="AB2415">
        <v>1</v>
      </c>
      <c r="AC2415">
        <v>3</v>
      </c>
      <c r="AD2415">
        <v>3.2520000900000001</v>
      </c>
      <c r="AE2415">
        <v>1</v>
      </c>
      <c r="AF2415">
        <v>39</v>
      </c>
      <c r="AG2415">
        <v>3.2420000999999998</v>
      </c>
      <c r="AH2415">
        <v>6</v>
      </c>
      <c r="AI2415">
        <v>24</v>
      </c>
      <c r="AJ2415">
        <v>1</v>
      </c>
      <c r="AK2415">
        <v>18</v>
      </c>
      <c r="AL2415">
        <v>51</v>
      </c>
      <c r="AM2415" t="s">
        <v>43</v>
      </c>
      <c r="AN2415" t="str">
        <f>HYPERLINK("https://www.google.com/maps?q=10.86041641,79.09942627","Open Location")</f>
        <v>Open Location</v>
      </c>
    </row>
    <row r="2416" spans="1:40" x14ac:dyDescent="0.3">
      <c r="A2416" s="1">
        <v>46210.720023148147</v>
      </c>
      <c r="B2416" t="s">
        <v>40</v>
      </c>
      <c r="C2416" t="s">
        <v>41</v>
      </c>
      <c r="D2416" s="1">
        <v>46210.72283564815</v>
      </c>
      <c r="E2416" t="s">
        <v>42</v>
      </c>
      <c r="F2416" t="s">
        <v>83</v>
      </c>
      <c r="G2416">
        <v>34</v>
      </c>
      <c r="H2416">
        <v>33181</v>
      </c>
      <c r="I2416" t="s">
        <v>1242</v>
      </c>
      <c r="J2416">
        <v>52</v>
      </c>
      <c r="K2416">
        <v>107</v>
      </c>
      <c r="L2416">
        <v>98</v>
      </c>
      <c r="M2416">
        <v>619.09997558999999</v>
      </c>
      <c r="N2416" t="s">
        <v>87</v>
      </c>
      <c r="O2416" t="s">
        <v>86</v>
      </c>
      <c r="P2416">
        <v>130</v>
      </c>
      <c r="Q2416">
        <v>5</v>
      </c>
      <c r="R2416">
        <v>33</v>
      </c>
      <c r="S2416">
        <v>1497</v>
      </c>
      <c r="T2416">
        <v>-40</v>
      </c>
      <c r="U2416">
        <v>52</v>
      </c>
      <c r="V2416">
        <v>360</v>
      </c>
      <c r="W2416">
        <v>28</v>
      </c>
      <c r="X2416">
        <v>28</v>
      </c>
      <c r="Y2416">
        <v>1</v>
      </c>
      <c r="Z2416">
        <v>8</v>
      </c>
      <c r="AA2416">
        <v>24</v>
      </c>
      <c r="AB2416">
        <v>2</v>
      </c>
      <c r="AC2416">
        <v>4</v>
      </c>
      <c r="AD2416">
        <v>3.2400000100000002</v>
      </c>
      <c r="AE2416">
        <v>5</v>
      </c>
      <c r="AF2416">
        <v>38</v>
      </c>
      <c r="AG2416">
        <v>3.2239999799999999</v>
      </c>
      <c r="AH2416">
        <v>4</v>
      </c>
      <c r="AI2416">
        <v>17</v>
      </c>
      <c r="AJ2416">
        <v>1</v>
      </c>
      <c r="AK2416">
        <v>19</v>
      </c>
      <c r="AL2416">
        <v>51</v>
      </c>
      <c r="AM2416" t="s">
        <v>43</v>
      </c>
      <c r="AN2416" t="str">
        <f>HYPERLINK("https://www.google.com/maps?q=10.85964298,79.10011292","Open Location")</f>
        <v>Open Location</v>
      </c>
    </row>
    <row r="2417" spans="1:40" x14ac:dyDescent="0.3">
      <c r="A2417" s="1">
        <v>46210.719907407409</v>
      </c>
      <c r="B2417" t="s">
        <v>40</v>
      </c>
      <c r="C2417" t="s">
        <v>41</v>
      </c>
      <c r="D2417" s="1">
        <v>46210.722870370373</v>
      </c>
      <c r="E2417" t="s">
        <v>42</v>
      </c>
      <c r="F2417" t="s">
        <v>83</v>
      </c>
      <c r="G2417">
        <v>34</v>
      </c>
      <c r="H2417">
        <v>33181</v>
      </c>
      <c r="I2417" t="s">
        <v>43</v>
      </c>
      <c r="J2417">
        <v>52</v>
      </c>
      <c r="K2417">
        <v>279</v>
      </c>
      <c r="L2417">
        <v>98</v>
      </c>
      <c r="M2417">
        <v>612</v>
      </c>
      <c r="N2417" t="s">
        <v>87</v>
      </c>
      <c r="O2417" t="s">
        <v>86</v>
      </c>
      <c r="P2417">
        <v>130</v>
      </c>
      <c r="Q2417">
        <v>5</v>
      </c>
      <c r="R2417">
        <v>71</v>
      </c>
      <c r="S2417">
        <v>1504</v>
      </c>
      <c r="T2417">
        <v>-40</v>
      </c>
      <c r="U2417">
        <v>56</v>
      </c>
      <c r="V2417">
        <v>1040</v>
      </c>
      <c r="W2417">
        <v>28</v>
      </c>
      <c r="X2417">
        <v>28</v>
      </c>
      <c r="Y2417">
        <v>1</v>
      </c>
      <c r="Z2417">
        <v>8</v>
      </c>
      <c r="AA2417">
        <v>24</v>
      </c>
      <c r="AB2417">
        <v>2</v>
      </c>
      <c r="AC2417">
        <v>4</v>
      </c>
      <c r="AD2417">
        <v>3.2100000400000002</v>
      </c>
      <c r="AE2417">
        <v>5</v>
      </c>
      <c r="AF2417">
        <v>38</v>
      </c>
      <c r="AG2417">
        <v>3.1889998899999998</v>
      </c>
      <c r="AH2417">
        <v>4</v>
      </c>
      <c r="AI2417">
        <v>17</v>
      </c>
      <c r="AJ2417">
        <v>1</v>
      </c>
      <c r="AK2417">
        <v>18</v>
      </c>
      <c r="AL2417">
        <v>51</v>
      </c>
      <c r="AM2417" t="s">
        <v>43</v>
      </c>
      <c r="AN2417" t="s">
        <v>43</v>
      </c>
    </row>
    <row r="2418" spans="1:40" x14ac:dyDescent="0.3">
      <c r="A2418" s="1">
        <v>46210.71979166667</v>
      </c>
      <c r="B2418" t="s">
        <v>40</v>
      </c>
      <c r="C2418" t="s">
        <v>41</v>
      </c>
      <c r="D2418" s="1">
        <v>46210.722766203704</v>
      </c>
      <c r="E2418" t="s">
        <v>42</v>
      </c>
      <c r="F2418" t="s">
        <v>83</v>
      </c>
      <c r="G2418">
        <v>32</v>
      </c>
      <c r="H2418">
        <v>33181</v>
      </c>
      <c r="I2418" t="s">
        <v>1243</v>
      </c>
      <c r="J2418">
        <v>52</v>
      </c>
      <c r="K2418">
        <v>276</v>
      </c>
      <c r="L2418">
        <v>98</v>
      </c>
      <c r="M2418">
        <v>612.79998779000005</v>
      </c>
      <c r="N2418" t="s">
        <v>87</v>
      </c>
      <c r="O2418" t="s">
        <v>86</v>
      </c>
      <c r="P2418">
        <v>130</v>
      </c>
      <c r="Q2418">
        <v>5</v>
      </c>
      <c r="R2418">
        <v>165</v>
      </c>
      <c r="S2418">
        <v>1484</v>
      </c>
      <c r="T2418">
        <v>-40</v>
      </c>
      <c r="U2418">
        <v>57</v>
      </c>
      <c r="V2418">
        <v>1100</v>
      </c>
      <c r="W2418">
        <v>28</v>
      </c>
      <c r="X2418">
        <v>28</v>
      </c>
      <c r="Y2418">
        <v>1</v>
      </c>
      <c r="Z2418">
        <v>8</v>
      </c>
      <c r="AA2418">
        <v>24</v>
      </c>
      <c r="AB2418">
        <v>2</v>
      </c>
      <c r="AC2418">
        <v>4</v>
      </c>
      <c r="AD2418">
        <v>3.2079999400000001</v>
      </c>
      <c r="AE2418">
        <v>5</v>
      </c>
      <c r="AF2418">
        <v>38</v>
      </c>
      <c r="AG2418">
        <v>3.1860001100000002</v>
      </c>
      <c r="AH2418">
        <v>4</v>
      </c>
      <c r="AI2418">
        <v>17</v>
      </c>
      <c r="AJ2418">
        <v>1</v>
      </c>
      <c r="AK2418">
        <v>17</v>
      </c>
      <c r="AL2418">
        <v>51</v>
      </c>
      <c r="AM2418" t="s">
        <v>43</v>
      </c>
      <c r="AN2418" t="str">
        <f>HYPERLINK("https://www.google.com/maps?q=10.85890293,79.10081482","Open Location")</f>
        <v>Open Location</v>
      </c>
    </row>
    <row r="2419" spans="1:40" x14ac:dyDescent="0.3">
      <c r="A2419" s="1">
        <v>46210.719675925924</v>
      </c>
      <c r="B2419" t="s">
        <v>40</v>
      </c>
      <c r="C2419" t="s">
        <v>41</v>
      </c>
      <c r="D2419" s="1">
        <v>46210.722731481481</v>
      </c>
      <c r="E2419" t="s">
        <v>42</v>
      </c>
      <c r="F2419" t="s">
        <v>83</v>
      </c>
      <c r="G2419">
        <v>33</v>
      </c>
      <c r="H2419">
        <v>33181</v>
      </c>
      <c r="I2419" t="s">
        <v>1244</v>
      </c>
      <c r="J2419">
        <v>52</v>
      </c>
      <c r="K2419">
        <v>165</v>
      </c>
      <c r="L2419">
        <v>98</v>
      </c>
      <c r="M2419">
        <v>618.20001220999995</v>
      </c>
      <c r="N2419" t="s">
        <v>87</v>
      </c>
      <c r="O2419" t="s">
        <v>86</v>
      </c>
      <c r="P2419">
        <v>130</v>
      </c>
      <c r="Q2419">
        <v>6</v>
      </c>
      <c r="R2419">
        <v>164</v>
      </c>
      <c r="S2419">
        <v>988</v>
      </c>
      <c r="T2419">
        <v>-40</v>
      </c>
      <c r="U2419">
        <v>54</v>
      </c>
      <c r="V2419">
        <v>940</v>
      </c>
      <c r="W2419">
        <v>28</v>
      </c>
      <c r="X2419">
        <v>28</v>
      </c>
      <c r="Y2419">
        <v>1</v>
      </c>
      <c r="Z2419">
        <v>8</v>
      </c>
      <c r="AA2419">
        <v>24</v>
      </c>
      <c r="AB2419">
        <v>2</v>
      </c>
      <c r="AC2419">
        <v>4</v>
      </c>
      <c r="AD2419">
        <v>3.2279999300000002</v>
      </c>
      <c r="AE2419">
        <v>1</v>
      </c>
      <c r="AF2419">
        <v>38</v>
      </c>
      <c r="AG2419">
        <v>3.2130000600000002</v>
      </c>
      <c r="AH2419">
        <v>6</v>
      </c>
      <c r="AI2419">
        <v>24</v>
      </c>
      <c r="AJ2419">
        <v>1</v>
      </c>
      <c r="AK2419">
        <v>17</v>
      </c>
      <c r="AL2419">
        <v>51</v>
      </c>
      <c r="AM2419" t="s">
        <v>43</v>
      </c>
      <c r="AN2419" t="str">
        <f>HYPERLINK("https://www.google.com/maps?q=10.85818863,79.10150146","Open Location")</f>
        <v>Open Location</v>
      </c>
    </row>
    <row r="2420" spans="1:40" x14ac:dyDescent="0.3">
      <c r="A2420" s="1">
        <v>46210.719560185185</v>
      </c>
      <c r="B2420" t="s">
        <v>40</v>
      </c>
      <c r="C2420" t="s">
        <v>41</v>
      </c>
      <c r="D2420" s="1">
        <v>46210.722233796296</v>
      </c>
      <c r="E2420" t="s">
        <v>42</v>
      </c>
      <c r="F2420" t="s">
        <v>83</v>
      </c>
      <c r="G2420">
        <v>39</v>
      </c>
      <c r="H2420">
        <v>33181</v>
      </c>
      <c r="I2420" t="s">
        <v>1245</v>
      </c>
      <c r="J2420">
        <v>52</v>
      </c>
      <c r="K2420">
        <v>130</v>
      </c>
      <c r="L2420">
        <v>98</v>
      </c>
      <c r="M2420">
        <v>618.20001220999995</v>
      </c>
      <c r="N2420" t="s">
        <v>87</v>
      </c>
      <c r="O2420" t="s">
        <v>86</v>
      </c>
      <c r="P2420">
        <v>131</v>
      </c>
      <c r="Q2420">
        <v>6</v>
      </c>
      <c r="R2420">
        <v>98</v>
      </c>
      <c r="S2420">
        <v>1142</v>
      </c>
      <c r="T2420">
        <v>-40</v>
      </c>
      <c r="U2420">
        <v>54</v>
      </c>
      <c r="V2420">
        <v>600</v>
      </c>
      <c r="W2420">
        <v>28</v>
      </c>
      <c r="X2420">
        <v>28</v>
      </c>
      <c r="Y2420">
        <v>1</v>
      </c>
      <c r="Z2420">
        <v>8</v>
      </c>
      <c r="AA2420">
        <v>24</v>
      </c>
      <c r="AB2420">
        <v>2</v>
      </c>
      <c r="AC2420">
        <v>4</v>
      </c>
      <c r="AD2420">
        <v>3.2349999</v>
      </c>
      <c r="AE2420">
        <v>1</v>
      </c>
      <c r="AF2420">
        <v>39</v>
      </c>
      <c r="AG2420">
        <v>3.2209999599999999</v>
      </c>
      <c r="AH2420">
        <v>7</v>
      </c>
      <c r="AI2420">
        <v>19</v>
      </c>
      <c r="AJ2420" t="s">
        <v>43</v>
      </c>
      <c r="AK2420" t="s">
        <v>43</v>
      </c>
      <c r="AL2420" t="s">
        <v>43</v>
      </c>
      <c r="AM2420" t="s">
        <v>43</v>
      </c>
      <c r="AN2420" t="str">
        <f>HYPERLINK("https://www.google.com/maps?q=10.85738087,79.10228729","Open Location")</f>
        <v>Open Location</v>
      </c>
    </row>
    <row r="2421" spans="1:40" x14ac:dyDescent="0.3">
      <c r="A2421" s="1">
        <v>46210.719444444447</v>
      </c>
      <c r="B2421" t="s">
        <v>40</v>
      </c>
      <c r="C2421" t="s">
        <v>41</v>
      </c>
      <c r="D2421" s="1">
        <v>46210.722268518519</v>
      </c>
      <c r="E2421" t="s">
        <v>42</v>
      </c>
      <c r="F2421" t="s">
        <v>83</v>
      </c>
      <c r="G2421">
        <v>41</v>
      </c>
      <c r="H2421">
        <v>33181</v>
      </c>
      <c r="I2421" t="s">
        <v>1246</v>
      </c>
      <c r="J2421">
        <v>52</v>
      </c>
      <c r="K2421">
        <v>117</v>
      </c>
      <c r="L2421">
        <v>98</v>
      </c>
      <c r="M2421">
        <v>620.09997558999999</v>
      </c>
      <c r="N2421" t="s">
        <v>87</v>
      </c>
      <c r="O2421" t="s">
        <v>86</v>
      </c>
      <c r="P2421">
        <v>131</v>
      </c>
      <c r="Q2421">
        <v>6</v>
      </c>
      <c r="R2421">
        <v>61</v>
      </c>
      <c r="S2421">
        <v>1135</v>
      </c>
      <c r="T2421">
        <v>-40</v>
      </c>
      <c r="U2421">
        <v>53</v>
      </c>
      <c r="V2421">
        <v>540</v>
      </c>
      <c r="W2421">
        <v>28</v>
      </c>
      <c r="X2421">
        <v>28</v>
      </c>
      <c r="Y2421">
        <v>1</v>
      </c>
      <c r="Z2421">
        <v>8</v>
      </c>
      <c r="AA2421">
        <v>24</v>
      </c>
      <c r="AB2421">
        <v>2</v>
      </c>
      <c r="AC2421">
        <v>4</v>
      </c>
      <c r="AD2421">
        <v>3.24399996</v>
      </c>
      <c r="AE2421">
        <v>1</v>
      </c>
      <c r="AF2421">
        <v>38</v>
      </c>
      <c r="AG2421">
        <v>3.2339999700000002</v>
      </c>
      <c r="AH2421">
        <v>4</v>
      </c>
      <c r="AI2421">
        <v>17</v>
      </c>
      <c r="AJ2421">
        <v>1</v>
      </c>
      <c r="AK2421">
        <v>17</v>
      </c>
      <c r="AL2421">
        <v>51</v>
      </c>
      <c r="AM2421" t="s">
        <v>43</v>
      </c>
      <c r="AN2421" t="str">
        <f>HYPERLINK("https://www.google.com/maps?q=10.85650063,79.1031723","Open Location")</f>
        <v>Open Location</v>
      </c>
    </row>
    <row r="2422" spans="1:40" x14ac:dyDescent="0.3">
      <c r="A2422" s="1">
        <v>46210.719328703701</v>
      </c>
      <c r="B2422" t="s">
        <v>40</v>
      </c>
      <c r="C2422" t="s">
        <v>41</v>
      </c>
      <c r="D2422" s="1">
        <v>46210.722233796296</v>
      </c>
      <c r="E2422" t="s">
        <v>42</v>
      </c>
      <c r="F2422" t="s">
        <v>83</v>
      </c>
      <c r="G2422">
        <v>41</v>
      </c>
      <c r="H2422">
        <v>33181</v>
      </c>
      <c r="I2422" t="s">
        <v>1247</v>
      </c>
      <c r="J2422">
        <v>52</v>
      </c>
      <c r="K2422">
        <v>102</v>
      </c>
      <c r="L2422">
        <v>98</v>
      </c>
      <c r="M2422">
        <v>621.40002441000001</v>
      </c>
      <c r="N2422" t="s">
        <v>87</v>
      </c>
      <c r="O2422" t="s">
        <v>86</v>
      </c>
      <c r="P2422">
        <v>131</v>
      </c>
      <c r="Q2422">
        <v>6</v>
      </c>
      <c r="R2422">
        <v>52</v>
      </c>
      <c r="S2422">
        <v>1147</v>
      </c>
      <c r="T2422">
        <v>-40</v>
      </c>
      <c r="U2422">
        <v>53</v>
      </c>
      <c r="V2422">
        <v>520</v>
      </c>
      <c r="W2422">
        <v>28</v>
      </c>
      <c r="X2422">
        <v>28</v>
      </c>
      <c r="Y2422">
        <v>1</v>
      </c>
      <c r="Z2422">
        <v>8</v>
      </c>
      <c r="AA2422">
        <v>24</v>
      </c>
      <c r="AB2422">
        <v>2</v>
      </c>
      <c r="AC2422">
        <v>4</v>
      </c>
      <c r="AD2422">
        <v>3.2430000300000001</v>
      </c>
      <c r="AE2422">
        <v>1</v>
      </c>
      <c r="AF2422">
        <v>38</v>
      </c>
      <c r="AG2422">
        <v>3.23200011</v>
      </c>
      <c r="AH2422">
        <v>4</v>
      </c>
      <c r="AI2422">
        <v>17</v>
      </c>
      <c r="AJ2422">
        <v>1</v>
      </c>
      <c r="AK2422">
        <v>17</v>
      </c>
      <c r="AL2422">
        <v>51</v>
      </c>
      <c r="AM2422" t="s">
        <v>43</v>
      </c>
      <c r="AN2422" t="str">
        <f>HYPERLINK("https://www.google.com/maps?q=10.85573483,79.10417938","Open Location")</f>
        <v>Open Location</v>
      </c>
    </row>
    <row r="2423" spans="1:40" x14ac:dyDescent="0.3">
      <c r="A2423" s="1">
        <v>46210.719212962962</v>
      </c>
      <c r="B2423" t="s">
        <v>40</v>
      </c>
      <c r="C2423" t="s">
        <v>41</v>
      </c>
      <c r="D2423" s="1">
        <v>46210.722175925926</v>
      </c>
      <c r="E2423" t="s">
        <v>42</v>
      </c>
      <c r="F2423" t="s">
        <v>83</v>
      </c>
      <c r="G2423">
        <v>41</v>
      </c>
      <c r="H2423">
        <v>33181</v>
      </c>
      <c r="I2423" t="s">
        <v>43</v>
      </c>
      <c r="J2423">
        <v>53</v>
      </c>
      <c r="K2423">
        <v>126</v>
      </c>
      <c r="L2423">
        <v>98</v>
      </c>
      <c r="M2423">
        <v>620.29998779000005</v>
      </c>
      <c r="N2423" t="s">
        <v>87</v>
      </c>
      <c r="O2423" t="s">
        <v>86</v>
      </c>
      <c r="P2423">
        <v>131</v>
      </c>
      <c r="Q2423">
        <v>6</v>
      </c>
      <c r="R2423">
        <v>86</v>
      </c>
      <c r="S2423">
        <v>1166</v>
      </c>
      <c r="T2423">
        <v>-40</v>
      </c>
      <c r="U2423">
        <v>54</v>
      </c>
      <c r="V2423">
        <v>600</v>
      </c>
      <c r="W2423">
        <v>28</v>
      </c>
      <c r="X2423">
        <v>28</v>
      </c>
      <c r="Y2423">
        <v>1</v>
      </c>
      <c r="Z2423">
        <v>8</v>
      </c>
      <c r="AA2423">
        <v>24</v>
      </c>
      <c r="AB2423">
        <v>2</v>
      </c>
      <c r="AC2423">
        <v>4</v>
      </c>
      <c r="AD2423">
        <v>3.2369999900000002</v>
      </c>
      <c r="AE2423">
        <v>5</v>
      </c>
      <c r="AF2423">
        <v>38</v>
      </c>
      <c r="AG2423">
        <v>3.22300005</v>
      </c>
      <c r="AH2423">
        <v>4</v>
      </c>
      <c r="AI2423">
        <v>17</v>
      </c>
      <c r="AJ2423">
        <v>1</v>
      </c>
      <c r="AK2423">
        <v>17</v>
      </c>
      <c r="AL2423">
        <v>51</v>
      </c>
      <c r="AM2423" t="s">
        <v>43</v>
      </c>
      <c r="AN2423" t="s">
        <v>43</v>
      </c>
    </row>
    <row r="2424" spans="1:40" x14ac:dyDescent="0.3">
      <c r="A2424" s="1">
        <v>46210.719097222223</v>
      </c>
      <c r="B2424" t="s">
        <v>40</v>
      </c>
      <c r="C2424" t="s">
        <v>41</v>
      </c>
      <c r="D2424" s="1">
        <v>46210.721932870372</v>
      </c>
      <c r="E2424" t="s">
        <v>42</v>
      </c>
      <c r="F2424" t="s">
        <v>83</v>
      </c>
      <c r="G2424">
        <v>41</v>
      </c>
      <c r="H2424">
        <v>33180</v>
      </c>
      <c r="I2424" t="s">
        <v>1248</v>
      </c>
      <c r="J2424">
        <v>53</v>
      </c>
      <c r="K2424">
        <v>106</v>
      </c>
      <c r="L2424">
        <v>98</v>
      </c>
      <c r="M2424">
        <v>621.40002441000001</v>
      </c>
      <c r="N2424" t="s">
        <v>87</v>
      </c>
      <c r="O2424" t="s">
        <v>86</v>
      </c>
      <c r="P2424">
        <v>131</v>
      </c>
      <c r="Q2424">
        <v>6</v>
      </c>
      <c r="R2424">
        <v>65</v>
      </c>
      <c r="S2424">
        <v>1154</v>
      </c>
      <c r="T2424">
        <v>-40</v>
      </c>
      <c r="U2424">
        <v>53</v>
      </c>
      <c r="V2424">
        <v>500</v>
      </c>
      <c r="W2424">
        <v>28</v>
      </c>
      <c r="X2424">
        <v>28</v>
      </c>
      <c r="Y2424">
        <v>1</v>
      </c>
      <c r="Z2424">
        <v>8</v>
      </c>
      <c r="AA2424">
        <v>24</v>
      </c>
      <c r="AB2424">
        <v>2</v>
      </c>
      <c r="AC2424">
        <v>4</v>
      </c>
      <c r="AD2424">
        <v>3.24399996</v>
      </c>
      <c r="AE2424">
        <v>1</v>
      </c>
      <c r="AF2424">
        <v>38</v>
      </c>
      <c r="AG2424">
        <v>3.2330000399999999</v>
      </c>
      <c r="AH2424">
        <v>4</v>
      </c>
      <c r="AI2424">
        <v>17</v>
      </c>
      <c r="AJ2424">
        <v>1</v>
      </c>
      <c r="AK2424">
        <v>17</v>
      </c>
      <c r="AL2424">
        <v>51</v>
      </c>
      <c r="AM2424" t="s">
        <v>43</v>
      </c>
      <c r="AN2424" t="str">
        <f>HYPERLINK("https://www.google.com/maps?q=10.85503101,79.10535431","Open Location")</f>
        <v>Open Location</v>
      </c>
    </row>
    <row r="2425" spans="1:40" x14ac:dyDescent="0.3">
      <c r="A2425" s="1">
        <v>46210.718981481485</v>
      </c>
      <c r="B2425" t="s">
        <v>40</v>
      </c>
      <c r="C2425" t="s">
        <v>41</v>
      </c>
      <c r="D2425" s="1">
        <v>46210.721817129626</v>
      </c>
      <c r="E2425" t="s">
        <v>42</v>
      </c>
      <c r="F2425" t="s">
        <v>83</v>
      </c>
      <c r="G2425">
        <v>41</v>
      </c>
      <c r="H2425">
        <v>33180</v>
      </c>
      <c r="I2425" t="s">
        <v>1249</v>
      </c>
      <c r="J2425">
        <v>53</v>
      </c>
      <c r="K2425">
        <v>97</v>
      </c>
      <c r="L2425">
        <v>98</v>
      </c>
      <c r="M2425">
        <v>621.09997558999999</v>
      </c>
      <c r="N2425" t="s">
        <v>87</v>
      </c>
      <c r="O2425" t="s">
        <v>86</v>
      </c>
      <c r="P2425">
        <v>131</v>
      </c>
      <c r="Q2425">
        <v>6</v>
      </c>
      <c r="R2425">
        <v>60</v>
      </c>
      <c r="S2425">
        <v>1158</v>
      </c>
      <c r="T2425">
        <v>-40</v>
      </c>
      <c r="U2425">
        <v>52</v>
      </c>
      <c r="V2425">
        <v>405</v>
      </c>
      <c r="W2425">
        <v>28</v>
      </c>
      <c r="X2425">
        <v>28</v>
      </c>
      <c r="Y2425">
        <v>1</v>
      </c>
      <c r="Z2425">
        <v>8</v>
      </c>
      <c r="AA2425">
        <v>24</v>
      </c>
      <c r="AB2425">
        <v>2</v>
      </c>
      <c r="AC2425">
        <v>4</v>
      </c>
      <c r="AD2425">
        <v>3.2460000500000001</v>
      </c>
      <c r="AE2425">
        <v>5</v>
      </c>
      <c r="AF2425">
        <v>38</v>
      </c>
      <c r="AG2425">
        <v>3.2349999</v>
      </c>
      <c r="AH2425">
        <v>4</v>
      </c>
      <c r="AI2425">
        <v>17</v>
      </c>
      <c r="AJ2425">
        <v>1</v>
      </c>
      <c r="AK2425">
        <v>18</v>
      </c>
      <c r="AL2425">
        <v>51</v>
      </c>
      <c r="AM2425" t="s">
        <v>43</v>
      </c>
      <c r="AN2425" t="str">
        <f>HYPERLINK("https://www.google.com/maps?q=10.85438347,79.10643005","Open Location")</f>
        <v>Open Location</v>
      </c>
    </row>
    <row r="2426" spans="1:40" x14ac:dyDescent="0.3">
      <c r="A2426" s="1">
        <v>46210.718865740739</v>
      </c>
      <c r="B2426" t="s">
        <v>40</v>
      </c>
      <c r="C2426" t="s">
        <v>41</v>
      </c>
      <c r="D2426" s="1">
        <v>46210.721724537034</v>
      </c>
      <c r="E2426" t="s">
        <v>42</v>
      </c>
      <c r="F2426" t="s">
        <v>83</v>
      </c>
      <c r="G2426">
        <v>42</v>
      </c>
      <c r="H2426">
        <v>33180</v>
      </c>
      <c r="I2426" t="s">
        <v>1250</v>
      </c>
      <c r="J2426">
        <v>53</v>
      </c>
      <c r="K2426">
        <v>108</v>
      </c>
      <c r="L2426">
        <v>98</v>
      </c>
      <c r="M2426">
        <v>620.5</v>
      </c>
      <c r="N2426" t="s">
        <v>87</v>
      </c>
      <c r="O2426" t="s">
        <v>86</v>
      </c>
      <c r="P2426">
        <v>131</v>
      </c>
      <c r="Q2426">
        <v>6</v>
      </c>
      <c r="R2426">
        <v>53</v>
      </c>
      <c r="S2426">
        <v>1167</v>
      </c>
      <c r="T2426">
        <v>-40</v>
      </c>
      <c r="U2426">
        <v>53</v>
      </c>
      <c r="V2426">
        <v>520</v>
      </c>
      <c r="W2426">
        <v>28</v>
      </c>
      <c r="X2426">
        <v>28</v>
      </c>
      <c r="Y2426">
        <v>1</v>
      </c>
      <c r="Z2426">
        <v>8</v>
      </c>
      <c r="AA2426">
        <v>24</v>
      </c>
      <c r="AB2426">
        <v>2</v>
      </c>
      <c r="AC2426">
        <v>4</v>
      </c>
      <c r="AD2426">
        <v>3.2460000500000001</v>
      </c>
      <c r="AE2426">
        <v>1</v>
      </c>
      <c r="AF2426">
        <v>42</v>
      </c>
      <c r="AG2426">
        <v>3.2349999</v>
      </c>
      <c r="AH2426">
        <v>4</v>
      </c>
      <c r="AI2426">
        <v>17</v>
      </c>
      <c r="AJ2426" t="s">
        <v>43</v>
      </c>
      <c r="AK2426" t="s">
        <v>43</v>
      </c>
      <c r="AL2426" t="s">
        <v>43</v>
      </c>
      <c r="AM2426" t="s">
        <v>43</v>
      </c>
      <c r="AN2426" t="str">
        <f>HYPERLINK("https://www.google.com/maps?q=10.85373116,79.10753632","Open Location")</f>
        <v>Open Location</v>
      </c>
    </row>
    <row r="2427" spans="1:40" x14ac:dyDescent="0.3">
      <c r="A2427" s="1">
        <v>46210.71875</v>
      </c>
      <c r="B2427" t="s">
        <v>40</v>
      </c>
      <c r="C2427" t="s">
        <v>41</v>
      </c>
      <c r="D2427" s="1">
        <v>46210.721608796295</v>
      </c>
      <c r="E2427" t="s">
        <v>42</v>
      </c>
      <c r="F2427" t="s">
        <v>83</v>
      </c>
      <c r="G2427">
        <v>42</v>
      </c>
      <c r="H2427">
        <v>33180</v>
      </c>
      <c r="I2427" t="s">
        <v>1251</v>
      </c>
      <c r="J2427">
        <v>53</v>
      </c>
      <c r="K2427">
        <v>161</v>
      </c>
      <c r="L2427">
        <v>98</v>
      </c>
      <c r="M2427">
        <v>618.20001220999995</v>
      </c>
      <c r="N2427" t="s">
        <v>87</v>
      </c>
      <c r="O2427" t="s">
        <v>86</v>
      </c>
      <c r="P2427">
        <v>131</v>
      </c>
      <c r="Q2427">
        <v>6</v>
      </c>
      <c r="R2427">
        <v>84</v>
      </c>
      <c r="S2427">
        <v>1135</v>
      </c>
      <c r="T2427">
        <v>-40</v>
      </c>
      <c r="U2427">
        <v>54</v>
      </c>
      <c r="V2427">
        <v>780</v>
      </c>
      <c r="W2427">
        <v>28</v>
      </c>
      <c r="X2427">
        <v>28</v>
      </c>
      <c r="Y2427">
        <v>1</v>
      </c>
      <c r="Z2427">
        <v>8</v>
      </c>
      <c r="AA2427">
        <v>24</v>
      </c>
      <c r="AB2427">
        <v>2</v>
      </c>
      <c r="AC2427">
        <v>4</v>
      </c>
      <c r="AD2427">
        <v>3.2349999</v>
      </c>
      <c r="AE2427">
        <v>1</v>
      </c>
      <c r="AF2427">
        <v>42</v>
      </c>
      <c r="AG2427">
        <v>3.2209999599999999</v>
      </c>
      <c r="AH2427">
        <v>4</v>
      </c>
      <c r="AI2427">
        <v>17</v>
      </c>
      <c r="AJ2427">
        <v>1</v>
      </c>
      <c r="AK2427">
        <v>17</v>
      </c>
      <c r="AL2427">
        <v>51</v>
      </c>
      <c r="AM2427" t="s">
        <v>43</v>
      </c>
      <c r="AN2427" t="str">
        <f>HYPERLINK("https://www.google.com/maps?q=10.85308838,79.10863495","Open Location")</f>
        <v>Open Location</v>
      </c>
    </row>
    <row r="2428" spans="1:40" x14ac:dyDescent="0.3">
      <c r="A2428" s="1">
        <v>46210.718634259261</v>
      </c>
      <c r="B2428" t="s">
        <v>40</v>
      </c>
      <c r="C2428" t="s">
        <v>41</v>
      </c>
      <c r="D2428" s="1">
        <v>46210.721724537034</v>
      </c>
      <c r="E2428" t="s">
        <v>42</v>
      </c>
      <c r="F2428" t="s">
        <v>83</v>
      </c>
      <c r="G2428">
        <v>40</v>
      </c>
      <c r="H2428">
        <v>33180</v>
      </c>
      <c r="I2428" t="s">
        <v>1252</v>
      </c>
      <c r="J2428">
        <v>53</v>
      </c>
      <c r="K2428">
        <v>86</v>
      </c>
      <c r="L2428">
        <v>98</v>
      </c>
      <c r="M2428">
        <v>622.40002441000001</v>
      </c>
      <c r="N2428" t="s">
        <v>87</v>
      </c>
      <c r="O2428" t="s">
        <v>86</v>
      </c>
      <c r="P2428">
        <v>131</v>
      </c>
      <c r="Q2428">
        <v>6</v>
      </c>
      <c r="R2428">
        <v>51</v>
      </c>
      <c r="S2428">
        <v>1117</v>
      </c>
      <c r="T2428">
        <v>-40</v>
      </c>
      <c r="U2428">
        <v>52</v>
      </c>
      <c r="V2428">
        <v>434</v>
      </c>
      <c r="W2428">
        <v>28</v>
      </c>
      <c r="X2428">
        <v>28</v>
      </c>
      <c r="Y2428">
        <v>1</v>
      </c>
      <c r="Z2428">
        <v>8</v>
      </c>
      <c r="AA2428">
        <v>24</v>
      </c>
      <c r="AB2428">
        <v>2</v>
      </c>
      <c r="AC2428">
        <v>4</v>
      </c>
      <c r="AD2428">
        <v>3.2490000700000001</v>
      </c>
      <c r="AE2428">
        <v>1</v>
      </c>
      <c r="AF2428">
        <v>38</v>
      </c>
      <c r="AG2428">
        <v>3.2400000100000002</v>
      </c>
      <c r="AH2428">
        <v>4</v>
      </c>
      <c r="AI2428">
        <v>17</v>
      </c>
      <c r="AJ2428">
        <v>1</v>
      </c>
      <c r="AK2428">
        <v>18</v>
      </c>
      <c r="AL2428">
        <v>51</v>
      </c>
      <c r="AM2428" t="s">
        <v>43</v>
      </c>
      <c r="AN2428" t="str">
        <f>HYPERLINK("https://www.google.com/maps?q=10.852458,79.10969543","Open Location")</f>
        <v>Open Location</v>
      </c>
    </row>
    <row r="2429" spans="1:40" x14ac:dyDescent="0.3">
      <c r="A2429" s="1">
        <v>46210.718518518515</v>
      </c>
      <c r="B2429" t="s">
        <v>40</v>
      </c>
      <c r="C2429" t="s">
        <v>41</v>
      </c>
      <c r="D2429" s="1">
        <v>46210.721238425926</v>
      </c>
      <c r="E2429" t="s">
        <v>42</v>
      </c>
      <c r="F2429" t="s">
        <v>83</v>
      </c>
      <c r="G2429">
        <v>41</v>
      </c>
      <c r="H2429">
        <v>33180</v>
      </c>
      <c r="I2429" t="s">
        <v>43</v>
      </c>
      <c r="J2429">
        <v>53</v>
      </c>
      <c r="K2429">
        <v>87</v>
      </c>
      <c r="L2429">
        <v>98</v>
      </c>
      <c r="M2429">
        <v>621.79998779000005</v>
      </c>
      <c r="N2429" t="s">
        <v>87</v>
      </c>
      <c r="O2429" t="s">
        <v>86</v>
      </c>
      <c r="P2429">
        <v>131</v>
      </c>
      <c r="Q2429">
        <v>6</v>
      </c>
      <c r="R2429">
        <v>47</v>
      </c>
      <c r="S2429">
        <v>1141</v>
      </c>
      <c r="T2429">
        <v>-40</v>
      </c>
      <c r="U2429">
        <v>52</v>
      </c>
      <c r="V2429">
        <v>420</v>
      </c>
      <c r="W2429">
        <v>28</v>
      </c>
      <c r="X2429">
        <v>28</v>
      </c>
      <c r="Y2429">
        <v>1</v>
      </c>
      <c r="Z2429">
        <v>8</v>
      </c>
      <c r="AA2429">
        <v>24</v>
      </c>
      <c r="AB2429">
        <v>2</v>
      </c>
      <c r="AC2429">
        <v>4</v>
      </c>
      <c r="AD2429">
        <v>3.2490000700000001</v>
      </c>
      <c r="AE2429">
        <v>1</v>
      </c>
      <c r="AF2429">
        <v>41</v>
      </c>
      <c r="AG2429">
        <v>3.2390000799999998</v>
      </c>
      <c r="AH2429">
        <v>4</v>
      </c>
      <c r="AI2429">
        <v>17</v>
      </c>
      <c r="AJ2429">
        <v>1</v>
      </c>
      <c r="AK2429">
        <v>17</v>
      </c>
      <c r="AL2429">
        <v>51</v>
      </c>
      <c r="AM2429" t="s">
        <v>43</v>
      </c>
      <c r="AN2429" t="s">
        <v>43</v>
      </c>
    </row>
    <row r="2430" spans="1:40" x14ac:dyDescent="0.3">
      <c r="A2430" s="1">
        <v>46210.718402777777</v>
      </c>
      <c r="B2430" t="s">
        <v>40</v>
      </c>
      <c r="C2430" t="s">
        <v>41</v>
      </c>
      <c r="D2430" s="1">
        <v>46210.72142361111</v>
      </c>
      <c r="E2430" t="s">
        <v>42</v>
      </c>
      <c r="F2430" t="s">
        <v>83</v>
      </c>
      <c r="G2430">
        <v>41</v>
      </c>
      <c r="H2430">
        <v>33180</v>
      </c>
      <c r="I2430" t="s">
        <v>1253</v>
      </c>
      <c r="J2430">
        <v>53</v>
      </c>
      <c r="K2430">
        <v>109</v>
      </c>
      <c r="L2430">
        <v>98</v>
      </c>
      <c r="M2430">
        <v>621</v>
      </c>
      <c r="N2430" t="s">
        <v>87</v>
      </c>
      <c r="O2430" t="s">
        <v>86</v>
      </c>
      <c r="P2430">
        <v>131</v>
      </c>
      <c r="Q2430">
        <v>6</v>
      </c>
      <c r="R2430">
        <v>54</v>
      </c>
      <c r="S2430">
        <v>1140</v>
      </c>
      <c r="T2430">
        <v>-40</v>
      </c>
      <c r="U2430">
        <v>52</v>
      </c>
      <c r="V2430">
        <v>520</v>
      </c>
      <c r="W2430">
        <v>28</v>
      </c>
      <c r="X2430">
        <v>28</v>
      </c>
      <c r="Y2430">
        <v>1</v>
      </c>
      <c r="Z2430">
        <v>8</v>
      </c>
      <c r="AA2430">
        <v>24</v>
      </c>
      <c r="AB2430">
        <v>2</v>
      </c>
      <c r="AC2430">
        <v>4</v>
      </c>
      <c r="AD2430">
        <v>3.2430000300000001</v>
      </c>
      <c r="AE2430">
        <v>1</v>
      </c>
      <c r="AF2430">
        <v>39</v>
      </c>
      <c r="AG2430">
        <v>3.23200011</v>
      </c>
      <c r="AH2430">
        <v>4</v>
      </c>
      <c r="AI2430">
        <v>17</v>
      </c>
      <c r="AJ2430">
        <v>1</v>
      </c>
      <c r="AK2430">
        <v>17</v>
      </c>
      <c r="AL2430">
        <v>51</v>
      </c>
      <c r="AM2430" t="s">
        <v>43</v>
      </c>
      <c r="AN2430" t="str">
        <f>HYPERLINK("https://www.google.com/maps?q=10.85183334,79.11077118","Open Location")</f>
        <v>Open Location</v>
      </c>
    </row>
    <row r="2431" spans="1:40" x14ac:dyDescent="0.3">
      <c r="A2431" s="1">
        <v>46210.718287037038</v>
      </c>
      <c r="B2431" t="s">
        <v>40</v>
      </c>
      <c r="C2431" t="s">
        <v>41</v>
      </c>
      <c r="D2431" s="1">
        <v>46210.721192129633</v>
      </c>
      <c r="E2431" t="s">
        <v>42</v>
      </c>
      <c r="F2431" t="s">
        <v>83</v>
      </c>
      <c r="G2431">
        <v>41</v>
      </c>
      <c r="H2431">
        <v>33180</v>
      </c>
      <c r="I2431" t="s">
        <v>1254</v>
      </c>
      <c r="J2431">
        <v>53</v>
      </c>
      <c r="K2431">
        <v>101</v>
      </c>
      <c r="L2431">
        <v>98</v>
      </c>
      <c r="M2431">
        <v>620.90002441000001</v>
      </c>
      <c r="N2431" t="s">
        <v>87</v>
      </c>
      <c r="O2431" t="s">
        <v>86</v>
      </c>
      <c r="P2431">
        <v>131</v>
      </c>
      <c r="Q2431">
        <v>6</v>
      </c>
      <c r="R2431">
        <v>69</v>
      </c>
      <c r="S2431">
        <v>1135</v>
      </c>
      <c r="T2431">
        <v>-40</v>
      </c>
      <c r="U2431">
        <v>52</v>
      </c>
      <c r="V2431">
        <v>480</v>
      </c>
      <c r="W2431">
        <v>28</v>
      </c>
      <c r="X2431">
        <v>28</v>
      </c>
      <c r="Y2431">
        <v>1</v>
      </c>
      <c r="Z2431">
        <v>8</v>
      </c>
      <c r="AA2431">
        <v>24</v>
      </c>
      <c r="AB2431">
        <v>2</v>
      </c>
      <c r="AC2431">
        <v>4</v>
      </c>
      <c r="AD2431">
        <v>3.24399996</v>
      </c>
      <c r="AE2431">
        <v>1</v>
      </c>
      <c r="AF2431">
        <v>38</v>
      </c>
      <c r="AG2431">
        <v>3.2339999700000002</v>
      </c>
      <c r="AH2431">
        <v>4</v>
      </c>
      <c r="AI2431">
        <v>17</v>
      </c>
      <c r="AJ2431">
        <v>1</v>
      </c>
      <c r="AK2431">
        <v>17</v>
      </c>
      <c r="AL2431">
        <v>51</v>
      </c>
      <c r="AM2431" t="s">
        <v>43</v>
      </c>
      <c r="AN2431" t="str">
        <f>HYPERLINK("https://www.google.com/maps?q=10.85119057,79.11185455","Open Location")</f>
        <v>Open Location</v>
      </c>
    </row>
    <row r="2432" spans="1:40" x14ac:dyDescent="0.3">
      <c r="A2432" s="1">
        <v>46210.718171296299</v>
      </c>
      <c r="B2432" t="s">
        <v>40</v>
      </c>
      <c r="C2432" t="s">
        <v>41</v>
      </c>
      <c r="D2432" s="1">
        <v>46210.720879629633</v>
      </c>
      <c r="E2432" t="s">
        <v>42</v>
      </c>
      <c r="F2432" t="s">
        <v>83</v>
      </c>
      <c r="G2432">
        <v>41</v>
      </c>
      <c r="H2432" t="s">
        <v>43</v>
      </c>
      <c r="I2432" t="s">
        <v>43</v>
      </c>
      <c r="J2432">
        <v>53</v>
      </c>
      <c r="K2432">
        <v>120</v>
      </c>
      <c r="L2432">
        <v>98</v>
      </c>
      <c r="M2432">
        <v>620.79998779000005</v>
      </c>
      <c r="N2432" t="s">
        <v>87</v>
      </c>
      <c r="O2432" t="s">
        <v>86</v>
      </c>
      <c r="P2432">
        <v>131</v>
      </c>
      <c r="Q2432">
        <v>6</v>
      </c>
      <c r="R2432">
        <v>63</v>
      </c>
      <c r="S2432">
        <v>1126</v>
      </c>
      <c r="T2432">
        <v>-40</v>
      </c>
      <c r="U2432">
        <v>52</v>
      </c>
      <c r="V2432">
        <v>600</v>
      </c>
      <c r="W2432">
        <v>28</v>
      </c>
      <c r="X2432">
        <v>28</v>
      </c>
      <c r="Y2432">
        <v>1</v>
      </c>
      <c r="Z2432">
        <v>8</v>
      </c>
      <c r="AA2432">
        <v>24</v>
      </c>
      <c r="AB2432">
        <v>2</v>
      </c>
      <c r="AC2432">
        <v>4</v>
      </c>
      <c r="AD2432">
        <v>3.2400000100000002</v>
      </c>
      <c r="AE2432">
        <v>1</v>
      </c>
      <c r="AF2432">
        <v>39</v>
      </c>
      <c r="AG2432">
        <v>3.2279999300000002</v>
      </c>
      <c r="AH2432">
        <v>4</v>
      </c>
      <c r="AI2432">
        <v>17</v>
      </c>
      <c r="AJ2432" t="s">
        <v>43</v>
      </c>
      <c r="AK2432" t="s">
        <v>43</v>
      </c>
      <c r="AL2432" t="s">
        <v>43</v>
      </c>
      <c r="AM2432" t="s">
        <v>43</v>
      </c>
      <c r="AN2432" t="s">
        <v>43</v>
      </c>
    </row>
    <row r="2433" spans="1:40" x14ac:dyDescent="0.3">
      <c r="A2433" s="1">
        <v>46210.718055555553</v>
      </c>
      <c r="B2433" t="s">
        <v>40</v>
      </c>
      <c r="C2433" t="s">
        <v>41</v>
      </c>
      <c r="D2433" s="1">
        <v>46210.720937500002</v>
      </c>
      <c r="E2433" t="s">
        <v>42</v>
      </c>
      <c r="F2433" t="s">
        <v>83</v>
      </c>
      <c r="G2433">
        <v>40</v>
      </c>
      <c r="H2433">
        <v>33179</v>
      </c>
      <c r="I2433" t="s">
        <v>1255</v>
      </c>
      <c r="J2433">
        <v>53</v>
      </c>
      <c r="K2433">
        <v>121</v>
      </c>
      <c r="L2433">
        <v>98</v>
      </c>
      <c r="M2433">
        <v>620.40002441000001</v>
      </c>
      <c r="N2433" t="s">
        <v>87</v>
      </c>
      <c r="O2433" t="s">
        <v>86</v>
      </c>
      <c r="P2433">
        <v>131</v>
      </c>
      <c r="Q2433">
        <v>6</v>
      </c>
      <c r="R2433">
        <v>67</v>
      </c>
      <c r="S2433">
        <v>1104</v>
      </c>
      <c r="T2433">
        <v>-40</v>
      </c>
      <c r="U2433">
        <v>52</v>
      </c>
      <c r="V2433">
        <v>600</v>
      </c>
      <c r="W2433">
        <v>28</v>
      </c>
      <c r="X2433">
        <v>28</v>
      </c>
      <c r="Y2433">
        <v>1</v>
      </c>
      <c r="Z2433">
        <v>8</v>
      </c>
      <c r="AA2433">
        <v>24</v>
      </c>
      <c r="AB2433">
        <v>2</v>
      </c>
      <c r="AC2433">
        <v>4</v>
      </c>
      <c r="AD2433">
        <v>3.2420000999999998</v>
      </c>
      <c r="AE2433">
        <v>1</v>
      </c>
      <c r="AF2433">
        <v>38</v>
      </c>
      <c r="AG2433">
        <v>3.2309999500000002</v>
      </c>
      <c r="AH2433">
        <v>4</v>
      </c>
      <c r="AI2433">
        <v>17</v>
      </c>
      <c r="AJ2433">
        <v>1</v>
      </c>
      <c r="AK2433">
        <v>17</v>
      </c>
      <c r="AL2433">
        <v>51</v>
      </c>
      <c r="AM2433" t="s">
        <v>43</v>
      </c>
      <c r="AN2433" t="str">
        <f>HYPERLINK("https://www.google.com/maps?q=10.84996891,79.1138916","Open Location")</f>
        <v>Open Location</v>
      </c>
    </row>
    <row r="2434" spans="1:40" x14ac:dyDescent="0.3">
      <c r="A2434" s="1">
        <v>46210.717939814815</v>
      </c>
      <c r="B2434" t="s">
        <v>40</v>
      </c>
      <c r="C2434" t="s">
        <v>41</v>
      </c>
      <c r="D2434" s="1">
        <v>46210.720937500002</v>
      </c>
      <c r="E2434" t="s">
        <v>42</v>
      </c>
      <c r="F2434" t="s">
        <v>83</v>
      </c>
      <c r="G2434">
        <v>40</v>
      </c>
      <c r="H2434">
        <v>33179</v>
      </c>
      <c r="I2434" t="s">
        <v>43</v>
      </c>
      <c r="J2434">
        <v>53</v>
      </c>
      <c r="K2434">
        <v>132</v>
      </c>
      <c r="L2434">
        <v>98</v>
      </c>
      <c r="M2434">
        <v>619.59997558999999</v>
      </c>
      <c r="N2434" t="s">
        <v>87</v>
      </c>
      <c r="O2434" t="s">
        <v>86</v>
      </c>
      <c r="P2434">
        <v>130</v>
      </c>
      <c r="Q2434">
        <v>5</v>
      </c>
      <c r="R2434">
        <v>90</v>
      </c>
      <c r="S2434">
        <v>1769</v>
      </c>
      <c r="T2434">
        <v>-40</v>
      </c>
      <c r="U2434">
        <v>52</v>
      </c>
      <c r="V2434">
        <v>420</v>
      </c>
      <c r="W2434">
        <v>28</v>
      </c>
      <c r="X2434">
        <v>28</v>
      </c>
      <c r="Y2434">
        <v>1</v>
      </c>
      <c r="Z2434">
        <v>8</v>
      </c>
      <c r="AA2434">
        <v>24</v>
      </c>
      <c r="AB2434">
        <v>2</v>
      </c>
      <c r="AC2434">
        <v>4</v>
      </c>
      <c r="AD2434">
        <v>3.2339999700000002</v>
      </c>
      <c r="AE2434">
        <v>1</v>
      </c>
      <c r="AF2434">
        <v>38</v>
      </c>
      <c r="AG2434">
        <v>3.22000003</v>
      </c>
      <c r="AH2434">
        <v>4</v>
      </c>
      <c r="AI2434">
        <v>17</v>
      </c>
      <c r="AJ2434">
        <v>1</v>
      </c>
      <c r="AK2434">
        <v>19</v>
      </c>
      <c r="AL2434">
        <v>52</v>
      </c>
      <c r="AM2434" t="s">
        <v>43</v>
      </c>
      <c r="AN2434" t="s">
        <v>43</v>
      </c>
    </row>
    <row r="2435" spans="1:40" x14ac:dyDescent="0.3">
      <c r="A2435" s="1">
        <v>46210.717824074076</v>
      </c>
      <c r="B2435" t="s">
        <v>40</v>
      </c>
      <c r="C2435" t="s">
        <v>41</v>
      </c>
      <c r="D2435" s="1">
        <v>46210.720543981479</v>
      </c>
      <c r="E2435" t="s">
        <v>42</v>
      </c>
      <c r="F2435" t="s">
        <v>83</v>
      </c>
      <c r="G2435">
        <v>38</v>
      </c>
      <c r="H2435">
        <v>33179</v>
      </c>
      <c r="I2435" t="s">
        <v>43</v>
      </c>
      <c r="J2435">
        <v>53</v>
      </c>
      <c r="K2435">
        <v>136</v>
      </c>
      <c r="L2435">
        <v>98</v>
      </c>
      <c r="M2435">
        <v>619.70001220999995</v>
      </c>
      <c r="N2435" t="s">
        <v>87</v>
      </c>
      <c r="O2435" t="s">
        <v>86</v>
      </c>
      <c r="P2435">
        <v>130</v>
      </c>
      <c r="Q2435">
        <v>5</v>
      </c>
      <c r="R2435">
        <v>90</v>
      </c>
      <c r="S2435">
        <v>1712</v>
      </c>
      <c r="T2435">
        <v>-40</v>
      </c>
      <c r="U2435">
        <v>52</v>
      </c>
      <c r="V2435">
        <v>420</v>
      </c>
      <c r="W2435">
        <v>28</v>
      </c>
      <c r="X2435">
        <v>28</v>
      </c>
      <c r="Y2435">
        <v>1</v>
      </c>
      <c r="Z2435">
        <v>8</v>
      </c>
      <c r="AA2435">
        <v>24</v>
      </c>
      <c r="AB2435">
        <v>2</v>
      </c>
      <c r="AC2435">
        <v>4</v>
      </c>
      <c r="AD2435">
        <v>3.2360000599999998</v>
      </c>
      <c r="AE2435">
        <v>1</v>
      </c>
      <c r="AF2435">
        <v>38</v>
      </c>
      <c r="AG2435">
        <v>3.2219998799999998</v>
      </c>
      <c r="AH2435">
        <v>4</v>
      </c>
      <c r="AI2435">
        <v>17</v>
      </c>
      <c r="AJ2435">
        <v>1</v>
      </c>
      <c r="AK2435">
        <v>17</v>
      </c>
      <c r="AL2435">
        <v>52</v>
      </c>
      <c r="AM2435" t="s">
        <v>43</v>
      </c>
      <c r="AN2435" t="s">
        <v>43</v>
      </c>
    </row>
    <row r="2436" spans="1:40" x14ac:dyDescent="0.3">
      <c r="A2436" s="1">
        <v>46210.71770833333</v>
      </c>
      <c r="B2436" t="s">
        <v>40</v>
      </c>
      <c r="C2436" t="s">
        <v>41</v>
      </c>
      <c r="D2436" s="1">
        <v>46210.720833333333</v>
      </c>
      <c r="E2436" t="s">
        <v>42</v>
      </c>
      <c r="F2436" t="s">
        <v>83</v>
      </c>
      <c r="G2436">
        <v>36</v>
      </c>
      <c r="H2436">
        <v>33179</v>
      </c>
      <c r="I2436" t="s">
        <v>1256</v>
      </c>
      <c r="J2436">
        <v>54</v>
      </c>
      <c r="K2436">
        <v>169</v>
      </c>
      <c r="L2436">
        <v>98</v>
      </c>
      <c r="M2436">
        <v>618.70001220999995</v>
      </c>
      <c r="N2436" t="s">
        <v>87</v>
      </c>
      <c r="O2436" t="s">
        <v>86</v>
      </c>
      <c r="P2436">
        <v>130</v>
      </c>
      <c r="Q2436">
        <v>5</v>
      </c>
      <c r="R2436">
        <v>89</v>
      </c>
      <c r="S2436">
        <v>1620</v>
      </c>
      <c r="T2436">
        <v>-40</v>
      </c>
      <c r="U2436">
        <v>52</v>
      </c>
      <c r="V2436">
        <v>560</v>
      </c>
      <c r="W2436">
        <v>28</v>
      </c>
      <c r="X2436">
        <v>28</v>
      </c>
      <c r="Y2436">
        <v>1</v>
      </c>
      <c r="Z2436">
        <v>8</v>
      </c>
      <c r="AA2436">
        <v>24</v>
      </c>
      <c r="AB2436">
        <v>2</v>
      </c>
      <c r="AC2436">
        <v>4</v>
      </c>
      <c r="AD2436">
        <v>3.2339999700000002</v>
      </c>
      <c r="AE2436">
        <v>5</v>
      </c>
      <c r="AF2436">
        <v>38</v>
      </c>
      <c r="AG2436">
        <v>3.2179999399999999</v>
      </c>
      <c r="AH2436">
        <v>4</v>
      </c>
      <c r="AI2436">
        <v>17</v>
      </c>
      <c r="AJ2436">
        <v>1</v>
      </c>
      <c r="AK2436">
        <v>17</v>
      </c>
      <c r="AL2436">
        <v>52</v>
      </c>
      <c r="AM2436" t="s">
        <v>43</v>
      </c>
      <c r="AN2436" t="str">
        <f>HYPERLINK("https://www.google.com/maps?q=10.84855938,79.11591339","Open Location")</f>
        <v>Open Location</v>
      </c>
    </row>
    <row r="2437" spans="1:40" x14ac:dyDescent="0.3">
      <c r="A2437" s="1">
        <v>46210.717592592591</v>
      </c>
      <c r="B2437" t="s">
        <v>40</v>
      </c>
      <c r="C2437" t="s">
        <v>41</v>
      </c>
      <c r="D2437" s="1">
        <v>46210.720833333333</v>
      </c>
      <c r="E2437" t="s">
        <v>42</v>
      </c>
      <c r="F2437" t="s">
        <v>83</v>
      </c>
      <c r="G2437">
        <v>33</v>
      </c>
      <c r="H2437">
        <v>33179</v>
      </c>
      <c r="I2437" t="s">
        <v>1257</v>
      </c>
      <c r="J2437">
        <v>54</v>
      </c>
      <c r="K2437">
        <v>146</v>
      </c>
      <c r="L2437">
        <v>98</v>
      </c>
      <c r="M2437">
        <v>619.90002441000001</v>
      </c>
      <c r="N2437" t="s">
        <v>87</v>
      </c>
      <c r="O2437" t="s">
        <v>86</v>
      </c>
      <c r="P2437">
        <v>130</v>
      </c>
      <c r="Q2437">
        <v>5</v>
      </c>
      <c r="R2437">
        <v>76</v>
      </c>
      <c r="S2437">
        <v>1489</v>
      </c>
      <c r="T2437">
        <v>-40</v>
      </c>
      <c r="U2437">
        <v>52</v>
      </c>
      <c r="V2437">
        <v>520</v>
      </c>
      <c r="W2437">
        <v>28</v>
      </c>
      <c r="X2437">
        <v>28</v>
      </c>
      <c r="Y2437">
        <v>1</v>
      </c>
      <c r="Z2437">
        <v>8</v>
      </c>
      <c r="AA2437">
        <v>24</v>
      </c>
      <c r="AB2437">
        <v>2</v>
      </c>
      <c r="AC2437">
        <v>4</v>
      </c>
      <c r="AD2437">
        <v>3.2400000100000002</v>
      </c>
      <c r="AE2437">
        <v>1</v>
      </c>
      <c r="AF2437">
        <v>42</v>
      </c>
      <c r="AG2437">
        <v>3.22600007</v>
      </c>
      <c r="AH2437">
        <v>4</v>
      </c>
      <c r="AI2437">
        <v>17</v>
      </c>
      <c r="AJ2437">
        <v>1</v>
      </c>
      <c r="AK2437">
        <v>19</v>
      </c>
      <c r="AL2437">
        <v>52</v>
      </c>
      <c r="AM2437" t="s">
        <v>43</v>
      </c>
      <c r="AN2437" t="str">
        <f>HYPERLINK("https://www.google.com/maps?q=10.84761047,79.11637878","Open Location")</f>
        <v>Open Location</v>
      </c>
    </row>
    <row r="2438" spans="1:40" x14ac:dyDescent="0.3">
      <c r="A2438" s="1">
        <v>46210.717476851853</v>
      </c>
      <c r="B2438" t="s">
        <v>40</v>
      </c>
      <c r="C2438" t="s">
        <v>41</v>
      </c>
      <c r="D2438" s="1">
        <v>46210.72047453704</v>
      </c>
      <c r="E2438" t="s">
        <v>42</v>
      </c>
      <c r="F2438" t="s">
        <v>83</v>
      </c>
      <c r="G2438">
        <v>31</v>
      </c>
      <c r="H2438" t="s">
        <v>43</v>
      </c>
      <c r="I2438" t="s">
        <v>1258</v>
      </c>
      <c r="J2438">
        <v>54</v>
      </c>
      <c r="K2438">
        <v>173</v>
      </c>
      <c r="L2438">
        <v>98</v>
      </c>
      <c r="M2438">
        <v>619.29998779000005</v>
      </c>
      <c r="N2438" t="s">
        <v>87</v>
      </c>
      <c r="O2438" t="s">
        <v>86</v>
      </c>
      <c r="P2438">
        <v>130</v>
      </c>
      <c r="Q2438">
        <v>5</v>
      </c>
      <c r="R2438">
        <v>98</v>
      </c>
      <c r="S2438">
        <v>1318</v>
      </c>
      <c r="T2438">
        <v>-40</v>
      </c>
      <c r="U2438">
        <v>53</v>
      </c>
      <c r="V2438">
        <v>710</v>
      </c>
      <c r="W2438">
        <v>28</v>
      </c>
      <c r="X2438">
        <v>28</v>
      </c>
      <c r="Y2438">
        <v>1</v>
      </c>
      <c r="Z2438">
        <v>8</v>
      </c>
      <c r="AA2438">
        <v>24</v>
      </c>
      <c r="AB2438">
        <v>2</v>
      </c>
      <c r="AC2438">
        <v>4</v>
      </c>
      <c r="AD2438">
        <v>3.23799992</v>
      </c>
      <c r="AE2438">
        <v>1</v>
      </c>
      <c r="AF2438">
        <v>44</v>
      </c>
      <c r="AG2438">
        <v>3.2219998799999998</v>
      </c>
      <c r="AH2438">
        <v>7</v>
      </c>
      <c r="AI2438">
        <v>19</v>
      </c>
      <c r="AJ2438" t="s">
        <v>43</v>
      </c>
      <c r="AK2438" t="s">
        <v>43</v>
      </c>
      <c r="AL2438">
        <v>52</v>
      </c>
      <c r="AM2438" t="s">
        <v>43</v>
      </c>
      <c r="AN2438" t="str">
        <f>HYPERLINK("https://www.google.com/maps?q=10.84671307,79.11672211","Open Location")</f>
        <v>Open Location</v>
      </c>
    </row>
    <row r="2439" spans="1:40" x14ac:dyDescent="0.3">
      <c r="A2439" s="1">
        <v>46210.717361111114</v>
      </c>
      <c r="B2439" t="s">
        <v>40</v>
      </c>
      <c r="C2439" t="s">
        <v>41</v>
      </c>
      <c r="D2439" s="1">
        <v>46210.720173611109</v>
      </c>
      <c r="E2439" t="s">
        <v>42</v>
      </c>
      <c r="F2439" t="s">
        <v>83</v>
      </c>
      <c r="G2439">
        <v>28</v>
      </c>
      <c r="H2439">
        <v>33179</v>
      </c>
      <c r="I2439" t="s">
        <v>1259</v>
      </c>
      <c r="J2439">
        <v>54</v>
      </c>
      <c r="K2439">
        <v>-145</v>
      </c>
      <c r="L2439">
        <v>98</v>
      </c>
      <c r="M2439">
        <v>632.70001220999995</v>
      </c>
      <c r="N2439" t="s">
        <v>87</v>
      </c>
      <c r="O2439" t="s">
        <v>86</v>
      </c>
      <c r="P2439">
        <v>131</v>
      </c>
      <c r="Q2439">
        <v>6</v>
      </c>
      <c r="R2439">
        <v>-25</v>
      </c>
      <c r="S2439">
        <v>1029</v>
      </c>
      <c r="T2439">
        <v>-40</v>
      </c>
      <c r="U2439">
        <v>52</v>
      </c>
      <c r="V2439">
        <v>-970</v>
      </c>
      <c r="W2439">
        <v>28</v>
      </c>
      <c r="X2439">
        <v>28</v>
      </c>
      <c r="Y2439">
        <v>1</v>
      </c>
      <c r="Z2439">
        <v>8</v>
      </c>
      <c r="AA2439">
        <v>24</v>
      </c>
      <c r="AB2439">
        <v>2</v>
      </c>
      <c r="AC2439">
        <v>4</v>
      </c>
      <c r="AD2439">
        <v>3.2990000199999998</v>
      </c>
      <c r="AE2439">
        <v>4</v>
      </c>
      <c r="AF2439">
        <v>24</v>
      </c>
      <c r="AG2439">
        <v>3.2909998900000001</v>
      </c>
      <c r="AH2439">
        <v>6</v>
      </c>
      <c r="AI2439">
        <v>12</v>
      </c>
      <c r="AJ2439">
        <v>1</v>
      </c>
      <c r="AK2439">
        <v>20</v>
      </c>
      <c r="AL2439">
        <v>52</v>
      </c>
      <c r="AM2439" t="s">
        <v>43</v>
      </c>
      <c r="AN2439" t="str">
        <f>HYPERLINK("https://www.google.com/maps?q=10.84594536,79.11721039","Open Location")</f>
        <v>Open Location</v>
      </c>
    </row>
    <row r="2440" spans="1:40" x14ac:dyDescent="0.3">
      <c r="A2440" s="1">
        <v>46210.717245370368</v>
      </c>
      <c r="B2440" t="s">
        <v>40</v>
      </c>
      <c r="C2440" t="s">
        <v>41</v>
      </c>
      <c r="D2440" s="1">
        <v>46210.720185185186</v>
      </c>
      <c r="E2440" t="s">
        <v>42</v>
      </c>
      <c r="F2440" t="s">
        <v>83</v>
      </c>
      <c r="G2440">
        <v>40</v>
      </c>
      <c r="H2440">
        <v>33179</v>
      </c>
      <c r="I2440" t="s">
        <v>1260</v>
      </c>
      <c r="J2440">
        <v>54</v>
      </c>
      <c r="K2440">
        <v>124</v>
      </c>
      <c r="L2440">
        <v>98</v>
      </c>
      <c r="M2440">
        <v>619.70001220999995</v>
      </c>
      <c r="N2440" t="s">
        <v>87</v>
      </c>
      <c r="O2440" t="s">
        <v>86</v>
      </c>
      <c r="P2440">
        <v>131</v>
      </c>
      <c r="Q2440">
        <v>6</v>
      </c>
      <c r="R2440">
        <v>-35</v>
      </c>
      <c r="S2440">
        <v>1111</v>
      </c>
      <c r="T2440">
        <v>-40</v>
      </c>
      <c r="U2440">
        <v>52</v>
      </c>
      <c r="V2440">
        <v>560</v>
      </c>
      <c r="W2440">
        <v>28</v>
      </c>
      <c r="X2440">
        <v>28</v>
      </c>
      <c r="Y2440">
        <v>1</v>
      </c>
      <c r="Z2440">
        <v>8</v>
      </c>
      <c r="AA2440">
        <v>24</v>
      </c>
      <c r="AB2440">
        <v>2</v>
      </c>
      <c r="AC2440">
        <v>4</v>
      </c>
      <c r="AD2440">
        <v>3.2390000799999998</v>
      </c>
      <c r="AE2440">
        <v>1</v>
      </c>
      <c r="AF2440">
        <v>38</v>
      </c>
      <c r="AG2440">
        <v>3.22600007</v>
      </c>
      <c r="AH2440">
        <v>4</v>
      </c>
      <c r="AI2440">
        <v>17</v>
      </c>
      <c r="AJ2440">
        <v>1</v>
      </c>
      <c r="AK2440">
        <v>19</v>
      </c>
      <c r="AL2440">
        <v>52</v>
      </c>
      <c r="AM2440" t="s">
        <v>43</v>
      </c>
      <c r="AN2440" t="str">
        <f>HYPERLINK("https://www.google.com/maps?q=10.8449707,79.11791229","Open Location")</f>
        <v>Open Location</v>
      </c>
    </row>
    <row r="2441" spans="1:40" x14ac:dyDescent="0.3">
      <c r="A2441" s="1">
        <v>46210.717129629629</v>
      </c>
      <c r="B2441" t="s">
        <v>40</v>
      </c>
      <c r="C2441" t="s">
        <v>41</v>
      </c>
      <c r="D2441" s="1">
        <v>46210.719965277778</v>
      </c>
      <c r="E2441" t="s">
        <v>42</v>
      </c>
      <c r="F2441" t="s">
        <v>83</v>
      </c>
      <c r="G2441">
        <v>40</v>
      </c>
      <c r="H2441">
        <v>33179</v>
      </c>
      <c r="I2441" t="s">
        <v>43</v>
      </c>
      <c r="J2441">
        <v>54</v>
      </c>
      <c r="K2441">
        <v>89</v>
      </c>
      <c r="L2441">
        <v>98</v>
      </c>
      <c r="M2441">
        <v>621.20001220999995</v>
      </c>
      <c r="N2441" t="s">
        <v>87</v>
      </c>
      <c r="O2441" t="s">
        <v>86</v>
      </c>
      <c r="P2441">
        <v>131</v>
      </c>
      <c r="Q2441">
        <v>5</v>
      </c>
      <c r="R2441">
        <v>28</v>
      </c>
      <c r="S2441">
        <v>1807</v>
      </c>
      <c r="T2441">
        <v>-40</v>
      </c>
      <c r="U2441">
        <v>50</v>
      </c>
      <c r="V2441">
        <v>280</v>
      </c>
      <c r="W2441">
        <v>28</v>
      </c>
      <c r="X2441">
        <v>28</v>
      </c>
      <c r="Y2441">
        <v>1</v>
      </c>
      <c r="Z2441">
        <v>8</v>
      </c>
      <c r="AA2441">
        <v>24</v>
      </c>
      <c r="AB2441">
        <v>2</v>
      </c>
      <c r="AC2441">
        <v>4</v>
      </c>
      <c r="AD2441">
        <v>3.2479999099999999</v>
      </c>
      <c r="AE2441">
        <v>1</v>
      </c>
      <c r="AF2441">
        <v>41</v>
      </c>
      <c r="AG2441">
        <v>3.2369999900000002</v>
      </c>
      <c r="AH2441">
        <v>4</v>
      </c>
      <c r="AI2441">
        <v>17</v>
      </c>
      <c r="AJ2441">
        <v>1</v>
      </c>
      <c r="AK2441">
        <v>19</v>
      </c>
      <c r="AL2441">
        <v>52</v>
      </c>
      <c r="AM2441" t="s">
        <v>43</v>
      </c>
      <c r="AN2441" t="s">
        <v>43</v>
      </c>
    </row>
    <row r="2442" spans="1:40" x14ac:dyDescent="0.3">
      <c r="A2442" s="1">
        <v>46210.717013888891</v>
      </c>
      <c r="B2442" t="s">
        <v>40</v>
      </c>
      <c r="C2442" t="s">
        <v>41</v>
      </c>
      <c r="D2442" s="1">
        <v>46210.720081018517</v>
      </c>
      <c r="E2442" t="s">
        <v>42</v>
      </c>
      <c r="F2442" t="s">
        <v>83</v>
      </c>
      <c r="G2442">
        <v>39</v>
      </c>
      <c r="H2442">
        <v>33179</v>
      </c>
      <c r="I2442" t="s">
        <v>43</v>
      </c>
      <c r="J2442">
        <v>54</v>
      </c>
      <c r="K2442">
        <v>114</v>
      </c>
      <c r="L2442">
        <v>98</v>
      </c>
      <c r="M2442">
        <v>620.20001220999995</v>
      </c>
      <c r="N2442" t="s">
        <v>87</v>
      </c>
      <c r="O2442" t="s">
        <v>86</v>
      </c>
      <c r="P2442">
        <v>130</v>
      </c>
      <c r="Q2442">
        <v>5</v>
      </c>
      <c r="R2442">
        <v>62</v>
      </c>
      <c r="S2442">
        <v>1713</v>
      </c>
      <c r="T2442">
        <v>-40</v>
      </c>
      <c r="U2442">
        <v>52</v>
      </c>
      <c r="V2442">
        <v>380</v>
      </c>
      <c r="W2442">
        <v>28</v>
      </c>
      <c r="X2442">
        <v>28</v>
      </c>
      <c r="Y2442">
        <v>1</v>
      </c>
      <c r="Z2442">
        <v>8</v>
      </c>
      <c r="AA2442">
        <v>24</v>
      </c>
      <c r="AB2442">
        <v>2</v>
      </c>
      <c r="AC2442">
        <v>4</v>
      </c>
      <c r="AD2442">
        <v>3.2420000999999998</v>
      </c>
      <c r="AE2442">
        <v>1</v>
      </c>
      <c r="AF2442">
        <v>42</v>
      </c>
      <c r="AG2442">
        <v>3.2300000199999999</v>
      </c>
      <c r="AH2442">
        <v>4</v>
      </c>
      <c r="AI2442">
        <v>17</v>
      </c>
      <c r="AJ2442">
        <v>1</v>
      </c>
      <c r="AK2442">
        <v>19</v>
      </c>
      <c r="AL2442">
        <v>52</v>
      </c>
      <c r="AM2442" t="s">
        <v>43</v>
      </c>
      <c r="AN2442" t="s">
        <v>43</v>
      </c>
    </row>
    <row r="2443" spans="1:40" x14ac:dyDescent="0.3">
      <c r="A2443" s="1">
        <v>46210.716898148145</v>
      </c>
      <c r="B2443" t="s">
        <v>40</v>
      </c>
      <c r="C2443" t="s">
        <v>41</v>
      </c>
      <c r="D2443" s="1">
        <v>46210.720034722224</v>
      </c>
      <c r="E2443" t="s">
        <v>42</v>
      </c>
      <c r="F2443" t="s">
        <v>83</v>
      </c>
      <c r="G2443">
        <v>37</v>
      </c>
      <c r="H2443">
        <v>33178</v>
      </c>
      <c r="I2443" t="s">
        <v>1261</v>
      </c>
      <c r="J2443">
        <v>54</v>
      </c>
      <c r="K2443">
        <v>148</v>
      </c>
      <c r="L2443">
        <v>98</v>
      </c>
      <c r="M2443">
        <v>618.40002441000001</v>
      </c>
      <c r="N2443" t="s">
        <v>87</v>
      </c>
      <c r="O2443" t="s">
        <v>86</v>
      </c>
      <c r="P2443">
        <v>130</v>
      </c>
      <c r="Q2443">
        <v>5</v>
      </c>
      <c r="R2443">
        <v>84</v>
      </c>
      <c r="S2443">
        <v>1571</v>
      </c>
      <c r="T2443">
        <v>-40</v>
      </c>
      <c r="U2443">
        <v>53</v>
      </c>
      <c r="V2443">
        <v>520</v>
      </c>
      <c r="W2443">
        <v>28</v>
      </c>
      <c r="X2443">
        <v>28</v>
      </c>
      <c r="Y2443">
        <v>1</v>
      </c>
      <c r="Z2443">
        <v>8</v>
      </c>
      <c r="AA2443">
        <v>24</v>
      </c>
      <c r="AB2443">
        <v>2</v>
      </c>
      <c r="AC2443">
        <v>4</v>
      </c>
      <c r="AD2443">
        <v>3.2300000199999999</v>
      </c>
      <c r="AE2443">
        <v>1</v>
      </c>
      <c r="AF2443">
        <v>38</v>
      </c>
      <c r="AG2443">
        <v>3.2130000600000002</v>
      </c>
      <c r="AH2443">
        <v>8</v>
      </c>
      <c r="AI2443">
        <v>35</v>
      </c>
      <c r="AJ2443">
        <v>1</v>
      </c>
      <c r="AK2443">
        <v>19</v>
      </c>
      <c r="AL2443">
        <v>52</v>
      </c>
      <c r="AM2443" t="s">
        <v>43</v>
      </c>
      <c r="AN2443" t="str">
        <f>HYPERLINK("https://www.google.com/maps?q=10.84331989,79.1195755","Open Location")</f>
        <v>Open Location</v>
      </c>
    </row>
    <row r="2444" spans="1:40" x14ac:dyDescent="0.3">
      <c r="A2444" s="1">
        <v>46210.716782407406</v>
      </c>
      <c r="B2444" t="s">
        <v>40</v>
      </c>
      <c r="C2444" t="s">
        <v>41</v>
      </c>
      <c r="D2444" s="1">
        <v>46210.719618055555</v>
      </c>
      <c r="E2444" t="s">
        <v>42</v>
      </c>
      <c r="F2444" t="s">
        <v>83</v>
      </c>
      <c r="G2444">
        <v>30</v>
      </c>
      <c r="H2444">
        <v>33178</v>
      </c>
      <c r="I2444" t="s">
        <v>1262</v>
      </c>
      <c r="J2444">
        <v>54</v>
      </c>
      <c r="K2444">
        <v>105</v>
      </c>
      <c r="L2444">
        <v>98</v>
      </c>
      <c r="M2444">
        <v>620.79998779000005</v>
      </c>
      <c r="N2444" t="s">
        <v>87</v>
      </c>
      <c r="O2444" t="s">
        <v>86</v>
      </c>
      <c r="P2444">
        <v>130</v>
      </c>
      <c r="Q2444">
        <v>5</v>
      </c>
      <c r="R2444">
        <v>99</v>
      </c>
      <c r="S2444">
        <v>1257</v>
      </c>
      <c r="T2444">
        <v>-40</v>
      </c>
      <c r="U2444">
        <v>53</v>
      </c>
      <c r="V2444">
        <v>432</v>
      </c>
      <c r="W2444">
        <v>28</v>
      </c>
      <c r="X2444">
        <v>28</v>
      </c>
      <c r="Y2444">
        <v>1</v>
      </c>
      <c r="Z2444">
        <v>8</v>
      </c>
      <c r="AA2444">
        <v>24</v>
      </c>
      <c r="AB2444">
        <v>2</v>
      </c>
      <c r="AC2444">
        <v>4</v>
      </c>
      <c r="AD2444">
        <v>3.24699998</v>
      </c>
      <c r="AE2444">
        <v>1</v>
      </c>
      <c r="AF2444">
        <v>44</v>
      </c>
      <c r="AG2444">
        <v>3.2349999</v>
      </c>
      <c r="AH2444">
        <v>4</v>
      </c>
      <c r="AI2444">
        <v>17</v>
      </c>
      <c r="AJ2444" t="s">
        <v>43</v>
      </c>
      <c r="AK2444" t="s">
        <v>43</v>
      </c>
      <c r="AL2444" t="s">
        <v>43</v>
      </c>
      <c r="AM2444" t="s">
        <v>43</v>
      </c>
      <c r="AN2444" t="str">
        <f>HYPERLINK("https://www.google.com/maps?q=10.84249401,79.12007141","Open Location")</f>
        <v>Open Location</v>
      </c>
    </row>
    <row r="2445" spans="1:40" x14ac:dyDescent="0.3">
      <c r="A2445" s="1">
        <v>46210.716666666667</v>
      </c>
      <c r="B2445" t="s">
        <v>40</v>
      </c>
      <c r="C2445" t="s">
        <v>41</v>
      </c>
      <c r="D2445" s="1">
        <v>46210.719942129632</v>
      </c>
      <c r="E2445" t="s">
        <v>42</v>
      </c>
      <c r="F2445" t="s">
        <v>83</v>
      </c>
      <c r="G2445">
        <v>28</v>
      </c>
      <c r="H2445" t="s">
        <v>43</v>
      </c>
      <c r="I2445" t="s">
        <v>1263</v>
      </c>
      <c r="J2445">
        <v>54</v>
      </c>
      <c r="K2445">
        <v>69</v>
      </c>
      <c r="L2445">
        <v>98</v>
      </c>
      <c r="M2445">
        <v>621.79998779000005</v>
      </c>
      <c r="N2445" t="s">
        <v>87</v>
      </c>
      <c r="O2445" t="s">
        <v>86</v>
      </c>
      <c r="P2445">
        <v>130</v>
      </c>
      <c r="Q2445">
        <v>5</v>
      </c>
      <c r="R2445">
        <v>13</v>
      </c>
      <c r="S2445">
        <v>1296</v>
      </c>
      <c r="T2445">
        <v>-40</v>
      </c>
      <c r="U2445">
        <v>52</v>
      </c>
      <c r="V2445">
        <v>300</v>
      </c>
      <c r="W2445">
        <v>28</v>
      </c>
      <c r="X2445">
        <v>28</v>
      </c>
      <c r="Y2445">
        <v>1</v>
      </c>
      <c r="Z2445">
        <v>8</v>
      </c>
      <c r="AA2445">
        <v>24</v>
      </c>
      <c r="AB2445">
        <v>2</v>
      </c>
      <c r="AC2445">
        <v>4</v>
      </c>
      <c r="AD2445">
        <v>3.2479999099999999</v>
      </c>
      <c r="AE2445">
        <v>1</v>
      </c>
      <c r="AF2445">
        <v>38</v>
      </c>
      <c r="AG2445">
        <v>3.2390000799999998</v>
      </c>
      <c r="AH2445">
        <v>4</v>
      </c>
      <c r="AI2445">
        <v>17</v>
      </c>
      <c r="AJ2445">
        <v>1</v>
      </c>
      <c r="AK2445">
        <v>19</v>
      </c>
      <c r="AL2445">
        <v>52</v>
      </c>
      <c r="AM2445" t="s">
        <v>43</v>
      </c>
      <c r="AN2445" t="str">
        <f>HYPERLINK("https://www.google.com/maps?q=10.84163666,79.12046051","Open Location")</f>
        <v>Open Location</v>
      </c>
    </row>
    <row r="2446" spans="1:40" x14ac:dyDescent="0.3">
      <c r="A2446" s="1">
        <v>46210.716550925928</v>
      </c>
      <c r="B2446" t="s">
        <v>40</v>
      </c>
      <c r="C2446" t="s">
        <v>41</v>
      </c>
      <c r="D2446" s="1">
        <v>46210.71947916667</v>
      </c>
      <c r="E2446" t="s">
        <v>42</v>
      </c>
      <c r="F2446" t="s">
        <v>83</v>
      </c>
      <c r="G2446">
        <v>29</v>
      </c>
      <c r="H2446">
        <v>33178</v>
      </c>
      <c r="I2446" t="s">
        <v>43</v>
      </c>
      <c r="J2446">
        <v>54</v>
      </c>
      <c r="K2446">
        <v>253</v>
      </c>
      <c r="L2446">
        <v>98</v>
      </c>
      <c r="M2446">
        <v>614.90002441000001</v>
      </c>
      <c r="N2446" t="s">
        <v>87</v>
      </c>
      <c r="O2446" t="s">
        <v>86</v>
      </c>
      <c r="P2446">
        <v>130</v>
      </c>
      <c r="Q2446">
        <v>5</v>
      </c>
      <c r="R2446">
        <v>146</v>
      </c>
      <c r="S2446">
        <v>1173</v>
      </c>
      <c r="T2446">
        <v>-40</v>
      </c>
      <c r="U2446">
        <v>57</v>
      </c>
      <c r="V2446">
        <v>1210</v>
      </c>
      <c r="W2446">
        <v>28</v>
      </c>
      <c r="X2446">
        <v>28</v>
      </c>
      <c r="Y2446">
        <v>1</v>
      </c>
      <c r="Z2446">
        <v>8</v>
      </c>
      <c r="AA2446">
        <v>24</v>
      </c>
      <c r="AB2446">
        <v>2</v>
      </c>
      <c r="AC2446">
        <v>4</v>
      </c>
      <c r="AD2446">
        <v>3.2209999599999999</v>
      </c>
      <c r="AE2446">
        <v>5</v>
      </c>
      <c r="AF2446">
        <v>38</v>
      </c>
      <c r="AG2446">
        <v>3.2019999000000001</v>
      </c>
      <c r="AH2446">
        <v>6</v>
      </c>
      <c r="AI2446">
        <v>24</v>
      </c>
      <c r="AJ2446">
        <v>1</v>
      </c>
      <c r="AK2446">
        <v>19</v>
      </c>
      <c r="AL2446">
        <v>52</v>
      </c>
      <c r="AM2446" t="s">
        <v>43</v>
      </c>
      <c r="AN2446" t="s">
        <v>43</v>
      </c>
    </row>
    <row r="2447" spans="1:40" x14ac:dyDescent="0.3">
      <c r="A2447" s="1">
        <v>46210.716435185182</v>
      </c>
      <c r="B2447" t="s">
        <v>40</v>
      </c>
      <c r="C2447" t="s">
        <v>41</v>
      </c>
      <c r="D2447" s="1">
        <v>46210.719270833331</v>
      </c>
      <c r="E2447" t="s">
        <v>42</v>
      </c>
      <c r="F2447" t="s">
        <v>83</v>
      </c>
      <c r="G2447">
        <v>22</v>
      </c>
      <c r="H2447">
        <v>33178</v>
      </c>
      <c r="I2447" t="s">
        <v>1264</v>
      </c>
      <c r="J2447">
        <v>54</v>
      </c>
      <c r="K2447">
        <v>192</v>
      </c>
      <c r="L2447">
        <v>98</v>
      </c>
      <c r="M2447">
        <v>618.79998779000005</v>
      </c>
      <c r="N2447" t="s">
        <v>87</v>
      </c>
      <c r="O2447" t="s">
        <v>86</v>
      </c>
      <c r="P2447">
        <v>129</v>
      </c>
      <c r="Q2447">
        <v>4</v>
      </c>
      <c r="R2447">
        <v>185</v>
      </c>
      <c r="S2447">
        <v>1119</v>
      </c>
      <c r="T2447">
        <v>-40</v>
      </c>
      <c r="U2447">
        <v>55</v>
      </c>
      <c r="V2447">
        <v>994</v>
      </c>
      <c r="W2447">
        <v>28</v>
      </c>
      <c r="X2447">
        <v>28</v>
      </c>
      <c r="Y2447">
        <v>1</v>
      </c>
      <c r="Z2447">
        <v>8</v>
      </c>
      <c r="AA2447">
        <v>24</v>
      </c>
      <c r="AB2447">
        <v>2</v>
      </c>
      <c r="AC2447">
        <v>4</v>
      </c>
      <c r="AD2447">
        <v>3.2360000599999998</v>
      </c>
      <c r="AE2447">
        <v>5</v>
      </c>
      <c r="AF2447">
        <v>38</v>
      </c>
      <c r="AG2447">
        <v>3.2160000800000001</v>
      </c>
      <c r="AH2447">
        <v>4</v>
      </c>
      <c r="AI2447">
        <v>17</v>
      </c>
      <c r="AJ2447">
        <v>1</v>
      </c>
      <c r="AK2447">
        <v>19</v>
      </c>
      <c r="AL2447">
        <v>52</v>
      </c>
      <c r="AM2447" t="s">
        <v>43</v>
      </c>
      <c r="AN2447" t="str">
        <f>HYPERLINK("https://www.google.com/maps?q=10.8408823,79.1207962","Open Location")</f>
        <v>Open Location</v>
      </c>
    </row>
    <row r="2448" spans="1:40" x14ac:dyDescent="0.3">
      <c r="A2448" s="1">
        <v>46210.716319444444</v>
      </c>
      <c r="B2448" t="s">
        <v>40</v>
      </c>
      <c r="C2448" t="s">
        <v>41</v>
      </c>
      <c r="D2448" s="1">
        <v>46210.719270833331</v>
      </c>
      <c r="E2448" t="s">
        <v>42</v>
      </c>
      <c r="F2448" t="s">
        <v>83</v>
      </c>
      <c r="G2448">
        <v>11</v>
      </c>
      <c r="H2448" t="s">
        <v>43</v>
      </c>
      <c r="I2448" t="s">
        <v>1265</v>
      </c>
      <c r="J2448">
        <v>54</v>
      </c>
      <c r="K2448">
        <v>94</v>
      </c>
      <c r="L2448">
        <v>98</v>
      </c>
      <c r="M2448">
        <v>623</v>
      </c>
      <c r="N2448" t="s">
        <v>87</v>
      </c>
      <c r="O2448" t="s">
        <v>86</v>
      </c>
      <c r="P2448">
        <v>128</v>
      </c>
      <c r="Q2448">
        <v>2</v>
      </c>
      <c r="R2448">
        <v>104</v>
      </c>
      <c r="S2448">
        <v>923</v>
      </c>
      <c r="T2448">
        <v>-40</v>
      </c>
      <c r="U2448">
        <v>52</v>
      </c>
      <c r="V2448">
        <v>520</v>
      </c>
      <c r="W2448">
        <v>28</v>
      </c>
      <c r="X2448">
        <v>28</v>
      </c>
      <c r="Y2448">
        <v>1</v>
      </c>
      <c r="Z2448">
        <v>8</v>
      </c>
      <c r="AA2448">
        <v>24</v>
      </c>
      <c r="AB2448">
        <v>2</v>
      </c>
      <c r="AC2448">
        <v>4</v>
      </c>
      <c r="AD2448">
        <v>3.25300002</v>
      </c>
      <c r="AE2448">
        <v>1</v>
      </c>
      <c r="AF2448">
        <v>38</v>
      </c>
      <c r="AG2448">
        <v>3.23799992</v>
      </c>
      <c r="AH2448">
        <v>4</v>
      </c>
      <c r="AI2448">
        <v>17</v>
      </c>
      <c r="AJ2448">
        <v>1</v>
      </c>
      <c r="AK2448">
        <v>19</v>
      </c>
      <c r="AL2448">
        <v>52</v>
      </c>
      <c r="AM2448" t="s">
        <v>43</v>
      </c>
      <c r="AN2448" t="str">
        <f>HYPERLINK("https://www.google.com/maps?q=10.84041786,79.12098694","Open Location")</f>
        <v>Open Location</v>
      </c>
    </row>
    <row r="2449" spans="1:40" x14ac:dyDescent="0.3">
      <c r="A2449" s="1">
        <v>46210.716203703705</v>
      </c>
      <c r="B2449" t="s">
        <v>40</v>
      </c>
      <c r="C2449" t="s">
        <v>41</v>
      </c>
      <c r="D2449" s="1">
        <v>46210.7190625</v>
      </c>
      <c r="E2449" t="s">
        <v>42</v>
      </c>
      <c r="F2449" t="s">
        <v>83</v>
      </c>
      <c r="G2449">
        <v>0</v>
      </c>
      <c r="H2449">
        <v>33178</v>
      </c>
      <c r="I2449" t="s">
        <v>1266</v>
      </c>
      <c r="J2449">
        <v>54</v>
      </c>
      <c r="K2449">
        <v>-25</v>
      </c>
      <c r="L2449">
        <v>98</v>
      </c>
      <c r="M2449">
        <v>629.40002441000001</v>
      </c>
      <c r="N2449" t="s">
        <v>85</v>
      </c>
      <c r="O2449" t="s">
        <v>86</v>
      </c>
      <c r="P2449">
        <v>127</v>
      </c>
      <c r="Q2449">
        <v>4</v>
      </c>
      <c r="R2449">
        <v>0</v>
      </c>
      <c r="S2449">
        <v>494</v>
      </c>
      <c r="T2449">
        <v>-40</v>
      </c>
      <c r="U2449">
        <v>51</v>
      </c>
      <c r="V2449">
        <v>-303</v>
      </c>
      <c r="W2449">
        <v>28</v>
      </c>
      <c r="X2449">
        <v>28</v>
      </c>
      <c r="Y2449">
        <v>1</v>
      </c>
      <c r="Z2449">
        <v>8</v>
      </c>
      <c r="AA2449">
        <v>24</v>
      </c>
      <c r="AB2449">
        <v>2</v>
      </c>
      <c r="AC2449">
        <v>4</v>
      </c>
      <c r="AD2449">
        <v>3.2820000600000001</v>
      </c>
      <c r="AE2449">
        <v>1</v>
      </c>
      <c r="AF2449">
        <v>46</v>
      </c>
      <c r="AG2449">
        <v>3.2730000000000001</v>
      </c>
      <c r="AH2449">
        <v>6</v>
      </c>
      <c r="AI2449">
        <v>17</v>
      </c>
      <c r="AJ2449">
        <v>1</v>
      </c>
      <c r="AK2449">
        <v>18</v>
      </c>
      <c r="AL2449">
        <v>52</v>
      </c>
      <c r="AM2449" t="s">
        <v>43</v>
      </c>
      <c r="AN2449" t="str">
        <f>HYPERLINK("https://www.google.com/maps?q=10.8402729,79.1210556","Open Location")</f>
        <v>Open Location</v>
      </c>
    </row>
    <row r="2450" spans="1:40" x14ac:dyDescent="0.3">
      <c r="A2450" s="1">
        <v>46210.716087962966</v>
      </c>
      <c r="B2450" t="s">
        <v>40</v>
      </c>
      <c r="C2450" t="s">
        <v>41</v>
      </c>
      <c r="D2450" s="1">
        <v>46210.719224537039</v>
      </c>
      <c r="E2450" t="s">
        <v>42</v>
      </c>
      <c r="F2450" t="s">
        <v>83</v>
      </c>
      <c r="G2450">
        <v>27</v>
      </c>
      <c r="H2450">
        <v>33178</v>
      </c>
      <c r="I2450" t="s">
        <v>1267</v>
      </c>
      <c r="J2450">
        <v>54</v>
      </c>
      <c r="K2450">
        <v>48</v>
      </c>
      <c r="L2450">
        <v>98</v>
      </c>
      <c r="M2450">
        <v>626</v>
      </c>
      <c r="N2450" t="s">
        <v>87</v>
      </c>
      <c r="O2450" t="s">
        <v>86</v>
      </c>
      <c r="P2450">
        <v>131</v>
      </c>
      <c r="Q2450">
        <v>6</v>
      </c>
      <c r="R2450">
        <v>-68</v>
      </c>
      <c r="S2450">
        <v>1082</v>
      </c>
      <c r="T2450">
        <v>-40</v>
      </c>
      <c r="U2450">
        <v>53</v>
      </c>
      <c r="V2450">
        <v>320</v>
      </c>
      <c r="W2450">
        <v>28</v>
      </c>
      <c r="X2450">
        <v>28</v>
      </c>
      <c r="Y2450">
        <v>1</v>
      </c>
      <c r="Z2450">
        <v>8</v>
      </c>
      <c r="AA2450">
        <v>24</v>
      </c>
      <c r="AB2450">
        <v>2</v>
      </c>
      <c r="AC2450">
        <v>4</v>
      </c>
      <c r="AD2450">
        <v>3.2669999600000001</v>
      </c>
      <c r="AE2450">
        <v>1</v>
      </c>
      <c r="AF2450">
        <v>41</v>
      </c>
      <c r="AG2450">
        <v>3.2630000099999998</v>
      </c>
      <c r="AH2450">
        <v>1</v>
      </c>
      <c r="AI2450">
        <v>15</v>
      </c>
      <c r="AJ2450" t="s">
        <v>43</v>
      </c>
      <c r="AK2450" t="s">
        <v>43</v>
      </c>
      <c r="AL2450">
        <v>52</v>
      </c>
      <c r="AM2450" t="s">
        <v>43</v>
      </c>
      <c r="AN2450" t="str">
        <f>HYPERLINK("https://www.google.com/maps?q=10.83962154,79.12143707","Open Location")</f>
        <v>Open Location</v>
      </c>
    </row>
    <row r="2451" spans="1:40" x14ac:dyDescent="0.3">
      <c r="A2451" s="1">
        <v>46210.71597222222</v>
      </c>
      <c r="B2451" t="s">
        <v>40</v>
      </c>
      <c r="C2451" t="s">
        <v>41</v>
      </c>
      <c r="D2451" s="1">
        <v>46210.7190162037</v>
      </c>
      <c r="E2451" t="s">
        <v>42</v>
      </c>
      <c r="F2451" t="s">
        <v>83</v>
      </c>
      <c r="G2451">
        <v>39</v>
      </c>
      <c r="H2451">
        <v>33178</v>
      </c>
      <c r="I2451" t="s">
        <v>1268</v>
      </c>
      <c r="J2451">
        <v>54</v>
      </c>
      <c r="K2451">
        <v>147</v>
      </c>
      <c r="L2451">
        <v>98</v>
      </c>
      <c r="M2451">
        <v>620.09997558999999</v>
      </c>
      <c r="N2451" t="s">
        <v>87</v>
      </c>
      <c r="O2451" t="s">
        <v>86</v>
      </c>
      <c r="P2451">
        <v>131</v>
      </c>
      <c r="Q2451">
        <v>5</v>
      </c>
      <c r="R2451">
        <v>48</v>
      </c>
      <c r="S2451">
        <v>1802</v>
      </c>
      <c r="T2451">
        <v>-40</v>
      </c>
      <c r="U2451">
        <v>51</v>
      </c>
      <c r="V2451">
        <v>460</v>
      </c>
      <c r="W2451">
        <v>28</v>
      </c>
      <c r="X2451">
        <v>28</v>
      </c>
      <c r="Y2451">
        <v>1</v>
      </c>
      <c r="Z2451">
        <v>8</v>
      </c>
      <c r="AA2451">
        <v>24</v>
      </c>
      <c r="AB2451">
        <v>2</v>
      </c>
      <c r="AC2451">
        <v>4</v>
      </c>
      <c r="AD2451">
        <v>3.2400000100000002</v>
      </c>
      <c r="AE2451">
        <v>1</v>
      </c>
      <c r="AF2451">
        <v>41</v>
      </c>
      <c r="AG2451">
        <v>3.2269999999999999</v>
      </c>
      <c r="AH2451">
        <v>4</v>
      </c>
      <c r="AI2451">
        <v>17</v>
      </c>
      <c r="AJ2451">
        <v>1</v>
      </c>
      <c r="AK2451">
        <v>17</v>
      </c>
      <c r="AL2451">
        <v>52</v>
      </c>
      <c r="AM2451" t="s">
        <v>43</v>
      </c>
      <c r="AN2451" t="str">
        <f>HYPERLINK("https://www.google.com/maps?q=10.83865261,79.12214661","Open Location")</f>
        <v>Open Location</v>
      </c>
    </row>
    <row r="2452" spans="1:40" x14ac:dyDescent="0.3">
      <c r="A2452" s="1">
        <v>46210.715856481482</v>
      </c>
      <c r="B2452" t="s">
        <v>40</v>
      </c>
      <c r="C2452" t="s">
        <v>41</v>
      </c>
      <c r="D2452" s="1">
        <v>46210.718715277777</v>
      </c>
      <c r="E2452" t="s">
        <v>42</v>
      </c>
      <c r="F2452" t="s">
        <v>83</v>
      </c>
      <c r="G2452">
        <v>38</v>
      </c>
      <c r="H2452">
        <v>33178</v>
      </c>
      <c r="I2452" t="s">
        <v>43</v>
      </c>
      <c r="J2452">
        <v>54</v>
      </c>
      <c r="K2452">
        <v>88</v>
      </c>
      <c r="L2452">
        <v>98</v>
      </c>
      <c r="M2452">
        <v>622.90002441000001</v>
      </c>
      <c r="N2452" t="s">
        <v>87</v>
      </c>
      <c r="O2452" t="s">
        <v>86</v>
      </c>
      <c r="P2452">
        <v>130</v>
      </c>
      <c r="Q2452">
        <v>5</v>
      </c>
      <c r="R2452">
        <v>51</v>
      </c>
      <c r="S2452">
        <v>1757</v>
      </c>
      <c r="T2452">
        <v>-40</v>
      </c>
      <c r="U2452">
        <v>51</v>
      </c>
      <c r="V2452">
        <v>280</v>
      </c>
      <c r="W2452">
        <v>28</v>
      </c>
      <c r="X2452">
        <v>28</v>
      </c>
      <c r="Y2452">
        <v>1</v>
      </c>
      <c r="Z2452">
        <v>8</v>
      </c>
      <c r="AA2452">
        <v>24</v>
      </c>
      <c r="AB2452">
        <v>2</v>
      </c>
      <c r="AC2452">
        <v>4</v>
      </c>
      <c r="AD2452">
        <v>3.2520000900000001</v>
      </c>
      <c r="AE2452">
        <v>1</v>
      </c>
      <c r="AF2452">
        <v>38</v>
      </c>
      <c r="AG2452">
        <v>3.2430000300000001</v>
      </c>
      <c r="AH2452">
        <v>4</v>
      </c>
      <c r="AI2452">
        <v>17</v>
      </c>
      <c r="AJ2452">
        <v>1</v>
      </c>
      <c r="AK2452">
        <v>17</v>
      </c>
      <c r="AL2452">
        <v>52</v>
      </c>
      <c r="AM2452" t="s">
        <v>43</v>
      </c>
      <c r="AN2452" t="s">
        <v>43</v>
      </c>
    </row>
    <row r="2453" spans="1:40" x14ac:dyDescent="0.3">
      <c r="A2453" s="1">
        <v>46210.715740740743</v>
      </c>
      <c r="B2453" t="s">
        <v>40</v>
      </c>
      <c r="C2453" t="s">
        <v>41</v>
      </c>
      <c r="D2453" s="1">
        <v>46210.718738425923</v>
      </c>
      <c r="E2453" t="s">
        <v>42</v>
      </c>
      <c r="F2453" t="s">
        <v>83</v>
      </c>
      <c r="G2453">
        <v>38</v>
      </c>
      <c r="H2453">
        <v>33178</v>
      </c>
      <c r="I2453" t="s">
        <v>1269</v>
      </c>
      <c r="J2453">
        <v>55</v>
      </c>
      <c r="K2453">
        <v>88</v>
      </c>
      <c r="L2453">
        <v>98</v>
      </c>
      <c r="M2453">
        <v>622.90002441000001</v>
      </c>
      <c r="N2453" t="s">
        <v>87</v>
      </c>
      <c r="O2453" t="s">
        <v>86</v>
      </c>
      <c r="P2453">
        <v>130</v>
      </c>
      <c r="Q2453">
        <v>5</v>
      </c>
      <c r="R2453">
        <v>61</v>
      </c>
      <c r="S2453">
        <v>1638</v>
      </c>
      <c r="T2453">
        <v>-40</v>
      </c>
      <c r="U2453">
        <v>51</v>
      </c>
      <c r="V2453">
        <v>300</v>
      </c>
      <c r="W2453">
        <v>28</v>
      </c>
      <c r="X2453">
        <v>28</v>
      </c>
      <c r="Y2453">
        <v>1</v>
      </c>
      <c r="Z2453">
        <v>8</v>
      </c>
      <c r="AA2453">
        <v>24</v>
      </c>
      <c r="AB2453">
        <v>2</v>
      </c>
      <c r="AC2453">
        <v>4</v>
      </c>
      <c r="AD2453">
        <v>3.2520000900000001</v>
      </c>
      <c r="AE2453">
        <v>1</v>
      </c>
      <c r="AF2453">
        <v>38</v>
      </c>
      <c r="AG2453">
        <v>3.2430000300000001</v>
      </c>
      <c r="AH2453">
        <v>4</v>
      </c>
      <c r="AI2453">
        <v>17</v>
      </c>
      <c r="AJ2453">
        <v>1</v>
      </c>
      <c r="AK2453">
        <v>18</v>
      </c>
      <c r="AL2453">
        <v>52</v>
      </c>
      <c r="AM2453" t="s">
        <v>43</v>
      </c>
      <c r="AN2453" t="str">
        <f>HYPERLINK("https://www.google.com/maps?q=10.8375206,79.12272644","Open Location")</f>
        <v>Open Location</v>
      </c>
    </row>
    <row r="2454" spans="1:40" x14ac:dyDescent="0.3">
      <c r="A2454" s="1">
        <v>46210.715624999997</v>
      </c>
      <c r="B2454" t="s">
        <v>40</v>
      </c>
      <c r="C2454" t="s">
        <v>41</v>
      </c>
      <c r="D2454" s="1">
        <v>46210.718414351853</v>
      </c>
      <c r="E2454" t="s">
        <v>42</v>
      </c>
      <c r="F2454" t="s">
        <v>83</v>
      </c>
      <c r="G2454">
        <v>36</v>
      </c>
      <c r="H2454">
        <v>33178</v>
      </c>
      <c r="I2454" t="s">
        <v>1270</v>
      </c>
      <c r="J2454">
        <v>55</v>
      </c>
      <c r="K2454">
        <v>139</v>
      </c>
      <c r="L2454">
        <v>98</v>
      </c>
      <c r="M2454">
        <v>620.40002441000001</v>
      </c>
      <c r="N2454" t="s">
        <v>87</v>
      </c>
      <c r="O2454" t="s">
        <v>86</v>
      </c>
      <c r="P2454">
        <v>130</v>
      </c>
      <c r="Q2454">
        <v>5</v>
      </c>
      <c r="R2454">
        <v>30</v>
      </c>
      <c r="S2454">
        <v>1683</v>
      </c>
      <c r="T2454">
        <v>-40</v>
      </c>
      <c r="U2454">
        <v>51</v>
      </c>
      <c r="V2454">
        <v>460</v>
      </c>
      <c r="W2454">
        <v>28</v>
      </c>
      <c r="X2454">
        <v>28</v>
      </c>
      <c r="Y2454">
        <v>1</v>
      </c>
      <c r="Z2454">
        <v>8</v>
      </c>
      <c r="AA2454">
        <v>24</v>
      </c>
      <c r="AB2454">
        <v>2</v>
      </c>
      <c r="AC2454">
        <v>4</v>
      </c>
      <c r="AD2454">
        <v>3.2420000999999998</v>
      </c>
      <c r="AE2454">
        <v>1</v>
      </c>
      <c r="AF2454">
        <v>38</v>
      </c>
      <c r="AG2454">
        <v>3.22900009</v>
      </c>
      <c r="AH2454">
        <v>4</v>
      </c>
      <c r="AI2454">
        <v>17</v>
      </c>
      <c r="AJ2454">
        <v>1</v>
      </c>
      <c r="AK2454">
        <v>17</v>
      </c>
      <c r="AL2454">
        <v>52</v>
      </c>
      <c r="AM2454" t="s">
        <v>43</v>
      </c>
      <c r="AN2454" t="str">
        <f>HYPERLINK("https://www.google.com/maps?q=10.83650875,79.1231842","Open Location")</f>
        <v>Open Location</v>
      </c>
    </row>
    <row r="2455" spans="1:40" x14ac:dyDescent="0.3">
      <c r="A2455" s="1">
        <v>46210.715509259258</v>
      </c>
      <c r="B2455" t="s">
        <v>40</v>
      </c>
      <c r="C2455" t="s">
        <v>41</v>
      </c>
      <c r="D2455" s="1">
        <v>46210.718472222223</v>
      </c>
      <c r="E2455" t="s">
        <v>42</v>
      </c>
      <c r="F2455" t="s">
        <v>83</v>
      </c>
      <c r="G2455">
        <v>38</v>
      </c>
      <c r="H2455">
        <v>33177</v>
      </c>
      <c r="I2455" t="s">
        <v>1271</v>
      </c>
      <c r="J2455">
        <v>55</v>
      </c>
      <c r="K2455">
        <v>97</v>
      </c>
      <c r="L2455">
        <v>98</v>
      </c>
      <c r="M2455">
        <v>622.79998779000005</v>
      </c>
      <c r="N2455" t="s">
        <v>87</v>
      </c>
      <c r="O2455" t="s">
        <v>86</v>
      </c>
      <c r="P2455">
        <v>130</v>
      </c>
      <c r="Q2455">
        <v>5</v>
      </c>
      <c r="R2455">
        <v>75</v>
      </c>
      <c r="S2455">
        <v>1656</v>
      </c>
      <c r="T2455">
        <v>-40</v>
      </c>
      <c r="U2455">
        <v>51</v>
      </c>
      <c r="V2455">
        <v>340</v>
      </c>
      <c r="W2455">
        <v>28</v>
      </c>
      <c r="X2455">
        <v>28</v>
      </c>
      <c r="Y2455">
        <v>1</v>
      </c>
      <c r="Z2455">
        <v>8</v>
      </c>
      <c r="AA2455">
        <v>24</v>
      </c>
      <c r="AB2455">
        <v>2</v>
      </c>
      <c r="AC2455">
        <v>4</v>
      </c>
      <c r="AD2455">
        <v>3.2539999499999999</v>
      </c>
      <c r="AE2455">
        <v>1</v>
      </c>
      <c r="AF2455">
        <v>38</v>
      </c>
      <c r="AG2455">
        <v>3.2449998899999999</v>
      </c>
      <c r="AH2455">
        <v>4</v>
      </c>
      <c r="AI2455">
        <v>17</v>
      </c>
      <c r="AJ2455">
        <v>1</v>
      </c>
      <c r="AK2455">
        <v>17</v>
      </c>
      <c r="AL2455">
        <v>52</v>
      </c>
      <c r="AM2455" t="s">
        <v>43</v>
      </c>
      <c r="AN2455" t="str">
        <f>HYPERLINK("https://www.google.com/maps?q=10.8355751,79.12381744","Open Location")</f>
        <v>Open Location</v>
      </c>
    </row>
    <row r="2456" spans="1:40" x14ac:dyDescent="0.3">
      <c r="A2456" s="1">
        <v>46210.71539351852</v>
      </c>
      <c r="B2456" t="s">
        <v>40</v>
      </c>
      <c r="C2456" t="s">
        <v>41</v>
      </c>
      <c r="D2456" s="1">
        <v>46210.718738425923</v>
      </c>
      <c r="E2456" t="s">
        <v>42</v>
      </c>
      <c r="F2456" t="s">
        <v>83</v>
      </c>
      <c r="G2456">
        <v>35</v>
      </c>
      <c r="H2456">
        <v>33177</v>
      </c>
      <c r="I2456" t="s">
        <v>1272</v>
      </c>
      <c r="J2456">
        <v>55</v>
      </c>
      <c r="K2456">
        <v>117</v>
      </c>
      <c r="L2456">
        <v>98</v>
      </c>
      <c r="M2456">
        <v>622</v>
      </c>
      <c r="N2456" t="s">
        <v>87</v>
      </c>
      <c r="O2456" t="s">
        <v>86</v>
      </c>
      <c r="P2456">
        <v>130</v>
      </c>
      <c r="Q2456">
        <v>5</v>
      </c>
      <c r="R2456">
        <v>54</v>
      </c>
      <c r="S2456">
        <v>1569</v>
      </c>
      <c r="T2456">
        <v>-40</v>
      </c>
      <c r="U2456">
        <v>51</v>
      </c>
      <c r="V2456">
        <v>400</v>
      </c>
      <c r="W2456">
        <v>28</v>
      </c>
      <c r="X2456">
        <v>28</v>
      </c>
      <c r="Y2456">
        <v>1</v>
      </c>
      <c r="Z2456">
        <v>8</v>
      </c>
      <c r="AA2456">
        <v>24</v>
      </c>
      <c r="AB2456">
        <v>2</v>
      </c>
      <c r="AC2456">
        <v>4</v>
      </c>
      <c r="AD2456">
        <v>3.2490000700000001</v>
      </c>
      <c r="AE2456">
        <v>5</v>
      </c>
      <c r="AF2456">
        <v>38</v>
      </c>
      <c r="AG2456">
        <v>3.2369999900000002</v>
      </c>
      <c r="AH2456">
        <v>4</v>
      </c>
      <c r="AI2456">
        <v>17</v>
      </c>
      <c r="AJ2456" t="s">
        <v>43</v>
      </c>
      <c r="AK2456" t="s">
        <v>43</v>
      </c>
      <c r="AL2456">
        <v>52</v>
      </c>
      <c r="AM2456" t="s">
        <v>43</v>
      </c>
      <c r="AN2456" t="str">
        <f>HYPERLINK("https://www.google.com/maps?q=10.83459473,79.12427521","Open Location")</f>
        <v>Open Location</v>
      </c>
    </row>
    <row r="2457" spans="1:40" x14ac:dyDescent="0.3">
      <c r="A2457" s="1">
        <v>46210.715277777781</v>
      </c>
      <c r="B2457" t="s">
        <v>40</v>
      </c>
      <c r="C2457" t="s">
        <v>41</v>
      </c>
      <c r="D2457" s="1">
        <v>46210.718240740738</v>
      </c>
      <c r="E2457" t="s">
        <v>42</v>
      </c>
      <c r="F2457" t="s">
        <v>83</v>
      </c>
      <c r="G2457">
        <v>33</v>
      </c>
      <c r="H2457">
        <v>33177</v>
      </c>
      <c r="I2457" t="s">
        <v>1273</v>
      </c>
      <c r="J2457">
        <v>55</v>
      </c>
      <c r="K2457">
        <v>-41</v>
      </c>
      <c r="L2457">
        <v>98</v>
      </c>
      <c r="M2457">
        <v>629</v>
      </c>
      <c r="N2457" t="s">
        <v>87</v>
      </c>
      <c r="O2457" t="s">
        <v>86</v>
      </c>
      <c r="P2457">
        <v>130</v>
      </c>
      <c r="Q2457">
        <v>5</v>
      </c>
      <c r="R2457">
        <v>77</v>
      </c>
      <c r="S2457">
        <v>1603</v>
      </c>
      <c r="T2457">
        <v>-40</v>
      </c>
      <c r="U2457">
        <v>49</v>
      </c>
      <c r="V2457">
        <v>-184</v>
      </c>
      <c r="W2457">
        <v>28</v>
      </c>
      <c r="X2457">
        <v>28</v>
      </c>
      <c r="Y2457">
        <v>1</v>
      </c>
      <c r="Z2457">
        <v>8</v>
      </c>
      <c r="AA2457">
        <v>25</v>
      </c>
      <c r="AB2457">
        <v>1</v>
      </c>
      <c r="AC2457">
        <v>3</v>
      </c>
      <c r="AD2457">
        <v>3.2790000400000001</v>
      </c>
      <c r="AE2457">
        <v>1</v>
      </c>
      <c r="AF2457">
        <v>26</v>
      </c>
      <c r="AG2457">
        <v>3.2760000200000001</v>
      </c>
      <c r="AH2457">
        <v>1</v>
      </c>
      <c r="AI2457">
        <v>4</v>
      </c>
      <c r="AJ2457">
        <v>1</v>
      </c>
      <c r="AK2457">
        <v>17</v>
      </c>
      <c r="AL2457">
        <v>52</v>
      </c>
      <c r="AM2457" t="s">
        <v>43</v>
      </c>
      <c r="AN2457" t="str">
        <f>HYPERLINK("https://www.google.com/maps?q=10.83392811,79.12503052","Open Location")</f>
        <v>Open Location</v>
      </c>
    </row>
    <row r="2458" spans="1:40" x14ac:dyDescent="0.3">
      <c r="A2458" s="1">
        <v>46210.715162037035</v>
      </c>
      <c r="B2458" t="s">
        <v>40</v>
      </c>
      <c r="C2458" t="s">
        <v>41</v>
      </c>
      <c r="D2458" s="1">
        <v>46210.718055555553</v>
      </c>
      <c r="E2458" t="s">
        <v>42</v>
      </c>
      <c r="F2458" t="s">
        <v>83</v>
      </c>
      <c r="G2458">
        <v>37</v>
      </c>
      <c r="H2458">
        <v>33177</v>
      </c>
      <c r="I2458" t="s">
        <v>43</v>
      </c>
      <c r="J2458">
        <v>55</v>
      </c>
      <c r="K2458">
        <v>56</v>
      </c>
      <c r="L2458">
        <v>98</v>
      </c>
      <c r="M2458">
        <v>624</v>
      </c>
      <c r="N2458" t="s">
        <v>87</v>
      </c>
      <c r="O2458" t="s">
        <v>86</v>
      </c>
      <c r="P2458">
        <v>130</v>
      </c>
      <c r="Q2458">
        <v>5</v>
      </c>
      <c r="R2458">
        <v>-33</v>
      </c>
      <c r="S2458">
        <v>1719</v>
      </c>
      <c r="T2458">
        <v>-40</v>
      </c>
      <c r="U2458">
        <v>49</v>
      </c>
      <c r="V2458">
        <v>180</v>
      </c>
      <c r="W2458">
        <v>28</v>
      </c>
      <c r="X2458">
        <v>28</v>
      </c>
      <c r="Y2458">
        <v>1</v>
      </c>
      <c r="Z2458">
        <v>8</v>
      </c>
      <c r="AA2458">
        <v>25</v>
      </c>
      <c r="AB2458">
        <v>1</v>
      </c>
      <c r="AC2458">
        <v>3</v>
      </c>
      <c r="AD2458">
        <v>3.25600004</v>
      </c>
      <c r="AE2458">
        <v>1</v>
      </c>
      <c r="AF2458">
        <v>38</v>
      </c>
      <c r="AG2458">
        <v>3.2479999099999999</v>
      </c>
      <c r="AH2458">
        <v>4</v>
      </c>
      <c r="AI2458">
        <v>17</v>
      </c>
      <c r="AJ2458">
        <v>1</v>
      </c>
      <c r="AK2458">
        <v>18</v>
      </c>
      <c r="AL2458">
        <v>52</v>
      </c>
      <c r="AM2458" t="s">
        <v>43</v>
      </c>
      <c r="AN2458" t="s">
        <v>43</v>
      </c>
    </row>
    <row r="2459" spans="1:40" x14ac:dyDescent="0.3">
      <c r="A2459" s="1">
        <v>46210.715046296296</v>
      </c>
      <c r="B2459" t="s">
        <v>40</v>
      </c>
      <c r="C2459" t="s">
        <v>41</v>
      </c>
      <c r="D2459" s="1">
        <v>46210.717870370368</v>
      </c>
      <c r="E2459" t="s">
        <v>42</v>
      </c>
      <c r="F2459" t="s">
        <v>83</v>
      </c>
      <c r="G2459">
        <v>39</v>
      </c>
      <c r="H2459" t="s">
        <v>43</v>
      </c>
      <c r="I2459" t="s">
        <v>1274</v>
      </c>
      <c r="J2459">
        <v>55</v>
      </c>
      <c r="K2459">
        <v>134</v>
      </c>
      <c r="L2459">
        <v>98</v>
      </c>
      <c r="M2459">
        <v>619.59997558999999</v>
      </c>
      <c r="N2459" t="s">
        <v>87</v>
      </c>
      <c r="O2459" t="s">
        <v>86</v>
      </c>
      <c r="P2459">
        <v>130</v>
      </c>
      <c r="Q2459">
        <v>5</v>
      </c>
      <c r="R2459">
        <v>33</v>
      </c>
      <c r="S2459">
        <v>1701</v>
      </c>
      <c r="T2459">
        <v>-40</v>
      </c>
      <c r="U2459">
        <v>51</v>
      </c>
      <c r="V2459">
        <v>440</v>
      </c>
      <c r="W2459">
        <v>28</v>
      </c>
      <c r="X2459">
        <v>28</v>
      </c>
      <c r="Y2459">
        <v>1</v>
      </c>
      <c r="Z2459">
        <v>8</v>
      </c>
      <c r="AA2459">
        <v>25</v>
      </c>
      <c r="AB2459">
        <v>1</v>
      </c>
      <c r="AC2459">
        <v>3</v>
      </c>
      <c r="AD2459">
        <v>3.2420000999999998</v>
      </c>
      <c r="AE2459">
        <v>1</v>
      </c>
      <c r="AF2459">
        <v>42</v>
      </c>
      <c r="AG2459">
        <v>3.2300000199999999</v>
      </c>
      <c r="AH2459">
        <v>4</v>
      </c>
      <c r="AI2459">
        <v>17</v>
      </c>
      <c r="AJ2459">
        <v>1</v>
      </c>
      <c r="AK2459">
        <v>19</v>
      </c>
      <c r="AL2459">
        <v>52</v>
      </c>
      <c r="AM2459" t="s">
        <v>43</v>
      </c>
      <c r="AN2459" t="str">
        <f>HYPERLINK("https://www.google.com/maps?q=10.83348179,79.12609863","Open Location")</f>
        <v>Open Location</v>
      </c>
    </row>
    <row r="2460" spans="1:40" x14ac:dyDescent="0.3">
      <c r="A2460" s="1">
        <v>46210.714930555558</v>
      </c>
      <c r="B2460" t="s">
        <v>40</v>
      </c>
      <c r="C2460" t="s">
        <v>41</v>
      </c>
      <c r="D2460" s="1">
        <v>46210.717766203707</v>
      </c>
      <c r="E2460" t="s">
        <v>42</v>
      </c>
      <c r="F2460" t="s">
        <v>83</v>
      </c>
      <c r="G2460">
        <v>36</v>
      </c>
      <c r="H2460">
        <v>33177</v>
      </c>
      <c r="I2460" t="s">
        <v>1275</v>
      </c>
      <c r="J2460">
        <v>55</v>
      </c>
      <c r="K2460">
        <v>88</v>
      </c>
      <c r="L2460">
        <v>98</v>
      </c>
      <c r="M2460">
        <v>621.59997558999999</v>
      </c>
      <c r="N2460" t="s">
        <v>87</v>
      </c>
      <c r="O2460" t="s">
        <v>86</v>
      </c>
      <c r="P2460">
        <v>130</v>
      </c>
      <c r="Q2460">
        <v>5</v>
      </c>
      <c r="R2460">
        <v>51</v>
      </c>
      <c r="S2460">
        <v>1641</v>
      </c>
      <c r="T2460">
        <v>-40</v>
      </c>
      <c r="U2460">
        <v>50</v>
      </c>
      <c r="V2460">
        <v>300</v>
      </c>
      <c r="W2460">
        <v>28</v>
      </c>
      <c r="X2460">
        <v>28</v>
      </c>
      <c r="Y2460">
        <v>1</v>
      </c>
      <c r="Z2460">
        <v>8</v>
      </c>
      <c r="AA2460">
        <v>25</v>
      </c>
      <c r="AB2460">
        <v>1</v>
      </c>
      <c r="AC2460">
        <v>3</v>
      </c>
      <c r="AD2460">
        <v>3.2490000700000001</v>
      </c>
      <c r="AE2460">
        <v>1</v>
      </c>
      <c r="AF2460">
        <v>38</v>
      </c>
      <c r="AG2460">
        <v>3.2400000100000002</v>
      </c>
      <c r="AH2460">
        <v>4</v>
      </c>
      <c r="AI2460">
        <v>17</v>
      </c>
      <c r="AJ2460">
        <v>1</v>
      </c>
      <c r="AK2460">
        <v>19</v>
      </c>
      <c r="AL2460">
        <v>52</v>
      </c>
      <c r="AM2460" t="s">
        <v>43</v>
      </c>
      <c r="AN2460" t="str">
        <f>HYPERLINK("https://www.google.com/maps?q=10.83292294,79.12721252","Open Location")</f>
        <v>Open Location</v>
      </c>
    </row>
    <row r="2461" spans="1:40" x14ac:dyDescent="0.3">
      <c r="A2461" s="1">
        <v>46210.714814814812</v>
      </c>
      <c r="B2461" t="s">
        <v>40</v>
      </c>
      <c r="C2461" t="s">
        <v>41</v>
      </c>
      <c r="D2461" s="1">
        <v>46210.717662037037</v>
      </c>
      <c r="E2461" t="s">
        <v>42</v>
      </c>
      <c r="F2461" t="s">
        <v>83</v>
      </c>
      <c r="G2461">
        <v>37</v>
      </c>
      <c r="H2461">
        <v>33177</v>
      </c>
      <c r="I2461" t="s">
        <v>1276</v>
      </c>
      <c r="J2461">
        <v>55</v>
      </c>
      <c r="K2461">
        <v>129</v>
      </c>
      <c r="L2461">
        <v>98</v>
      </c>
      <c r="M2461">
        <v>619.90002441000001</v>
      </c>
      <c r="N2461" t="s">
        <v>87</v>
      </c>
      <c r="O2461" t="s">
        <v>86</v>
      </c>
      <c r="P2461">
        <v>130</v>
      </c>
      <c r="Q2461">
        <v>5</v>
      </c>
      <c r="R2461">
        <v>53</v>
      </c>
      <c r="S2461">
        <v>1697</v>
      </c>
      <c r="T2461">
        <v>-40</v>
      </c>
      <c r="U2461">
        <v>51</v>
      </c>
      <c r="V2461">
        <v>412</v>
      </c>
      <c r="W2461">
        <v>28</v>
      </c>
      <c r="X2461">
        <v>28</v>
      </c>
      <c r="Y2461">
        <v>1</v>
      </c>
      <c r="Z2461">
        <v>8</v>
      </c>
      <c r="AA2461">
        <v>25</v>
      </c>
      <c r="AB2461">
        <v>1</v>
      </c>
      <c r="AC2461">
        <v>3</v>
      </c>
      <c r="AD2461">
        <v>3.2420000999999998</v>
      </c>
      <c r="AE2461">
        <v>1</v>
      </c>
      <c r="AF2461">
        <v>42</v>
      </c>
      <c r="AG2461">
        <v>3.2300000199999999</v>
      </c>
      <c r="AH2461">
        <v>4</v>
      </c>
      <c r="AI2461">
        <v>17</v>
      </c>
      <c r="AJ2461">
        <v>1</v>
      </c>
      <c r="AK2461">
        <v>19</v>
      </c>
      <c r="AL2461">
        <v>52</v>
      </c>
      <c r="AM2461" t="s">
        <v>43</v>
      </c>
      <c r="AN2461" t="str">
        <f>HYPERLINK("https://www.google.com/maps?q=10.83244514,79.12823486","Open Location")</f>
        <v>Open Location</v>
      </c>
    </row>
    <row r="2462" spans="1:40" x14ac:dyDescent="0.3">
      <c r="A2462" s="1">
        <v>46210.714699074073</v>
      </c>
      <c r="B2462" t="s">
        <v>40</v>
      </c>
      <c r="C2462" t="s">
        <v>41</v>
      </c>
      <c r="D2462" s="1">
        <v>46210.717673611114</v>
      </c>
      <c r="E2462" t="s">
        <v>42</v>
      </c>
      <c r="F2462" t="s">
        <v>83</v>
      </c>
      <c r="G2462">
        <v>38</v>
      </c>
      <c r="H2462" t="s">
        <v>43</v>
      </c>
      <c r="I2462" t="s">
        <v>1277</v>
      </c>
      <c r="J2462">
        <v>55</v>
      </c>
      <c r="K2462">
        <v>122</v>
      </c>
      <c r="L2462">
        <v>98</v>
      </c>
      <c r="M2462">
        <v>620.40002441000001</v>
      </c>
      <c r="N2462" t="s">
        <v>87</v>
      </c>
      <c r="O2462" t="s">
        <v>86</v>
      </c>
      <c r="P2462">
        <v>130</v>
      </c>
      <c r="Q2462">
        <v>5</v>
      </c>
      <c r="R2462">
        <v>65</v>
      </c>
      <c r="S2462">
        <v>1745</v>
      </c>
      <c r="T2462">
        <v>-40</v>
      </c>
      <c r="U2462">
        <v>51</v>
      </c>
      <c r="V2462">
        <v>380</v>
      </c>
      <c r="W2462">
        <v>28</v>
      </c>
      <c r="X2462">
        <v>28</v>
      </c>
      <c r="Y2462">
        <v>1</v>
      </c>
      <c r="Z2462">
        <v>8</v>
      </c>
      <c r="AA2462">
        <v>25</v>
      </c>
      <c r="AB2462">
        <v>1</v>
      </c>
      <c r="AC2462">
        <v>3</v>
      </c>
      <c r="AD2462">
        <v>3.2430000300000001</v>
      </c>
      <c r="AE2462">
        <v>1</v>
      </c>
      <c r="AF2462">
        <v>38</v>
      </c>
      <c r="AG2462">
        <v>3.23200011</v>
      </c>
      <c r="AH2462">
        <v>4</v>
      </c>
      <c r="AI2462">
        <v>17</v>
      </c>
      <c r="AJ2462">
        <v>1</v>
      </c>
      <c r="AK2462">
        <v>19</v>
      </c>
      <c r="AL2462">
        <v>52</v>
      </c>
      <c r="AM2462" t="s">
        <v>43</v>
      </c>
      <c r="AN2462" t="str">
        <f>HYPERLINK("https://www.google.com/maps?q=10.83201313,79.12928772","Open Location")</f>
        <v>Open Location</v>
      </c>
    </row>
    <row r="2463" spans="1:40" x14ac:dyDescent="0.3">
      <c r="A2463" s="1">
        <v>46210.714583333334</v>
      </c>
      <c r="B2463" t="s">
        <v>40</v>
      </c>
      <c r="C2463" t="s">
        <v>41</v>
      </c>
      <c r="D2463" s="1">
        <v>46210.717673611114</v>
      </c>
      <c r="E2463" t="s">
        <v>42</v>
      </c>
      <c r="F2463" t="s">
        <v>83</v>
      </c>
      <c r="G2463">
        <v>38</v>
      </c>
      <c r="H2463">
        <v>33177</v>
      </c>
      <c r="I2463" t="s">
        <v>43</v>
      </c>
      <c r="J2463">
        <v>55</v>
      </c>
      <c r="K2463">
        <v>97</v>
      </c>
      <c r="L2463">
        <v>98</v>
      </c>
      <c r="M2463">
        <v>621.5</v>
      </c>
      <c r="N2463" t="s">
        <v>87</v>
      </c>
      <c r="O2463" t="s">
        <v>86</v>
      </c>
      <c r="P2463">
        <v>130</v>
      </c>
      <c r="Q2463">
        <v>5</v>
      </c>
      <c r="R2463">
        <v>72</v>
      </c>
      <c r="S2463">
        <v>1696</v>
      </c>
      <c r="T2463">
        <v>-40</v>
      </c>
      <c r="U2463">
        <v>51</v>
      </c>
      <c r="V2463">
        <v>320</v>
      </c>
      <c r="W2463">
        <v>28</v>
      </c>
      <c r="X2463">
        <v>28</v>
      </c>
      <c r="Y2463">
        <v>1</v>
      </c>
      <c r="Z2463">
        <v>8</v>
      </c>
      <c r="AA2463">
        <v>25</v>
      </c>
      <c r="AB2463">
        <v>1</v>
      </c>
      <c r="AC2463">
        <v>3</v>
      </c>
      <c r="AD2463">
        <v>3.2479999099999999</v>
      </c>
      <c r="AE2463">
        <v>1</v>
      </c>
      <c r="AF2463">
        <v>43</v>
      </c>
      <c r="AG2463">
        <v>3.23799992</v>
      </c>
      <c r="AH2463">
        <v>4</v>
      </c>
      <c r="AI2463">
        <v>17</v>
      </c>
      <c r="AJ2463">
        <v>1</v>
      </c>
      <c r="AK2463">
        <v>19</v>
      </c>
      <c r="AL2463">
        <v>52</v>
      </c>
      <c r="AM2463" t="s">
        <v>43</v>
      </c>
      <c r="AN2463" t="s">
        <v>43</v>
      </c>
    </row>
    <row r="2464" spans="1:40" x14ac:dyDescent="0.3">
      <c r="A2464" s="1">
        <v>46210.714467592596</v>
      </c>
      <c r="B2464" t="s">
        <v>40</v>
      </c>
      <c r="C2464" t="s">
        <v>41</v>
      </c>
      <c r="D2464" s="1">
        <v>46210.717638888891</v>
      </c>
      <c r="E2464" t="s">
        <v>42</v>
      </c>
      <c r="F2464" t="s">
        <v>83</v>
      </c>
      <c r="G2464">
        <v>37</v>
      </c>
      <c r="H2464">
        <v>33177</v>
      </c>
      <c r="I2464" t="s">
        <v>1278</v>
      </c>
      <c r="J2464">
        <v>55</v>
      </c>
      <c r="K2464">
        <v>70</v>
      </c>
      <c r="L2464">
        <v>98</v>
      </c>
      <c r="M2464">
        <v>622.79998779000005</v>
      </c>
      <c r="N2464" t="s">
        <v>87</v>
      </c>
      <c r="O2464" t="s">
        <v>86</v>
      </c>
      <c r="P2464">
        <v>130</v>
      </c>
      <c r="Q2464">
        <v>5</v>
      </c>
      <c r="R2464">
        <v>31</v>
      </c>
      <c r="S2464">
        <v>1693</v>
      </c>
      <c r="T2464">
        <v>-40</v>
      </c>
      <c r="U2464">
        <v>51</v>
      </c>
      <c r="V2464">
        <v>260</v>
      </c>
      <c r="W2464">
        <v>28</v>
      </c>
      <c r="X2464">
        <v>28</v>
      </c>
      <c r="Y2464">
        <v>1</v>
      </c>
      <c r="Z2464">
        <v>8</v>
      </c>
      <c r="AA2464">
        <v>25</v>
      </c>
      <c r="AB2464">
        <v>1</v>
      </c>
      <c r="AC2464">
        <v>3</v>
      </c>
      <c r="AD2464">
        <v>3.2449998899999999</v>
      </c>
      <c r="AE2464">
        <v>1</v>
      </c>
      <c r="AF2464">
        <v>38</v>
      </c>
      <c r="AG2464">
        <v>3.2349999</v>
      </c>
      <c r="AH2464">
        <v>4</v>
      </c>
      <c r="AI2464">
        <v>17</v>
      </c>
      <c r="AJ2464">
        <v>1</v>
      </c>
      <c r="AK2464">
        <v>19</v>
      </c>
      <c r="AL2464">
        <v>52</v>
      </c>
      <c r="AM2464" t="s">
        <v>43</v>
      </c>
      <c r="AN2464" t="str">
        <f>HYPERLINK("https://www.google.com/maps?q=10.83131981,79.13019562","Open Location")</f>
        <v>Open Location</v>
      </c>
    </row>
    <row r="2465" spans="1:40" x14ac:dyDescent="0.3">
      <c r="A2465" s="1">
        <v>46210.71435185185</v>
      </c>
      <c r="B2465" t="s">
        <v>40</v>
      </c>
      <c r="C2465" t="s">
        <v>41</v>
      </c>
      <c r="D2465" s="1">
        <v>46210.717152777775</v>
      </c>
      <c r="E2465" t="s">
        <v>42</v>
      </c>
      <c r="F2465" t="s">
        <v>83</v>
      </c>
      <c r="G2465">
        <v>37</v>
      </c>
      <c r="H2465">
        <v>33176</v>
      </c>
      <c r="I2465" t="s">
        <v>1279</v>
      </c>
      <c r="J2465">
        <v>55</v>
      </c>
      <c r="K2465">
        <v>138</v>
      </c>
      <c r="L2465">
        <v>98</v>
      </c>
      <c r="M2465">
        <v>619.5</v>
      </c>
      <c r="N2465" t="s">
        <v>87</v>
      </c>
      <c r="O2465" t="s">
        <v>86</v>
      </c>
      <c r="P2465">
        <v>130</v>
      </c>
      <c r="Q2465">
        <v>5</v>
      </c>
      <c r="R2465">
        <v>66</v>
      </c>
      <c r="S2465">
        <v>1683</v>
      </c>
      <c r="T2465">
        <v>-40</v>
      </c>
      <c r="U2465">
        <v>53</v>
      </c>
      <c r="V2465">
        <v>460</v>
      </c>
      <c r="W2465">
        <v>28</v>
      </c>
      <c r="X2465">
        <v>28</v>
      </c>
      <c r="Y2465">
        <v>1</v>
      </c>
      <c r="Z2465">
        <v>8</v>
      </c>
      <c r="AA2465">
        <v>25</v>
      </c>
      <c r="AB2465">
        <v>1</v>
      </c>
      <c r="AC2465">
        <v>3</v>
      </c>
      <c r="AD2465">
        <v>3.2339999700000002</v>
      </c>
      <c r="AE2465">
        <v>1</v>
      </c>
      <c r="AF2465">
        <v>38</v>
      </c>
      <c r="AG2465">
        <v>3.2190001000000001</v>
      </c>
      <c r="AH2465">
        <v>4</v>
      </c>
      <c r="AI2465">
        <v>17</v>
      </c>
      <c r="AJ2465">
        <v>1</v>
      </c>
      <c r="AK2465">
        <v>19</v>
      </c>
      <c r="AL2465">
        <v>52</v>
      </c>
      <c r="AM2465" t="s">
        <v>43</v>
      </c>
      <c r="AN2465" t="str">
        <f>HYPERLINK("https://www.google.com/maps?q=10.83040524,79.130867","Open Location")</f>
        <v>Open Location</v>
      </c>
    </row>
    <row r="2466" spans="1:40" x14ac:dyDescent="0.3">
      <c r="A2466" s="1">
        <v>46210.714236111111</v>
      </c>
      <c r="B2466" t="s">
        <v>40</v>
      </c>
      <c r="C2466" t="s">
        <v>41</v>
      </c>
      <c r="D2466" s="1">
        <v>46210.717083333337</v>
      </c>
      <c r="E2466" t="s">
        <v>42</v>
      </c>
      <c r="F2466" t="s">
        <v>83</v>
      </c>
      <c r="G2466">
        <v>35</v>
      </c>
      <c r="H2466">
        <v>33176</v>
      </c>
      <c r="I2466" t="s">
        <v>1280</v>
      </c>
      <c r="J2466">
        <v>55</v>
      </c>
      <c r="K2466">
        <v>226</v>
      </c>
      <c r="L2466">
        <v>98</v>
      </c>
      <c r="M2466">
        <v>615.59997558999999</v>
      </c>
      <c r="N2466" t="s">
        <v>87</v>
      </c>
      <c r="O2466" t="s">
        <v>86</v>
      </c>
      <c r="P2466">
        <v>130</v>
      </c>
      <c r="Q2466">
        <v>5</v>
      </c>
      <c r="R2466">
        <v>130</v>
      </c>
      <c r="S2466">
        <v>1497</v>
      </c>
      <c r="T2466">
        <v>-40</v>
      </c>
      <c r="U2466">
        <v>55</v>
      </c>
      <c r="V2466">
        <v>820</v>
      </c>
      <c r="W2466">
        <v>28</v>
      </c>
      <c r="X2466">
        <v>28</v>
      </c>
      <c r="Y2466">
        <v>1</v>
      </c>
      <c r="Z2466">
        <v>8</v>
      </c>
      <c r="AA2466">
        <v>25</v>
      </c>
      <c r="AB2466">
        <v>1</v>
      </c>
      <c r="AC2466">
        <v>3</v>
      </c>
      <c r="AD2466">
        <v>3.2249998999999998</v>
      </c>
      <c r="AE2466">
        <v>1</v>
      </c>
      <c r="AF2466">
        <v>42</v>
      </c>
      <c r="AG2466">
        <v>3.2070000200000002</v>
      </c>
      <c r="AH2466">
        <v>4</v>
      </c>
      <c r="AI2466">
        <v>17</v>
      </c>
      <c r="AJ2466">
        <v>1</v>
      </c>
      <c r="AK2466">
        <v>19</v>
      </c>
      <c r="AL2466">
        <v>52</v>
      </c>
      <c r="AM2466" t="s">
        <v>43</v>
      </c>
      <c r="AN2466" t="str">
        <f>HYPERLINK("https://www.google.com/maps?q=10.82946491,79.13143921","Open Location")</f>
        <v>Open Location</v>
      </c>
    </row>
    <row r="2467" spans="1:40" x14ac:dyDescent="0.3">
      <c r="A2467" s="1">
        <v>46210.714120370372</v>
      </c>
      <c r="B2467" t="s">
        <v>40</v>
      </c>
      <c r="C2467" t="s">
        <v>41</v>
      </c>
      <c r="D2467" s="1">
        <v>46210.71707175926</v>
      </c>
      <c r="E2467" t="s">
        <v>42</v>
      </c>
      <c r="F2467" t="s">
        <v>83</v>
      </c>
      <c r="G2467">
        <v>30</v>
      </c>
      <c r="H2467">
        <v>33176</v>
      </c>
      <c r="I2467" t="s">
        <v>1281</v>
      </c>
      <c r="J2467">
        <v>55</v>
      </c>
      <c r="K2467">
        <v>241</v>
      </c>
      <c r="L2467">
        <v>98</v>
      </c>
      <c r="M2467">
        <v>616.09997558999999</v>
      </c>
      <c r="N2467" t="s">
        <v>87</v>
      </c>
      <c r="O2467" t="s">
        <v>86</v>
      </c>
      <c r="P2467">
        <v>130</v>
      </c>
      <c r="Q2467">
        <v>5</v>
      </c>
      <c r="R2467">
        <v>123</v>
      </c>
      <c r="S2467">
        <v>1162</v>
      </c>
      <c r="T2467">
        <v>-40</v>
      </c>
      <c r="U2467">
        <v>55</v>
      </c>
      <c r="V2467">
        <v>1140</v>
      </c>
      <c r="W2467">
        <v>28</v>
      </c>
      <c r="X2467">
        <v>28</v>
      </c>
      <c r="Y2467">
        <v>1</v>
      </c>
      <c r="Z2467">
        <v>8</v>
      </c>
      <c r="AA2467">
        <v>25</v>
      </c>
      <c r="AB2467">
        <v>1</v>
      </c>
      <c r="AC2467">
        <v>3</v>
      </c>
      <c r="AD2467">
        <v>3.2300000199999999</v>
      </c>
      <c r="AE2467">
        <v>5</v>
      </c>
      <c r="AF2467">
        <v>38</v>
      </c>
      <c r="AG2467">
        <v>3.21099997</v>
      </c>
      <c r="AH2467">
        <v>6</v>
      </c>
      <c r="AI2467">
        <v>24</v>
      </c>
      <c r="AJ2467">
        <v>1</v>
      </c>
      <c r="AK2467">
        <v>19</v>
      </c>
      <c r="AL2467">
        <v>52</v>
      </c>
      <c r="AM2467" t="s">
        <v>43</v>
      </c>
      <c r="AN2467" t="str">
        <f>HYPERLINK("https://www.google.com/maps?q=10.82878208,79.13208008","Open Location")</f>
        <v>Open Location</v>
      </c>
    </row>
    <row r="2468" spans="1:40" x14ac:dyDescent="0.3">
      <c r="A2468" s="1">
        <v>46210.714004629626</v>
      </c>
      <c r="B2468" t="s">
        <v>40</v>
      </c>
      <c r="C2468" t="s">
        <v>41</v>
      </c>
      <c r="D2468" s="1">
        <v>46210.716898148145</v>
      </c>
      <c r="E2468" t="s">
        <v>42</v>
      </c>
      <c r="F2468" t="s">
        <v>83</v>
      </c>
      <c r="G2468">
        <v>23</v>
      </c>
      <c r="H2468">
        <v>33176</v>
      </c>
      <c r="I2468" t="s">
        <v>1282</v>
      </c>
      <c r="J2468">
        <v>55</v>
      </c>
      <c r="K2468">
        <v>163</v>
      </c>
      <c r="L2468">
        <v>98</v>
      </c>
      <c r="M2468">
        <v>621.40002441000001</v>
      </c>
      <c r="N2468" t="s">
        <v>87</v>
      </c>
      <c r="O2468" t="s">
        <v>86</v>
      </c>
      <c r="P2468">
        <v>129</v>
      </c>
      <c r="Q2468">
        <v>4</v>
      </c>
      <c r="R2468">
        <v>89</v>
      </c>
      <c r="S2468">
        <v>1504</v>
      </c>
      <c r="T2468">
        <v>-40</v>
      </c>
      <c r="U2468">
        <v>52</v>
      </c>
      <c r="V2468">
        <v>725</v>
      </c>
      <c r="W2468">
        <v>28</v>
      </c>
      <c r="X2468">
        <v>28</v>
      </c>
      <c r="Y2468">
        <v>1</v>
      </c>
      <c r="Z2468">
        <v>8</v>
      </c>
      <c r="AA2468">
        <v>25</v>
      </c>
      <c r="AB2468">
        <v>1</v>
      </c>
      <c r="AC2468">
        <v>3</v>
      </c>
      <c r="AD2468">
        <v>3.2400000100000002</v>
      </c>
      <c r="AE2468">
        <v>1</v>
      </c>
      <c r="AF2468">
        <v>42</v>
      </c>
      <c r="AG2468">
        <v>3.22600007</v>
      </c>
      <c r="AH2468">
        <v>4</v>
      </c>
      <c r="AI2468">
        <v>17</v>
      </c>
      <c r="AJ2468">
        <v>1</v>
      </c>
      <c r="AK2468">
        <v>19</v>
      </c>
      <c r="AL2468">
        <v>52</v>
      </c>
      <c r="AM2468" t="s">
        <v>43</v>
      </c>
      <c r="AN2468" t="str">
        <f>HYPERLINK("https://www.google.com/maps?q=10.82811642,79.13235474","Open Location")</f>
        <v>Open Location</v>
      </c>
    </row>
    <row r="2469" spans="1:40" x14ac:dyDescent="0.3">
      <c r="A2469" s="1">
        <v>46210.713888888888</v>
      </c>
      <c r="B2469" t="s">
        <v>40</v>
      </c>
      <c r="C2469" t="s">
        <v>41</v>
      </c>
      <c r="D2469" s="1">
        <v>46210.716805555552</v>
      </c>
      <c r="E2469" t="s">
        <v>42</v>
      </c>
      <c r="F2469" t="s">
        <v>83</v>
      </c>
      <c r="G2469">
        <v>19</v>
      </c>
      <c r="H2469">
        <v>33176</v>
      </c>
      <c r="I2469" t="s">
        <v>43</v>
      </c>
      <c r="J2469">
        <v>56</v>
      </c>
      <c r="K2469">
        <v>178</v>
      </c>
      <c r="L2469">
        <v>98</v>
      </c>
      <c r="M2469">
        <v>620.20001220999995</v>
      </c>
      <c r="N2469" t="s">
        <v>87</v>
      </c>
      <c r="O2469" t="s">
        <v>86</v>
      </c>
      <c r="P2469">
        <v>129</v>
      </c>
      <c r="Q2469">
        <v>4</v>
      </c>
      <c r="R2469">
        <v>94</v>
      </c>
      <c r="S2469">
        <v>1205</v>
      </c>
      <c r="T2469">
        <v>-40</v>
      </c>
      <c r="U2469">
        <v>54</v>
      </c>
      <c r="V2469">
        <v>825</v>
      </c>
      <c r="W2469">
        <v>28</v>
      </c>
      <c r="X2469">
        <v>28</v>
      </c>
      <c r="Y2469">
        <v>1</v>
      </c>
      <c r="Z2469">
        <v>8</v>
      </c>
      <c r="AA2469">
        <v>25</v>
      </c>
      <c r="AB2469">
        <v>1</v>
      </c>
      <c r="AC2469">
        <v>3</v>
      </c>
      <c r="AD2469">
        <v>3.2449998899999999</v>
      </c>
      <c r="AE2469">
        <v>5</v>
      </c>
      <c r="AF2469">
        <v>38</v>
      </c>
      <c r="AG2469">
        <v>3.2309999500000002</v>
      </c>
      <c r="AH2469">
        <v>4</v>
      </c>
      <c r="AI2469">
        <v>17</v>
      </c>
      <c r="AJ2469">
        <v>1</v>
      </c>
      <c r="AK2469">
        <v>19</v>
      </c>
      <c r="AL2469">
        <v>52</v>
      </c>
      <c r="AM2469" t="s">
        <v>43</v>
      </c>
      <c r="AN2469" t="s">
        <v>43</v>
      </c>
    </row>
    <row r="2470" spans="1:40" x14ac:dyDescent="0.3">
      <c r="A2470" s="1">
        <v>46210.713773148149</v>
      </c>
      <c r="B2470" t="s">
        <v>40</v>
      </c>
      <c r="C2470" t="s">
        <v>41</v>
      </c>
      <c r="D2470" s="1">
        <v>46210.716689814813</v>
      </c>
      <c r="E2470" t="s">
        <v>42</v>
      </c>
      <c r="F2470" t="s">
        <v>83</v>
      </c>
      <c r="G2470">
        <v>14</v>
      </c>
      <c r="H2470">
        <v>33176</v>
      </c>
      <c r="I2470" t="s">
        <v>1283</v>
      </c>
      <c r="J2470">
        <v>56</v>
      </c>
      <c r="K2470">
        <v>-52</v>
      </c>
      <c r="L2470">
        <v>98</v>
      </c>
      <c r="M2470">
        <v>632.5</v>
      </c>
      <c r="N2470" t="s">
        <v>87</v>
      </c>
      <c r="O2470" t="s">
        <v>86</v>
      </c>
      <c r="P2470">
        <v>128</v>
      </c>
      <c r="Q2470">
        <v>4</v>
      </c>
      <c r="R2470">
        <v>160</v>
      </c>
      <c r="S2470">
        <v>798</v>
      </c>
      <c r="T2470">
        <v>-40</v>
      </c>
      <c r="U2470">
        <v>52</v>
      </c>
      <c r="V2470">
        <v>-399</v>
      </c>
      <c r="W2470">
        <v>28</v>
      </c>
      <c r="X2470">
        <v>28</v>
      </c>
      <c r="Y2470">
        <v>1</v>
      </c>
      <c r="Z2470">
        <v>8</v>
      </c>
      <c r="AA2470">
        <v>25</v>
      </c>
      <c r="AB2470">
        <v>1</v>
      </c>
      <c r="AC2470">
        <v>3</v>
      </c>
      <c r="AD2470">
        <v>3.28600001</v>
      </c>
      <c r="AE2470">
        <v>1</v>
      </c>
      <c r="AF2470">
        <v>26</v>
      </c>
      <c r="AG2470">
        <v>3.2820000600000001</v>
      </c>
      <c r="AH2470">
        <v>6</v>
      </c>
      <c r="AI2470">
        <v>12</v>
      </c>
      <c r="AJ2470">
        <v>1</v>
      </c>
      <c r="AK2470">
        <v>20</v>
      </c>
      <c r="AL2470">
        <v>52</v>
      </c>
      <c r="AM2470" t="s">
        <v>43</v>
      </c>
      <c r="AN2470" t="str">
        <f>HYPERLINK("https://www.google.com/maps?q=10.82813931,79.13276672","Open Location")</f>
        <v>Open Location</v>
      </c>
    </row>
    <row r="2471" spans="1:40" x14ac:dyDescent="0.3">
      <c r="A2471" s="1">
        <v>46210.71365740741</v>
      </c>
      <c r="B2471" t="s">
        <v>40</v>
      </c>
      <c r="C2471" t="s">
        <v>41</v>
      </c>
      <c r="D2471" s="1">
        <v>46210.716550925928</v>
      </c>
      <c r="E2471" t="s">
        <v>42</v>
      </c>
      <c r="F2471" t="s">
        <v>83</v>
      </c>
      <c r="G2471">
        <v>24</v>
      </c>
      <c r="H2471">
        <v>33176</v>
      </c>
      <c r="I2471" t="s">
        <v>1284</v>
      </c>
      <c r="J2471">
        <v>56</v>
      </c>
      <c r="K2471">
        <v>-34</v>
      </c>
      <c r="L2471">
        <v>98</v>
      </c>
      <c r="M2471">
        <v>629.29998779000005</v>
      </c>
      <c r="N2471" t="s">
        <v>87</v>
      </c>
      <c r="O2471" t="s">
        <v>86</v>
      </c>
      <c r="P2471">
        <v>130</v>
      </c>
      <c r="Q2471">
        <v>5</v>
      </c>
      <c r="R2471">
        <v>-85</v>
      </c>
      <c r="S2471">
        <v>1363</v>
      </c>
      <c r="T2471">
        <v>-40</v>
      </c>
      <c r="U2471">
        <v>51</v>
      </c>
      <c r="V2471">
        <v>-184</v>
      </c>
      <c r="W2471">
        <v>28</v>
      </c>
      <c r="X2471">
        <v>28</v>
      </c>
      <c r="Y2471">
        <v>1</v>
      </c>
      <c r="Z2471">
        <v>8</v>
      </c>
      <c r="AA2471">
        <v>25</v>
      </c>
      <c r="AB2471">
        <v>1</v>
      </c>
      <c r="AC2471">
        <v>3</v>
      </c>
      <c r="AD2471">
        <v>3.27999997</v>
      </c>
      <c r="AE2471">
        <v>1</v>
      </c>
      <c r="AF2471">
        <v>16</v>
      </c>
      <c r="AG2471">
        <v>3.2780001200000002</v>
      </c>
      <c r="AH2471">
        <v>1</v>
      </c>
      <c r="AI2471">
        <v>4</v>
      </c>
      <c r="AJ2471">
        <v>1</v>
      </c>
      <c r="AK2471">
        <v>18</v>
      </c>
      <c r="AL2471">
        <v>52</v>
      </c>
      <c r="AM2471" t="s">
        <v>43</v>
      </c>
      <c r="AN2471" t="str">
        <f>HYPERLINK("https://www.google.com/maps?q=10.82850838,79.1332016","Open Location")</f>
        <v>Open Location</v>
      </c>
    </row>
    <row r="2472" spans="1:40" x14ac:dyDescent="0.3">
      <c r="A2472" s="1">
        <v>46210.713541666664</v>
      </c>
      <c r="B2472" t="s">
        <v>40</v>
      </c>
      <c r="C2472" t="s">
        <v>41</v>
      </c>
      <c r="D2472" s="1">
        <v>46210.716805555552</v>
      </c>
      <c r="E2472" t="s">
        <v>42</v>
      </c>
      <c r="F2472" t="s">
        <v>83</v>
      </c>
      <c r="G2472">
        <v>31</v>
      </c>
      <c r="H2472">
        <v>33176</v>
      </c>
      <c r="I2472" t="s">
        <v>1285</v>
      </c>
      <c r="J2472">
        <v>56</v>
      </c>
      <c r="K2472">
        <v>154</v>
      </c>
      <c r="L2472">
        <v>98</v>
      </c>
      <c r="M2472">
        <v>622.29998779000005</v>
      </c>
      <c r="N2472" t="s">
        <v>87</v>
      </c>
      <c r="O2472" t="s">
        <v>86</v>
      </c>
      <c r="P2472">
        <v>130</v>
      </c>
      <c r="Q2472">
        <v>5</v>
      </c>
      <c r="R2472">
        <v>26</v>
      </c>
      <c r="S2472">
        <v>1434</v>
      </c>
      <c r="T2472">
        <v>-40</v>
      </c>
      <c r="U2472">
        <v>51</v>
      </c>
      <c r="V2472">
        <v>620</v>
      </c>
      <c r="W2472">
        <v>28</v>
      </c>
      <c r="X2472">
        <v>28</v>
      </c>
      <c r="Y2472">
        <v>1</v>
      </c>
      <c r="Z2472">
        <v>8</v>
      </c>
      <c r="AA2472">
        <v>25</v>
      </c>
      <c r="AB2472">
        <v>1</v>
      </c>
      <c r="AC2472">
        <v>3</v>
      </c>
      <c r="AD2472">
        <v>3.2449998899999999</v>
      </c>
      <c r="AE2472">
        <v>5</v>
      </c>
      <c r="AF2472">
        <v>38</v>
      </c>
      <c r="AG2472">
        <v>3.22900009</v>
      </c>
      <c r="AH2472">
        <v>4</v>
      </c>
      <c r="AI2472">
        <v>17</v>
      </c>
      <c r="AJ2472">
        <v>1</v>
      </c>
      <c r="AK2472">
        <v>17</v>
      </c>
      <c r="AL2472">
        <v>52</v>
      </c>
      <c r="AM2472" t="s">
        <v>43</v>
      </c>
      <c r="AN2472" t="str">
        <f>HYPERLINK("https://www.google.com/maps?q=10.8289566,79.1340332","Open Location")</f>
        <v>Open Location</v>
      </c>
    </row>
    <row r="2473" spans="1:40" x14ac:dyDescent="0.3">
      <c r="A2473" s="1">
        <v>46210.713425925926</v>
      </c>
      <c r="B2473" t="s">
        <v>40</v>
      </c>
      <c r="C2473" t="s">
        <v>41</v>
      </c>
      <c r="D2473" s="1">
        <v>46210.716238425928</v>
      </c>
      <c r="E2473" t="s">
        <v>42</v>
      </c>
      <c r="F2473" t="s">
        <v>83</v>
      </c>
      <c r="G2473">
        <v>32</v>
      </c>
      <c r="H2473">
        <v>33176</v>
      </c>
      <c r="I2473" t="s">
        <v>1286</v>
      </c>
      <c r="J2473">
        <v>56</v>
      </c>
      <c r="K2473">
        <v>-34</v>
      </c>
      <c r="L2473">
        <v>98</v>
      </c>
      <c r="M2473">
        <v>627.79998779000005</v>
      </c>
      <c r="N2473" t="s">
        <v>87</v>
      </c>
      <c r="O2473" t="s">
        <v>86</v>
      </c>
      <c r="P2473">
        <v>130</v>
      </c>
      <c r="Q2473">
        <v>5</v>
      </c>
      <c r="R2473">
        <v>-28</v>
      </c>
      <c r="S2473">
        <v>1610</v>
      </c>
      <c r="T2473">
        <v>-40</v>
      </c>
      <c r="U2473">
        <v>51</v>
      </c>
      <c r="V2473">
        <v>-184</v>
      </c>
      <c r="W2473">
        <v>29</v>
      </c>
      <c r="X2473">
        <v>29</v>
      </c>
      <c r="Y2473">
        <v>1</v>
      </c>
      <c r="Z2473">
        <v>8</v>
      </c>
      <c r="AA2473">
        <v>25</v>
      </c>
      <c r="AB2473">
        <v>1</v>
      </c>
      <c r="AC2473">
        <v>3</v>
      </c>
      <c r="AD2473">
        <v>3.2730000000000001</v>
      </c>
      <c r="AE2473">
        <v>1</v>
      </c>
      <c r="AF2473">
        <v>26</v>
      </c>
      <c r="AG2473">
        <v>3.2660000299999998</v>
      </c>
      <c r="AH2473">
        <v>6</v>
      </c>
      <c r="AI2473">
        <v>17</v>
      </c>
      <c r="AJ2473">
        <v>1</v>
      </c>
      <c r="AK2473">
        <v>18</v>
      </c>
      <c r="AL2473">
        <v>52</v>
      </c>
      <c r="AM2473" t="s">
        <v>43</v>
      </c>
      <c r="AN2473" t="str">
        <f>HYPERLINK("https://www.google.com/maps?q=10.82942009,79.13490295","Open Location")</f>
        <v>Open Location</v>
      </c>
    </row>
    <row r="2474" spans="1:40" x14ac:dyDescent="0.3">
      <c r="A2474" s="1">
        <v>46210.713310185187</v>
      </c>
      <c r="B2474" t="s">
        <v>40</v>
      </c>
      <c r="C2474" t="s">
        <v>41</v>
      </c>
      <c r="D2474" s="1">
        <v>46210.71634259259</v>
      </c>
      <c r="E2474" t="s">
        <v>42</v>
      </c>
      <c r="F2474" t="s">
        <v>83</v>
      </c>
      <c r="G2474">
        <v>37</v>
      </c>
      <c r="H2474">
        <v>33176</v>
      </c>
      <c r="I2474" t="s">
        <v>1287</v>
      </c>
      <c r="J2474">
        <v>56</v>
      </c>
      <c r="K2474">
        <v>185</v>
      </c>
      <c r="L2474">
        <v>98</v>
      </c>
      <c r="M2474">
        <v>618.59997558999999</v>
      </c>
      <c r="N2474" t="s">
        <v>87</v>
      </c>
      <c r="O2474" t="s">
        <v>86</v>
      </c>
      <c r="P2474">
        <v>130</v>
      </c>
      <c r="Q2474">
        <v>5</v>
      </c>
      <c r="R2474">
        <v>63</v>
      </c>
      <c r="S2474">
        <v>1662</v>
      </c>
      <c r="T2474">
        <v>-40</v>
      </c>
      <c r="U2474">
        <v>52</v>
      </c>
      <c r="V2474">
        <v>600</v>
      </c>
      <c r="W2474">
        <v>29</v>
      </c>
      <c r="X2474">
        <v>29</v>
      </c>
      <c r="Y2474">
        <v>1</v>
      </c>
      <c r="Z2474">
        <v>8</v>
      </c>
      <c r="AA2474">
        <v>25</v>
      </c>
      <c r="AB2474">
        <v>1</v>
      </c>
      <c r="AC2474">
        <v>3</v>
      </c>
      <c r="AD2474">
        <v>3.2339999700000002</v>
      </c>
      <c r="AE2474">
        <v>1</v>
      </c>
      <c r="AF2474">
        <v>42</v>
      </c>
      <c r="AG2474">
        <v>3.21700001</v>
      </c>
      <c r="AH2474">
        <v>4</v>
      </c>
      <c r="AI2474">
        <v>17</v>
      </c>
      <c r="AJ2474">
        <v>1</v>
      </c>
      <c r="AK2474">
        <v>18</v>
      </c>
      <c r="AL2474">
        <v>52</v>
      </c>
      <c r="AM2474" t="s">
        <v>43</v>
      </c>
      <c r="AN2474" t="str">
        <f>HYPERLINK("https://www.google.com/maps?q=10.82989407,79.13591766","Open Location")</f>
        <v>Open Location</v>
      </c>
    </row>
    <row r="2475" spans="1:40" x14ac:dyDescent="0.3">
      <c r="A2475" s="1">
        <v>46210.713194444441</v>
      </c>
      <c r="B2475" t="s">
        <v>40</v>
      </c>
      <c r="C2475" t="s">
        <v>41</v>
      </c>
      <c r="D2475" s="1">
        <v>46210.715937499997</v>
      </c>
      <c r="E2475" t="s">
        <v>42</v>
      </c>
      <c r="F2475" t="s">
        <v>83</v>
      </c>
      <c r="G2475">
        <v>36</v>
      </c>
      <c r="H2475">
        <v>33176</v>
      </c>
      <c r="I2475" t="s">
        <v>43</v>
      </c>
      <c r="J2475">
        <v>56</v>
      </c>
      <c r="K2475">
        <v>56</v>
      </c>
      <c r="L2475">
        <v>98</v>
      </c>
      <c r="M2475">
        <v>623.90002441000001</v>
      </c>
      <c r="N2475" t="s">
        <v>87</v>
      </c>
      <c r="O2475" t="s">
        <v>86</v>
      </c>
      <c r="P2475">
        <v>130</v>
      </c>
      <c r="Q2475">
        <v>5</v>
      </c>
      <c r="R2475">
        <v>-33</v>
      </c>
      <c r="S2475">
        <v>1722</v>
      </c>
      <c r="T2475">
        <v>-40</v>
      </c>
      <c r="U2475">
        <v>51</v>
      </c>
      <c r="V2475">
        <v>180</v>
      </c>
      <c r="W2475">
        <v>29</v>
      </c>
      <c r="X2475">
        <v>29</v>
      </c>
      <c r="Y2475">
        <v>1</v>
      </c>
      <c r="Z2475">
        <v>8</v>
      </c>
      <c r="AA2475">
        <v>25</v>
      </c>
      <c r="AB2475">
        <v>1</v>
      </c>
      <c r="AC2475">
        <v>3</v>
      </c>
      <c r="AD2475">
        <v>3.25600004</v>
      </c>
      <c r="AE2475">
        <v>1</v>
      </c>
      <c r="AF2475">
        <v>39</v>
      </c>
      <c r="AG2475">
        <v>3.2479999099999999</v>
      </c>
      <c r="AH2475">
        <v>4</v>
      </c>
      <c r="AI2475">
        <v>17</v>
      </c>
      <c r="AJ2475">
        <v>1</v>
      </c>
      <c r="AK2475">
        <v>18</v>
      </c>
      <c r="AL2475">
        <v>52</v>
      </c>
      <c r="AM2475" t="s">
        <v>43</v>
      </c>
      <c r="AN2475" t="s">
        <v>43</v>
      </c>
    </row>
    <row r="2476" spans="1:40" x14ac:dyDescent="0.3">
      <c r="A2476" s="1">
        <v>46210.713078703702</v>
      </c>
      <c r="B2476" t="s">
        <v>40</v>
      </c>
      <c r="C2476" t="s">
        <v>41</v>
      </c>
      <c r="D2476" s="1">
        <v>46210.71597222222</v>
      </c>
      <c r="E2476" t="s">
        <v>42</v>
      </c>
      <c r="F2476" t="s">
        <v>83</v>
      </c>
      <c r="G2476">
        <v>39</v>
      </c>
      <c r="H2476">
        <v>33176</v>
      </c>
      <c r="I2476" t="s">
        <v>1288</v>
      </c>
      <c r="J2476">
        <v>56</v>
      </c>
      <c r="K2476">
        <v>87</v>
      </c>
      <c r="L2476">
        <v>98</v>
      </c>
      <c r="M2476">
        <v>621.70001220999995</v>
      </c>
      <c r="N2476" t="s">
        <v>87</v>
      </c>
      <c r="O2476" t="s">
        <v>86</v>
      </c>
      <c r="P2476">
        <v>130</v>
      </c>
      <c r="Q2476">
        <v>5</v>
      </c>
      <c r="R2476">
        <v>33</v>
      </c>
      <c r="S2476">
        <v>1777</v>
      </c>
      <c r="T2476">
        <v>-40</v>
      </c>
      <c r="U2476">
        <v>52</v>
      </c>
      <c r="V2476">
        <v>272</v>
      </c>
      <c r="W2476">
        <v>29</v>
      </c>
      <c r="X2476">
        <v>29</v>
      </c>
      <c r="Y2476">
        <v>1</v>
      </c>
      <c r="Z2476">
        <v>8</v>
      </c>
      <c r="AA2476">
        <v>25</v>
      </c>
      <c r="AB2476">
        <v>1</v>
      </c>
      <c r="AC2476">
        <v>3</v>
      </c>
      <c r="AD2476">
        <v>3.2449998899999999</v>
      </c>
      <c r="AE2476">
        <v>1</v>
      </c>
      <c r="AF2476">
        <v>39</v>
      </c>
      <c r="AG2476">
        <v>3.2339999700000002</v>
      </c>
      <c r="AH2476">
        <v>4</v>
      </c>
      <c r="AI2476">
        <v>17</v>
      </c>
      <c r="AJ2476">
        <v>1</v>
      </c>
      <c r="AK2476">
        <v>18</v>
      </c>
      <c r="AL2476">
        <v>52</v>
      </c>
      <c r="AM2476" t="s">
        <v>43</v>
      </c>
      <c r="AN2476" t="str">
        <f>HYPERLINK("https://www.google.com/maps?q=10.82996559,79.13706207","Open Location")</f>
        <v>Open Location</v>
      </c>
    </row>
    <row r="2477" spans="1:40" x14ac:dyDescent="0.3">
      <c r="A2477" s="1">
        <v>46210.712962962964</v>
      </c>
      <c r="B2477" t="s">
        <v>40</v>
      </c>
      <c r="C2477" t="s">
        <v>41</v>
      </c>
      <c r="D2477" s="1">
        <v>46210.715844907405</v>
      </c>
      <c r="E2477" t="s">
        <v>42</v>
      </c>
      <c r="F2477" t="s">
        <v>83</v>
      </c>
      <c r="G2477">
        <v>38</v>
      </c>
      <c r="H2477" t="s">
        <v>43</v>
      </c>
      <c r="I2477" t="s">
        <v>1289</v>
      </c>
      <c r="J2477">
        <v>56</v>
      </c>
      <c r="K2477">
        <v>122</v>
      </c>
      <c r="L2477">
        <v>98</v>
      </c>
      <c r="M2477">
        <v>620.09997558999999</v>
      </c>
      <c r="N2477" t="s">
        <v>87</v>
      </c>
      <c r="O2477" t="s">
        <v>86</v>
      </c>
      <c r="P2477">
        <v>130</v>
      </c>
      <c r="Q2477">
        <v>5</v>
      </c>
      <c r="R2477">
        <v>90</v>
      </c>
      <c r="S2477">
        <v>1709</v>
      </c>
      <c r="T2477">
        <v>-40</v>
      </c>
      <c r="U2477">
        <v>53</v>
      </c>
      <c r="V2477">
        <v>400</v>
      </c>
      <c r="W2477">
        <v>29</v>
      </c>
      <c r="X2477">
        <v>29</v>
      </c>
      <c r="Y2477">
        <v>1</v>
      </c>
      <c r="Z2477">
        <v>8</v>
      </c>
      <c r="AA2477">
        <v>25</v>
      </c>
      <c r="AB2477">
        <v>1</v>
      </c>
      <c r="AC2477">
        <v>3</v>
      </c>
      <c r="AD2477">
        <v>3.24099994</v>
      </c>
      <c r="AE2477">
        <v>1</v>
      </c>
      <c r="AF2477">
        <v>38</v>
      </c>
      <c r="AG2477">
        <v>3.22900009</v>
      </c>
      <c r="AH2477">
        <v>4</v>
      </c>
      <c r="AI2477">
        <v>17</v>
      </c>
      <c r="AJ2477">
        <v>1</v>
      </c>
      <c r="AK2477">
        <v>17</v>
      </c>
      <c r="AL2477">
        <v>52</v>
      </c>
      <c r="AM2477" t="s">
        <v>43</v>
      </c>
      <c r="AN2477" t="str">
        <f>HYPERLINK("https://www.google.com/maps?q=10.82977962,79.13832855","Open Location")</f>
        <v>Open Location</v>
      </c>
    </row>
    <row r="2478" spans="1:40" x14ac:dyDescent="0.3">
      <c r="A2478" s="1">
        <v>46210.712847222225</v>
      </c>
      <c r="B2478" t="s">
        <v>40</v>
      </c>
      <c r="C2478" t="s">
        <v>41</v>
      </c>
      <c r="D2478" s="1">
        <v>46210.715949074074</v>
      </c>
      <c r="E2478" t="s">
        <v>42</v>
      </c>
      <c r="F2478" t="s">
        <v>83</v>
      </c>
      <c r="G2478">
        <v>36</v>
      </c>
      <c r="H2478">
        <v>33175</v>
      </c>
      <c r="I2478" t="s">
        <v>1290</v>
      </c>
      <c r="J2478">
        <v>56</v>
      </c>
      <c r="K2478">
        <v>179</v>
      </c>
      <c r="L2478">
        <v>98</v>
      </c>
      <c r="M2478">
        <v>618.20001220999995</v>
      </c>
      <c r="N2478" t="s">
        <v>87</v>
      </c>
      <c r="O2478" t="s">
        <v>86</v>
      </c>
      <c r="P2478">
        <v>130</v>
      </c>
      <c r="Q2478">
        <v>5</v>
      </c>
      <c r="R2478">
        <v>111</v>
      </c>
      <c r="S2478">
        <v>1579</v>
      </c>
      <c r="T2478">
        <v>-40</v>
      </c>
      <c r="U2478">
        <v>54</v>
      </c>
      <c r="V2478">
        <v>640</v>
      </c>
      <c r="W2478">
        <v>29</v>
      </c>
      <c r="X2478">
        <v>29</v>
      </c>
      <c r="Y2478">
        <v>1</v>
      </c>
      <c r="Z2478">
        <v>8</v>
      </c>
      <c r="AA2478">
        <v>25</v>
      </c>
      <c r="AB2478">
        <v>1</v>
      </c>
      <c r="AC2478">
        <v>3</v>
      </c>
      <c r="AD2478">
        <v>3.23200011</v>
      </c>
      <c r="AE2478">
        <v>1</v>
      </c>
      <c r="AF2478">
        <v>42</v>
      </c>
      <c r="AG2478">
        <v>3.2160000800000001</v>
      </c>
      <c r="AH2478">
        <v>4</v>
      </c>
      <c r="AI2478">
        <v>17</v>
      </c>
      <c r="AJ2478">
        <v>1</v>
      </c>
      <c r="AK2478">
        <v>17</v>
      </c>
      <c r="AL2478">
        <v>52</v>
      </c>
      <c r="AM2478" t="s">
        <v>43</v>
      </c>
      <c r="AN2478" t="str">
        <f>HYPERLINK("https://www.google.com/maps?q=10.82920361,79.13929749","Open Location")</f>
        <v>Open Location</v>
      </c>
    </row>
    <row r="2479" spans="1:40" x14ac:dyDescent="0.3">
      <c r="A2479" s="1">
        <v>46210.712731481479</v>
      </c>
      <c r="B2479" t="s">
        <v>40</v>
      </c>
      <c r="C2479" t="s">
        <v>41</v>
      </c>
      <c r="D2479" s="1">
        <v>46210.715451388889</v>
      </c>
      <c r="E2479" t="s">
        <v>42</v>
      </c>
      <c r="F2479" t="s">
        <v>83</v>
      </c>
      <c r="G2479">
        <v>32</v>
      </c>
      <c r="H2479">
        <v>33175</v>
      </c>
      <c r="I2479" t="s">
        <v>1291</v>
      </c>
      <c r="J2479">
        <v>56</v>
      </c>
      <c r="K2479">
        <v>204</v>
      </c>
      <c r="L2479">
        <v>98</v>
      </c>
      <c r="M2479">
        <v>617.70001220999995</v>
      </c>
      <c r="N2479" t="s">
        <v>87</v>
      </c>
      <c r="O2479" t="s">
        <v>86</v>
      </c>
      <c r="P2479">
        <v>130</v>
      </c>
      <c r="Q2479">
        <v>5</v>
      </c>
      <c r="R2479">
        <v>94</v>
      </c>
      <c r="S2479">
        <v>1401</v>
      </c>
      <c r="T2479">
        <v>-40</v>
      </c>
      <c r="U2479">
        <v>55</v>
      </c>
      <c r="V2479">
        <v>788</v>
      </c>
      <c r="W2479">
        <v>28</v>
      </c>
      <c r="X2479">
        <v>28</v>
      </c>
      <c r="Y2479">
        <v>1</v>
      </c>
      <c r="Z2479">
        <v>8</v>
      </c>
      <c r="AA2479">
        <v>25</v>
      </c>
      <c r="AB2479">
        <v>1</v>
      </c>
      <c r="AC2479">
        <v>3</v>
      </c>
      <c r="AD2479">
        <v>3.2300000199999999</v>
      </c>
      <c r="AE2479">
        <v>1</v>
      </c>
      <c r="AF2479">
        <v>38</v>
      </c>
      <c r="AG2479">
        <v>3.2130000600000002</v>
      </c>
      <c r="AH2479">
        <v>4</v>
      </c>
      <c r="AI2479">
        <v>17</v>
      </c>
      <c r="AJ2479">
        <v>1</v>
      </c>
      <c r="AK2479">
        <v>18</v>
      </c>
      <c r="AL2479">
        <v>52</v>
      </c>
      <c r="AM2479" t="s">
        <v>43</v>
      </c>
      <c r="AN2479" t="str">
        <f>HYPERLINK("https://www.google.com/maps?q=10.82845306,79.13991547","Open Location")</f>
        <v>Open Location</v>
      </c>
    </row>
    <row r="2480" spans="1:40" x14ac:dyDescent="0.3">
      <c r="A2480" s="1">
        <v>46210.71261574074</v>
      </c>
      <c r="B2480" t="s">
        <v>40</v>
      </c>
      <c r="C2480" t="s">
        <v>41</v>
      </c>
      <c r="D2480" s="1">
        <v>46210.715590277781</v>
      </c>
      <c r="E2480" t="s">
        <v>42</v>
      </c>
      <c r="F2480" t="s">
        <v>83</v>
      </c>
      <c r="G2480">
        <v>28</v>
      </c>
      <c r="H2480" t="s">
        <v>43</v>
      </c>
      <c r="I2480" t="s">
        <v>43</v>
      </c>
      <c r="J2480">
        <v>56</v>
      </c>
      <c r="K2480">
        <v>196</v>
      </c>
      <c r="L2480">
        <v>98</v>
      </c>
      <c r="M2480">
        <v>617.59997558999999</v>
      </c>
      <c r="N2480" t="s">
        <v>87</v>
      </c>
      <c r="O2480" t="s">
        <v>86</v>
      </c>
      <c r="P2480">
        <v>130</v>
      </c>
      <c r="Q2480">
        <v>5</v>
      </c>
      <c r="R2480">
        <v>103</v>
      </c>
      <c r="S2480">
        <v>1164</v>
      </c>
      <c r="T2480">
        <v>-40</v>
      </c>
      <c r="U2480">
        <v>55</v>
      </c>
      <c r="V2480">
        <v>920</v>
      </c>
      <c r="W2480">
        <v>28</v>
      </c>
      <c r="X2480">
        <v>28</v>
      </c>
      <c r="Y2480">
        <v>1</v>
      </c>
      <c r="Z2480">
        <v>8</v>
      </c>
      <c r="AA2480">
        <v>25</v>
      </c>
      <c r="AB2480">
        <v>1</v>
      </c>
      <c r="AC2480">
        <v>3</v>
      </c>
      <c r="AD2480">
        <v>3.2369999900000002</v>
      </c>
      <c r="AE2480">
        <v>1</v>
      </c>
      <c r="AF2480">
        <v>42</v>
      </c>
      <c r="AG2480">
        <v>3.22300005</v>
      </c>
      <c r="AH2480">
        <v>4</v>
      </c>
      <c r="AI2480">
        <v>17</v>
      </c>
      <c r="AJ2480">
        <v>1</v>
      </c>
      <c r="AK2480">
        <v>18</v>
      </c>
      <c r="AL2480">
        <v>52</v>
      </c>
      <c r="AM2480" t="s">
        <v>43</v>
      </c>
      <c r="AN2480" t="s">
        <v>43</v>
      </c>
    </row>
    <row r="2481" spans="1:40" x14ac:dyDescent="0.3">
      <c r="A2481" s="1">
        <v>46210.712500000001</v>
      </c>
      <c r="B2481" t="s">
        <v>40</v>
      </c>
      <c r="C2481" t="s">
        <v>41</v>
      </c>
      <c r="D2481" s="1">
        <v>46210.715381944443</v>
      </c>
      <c r="E2481" t="s">
        <v>42</v>
      </c>
      <c r="F2481" t="s">
        <v>83</v>
      </c>
      <c r="G2481">
        <v>23</v>
      </c>
      <c r="H2481">
        <v>33175</v>
      </c>
      <c r="I2481" t="s">
        <v>1292</v>
      </c>
      <c r="J2481">
        <v>56</v>
      </c>
      <c r="K2481">
        <v>161</v>
      </c>
      <c r="L2481">
        <v>98</v>
      </c>
      <c r="M2481">
        <v>620.09997558999999</v>
      </c>
      <c r="N2481" t="s">
        <v>87</v>
      </c>
      <c r="O2481" t="s">
        <v>86</v>
      </c>
      <c r="P2481">
        <v>130</v>
      </c>
      <c r="Q2481">
        <v>5</v>
      </c>
      <c r="R2481">
        <v>128</v>
      </c>
      <c r="S2481">
        <v>949</v>
      </c>
      <c r="T2481">
        <v>-40</v>
      </c>
      <c r="U2481">
        <v>55</v>
      </c>
      <c r="V2481">
        <v>880</v>
      </c>
      <c r="W2481">
        <v>28</v>
      </c>
      <c r="X2481">
        <v>28</v>
      </c>
      <c r="Y2481">
        <v>1</v>
      </c>
      <c r="Z2481">
        <v>8</v>
      </c>
      <c r="AA2481">
        <v>25</v>
      </c>
      <c r="AB2481">
        <v>1</v>
      </c>
      <c r="AC2481">
        <v>3</v>
      </c>
      <c r="AD2481">
        <v>3.2509999299999999</v>
      </c>
      <c r="AE2481">
        <v>1</v>
      </c>
      <c r="AF2481">
        <v>38</v>
      </c>
      <c r="AG2481">
        <v>3.2390000799999998</v>
      </c>
      <c r="AH2481">
        <v>4</v>
      </c>
      <c r="AI2481">
        <v>17</v>
      </c>
      <c r="AJ2481">
        <v>1</v>
      </c>
      <c r="AK2481">
        <v>18</v>
      </c>
      <c r="AL2481">
        <v>52</v>
      </c>
      <c r="AM2481" t="s">
        <v>43</v>
      </c>
      <c r="AN2481" t="str">
        <f>HYPERLINK("https://www.google.com/maps?q=10.82774067,79.14030457","Open Location")</f>
        <v>Open Location</v>
      </c>
    </row>
    <row r="2482" spans="1:40" x14ac:dyDescent="0.3">
      <c r="A2482" s="1">
        <v>46210.712384259263</v>
      </c>
      <c r="B2482" t="s">
        <v>40</v>
      </c>
      <c r="C2482" t="s">
        <v>41</v>
      </c>
      <c r="D2482" s="1">
        <v>46210.71534722222</v>
      </c>
      <c r="E2482" t="s">
        <v>42</v>
      </c>
      <c r="F2482" t="s">
        <v>83</v>
      </c>
      <c r="G2482">
        <v>18</v>
      </c>
      <c r="H2482">
        <v>33175</v>
      </c>
      <c r="I2482" t="s">
        <v>1293</v>
      </c>
      <c r="J2482">
        <v>56</v>
      </c>
      <c r="K2482">
        <v>-59</v>
      </c>
      <c r="L2482">
        <v>98</v>
      </c>
      <c r="M2482">
        <v>632.90002441000001</v>
      </c>
      <c r="N2482" t="s">
        <v>87</v>
      </c>
      <c r="O2482" t="s">
        <v>86</v>
      </c>
      <c r="P2482">
        <v>130</v>
      </c>
      <c r="Q2482">
        <v>5</v>
      </c>
      <c r="R2482">
        <v>44</v>
      </c>
      <c r="S2482">
        <v>1024</v>
      </c>
      <c r="T2482">
        <v>-40</v>
      </c>
      <c r="U2482">
        <v>52</v>
      </c>
      <c r="V2482">
        <v>-184</v>
      </c>
      <c r="W2482">
        <v>28</v>
      </c>
      <c r="X2482">
        <v>28</v>
      </c>
      <c r="Y2482">
        <v>1</v>
      </c>
      <c r="Z2482">
        <v>8</v>
      </c>
      <c r="AA2482">
        <v>25</v>
      </c>
      <c r="AB2482">
        <v>1</v>
      </c>
      <c r="AC2482">
        <v>3</v>
      </c>
      <c r="AD2482">
        <v>3.2869999399999998</v>
      </c>
      <c r="AE2482">
        <v>5</v>
      </c>
      <c r="AF2482">
        <v>5</v>
      </c>
      <c r="AG2482">
        <v>3.2839999199999999</v>
      </c>
      <c r="AH2482">
        <v>1</v>
      </c>
      <c r="AI2482">
        <v>4</v>
      </c>
      <c r="AJ2482">
        <v>1</v>
      </c>
      <c r="AK2482">
        <v>18</v>
      </c>
      <c r="AL2482">
        <v>52</v>
      </c>
      <c r="AM2482" t="s">
        <v>43</v>
      </c>
      <c r="AN2482" t="str">
        <f>HYPERLINK("https://www.google.com/maps?q=10.82713413,79.14048004","Open Location")</f>
        <v>Open Location</v>
      </c>
    </row>
    <row r="2483" spans="1:40" x14ac:dyDescent="0.3">
      <c r="A2483" s="1">
        <v>46210.712268518517</v>
      </c>
      <c r="B2483" t="s">
        <v>40</v>
      </c>
      <c r="C2483" t="s">
        <v>41</v>
      </c>
      <c r="D2483" s="1">
        <v>46210.715069444443</v>
      </c>
      <c r="E2483" t="s">
        <v>42</v>
      </c>
      <c r="F2483" t="s">
        <v>83</v>
      </c>
      <c r="G2483">
        <v>32</v>
      </c>
      <c r="H2483">
        <v>33175</v>
      </c>
      <c r="I2483" t="s">
        <v>1294</v>
      </c>
      <c r="J2483">
        <v>56</v>
      </c>
      <c r="K2483">
        <v>47</v>
      </c>
      <c r="L2483">
        <v>98</v>
      </c>
      <c r="M2483">
        <v>625.70001220999995</v>
      </c>
      <c r="N2483" t="s">
        <v>87</v>
      </c>
      <c r="O2483" t="s">
        <v>86</v>
      </c>
      <c r="P2483">
        <v>130</v>
      </c>
      <c r="Q2483">
        <v>5</v>
      </c>
      <c r="R2483">
        <v>-28</v>
      </c>
      <c r="S2483">
        <v>1426</v>
      </c>
      <c r="T2483">
        <v>-40</v>
      </c>
      <c r="U2483">
        <v>51</v>
      </c>
      <c r="V2483">
        <v>260</v>
      </c>
      <c r="W2483">
        <v>28</v>
      </c>
      <c r="X2483">
        <v>28</v>
      </c>
      <c r="Y2483">
        <v>1</v>
      </c>
      <c r="Z2483">
        <v>8</v>
      </c>
      <c r="AA2483">
        <v>25</v>
      </c>
      <c r="AB2483">
        <v>1</v>
      </c>
      <c r="AC2483">
        <v>3</v>
      </c>
      <c r="AD2483">
        <v>3.25300002</v>
      </c>
      <c r="AE2483">
        <v>1</v>
      </c>
      <c r="AF2483">
        <v>42</v>
      </c>
      <c r="AG2483">
        <v>3.2430000300000001</v>
      </c>
      <c r="AH2483">
        <v>4</v>
      </c>
      <c r="AI2483">
        <v>17</v>
      </c>
      <c r="AJ2483">
        <v>1</v>
      </c>
      <c r="AK2483">
        <v>18</v>
      </c>
      <c r="AL2483">
        <v>52</v>
      </c>
      <c r="AM2483" t="s">
        <v>43</v>
      </c>
      <c r="AN2483" t="str">
        <f>HYPERLINK("https://www.google.com/maps?q=10.82653618,79.14098358","Open Location")</f>
        <v>Open Location</v>
      </c>
    </row>
    <row r="2484" spans="1:40" x14ac:dyDescent="0.3">
      <c r="A2484" s="1">
        <v>46210.712152777778</v>
      </c>
      <c r="B2484" t="s">
        <v>40</v>
      </c>
      <c r="C2484" t="s">
        <v>41</v>
      </c>
      <c r="D2484" s="1">
        <v>46210.715381944443</v>
      </c>
      <c r="E2484" t="s">
        <v>42</v>
      </c>
      <c r="F2484" t="s">
        <v>83</v>
      </c>
      <c r="G2484">
        <v>32</v>
      </c>
      <c r="H2484">
        <v>33175</v>
      </c>
      <c r="I2484" t="s">
        <v>1295</v>
      </c>
      <c r="J2484">
        <v>56</v>
      </c>
      <c r="K2484">
        <v>168</v>
      </c>
      <c r="L2484">
        <v>98</v>
      </c>
      <c r="M2484">
        <v>619.90002441000001</v>
      </c>
      <c r="N2484" t="s">
        <v>87</v>
      </c>
      <c r="O2484" t="s">
        <v>86</v>
      </c>
      <c r="P2484">
        <v>130</v>
      </c>
      <c r="Q2484">
        <v>5</v>
      </c>
      <c r="R2484">
        <v>128</v>
      </c>
      <c r="S2484">
        <v>1402</v>
      </c>
      <c r="T2484">
        <v>-40</v>
      </c>
      <c r="U2484">
        <v>54</v>
      </c>
      <c r="V2484">
        <v>645</v>
      </c>
      <c r="W2484">
        <v>28</v>
      </c>
      <c r="X2484">
        <v>28</v>
      </c>
      <c r="Y2484">
        <v>1</v>
      </c>
      <c r="Z2484">
        <v>8</v>
      </c>
      <c r="AA2484">
        <v>25</v>
      </c>
      <c r="AB2484">
        <v>1</v>
      </c>
      <c r="AC2484">
        <v>3</v>
      </c>
      <c r="AD2484">
        <v>3.2390000799999998</v>
      </c>
      <c r="AE2484">
        <v>1</v>
      </c>
      <c r="AF2484">
        <v>42</v>
      </c>
      <c r="AG2484">
        <v>3.2239999799999999</v>
      </c>
      <c r="AH2484">
        <v>4</v>
      </c>
      <c r="AI2484">
        <v>17</v>
      </c>
      <c r="AJ2484">
        <v>1</v>
      </c>
      <c r="AK2484">
        <v>18</v>
      </c>
      <c r="AL2484">
        <v>52</v>
      </c>
      <c r="AM2484" t="s">
        <v>43</v>
      </c>
      <c r="AN2484" t="str">
        <f>HYPERLINK("https://www.google.com/maps?q=10.8257103,79.14144897","Open Location")</f>
        <v>Open Location</v>
      </c>
    </row>
    <row r="2485" spans="1:40" x14ac:dyDescent="0.3">
      <c r="A2485" s="1">
        <v>46210.712037037039</v>
      </c>
      <c r="B2485" t="s">
        <v>40</v>
      </c>
      <c r="C2485" t="s">
        <v>41</v>
      </c>
      <c r="D2485" s="1">
        <v>46210.715046296296</v>
      </c>
      <c r="E2485" t="s">
        <v>42</v>
      </c>
      <c r="F2485" t="s">
        <v>83</v>
      </c>
      <c r="G2485">
        <v>28</v>
      </c>
      <c r="H2485" t="s">
        <v>43</v>
      </c>
      <c r="I2485" t="s">
        <v>1296</v>
      </c>
      <c r="J2485">
        <v>56</v>
      </c>
      <c r="K2485">
        <v>-24</v>
      </c>
      <c r="L2485">
        <v>98</v>
      </c>
      <c r="M2485">
        <v>628.59997558999999</v>
      </c>
      <c r="N2485" t="s">
        <v>87</v>
      </c>
      <c r="O2485" t="s">
        <v>86</v>
      </c>
      <c r="P2485">
        <v>130</v>
      </c>
      <c r="Q2485">
        <v>5</v>
      </c>
      <c r="R2485">
        <v>127</v>
      </c>
      <c r="S2485">
        <v>730</v>
      </c>
      <c r="T2485">
        <v>-40</v>
      </c>
      <c r="U2485">
        <v>52</v>
      </c>
      <c r="V2485">
        <v>-300</v>
      </c>
      <c r="W2485">
        <v>28</v>
      </c>
      <c r="X2485">
        <v>28</v>
      </c>
      <c r="Y2485">
        <v>1</v>
      </c>
      <c r="Z2485">
        <v>8</v>
      </c>
      <c r="AA2485">
        <v>25</v>
      </c>
      <c r="AB2485">
        <v>1</v>
      </c>
      <c r="AC2485">
        <v>3</v>
      </c>
      <c r="AD2485">
        <v>3.2920000599999999</v>
      </c>
      <c r="AE2485">
        <v>4</v>
      </c>
      <c r="AF2485">
        <v>24</v>
      </c>
      <c r="AG2485">
        <v>3.2869999399999998</v>
      </c>
      <c r="AH2485">
        <v>1</v>
      </c>
      <c r="AI2485">
        <v>4</v>
      </c>
      <c r="AJ2485">
        <v>1</v>
      </c>
      <c r="AK2485">
        <v>18</v>
      </c>
      <c r="AL2485">
        <v>52</v>
      </c>
      <c r="AM2485" t="s">
        <v>43</v>
      </c>
      <c r="AN2485" t="str">
        <f>HYPERLINK("https://www.google.com/maps?q=10.82496834,79.14189148","Open Location")</f>
        <v>Open Location</v>
      </c>
    </row>
    <row r="2486" spans="1:40" x14ac:dyDescent="0.3">
      <c r="A2486" s="1">
        <v>46210.711921296293</v>
      </c>
      <c r="B2486" t="s">
        <v>40</v>
      </c>
      <c r="C2486" t="s">
        <v>41</v>
      </c>
      <c r="D2486" s="1">
        <v>46210.715092592596</v>
      </c>
      <c r="E2486" t="s">
        <v>42</v>
      </c>
      <c r="F2486" t="s">
        <v>83</v>
      </c>
      <c r="G2486">
        <v>35</v>
      </c>
      <c r="H2486">
        <v>33175</v>
      </c>
      <c r="I2486" t="s">
        <v>43</v>
      </c>
      <c r="J2486">
        <v>56</v>
      </c>
      <c r="K2486">
        <v>-43</v>
      </c>
      <c r="L2486">
        <v>98</v>
      </c>
      <c r="M2486">
        <v>629</v>
      </c>
      <c r="N2486" t="s">
        <v>87</v>
      </c>
      <c r="O2486" t="s">
        <v>86</v>
      </c>
      <c r="P2486">
        <v>131</v>
      </c>
      <c r="Q2486">
        <v>6</v>
      </c>
      <c r="R2486">
        <v>-32</v>
      </c>
      <c r="S2486">
        <v>1050</v>
      </c>
      <c r="T2486">
        <v>-40</v>
      </c>
      <c r="U2486">
        <v>50</v>
      </c>
      <c r="V2486">
        <v>-300</v>
      </c>
      <c r="W2486">
        <v>28</v>
      </c>
      <c r="X2486">
        <v>28</v>
      </c>
      <c r="Y2486">
        <v>1</v>
      </c>
      <c r="Z2486">
        <v>8</v>
      </c>
      <c r="AA2486">
        <v>25</v>
      </c>
      <c r="AB2486">
        <v>1</v>
      </c>
      <c r="AC2486">
        <v>3</v>
      </c>
      <c r="AD2486">
        <v>3.2790000400000001</v>
      </c>
      <c r="AE2486">
        <v>1</v>
      </c>
      <c r="AF2486">
        <v>17</v>
      </c>
      <c r="AG2486">
        <v>3.27699995</v>
      </c>
      <c r="AH2486">
        <v>1</v>
      </c>
      <c r="AI2486">
        <v>4</v>
      </c>
      <c r="AJ2486">
        <v>1</v>
      </c>
      <c r="AK2486">
        <v>18</v>
      </c>
      <c r="AL2486">
        <v>52</v>
      </c>
      <c r="AM2486" t="s">
        <v>43</v>
      </c>
      <c r="AN2486" t="s">
        <v>43</v>
      </c>
    </row>
    <row r="2487" spans="1:40" x14ac:dyDescent="0.3">
      <c r="A2487" s="1">
        <v>46210.711805555555</v>
      </c>
      <c r="B2487" t="s">
        <v>40</v>
      </c>
      <c r="C2487" t="s">
        <v>41</v>
      </c>
      <c r="D2487" s="1">
        <v>46210.714768518519</v>
      </c>
      <c r="E2487" t="s">
        <v>42</v>
      </c>
      <c r="F2487" t="s">
        <v>83</v>
      </c>
      <c r="G2487">
        <v>38</v>
      </c>
      <c r="H2487">
        <v>33175</v>
      </c>
      <c r="I2487" t="s">
        <v>1297</v>
      </c>
      <c r="J2487">
        <v>56</v>
      </c>
      <c r="K2487">
        <v>81</v>
      </c>
      <c r="L2487">
        <v>98</v>
      </c>
      <c r="M2487">
        <v>623.40002441000001</v>
      </c>
      <c r="N2487" t="s">
        <v>87</v>
      </c>
      <c r="O2487" t="s">
        <v>86</v>
      </c>
      <c r="P2487">
        <v>131</v>
      </c>
      <c r="Q2487">
        <v>6</v>
      </c>
      <c r="R2487">
        <v>31</v>
      </c>
      <c r="S2487">
        <v>1092</v>
      </c>
      <c r="T2487">
        <v>-40</v>
      </c>
      <c r="U2487">
        <v>51</v>
      </c>
      <c r="V2487">
        <v>420</v>
      </c>
      <c r="W2487">
        <v>28</v>
      </c>
      <c r="X2487">
        <v>28</v>
      </c>
      <c r="Y2487">
        <v>1</v>
      </c>
      <c r="Z2487">
        <v>8</v>
      </c>
      <c r="AA2487">
        <v>25</v>
      </c>
      <c r="AB2487">
        <v>1</v>
      </c>
      <c r="AC2487">
        <v>3</v>
      </c>
      <c r="AD2487">
        <v>3.25600004</v>
      </c>
      <c r="AE2487">
        <v>1</v>
      </c>
      <c r="AF2487">
        <v>39</v>
      </c>
      <c r="AG2487">
        <v>3.24699998</v>
      </c>
      <c r="AH2487">
        <v>4</v>
      </c>
      <c r="AI2487">
        <v>17</v>
      </c>
      <c r="AJ2487">
        <v>1</v>
      </c>
      <c r="AK2487">
        <v>18</v>
      </c>
      <c r="AL2487">
        <v>52</v>
      </c>
      <c r="AM2487" t="s">
        <v>43</v>
      </c>
      <c r="AN2487" t="str">
        <f>HYPERLINK("https://www.google.com/maps?q=10.82408619,79.1427002","Open Location")</f>
        <v>Open Location</v>
      </c>
    </row>
    <row r="2488" spans="1:40" x14ac:dyDescent="0.3">
      <c r="A2488" s="1">
        <v>46210.711689814816</v>
      </c>
      <c r="B2488" t="s">
        <v>40</v>
      </c>
      <c r="C2488" t="s">
        <v>41</v>
      </c>
      <c r="D2488" s="1">
        <v>46210.714768518519</v>
      </c>
      <c r="E2488" t="s">
        <v>42</v>
      </c>
      <c r="F2488" t="s">
        <v>83</v>
      </c>
      <c r="G2488">
        <v>40</v>
      </c>
      <c r="H2488">
        <v>33175</v>
      </c>
      <c r="I2488" t="s">
        <v>1298</v>
      </c>
      <c r="J2488">
        <v>56</v>
      </c>
      <c r="K2488">
        <v>96</v>
      </c>
      <c r="L2488">
        <v>98</v>
      </c>
      <c r="M2488">
        <v>622.70001220999995</v>
      </c>
      <c r="N2488" t="s">
        <v>87</v>
      </c>
      <c r="O2488" t="s">
        <v>86</v>
      </c>
      <c r="P2488">
        <v>130</v>
      </c>
      <c r="Q2488">
        <v>5</v>
      </c>
      <c r="R2488">
        <v>87</v>
      </c>
      <c r="S2488">
        <v>1806</v>
      </c>
      <c r="T2488">
        <v>-40</v>
      </c>
      <c r="U2488">
        <v>51</v>
      </c>
      <c r="V2488">
        <v>300</v>
      </c>
      <c r="W2488">
        <v>28</v>
      </c>
      <c r="X2488">
        <v>28</v>
      </c>
      <c r="Y2488">
        <v>1</v>
      </c>
      <c r="Z2488">
        <v>8</v>
      </c>
      <c r="AA2488">
        <v>25</v>
      </c>
      <c r="AB2488">
        <v>1</v>
      </c>
      <c r="AC2488">
        <v>3</v>
      </c>
      <c r="AD2488">
        <v>3.2520000900000001</v>
      </c>
      <c r="AE2488">
        <v>5</v>
      </c>
      <c r="AF2488">
        <v>38</v>
      </c>
      <c r="AG2488">
        <v>3.24099994</v>
      </c>
      <c r="AH2488">
        <v>4</v>
      </c>
      <c r="AI2488">
        <v>17</v>
      </c>
      <c r="AJ2488">
        <v>1</v>
      </c>
      <c r="AK2488">
        <v>19</v>
      </c>
      <c r="AL2488">
        <v>52</v>
      </c>
      <c r="AM2488" t="s">
        <v>43</v>
      </c>
      <c r="AN2488" t="str">
        <f>HYPERLINK("https://www.google.com/maps?q=10.82323074,79.1435318","Open Location")</f>
        <v>Open Location</v>
      </c>
    </row>
    <row r="2489" spans="1:40" x14ac:dyDescent="0.3">
      <c r="A2489" s="1">
        <v>46210.711574074077</v>
      </c>
      <c r="B2489" t="s">
        <v>40</v>
      </c>
      <c r="C2489" t="s">
        <v>41</v>
      </c>
      <c r="D2489" s="1">
        <v>46210.714282407411</v>
      </c>
      <c r="E2489" t="s">
        <v>42</v>
      </c>
      <c r="F2489" t="s">
        <v>83</v>
      </c>
      <c r="G2489">
        <v>39</v>
      </c>
      <c r="H2489">
        <v>33174</v>
      </c>
      <c r="I2489" t="s">
        <v>1299</v>
      </c>
      <c r="J2489">
        <v>57</v>
      </c>
      <c r="K2489">
        <v>153</v>
      </c>
      <c r="L2489">
        <v>98</v>
      </c>
      <c r="M2489">
        <v>620.90002441000001</v>
      </c>
      <c r="N2489" t="s">
        <v>87</v>
      </c>
      <c r="O2489" t="s">
        <v>86</v>
      </c>
      <c r="P2489">
        <v>130</v>
      </c>
      <c r="Q2489">
        <v>5</v>
      </c>
      <c r="R2489">
        <v>45</v>
      </c>
      <c r="S2489">
        <v>1800</v>
      </c>
      <c r="T2489">
        <v>-40</v>
      </c>
      <c r="U2489">
        <v>52</v>
      </c>
      <c r="V2489">
        <v>512</v>
      </c>
      <c r="W2489">
        <v>28</v>
      </c>
      <c r="X2489">
        <v>28</v>
      </c>
      <c r="Y2489">
        <v>1</v>
      </c>
      <c r="Z2489">
        <v>8</v>
      </c>
      <c r="AA2489">
        <v>25</v>
      </c>
      <c r="AB2489">
        <v>1</v>
      </c>
      <c r="AC2489">
        <v>3</v>
      </c>
      <c r="AD2489">
        <v>3.2349999</v>
      </c>
      <c r="AE2489">
        <v>1</v>
      </c>
      <c r="AF2489">
        <v>38</v>
      </c>
      <c r="AG2489">
        <v>3.22000003</v>
      </c>
      <c r="AH2489">
        <v>4</v>
      </c>
      <c r="AI2489">
        <v>17</v>
      </c>
      <c r="AJ2489">
        <v>1</v>
      </c>
      <c r="AK2489">
        <v>18</v>
      </c>
      <c r="AL2489">
        <v>52</v>
      </c>
      <c r="AM2489" t="s">
        <v>43</v>
      </c>
      <c r="AN2489" t="str">
        <f>HYPERLINK("https://www.google.com/maps?q=10.82238102,79.14438629","Open Location")</f>
        <v>Open Location</v>
      </c>
    </row>
    <row r="2490" spans="1:40" x14ac:dyDescent="0.3">
      <c r="A2490" s="1">
        <v>46210.711458333331</v>
      </c>
      <c r="B2490" t="s">
        <v>40</v>
      </c>
      <c r="C2490" t="s">
        <v>41</v>
      </c>
      <c r="D2490" s="1">
        <v>46210.714317129627</v>
      </c>
      <c r="E2490" t="s">
        <v>42</v>
      </c>
      <c r="F2490" t="s">
        <v>83</v>
      </c>
      <c r="G2490">
        <v>37</v>
      </c>
      <c r="H2490">
        <v>33174</v>
      </c>
      <c r="I2490" t="s">
        <v>1300</v>
      </c>
      <c r="J2490">
        <v>57</v>
      </c>
      <c r="K2490">
        <v>-31</v>
      </c>
      <c r="L2490">
        <v>98</v>
      </c>
      <c r="M2490">
        <v>628</v>
      </c>
      <c r="N2490" t="s">
        <v>87</v>
      </c>
      <c r="O2490" t="s">
        <v>86</v>
      </c>
      <c r="P2490">
        <v>130</v>
      </c>
      <c r="Q2490">
        <v>5</v>
      </c>
      <c r="R2490">
        <v>168</v>
      </c>
      <c r="S2490">
        <v>1600</v>
      </c>
      <c r="T2490">
        <v>-40</v>
      </c>
      <c r="U2490">
        <v>52</v>
      </c>
      <c r="V2490">
        <v>-184</v>
      </c>
      <c r="W2490">
        <v>28</v>
      </c>
      <c r="X2490">
        <v>28</v>
      </c>
      <c r="Y2490">
        <v>1</v>
      </c>
      <c r="Z2490">
        <v>8</v>
      </c>
      <c r="AA2490">
        <v>25</v>
      </c>
      <c r="AB2490">
        <v>1</v>
      </c>
      <c r="AC2490">
        <v>3</v>
      </c>
      <c r="AD2490">
        <v>3.28299999</v>
      </c>
      <c r="AE2490">
        <v>1</v>
      </c>
      <c r="AF2490">
        <v>41</v>
      </c>
      <c r="AG2490">
        <v>3.27999997</v>
      </c>
      <c r="AH2490">
        <v>2</v>
      </c>
      <c r="AI2490">
        <v>6</v>
      </c>
      <c r="AJ2490">
        <v>1</v>
      </c>
      <c r="AK2490">
        <v>18</v>
      </c>
      <c r="AL2490">
        <v>52</v>
      </c>
      <c r="AM2490" t="s">
        <v>43</v>
      </c>
      <c r="AN2490" t="str">
        <f>HYPERLINK("https://www.google.com/maps?q=10.82157326,79.14519501","Open Location")</f>
        <v>Open Location</v>
      </c>
    </row>
    <row r="2491" spans="1:40" x14ac:dyDescent="0.3">
      <c r="A2491" s="1">
        <v>46210.711342592593</v>
      </c>
      <c r="B2491" t="s">
        <v>40</v>
      </c>
      <c r="C2491" t="s">
        <v>41</v>
      </c>
      <c r="D2491" s="1">
        <v>46210.713969907411</v>
      </c>
      <c r="E2491" t="s">
        <v>42</v>
      </c>
      <c r="F2491" t="s">
        <v>83</v>
      </c>
      <c r="G2491">
        <v>38</v>
      </c>
      <c r="H2491">
        <v>33174</v>
      </c>
      <c r="I2491" t="s">
        <v>1301</v>
      </c>
      <c r="J2491">
        <v>57</v>
      </c>
      <c r="K2491">
        <v>79</v>
      </c>
      <c r="L2491">
        <v>98</v>
      </c>
      <c r="M2491">
        <v>623.79998779000005</v>
      </c>
      <c r="N2491" t="s">
        <v>87</v>
      </c>
      <c r="O2491" t="s">
        <v>86</v>
      </c>
      <c r="P2491">
        <v>130</v>
      </c>
      <c r="Q2491">
        <v>5</v>
      </c>
      <c r="R2491">
        <v>-34</v>
      </c>
      <c r="S2491">
        <v>1784</v>
      </c>
      <c r="T2491">
        <v>-40</v>
      </c>
      <c r="U2491">
        <v>50</v>
      </c>
      <c r="V2491">
        <v>240</v>
      </c>
      <c r="W2491">
        <v>28</v>
      </c>
      <c r="X2491">
        <v>28</v>
      </c>
      <c r="Y2491">
        <v>1</v>
      </c>
      <c r="Z2491">
        <v>8</v>
      </c>
      <c r="AA2491">
        <v>25</v>
      </c>
      <c r="AB2491">
        <v>1</v>
      </c>
      <c r="AC2491">
        <v>3</v>
      </c>
      <c r="AD2491">
        <v>3.2520000900000001</v>
      </c>
      <c r="AE2491">
        <v>1</v>
      </c>
      <c r="AF2491">
        <v>42</v>
      </c>
      <c r="AG2491">
        <v>3.2420000999999998</v>
      </c>
      <c r="AH2491">
        <v>4</v>
      </c>
      <c r="AI2491">
        <v>17</v>
      </c>
      <c r="AJ2491">
        <v>1</v>
      </c>
      <c r="AK2491">
        <v>18</v>
      </c>
      <c r="AL2491">
        <v>52</v>
      </c>
      <c r="AM2491" t="s">
        <v>43</v>
      </c>
      <c r="AN2491" t="str">
        <f>HYPERLINK("https://www.google.com/maps?q=10.82074356,79.14602661","Open Location")</f>
        <v>Open Location</v>
      </c>
    </row>
    <row r="2492" spans="1:40" x14ac:dyDescent="0.3">
      <c r="A2492" s="1">
        <v>46210.711226851854</v>
      </c>
      <c r="B2492" t="s">
        <v>40</v>
      </c>
      <c r="C2492" t="s">
        <v>41</v>
      </c>
      <c r="D2492" s="1">
        <v>46210.713993055557</v>
      </c>
      <c r="E2492" t="s">
        <v>42</v>
      </c>
      <c r="F2492" t="s">
        <v>83</v>
      </c>
      <c r="G2492">
        <v>39</v>
      </c>
      <c r="H2492">
        <v>33174</v>
      </c>
      <c r="I2492" t="s">
        <v>43</v>
      </c>
      <c r="J2492">
        <v>57</v>
      </c>
      <c r="K2492">
        <v>95</v>
      </c>
      <c r="L2492">
        <v>98</v>
      </c>
      <c r="M2492">
        <v>622.59997558999999</v>
      </c>
      <c r="N2492" t="s">
        <v>87</v>
      </c>
      <c r="O2492" t="s">
        <v>86</v>
      </c>
      <c r="P2492">
        <v>130</v>
      </c>
      <c r="Q2492">
        <v>5</v>
      </c>
      <c r="R2492">
        <v>63</v>
      </c>
      <c r="S2492">
        <v>1786</v>
      </c>
      <c r="T2492">
        <v>-40</v>
      </c>
      <c r="U2492">
        <v>51</v>
      </c>
      <c r="V2492">
        <v>300</v>
      </c>
      <c r="W2492">
        <v>28</v>
      </c>
      <c r="X2492">
        <v>28</v>
      </c>
      <c r="Y2492">
        <v>1</v>
      </c>
      <c r="Z2492">
        <v>8</v>
      </c>
      <c r="AA2492">
        <v>25</v>
      </c>
      <c r="AB2492">
        <v>1</v>
      </c>
      <c r="AC2492">
        <v>3</v>
      </c>
      <c r="AD2492">
        <v>3.2520000900000001</v>
      </c>
      <c r="AE2492">
        <v>1</v>
      </c>
      <c r="AF2492">
        <v>38</v>
      </c>
      <c r="AG2492">
        <v>3.2420000999999998</v>
      </c>
      <c r="AH2492">
        <v>4</v>
      </c>
      <c r="AI2492">
        <v>17</v>
      </c>
      <c r="AJ2492">
        <v>1</v>
      </c>
      <c r="AK2492">
        <v>18</v>
      </c>
      <c r="AL2492">
        <v>52</v>
      </c>
      <c r="AM2492" t="s">
        <v>43</v>
      </c>
      <c r="AN2492" t="s">
        <v>43</v>
      </c>
    </row>
    <row r="2493" spans="1:40" x14ac:dyDescent="0.3">
      <c r="A2493" s="1">
        <v>46210.711111111108</v>
      </c>
      <c r="B2493" t="s">
        <v>40</v>
      </c>
      <c r="C2493" t="s">
        <v>41</v>
      </c>
      <c r="D2493" s="1">
        <v>46210.714282407411</v>
      </c>
      <c r="E2493" t="s">
        <v>42</v>
      </c>
      <c r="F2493" t="s">
        <v>83</v>
      </c>
      <c r="G2493">
        <v>40</v>
      </c>
      <c r="H2493">
        <v>33174</v>
      </c>
      <c r="I2493" t="s">
        <v>1302</v>
      </c>
      <c r="J2493">
        <v>57</v>
      </c>
      <c r="K2493">
        <v>98</v>
      </c>
      <c r="L2493">
        <v>98</v>
      </c>
      <c r="M2493">
        <v>622.70001220999995</v>
      </c>
      <c r="N2493" t="s">
        <v>87</v>
      </c>
      <c r="O2493" t="s">
        <v>86</v>
      </c>
      <c r="P2493">
        <v>130</v>
      </c>
      <c r="Q2493">
        <v>5</v>
      </c>
      <c r="R2493">
        <v>75</v>
      </c>
      <c r="S2493">
        <v>1787</v>
      </c>
      <c r="T2493">
        <v>-40</v>
      </c>
      <c r="U2493">
        <v>52</v>
      </c>
      <c r="V2493">
        <v>280</v>
      </c>
      <c r="W2493">
        <v>28</v>
      </c>
      <c r="X2493">
        <v>28</v>
      </c>
      <c r="Y2493">
        <v>1</v>
      </c>
      <c r="Z2493">
        <v>8</v>
      </c>
      <c r="AA2493">
        <v>25</v>
      </c>
      <c r="AB2493">
        <v>1</v>
      </c>
      <c r="AC2493">
        <v>3</v>
      </c>
      <c r="AD2493">
        <v>3.25</v>
      </c>
      <c r="AE2493">
        <v>1</v>
      </c>
      <c r="AF2493">
        <v>41</v>
      </c>
      <c r="AG2493">
        <v>3.2390000799999998</v>
      </c>
      <c r="AH2493">
        <v>4</v>
      </c>
      <c r="AI2493">
        <v>17</v>
      </c>
      <c r="AJ2493">
        <v>1</v>
      </c>
      <c r="AK2493">
        <v>18</v>
      </c>
      <c r="AL2493">
        <v>52</v>
      </c>
      <c r="AM2493" t="s">
        <v>43</v>
      </c>
      <c r="AN2493" t="str">
        <f>HYPERLINK("https://www.google.com/maps?q=10.81983089,79.14680481","Open Location")</f>
        <v>Open Location</v>
      </c>
    </row>
    <row r="2494" spans="1:40" x14ac:dyDescent="0.3">
      <c r="A2494" s="1">
        <v>46210.710995370369</v>
      </c>
      <c r="B2494" t="s">
        <v>40</v>
      </c>
      <c r="C2494" t="s">
        <v>41</v>
      </c>
      <c r="D2494" s="1">
        <v>46210.714282407411</v>
      </c>
      <c r="E2494" t="s">
        <v>42</v>
      </c>
      <c r="F2494" t="s">
        <v>83</v>
      </c>
      <c r="G2494">
        <v>38</v>
      </c>
      <c r="H2494">
        <v>33174</v>
      </c>
      <c r="I2494" t="s">
        <v>1303</v>
      </c>
      <c r="J2494">
        <v>57</v>
      </c>
      <c r="K2494">
        <v>212</v>
      </c>
      <c r="L2494">
        <v>98</v>
      </c>
      <c r="M2494">
        <v>618</v>
      </c>
      <c r="N2494" t="s">
        <v>87</v>
      </c>
      <c r="O2494" t="s">
        <v>86</v>
      </c>
      <c r="P2494">
        <v>130</v>
      </c>
      <c r="Q2494">
        <v>5</v>
      </c>
      <c r="R2494">
        <v>71</v>
      </c>
      <c r="S2494">
        <v>1695</v>
      </c>
      <c r="T2494">
        <v>-40</v>
      </c>
      <c r="U2494">
        <v>52</v>
      </c>
      <c r="V2494">
        <v>700</v>
      </c>
      <c r="W2494">
        <v>28</v>
      </c>
      <c r="X2494">
        <v>28</v>
      </c>
      <c r="Y2494">
        <v>1</v>
      </c>
      <c r="Z2494">
        <v>8</v>
      </c>
      <c r="AA2494">
        <v>25</v>
      </c>
      <c r="AB2494">
        <v>1</v>
      </c>
      <c r="AC2494">
        <v>3</v>
      </c>
      <c r="AD2494">
        <v>3.2420000999999998</v>
      </c>
      <c r="AE2494">
        <v>1</v>
      </c>
      <c r="AF2494">
        <v>38</v>
      </c>
      <c r="AG2494">
        <v>3.2269999999999999</v>
      </c>
      <c r="AH2494">
        <v>4</v>
      </c>
      <c r="AI2494">
        <v>17</v>
      </c>
      <c r="AJ2494">
        <v>1</v>
      </c>
      <c r="AK2494">
        <v>18</v>
      </c>
      <c r="AL2494">
        <v>52</v>
      </c>
      <c r="AM2494" t="s">
        <v>43</v>
      </c>
      <c r="AN2494" t="str">
        <f>HYPERLINK("https://www.google.com/maps?q=10.81881523,79.14740753","Open Location")</f>
        <v>Open Location</v>
      </c>
    </row>
    <row r="2495" spans="1:40" x14ac:dyDescent="0.3">
      <c r="A2495" s="1">
        <v>46210.710879629631</v>
      </c>
      <c r="B2495" t="s">
        <v>40</v>
      </c>
      <c r="C2495" t="s">
        <v>41</v>
      </c>
      <c r="D2495" s="1">
        <v>46210.713854166665</v>
      </c>
      <c r="E2495" t="s">
        <v>42</v>
      </c>
      <c r="F2495" t="s">
        <v>83</v>
      </c>
      <c r="G2495">
        <v>36</v>
      </c>
      <c r="H2495">
        <v>33174</v>
      </c>
      <c r="I2495" t="s">
        <v>1304</v>
      </c>
      <c r="J2495">
        <v>57</v>
      </c>
      <c r="K2495">
        <v>154</v>
      </c>
      <c r="L2495">
        <v>98</v>
      </c>
      <c r="M2495">
        <v>620.5</v>
      </c>
      <c r="N2495" t="s">
        <v>87</v>
      </c>
      <c r="O2495" t="s">
        <v>86</v>
      </c>
      <c r="P2495">
        <v>130</v>
      </c>
      <c r="Q2495">
        <v>5</v>
      </c>
      <c r="R2495">
        <v>51</v>
      </c>
      <c r="S2495">
        <v>1540</v>
      </c>
      <c r="T2495">
        <v>-40</v>
      </c>
      <c r="U2495">
        <v>52</v>
      </c>
      <c r="V2495">
        <v>560</v>
      </c>
      <c r="W2495">
        <v>28</v>
      </c>
      <c r="X2495">
        <v>28</v>
      </c>
      <c r="Y2495">
        <v>1</v>
      </c>
      <c r="Z2495">
        <v>8</v>
      </c>
      <c r="AA2495">
        <v>25</v>
      </c>
      <c r="AB2495">
        <v>1</v>
      </c>
      <c r="AC2495">
        <v>3</v>
      </c>
      <c r="AD2495">
        <v>3.2430000300000001</v>
      </c>
      <c r="AE2495">
        <v>1</v>
      </c>
      <c r="AF2495">
        <v>38</v>
      </c>
      <c r="AG2495">
        <v>3.2309999500000002</v>
      </c>
      <c r="AH2495">
        <v>4</v>
      </c>
      <c r="AI2495">
        <v>17</v>
      </c>
      <c r="AJ2495">
        <v>1</v>
      </c>
      <c r="AK2495">
        <v>18</v>
      </c>
      <c r="AL2495">
        <v>52</v>
      </c>
      <c r="AM2495" t="s">
        <v>43</v>
      </c>
      <c r="AN2495" t="str">
        <f>HYPERLINK("https://www.google.com/maps?q=10.81764889,79.14771271","Open Location")</f>
        <v>Open Location</v>
      </c>
    </row>
    <row r="2496" spans="1:40" x14ac:dyDescent="0.3">
      <c r="A2496" s="1">
        <v>46210.710763888892</v>
      </c>
      <c r="B2496" t="s">
        <v>40</v>
      </c>
      <c r="C2496" t="s">
        <v>41</v>
      </c>
      <c r="D2496" s="1">
        <v>46210.71366898148</v>
      </c>
      <c r="E2496" t="s">
        <v>42</v>
      </c>
      <c r="F2496" t="s">
        <v>83</v>
      </c>
      <c r="G2496">
        <v>27</v>
      </c>
      <c r="H2496">
        <v>33174</v>
      </c>
      <c r="I2496" t="s">
        <v>1305</v>
      </c>
      <c r="J2496">
        <v>57</v>
      </c>
      <c r="K2496">
        <v>140</v>
      </c>
      <c r="L2496">
        <v>98</v>
      </c>
      <c r="M2496">
        <v>621.09997558999999</v>
      </c>
      <c r="N2496" t="s">
        <v>87</v>
      </c>
      <c r="O2496" t="s">
        <v>86</v>
      </c>
      <c r="P2496">
        <v>130</v>
      </c>
      <c r="Q2496">
        <v>5</v>
      </c>
      <c r="R2496">
        <v>120</v>
      </c>
      <c r="S2496">
        <v>1156</v>
      </c>
      <c r="T2496">
        <v>-40</v>
      </c>
      <c r="U2496">
        <v>53</v>
      </c>
      <c r="V2496">
        <v>720</v>
      </c>
      <c r="W2496">
        <v>28</v>
      </c>
      <c r="X2496">
        <v>28</v>
      </c>
      <c r="Y2496">
        <v>1</v>
      </c>
      <c r="Z2496">
        <v>8</v>
      </c>
      <c r="AA2496">
        <v>25</v>
      </c>
      <c r="AB2496">
        <v>1</v>
      </c>
      <c r="AC2496">
        <v>3</v>
      </c>
      <c r="AD2496">
        <v>3.25600004</v>
      </c>
      <c r="AE2496">
        <v>1</v>
      </c>
      <c r="AF2496">
        <v>42</v>
      </c>
      <c r="AG2496">
        <v>3.2449998899999999</v>
      </c>
      <c r="AH2496">
        <v>4</v>
      </c>
      <c r="AI2496">
        <v>17</v>
      </c>
      <c r="AJ2496">
        <v>1</v>
      </c>
      <c r="AK2496">
        <v>18</v>
      </c>
      <c r="AL2496">
        <v>52</v>
      </c>
      <c r="AM2496" t="s">
        <v>43</v>
      </c>
      <c r="AN2496" t="str">
        <f>HYPERLINK("https://www.google.com/maps?q=10.8168211,79.14790344","Open Location")</f>
        <v>Open Location</v>
      </c>
    </row>
    <row r="2497" spans="1:40" x14ac:dyDescent="0.3">
      <c r="A2497" s="1">
        <v>46210.710648148146</v>
      </c>
      <c r="B2497" t="s">
        <v>40</v>
      </c>
      <c r="C2497" t="s">
        <v>41</v>
      </c>
      <c r="D2497" s="1">
        <v>46210.713634259257</v>
      </c>
      <c r="E2497" t="s">
        <v>42</v>
      </c>
      <c r="F2497" t="s">
        <v>83</v>
      </c>
      <c r="G2497">
        <v>24</v>
      </c>
      <c r="H2497">
        <v>33174</v>
      </c>
      <c r="I2497" t="s">
        <v>43</v>
      </c>
      <c r="J2497">
        <v>57</v>
      </c>
      <c r="K2497">
        <v>90</v>
      </c>
      <c r="L2497">
        <v>98</v>
      </c>
      <c r="M2497">
        <v>623.40002441000001</v>
      </c>
      <c r="N2497" t="s">
        <v>87</v>
      </c>
      <c r="O2497" t="s">
        <v>86</v>
      </c>
      <c r="P2497">
        <v>130</v>
      </c>
      <c r="Q2497">
        <v>4</v>
      </c>
      <c r="R2497">
        <v>28</v>
      </c>
      <c r="S2497">
        <v>1833</v>
      </c>
      <c r="T2497">
        <v>-40</v>
      </c>
      <c r="U2497">
        <v>51</v>
      </c>
      <c r="V2497">
        <v>280</v>
      </c>
      <c r="W2497">
        <v>28</v>
      </c>
      <c r="X2497">
        <v>28</v>
      </c>
      <c r="Y2497">
        <v>1</v>
      </c>
      <c r="Z2497">
        <v>8</v>
      </c>
      <c r="AA2497">
        <v>24</v>
      </c>
      <c r="AB2497">
        <v>7</v>
      </c>
      <c r="AC2497">
        <v>6</v>
      </c>
      <c r="AD2497">
        <v>3.25600004</v>
      </c>
      <c r="AE2497">
        <v>1</v>
      </c>
      <c r="AF2497">
        <v>41</v>
      </c>
      <c r="AG2497">
        <v>3.2460000500000001</v>
      </c>
      <c r="AH2497">
        <v>4</v>
      </c>
      <c r="AI2497">
        <v>17</v>
      </c>
      <c r="AJ2497">
        <v>1</v>
      </c>
      <c r="AK2497">
        <v>17</v>
      </c>
      <c r="AL2497">
        <v>52</v>
      </c>
      <c r="AM2497" t="s">
        <v>43</v>
      </c>
      <c r="AN2497" t="s">
        <v>43</v>
      </c>
    </row>
    <row r="2498" spans="1:40" x14ac:dyDescent="0.3">
      <c r="A2498" s="1">
        <v>46210.710532407407</v>
      </c>
      <c r="B2498" t="s">
        <v>40</v>
      </c>
      <c r="C2498" t="s">
        <v>41</v>
      </c>
      <c r="D2498" s="1">
        <v>46210.713472222225</v>
      </c>
      <c r="E2498" t="s">
        <v>42</v>
      </c>
      <c r="F2498" t="s">
        <v>83</v>
      </c>
      <c r="G2498">
        <v>23</v>
      </c>
      <c r="H2498">
        <v>33174</v>
      </c>
      <c r="I2498" t="s">
        <v>1306</v>
      </c>
      <c r="J2498">
        <v>57</v>
      </c>
      <c r="K2498">
        <v>287</v>
      </c>
      <c r="L2498">
        <v>98</v>
      </c>
      <c r="M2498">
        <v>615.20001220999995</v>
      </c>
      <c r="N2498" t="s">
        <v>87</v>
      </c>
      <c r="O2498" t="s">
        <v>86</v>
      </c>
      <c r="P2498">
        <v>129</v>
      </c>
      <c r="Q2498">
        <v>4</v>
      </c>
      <c r="R2498">
        <v>57</v>
      </c>
      <c r="S2498">
        <v>1505</v>
      </c>
      <c r="T2498">
        <v>-40</v>
      </c>
      <c r="U2498">
        <v>55</v>
      </c>
      <c r="V2498">
        <v>1060</v>
      </c>
      <c r="W2498">
        <v>28</v>
      </c>
      <c r="X2498">
        <v>28</v>
      </c>
      <c r="Y2498">
        <v>1</v>
      </c>
      <c r="Z2498">
        <v>8</v>
      </c>
      <c r="AA2498">
        <v>24</v>
      </c>
      <c r="AB2498">
        <v>2</v>
      </c>
      <c r="AC2498">
        <v>4</v>
      </c>
      <c r="AD2498">
        <v>3.2219998799999998</v>
      </c>
      <c r="AE2498">
        <v>1</v>
      </c>
      <c r="AF2498">
        <v>44</v>
      </c>
      <c r="AG2498">
        <v>3.2009999800000002</v>
      </c>
      <c r="AH2498">
        <v>4</v>
      </c>
      <c r="AI2498">
        <v>17</v>
      </c>
      <c r="AJ2498">
        <v>1</v>
      </c>
      <c r="AK2498">
        <v>18</v>
      </c>
      <c r="AL2498">
        <v>52</v>
      </c>
      <c r="AM2498" t="s">
        <v>43</v>
      </c>
      <c r="AN2498" t="str">
        <f>HYPERLINK("https://www.google.com/maps?q=10.81611061,79.14807129","Open Location")</f>
        <v>Open Location</v>
      </c>
    </row>
    <row r="2499" spans="1:40" x14ac:dyDescent="0.3">
      <c r="A2499" s="1">
        <v>46210.710416666669</v>
      </c>
      <c r="B2499" t="s">
        <v>40</v>
      </c>
      <c r="C2499" t="s">
        <v>41</v>
      </c>
      <c r="D2499" s="1">
        <v>46210.713425925926</v>
      </c>
      <c r="E2499" t="s">
        <v>42</v>
      </c>
      <c r="F2499" t="s">
        <v>83</v>
      </c>
      <c r="G2499">
        <v>15</v>
      </c>
      <c r="H2499">
        <v>33174</v>
      </c>
      <c r="I2499" t="s">
        <v>1307</v>
      </c>
      <c r="J2499">
        <v>57</v>
      </c>
      <c r="K2499">
        <v>284</v>
      </c>
      <c r="L2499">
        <v>98</v>
      </c>
      <c r="M2499">
        <v>617.79998779000005</v>
      </c>
      <c r="N2499" t="s">
        <v>87</v>
      </c>
      <c r="O2499" t="s">
        <v>86</v>
      </c>
      <c r="P2499">
        <v>129</v>
      </c>
      <c r="Q2499">
        <v>3</v>
      </c>
      <c r="R2499">
        <v>182</v>
      </c>
      <c r="S2499">
        <v>1780</v>
      </c>
      <c r="T2499">
        <v>-40</v>
      </c>
      <c r="U2499">
        <v>53</v>
      </c>
      <c r="V2499">
        <v>900</v>
      </c>
      <c r="W2499">
        <v>28</v>
      </c>
      <c r="X2499">
        <v>28</v>
      </c>
      <c r="Y2499">
        <v>1</v>
      </c>
      <c r="Z2499">
        <v>8</v>
      </c>
      <c r="AA2499">
        <v>24</v>
      </c>
      <c r="AB2499">
        <v>2</v>
      </c>
      <c r="AC2499">
        <v>4</v>
      </c>
      <c r="AD2499">
        <v>3.23200011</v>
      </c>
      <c r="AE2499">
        <v>1</v>
      </c>
      <c r="AF2499">
        <v>44</v>
      </c>
      <c r="AG2499">
        <v>3.21099997</v>
      </c>
      <c r="AH2499">
        <v>8</v>
      </c>
      <c r="AI2499">
        <v>35</v>
      </c>
      <c r="AJ2499">
        <v>1</v>
      </c>
      <c r="AK2499">
        <v>18</v>
      </c>
      <c r="AL2499">
        <v>52</v>
      </c>
      <c r="AM2499" t="s">
        <v>43</v>
      </c>
      <c r="AN2499" t="str">
        <f>HYPERLINK("https://www.google.com/maps?q=10.81552505,79.14820099","Open Location")</f>
        <v>Open Location</v>
      </c>
    </row>
    <row r="2500" spans="1:40" x14ac:dyDescent="0.3">
      <c r="A2500" s="1">
        <v>46210.710300925923</v>
      </c>
      <c r="B2500" t="s">
        <v>40</v>
      </c>
      <c r="C2500" t="s">
        <v>41</v>
      </c>
      <c r="D2500" s="1">
        <v>46210.713136574072</v>
      </c>
      <c r="E2500" t="s">
        <v>42</v>
      </c>
      <c r="F2500" t="s">
        <v>83</v>
      </c>
      <c r="G2500">
        <v>9</v>
      </c>
      <c r="H2500">
        <v>33174</v>
      </c>
      <c r="I2500" t="s">
        <v>1308</v>
      </c>
      <c r="J2500">
        <v>57</v>
      </c>
      <c r="K2500">
        <v>81</v>
      </c>
      <c r="L2500">
        <v>98</v>
      </c>
      <c r="M2500">
        <v>626.5</v>
      </c>
      <c r="N2500" t="s">
        <v>87</v>
      </c>
      <c r="O2500" t="s">
        <v>86</v>
      </c>
      <c r="P2500">
        <v>127</v>
      </c>
      <c r="Q2500">
        <v>2</v>
      </c>
      <c r="R2500">
        <v>0</v>
      </c>
      <c r="S2500">
        <v>1181</v>
      </c>
      <c r="T2500">
        <v>-40</v>
      </c>
      <c r="U2500">
        <v>50</v>
      </c>
      <c r="V2500">
        <v>350</v>
      </c>
      <c r="W2500">
        <v>28</v>
      </c>
      <c r="X2500">
        <v>28</v>
      </c>
      <c r="Y2500">
        <v>1</v>
      </c>
      <c r="Z2500">
        <v>8</v>
      </c>
      <c r="AA2500">
        <v>24</v>
      </c>
      <c r="AB2500">
        <v>2</v>
      </c>
      <c r="AC2500">
        <v>4</v>
      </c>
      <c r="AD2500">
        <v>3.2760000200000001</v>
      </c>
      <c r="AE2500">
        <v>1</v>
      </c>
      <c r="AF2500">
        <v>42</v>
      </c>
      <c r="AG2500">
        <v>3.2699999800000001</v>
      </c>
      <c r="AH2500">
        <v>4</v>
      </c>
      <c r="AI2500">
        <v>17</v>
      </c>
      <c r="AJ2500">
        <v>1</v>
      </c>
      <c r="AK2500">
        <v>17</v>
      </c>
      <c r="AL2500">
        <v>52</v>
      </c>
      <c r="AM2500" t="s">
        <v>43</v>
      </c>
      <c r="AN2500" t="str">
        <f>HYPERLINK("https://www.google.com/maps?q=10.81519127,79.14832306","Open Location")</f>
        <v>Open Location</v>
      </c>
    </row>
    <row r="2501" spans="1:40" x14ac:dyDescent="0.3">
      <c r="A2501" s="1">
        <v>46210.710185185184</v>
      </c>
      <c r="B2501" t="s">
        <v>40</v>
      </c>
      <c r="C2501" t="s">
        <v>41</v>
      </c>
      <c r="D2501" s="1">
        <v>46210.713136574072</v>
      </c>
      <c r="E2501" t="s">
        <v>42</v>
      </c>
      <c r="F2501" t="s">
        <v>83</v>
      </c>
      <c r="G2501">
        <v>3</v>
      </c>
      <c r="H2501">
        <v>33174</v>
      </c>
      <c r="I2501" t="s">
        <v>1309</v>
      </c>
      <c r="J2501">
        <v>57</v>
      </c>
      <c r="K2501">
        <v>14</v>
      </c>
      <c r="L2501">
        <v>98</v>
      </c>
      <c r="M2501">
        <v>629.79998779000005</v>
      </c>
      <c r="N2501" t="s">
        <v>87</v>
      </c>
      <c r="O2501" t="s">
        <v>86</v>
      </c>
      <c r="P2501">
        <v>127</v>
      </c>
      <c r="Q2501">
        <v>2</v>
      </c>
      <c r="R2501">
        <v>11</v>
      </c>
      <c r="S2501">
        <v>506</v>
      </c>
      <c r="T2501">
        <v>-40</v>
      </c>
      <c r="U2501">
        <v>49</v>
      </c>
      <c r="V2501">
        <v>140</v>
      </c>
      <c r="W2501">
        <v>28</v>
      </c>
      <c r="X2501">
        <v>28</v>
      </c>
      <c r="Y2501">
        <v>1</v>
      </c>
      <c r="Z2501">
        <v>8</v>
      </c>
      <c r="AA2501">
        <v>24</v>
      </c>
      <c r="AB2501">
        <v>2</v>
      </c>
      <c r="AC2501">
        <v>4</v>
      </c>
      <c r="AD2501">
        <v>3.28600001</v>
      </c>
      <c r="AE2501">
        <v>5</v>
      </c>
      <c r="AF2501">
        <v>38</v>
      </c>
      <c r="AG2501">
        <v>3.2820000600000001</v>
      </c>
      <c r="AH2501">
        <v>4</v>
      </c>
      <c r="AI2501">
        <v>17</v>
      </c>
      <c r="AJ2501">
        <v>1</v>
      </c>
      <c r="AK2501">
        <v>18</v>
      </c>
      <c r="AL2501">
        <v>52</v>
      </c>
      <c r="AM2501" t="s">
        <v>43</v>
      </c>
      <c r="AN2501" t="str">
        <f>HYPERLINK("https://www.google.com/maps?q=10.81507874,79.14838409","Open Location")</f>
        <v>Open Location</v>
      </c>
    </row>
    <row r="2502" spans="1:40" x14ac:dyDescent="0.3">
      <c r="A2502" s="1">
        <v>46210.710069444445</v>
      </c>
      <c r="B2502" t="s">
        <v>40</v>
      </c>
      <c r="C2502" t="s">
        <v>41</v>
      </c>
      <c r="D2502" s="1">
        <v>46210.713101851848</v>
      </c>
      <c r="E2502" t="s">
        <v>42</v>
      </c>
      <c r="F2502" t="s">
        <v>83</v>
      </c>
      <c r="G2502">
        <v>0</v>
      </c>
      <c r="H2502">
        <v>33174</v>
      </c>
      <c r="I2502" t="s">
        <v>1310</v>
      </c>
      <c r="J2502">
        <v>57</v>
      </c>
      <c r="K2502">
        <v>6</v>
      </c>
      <c r="L2502">
        <v>98</v>
      </c>
      <c r="M2502">
        <v>630.79998779000005</v>
      </c>
      <c r="N2502" t="s">
        <v>85</v>
      </c>
      <c r="O2502" t="s">
        <v>86</v>
      </c>
      <c r="P2502">
        <v>127</v>
      </c>
      <c r="Q2502">
        <v>2</v>
      </c>
      <c r="R2502">
        <v>0</v>
      </c>
      <c r="S2502">
        <v>23</v>
      </c>
      <c r="T2502">
        <v>-40</v>
      </c>
      <c r="U2502">
        <v>48</v>
      </c>
      <c r="V2502">
        <v>140</v>
      </c>
      <c r="W2502">
        <v>28</v>
      </c>
      <c r="X2502">
        <v>28</v>
      </c>
      <c r="Y2502">
        <v>1</v>
      </c>
      <c r="Z2502">
        <v>8</v>
      </c>
      <c r="AA2502">
        <v>24</v>
      </c>
      <c r="AB2502">
        <v>2</v>
      </c>
      <c r="AC2502">
        <v>4</v>
      </c>
      <c r="AD2502">
        <v>3.28800011</v>
      </c>
      <c r="AE2502">
        <v>1</v>
      </c>
      <c r="AF2502">
        <v>25</v>
      </c>
      <c r="AG2502">
        <v>3.28600001</v>
      </c>
      <c r="AH2502">
        <v>1</v>
      </c>
      <c r="AI2502">
        <v>4</v>
      </c>
      <c r="AJ2502">
        <v>1</v>
      </c>
      <c r="AK2502">
        <v>18</v>
      </c>
      <c r="AL2502">
        <v>52</v>
      </c>
      <c r="AM2502" t="s">
        <v>43</v>
      </c>
      <c r="AN2502" t="str">
        <f>HYPERLINK("https://www.google.com/maps?q=10.81506348,79.14839172","Open Location")</f>
        <v>Open Location</v>
      </c>
    </row>
    <row r="2503" spans="1:40" x14ac:dyDescent="0.3">
      <c r="A2503" s="1">
        <v>46210.709953703707</v>
      </c>
      <c r="B2503" t="s">
        <v>40</v>
      </c>
      <c r="C2503" t="s">
        <v>41</v>
      </c>
      <c r="D2503" s="1">
        <v>46210.71298611111</v>
      </c>
      <c r="E2503" t="s">
        <v>42</v>
      </c>
      <c r="F2503" t="s">
        <v>83</v>
      </c>
      <c r="G2503">
        <v>0</v>
      </c>
      <c r="H2503">
        <v>33174</v>
      </c>
      <c r="I2503" t="s">
        <v>43</v>
      </c>
      <c r="J2503">
        <v>57</v>
      </c>
      <c r="K2503">
        <v>4</v>
      </c>
      <c r="L2503">
        <v>98</v>
      </c>
      <c r="M2503">
        <v>630.29998779000005</v>
      </c>
      <c r="N2503" t="s">
        <v>85</v>
      </c>
      <c r="O2503" t="s">
        <v>86</v>
      </c>
      <c r="P2503">
        <v>127</v>
      </c>
      <c r="Q2503">
        <v>2</v>
      </c>
      <c r="R2503">
        <v>0</v>
      </c>
      <c r="S2503">
        <v>0</v>
      </c>
      <c r="T2503">
        <v>-40</v>
      </c>
      <c r="U2503">
        <v>47</v>
      </c>
      <c r="V2503">
        <v>5</v>
      </c>
      <c r="W2503">
        <v>28</v>
      </c>
      <c r="X2503">
        <v>28</v>
      </c>
      <c r="Y2503">
        <v>1</v>
      </c>
      <c r="Z2503">
        <v>8</v>
      </c>
      <c r="AA2503">
        <v>24</v>
      </c>
      <c r="AB2503">
        <v>2</v>
      </c>
      <c r="AC2503">
        <v>4</v>
      </c>
      <c r="AD2503">
        <v>3.28800011</v>
      </c>
      <c r="AE2503">
        <v>1</v>
      </c>
      <c r="AF2503">
        <v>1</v>
      </c>
      <c r="AG2503">
        <v>3.28600001</v>
      </c>
      <c r="AH2503">
        <v>1</v>
      </c>
      <c r="AI2503">
        <v>15</v>
      </c>
      <c r="AJ2503">
        <v>1</v>
      </c>
      <c r="AK2503">
        <v>17</v>
      </c>
      <c r="AL2503">
        <v>52</v>
      </c>
      <c r="AM2503" t="s">
        <v>43</v>
      </c>
      <c r="AN2503" t="s">
        <v>43</v>
      </c>
    </row>
    <row r="2504" spans="1:40" x14ac:dyDescent="0.3">
      <c r="A2504" s="1">
        <v>46210.709837962961</v>
      </c>
      <c r="B2504" t="s">
        <v>40</v>
      </c>
      <c r="C2504" t="s">
        <v>41</v>
      </c>
      <c r="D2504" s="1">
        <v>46210.712719907409</v>
      </c>
      <c r="E2504" t="s">
        <v>42</v>
      </c>
      <c r="F2504" t="s">
        <v>83</v>
      </c>
      <c r="G2504">
        <v>0</v>
      </c>
      <c r="H2504">
        <v>33174</v>
      </c>
      <c r="I2504" t="s">
        <v>1310</v>
      </c>
      <c r="J2504">
        <v>57</v>
      </c>
      <c r="K2504">
        <v>4</v>
      </c>
      <c r="L2504">
        <v>98</v>
      </c>
      <c r="M2504">
        <v>630.70001220999995</v>
      </c>
      <c r="N2504" t="s">
        <v>85</v>
      </c>
      <c r="O2504" t="s">
        <v>86</v>
      </c>
      <c r="P2504">
        <v>127</v>
      </c>
      <c r="Q2504">
        <v>2</v>
      </c>
      <c r="R2504">
        <v>0</v>
      </c>
      <c r="S2504">
        <v>0</v>
      </c>
      <c r="T2504">
        <v>-40</v>
      </c>
      <c r="U2504">
        <v>47</v>
      </c>
      <c r="V2504">
        <v>5</v>
      </c>
      <c r="W2504">
        <v>28</v>
      </c>
      <c r="X2504">
        <v>28</v>
      </c>
      <c r="Y2504">
        <v>1</v>
      </c>
      <c r="Z2504">
        <v>8</v>
      </c>
      <c r="AA2504">
        <v>24</v>
      </c>
      <c r="AB2504">
        <v>2</v>
      </c>
      <c r="AC2504">
        <v>4</v>
      </c>
      <c r="AD2504">
        <v>3.28800011</v>
      </c>
      <c r="AE2504">
        <v>1</v>
      </c>
      <c r="AF2504">
        <v>23</v>
      </c>
      <c r="AG2504">
        <v>3.28600001</v>
      </c>
      <c r="AH2504">
        <v>1</v>
      </c>
      <c r="AI2504">
        <v>4</v>
      </c>
      <c r="AJ2504">
        <v>1</v>
      </c>
      <c r="AK2504">
        <v>18</v>
      </c>
      <c r="AL2504">
        <v>52</v>
      </c>
      <c r="AM2504" t="s">
        <v>43</v>
      </c>
      <c r="AN2504" t="str">
        <f>HYPERLINK("https://www.google.com/maps?q=10.81506348,79.14839172","Open Location")</f>
        <v>Open Location</v>
      </c>
    </row>
    <row r="2505" spans="1:40" x14ac:dyDescent="0.3">
      <c r="A2505" s="1">
        <v>46210.709722222222</v>
      </c>
      <c r="B2505" t="s">
        <v>40</v>
      </c>
      <c r="C2505" t="s">
        <v>41</v>
      </c>
      <c r="D2505" s="1">
        <v>46210.712500000001</v>
      </c>
      <c r="E2505" t="s">
        <v>42</v>
      </c>
      <c r="F2505" t="s">
        <v>83</v>
      </c>
      <c r="G2505">
        <v>0</v>
      </c>
      <c r="H2505" t="s">
        <v>43</v>
      </c>
      <c r="I2505" t="s">
        <v>1311</v>
      </c>
      <c r="J2505">
        <v>57</v>
      </c>
      <c r="K2505">
        <v>11</v>
      </c>
      <c r="L2505">
        <v>98</v>
      </c>
      <c r="M2505">
        <v>630.5</v>
      </c>
      <c r="N2505" t="s">
        <v>85</v>
      </c>
      <c r="O2505" t="s">
        <v>86</v>
      </c>
      <c r="P2505">
        <v>127</v>
      </c>
      <c r="Q2505">
        <v>2</v>
      </c>
      <c r="R2505">
        <v>0</v>
      </c>
      <c r="S2505">
        <v>0</v>
      </c>
      <c r="T2505">
        <v>-40</v>
      </c>
      <c r="U2505">
        <v>47</v>
      </c>
      <c r="V2505">
        <v>5</v>
      </c>
      <c r="W2505">
        <v>28</v>
      </c>
      <c r="X2505">
        <v>28</v>
      </c>
      <c r="Y2505">
        <v>1</v>
      </c>
      <c r="Z2505">
        <v>8</v>
      </c>
      <c r="AA2505">
        <v>24</v>
      </c>
      <c r="AB2505">
        <v>2</v>
      </c>
      <c r="AC2505">
        <v>4</v>
      </c>
      <c r="AD2505">
        <v>3.2869999399999998</v>
      </c>
      <c r="AE2505">
        <v>1</v>
      </c>
      <c r="AF2505">
        <v>36</v>
      </c>
      <c r="AG2505">
        <v>3.27999997</v>
      </c>
      <c r="AH2505">
        <v>5</v>
      </c>
      <c r="AI2505">
        <v>17</v>
      </c>
      <c r="AJ2505">
        <v>1</v>
      </c>
      <c r="AK2505">
        <v>17</v>
      </c>
      <c r="AL2505">
        <v>51</v>
      </c>
      <c r="AM2505" t="s">
        <v>43</v>
      </c>
      <c r="AN2505" t="str">
        <f>HYPERLINK("https://www.google.com/maps?q=10.81505966,79.14839172","Open Location")</f>
        <v>Open Location</v>
      </c>
    </row>
    <row r="2506" spans="1:40" x14ac:dyDescent="0.3">
      <c r="A2506" s="1">
        <v>46210.709606481483</v>
      </c>
      <c r="B2506" t="s">
        <v>40</v>
      </c>
      <c r="C2506" t="s">
        <v>41</v>
      </c>
      <c r="D2506" s="1">
        <v>46210.712511574071</v>
      </c>
      <c r="E2506" t="s">
        <v>42</v>
      </c>
      <c r="F2506" t="s">
        <v>83</v>
      </c>
      <c r="G2506">
        <v>0</v>
      </c>
      <c r="H2506">
        <v>33174</v>
      </c>
      <c r="I2506" t="s">
        <v>1312</v>
      </c>
      <c r="J2506">
        <v>57</v>
      </c>
      <c r="K2506">
        <v>12</v>
      </c>
      <c r="L2506">
        <v>98</v>
      </c>
      <c r="M2506">
        <v>630.40002441000001</v>
      </c>
      <c r="N2506" t="s">
        <v>85</v>
      </c>
      <c r="O2506" t="s">
        <v>82</v>
      </c>
      <c r="P2506">
        <v>127</v>
      </c>
      <c r="Q2506" t="s">
        <v>82</v>
      </c>
      <c r="R2506">
        <v>0</v>
      </c>
      <c r="S2506">
        <v>0</v>
      </c>
      <c r="T2506">
        <v>-40</v>
      </c>
      <c r="U2506">
        <v>47</v>
      </c>
      <c r="V2506">
        <v>0</v>
      </c>
      <c r="W2506">
        <v>28</v>
      </c>
      <c r="X2506">
        <v>28</v>
      </c>
      <c r="Y2506">
        <v>1</v>
      </c>
      <c r="Z2506">
        <v>8</v>
      </c>
      <c r="AA2506">
        <v>24</v>
      </c>
      <c r="AB2506">
        <v>2</v>
      </c>
      <c r="AC2506">
        <v>4</v>
      </c>
      <c r="AD2506">
        <v>3.28600001</v>
      </c>
      <c r="AE2506">
        <v>1</v>
      </c>
      <c r="AF2506">
        <v>1</v>
      </c>
      <c r="AG2506">
        <v>3.2809998999999999</v>
      </c>
      <c r="AH2506">
        <v>5</v>
      </c>
      <c r="AI2506">
        <v>17</v>
      </c>
      <c r="AJ2506">
        <v>1</v>
      </c>
      <c r="AK2506">
        <v>18</v>
      </c>
      <c r="AL2506">
        <v>51</v>
      </c>
      <c r="AM2506" t="s">
        <v>43</v>
      </c>
      <c r="AN2506" t="str">
        <f>HYPERLINK("https://www.google.com/maps?q=10.81506443,79.14839172","Open Location")</f>
        <v>Open Location</v>
      </c>
    </row>
    <row r="2507" spans="1:40" x14ac:dyDescent="0.3">
      <c r="A2507" s="1">
        <v>46210.709490740737</v>
      </c>
      <c r="B2507" t="s">
        <v>40</v>
      </c>
      <c r="C2507" t="s">
        <v>41</v>
      </c>
      <c r="D2507" s="1">
        <v>46210.71230324074</v>
      </c>
      <c r="E2507" t="s">
        <v>42</v>
      </c>
      <c r="F2507" t="s">
        <v>83</v>
      </c>
      <c r="G2507">
        <v>0</v>
      </c>
      <c r="H2507">
        <v>33174</v>
      </c>
      <c r="I2507" t="s">
        <v>1313</v>
      </c>
      <c r="J2507">
        <v>57</v>
      </c>
      <c r="K2507">
        <v>10</v>
      </c>
      <c r="L2507">
        <v>98</v>
      </c>
      <c r="M2507">
        <v>630.59997558999999</v>
      </c>
      <c r="N2507" t="s">
        <v>85</v>
      </c>
      <c r="O2507" t="s">
        <v>82</v>
      </c>
      <c r="P2507">
        <v>125</v>
      </c>
      <c r="Q2507" t="s">
        <v>82</v>
      </c>
      <c r="R2507">
        <v>0</v>
      </c>
      <c r="S2507">
        <v>0</v>
      </c>
      <c r="T2507">
        <v>-40</v>
      </c>
      <c r="U2507">
        <v>47</v>
      </c>
      <c r="V2507">
        <v>0</v>
      </c>
      <c r="W2507">
        <v>28</v>
      </c>
      <c r="X2507">
        <v>28</v>
      </c>
      <c r="Y2507">
        <v>1</v>
      </c>
      <c r="Z2507">
        <v>8</v>
      </c>
      <c r="AA2507">
        <v>24</v>
      </c>
      <c r="AB2507">
        <v>2</v>
      </c>
      <c r="AC2507">
        <v>4</v>
      </c>
      <c r="AD2507">
        <v>3.2869999399999998</v>
      </c>
      <c r="AE2507">
        <v>1</v>
      </c>
      <c r="AF2507">
        <v>25</v>
      </c>
      <c r="AG2507">
        <v>3.2809998999999999</v>
      </c>
      <c r="AH2507">
        <v>5</v>
      </c>
      <c r="AI2507">
        <v>17</v>
      </c>
      <c r="AJ2507">
        <v>1</v>
      </c>
      <c r="AK2507">
        <v>17</v>
      </c>
      <c r="AL2507">
        <v>51</v>
      </c>
      <c r="AM2507" t="s">
        <v>43</v>
      </c>
      <c r="AN2507" t="str">
        <f>HYPERLINK("https://www.google.com/maps?q=10.81506348,79.14839935","Open Location")</f>
        <v>Open Location</v>
      </c>
    </row>
    <row r="2508" spans="1:40" x14ac:dyDescent="0.3">
      <c r="A2508" s="1">
        <v>46210.709374999999</v>
      </c>
      <c r="B2508" t="s">
        <v>40</v>
      </c>
      <c r="C2508" t="s">
        <v>41</v>
      </c>
      <c r="D2508" s="1">
        <v>46210.712511574071</v>
      </c>
      <c r="E2508" t="s">
        <v>42</v>
      </c>
      <c r="F2508" t="s">
        <v>83</v>
      </c>
      <c r="G2508">
        <v>0</v>
      </c>
      <c r="H2508">
        <v>33174</v>
      </c>
      <c r="I2508" t="s">
        <v>43</v>
      </c>
      <c r="J2508">
        <v>57</v>
      </c>
      <c r="K2508">
        <v>4</v>
      </c>
      <c r="L2508">
        <v>98</v>
      </c>
      <c r="M2508">
        <v>630.09997558999999</v>
      </c>
      <c r="N2508" t="s">
        <v>85</v>
      </c>
      <c r="O2508" t="s">
        <v>82</v>
      </c>
      <c r="P2508">
        <v>125</v>
      </c>
      <c r="Q2508" t="s">
        <v>82</v>
      </c>
      <c r="R2508">
        <v>0</v>
      </c>
      <c r="S2508">
        <v>0</v>
      </c>
      <c r="T2508">
        <v>-40</v>
      </c>
      <c r="U2508">
        <v>47</v>
      </c>
      <c r="V2508">
        <v>0</v>
      </c>
      <c r="W2508">
        <v>28</v>
      </c>
      <c r="X2508">
        <v>28</v>
      </c>
      <c r="Y2508">
        <v>1</v>
      </c>
      <c r="Z2508">
        <v>8</v>
      </c>
      <c r="AA2508">
        <v>24</v>
      </c>
      <c r="AB2508">
        <v>2</v>
      </c>
      <c r="AC2508">
        <v>4</v>
      </c>
      <c r="AD2508">
        <v>3.28800011</v>
      </c>
      <c r="AE2508">
        <v>1</v>
      </c>
      <c r="AF2508">
        <v>16</v>
      </c>
      <c r="AG2508">
        <v>3.28600001</v>
      </c>
      <c r="AH2508">
        <v>1</v>
      </c>
      <c r="AI2508">
        <v>4</v>
      </c>
      <c r="AJ2508">
        <v>1</v>
      </c>
      <c r="AK2508">
        <v>19</v>
      </c>
      <c r="AL2508">
        <v>51</v>
      </c>
      <c r="AM2508" t="s">
        <v>43</v>
      </c>
      <c r="AN2508" t="s">
        <v>43</v>
      </c>
    </row>
    <row r="2509" spans="1:40" x14ac:dyDescent="0.3">
      <c r="A2509" s="1">
        <v>46210.70925925926</v>
      </c>
      <c r="B2509" t="s">
        <v>40</v>
      </c>
      <c r="C2509" t="s">
        <v>41</v>
      </c>
      <c r="D2509" s="1">
        <v>46210.712129629632</v>
      </c>
      <c r="E2509" t="s">
        <v>42</v>
      </c>
      <c r="F2509" t="s">
        <v>83</v>
      </c>
      <c r="G2509">
        <v>0</v>
      </c>
      <c r="H2509" t="s">
        <v>43</v>
      </c>
      <c r="I2509" t="s">
        <v>1314</v>
      </c>
      <c r="J2509">
        <v>57</v>
      </c>
      <c r="K2509">
        <v>4</v>
      </c>
      <c r="L2509">
        <v>98</v>
      </c>
      <c r="M2509">
        <v>630.59997558999999</v>
      </c>
      <c r="N2509" t="s">
        <v>85</v>
      </c>
      <c r="O2509" t="s">
        <v>82</v>
      </c>
      <c r="P2509">
        <v>125</v>
      </c>
      <c r="Q2509" t="s">
        <v>82</v>
      </c>
      <c r="R2509">
        <v>0</v>
      </c>
      <c r="S2509">
        <v>0</v>
      </c>
      <c r="T2509">
        <v>-40</v>
      </c>
      <c r="U2509">
        <v>47</v>
      </c>
      <c r="V2509">
        <v>0</v>
      </c>
      <c r="W2509">
        <v>28</v>
      </c>
      <c r="X2509">
        <v>28</v>
      </c>
      <c r="Y2509">
        <v>1</v>
      </c>
      <c r="Z2509">
        <v>8</v>
      </c>
      <c r="AA2509">
        <v>24</v>
      </c>
      <c r="AB2509">
        <v>2</v>
      </c>
      <c r="AC2509">
        <v>4</v>
      </c>
      <c r="AD2509">
        <v>3.28800011</v>
      </c>
      <c r="AE2509">
        <v>1</v>
      </c>
      <c r="AF2509">
        <v>25</v>
      </c>
      <c r="AG2509">
        <v>3.28600001</v>
      </c>
      <c r="AH2509">
        <v>1</v>
      </c>
      <c r="AI2509">
        <v>4</v>
      </c>
      <c r="AJ2509">
        <v>1</v>
      </c>
      <c r="AK2509">
        <v>19</v>
      </c>
      <c r="AL2509">
        <v>51</v>
      </c>
      <c r="AM2509" t="s">
        <v>43</v>
      </c>
      <c r="AN2509" t="str">
        <f>HYPERLINK("https://www.google.com/maps?q=10.81506443,79.14839935","Open Location")</f>
        <v>Open Location</v>
      </c>
    </row>
    <row r="2510" spans="1:40" x14ac:dyDescent="0.3">
      <c r="A2510" s="1">
        <v>46210.709143518521</v>
      </c>
      <c r="B2510" t="s">
        <v>40</v>
      </c>
      <c r="C2510" t="s">
        <v>41</v>
      </c>
      <c r="D2510" s="1">
        <v>46210.712372685186</v>
      </c>
      <c r="E2510" t="s">
        <v>42</v>
      </c>
      <c r="F2510" t="s">
        <v>83</v>
      </c>
      <c r="G2510">
        <v>0</v>
      </c>
      <c r="H2510">
        <v>33174</v>
      </c>
      <c r="I2510" t="s">
        <v>1315</v>
      </c>
      <c r="J2510">
        <v>57</v>
      </c>
      <c r="K2510">
        <v>7</v>
      </c>
      <c r="L2510">
        <v>98</v>
      </c>
      <c r="M2510">
        <v>630</v>
      </c>
      <c r="N2510" t="s">
        <v>85</v>
      </c>
      <c r="O2510" t="s">
        <v>82</v>
      </c>
      <c r="P2510">
        <v>125</v>
      </c>
      <c r="Q2510" t="s">
        <v>82</v>
      </c>
      <c r="R2510">
        <v>0</v>
      </c>
      <c r="S2510">
        <v>0</v>
      </c>
      <c r="T2510">
        <v>-40</v>
      </c>
      <c r="U2510">
        <v>48</v>
      </c>
      <c r="V2510">
        <v>0</v>
      </c>
      <c r="W2510">
        <v>28</v>
      </c>
      <c r="X2510">
        <v>28</v>
      </c>
      <c r="Y2510">
        <v>1</v>
      </c>
      <c r="Z2510">
        <v>8</v>
      </c>
      <c r="AA2510">
        <v>24</v>
      </c>
      <c r="AB2510">
        <v>2</v>
      </c>
      <c r="AC2510">
        <v>4</v>
      </c>
      <c r="AD2510">
        <v>3.2869999399999998</v>
      </c>
      <c r="AE2510">
        <v>1</v>
      </c>
      <c r="AF2510">
        <v>25</v>
      </c>
      <c r="AG2510">
        <v>3.28299999</v>
      </c>
      <c r="AH2510">
        <v>4</v>
      </c>
      <c r="AI2510">
        <v>17</v>
      </c>
      <c r="AJ2510">
        <v>1</v>
      </c>
      <c r="AK2510">
        <v>19</v>
      </c>
      <c r="AL2510">
        <v>51</v>
      </c>
      <c r="AM2510" t="s">
        <v>43</v>
      </c>
      <c r="AN2510" t="str">
        <f>HYPERLINK("https://www.google.com/maps?q=10.8150568,79.14840698","Open Location")</f>
        <v>Open Location</v>
      </c>
    </row>
    <row r="2511" spans="1:40" x14ac:dyDescent="0.3">
      <c r="A2511" s="1">
        <v>46210.709027777775</v>
      </c>
      <c r="B2511" t="s">
        <v>40</v>
      </c>
      <c r="C2511" t="s">
        <v>41</v>
      </c>
      <c r="D2511" s="1">
        <v>46210.711875000001</v>
      </c>
      <c r="E2511" t="s">
        <v>42</v>
      </c>
      <c r="F2511" t="s">
        <v>83</v>
      </c>
      <c r="G2511">
        <v>0</v>
      </c>
      <c r="H2511">
        <v>33174</v>
      </c>
      <c r="I2511" t="s">
        <v>1316</v>
      </c>
      <c r="J2511">
        <v>57</v>
      </c>
      <c r="K2511">
        <v>11</v>
      </c>
      <c r="L2511">
        <v>98</v>
      </c>
      <c r="M2511">
        <v>629.5</v>
      </c>
      <c r="N2511" t="s">
        <v>85</v>
      </c>
      <c r="O2511" t="s">
        <v>82</v>
      </c>
      <c r="P2511">
        <v>125</v>
      </c>
      <c r="Q2511" t="s">
        <v>82</v>
      </c>
      <c r="R2511">
        <v>0</v>
      </c>
      <c r="S2511">
        <v>0</v>
      </c>
      <c r="T2511">
        <v>-40</v>
      </c>
      <c r="U2511">
        <v>48</v>
      </c>
      <c r="V2511">
        <v>0</v>
      </c>
      <c r="W2511">
        <v>28</v>
      </c>
      <c r="X2511">
        <v>28</v>
      </c>
      <c r="Y2511">
        <v>1</v>
      </c>
      <c r="Z2511">
        <v>8</v>
      </c>
      <c r="AA2511">
        <v>24</v>
      </c>
      <c r="AB2511">
        <v>2</v>
      </c>
      <c r="AC2511">
        <v>4</v>
      </c>
      <c r="AD2511">
        <v>3.28600001</v>
      </c>
      <c r="AE2511">
        <v>1</v>
      </c>
      <c r="AF2511">
        <v>25</v>
      </c>
      <c r="AG2511">
        <v>3.2790000400000001</v>
      </c>
      <c r="AH2511">
        <v>5</v>
      </c>
      <c r="AI2511">
        <v>17</v>
      </c>
      <c r="AJ2511">
        <v>1</v>
      </c>
      <c r="AK2511">
        <v>19</v>
      </c>
      <c r="AL2511">
        <v>51</v>
      </c>
      <c r="AM2511" t="s">
        <v>43</v>
      </c>
      <c r="AN2511" t="str">
        <f>HYPERLINK("https://www.google.com/maps?q=10.81504917,79.14841461","Open Location")</f>
        <v>Open Location</v>
      </c>
    </row>
    <row r="2512" spans="1:40" x14ac:dyDescent="0.3">
      <c r="A2512" s="1">
        <v>46210.708912037036</v>
      </c>
      <c r="B2512" t="s">
        <v>40</v>
      </c>
      <c r="C2512" t="s">
        <v>41</v>
      </c>
      <c r="D2512" s="1">
        <v>46210.712106481478</v>
      </c>
      <c r="E2512" t="s">
        <v>42</v>
      </c>
      <c r="F2512" t="s">
        <v>83</v>
      </c>
      <c r="G2512">
        <v>0</v>
      </c>
      <c r="H2512">
        <v>33174</v>
      </c>
      <c r="I2512" t="s">
        <v>1317</v>
      </c>
      <c r="J2512">
        <v>57</v>
      </c>
      <c r="K2512">
        <v>11</v>
      </c>
      <c r="L2512">
        <v>98</v>
      </c>
      <c r="M2512">
        <v>630.09997558999999</v>
      </c>
      <c r="N2512" t="s">
        <v>85</v>
      </c>
      <c r="O2512" t="s">
        <v>82</v>
      </c>
      <c r="P2512">
        <v>125</v>
      </c>
      <c r="Q2512" t="s">
        <v>82</v>
      </c>
      <c r="R2512">
        <v>0</v>
      </c>
      <c r="S2512">
        <v>0</v>
      </c>
      <c r="T2512">
        <v>-40</v>
      </c>
      <c r="U2512">
        <v>48</v>
      </c>
      <c r="V2512">
        <v>0</v>
      </c>
      <c r="W2512">
        <v>28</v>
      </c>
      <c r="X2512">
        <v>28</v>
      </c>
      <c r="Y2512">
        <v>1</v>
      </c>
      <c r="Z2512">
        <v>8</v>
      </c>
      <c r="AA2512">
        <v>24</v>
      </c>
      <c r="AB2512">
        <v>2</v>
      </c>
      <c r="AC2512">
        <v>4</v>
      </c>
      <c r="AD2512">
        <v>3.28600001</v>
      </c>
      <c r="AE2512">
        <v>1</v>
      </c>
      <c r="AF2512">
        <v>25</v>
      </c>
      <c r="AG2512">
        <v>3.27999997</v>
      </c>
      <c r="AH2512">
        <v>5</v>
      </c>
      <c r="AI2512">
        <v>17</v>
      </c>
      <c r="AJ2512">
        <v>1</v>
      </c>
      <c r="AK2512">
        <v>19</v>
      </c>
      <c r="AL2512">
        <v>51</v>
      </c>
      <c r="AM2512" t="s">
        <v>43</v>
      </c>
      <c r="AN2512" t="str">
        <f>HYPERLINK("https://www.google.com/maps?q=10.81505203,79.14841461","Open Location")</f>
        <v>Open Location</v>
      </c>
    </row>
    <row r="2513" spans="1:40" x14ac:dyDescent="0.3">
      <c r="A2513" s="1">
        <v>46210.708796296298</v>
      </c>
      <c r="B2513" t="s">
        <v>40</v>
      </c>
      <c r="C2513" t="s">
        <v>41</v>
      </c>
      <c r="D2513" s="1">
        <v>46210.711817129632</v>
      </c>
      <c r="E2513" t="s">
        <v>42</v>
      </c>
      <c r="F2513" t="s">
        <v>83</v>
      </c>
      <c r="G2513">
        <v>0</v>
      </c>
      <c r="H2513">
        <v>33174</v>
      </c>
      <c r="I2513" t="s">
        <v>1318</v>
      </c>
      <c r="J2513">
        <v>57</v>
      </c>
      <c r="K2513">
        <v>14</v>
      </c>
      <c r="L2513">
        <v>98</v>
      </c>
      <c r="M2513">
        <v>629.59997558999999</v>
      </c>
      <c r="N2513" t="s">
        <v>85</v>
      </c>
      <c r="O2513" t="s">
        <v>82</v>
      </c>
      <c r="P2513">
        <v>125</v>
      </c>
      <c r="Q2513" t="s">
        <v>82</v>
      </c>
      <c r="R2513">
        <v>0</v>
      </c>
      <c r="S2513">
        <v>0</v>
      </c>
      <c r="T2513">
        <v>-40</v>
      </c>
      <c r="U2513">
        <v>48</v>
      </c>
      <c r="V2513">
        <v>0</v>
      </c>
      <c r="W2513">
        <v>28</v>
      </c>
      <c r="X2513">
        <v>28</v>
      </c>
      <c r="Y2513">
        <v>1</v>
      </c>
      <c r="Z2513">
        <v>8</v>
      </c>
      <c r="AA2513">
        <v>24</v>
      </c>
      <c r="AB2513">
        <v>2</v>
      </c>
      <c r="AC2513">
        <v>4</v>
      </c>
      <c r="AD2513">
        <v>3.28600001</v>
      </c>
      <c r="AE2513">
        <v>1</v>
      </c>
      <c r="AF2513">
        <v>36</v>
      </c>
      <c r="AG2513">
        <v>3.2790000400000001</v>
      </c>
      <c r="AH2513">
        <v>5</v>
      </c>
      <c r="AI2513">
        <v>17</v>
      </c>
      <c r="AJ2513">
        <v>1</v>
      </c>
      <c r="AK2513">
        <v>19</v>
      </c>
      <c r="AL2513">
        <v>51</v>
      </c>
      <c r="AM2513" t="s">
        <v>43</v>
      </c>
      <c r="AN2513" t="str">
        <f>HYPERLINK("https://www.google.com/maps?q=10.81504631,79.14841461","Open Location")</f>
        <v>Open Location</v>
      </c>
    </row>
    <row r="2514" spans="1:40" x14ac:dyDescent="0.3">
      <c r="A2514" s="1">
        <v>46210.708680555559</v>
      </c>
      <c r="B2514" t="s">
        <v>40</v>
      </c>
      <c r="C2514" t="s">
        <v>41</v>
      </c>
      <c r="D2514" s="1">
        <v>46210.711921296293</v>
      </c>
      <c r="E2514" t="s">
        <v>42</v>
      </c>
      <c r="F2514" t="s">
        <v>83</v>
      </c>
      <c r="G2514">
        <v>0</v>
      </c>
      <c r="H2514">
        <v>33174</v>
      </c>
      <c r="I2514" t="s">
        <v>43</v>
      </c>
      <c r="J2514">
        <v>57</v>
      </c>
      <c r="K2514">
        <v>11</v>
      </c>
      <c r="L2514">
        <v>98</v>
      </c>
      <c r="M2514">
        <v>629.70001220999995</v>
      </c>
      <c r="N2514" t="s">
        <v>85</v>
      </c>
      <c r="O2514" t="s">
        <v>82</v>
      </c>
      <c r="P2514">
        <v>125</v>
      </c>
      <c r="Q2514" t="s">
        <v>82</v>
      </c>
      <c r="R2514">
        <v>0</v>
      </c>
      <c r="S2514">
        <v>0</v>
      </c>
      <c r="T2514">
        <v>-40</v>
      </c>
      <c r="U2514">
        <v>48</v>
      </c>
      <c r="V2514">
        <v>0</v>
      </c>
      <c r="W2514">
        <v>28</v>
      </c>
      <c r="X2514">
        <v>28</v>
      </c>
      <c r="Y2514">
        <v>1</v>
      </c>
      <c r="Z2514">
        <v>8</v>
      </c>
      <c r="AA2514">
        <v>24</v>
      </c>
      <c r="AB2514">
        <v>2</v>
      </c>
      <c r="AC2514">
        <v>4</v>
      </c>
      <c r="AD2514">
        <v>3.28600001</v>
      </c>
      <c r="AE2514">
        <v>1</v>
      </c>
      <c r="AF2514">
        <v>1</v>
      </c>
      <c r="AG2514">
        <v>3.2809998999999999</v>
      </c>
      <c r="AH2514">
        <v>5</v>
      </c>
      <c r="AI2514">
        <v>17</v>
      </c>
      <c r="AJ2514">
        <v>1</v>
      </c>
      <c r="AK2514">
        <v>18</v>
      </c>
      <c r="AL2514">
        <v>51</v>
      </c>
      <c r="AM2514" t="s">
        <v>43</v>
      </c>
      <c r="AN2514" t="s">
        <v>43</v>
      </c>
    </row>
    <row r="2515" spans="1:40" x14ac:dyDescent="0.3">
      <c r="A2515" s="1">
        <v>46210.708564814813</v>
      </c>
      <c r="B2515" t="s">
        <v>40</v>
      </c>
      <c r="C2515" t="s">
        <v>41</v>
      </c>
      <c r="D2515" s="1">
        <v>46210.711550925924</v>
      </c>
      <c r="E2515" t="s">
        <v>42</v>
      </c>
      <c r="F2515" t="s">
        <v>83</v>
      </c>
      <c r="G2515">
        <v>0</v>
      </c>
      <c r="H2515">
        <v>33174</v>
      </c>
      <c r="I2515" t="s">
        <v>1319</v>
      </c>
      <c r="J2515">
        <v>57</v>
      </c>
      <c r="K2515">
        <v>4</v>
      </c>
      <c r="L2515">
        <v>98</v>
      </c>
      <c r="M2515">
        <v>630.09997558999999</v>
      </c>
      <c r="N2515" t="s">
        <v>85</v>
      </c>
      <c r="O2515" t="s">
        <v>82</v>
      </c>
      <c r="P2515">
        <v>125</v>
      </c>
      <c r="Q2515" t="s">
        <v>82</v>
      </c>
      <c r="R2515">
        <v>0</v>
      </c>
      <c r="S2515">
        <v>0</v>
      </c>
      <c r="T2515">
        <v>-40</v>
      </c>
      <c r="U2515">
        <v>49</v>
      </c>
      <c r="V2515">
        <v>0</v>
      </c>
      <c r="W2515">
        <v>28</v>
      </c>
      <c r="X2515">
        <v>28</v>
      </c>
      <c r="Y2515">
        <v>1</v>
      </c>
      <c r="Z2515">
        <v>8</v>
      </c>
      <c r="AA2515">
        <v>24</v>
      </c>
      <c r="AB2515">
        <v>2</v>
      </c>
      <c r="AC2515">
        <v>4</v>
      </c>
      <c r="AD2515">
        <v>3.2869999399999998</v>
      </c>
      <c r="AE2515">
        <v>1</v>
      </c>
      <c r="AF2515">
        <v>1</v>
      </c>
      <c r="AG2515">
        <v>3.28500009</v>
      </c>
      <c r="AH2515">
        <v>2</v>
      </c>
      <c r="AI2515">
        <v>3</v>
      </c>
      <c r="AJ2515">
        <v>1</v>
      </c>
      <c r="AK2515">
        <v>19</v>
      </c>
      <c r="AL2515">
        <v>51</v>
      </c>
      <c r="AM2515" t="s">
        <v>43</v>
      </c>
      <c r="AN2515" t="str">
        <f>HYPERLINK("https://www.google.com/maps?q=10.81503868,79.14841461","Open Location")</f>
        <v>Open Location</v>
      </c>
    </row>
    <row r="2516" spans="1:40" x14ac:dyDescent="0.3">
      <c r="A2516" s="1">
        <v>46210.708449074074</v>
      </c>
      <c r="B2516" t="s">
        <v>40</v>
      </c>
      <c r="C2516" t="s">
        <v>41</v>
      </c>
      <c r="D2516" s="1">
        <v>46210.711805555555</v>
      </c>
      <c r="E2516" t="s">
        <v>42</v>
      </c>
      <c r="F2516" t="s">
        <v>83</v>
      </c>
      <c r="G2516">
        <v>0</v>
      </c>
      <c r="H2516">
        <v>33174</v>
      </c>
      <c r="I2516" t="s">
        <v>1320</v>
      </c>
      <c r="J2516">
        <v>57</v>
      </c>
      <c r="K2516">
        <v>10</v>
      </c>
      <c r="L2516">
        <v>98</v>
      </c>
      <c r="M2516">
        <v>630.20001220999995</v>
      </c>
      <c r="N2516" t="s">
        <v>85</v>
      </c>
      <c r="O2516" t="s">
        <v>249</v>
      </c>
      <c r="P2516">
        <v>124</v>
      </c>
      <c r="Q2516" t="s">
        <v>249</v>
      </c>
      <c r="R2516">
        <v>0</v>
      </c>
      <c r="S2516">
        <v>435</v>
      </c>
      <c r="T2516">
        <v>-40</v>
      </c>
      <c r="U2516">
        <v>50</v>
      </c>
      <c r="V2516">
        <v>-60</v>
      </c>
      <c r="W2516">
        <v>28</v>
      </c>
      <c r="X2516">
        <v>28</v>
      </c>
      <c r="Y2516">
        <v>1</v>
      </c>
      <c r="Z2516">
        <v>8</v>
      </c>
      <c r="AA2516">
        <v>25</v>
      </c>
      <c r="AB2516">
        <v>1</v>
      </c>
      <c r="AC2516">
        <v>3</v>
      </c>
      <c r="AD2516">
        <v>3.28500009</v>
      </c>
      <c r="AE2516">
        <v>1</v>
      </c>
      <c r="AF2516">
        <v>1</v>
      </c>
      <c r="AG2516">
        <v>3.2820000600000001</v>
      </c>
      <c r="AH2516">
        <v>4</v>
      </c>
      <c r="AI2516">
        <v>17</v>
      </c>
      <c r="AJ2516" t="s">
        <v>43</v>
      </c>
      <c r="AK2516">
        <v>18</v>
      </c>
      <c r="AL2516">
        <v>51</v>
      </c>
      <c r="AM2516" t="s">
        <v>43</v>
      </c>
      <c r="AN2516" t="str">
        <f>HYPERLINK("https://www.google.com/maps?q=10.81504154,79.14841461","Open Location")</f>
        <v>Open Location</v>
      </c>
    </row>
    <row r="2517" spans="1:40" x14ac:dyDescent="0.3">
      <c r="A2517" s="1">
        <v>46210.708333333336</v>
      </c>
      <c r="B2517" t="s">
        <v>40</v>
      </c>
      <c r="C2517" t="s">
        <v>41</v>
      </c>
      <c r="D2517" s="1">
        <v>46210.711180555554</v>
      </c>
      <c r="E2517" t="s">
        <v>42</v>
      </c>
      <c r="F2517" t="s">
        <v>83</v>
      </c>
      <c r="G2517">
        <v>3</v>
      </c>
      <c r="H2517">
        <v>33174</v>
      </c>
      <c r="I2517" t="s">
        <v>1321</v>
      </c>
      <c r="J2517">
        <v>58</v>
      </c>
      <c r="K2517">
        <v>16</v>
      </c>
      <c r="L2517">
        <v>98</v>
      </c>
      <c r="M2517">
        <v>630.09997558999999</v>
      </c>
      <c r="N2517" t="s">
        <v>87</v>
      </c>
      <c r="O2517" t="s">
        <v>249</v>
      </c>
      <c r="P2517">
        <v>124</v>
      </c>
      <c r="Q2517" t="s">
        <v>249</v>
      </c>
      <c r="R2517">
        <v>3</v>
      </c>
      <c r="S2517">
        <v>539</v>
      </c>
      <c r="T2517">
        <v>-40</v>
      </c>
      <c r="U2517">
        <v>50</v>
      </c>
      <c r="V2517">
        <v>-20</v>
      </c>
      <c r="W2517">
        <v>28</v>
      </c>
      <c r="X2517">
        <v>28</v>
      </c>
      <c r="Y2517">
        <v>1</v>
      </c>
      <c r="Z2517">
        <v>8</v>
      </c>
      <c r="AA2517">
        <v>25</v>
      </c>
      <c r="AB2517">
        <v>1</v>
      </c>
      <c r="AC2517">
        <v>3</v>
      </c>
      <c r="AD2517">
        <v>3.2839999199999999</v>
      </c>
      <c r="AE2517">
        <v>1</v>
      </c>
      <c r="AF2517">
        <v>36</v>
      </c>
      <c r="AG2517">
        <v>3.2780001200000002</v>
      </c>
      <c r="AH2517">
        <v>4</v>
      </c>
      <c r="AI2517">
        <v>17</v>
      </c>
      <c r="AJ2517">
        <v>1</v>
      </c>
      <c r="AK2517">
        <v>20</v>
      </c>
      <c r="AL2517">
        <v>51</v>
      </c>
      <c r="AM2517" t="s">
        <v>43</v>
      </c>
      <c r="AN2517" t="str">
        <f>HYPERLINK("https://www.google.com/maps?q=10.81506729,79.14848328","Open Location")</f>
        <v>Open Location</v>
      </c>
    </row>
    <row r="2518" spans="1:40" x14ac:dyDescent="0.3">
      <c r="A2518" s="1">
        <v>46210.70821759259</v>
      </c>
      <c r="B2518" t="s">
        <v>40</v>
      </c>
      <c r="C2518" t="s">
        <v>41</v>
      </c>
      <c r="D2518" s="1">
        <v>46210.711168981485</v>
      </c>
      <c r="E2518" t="s">
        <v>42</v>
      </c>
      <c r="F2518" t="s">
        <v>83</v>
      </c>
      <c r="G2518">
        <v>0</v>
      </c>
      <c r="H2518">
        <v>33174</v>
      </c>
      <c r="I2518" t="s">
        <v>1322</v>
      </c>
      <c r="J2518">
        <v>58</v>
      </c>
      <c r="K2518">
        <v>16</v>
      </c>
      <c r="L2518">
        <v>98</v>
      </c>
      <c r="M2518">
        <v>629.59997558999999</v>
      </c>
      <c r="N2518" t="s">
        <v>85</v>
      </c>
      <c r="O2518" t="s">
        <v>249</v>
      </c>
      <c r="P2518">
        <v>124</v>
      </c>
      <c r="Q2518" t="s">
        <v>249</v>
      </c>
      <c r="R2518">
        <v>1</v>
      </c>
      <c r="S2518">
        <v>607</v>
      </c>
      <c r="T2518">
        <v>-40</v>
      </c>
      <c r="U2518">
        <v>49</v>
      </c>
      <c r="V2518">
        <v>-5</v>
      </c>
      <c r="W2518">
        <v>28</v>
      </c>
      <c r="X2518">
        <v>28</v>
      </c>
      <c r="Y2518">
        <v>1</v>
      </c>
      <c r="Z2518">
        <v>8</v>
      </c>
      <c r="AA2518">
        <v>25</v>
      </c>
      <c r="AB2518">
        <v>1</v>
      </c>
      <c r="AC2518">
        <v>3</v>
      </c>
      <c r="AD2518">
        <v>3.28600001</v>
      </c>
      <c r="AE2518">
        <v>1</v>
      </c>
      <c r="AF2518">
        <v>25</v>
      </c>
      <c r="AG2518">
        <v>3.2809998999999999</v>
      </c>
      <c r="AH2518">
        <v>4</v>
      </c>
      <c r="AI2518">
        <v>17</v>
      </c>
      <c r="AJ2518">
        <v>1</v>
      </c>
      <c r="AK2518">
        <v>18</v>
      </c>
      <c r="AL2518">
        <v>51</v>
      </c>
      <c r="AM2518" t="s">
        <v>43</v>
      </c>
      <c r="AN2518" t="str">
        <f>HYPERLINK("https://www.google.com/maps?q=10.81508064,79.14852142","Open Location")</f>
        <v>Open Location</v>
      </c>
    </row>
    <row r="2519" spans="1:40" x14ac:dyDescent="0.3">
      <c r="A2519" s="1">
        <v>46210.708101851851</v>
      </c>
      <c r="B2519" t="s">
        <v>40</v>
      </c>
      <c r="C2519" t="s">
        <v>41</v>
      </c>
      <c r="D2519" s="1">
        <v>46210.711018518516</v>
      </c>
      <c r="E2519" t="s">
        <v>42</v>
      </c>
      <c r="F2519" t="s">
        <v>83</v>
      </c>
      <c r="G2519">
        <v>2</v>
      </c>
      <c r="H2519">
        <v>33174</v>
      </c>
      <c r="I2519" t="s">
        <v>1323</v>
      </c>
      <c r="J2519">
        <v>58</v>
      </c>
      <c r="K2519">
        <v>13</v>
      </c>
      <c r="L2519">
        <v>98</v>
      </c>
      <c r="M2519">
        <v>630.5</v>
      </c>
      <c r="N2519" t="s">
        <v>87</v>
      </c>
      <c r="O2519" t="s">
        <v>249</v>
      </c>
      <c r="P2519">
        <v>124</v>
      </c>
      <c r="Q2519" t="s">
        <v>249</v>
      </c>
      <c r="R2519">
        <v>1</v>
      </c>
      <c r="S2519">
        <v>730</v>
      </c>
      <c r="T2519">
        <v>-40</v>
      </c>
      <c r="U2519">
        <v>49</v>
      </c>
      <c r="V2519">
        <v>-5</v>
      </c>
      <c r="W2519">
        <v>28</v>
      </c>
      <c r="X2519">
        <v>28</v>
      </c>
      <c r="Y2519">
        <v>1</v>
      </c>
      <c r="Z2519">
        <v>8</v>
      </c>
      <c r="AA2519">
        <v>25</v>
      </c>
      <c r="AB2519">
        <v>1</v>
      </c>
      <c r="AC2519">
        <v>3</v>
      </c>
      <c r="AD2519">
        <v>3.2869999399999998</v>
      </c>
      <c r="AE2519">
        <v>5</v>
      </c>
      <c r="AF2519">
        <v>38</v>
      </c>
      <c r="AG2519">
        <v>3.2790000400000001</v>
      </c>
      <c r="AH2519">
        <v>6</v>
      </c>
      <c r="AI2519">
        <v>17</v>
      </c>
      <c r="AJ2519">
        <v>1</v>
      </c>
      <c r="AK2519">
        <v>18</v>
      </c>
      <c r="AL2519">
        <v>51</v>
      </c>
      <c r="AM2519" t="s">
        <v>43</v>
      </c>
      <c r="AN2519" t="str">
        <f>HYPERLINK("https://www.google.com/maps?q=10.81505585,79.14859772","Open Location")</f>
        <v>Open Location</v>
      </c>
    </row>
    <row r="2520" spans="1:40" x14ac:dyDescent="0.3">
      <c r="A2520" s="1">
        <v>46210.707986111112</v>
      </c>
      <c r="B2520" t="s">
        <v>40</v>
      </c>
      <c r="C2520" t="s">
        <v>41</v>
      </c>
      <c r="D2520" s="1">
        <v>46210.710914351854</v>
      </c>
      <c r="E2520" t="s">
        <v>42</v>
      </c>
      <c r="F2520" t="s">
        <v>83</v>
      </c>
      <c r="G2520">
        <v>0</v>
      </c>
      <c r="H2520">
        <v>33174</v>
      </c>
      <c r="I2520" t="s">
        <v>43</v>
      </c>
      <c r="J2520">
        <v>58</v>
      </c>
      <c r="K2520">
        <v>22</v>
      </c>
      <c r="L2520">
        <v>98</v>
      </c>
      <c r="M2520">
        <v>630.09997558999999</v>
      </c>
      <c r="N2520" t="s">
        <v>85</v>
      </c>
      <c r="O2520" t="s">
        <v>249</v>
      </c>
      <c r="P2520">
        <v>124</v>
      </c>
      <c r="Q2520" t="s">
        <v>249</v>
      </c>
      <c r="R2520">
        <v>2</v>
      </c>
      <c r="S2520">
        <v>325</v>
      </c>
      <c r="T2520">
        <v>-40</v>
      </c>
      <c r="U2520">
        <v>48</v>
      </c>
      <c r="V2520">
        <v>-240</v>
      </c>
      <c r="W2520">
        <v>28</v>
      </c>
      <c r="X2520">
        <v>28</v>
      </c>
      <c r="Y2520">
        <v>1</v>
      </c>
      <c r="Z2520">
        <v>8</v>
      </c>
      <c r="AA2520">
        <v>25</v>
      </c>
      <c r="AB2520">
        <v>1</v>
      </c>
      <c r="AC2520">
        <v>3</v>
      </c>
      <c r="AD2520">
        <v>3.2869999399999998</v>
      </c>
      <c r="AE2520">
        <v>1</v>
      </c>
      <c r="AF2520">
        <v>25</v>
      </c>
      <c r="AG2520">
        <v>3.2820000600000001</v>
      </c>
      <c r="AH2520">
        <v>4</v>
      </c>
      <c r="AI2520">
        <v>17</v>
      </c>
      <c r="AJ2520" t="s">
        <v>43</v>
      </c>
      <c r="AK2520">
        <v>18</v>
      </c>
      <c r="AL2520">
        <v>51</v>
      </c>
      <c r="AM2520" t="s">
        <v>43</v>
      </c>
      <c r="AN2520" t="s">
        <v>43</v>
      </c>
    </row>
    <row r="2521" spans="1:40" x14ac:dyDescent="0.3">
      <c r="A2521" s="1">
        <v>46210.707870370374</v>
      </c>
      <c r="B2521" t="s">
        <v>40</v>
      </c>
      <c r="C2521" t="s">
        <v>41</v>
      </c>
      <c r="D2521" s="1">
        <v>46210.710775462961</v>
      </c>
      <c r="E2521" t="s">
        <v>42</v>
      </c>
      <c r="F2521" t="s">
        <v>83</v>
      </c>
      <c r="G2521">
        <v>2</v>
      </c>
      <c r="H2521" t="s">
        <v>43</v>
      </c>
      <c r="I2521" t="s">
        <v>1324</v>
      </c>
      <c r="J2521">
        <v>58</v>
      </c>
      <c r="K2521">
        <v>5</v>
      </c>
      <c r="L2521">
        <v>98</v>
      </c>
      <c r="M2521">
        <v>630.90002441000001</v>
      </c>
      <c r="N2521" t="s">
        <v>87</v>
      </c>
      <c r="O2521" t="s">
        <v>249</v>
      </c>
      <c r="P2521">
        <v>124</v>
      </c>
      <c r="Q2521" t="s">
        <v>249</v>
      </c>
      <c r="R2521">
        <v>2</v>
      </c>
      <c r="S2521">
        <v>536</v>
      </c>
      <c r="T2521">
        <v>-40</v>
      </c>
      <c r="U2521">
        <v>48</v>
      </c>
      <c r="V2521">
        <v>-30</v>
      </c>
      <c r="W2521">
        <v>28</v>
      </c>
      <c r="X2521">
        <v>28</v>
      </c>
      <c r="Y2521">
        <v>1</v>
      </c>
      <c r="Z2521">
        <v>8</v>
      </c>
      <c r="AA2521">
        <v>25</v>
      </c>
      <c r="AB2521">
        <v>1</v>
      </c>
      <c r="AC2521">
        <v>3</v>
      </c>
      <c r="AD2521">
        <v>3.28900003</v>
      </c>
      <c r="AE2521">
        <v>1</v>
      </c>
      <c r="AF2521">
        <v>46</v>
      </c>
      <c r="AG2521">
        <v>3.28600001</v>
      </c>
      <c r="AH2521">
        <v>2</v>
      </c>
      <c r="AI2521">
        <v>3</v>
      </c>
      <c r="AJ2521">
        <v>1</v>
      </c>
      <c r="AK2521">
        <v>18</v>
      </c>
      <c r="AL2521">
        <v>51</v>
      </c>
      <c r="AM2521" t="s">
        <v>43</v>
      </c>
      <c r="AN2521" t="str">
        <f>HYPERLINK("https://www.google.com/maps?q=10.81507492,79.14865112","Open Location")</f>
        <v>Open Location</v>
      </c>
    </row>
    <row r="2522" spans="1:40" x14ac:dyDescent="0.3">
      <c r="A2522" s="1">
        <v>46210.707754629628</v>
      </c>
      <c r="B2522" t="s">
        <v>40</v>
      </c>
      <c r="C2522" t="s">
        <v>41</v>
      </c>
      <c r="D2522" s="1">
        <v>46210.710844907408</v>
      </c>
      <c r="E2522" t="s">
        <v>42</v>
      </c>
      <c r="F2522" t="s">
        <v>83</v>
      </c>
      <c r="G2522">
        <v>0</v>
      </c>
      <c r="H2522">
        <v>33174</v>
      </c>
      <c r="I2522" t="s">
        <v>1325</v>
      </c>
      <c r="J2522">
        <v>58</v>
      </c>
      <c r="K2522">
        <v>5</v>
      </c>
      <c r="L2522">
        <v>98</v>
      </c>
      <c r="M2522">
        <v>630.20001220999995</v>
      </c>
      <c r="N2522" t="s">
        <v>85</v>
      </c>
      <c r="O2522" t="s">
        <v>249</v>
      </c>
      <c r="P2522">
        <v>124</v>
      </c>
      <c r="Q2522" t="s">
        <v>249</v>
      </c>
      <c r="R2522">
        <v>1</v>
      </c>
      <c r="S2522">
        <v>598</v>
      </c>
      <c r="T2522">
        <v>-40</v>
      </c>
      <c r="U2522">
        <v>48</v>
      </c>
      <c r="V2522">
        <v>-30</v>
      </c>
      <c r="W2522">
        <v>28</v>
      </c>
      <c r="X2522">
        <v>28</v>
      </c>
      <c r="Y2522">
        <v>1</v>
      </c>
      <c r="Z2522">
        <v>8</v>
      </c>
      <c r="AA2522">
        <v>25</v>
      </c>
      <c r="AB2522">
        <v>1</v>
      </c>
      <c r="AC2522">
        <v>3</v>
      </c>
      <c r="AD2522">
        <v>3.28900003</v>
      </c>
      <c r="AE2522">
        <v>1</v>
      </c>
      <c r="AF2522">
        <v>25</v>
      </c>
      <c r="AG2522">
        <v>3.28600001</v>
      </c>
      <c r="AH2522">
        <v>4</v>
      </c>
      <c r="AI2522">
        <v>17</v>
      </c>
      <c r="AJ2522" t="s">
        <v>43</v>
      </c>
      <c r="AK2522" t="s">
        <v>43</v>
      </c>
      <c r="AL2522">
        <v>51</v>
      </c>
      <c r="AM2522" t="s">
        <v>43</v>
      </c>
      <c r="AN2522" t="str">
        <f>HYPERLINK("https://www.google.com/maps?q=10.81508827,79.14868927","Open Location")</f>
        <v>Open Location</v>
      </c>
    </row>
    <row r="2523" spans="1:40" x14ac:dyDescent="0.3">
      <c r="A2523" s="1">
        <v>46210.707638888889</v>
      </c>
      <c r="B2523" t="s">
        <v>40</v>
      </c>
      <c r="C2523" t="s">
        <v>41</v>
      </c>
      <c r="D2523" s="1">
        <v>46210.710358796299</v>
      </c>
      <c r="E2523" t="s">
        <v>42</v>
      </c>
      <c r="F2523" t="s">
        <v>83</v>
      </c>
      <c r="G2523">
        <v>0</v>
      </c>
      <c r="H2523">
        <v>33174</v>
      </c>
      <c r="I2523" t="s">
        <v>1326</v>
      </c>
      <c r="J2523">
        <v>58</v>
      </c>
      <c r="K2523">
        <v>6</v>
      </c>
      <c r="L2523">
        <v>98</v>
      </c>
      <c r="M2523">
        <v>630.40002441000001</v>
      </c>
      <c r="N2523" t="s">
        <v>85</v>
      </c>
      <c r="O2523" t="s">
        <v>249</v>
      </c>
      <c r="P2523">
        <v>124</v>
      </c>
      <c r="Q2523" t="s">
        <v>249</v>
      </c>
      <c r="R2523">
        <v>1</v>
      </c>
      <c r="S2523">
        <v>729</v>
      </c>
      <c r="T2523">
        <v>-40</v>
      </c>
      <c r="U2523">
        <v>48</v>
      </c>
      <c r="V2523">
        <v>-5</v>
      </c>
      <c r="W2523">
        <v>28</v>
      </c>
      <c r="X2523">
        <v>28</v>
      </c>
      <c r="Y2523">
        <v>1</v>
      </c>
      <c r="Z2523">
        <v>8</v>
      </c>
      <c r="AA2523">
        <v>25</v>
      </c>
      <c r="AB2523">
        <v>1</v>
      </c>
      <c r="AC2523">
        <v>3</v>
      </c>
      <c r="AD2523">
        <v>3.28900003</v>
      </c>
      <c r="AE2523">
        <v>1</v>
      </c>
      <c r="AF2523">
        <v>25</v>
      </c>
      <c r="AG2523">
        <v>3.28600001</v>
      </c>
      <c r="AH2523">
        <v>4</v>
      </c>
      <c r="AI2523">
        <v>17</v>
      </c>
      <c r="AJ2523">
        <v>1</v>
      </c>
      <c r="AK2523">
        <v>18</v>
      </c>
      <c r="AL2523">
        <v>51</v>
      </c>
      <c r="AM2523" t="s">
        <v>43</v>
      </c>
      <c r="AN2523" t="str">
        <f>HYPERLINK("https://www.google.com/maps?q=10.81509972,79.14873505","Open Location")</f>
        <v>Open Location</v>
      </c>
    </row>
    <row r="2524" spans="1:40" x14ac:dyDescent="0.3">
      <c r="A2524" s="1">
        <v>46210.70752314815</v>
      </c>
      <c r="B2524" t="s">
        <v>40</v>
      </c>
      <c r="C2524" t="s">
        <v>41</v>
      </c>
      <c r="D2524" s="1">
        <v>46210.710300925923</v>
      </c>
      <c r="E2524" t="s">
        <v>42</v>
      </c>
      <c r="F2524" t="s">
        <v>83</v>
      </c>
      <c r="G2524">
        <v>0</v>
      </c>
      <c r="H2524" t="s">
        <v>43</v>
      </c>
      <c r="I2524" t="s">
        <v>1327</v>
      </c>
      <c r="J2524">
        <v>58</v>
      </c>
      <c r="K2524">
        <v>5</v>
      </c>
      <c r="L2524">
        <v>98</v>
      </c>
      <c r="M2524">
        <v>630.70001220999995</v>
      </c>
      <c r="N2524" t="s">
        <v>85</v>
      </c>
      <c r="O2524" t="s">
        <v>249</v>
      </c>
      <c r="P2524">
        <v>124</v>
      </c>
      <c r="Q2524" t="s">
        <v>249</v>
      </c>
      <c r="R2524">
        <v>0</v>
      </c>
      <c r="S2524">
        <v>442</v>
      </c>
      <c r="T2524">
        <v>-40</v>
      </c>
      <c r="U2524">
        <v>48</v>
      </c>
      <c r="V2524">
        <v>-12</v>
      </c>
      <c r="W2524">
        <v>28</v>
      </c>
      <c r="X2524">
        <v>28</v>
      </c>
      <c r="Y2524">
        <v>1</v>
      </c>
      <c r="Z2524">
        <v>8</v>
      </c>
      <c r="AA2524">
        <v>25</v>
      </c>
      <c r="AB2524">
        <v>1</v>
      </c>
      <c r="AC2524">
        <v>3</v>
      </c>
      <c r="AD2524">
        <v>3.28800011</v>
      </c>
      <c r="AE2524">
        <v>1</v>
      </c>
      <c r="AF2524">
        <v>25</v>
      </c>
      <c r="AG2524">
        <v>3.28500009</v>
      </c>
      <c r="AH2524">
        <v>4</v>
      </c>
      <c r="AI2524">
        <v>17</v>
      </c>
      <c r="AJ2524">
        <v>1</v>
      </c>
      <c r="AK2524">
        <v>19</v>
      </c>
      <c r="AL2524">
        <v>51</v>
      </c>
      <c r="AM2524" t="s">
        <v>43</v>
      </c>
      <c r="AN2524" t="str">
        <f>HYPERLINK("https://www.google.com/maps?q=10.81510925,79.14878082","Open Location")</f>
        <v>Open Location</v>
      </c>
    </row>
    <row r="2525" spans="1:40" x14ac:dyDescent="0.3">
      <c r="A2525" s="1">
        <v>46210.707407407404</v>
      </c>
      <c r="B2525" t="s">
        <v>40</v>
      </c>
      <c r="C2525" t="s">
        <v>41</v>
      </c>
      <c r="D2525" s="1">
        <v>46210.710347222222</v>
      </c>
      <c r="E2525" t="s">
        <v>42</v>
      </c>
      <c r="F2525" t="s">
        <v>83</v>
      </c>
      <c r="G2525">
        <v>0</v>
      </c>
      <c r="H2525">
        <v>33174</v>
      </c>
      <c r="I2525" t="s">
        <v>43</v>
      </c>
      <c r="J2525">
        <v>58</v>
      </c>
      <c r="K2525">
        <v>9</v>
      </c>
      <c r="L2525">
        <v>98</v>
      </c>
      <c r="M2525">
        <v>630.90002441000001</v>
      </c>
      <c r="N2525" t="s">
        <v>85</v>
      </c>
      <c r="O2525" t="s">
        <v>249</v>
      </c>
      <c r="P2525">
        <v>124</v>
      </c>
      <c r="Q2525" t="s">
        <v>249</v>
      </c>
      <c r="R2525">
        <v>0</v>
      </c>
      <c r="S2525">
        <v>82</v>
      </c>
      <c r="T2525">
        <v>-40</v>
      </c>
      <c r="U2525">
        <v>48</v>
      </c>
      <c r="V2525">
        <v>-120</v>
      </c>
      <c r="W2525">
        <v>29</v>
      </c>
      <c r="X2525">
        <v>29</v>
      </c>
      <c r="Y2525">
        <v>1</v>
      </c>
      <c r="Z2525">
        <v>8</v>
      </c>
      <c r="AA2525">
        <v>25</v>
      </c>
      <c r="AB2525">
        <v>1</v>
      </c>
      <c r="AC2525">
        <v>3</v>
      </c>
      <c r="AD2525">
        <v>3.28800011</v>
      </c>
      <c r="AE2525">
        <v>1</v>
      </c>
      <c r="AF2525">
        <v>1</v>
      </c>
      <c r="AG2525">
        <v>3.28500009</v>
      </c>
      <c r="AH2525">
        <v>4</v>
      </c>
      <c r="AI2525">
        <v>17</v>
      </c>
      <c r="AJ2525">
        <v>1</v>
      </c>
      <c r="AK2525">
        <v>18</v>
      </c>
      <c r="AL2525">
        <v>51</v>
      </c>
      <c r="AM2525" t="s">
        <v>43</v>
      </c>
      <c r="AN2525" t="s">
        <v>43</v>
      </c>
    </row>
    <row r="2526" spans="1:40" x14ac:dyDescent="0.3">
      <c r="A2526" s="1">
        <v>46210.707291666666</v>
      </c>
      <c r="B2526" t="s">
        <v>40</v>
      </c>
      <c r="C2526" t="s">
        <v>41</v>
      </c>
      <c r="D2526" s="1">
        <v>46210.710347222222</v>
      </c>
      <c r="E2526" t="s">
        <v>42</v>
      </c>
      <c r="F2526" t="s">
        <v>83</v>
      </c>
      <c r="G2526">
        <v>0</v>
      </c>
      <c r="H2526">
        <v>33174</v>
      </c>
      <c r="I2526" t="s">
        <v>1328</v>
      </c>
      <c r="J2526">
        <v>58</v>
      </c>
      <c r="K2526">
        <v>11</v>
      </c>
      <c r="L2526">
        <v>98</v>
      </c>
      <c r="M2526">
        <v>630.20001220999995</v>
      </c>
      <c r="N2526" t="s">
        <v>85</v>
      </c>
      <c r="O2526" t="s">
        <v>249</v>
      </c>
      <c r="P2526">
        <v>124</v>
      </c>
      <c r="Q2526" t="s">
        <v>249</v>
      </c>
      <c r="R2526">
        <v>0</v>
      </c>
      <c r="S2526">
        <v>0</v>
      </c>
      <c r="T2526">
        <v>-40</v>
      </c>
      <c r="U2526">
        <v>48</v>
      </c>
      <c r="V2526">
        <v>-5</v>
      </c>
      <c r="W2526">
        <v>29</v>
      </c>
      <c r="X2526">
        <v>29</v>
      </c>
      <c r="Y2526">
        <v>1</v>
      </c>
      <c r="Z2526">
        <v>8</v>
      </c>
      <c r="AA2526">
        <v>25</v>
      </c>
      <c r="AB2526">
        <v>1</v>
      </c>
      <c r="AC2526">
        <v>3</v>
      </c>
      <c r="AD2526">
        <v>3.28800011</v>
      </c>
      <c r="AE2526">
        <v>1</v>
      </c>
      <c r="AF2526">
        <v>25</v>
      </c>
      <c r="AG2526">
        <v>3.2839999199999999</v>
      </c>
      <c r="AH2526">
        <v>4</v>
      </c>
      <c r="AI2526">
        <v>17</v>
      </c>
      <c r="AJ2526">
        <v>1</v>
      </c>
      <c r="AK2526">
        <v>18</v>
      </c>
      <c r="AL2526">
        <v>52</v>
      </c>
      <c r="AM2526" t="s">
        <v>43</v>
      </c>
      <c r="AN2526" t="str">
        <f>HYPERLINK("https://www.google.com/maps?q=10.81511402,79.14880371","Open Location")</f>
        <v>Open Location</v>
      </c>
    </row>
    <row r="2527" spans="1:40" x14ac:dyDescent="0.3">
      <c r="A2527" s="1">
        <v>46210.707175925927</v>
      </c>
      <c r="B2527" t="s">
        <v>40</v>
      </c>
      <c r="C2527" t="s">
        <v>41</v>
      </c>
      <c r="D2527" s="1">
        <v>46210.709988425922</v>
      </c>
      <c r="E2527" t="s">
        <v>42</v>
      </c>
      <c r="F2527" t="s">
        <v>83</v>
      </c>
      <c r="G2527">
        <v>0</v>
      </c>
      <c r="H2527">
        <v>33174</v>
      </c>
      <c r="I2527" t="s">
        <v>1329</v>
      </c>
      <c r="J2527">
        <v>58</v>
      </c>
      <c r="K2527">
        <v>11</v>
      </c>
      <c r="L2527">
        <v>98</v>
      </c>
      <c r="M2527">
        <v>630.70001220999995</v>
      </c>
      <c r="N2527" t="s">
        <v>85</v>
      </c>
      <c r="O2527" t="s">
        <v>249</v>
      </c>
      <c r="P2527">
        <v>124</v>
      </c>
      <c r="Q2527" t="s">
        <v>249</v>
      </c>
      <c r="R2527">
        <v>0</v>
      </c>
      <c r="S2527">
        <v>0</v>
      </c>
      <c r="T2527">
        <v>-40</v>
      </c>
      <c r="U2527">
        <v>48</v>
      </c>
      <c r="V2527">
        <v>-5</v>
      </c>
      <c r="W2527">
        <v>29</v>
      </c>
      <c r="X2527">
        <v>29</v>
      </c>
      <c r="Y2527">
        <v>1</v>
      </c>
      <c r="Z2527">
        <v>8</v>
      </c>
      <c r="AA2527">
        <v>25</v>
      </c>
      <c r="AB2527">
        <v>1</v>
      </c>
      <c r="AC2527">
        <v>3</v>
      </c>
      <c r="AD2527">
        <v>3.28800011</v>
      </c>
      <c r="AE2527">
        <v>1</v>
      </c>
      <c r="AF2527">
        <v>16</v>
      </c>
      <c r="AG2527">
        <v>3.2839999199999999</v>
      </c>
      <c r="AH2527">
        <v>5</v>
      </c>
      <c r="AI2527">
        <v>10</v>
      </c>
      <c r="AJ2527">
        <v>1</v>
      </c>
      <c r="AK2527">
        <v>18</v>
      </c>
      <c r="AL2527">
        <v>52</v>
      </c>
      <c r="AM2527" t="s">
        <v>43</v>
      </c>
      <c r="AN2527" t="str">
        <f>HYPERLINK("https://www.google.com/maps?q=10.81511688,79.14880371","Open Location")</f>
        <v>Open Location</v>
      </c>
    </row>
    <row r="2528" spans="1:40" x14ac:dyDescent="0.3">
      <c r="A2528" s="1">
        <v>46210.707060185188</v>
      </c>
      <c r="B2528" t="s">
        <v>40</v>
      </c>
      <c r="C2528" t="s">
        <v>41</v>
      </c>
      <c r="D2528" s="1">
        <v>46210.70989583333</v>
      </c>
      <c r="E2528" t="s">
        <v>42</v>
      </c>
      <c r="F2528" t="s">
        <v>83</v>
      </c>
      <c r="G2528">
        <v>0</v>
      </c>
      <c r="H2528" t="s">
        <v>43</v>
      </c>
      <c r="I2528" t="s">
        <v>1330</v>
      </c>
      <c r="J2528">
        <v>58</v>
      </c>
      <c r="K2528">
        <v>4</v>
      </c>
      <c r="L2528">
        <v>98</v>
      </c>
      <c r="M2528">
        <v>631</v>
      </c>
      <c r="N2528" t="s">
        <v>85</v>
      </c>
      <c r="O2528" t="s">
        <v>249</v>
      </c>
      <c r="P2528">
        <v>124</v>
      </c>
      <c r="Q2528" t="s">
        <v>249</v>
      </c>
      <c r="R2528">
        <v>0</v>
      </c>
      <c r="S2528">
        <v>0</v>
      </c>
      <c r="T2528">
        <v>-40</v>
      </c>
      <c r="U2528">
        <v>48</v>
      </c>
      <c r="V2528">
        <v>-5</v>
      </c>
      <c r="W2528">
        <v>29</v>
      </c>
      <c r="X2528">
        <v>29</v>
      </c>
      <c r="Y2528">
        <v>1</v>
      </c>
      <c r="Z2528">
        <v>8</v>
      </c>
      <c r="AA2528">
        <v>25</v>
      </c>
      <c r="AB2528">
        <v>1</v>
      </c>
      <c r="AC2528">
        <v>3</v>
      </c>
      <c r="AD2528">
        <v>3.2899999599999998</v>
      </c>
      <c r="AE2528">
        <v>1</v>
      </c>
      <c r="AF2528">
        <v>29</v>
      </c>
      <c r="AG2528">
        <v>3.2869999399999998</v>
      </c>
      <c r="AH2528">
        <v>2</v>
      </c>
      <c r="AI2528">
        <v>12</v>
      </c>
      <c r="AJ2528" t="s">
        <v>43</v>
      </c>
      <c r="AK2528" t="s">
        <v>43</v>
      </c>
      <c r="AL2528" t="s">
        <v>43</v>
      </c>
      <c r="AM2528" t="s">
        <v>43</v>
      </c>
      <c r="AN2528" t="str">
        <f>HYPERLINK("https://www.google.com/maps?q=10.81511879,79.14881134","Open Location")</f>
        <v>Open Location</v>
      </c>
    </row>
    <row r="2529" spans="1:40" x14ac:dyDescent="0.3">
      <c r="A2529" s="1">
        <v>46210.706944444442</v>
      </c>
      <c r="B2529" t="s">
        <v>40</v>
      </c>
      <c r="C2529" t="s">
        <v>41</v>
      </c>
      <c r="D2529" s="1">
        <v>46210.709745370368</v>
      </c>
      <c r="E2529" t="s">
        <v>42</v>
      </c>
      <c r="F2529" t="s">
        <v>83</v>
      </c>
      <c r="G2529">
        <v>0</v>
      </c>
      <c r="H2529">
        <v>33174</v>
      </c>
      <c r="I2529" t="s">
        <v>1331</v>
      </c>
      <c r="J2529">
        <v>58</v>
      </c>
      <c r="K2529">
        <v>4</v>
      </c>
      <c r="L2529">
        <v>98</v>
      </c>
      <c r="M2529">
        <v>630.40002441000001</v>
      </c>
      <c r="N2529" t="s">
        <v>85</v>
      </c>
      <c r="O2529" t="s">
        <v>82</v>
      </c>
      <c r="P2529">
        <v>125</v>
      </c>
      <c r="Q2529" t="s">
        <v>43</v>
      </c>
      <c r="R2529">
        <v>0</v>
      </c>
      <c r="S2529">
        <v>0</v>
      </c>
      <c r="T2529">
        <v>-40</v>
      </c>
      <c r="U2529">
        <v>48</v>
      </c>
      <c r="V2529">
        <v>0</v>
      </c>
      <c r="W2529">
        <v>29</v>
      </c>
      <c r="X2529">
        <v>29</v>
      </c>
      <c r="Y2529">
        <v>1</v>
      </c>
      <c r="Z2529">
        <v>8</v>
      </c>
      <c r="AA2529">
        <v>25</v>
      </c>
      <c r="AB2529">
        <v>1</v>
      </c>
      <c r="AC2529">
        <v>3</v>
      </c>
      <c r="AD2529">
        <v>3.2899999599999998</v>
      </c>
      <c r="AE2529">
        <v>1</v>
      </c>
      <c r="AF2529">
        <v>25</v>
      </c>
      <c r="AG2529">
        <v>3.2869999399999998</v>
      </c>
      <c r="AH2529">
        <v>2</v>
      </c>
      <c r="AI2529">
        <v>12</v>
      </c>
      <c r="AJ2529">
        <v>1</v>
      </c>
      <c r="AK2529">
        <v>18</v>
      </c>
      <c r="AL2529">
        <v>51</v>
      </c>
      <c r="AM2529" t="s">
        <v>43</v>
      </c>
      <c r="AN2529" t="str">
        <f>HYPERLINK("https://www.google.com/maps?q=10.81512165,79.14881134","Open Location")</f>
        <v>Open Location</v>
      </c>
    </row>
    <row r="2530" spans="1:40" x14ac:dyDescent="0.3">
      <c r="A2530" s="1">
        <v>46210.706828703704</v>
      </c>
      <c r="B2530" t="s">
        <v>40</v>
      </c>
      <c r="C2530" t="s">
        <v>41</v>
      </c>
      <c r="D2530" s="1">
        <v>46210.709618055553</v>
      </c>
      <c r="E2530" t="s">
        <v>42</v>
      </c>
      <c r="F2530" t="s">
        <v>83</v>
      </c>
      <c r="G2530">
        <v>0</v>
      </c>
      <c r="H2530">
        <v>33174</v>
      </c>
      <c r="I2530" t="s">
        <v>1332</v>
      </c>
      <c r="J2530">
        <v>58</v>
      </c>
      <c r="K2530">
        <v>4</v>
      </c>
      <c r="L2530">
        <v>98</v>
      </c>
      <c r="M2530">
        <v>630.40002441000001</v>
      </c>
      <c r="N2530" t="s">
        <v>85</v>
      </c>
      <c r="O2530" t="s">
        <v>82</v>
      </c>
      <c r="P2530">
        <v>125</v>
      </c>
      <c r="Q2530" t="s">
        <v>82</v>
      </c>
      <c r="R2530">
        <v>0</v>
      </c>
      <c r="S2530">
        <v>0</v>
      </c>
      <c r="T2530">
        <v>-40</v>
      </c>
      <c r="U2530">
        <v>48</v>
      </c>
      <c r="V2530">
        <v>0</v>
      </c>
      <c r="W2530">
        <v>29</v>
      </c>
      <c r="X2530">
        <v>29</v>
      </c>
      <c r="Y2530">
        <v>1</v>
      </c>
      <c r="Z2530">
        <v>8</v>
      </c>
      <c r="AA2530">
        <v>25</v>
      </c>
      <c r="AB2530">
        <v>1</v>
      </c>
      <c r="AC2530">
        <v>3</v>
      </c>
      <c r="AD2530">
        <v>3.2899999599999998</v>
      </c>
      <c r="AE2530">
        <v>1</v>
      </c>
      <c r="AF2530">
        <v>29</v>
      </c>
      <c r="AG2530">
        <v>3.2869999399999998</v>
      </c>
      <c r="AH2530">
        <v>2</v>
      </c>
      <c r="AI2530">
        <v>12</v>
      </c>
      <c r="AJ2530">
        <v>1</v>
      </c>
      <c r="AK2530">
        <v>18</v>
      </c>
      <c r="AL2530">
        <v>51</v>
      </c>
      <c r="AM2530" t="s">
        <v>43</v>
      </c>
      <c r="AN2530" t="str">
        <f>HYPERLINK("https://www.google.com/maps?q=10.81512356,79.14881134","Open Location")</f>
        <v>Open Location</v>
      </c>
    </row>
    <row r="2531" spans="1:40" x14ac:dyDescent="0.3">
      <c r="A2531" s="1">
        <v>46210.706712962965</v>
      </c>
      <c r="B2531" t="s">
        <v>40</v>
      </c>
      <c r="C2531" t="s">
        <v>41</v>
      </c>
      <c r="D2531" s="1">
        <v>46210.709502314814</v>
      </c>
      <c r="E2531" t="s">
        <v>42</v>
      </c>
      <c r="F2531" t="s">
        <v>83</v>
      </c>
      <c r="G2531">
        <v>0</v>
      </c>
      <c r="H2531">
        <v>33174</v>
      </c>
      <c r="I2531" t="s">
        <v>43</v>
      </c>
      <c r="J2531">
        <v>58</v>
      </c>
      <c r="K2531">
        <v>4</v>
      </c>
      <c r="L2531">
        <v>98</v>
      </c>
      <c r="M2531">
        <v>630.20001220999995</v>
      </c>
      <c r="N2531" t="s">
        <v>85</v>
      </c>
      <c r="O2531" t="s">
        <v>82</v>
      </c>
      <c r="P2531">
        <v>125</v>
      </c>
      <c r="Q2531" t="s">
        <v>82</v>
      </c>
      <c r="R2531">
        <v>0</v>
      </c>
      <c r="S2531">
        <v>0</v>
      </c>
      <c r="T2531">
        <v>-40</v>
      </c>
      <c r="U2531">
        <v>48</v>
      </c>
      <c r="V2531">
        <v>0</v>
      </c>
      <c r="W2531">
        <v>29</v>
      </c>
      <c r="X2531">
        <v>29</v>
      </c>
      <c r="Y2531">
        <v>1</v>
      </c>
      <c r="Z2531">
        <v>8</v>
      </c>
      <c r="AA2531">
        <v>25</v>
      </c>
      <c r="AB2531">
        <v>1</v>
      </c>
      <c r="AC2531">
        <v>3</v>
      </c>
      <c r="AD2531">
        <v>3.2899999599999998</v>
      </c>
      <c r="AE2531">
        <v>1</v>
      </c>
      <c r="AF2531">
        <v>25</v>
      </c>
      <c r="AG2531">
        <v>3.2869999399999998</v>
      </c>
      <c r="AH2531">
        <v>2</v>
      </c>
      <c r="AI2531">
        <v>12</v>
      </c>
      <c r="AJ2531">
        <v>1</v>
      </c>
      <c r="AK2531">
        <v>17</v>
      </c>
      <c r="AL2531">
        <v>51</v>
      </c>
      <c r="AM2531" t="s">
        <v>43</v>
      </c>
      <c r="AN2531" t="s">
        <v>43</v>
      </c>
    </row>
    <row r="2532" spans="1:40" x14ac:dyDescent="0.3">
      <c r="A2532" s="1">
        <v>46210.706597222219</v>
      </c>
      <c r="B2532" t="s">
        <v>40</v>
      </c>
      <c r="C2532" t="s">
        <v>41</v>
      </c>
      <c r="D2532" s="1">
        <v>46210.70989583333</v>
      </c>
      <c r="E2532" t="s">
        <v>42</v>
      </c>
      <c r="F2532" t="s">
        <v>83</v>
      </c>
      <c r="G2532">
        <v>0</v>
      </c>
      <c r="H2532">
        <v>33174</v>
      </c>
      <c r="I2532" t="s">
        <v>1333</v>
      </c>
      <c r="J2532">
        <v>58</v>
      </c>
      <c r="K2532">
        <v>4</v>
      </c>
      <c r="L2532">
        <v>98</v>
      </c>
      <c r="M2532">
        <v>631</v>
      </c>
      <c r="N2532" t="s">
        <v>85</v>
      </c>
      <c r="O2532" t="s">
        <v>82</v>
      </c>
      <c r="P2532">
        <v>125</v>
      </c>
      <c r="Q2532" t="s">
        <v>82</v>
      </c>
      <c r="R2532">
        <v>0</v>
      </c>
      <c r="S2532">
        <v>0</v>
      </c>
      <c r="T2532">
        <v>-40</v>
      </c>
      <c r="U2532">
        <v>47</v>
      </c>
      <c r="V2532">
        <v>0</v>
      </c>
      <c r="W2532">
        <v>29</v>
      </c>
      <c r="X2532">
        <v>29</v>
      </c>
      <c r="Y2532">
        <v>1</v>
      </c>
      <c r="Z2532">
        <v>8</v>
      </c>
      <c r="AA2532">
        <v>25</v>
      </c>
      <c r="AB2532">
        <v>1</v>
      </c>
      <c r="AC2532">
        <v>3</v>
      </c>
      <c r="AD2532">
        <v>3.2899999599999998</v>
      </c>
      <c r="AE2532">
        <v>1</v>
      </c>
      <c r="AF2532">
        <v>29</v>
      </c>
      <c r="AG2532">
        <v>3.2869999399999998</v>
      </c>
      <c r="AH2532">
        <v>2</v>
      </c>
      <c r="AI2532">
        <v>12</v>
      </c>
      <c r="AJ2532" t="s">
        <v>43</v>
      </c>
      <c r="AK2532" t="s">
        <v>43</v>
      </c>
      <c r="AL2532">
        <v>51</v>
      </c>
      <c r="AM2532" t="s">
        <v>43</v>
      </c>
      <c r="AN2532" t="str">
        <f>HYPERLINK("https://www.google.com/maps?q=10.81511784,79.14881134","Open Location")</f>
        <v>Open Location</v>
      </c>
    </row>
    <row r="2533" spans="1:40" x14ac:dyDescent="0.3">
      <c r="A2533" s="1">
        <v>46210.70648148148</v>
      </c>
      <c r="B2533" t="s">
        <v>40</v>
      </c>
      <c r="C2533" t="s">
        <v>41</v>
      </c>
      <c r="D2533" s="1">
        <v>46210.709340277775</v>
      </c>
      <c r="E2533" t="s">
        <v>42</v>
      </c>
      <c r="F2533" t="s">
        <v>83</v>
      </c>
      <c r="G2533">
        <v>0</v>
      </c>
      <c r="H2533">
        <v>33174</v>
      </c>
      <c r="I2533" t="s">
        <v>1334</v>
      </c>
      <c r="J2533">
        <v>58</v>
      </c>
      <c r="K2533">
        <v>4</v>
      </c>
      <c r="L2533">
        <v>98</v>
      </c>
      <c r="M2533">
        <v>630.40002441000001</v>
      </c>
      <c r="N2533" t="s">
        <v>85</v>
      </c>
      <c r="O2533" t="s">
        <v>82</v>
      </c>
      <c r="P2533">
        <v>125</v>
      </c>
      <c r="Q2533" t="s">
        <v>82</v>
      </c>
      <c r="R2533">
        <v>0</v>
      </c>
      <c r="S2533">
        <v>0</v>
      </c>
      <c r="T2533">
        <v>-40</v>
      </c>
      <c r="U2533">
        <v>47</v>
      </c>
      <c r="V2533">
        <v>0</v>
      </c>
      <c r="W2533">
        <v>29</v>
      </c>
      <c r="X2533">
        <v>29</v>
      </c>
      <c r="Y2533">
        <v>1</v>
      </c>
      <c r="Z2533">
        <v>8</v>
      </c>
      <c r="AA2533">
        <v>25</v>
      </c>
      <c r="AB2533">
        <v>1</v>
      </c>
      <c r="AC2533">
        <v>3</v>
      </c>
      <c r="AD2533">
        <v>3.2899999599999998</v>
      </c>
      <c r="AE2533">
        <v>1</v>
      </c>
      <c r="AF2533">
        <v>29</v>
      </c>
      <c r="AG2533">
        <v>3.2869999399999998</v>
      </c>
      <c r="AH2533">
        <v>2</v>
      </c>
      <c r="AI2533">
        <v>3</v>
      </c>
      <c r="AJ2533">
        <v>1</v>
      </c>
      <c r="AK2533">
        <v>18</v>
      </c>
      <c r="AL2533">
        <v>51</v>
      </c>
      <c r="AM2533" t="s">
        <v>43</v>
      </c>
      <c r="AN2533" t="str">
        <f>HYPERLINK("https://www.google.com/maps?q=10.81511211,79.14881897","Open Location")</f>
        <v>Open Location</v>
      </c>
    </row>
    <row r="2534" spans="1:40" x14ac:dyDescent="0.3">
      <c r="A2534" s="1">
        <v>46210.706365740742</v>
      </c>
      <c r="B2534" t="s">
        <v>40</v>
      </c>
      <c r="C2534" t="s">
        <v>41</v>
      </c>
      <c r="D2534" s="1">
        <v>46210.709444444445</v>
      </c>
      <c r="E2534" t="s">
        <v>42</v>
      </c>
      <c r="F2534" t="s">
        <v>83</v>
      </c>
      <c r="G2534">
        <v>0</v>
      </c>
      <c r="H2534">
        <v>33174</v>
      </c>
      <c r="I2534" t="s">
        <v>1335</v>
      </c>
      <c r="J2534">
        <v>58</v>
      </c>
      <c r="K2534">
        <v>4</v>
      </c>
      <c r="L2534">
        <v>98</v>
      </c>
      <c r="M2534">
        <v>630.29998779000005</v>
      </c>
      <c r="N2534" t="s">
        <v>85</v>
      </c>
      <c r="O2534" t="s">
        <v>82</v>
      </c>
      <c r="P2534">
        <v>125</v>
      </c>
      <c r="Q2534" t="s">
        <v>82</v>
      </c>
      <c r="R2534">
        <v>0</v>
      </c>
      <c r="S2534">
        <v>0</v>
      </c>
      <c r="T2534">
        <v>-40</v>
      </c>
      <c r="U2534">
        <v>47</v>
      </c>
      <c r="V2534">
        <v>0</v>
      </c>
      <c r="W2534">
        <v>29</v>
      </c>
      <c r="X2534">
        <v>29</v>
      </c>
      <c r="Y2534">
        <v>1</v>
      </c>
      <c r="Z2534">
        <v>8</v>
      </c>
      <c r="AA2534">
        <v>25</v>
      </c>
      <c r="AB2534">
        <v>1</v>
      </c>
      <c r="AC2534">
        <v>3</v>
      </c>
      <c r="AD2534">
        <v>3.2899999599999998</v>
      </c>
      <c r="AE2534">
        <v>1</v>
      </c>
      <c r="AF2534">
        <v>29</v>
      </c>
      <c r="AG2534">
        <v>3.2869999399999998</v>
      </c>
      <c r="AH2534">
        <v>2</v>
      </c>
      <c r="AI2534">
        <v>12</v>
      </c>
      <c r="AJ2534">
        <v>1</v>
      </c>
      <c r="AK2534">
        <v>18</v>
      </c>
      <c r="AL2534">
        <v>51</v>
      </c>
      <c r="AM2534" t="s">
        <v>43</v>
      </c>
      <c r="AN2534" t="str">
        <f>HYPERLINK("https://www.google.com/maps?q=10.81510544,79.1488266","Open Location")</f>
        <v>Open Location</v>
      </c>
    </row>
    <row r="2535" spans="1:40" x14ac:dyDescent="0.3">
      <c r="A2535" s="1">
        <v>46210.706250000003</v>
      </c>
      <c r="B2535" t="s">
        <v>40</v>
      </c>
      <c r="C2535" t="s">
        <v>41</v>
      </c>
      <c r="D2535" s="1">
        <v>46210.709016203706</v>
      </c>
      <c r="E2535" t="s">
        <v>42</v>
      </c>
      <c r="F2535" t="s">
        <v>83</v>
      </c>
      <c r="G2535">
        <v>0</v>
      </c>
      <c r="H2535">
        <v>33174</v>
      </c>
      <c r="I2535" t="s">
        <v>1336</v>
      </c>
      <c r="J2535">
        <v>58</v>
      </c>
      <c r="K2535">
        <v>4</v>
      </c>
      <c r="L2535">
        <v>98</v>
      </c>
      <c r="M2535">
        <v>630.40002441000001</v>
      </c>
      <c r="N2535" t="s">
        <v>85</v>
      </c>
      <c r="O2535" t="s">
        <v>82</v>
      </c>
      <c r="P2535">
        <v>125</v>
      </c>
      <c r="Q2535" t="s">
        <v>82</v>
      </c>
      <c r="R2535">
        <v>0</v>
      </c>
      <c r="S2535">
        <v>0</v>
      </c>
      <c r="T2535">
        <v>-40</v>
      </c>
      <c r="U2535">
        <v>47</v>
      </c>
      <c r="V2535">
        <v>0</v>
      </c>
      <c r="W2535">
        <v>29</v>
      </c>
      <c r="X2535">
        <v>29</v>
      </c>
      <c r="Y2535">
        <v>1</v>
      </c>
      <c r="Z2535">
        <v>8</v>
      </c>
      <c r="AA2535">
        <v>25</v>
      </c>
      <c r="AB2535">
        <v>1</v>
      </c>
      <c r="AC2535">
        <v>3</v>
      </c>
      <c r="AD2535">
        <v>3.2899999599999998</v>
      </c>
      <c r="AE2535">
        <v>1</v>
      </c>
      <c r="AF2535">
        <v>29</v>
      </c>
      <c r="AG2535">
        <v>3.2869999399999998</v>
      </c>
      <c r="AH2535">
        <v>2</v>
      </c>
      <c r="AI2535">
        <v>3</v>
      </c>
      <c r="AJ2535">
        <v>1</v>
      </c>
      <c r="AK2535">
        <v>18</v>
      </c>
      <c r="AL2535">
        <v>51</v>
      </c>
      <c r="AM2535" t="s">
        <v>43</v>
      </c>
      <c r="AN2535" t="str">
        <f>HYPERLINK("https://www.google.com/maps?q=10.81510067,79.14883423","Open Location")</f>
        <v>Open Location</v>
      </c>
    </row>
    <row r="2536" spans="1:40" x14ac:dyDescent="0.3">
      <c r="A2536" s="1">
        <v>46210.706134259257</v>
      </c>
      <c r="B2536" t="s">
        <v>40</v>
      </c>
      <c r="C2536" t="s">
        <v>41</v>
      </c>
      <c r="D2536" s="1">
        <v>46210.709016203706</v>
      </c>
      <c r="E2536" t="s">
        <v>42</v>
      </c>
      <c r="F2536" t="s">
        <v>83</v>
      </c>
      <c r="G2536">
        <v>0</v>
      </c>
      <c r="H2536">
        <v>33174</v>
      </c>
      <c r="I2536" t="s">
        <v>1337</v>
      </c>
      <c r="J2536">
        <v>58</v>
      </c>
      <c r="K2536">
        <v>4</v>
      </c>
      <c r="L2536">
        <v>98</v>
      </c>
      <c r="M2536">
        <v>630.29998779000005</v>
      </c>
      <c r="N2536" t="s">
        <v>85</v>
      </c>
      <c r="O2536" t="s">
        <v>82</v>
      </c>
      <c r="P2536">
        <v>125</v>
      </c>
      <c r="Q2536" t="s">
        <v>82</v>
      </c>
      <c r="R2536">
        <v>0</v>
      </c>
      <c r="S2536">
        <v>0</v>
      </c>
      <c r="T2536">
        <v>-40</v>
      </c>
      <c r="U2536">
        <v>47</v>
      </c>
      <c r="V2536">
        <v>0</v>
      </c>
      <c r="W2536">
        <v>29</v>
      </c>
      <c r="X2536">
        <v>29</v>
      </c>
      <c r="Y2536">
        <v>1</v>
      </c>
      <c r="Z2536">
        <v>8</v>
      </c>
      <c r="AA2536">
        <v>25</v>
      </c>
      <c r="AB2536">
        <v>1</v>
      </c>
      <c r="AC2536">
        <v>3</v>
      </c>
      <c r="AD2536">
        <v>3.2899999599999998</v>
      </c>
      <c r="AE2536">
        <v>1</v>
      </c>
      <c r="AF2536">
        <v>46</v>
      </c>
      <c r="AG2536">
        <v>3.2869999399999998</v>
      </c>
      <c r="AH2536">
        <v>2</v>
      </c>
      <c r="AI2536">
        <v>3</v>
      </c>
      <c r="AJ2536">
        <v>1</v>
      </c>
      <c r="AK2536">
        <v>18</v>
      </c>
      <c r="AL2536">
        <v>51</v>
      </c>
      <c r="AM2536" t="s">
        <v>43</v>
      </c>
      <c r="AN2536" t="str">
        <f>HYPERLINK("https://www.google.com/maps?q=10.81509972,79.14883423","Open Location")</f>
        <v>Open Location</v>
      </c>
    </row>
    <row r="2537" spans="1:40" x14ac:dyDescent="0.3">
      <c r="A2537" s="1">
        <v>46210.706018518518</v>
      </c>
      <c r="B2537" t="s">
        <v>40</v>
      </c>
      <c r="C2537" t="s">
        <v>41</v>
      </c>
      <c r="D2537" s="1">
        <v>46210.708819444444</v>
      </c>
      <c r="E2537" t="s">
        <v>42</v>
      </c>
      <c r="F2537" t="s">
        <v>83</v>
      </c>
      <c r="G2537">
        <v>0</v>
      </c>
      <c r="H2537">
        <v>33174</v>
      </c>
      <c r="I2537" t="s">
        <v>43</v>
      </c>
      <c r="J2537">
        <v>58</v>
      </c>
      <c r="K2537">
        <v>4</v>
      </c>
      <c r="L2537">
        <v>98</v>
      </c>
      <c r="M2537">
        <v>631.09997558999999</v>
      </c>
      <c r="N2537" t="s">
        <v>85</v>
      </c>
      <c r="O2537" t="s">
        <v>82</v>
      </c>
      <c r="P2537">
        <v>125</v>
      </c>
      <c r="Q2537" t="s">
        <v>82</v>
      </c>
      <c r="R2537">
        <v>0</v>
      </c>
      <c r="S2537">
        <v>0</v>
      </c>
      <c r="T2537">
        <v>-40</v>
      </c>
      <c r="U2537">
        <v>47</v>
      </c>
      <c r="V2537">
        <v>0</v>
      </c>
      <c r="W2537">
        <v>29</v>
      </c>
      <c r="X2537">
        <v>29</v>
      </c>
      <c r="Y2537">
        <v>1</v>
      </c>
      <c r="Z2537">
        <v>8</v>
      </c>
      <c r="AA2537">
        <v>25</v>
      </c>
      <c r="AB2537">
        <v>2</v>
      </c>
      <c r="AC2537">
        <v>1</v>
      </c>
      <c r="AD2537">
        <v>3.2899999599999998</v>
      </c>
      <c r="AE2537">
        <v>5</v>
      </c>
      <c r="AF2537">
        <v>38</v>
      </c>
      <c r="AG2537">
        <v>3.2869999399999998</v>
      </c>
      <c r="AH2537">
        <v>1</v>
      </c>
      <c r="AI2537">
        <v>30</v>
      </c>
      <c r="AJ2537">
        <v>1</v>
      </c>
      <c r="AK2537">
        <v>18</v>
      </c>
      <c r="AL2537">
        <v>51</v>
      </c>
      <c r="AM2537" t="s">
        <v>43</v>
      </c>
      <c r="AN2537" t="s">
        <v>43</v>
      </c>
    </row>
    <row r="2538" spans="1:40" x14ac:dyDescent="0.3">
      <c r="A2538" s="1">
        <v>46210.70590277778</v>
      </c>
      <c r="B2538" t="s">
        <v>40</v>
      </c>
      <c r="C2538" t="s">
        <v>41</v>
      </c>
      <c r="D2538" s="1">
        <v>46210.70894675926</v>
      </c>
      <c r="E2538" t="s">
        <v>42</v>
      </c>
      <c r="F2538" t="s">
        <v>83</v>
      </c>
      <c r="G2538">
        <v>0</v>
      </c>
      <c r="H2538">
        <v>33174</v>
      </c>
      <c r="I2538" t="s">
        <v>1338</v>
      </c>
      <c r="J2538">
        <v>58</v>
      </c>
      <c r="K2538">
        <v>4</v>
      </c>
      <c r="L2538">
        <v>98</v>
      </c>
      <c r="M2538">
        <v>631</v>
      </c>
      <c r="N2538" t="s">
        <v>85</v>
      </c>
      <c r="O2538" t="s">
        <v>82</v>
      </c>
      <c r="P2538">
        <v>125</v>
      </c>
      <c r="Q2538" t="s">
        <v>82</v>
      </c>
      <c r="R2538">
        <v>0</v>
      </c>
      <c r="S2538">
        <v>0</v>
      </c>
      <c r="T2538">
        <v>-40</v>
      </c>
      <c r="U2538">
        <v>47</v>
      </c>
      <c r="V2538">
        <v>0</v>
      </c>
      <c r="W2538">
        <v>29</v>
      </c>
      <c r="X2538">
        <v>29</v>
      </c>
      <c r="Y2538">
        <v>1</v>
      </c>
      <c r="Z2538">
        <v>8</v>
      </c>
      <c r="AA2538">
        <v>25</v>
      </c>
      <c r="AB2538">
        <v>2</v>
      </c>
      <c r="AC2538">
        <v>1</v>
      </c>
      <c r="AD2538">
        <v>3.28900003</v>
      </c>
      <c r="AE2538">
        <v>1</v>
      </c>
      <c r="AF2538">
        <v>1</v>
      </c>
      <c r="AG2538">
        <v>3.2869999399999998</v>
      </c>
      <c r="AH2538">
        <v>1</v>
      </c>
      <c r="AI2538">
        <v>30</v>
      </c>
      <c r="AJ2538" t="s">
        <v>43</v>
      </c>
      <c r="AK2538">
        <v>19</v>
      </c>
      <c r="AL2538">
        <v>51</v>
      </c>
      <c r="AM2538" t="s">
        <v>43</v>
      </c>
      <c r="AN2538" t="str">
        <f>HYPERLINK("https://www.google.com/maps?q=10.81510258,79.14883423","Open Location")</f>
        <v>Open Location</v>
      </c>
    </row>
    <row r="2539" spans="1:40" x14ac:dyDescent="0.3">
      <c r="A2539" s="1">
        <v>46210.705787037034</v>
      </c>
      <c r="B2539" t="s">
        <v>40</v>
      </c>
      <c r="C2539" t="s">
        <v>41</v>
      </c>
      <c r="D2539" s="1">
        <v>46210.708958333336</v>
      </c>
      <c r="E2539" t="s">
        <v>42</v>
      </c>
      <c r="F2539" t="s">
        <v>83</v>
      </c>
      <c r="G2539">
        <v>0</v>
      </c>
      <c r="H2539">
        <v>33174</v>
      </c>
      <c r="I2539" t="s">
        <v>1339</v>
      </c>
      <c r="J2539">
        <v>58</v>
      </c>
      <c r="K2539">
        <v>4</v>
      </c>
      <c r="L2539">
        <v>98</v>
      </c>
      <c r="M2539">
        <v>630.5</v>
      </c>
      <c r="N2539" t="s">
        <v>85</v>
      </c>
      <c r="O2539" t="s">
        <v>82</v>
      </c>
      <c r="P2539">
        <v>125</v>
      </c>
      <c r="Q2539" t="s">
        <v>82</v>
      </c>
      <c r="R2539">
        <v>0</v>
      </c>
      <c r="S2539">
        <v>0</v>
      </c>
      <c r="T2539">
        <v>-40</v>
      </c>
      <c r="U2539">
        <v>47</v>
      </c>
      <c r="V2539">
        <v>0</v>
      </c>
      <c r="W2539">
        <v>29</v>
      </c>
      <c r="X2539">
        <v>29</v>
      </c>
      <c r="Y2539">
        <v>1</v>
      </c>
      <c r="Z2539">
        <v>8</v>
      </c>
      <c r="AA2539">
        <v>25</v>
      </c>
      <c r="AB2539">
        <v>2</v>
      </c>
      <c r="AC2539">
        <v>1</v>
      </c>
      <c r="AD2539">
        <v>3.2899999599999998</v>
      </c>
      <c r="AE2539">
        <v>1</v>
      </c>
      <c r="AF2539">
        <v>29</v>
      </c>
      <c r="AG2539">
        <v>3.2869999399999998</v>
      </c>
      <c r="AH2539">
        <v>1</v>
      </c>
      <c r="AI2539">
        <v>30</v>
      </c>
      <c r="AJ2539">
        <v>1</v>
      </c>
      <c r="AK2539">
        <v>19</v>
      </c>
      <c r="AL2539">
        <v>51</v>
      </c>
      <c r="AM2539" t="s">
        <v>43</v>
      </c>
      <c r="AN2539" t="str">
        <f>HYPERLINK("https://www.google.com/maps?q=10.81510162,79.14884186","Open Location")</f>
        <v>Open Location</v>
      </c>
    </row>
    <row r="2540" spans="1:40" x14ac:dyDescent="0.3">
      <c r="A2540" s="1">
        <v>46210.705671296295</v>
      </c>
      <c r="B2540" t="s">
        <v>40</v>
      </c>
      <c r="C2540" t="s">
        <v>41</v>
      </c>
      <c r="D2540" s="1">
        <v>46210.708657407406</v>
      </c>
      <c r="E2540" t="s">
        <v>42</v>
      </c>
      <c r="F2540" t="s">
        <v>83</v>
      </c>
      <c r="G2540">
        <v>0</v>
      </c>
      <c r="H2540">
        <v>33174</v>
      </c>
      <c r="I2540" t="s">
        <v>1340</v>
      </c>
      <c r="J2540">
        <v>58</v>
      </c>
      <c r="K2540">
        <v>4</v>
      </c>
      <c r="L2540">
        <v>98</v>
      </c>
      <c r="M2540">
        <v>630.09997558999999</v>
      </c>
      <c r="N2540" t="s">
        <v>85</v>
      </c>
      <c r="O2540" t="s">
        <v>82</v>
      </c>
      <c r="P2540">
        <v>125</v>
      </c>
      <c r="Q2540" t="s">
        <v>82</v>
      </c>
      <c r="R2540">
        <v>0</v>
      </c>
      <c r="S2540">
        <v>0</v>
      </c>
      <c r="T2540">
        <v>-40</v>
      </c>
      <c r="U2540">
        <v>47</v>
      </c>
      <c r="V2540">
        <v>0</v>
      </c>
      <c r="W2540">
        <v>29</v>
      </c>
      <c r="X2540">
        <v>29</v>
      </c>
      <c r="Y2540">
        <v>1</v>
      </c>
      <c r="Z2540">
        <v>8</v>
      </c>
      <c r="AA2540">
        <v>25</v>
      </c>
      <c r="AB2540">
        <v>2</v>
      </c>
      <c r="AC2540">
        <v>1</v>
      </c>
      <c r="AD2540">
        <v>3.28900003</v>
      </c>
      <c r="AE2540">
        <v>1</v>
      </c>
      <c r="AF2540">
        <v>1</v>
      </c>
      <c r="AG2540">
        <v>3.2869999399999998</v>
      </c>
      <c r="AH2540">
        <v>1</v>
      </c>
      <c r="AI2540">
        <v>4</v>
      </c>
      <c r="AJ2540" t="s">
        <v>43</v>
      </c>
      <c r="AK2540" t="s">
        <v>43</v>
      </c>
      <c r="AL2540">
        <v>51</v>
      </c>
      <c r="AM2540" t="s">
        <v>43</v>
      </c>
      <c r="AN2540" t="str">
        <f>HYPERLINK("https://www.google.com/maps?q=10.81510544,79.14883423","Open Location")</f>
        <v>Open Location</v>
      </c>
    </row>
    <row r="2541" spans="1:40" x14ac:dyDescent="0.3">
      <c r="A2541" s="1">
        <v>46210.705555555556</v>
      </c>
      <c r="B2541" t="s">
        <v>40</v>
      </c>
      <c r="C2541" t="s">
        <v>41</v>
      </c>
      <c r="D2541" s="1">
        <v>46210.708611111113</v>
      </c>
      <c r="E2541" t="s">
        <v>42</v>
      </c>
      <c r="F2541" t="s">
        <v>83</v>
      </c>
      <c r="G2541">
        <v>0</v>
      </c>
      <c r="H2541">
        <v>33174</v>
      </c>
      <c r="I2541" t="s">
        <v>1341</v>
      </c>
      <c r="J2541">
        <v>58</v>
      </c>
      <c r="K2541">
        <v>4</v>
      </c>
      <c r="L2541">
        <v>98</v>
      </c>
      <c r="M2541">
        <v>631</v>
      </c>
      <c r="N2541" t="s">
        <v>85</v>
      </c>
      <c r="O2541" t="s">
        <v>82</v>
      </c>
      <c r="P2541">
        <v>125</v>
      </c>
      <c r="Q2541" t="s">
        <v>82</v>
      </c>
      <c r="R2541">
        <v>0</v>
      </c>
      <c r="S2541">
        <v>0</v>
      </c>
      <c r="T2541">
        <v>-40</v>
      </c>
      <c r="U2541">
        <v>47</v>
      </c>
      <c r="V2541">
        <v>0</v>
      </c>
      <c r="W2541">
        <v>29</v>
      </c>
      <c r="X2541">
        <v>29</v>
      </c>
      <c r="Y2541">
        <v>1</v>
      </c>
      <c r="Z2541">
        <v>8</v>
      </c>
      <c r="AA2541">
        <v>25</v>
      </c>
      <c r="AB2541">
        <v>2</v>
      </c>
      <c r="AC2541">
        <v>1</v>
      </c>
      <c r="AD2541">
        <v>3.28900003</v>
      </c>
      <c r="AE2541">
        <v>1</v>
      </c>
      <c r="AF2541">
        <v>1</v>
      </c>
      <c r="AG2541">
        <v>3.2869999399999998</v>
      </c>
      <c r="AH2541">
        <v>1</v>
      </c>
      <c r="AI2541">
        <v>30</v>
      </c>
      <c r="AJ2541">
        <v>1</v>
      </c>
      <c r="AK2541">
        <v>19</v>
      </c>
      <c r="AL2541">
        <v>51</v>
      </c>
      <c r="AM2541" t="s">
        <v>43</v>
      </c>
      <c r="AN2541" t="str">
        <f>HYPERLINK("https://www.google.com/maps?q=10.81510258,79.1488266","Open Location")</f>
        <v>Open Location</v>
      </c>
    </row>
    <row r="2542" spans="1:40" x14ac:dyDescent="0.3">
      <c r="A2542" s="1">
        <v>46210.705439814818</v>
      </c>
      <c r="B2542" t="s">
        <v>40</v>
      </c>
      <c r="C2542" t="s">
        <v>41</v>
      </c>
      <c r="D2542" s="1">
        <v>46210.708391203705</v>
      </c>
      <c r="E2542" t="s">
        <v>42</v>
      </c>
      <c r="F2542" t="s">
        <v>83</v>
      </c>
      <c r="G2542">
        <v>0</v>
      </c>
      <c r="H2542">
        <v>33174</v>
      </c>
      <c r="I2542" t="s">
        <v>43</v>
      </c>
      <c r="J2542">
        <v>58</v>
      </c>
      <c r="K2542">
        <v>4</v>
      </c>
      <c r="L2542">
        <v>98</v>
      </c>
      <c r="M2542">
        <v>630.5</v>
      </c>
      <c r="N2542" t="s">
        <v>85</v>
      </c>
      <c r="O2542" t="s">
        <v>82</v>
      </c>
      <c r="P2542">
        <v>125</v>
      </c>
      <c r="Q2542" t="s">
        <v>82</v>
      </c>
      <c r="R2542">
        <v>0</v>
      </c>
      <c r="S2542">
        <v>0</v>
      </c>
      <c r="T2542">
        <v>-40</v>
      </c>
      <c r="U2542">
        <v>47</v>
      </c>
      <c r="V2542">
        <v>0</v>
      </c>
      <c r="W2542">
        <v>29</v>
      </c>
      <c r="X2542">
        <v>29</v>
      </c>
      <c r="Y2542">
        <v>1</v>
      </c>
      <c r="Z2542">
        <v>8</v>
      </c>
      <c r="AA2542">
        <v>25</v>
      </c>
      <c r="AB2542">
        <v>2</v>
      </c>
      <c r="AC2542">
        <v>1</v>
      </c>
      <c r="AD2542">
        <v>3.28900003</v>
      </c>
      <c r="AE2542">
        <v>1</v>
      </c>
      <c r="AF2542">
        <v>16</v>
      </c>
      <c r="AG2542">
        <v>3.2869999399999998</v>
      </c>
      <c r="AH2542">
        <v>1</v>
      </c>
      <c r="AI2542">
        <v>4</v>
      </c>
      <c r="AJ2542">
        <v>1</v>
      </c>
      <c r="AK2542">
        <v>19</v>
      </c>
      <c r="AL2542">
        <v>51</v>
      </c>
      <c r="AM2542" t="s">
        <v>43</v>
      </c>
      <c r="AN2542" t="s">
        <v>43</v>
      </c>
    </row>
    <row r="2543" spans="1:40" x14ac:dyDescent="0.3">
      <c r="A2543" s="1">
        <v>46210.705324074072</v>
      </c>
      <c r="B2543" t="s">
        <v>40</v>
      </c>
      <c r="C2543" t="s">
        <v>41</v>
      </c>
      <c r="D2543" s="1">
        <v>46210.708067129628</v>
      </c>
      <c r="E2543" t="s">
        <v>42</v>
      </c>
      <c r="F2543" t="s">
        <v>83</v>
      </c>
      <c r="G2543">
        <v>0</v>
      </c>
      <c r="H2543">
        <v>33174</v>
      </c>
      <c r="I2543" t="s">
        <v>1342</v>
      </c>
      <c r="J2543">
        <v>58</v>
      </c>
      <c r="K2543">
        <v>4</v>
      </c>
      <c r="L2543">
        <v>98</v>
      </c>
      <c r="M2543">
        <v>630.20001220999995</v>
      </c>
      <c r="N2543" t="s">
        <v>85</v>
      </c>
      <c r="O2543" t="s">
        <v>82</v>
      </c>
      <c r="P2543">
        <v>125</v>
      </c>
      <c r="Q2543" t="s">
        <v>82</v>
      </c>
      <c r="R2543">
        <v>0</v>
      </c>
      <c r="S2543">
        <v>0</v>
      </c>
      <c r="T2543">
        <v>-40</v>
      </c>
      <c r="U2543">
        <v>48</v>
      </c>
      <c r="V2543">
        <v>0</v>
      </c>
      <c r="W2543">
        <v>29</v>
      </c>
      <c r="X2543">
        <v>29</v>
      </c>
      <c r="Y2543">
        <v>1</v>
      </c>
      <c r="Z2543">
        <v>8</v>
      </c>
      <c r="AA2543">
        <v>25</v>
      </c>
      <c r="AB2543">
        <v>2</v>
      </c>
      <c r="AC2543">
        <v>1</v>
      </c>
      <c r="AD2543">
        <v>3.28900003</v>
      </c>
      <c r="AE2543">
        <v>1</v>
      </c>
      <c r="AF2543">
        <v>16</v>
      </c>
      <c r="AG2543">
        <v>3.2869999399999998</v>
      </c>
      <c r="AH2543">
        <v>1</v>
      </c>
      <c r="AI2543">
        <v>4</v>
      </c>
      <c r="AJ2543">
        <v>1</v>
      </c>
      <c r="AK2543">
        <v>19</v>
      </c>
      <c r="AL2543">
        <v>51</v>
      </c>
      <c r="AM2543" t="s">
        <v>43</v>
      </c>
      <c r="AN2543" t="str">
        <f>HYPERLINK("https://www.google.com/maps?q=10.81511593,79.14881897","Open Location")</f>
        <v>Open Location</v>
      </c>
    </row>
    <row r="2544" spans="1:40" x14ac:dyDescent="0.3">
      <c r="A2544" s="1">
        <v>46210.705208333333</v>
      </c>
      <c r="B2544" t="s">
        <v>40</v>
      </c>
      <c r="C2544" t="s">
        <v>41</v>
      </c>
      <c r="D2544" s="1">
        <v>46210.708298611113</v>
      </c>
      <c r="E2544" t="s">
        <v>42</v>
      </c>
      <c r="F2544" t="s">
        <v>83</v>
      </c>
      <c r="G2544">
        <v>0</v>
      </c>
      <c r="H2544">
        <v>33174</v>
      </c>
      <c r="I2544" t="s">
        <v>1343</v>
      </c>
      <c r="J2544">
        <v>58</v>
      </c>
      <c r="K2544">
        <v>4</v>
      </c>
      <c r="L2544">
        <v>98</v>
      </c>
      <c r="M2544">
        <v>630.09997558999999</v>
      </c>
      <c r="N2544" t="s">
        <v>85</v>
      </c>
      <c r="O2544" t="s">
        <v>82</v>
      </c>
      <c r="P2544">
        <v>125</v>
      </c>
      <c r="Q2544" t="s">
        <v>82</v>
      </c>
      <c r="R2544">
        <v>0</v>
      </c>
      <c r="S2544">
        <v>0</v>
      </c>
      <c r="T2544">
        <v>-40</v>
      </c>
      <c r="U2544">
        <v>48</v>
      </c>
      <c r="V2544">
        <v>0</v>
      </c>
      <c r="W2544">
        <v>29</v>
      </c>
      <c r="X2544">
        <v>29</v>
      </c>
      <c r="Y2544">
        <v>1</v>
      </c>
      <c r="Z2544">
        <v>8</v>
      </c>
      <c r="AA2544">
        <v>25</v>
      </c>
      <c r="AB2544">
        <v>2</v>
      </c>
      <c r="AC2544">
        <v>1</v>
      </c>
      <c r="AD2544">
        <v>3.28900003</v>
      </c>
      <c r="AE2544">
        <v>1</v>
      </c>
      <c r="AF2544">
        <v>16</v>
      </c>
      <c r="AG2544">
        <v>3.2869999399999998</v>
      </c>
      <c r="AH2544">
        <v>1</v>
      </c>
      <c r="AI2544">
        <v>4</v>
      </c>
      <c r="AJ2544">
        <v>1</v>
      </c>
      <c r="AK2544">
        <v>19</v>
      </c>
      <c r="AL2544">
        <v>51</v>
      </c>
      <c r="AM2544" t="s">
        <v>43</v>
      </c>
      <c r="AN2544" t="str">
        <f>HYPERLINK("https://www.google.com/maps?q=10.81511593,79.14881134","Open Location")</f>
        <v>Open Location</v>
      </c>
    </row>
    <row r="2545" spans="1:40" x14ac:dyDescent="0.3">
      <c r="A2545" s="1">
        <v>46210.705092592594</v>
      </c>
      <c r="B2545" t="s">
        <v>40</v>
      </c>
      <c r="C2545" t="s">
        <v>41</v>
      </c>
      <c r="D2545" s="1">
        <v>46210.708078703705</v>
      </c>
      <c r="E2545" t="s">
        <v>42</v>
      </c>
      <c r="F2545" t="s">
        <v>83</v>
      </c>
      <c r="G2545">
        <v>0</v>
      </c>
      <c r="H2545">
        <v>33174</v>
      </c>
      <c r="I2545" t="s">
        <v>1344</v>
      </c>
      <c r="J2545">
        <v>58</v>
      </c>
      <c r="K2545">
        <v>4</v>
      </c>
      <c r="L2545">
        <v>98</v>
      </c>
      <c r="M2545">
        <v>630.40002441000001</v>
      </c>
      <c r="N2545" t="s">
        <v>85</v>
      </c>
      <c r="O2545" t="s">
        <v>82</v>
      </c>
      <c r="P2545">
        <v>125</v>
      </c>
      <c r="Q2545" t="s">
        <v>82</v>
      </c>
      <c r="R2545">
        <v>0</v>
      </c>
      <c r="S2545">
        <v>0</v>
      </c>
      <c r="T2545">
        <v>-40</v>
      </c>
      <c r="U2545">
        <v>48</v>
      </c>
      <c r="V2545">
        <v>0</v>
      </c>
      <c r="W2545">
        <v>29</v>
      </c>
      <c r="X2545">
        <v>29</v>
      </c>
      <c r="Y2545">
        <v>1</v>
      </c>
      <c r="Z2545">
        <v>8</v>
      </c>
      <c r="AA2545">
        <v>25</v>
      </c>
      <c r="AB2545">
        <v>2</v>
      </c>
      <c r="AC2545">
        <v>1</v>
      </c>
      <c r="AD2545">
        <v>3.28900003</v>
      </c>
      <c r="AE2545">
        <v>1</v>
      </c>
      <c r="AF2545">
        <v>16</v>
      </c>
      <c r="AG2545">
        <v>3.2869999399999998</v>
      </c>
      <c r="AH2545">
        <v>1</v>
      </c>
      <c r="AI2545">
        <v>4</v>
      </c>
      <c r="AJ2545">
        <v>1</v>
      </c>
      <c r="AK2545">
        <v>19</v>
      </c>
      <c r="AL2545">
        <v>51</v>
      </c>
      <c r="AM2545" t="s">
        <v>43</v>
      </c>
      <c r="AN2545" t="str">
        <f>HYPERLINK("https://www.google.com/maps?q=10.81511593,79.14880371","Open Location")</f>
        <v>Open Location</v>
      </c>
    </row>
    <row r="2546" spans="1:40" x14ac:dyDescent="0.3">
      <c r="A2546" s="1">
        <v>46210.704976851855</v>
      </c>
      <c r="B2546" t="s">
        <v>40</v>
      </c>
      <c r="C2546" t="s">
        <v>41</v>
      </c>
      <c r="D2546" s="1">
        <v>46210.707939814813</v>
      </c>
      <c r="E2546" t="s">
        <v>42</v>
      </c>
      <c r="F2546" t="s">
        <v>83</v>
      </c>
      <c r="G2546">
        <v>0</v>
      </c>
      <c r="H2546">
        <v>33174</v>
      </c>
      <c r="I2546" t="s">
        <v>1345</v>
      </c>
      <c r="J2546">
        <v>58</v>
      </c>
      <c r="K2546">
        <v>4</v>
      </c>
      <c r="L2546">
        <v>98</v>
      </c>
      <c r="M2546">
        <v>631</v>
      </c>
      <c r="N2546" t="s">
        <v>85</v>
      </c>
      <c r="O2546" t="s">
        <v>82</v>
      </c>
      <c r="P2546">
        <v>125</v>
      </c>
      <c r="Q2546" t="s">
        <v>82</v>
      </c>
      <c r="R2546">
        <v>0</v>
      </c>
      <c r="S2546">
        <v>0</v>
      </c>
      <c r="T2546">
        <v>-40</v>
      </c>
      <c r="U2546">
        <v>48</v>
      </c>
      <c r="V2546">
        <v>0</v>
      </c>
      <c r="W2546">
        <v>29</v>
      </c>
      <c r="X2546">
        <v>29</v>
      </c>
      <c r="Y2546">
        <v>1</v>
      </c>
      <c r="Z2546">
        <v>8</v>
      </c>
      <c r="AA2546">
        <v>25</v>
      </c>
      <c r="AB2546">
        <v>2</v>
      </c>
      <c r="AC2546">
        <v>1</v>
      </c>
      <c r="AD2546">
        <v>3.28900003</v>
      </c>
      <c r="AE2546">
        <v>1</v>
      </c>
      <c r="AF2546">
        <v>16</v>
      </c>
      <c r="AG2546">
        <v>3.2869999399999998</v>
      </c>
      <c r="AH2546">
        <v>1</v>
      </c>
      <c r="AI2546">
        <v>4</v>
      </c>
      <c r="AJ2546" t="s">
        <v>43</v>
      </c>
      <c r="AK2546" t="s">
        <v>43</v>
      </c>
      <c r="AL2546">
        <v>51</v>
      </c>
      <c r="AM2546" t="s">
        <v>43</v>
      </c>
      <c r="AN2546" t="str">
        <f>HYPERLINK("https://www.google.com/maps?q=10.81511593,79.14878845","Open Location")</f>
        <v>Open Location</v>
      </c>
    </row>
    <row r="2547" spans="1:40" x14ac:dyDescent="0.3">
      <c r="A2547" s="1">
        <v>46210.704861111109</v>
      </c>
      <c r="B2547" t="s">
        <v>40</v>
      </c>
      <c r="C2547" t="s">
        <v>41</v>
      </c>
      <c r="D2547" s="1">
        <v>46210.707696759258</v>
      </c>
      <c r="E2547" t="s">
        <v>42</v>
      </c>
      <c r="F2547" t="s">
        <v>83</v>
      </c>
      <c r="G2547">
        <v>0</v>
      </c>
      <c r="H2547">
        <v>33174</v>
      </c>
      <c r="I2547" t="s">
        <v>1346</v>
      </c>
      <c r="J2547">
        <v>58</v>
      </c>
      <c r="K2547">
        <v>4</v>
      </c>
      <c r="L2547">
        <v>98</v>
      </c>
      <c r="M2547">
        <v>631</v>
      </c>
      <c r="N2547" t="s">
        <v>85</v>
      </c>
      <c r="O2547" t="s">
        <v>82</v>
      </c>
      <c r="P2547">
        <v>125</v>
      </c>
      <c r="Q2547" t="s">
        <v>82</v>
      </c>
      <c r="R2547">
        <v>0</v>
      </c>
      <c r="S2547">
        <v>0</v>
      </c>
      <c r="T2547">
        <v>-40</v>
      </c>
      <c r="U2547">
        <v>48</v>
      </c>
      <c r="V2547">
        <v>0</v>
      </c>
      <c r="W2547">
        <v>29</v>
      </c>
      <c r="X2547">
        <v>29</v>
      </c>
      <c r="Y2547">
        <v>1</v>
      </c>
      <c r="Z2547">
        <v>8</v>
      </c>
      <c r="AA2547">
        <v>25</v>
      </c>
      <c r="AB2547">
        <v>2</v>
      </c>
      <c r="AC2547">
        <v>1</v>
      </c>
      <c r="AD2547">
        <v>3.28900003</v>
      </c>
      <c r="AE2547">
        <v>1</v>
      </c>
      <c r="AF2547">
        <v>23</v>
      </c>
      <c r="AG2547">
        <v>3.2869999399999998</v>
      </c>
      <c r="AH2547">
        <v>1</v>
      </c>
      <c r="AI2547">
        <v>4</v>
      </c>
      <c r="AJ2547">
        <v>1</v>
      </c>
      <c r="AK2547">
        <v>19</v>
      </c>
      <c r="AL2547">
        <v>51</v>
      </c>
      <c r="AM2547" t="s">
        <v>43</v>
      </c>
      <c r="AN2547" t="str">
        <f>HYPERLINK("https://www.google.com/maps?q=10.8151207,79.14878082","Open Location")</f>
        <v>Open Location</v>
      </c>
    </row>
    <row r="2548" spans="1:40" x14ac:dyDescent="0.3">
      <c r="A2548" s="1">
        <v>46210.704745370371</v>
      </c>
      <c r="B2548" t="s">
        <v>40</v>
      </c>
      <c r="C2548" t="s">
        <v>41</v>
      </c>
      <c r="D2548" s="1">
        <v>46210.707696759258</v>
      </c>
      <c r="E2548" t="s">
        <v>42</v>
      </c>
      <c r="F2548" t="s">
        <v>83</v>
      </c>
      <c r="G2548">
        <v>0</v>
      </c>
      <c r="H2548">
        <v>33174</v>
      </c>
      <c r="I2548" t="s">
        <v>43</v>
      </c>
      <c r="J2548">
        <v>58</v>
      </c>
      <c r="K2548">
        <v>4</v>
      </c>
      <c r="L2548">
        <v>98</v>
      </c>
      <c r="M2548">
        <v>630.20001220999995</v>
      </c>
      <c r="N2548" t="s">
        <v>85</v>
      </c>
      <c r="O2548" t="s">
        <v>82</v>
      </c>
      <c r="P2548">
        <v>125</v>
      </c>
      <c r="Q2548" t="s">
        <v>82</v>
      </c>
      <c r="R2548">
        <v>0</v>
      </c>
      <c r="S2548">
        <v>0</v>
      </c>
      <c r="T2548">
        <v>-40</v>
      </c>
      <c r="U2548">
        <v>48</v>
      </c>
      <c r="V2548">
        <v>0</v>
      </c>
      <c r="W2548">
        <v>29</v>
      </c>
      <c r="X2548">
        <v>29</v>
      </c>
      <c r="Y2548">
        <v>1</v>
      </c>
      <c r="Z2548">
        <v>8</v>
      </c>
      <c r="AA2548">
        <v>25</v>
      </c>
      <c r="AB2548">
        <v>2</v>
      </c>
      <c r="AC2548">
        <v>1</v>
      </c>
      <c r="AD2548">
        <v>3.28900003</v>
      </c>
      <c r="AE2548">
        <v>1</v>
      </c>
      <c r="AF2548">
        <v>23</v>
      </c>
      <c r="AG2548">
        <v>3.2869999399999998</v>
      </c>
      <c r="AH2548">
        <v>1</v>
      </c>
      <c r="AI2548">
        <v>4</v>
      </c>
      <c r="AJ2548">
        <v>1</v>
      </c>
      <c r="AK2548">
        <v>19</v>
      </c>
      <c r="AL2548">
        <v>51</v>
      </c>
      <c r="AM2548" t="s">
        <v>43</v>
      </c>
      <c r="AN2548" t="s">
        <v>43</v>
      </c>
    </row>
    <row r="2549" spans="1:40" x14ac:dyDescent="0.3">
      <c r="A2549" s="1">
        <v>46210.704629629632</v>
      </c>
      <c r="B2549" t="s">
        <v>40</v>
      </c>
      <c r="C2549" t="s">
        <v>41</v>
      </c>
      <c r="D2549" s="1">
        <v>46210.70752314815</v>
      </c>
      <c r="E2549" t="s">
        <v>42</v>
      </c>
      <c r="F2549" t="s">
        <v>83</v>
      </c>
      <c r="G2549">
        <v>0</v>
      </c>
      <c r="H2549">
        <v>33174</v>
      </c>
      <c r="I2549" t="s">
        <v>1347</v>
      </c>
      <c r="J2549">
        <v>58</v>
      </c>
      <c r="K2549">
        <v>4</v>
      </c>
      <c r="L2549">
        <v>98</v>
      </c>
      <c r="M2549">
        <v>630.40002441000001</v>
      </c>
      <c r="N2549" t="s">
        <v>85</v>
      </c>
      <c r="O2549" t="s">
        <v>82</v>
      </c>
      <c r="P2549">
        <v>125</v>
      </c>
      <c r="Q2549" t="s">
        <v>82</v>
      </c>
      <c r="R2549">
        <v>0</v>
      </c>
      <c r="S2549">
        <v>0</v>
      </c>
      <c r="T2549">
        <v>-40</v>
      </c>
      <c r="U2549">
        <v>48</v>
      </c>
      <c r="V2549">
        <v>0</v>
      </c>
      <c r="W2549">
        <v>29</v>
      </c>
      <c r="X2549">
        <v>29</v>
      </c>
      <c r="Y2549">
        <v>1</v>
      </c>
      <c r="Z2549">
        <v>8</v>
      </c>
      <c r="AA2549">
        <v>25</v>
      </c>
      <c r="AB2549">
        <v>2</v>
      </c>
      <c r="AC2549">
        <v>1</v>
      </c>
      <c r="AD2549">
        <v>3.28900003</v>
      </c>
      <c r="AE2549">
        <v>1</v>
      </c>
      <c r="AF2549">
        <v>23</v>
      </c>
      <c r="AG2549">
        <v>3.2869999399999998</v>
      </c>
      <c r="AH2549">
        <v>1</v>
      </c>
      <c r="AI2549">
        <v>4</v>
      </c>
      <c r="AJ2549">
        <v>1</v>
      </c>
      <c r="AK2549">
        <v>19</v>
      </c>
      <c r="AL2549">
        <v>51</v>
      </c>
      <c r="AM2549" t="s">
        <v>43</v>
      </c>
      <c r="AN2549" t="str">
        <f>HYPERLINK("https://www.google.com/maps?q=10.81512642,79.14878082","Open Location")</f>
        <v>Open Location</v>
      </c>
    </row>
    <row r="2550" spans="1:40" x14ac:dyDescent="0.3">
      <c r="A2550" s="1">
        <v>46210.704513888886</v>
      </c>
      <c r="B2550" t="s">
        <v>40</v>
      </c>
      <c r="C2550" t="s">
        <v>41</v>
      </c>
      <c r="D2550" s="1">
        <v>46210.707546296297</v>
      </c>
      <c r="E2550" t="s">
        <v>42</v>
      </c>
      <c r="F2550" t="s">
        <v>83</v>
      </c>
      <c r="G2550">
        <v>0</v>
      </c>
      <c r="H2550">
        <v>33174</v>
      </c>
      <c r="I2550" t="s">
        <v>1348</v>
      </c>
      <c r="J2550">
        <v>58</v>
      </c>
      <c r="K2550">
        <v>4</v>
      </c>
      <c r="L2550">
        <v>98</v>
      </c>
      <c r="M2550">
        <v>631</v>
      </c>
      <c r="N2550" t="s">
        <v>85</v>
      </c>
      <c r="O2550" t="s">
        <v>82</v>
      </c>
      <c r="P2550">
        <v>125</v>
      </c>
      <c r="Q2550" t="s">
        <v>82</v>
      </c>
      <c r="R2550">
        <v>0</v>
      </c>
      <c r="S2550">
        <v>0</v>
      </c>
      <c r="T2550">
        <v>-40</v>
      </c>
      <c r="U2550">
        <v>48</v>
      </c>
      <c r="V2550">
        <v>0</v>
      </c>
      <c r="W2550">
        <v>29</v>
      </c>
      <c r="X2550">
        <v>29</v>
      </c>
      <c r="Y2550">
        <v>1</v>
      </c>
      <c r="Z2550">
        <v>8</v>
      </c>
      <c r="AA2550">
        <v>25</v>
      </c>
      <c r="AB2550">
        <v>2</v>
      </c>
      <c r="AC2550">
        <v>1</v>
      </c>
      <c r="AD2550">
        <v>3.28900003</v>
      </c>
      <c r="AE2550">
        <v>1</v>
      </c>
      <c r="AF2550">
        <v>23</v>
      </c>
      <c r="AG2550">
        <v>3.2869999399999998</v>
      </c>
      <c r="AH2550">
        <v>1</v>
      </c>
      <c r="AI2550">
        <v>4</v>
      </c>
      <c r="AJ2550">
        <v>1</v>
      </c>
      <c r="AK2550">
        <v>19</v>
      </c>
      <c r="AL2550">
        <v>51</v>
      </c>
      <c r="AM2550" t="s">
        <v>43</v>
      </c>
      <c r="AN2550" t="str">
        <f>HYPERLINK("https://www.google.com/maps?q=10.81513405,79.14878082","Open Location")</f>
        <v>Open Location</v>
      </c>
    </row>
    <row r="2551" spans="1:40" x14ac:dyDescent="0.3">
      <c r="A2551" s="1">
        <v>46210.704398148147</v>
      </c>
      <c r="B2551" t="s">
        <v>40</v>
      </c>
      <c r="C2551" t="s">
        <v>41</v>
      </c>
      <c r="D2551" s="1">
        <v>46210.707303240742</v>
      </c>
      <c r="E2551" t="s">
        <v>42</v>
      </c>
      <c r="F2551" t="s">
        <v>83</v>
      </c>
      <c r="G2551">
        <v>0</v>
      </c>
      <c r="H2551">
        <v>33174</v>
      </c>
      <c r="I2551" t="s">
        <v>1349</v>
      </c>
      <c r="J2551">
        <v>58</v>
      </c>
      <c r="K2551">
        <v>4</v>
      </c>
      <c r="L2551">
        <v>98</v>
      </c>
      <c r="M2551">
        <v>631.09997558999999</v>
      </c>
      <c r="N2551" t="s">
        <v>85</v>
      </c>
      <c r="O2551" t="s">
        <v>82</v>
      </c>
      <c r="P2551">
        <v>125</v>
      </c>
      <c r="Q2551" t="s">
        <v>82</v>
      </c>
      <c r="R2551">
        <v>0</v>
      </c>
      <c r="S2551">
        <v>0</v>
      </c>
      <c r="T2551">
        <v>-40</v>
      </c>
      <c r="U2551">
        <v>49</v>
      </c>
      <c r="V2551">
        <v>0</v>
      </c>
      <c r="W2551">
        <v>29</v>
      </c>
      <c r="X2551">
        <v>29</v>
      </c>
      <c r="Y2551">
        <v>1</v>
      </c>
      <c r="Z2551">
        <v>8</v>
      </c>
      <c r="AA2551">
        <v>25</v>
      </c>
      <c r="AB2551">
        <v>2</v>
      </c>
      <c r="AC2551">
        <v>1</v>
      </c>
      <c r="AD2551">
        <v>3.28900003</v>
      </c>
      <c r="AE2551">
        <v>1</v>
      </c>
      <c r="AF2551">
        <v>24</v>
      </c>
      <c r="AG2551">
        <v>3.2869999399999998</v>
      </c>
      <c r="AH2551">
        <v>1</v>
      </c>
      <c r="AI2551">
        <v>4</v>
      </c>
      <c r="AJ2551">
        <v>1</v>
      </c>
      <c r="AK2551">
        <v>19</v>
      </c>
      <c r="AL2551">
        <v>51</v>
      </c>
      <c r="AM2551" t="s">
        <v>43</v>
      </c>
      <c r="AN2551" t="str">
        <f>HYPERLINK("https://www.google.com/maps?q=10.81513596,79.14878845","Open Location")</f>
        <v>Open Location</v>
      </c>
    </row>
    <row r="2552" spans="1:40" x14ac:dyDescent="0.3">
      <c r="A2552" s="1">
        <v>46210.704282407409</v>
      </c>
      <c r="B2552" t="s">
        <v>40</v>
      </c>
      <c r="C2552" t="s">
        <v>41</v>
      </c>
      <c r="D2552" s="1">
        <v>46210.707303240742</v>
      </c>
      <c r="E2552" t="s">
        <v>42</v>
      </c>
      <c r="F2552" t="s">
        <v>83</v>
      </c>
      <c r="G2552">
        <v>0</v>
      </c>
      <c r="H2552">
        <v>33174</v>
      </c>
      <c r="I2552" t="s">
        <v>1350</v>
      </c>
      <c r="J2552">
        <v>58</v>
      </c>
      <c r="K2552">
        <v>4</v>
      </c>
      <c r="L2552">
        <v>98</v>
      </c>
      <c r="M2552">
        <v>630.20001220999995</v>
      </c>
      <c r="N2552" t="s">
        <v>85</v>
      </c>
      <c r="O2552" t="s">
        <v>82</v>
      </c>
      <c r="P2552">
        <v>125</v>
      </c>
      <c r="Q2552" t="s">
        <v>82</v>
      </c>
      <c r="R2552">
        <v>0</v>
      </c>
      <c r="S2552">
        <v>0</v>
      </c>
      <c r="T2552">
        <v>-40</v>
      </c>
      <c r="U2552">
        <v>49</v>
      </c>
      <c r="V2552">
        <v>0</v>
      </c>
      <c r="W2552">
        <v>29</v>
      </c>
      <c r="X2552">
        <v>29</v>
      </c>
      <c r="Y2552">
        <v>1</v>
      </c>
      <c r="Z2552">
        <v>8</v>
      </c>
      <c r="AA2552">
        <v>25</v>
      </c>
      <c r="AB2552">
        <v>2</v>
      </c>
      <c r="AC2552">
        <v>1</v>
      </c>
      <c r="AD2552">
        <v>3.28900003</v>
      </c>
      <c r="AE2552">
        <v>1</v>
      </c>
      <c r="AF2552">
        <v>24</v>
      </c>
      <c r="AG2552">
        <v>3.2869999399999998</v>
      </c>
      <c r="AH2552">
        <v>1</v>
      </c>
      <c r="AI2552">
        <v>4</v>
      </c>
      <c r="AJ2552">
        <v>1</v>
      </c>
      <c r="AK2552">
        <v>19</v>
      </c>
      <c r="AL2552">
        <v>51</v>
      </c>
      <c r="AM2552" t="s">
        <v>43</v>
      </c>
      <c r="AN2552" t="str">
        <f>HYPERLINK("https://www.google.com/maps?q=10.81513596,79.14878082","Open Location")</f>
        <v>Open Location</v>
      </c>
    </row>
    <row r="2553" spans="1:40" x14ac:dyDescent="0.3">
      <c r="A2553" s="1">
        <v>46210.70416666667</v>
      </c>
      <c r="B2553" t="s">
        <v>40</v>
      </c>
      <c r="C2553" t="s">
        <v>41</v>
      </c>
      <c r="D2553" s="1">
        <v>46210.706875000003</v>
      </c>
      <c r="E2553" t="s">
        <v>42</v>
      </c>
      <c r="F2553" t="s">
        <v>83</v>
      </c>
      <c r="G2553">
        <v>0</v>
      </c>
      <c r="H2553">
        <v>33174</v>
      </c>
      <c r="I2553" t="s">
        <v>1351</v>
      </c>
      <c r="J2553">
        <v>58</v>
      </c>
      <c r="K2553">
        <v>4</v>
      </c>
      <c r="L2553">
        <v>98</v>
      </c>
      <c r="M2553">
        <v>631.29998779000005</v>
      </c>
      <c r="N2553" t="s">
        <v>85</v>
      </c>
      <c r="O2553" t="s">
        <v>82</v>
      </c>
      <c r="P2553">
        <v>125</v>
      </c>
      <c r="Q2553" t="s">
        <v>82</v>
      </c>
      <c r="R2553">
        <v>0</v>
      </c>
      <c r="S2553">
        <v>0</v>
      </c>
      <c r="T2553">
        <v>-40</v>
      </c>
      <c r="U2553">
        <v>49</v>
      </c>
      <c r="V2553">
        <v>0</v>
      </c>
      <c r="W2553">
        <v>29</v>
      </c>
      <c r="X2553">
        <v>29</v>
      </c>
      <c r="Y2553">
        <v>1</v>
      </c>
      <c r="Z2553">
        <v>8</v>
      </c>
      <c r="AA2553">
        <v>25</v>
      </c>
      <c r="AB2553">
        <v>2</v>
      </c>
      <c r="AC2553">
        <v>1</v>
      </c>
      <c r="AD2553">
        <v>3.28900003</v>
      </c>
      <c r="AE2553">
        <v>1</v>
      </c>
      <c r="AF2553">
        <v>24</v>
      </c>
      <c r="AG2553">
        <v>3.2869999399999998</v>
      </c>
      <c r="AH2553">
        <v>1</v>
      </c>
      <c r="AI2553">
        <v>4</v>
      </c>
      <c r="AJ2553">
        <v>1</v>
      </c>
      <c r="AK2553">
        <v>17</v>
      </c>
      <c r="AL2553">
        <v>51</v>
      </c>
      <c r="AM2553" t="s">
        <v>43</v>
      </c>
      <c r="AN2553" t="str">
        <f>HYPERLINK("https://www.google.com/maps?q=10.815135,79.14877319","Open Location")</f>
        <v>Open Location</v>
      </c>
    </row>
    <row r="2554" spans="1:40" x14ac:dyDescent="0.3">
      <c r="A2554" s="1">
        <v>46210.704050925924</v>
      </c>
      <c r="B2554" t="s">
        <v>40</v>
      </c>
      <c r="C2554" t="s">
        <v>41</v>
      </c>
      <c r="D2554" s="1">
        <v>46210.706875000003</v>
      </c>
      <c r="E2554" t="s">
        <v>42</v>
      </c>
      <c r="F2554" t="s">
        <v>83</v>
      </c>
      <c r="G2554">
        <v>0</v>
      </c>
      <c r="H2554">
        <v>33174</v>
      </c>
      <c r="I2554" t="s">
        <v>43</v>
      </c>
      <c r="J2554">
        <v>58</v>
      </c>
      <c r="K2554">
        <v>4</v>
      </c>
      <c r="L2554">
        <v>98</v>
      </c>
      <c r="M2554">
        <v>630.40002441000001</v>
      </c>
      <c r="N2554" t="s">
        <v>85</v>
      </c>
      <c r="O2554" t="s">
        <v>82</v>
      </c>
      <c r="P2554">
        <v>125</v>
      </c>
      <c r="Q2554" t="s">
        <v>82</v>
      </c>
      <c r="R2554">
        <v>0</v>
      </c>
      <c r="S2554">
        <v>0</v>
      </c>
      <c r="T2554">
        <v>-40</v>
      </c>
      <c r="U2554">
        <v>49</v>
      </c>
      <c r="V2554">
        <v>0</v>
      </c>
      <c r="W2554">
        <v>29</v>
      </c>
      <c r="X2554">
        <v>29</v>
      </c>
      <c r="Y2554">
        <v>1</v>
      </c>
      <c r="Z2554">
        <v>8</v>
      </c>
      <c r="AA2554">
        <v>25</v>
      </c>
      <c r="AB2554">
        <v>2</v>
      </c>
      <c r="AC2554">
        <v>1</v>
      </c>
      <c r="AD2554">
        <v>3.28900003</v>
      </c>
      <c r="AE2554">
        <v>1</v>
      </c>
      <c r="AF2554">
        <v>24</v>
      </c>
      <c r="AG2554">
        <v>3.28600001</v>
      </c>
      <c r="AH2554">
        <v>4</v>
      </c>
      <c r="AI2554">
        <v>17</v>
      </c>
      <c r="AJ2554">
        <v>1</v>
      </c>
      <c r="AK2554">
        <v>17</v>
      </c>
      <c r="AL2554">
        <v>51</v>
      </c>
      <c r="AM2554" t="s">
        <v>43</v>
      </c>
      <c r="AN2554" t="s">
        <v>43</v>
      </c>
    </row>
    <row r="2555" spans="1:40" x14ac:dyDescent="0.3">
      <c r="A2555" s="1">
        <v>46210.703935185185</v>
      </c>
      <c r="B2555" t="s">
        <v>40</v>
      </c>
      <c r="C2555" t="s">
        <v>41</v>
      </c>
      <c r="D2555" s="1">
        <v>46210.706967592596</v>
      </c>
      <c r="E2555" t="s">
        <v>42</v>
      </c>
      <c r="F2555" t="s">
        <v>83</v>
      </c>
      <c r="G2555">
        <v>0</v>
      </c>
      <c r="H2555">
        <v>33174</v>
      </c>
      <c r="I2555" t="s">
        <v>1352</v>
      </c>
      <c r="J2555">
        <v>58</v>
      </c>
      <c r="K2555">
        <v>4</v>
      </c>
      <c r="L2555">
        <v>98</v>
      </c>
      <c r="M2555">
        <v>631.09997558999999</v>
      </c>
      <c r="N2555" t="s">
        <v>85</v>
      </c>
      <c r="O2555" t="s">
        <v>82</v>
      </c>
      <c r="P2555">
        <v>125</v>
      </c>
      <c r="Q2555" t="s">
        <v>82</v>
      </c>
      <c r="R2555">
        <v>0</v>
      </c>
      <c r="S2555">
        <v>0</v>
      </c>
      <c r="T2555">
        <v>-40</v>
      </c>
      <c r="U2555">
        <v>49</v>
      </c>
      <c r="V2555">
        <v>0</v>
      </c>
      <c r="W2555">
        <v>29</v>
      </c>
      <c r="X2555">
        <v>29</v>
      </c>
      <c r="Y2555">
        <v>1</v>
      </c>
      <c r="Z2555">
        <v>8</v>
      </c>
      <c r="AA2555">
        <v>25</v>
      </c>
      <c r="AB2555">
        <v>2</v>
      </c>
      <c r="AC2555">
        <v>1</v>
      </c>
      <c r="AD2555">
        <v>3.28900003</v>
      </c>
      <c r="AE2555">
        <v>1</v>
      </c>
      <c r="AF2555">
        <v>25</v>
      </c>
      <c r="AG2555">
        <v>3.28600001</v>
      </c>
      <c r="AH2555">
        <v>4</v>
      </c>
      <c r="AI2555">
        <v>17</v>
      </c>
      <c r="AJ2555">
        <v>1</v>
      </c>
      <c r="AK2555">
        <v>17</v>
      </c>
      <c r="AL2555">
        <v>51</v>
      </c>
      <c r="AM2555" t="s">
        <v>43</v>
      </c>
      <c r="AN2555" t="str">
        <f>HYPERLINK("https://www.google.com/maps?q=10.81513023,79.14877319","Open Location")</f>
        <v>Open Location</v>
      </c>
    </row>
    <row r="2556" spans="1:40" x14ac:dyDescent="0.3">
      <c r="A2556" s="1">
        <v>46210.703819444447</v>
      </c>
      <c r="B2556" t="s">
        <v>40</v>
      </c>
      <c r="C2556" t="s">
        <v>41</v>
      </c>
      <c r="D2556" s="1">
        <v>46210.707094907404</v>
      </c>
      <c r="E2556" t="s">
        <v>42</v>
      </c>
      <c r="F2556" t="s">
        <v>83</v>
      </c>
      <c r="G2556">
        <v>0</v>
      </c>
      <c r="H2556">
        <v>33174</v>
      </c>
      <c r="I2556" t="s">
        <v>1353</v>
      </c>
      <c r="J2556">
        <v>58</v>
      </c>
      <c r="K2556">
        <v>4</v>
      </c>
      <c r="L2556">
        <v>98</v>
      </c>
      <c r="M2556">
        <v>630.90002441000001</v>
      </c>
      <c r="N2556" t="s">
        <v>85</v>
      </c>
      <c r="O2556" t="s">
        <v>82</v>
      </c>
      <c r="P2556">
        <v>125</v>
      </c>
      <c r="Q2556" t="s">
        <v>82</v>
      </c>
      <c r="R2556">
        <v>0</v>
      </c>
      <c r="S2556">
        <v>0</v>
      </c>
      <c r="T2556">
        <v>-40</v>
      </c>
      <c r="U2556">
        <v>49</v>
      </c>
      <c r="V2556">
        <v>0</v>
      </c>
      <c r="W2556">
        <v>29</v>
      </c>
      <c r="X2556">
        <v>29</v>
      </c>
      <c r="Y2556">
        <v>1</v>
      </c>
      <c r="Z2556">
        <v>8</v>
      </c>
      <c r="AA2556">
        <v>25</v>
      </c>
      <c r="AB2556">
        <v>2</v>
      </c>
      <c r="AC2556">
        <v>3</v>
      </c>
      <c r="AD2556">
        <v>3.28900003</v>
      </c>
      <c r="AE2556">
        <v>1</v>
      </c>
      <c r="AF2556">
        <v>25</v>
      </c>
      <c r="AG2556">
        <v>3.28600001</v>
      </c>
      <c r="AH2556">
        <v>4</v>
      </c>
      <c r="AI2556">
        <v>17</v>
      </c>
      <c r="AJ2556">
        <v>1</v>
      </c>
      <c r="AK2556">
        <v>18</v>
      </c>
      <c r="AL2556">
        <v>51</v>
      </c>
      <c r="AM2556" t="s">
        <v>43</v>
      </c>
      <c r="AN2556" t="str">
        <f>HYPERLINK("https://www.google.com/maps?q=10.81513214,79.14878082","Open Location")</f>
        <v>Open Location</v>
      </c>
    </row>
    <row r="2557" spans="1:40" x14ac:dyDescent="0.3">
      <c r="A2557" s="1">
        <v>46210.703703703701</v>
      </c>
      <c r="B2557" t="s">
        <v>40</v>
      </c>
      <c r="C2557" t="s">
        <v>41</v>
      </c>
      <c r="D2557" s="1">
        <v>46210.706504629627</v>
      </c>
      <c r="E2557" t="s">
        <v>42</v>
      </c>
      <c r="F2557" t="s">
        <v>83</v>
      </c>
      <c r="G2557">
        <v>0</v>
      </c>
      <c r="H2557">
        <v>33174</v>
      </c>
      <c r="I2557" t="s">
        <v>1353</v>
      </c>
      <c r="J2557">
        <v>58</v>
      </c>
      <c r="K2557">
        <v>4</v>
      </c>
      <c r="L2557">
        <v>98</v>
      </c>
      <c r="M2557">
        <v>630.40002441000001</v>
      </c>
      <c r="N2557" t="s">
        <v>85</v>
      </c>
      <c r="O2557" t="s">
        <v>82</v>
      </c>
      <c r="P2557">
        <v>125</v>
      </c>
      <c r="Q2557" t="s">
        <v>82</v>
      </c>
      <c r="R2557">
        <v>0</v>
      </c>
      <c r="S2557">
        <v>0</v>
      </c>
      <c r="T2557">
        <v>-40</v>
      </c>
      <c r="U2557">
        <v>49</v>
      </c>
      <c r="V2557">
        <v>0</v>
      </c>
      <c r="W2557">
        <v>29</v>
      </c>
      <c r="X2557">
        <v>29</v>
      </c>
      <c r="Y2557">
        <v>1</v>
      </c>
      <c r="Z2557">
        <v>8</v>
      </c>
      <c r="AA2557">
        <v>25</v>
      </c>
      <c r="AB2557">
        <v>2</v>
      </c>
      <c r="AC2557">
        <v>3</v>
      </c>
      <c r="AD2557">
        <v>3.28900003</v>
      </c>
      <c r="AE2557">
        <v>1</v>
      </c>
      <c r="AF2557">
        <v>25</v>
      </c>
      <c r="AG2557">
        <v>3.28600001</v>
      </c>
      <c r="AH2557">
        <v>4</v>
      </c>
      <c r="AI2557">
        <v>17</v>
      </c>
      <c r="AJ2557">
        <v>1</v>
      </c>
      <c r="AK2557">
        <v>18</v>
      </c>
      <c r="AL2557">
        <v>51</v>
      </c>
      <c r="AM2557" t="s">
        <v>43</v>
      </c>
      <c r="AN2557" t="str">
        <f>HYPERLINK("https://www.google.com/maps?q=10.81513214,79.14878082","Open Location")</f>
        <v>Open Location</v>
      </c>
    </row>
    <row r="2558" spans="1:40" x14ac:dyDescent="0.3">
      <c r="A2558" s="1">
        <v>46210.703587962962</v>
      </c>
      <c r="B2558" t="s">
        <v>40</v>
      </c>
      <c r="C2558" t="s">
        <v>41</v>
      </c>
      <c r="D2558" s="1">
        <v>46210.706504629627</v>
      </c>
      <c r="E2558" t="s">
        <v>42</v>
      </c>
      <c r="F2558" t="s">
        <v>83</v>
      </c>
      <c r="G2558">
        <v>0</v>
      </c>
      <c r="H2558">
        <v>33174</v>
      </c>
      <c r="I2558" t="s">
        <v>1354</v>
      </c>
      <c r="J2558">
        <v>58</v>
      </c>
      <c r="K2558">
        <v>4</v>
      </c>
      <c r="L2558">
        <v>98</v>
      </c>
      <c r="M2558">
        <v>630.90002441000001</v>
      </c>
      <c r="N2558" t="s">
        <v>85</v>
      </c>
      <c r="O2558" t="s">
        <v>82</v>
      </c>
      <c r="P2558">
        <v>125</v>
      </c>
      <c r="Q2558" t="s">
        <v>82</v>
      </c>
      <c r="R2558">
        <v>0</v>
      </c>
      <c r="S2558">
        <v>0</v>
      </c>
      <c r="T2558">
        <v>-40</v>
      </c>
      <c r="U2558">
        <v>49</v>
      </c>
      <c r="V2558">
        <v>0</v>
      </c>
      <c r="W2558">
        <v>29</v>
      </c>
      <c r="X2558">
        <v>29</v>
      </c>
      <c r="Y2558">
        <v>1</v>
      </c>
      <c r="Z2558">
        <v>8</v>
      </c>
      <c r="AA2558">
        <v>25</v>
      </c>
      <c r="AB2558">
        <v>2</v>
      </c>
      <c r="AC2558">
        <v>3</v>
      </c>
      <c r="AD2558">
        <v>3.28900003</v>
      </c>
      <c r="AE2558">
        <v>1</v>
      </c>
      <c r="AF2558">
        <v>25</v>
      </c>
      <c r="AG2558">
        <v>3.28600001</v>
      </c>
      <c r="AH2558">
        <v>4</v>
      </c>
      <c r="AI2558">
        <v>17</v>
      </c>
      <c r="AJ2558">
        <v>1</v>
      </c>
      <c r="AK2558">
        <v>18</v>
      </c>
      <c r="AL2558">
        <v>51</v>
      </c>
      <c r="AM2558" t="s">
        <v>43</v>
      </c>
      <c r="AN2558" t="str">
        <f>HYPERLINK("https://www.google.com/maps?q=10.81512928,79.14878082","Open Location")</f>
        <v>Open Location</v>
      </c>
    </row>
    <row r="2559" spans="1:40" x14ac:dyDescent="0.3">
      <c r="A2559" s="1">
        <v>46210.703472222223</v>
      </c>
      <c r="B2559" t="s">
        <v>40</v>
      </c>
      <c r="C2559" t="s">
        <v>41</v>
      </c>
      <c r="D2559" s="1">
        <v>46210.70616898148</v>
      </c>
      <c r="E2559" t="s">
        <v>42</v>
      </c>
      <c r="F2559" t="s">
        <v>83</v>
      </c>
      <c r="G2559">
        <v>0</v>
      </c>
      <c r="H2559">
        <v>33174</v>
      </c>
      <c r="I2559" t="s">
        <v>43</v>
      </c>
      <c r="J2559">
        <v>58</v>
      </c>
      <c r="K2559">
        <v>6</v>
      </c>
      <c r="L2559">
        <v>98</v>
      </c>
      <c r="M2559">
        <v>630.90002441000001</v>
      </c>
      <c r="N2559" t="s">
        <v>85</v>
      </c>
      <c r="O2559" t="s">
        <v>82</v>
      </c>
      <c r="P2559">
        <v>125</v>
      </c>
      <c r="Q2559" t="s">
        <v>82</v>
      </c>
      <c r="R2559">
        <v>0</v>
      </c>
      <c r="S2559">
        <v>0</v>
      </c>
      <c r="T2559">
        <v>-40</v>
      </c>
      <c r="U2559">
        <v>48</v>
      </c>
      <c r="V2559">
        <v>0</v>
      </c>
      <c r="W2559">
        <v>29</v>
      </c>
      <c r="X2559">
        <v>29</v>
      </c>
      <c r="Y2559">
        <v>1</v>
      </c>
      <c r="Z2559">
        <v>8</v>
      </c>
      <c r="AA2559">
        <v>25</v>
      </c>
      <c r="AB2559">
        <v>2</v>
      </c>
      <c r="AC2559">
        <v>3</v>
      </c>
      <c r="AD2559">
        <v>3.28800011</v>
      </c>
      <c r="AE2559">
        <v>1</v>
      </c>
      <c r="AF2559">
        <v>25</v>
      </c>
      <c r="AG2559">
        <v>3.2839999199999999</v>
      </c>
      <c r="AH2559">
        <v>4</v>
      </c>
      <c r="AI2559">
        <v>17</v>
      </c>
      <c r="AJ2559">
        <v>1</v>
      </c>
      <c r="AK2559">
        <v>17</v>
      </c>
      <c r="AL2559">
        <v>51</v>
      </c>
      <c r="AM2559" t="s">
        <v>43</v>
      </c>
      <c r="AN2559" t="s">
        <v>43</v>
      </c>
    </row>
    <row r="2560" spans="1:40" x14ac:dyDescent="0.3">
      <c r="A2560" s="1">
        <v>46210.703356481485</v>
      </c>
      <c r="B2560" t="s">
        <v>40</v>
      </c>
      <c r="C2560" t="s">
        <v>41</v>
      </c>
      <c r="D2560" s="1">
        <v>46210.706261574072</v>
      </c>
      <c r="E2560" t="s">
        <v>42</v>
      </c>
      <c r="F2560" t="s">
        <v>83</v>
      </c>
      <c r="G2560">
        <v>0</v>
      </c>
      <c r="H2560">
        <v>33174</v>
      </c>
      <c r="I2560" t="s">
        <v>1355</v>
      </c>
      <c r="J2560">
        <v>58</v>
      </c>
      <c r="K2560">
        <v>11</v>
      </c>
      <c r="L2560">
        <v>98</v>
      </c>
      <c r="M2560">
        <v>630.59997558999999</v>
      </c>
      <c r="N2560" t="s">
        <v>85</v>
      </c>
      <c r="O2560" t="s">
        <v>82</v>
      </c>
      <c r="P2560">
        <v>125</v>
      </c>
      <c r="Q2560" t="s">
        <v>82</v>
      </c>
      <c r="R2560">
        <v>0</v>
      </c>
      <c r="S2560">
        <v>0</v>
      </c>
      <c r="T2560">
        <v>-40</v>
      </c>
      <c r="U2560">
        <v>48</v>
      </c>
      <c r="V2560">
        <v>0</v>
      </c>
      <c r="W2560">
        <v>29</v>
      </c>
      <c r="X2560">
        <v>29</v>
      </c>
      <c r="Y2560">
        <v>1</v>
      </c>
      <c r="Z2560">
        <v>8</v>
      </c>
      <c r="AA2560">
        <v>25</v>
      </c>
      <c r="AB2560">
        <v>2</v>
      </c>
      <c r="AC2560">
        <v>3</v>
      </c>
      <c r="AD2560">
        <v>3.2869999399999998</v>
      </c>
      <c r="AE2560">
        <v>1</v>
      </c>
      <c r="AF2560">
        <v>1</v>
      </c>
      <c r="AG2560">
        <v>3.28299999</v>
      </c>
      <c r="AH2560">
        <v>4</v>
      </c>
      <c r="AI2560">
        <v>17</v>
      </c>
      <c r="AJ2560">
        <v>1</v>
      </c>
      <c r="AK2560">
        <v>17</v>
      </c>
      <c r="AL2560">
        <v>51</v>
      </c>
      <c r="AM2560" t="s">
        <v>43</v>
      </c>
      <c r="AN2560" t="str">
        <f>HYPERLINK("https://www.google.com/maps?q=10.81512642,79.14880371","Open Location")</f>
        <v>Open Location</v>
      </c>
    </row>
    <row r="2561" spans="1:40" x14ac:dyDescent="0.3">
      <c r="A2561" s="1">
        <v>46210.703240740739</v>
      </c>
      <c r="B2561" t="s">
        <v>40</v>
      </c>
      <c r="C2561" t="s">
        <v>41</v>
      </c>
      <c r="D2561" s="1">
        <v>46210.706134259257</v>
      </c>
      <c r="E2561" t="s">
        <v>42</v>
      </c>
      <c r="F2561" t="s">
        <v>83</v>
      </c>
      <c r="G2561">
        <v>0</v>
      </c>
      <c r="H2561">
        <v>33174</v>
      </c>
      <c r="I2561" t="s">
        <v>1356</v>
      </c>
      <c r="J2561">
        <v>58</v>
      </c>
      <c r="K2561">
        <v>10</v>
      </c>
      <c r="L2561">
        <v>98</v>
      </c>
      <c r="M2561">
        <v>629.90002441000001</v>
      </c>
      <c r="N2561" t="s">
        <v>85</v>
      </c>
      <c r="O2561" t="s">
        <v>82</v>
      </c>
      <c r="P2561">
        <v>125</v>
      </c>
      <c r="Q2561" t="s">
        <v>82</v>
      </c>
      <c r="R2561">
        <v>0</v>
      </c>
      <c r="S2561">
        <v>0</v>
      </c>
      <c r="T2561">
        <v>-40</v>
      </c>
      <c r="U2561">
        <v>48</v>
      </c>
      <c r="V2561">
        <v>0</v>
      </c>
      <c r="W2561">
        <v>29</v>
      </c>
      <c r="X2561">
        <v>29</v>
      </c>
      <c r="Y2561">
        <v>1</v>
      </c>
      <c r="Z2561">
        <v>8</v>
      </c>
      <c r="AA2561">
        <v>25</v>
      </c>
      <c r="AB2561">
        <v>2</v>
      </c>
      <c r="AC2561">
        <v>3</v>
      </c>
      <c r="AD2561">
        <v>3.28800011</v>
      </c>
      <c r="AE2561">
        <v>1</v>
      </c>
      <c r="AF2561">
        <v>25</v>
      </c>
      <c r="AG2561">
        <v>3.2839999199999999</v>
      </c>
      <c r="AH2561">
        <v>4</v>
      </c>
      <c r="AI2561">
        <v>17</v>
      </c>
      <c r="AJ2561">
        <v>1</v>
      </c>
      <c r="AK2561">
        <v>18</v>
      </c>
      <c r="AL2561">
        <v>51</v>
      </c>
      <c r="AM2561" t="s">
        <v>43</v>
      </c>
      <c r="AN2561" t="str">
        <f>HYPERLINK("https://www.google.com/maps?q=10.81511974,79.14880371","Open Location")</f>
        <v>Open Location</v>
      </c>
    </row>
    <row r="2562" spans="1:40" x14ac:dyDescent="0.3">
      <c r="A2562" s="1">
        <v>46210.703125</v>
      </c>
      <c r="B2562" t="s">
        <v>40</v>
      </c>
      <c r="C2562" t="s">
        <v>41</v>
      </c>
      <c r="D2562" s="1">
        <v>46210.70621527778</v>
      </c>
      <c r="E2562" t="s">
        <v>42</v>
      </c>
      <c r="F2562" t="s">
        <v>83</v>
      </c>
      <c r="G2562">
        <v>0</v>
      </c>
      <c r="H2562">
        <v>33174</v>
      </c>
      <c r="I2562" t="s">
        <v>1355</v>
      </c>
      <c r="J2562">
        <v>58</v>
      </c>
      <c r="K2562">
        <v>4</v>
      </c>
      <c r="L2562">
        <v>98</v>
      </c>
      <c r="M2562">
        <v>630.70001220999995</v>
      </c>
      <c r="N2562" t="s">
        <v>85</v>
      </c>
      <c r="O2562" t="s">
        <v>82</v>
      </c>
      <c r="P2562">
        <v>125</v>
      </c>
      <c r="Q2562" t="s">
        <v>82</v>
      </c>
      <c r="R2562">
        <v>0</v>
      </c>
      <c r="S2562">
        <v>0</v>
      </c>
      <c r="T2562">
        <v>-40</v>
      </c>
      <c r="U2562">
        <v>48</v>
      </c>
      <c r="V2562">
        <v>0</v>
      </c>
      <c r="W2562">
        <v>29</v>
      </c>
      <c r="X2562">
        <v>29</v>
      </c>
      <c r="Y2562">
        <v>1</v>
      </c>
      <c r="Z2562">
        <v>8</v>
      </c>
      <c r="AA2562">
        <v>25</v>
      </c>
      <c r="AB2562">
        <v>2</v>
      </c>
      <c r="AC2562">
        <v>3</v>
      </c>
      <c r="AD2562">
        <v>3.28900003</v>
      </c>
      <c r="AE2562">
        <v>1</v>
      </c>
      <c r="AF2562">
        <v>25</v>
      </c>
      <c r="AG2562">
        <v>3.28600001</v>
      </c>
      <c r="AH2562">
        <v>4</v>
      </c>
      <c r="AI2562">
        <v>17</v>
      </c>
      <c r="AJ2562">
        <v>1</v>
      </c>
      <c r="AK2562">
        <v>18</v>
      </c>
      <c r="AL2562">
        <v>51</v>
      </c>
      <c r="AM2562" t="s">
        <v>43</v>
      </c>
      <c r="AN2562" t="str">
        <f>HYPERLINK("https://www.google.com/maps?q=10.81512642,79.14880371","Open Location")</f>
        <v>Open Location</v>
      </c>
    </row>
    <row r="2563" spans="1:40" x14ac:dyDescent="0.3">
      <c r="A2563" s="1">
        <v>46210.703009259261</v>
      </c>
      <c r="B2563" t="s">
        <v>40</v>
      </c>
      <c r="C2563" t="s">
        <v>41</v>
      </c>
      <c r="D2563" s="1">
        <v>46210.705648148149</v>
      </c>
      <c r="E2563" t="s">
        <v>42</v>
      </c>
      <c r="F2563" t="s">
        <v>83</v>
      </c>
      <c r="G2563">
        <v>0</v>
      </c>
      <c r="H2563">
        <v>33174</v>
      </c>
      <c r="I2563" t="s">
        <v>1349</v>
      </c>
      <c r="J2563">
        <v>58</v>
      </c>
      <c r="K2563">
        <v>4</v>
      </c>
      <c r="L2563">
        <v>98</v>
      </c>
      <c r="M2563">
        <v>630.09997558999999</v>
      </c>
      <c r="N2563" t="s">
        <v>85</v>
      </c>
      <c r="O2563" t="s">
        <v>82</v>
      </c>
      <c r="P2563">
        <v>125</v>
      </c>
      <c r="Q2563" t="s">
        <v>82</v>
      </c>
      <c r="R2563">
        <v>0</v>
      </c>
      <c r="S2563">
        <v>0</v>
      </c>
      <c r="T2563">
        <v>-40</v>
      </c>
      <c r="U2563">
        <v>48</v>
      </c>
      <c r="V2563">
        <v>0</v>
      </c>
      <c r="W2563">
        <v>29</v>
      </c>
      <c r="X2563">
        <v>29</v>
      </c>
      <c r="Y2563">
        <v>1</v>
      </c>
      <c r="Z2563">
        <v>8</v>
      </c>
      <c r="AA2563">
        <v>25</v>
      </c>
      <c r="AB2563">
        <v>2</v>
      </c>
      <c r="AC2563">
        <v>3</v>
      </c>
      <c r="AD2563">
        <v>3.28900003</v>
      </c>
      <c r="AE2563">
        <v>1</v>
      </c>
      <c r="AF2563">
        <v>25</v>
      </c>
      <c r="AG2563">
        <v>3.28600001</v>
      </c>
      <c r="AH2563">
        <v>4</v>
      </c>
      <c r="AI2563">
        <v>17</v>
      </c>
      <c r="AJ2563">
        <v>1</v>
      </c>
      <c r="AK2563">
        <v>18</v>
      </c>
      <c r="AL2563">
        <v>51</v>
      </c>
      <c r="AM2563" t="s">
        <v>43</v>
      </c>
      <c r="AN2563" t="str">
        <f>HYPERLINK("https://www.google.com/maps?q=10.81513596,79.14878845","Open Location")</f>
        <v>Open Location</v>
      </c>
    </row>
    <row r="2564" spans="1:40" x14ac:dyDescent="0.3">
      <c r="A2564" s="1">
        <v>46210.702893518515</v>
      </c>
      <c r="B2564" t="s">
        <v>40</v>
      </c>
      <c r="C2564" t="s">
        <v>41</v>
      </c>
      <c r="D2564" s="1">
        <v>46210.705648148149</v>
      </c>
      <c r="E2564" t="s">
        <v>42</v>
      </c>
      <c r="F2564" t="s">
        <v>83</v>
      </c>
      <c r="G2564">
        <v>0</v>
      </c>
      <c r="H2564">
        <v>33174</v>
      </c>
      <c r="I2564" t="s">
        <v>1357</v>
      </c>
      <c r="J2564">
        <v>58</v>
      </c>
      <c r="K2564">
        <v>4</v>
      </c>
      <c r="L2564">
        <v>98</v>
      </c>
      <c r="M2564">
        <v>630.20001220999995</v>
      </c>
      <c r="N2564" t="s">
        <v>85</v>
      </c>
      <c r="O2564" t="s">
        <v>82</v>
      </c>
      <c r="P2564">
        <v>125</v>
      </c>
      <c r="Q2564" t="s">
        <v>82</v>
      </c>
      <c r="R2564">
        <v>0</v>
      </c>
      <c r="S2564">
        <v>0</v>
      </c>
      <c r="T2564">
        <v>-40</v>
      </c>
      <c r="U2564">
        <v>48</v>
      </c>
      <c r="V2564">
        <v>0</v>
      </c>
      <c r="W2564">
        <v>29</v>
      </c>
      <c r="X2564">
        <v>29</v>
      </c>
      <c r="Y2564">
        <v>1</v>
      </c>
      <c r="Z2564">
        <v>8</v>
      </c>
      <c r="AA2564">
        <v>25</v>
      </c>
      <c r="AB2564">
        <v>2</v>
      </c>
      <c r="AC2564">
        <v>3</v>
      </c>
      <c r="AD2564">
        <v>3.28900003</v>
      </c>
      <c r="AE2564">
        <v>1</v>
      </c>
      <c r="AF2564">
        <v>25</v>
      </c>
      <c r="AG2564">
        <v>3.28600001</v>
      </c>
      <c r="AH2564">
        <v>4</v>
      </c>
      <c r="AI2564">
        <v>17</v>
      </c>
      <c r="AJ2564">
        <v>1</v>
      </c>
      <c r="AK2564">
        <v>17</v>
      </c>
      <c r="AL2564">
        <v>51</v>
      </c>
      <c r="AM2564" t="s">
        <v>43</v>
      </c>
      <c r="AN2564" t="str">
        <f>HYPERLINK("https://www.google.com/maps?q=10.81513786,79.14878082","Open Location")</f>
        <v>Open Location</v>
      </c>
    </row>
    <row r="2565" spans="1:40" x14ac:dyDescent="0.3">
      <c r="A2565" s="1">
        <v>46210.702777777777</v>
      </c>
      <c r="B2565" t="s">
        <v>40</v>
      </c>
      <c r="C2565" t="s">
        <v>41</v>
      </c>
      <c r="D2565" s="1">
        <v>46210.705775462964</v>
      </c>
      <c r="E2565" t="s">
        <v>42</v>
      </c>
      <c r="F2565" t="s">
        <v>83</v>
      </c>
      <c r="G2565">
        <v>0</v>
      </c>
      <c r="H2565">
        <v>33174</v>
      </c>
      <c r="I2565" t="s">
        <v>43</v>
      </c>
      <c r="J2565">
        <v>58</v>
      </c>
      <c r="K2565">
        <v>4</v>
      </c>
      <c r="L2565">
        <v>98</v>
      </c>
      <c r="M2565">
        <v>630.29998779000005</v>
      </c>
      <c r="N2565" t="s">
        <v>85</v>
      </c>
      <c r="O2565" t="s">
        <v>82</v>
      </c>
      <c r="P2565">
        <v>125</v>
      </c>
      <c r="Q2565" t="s">
        <v>82</v>
      </c>
      <c r="R2565">
        <v>0</v>
      </c>
      <c r="S2565">
        <v>0</v>
      </c>
      <c r="T2565">
        <v>-40</v>
      </c>
      <c r="U2565">
        <v>48</v>
      </c>
      <c r="V2565">
        <v>0</v>
      </c>
      <c r="W2565">
        <v>29</v>
      </c>
      <c r="X2565">
        <v>29</v>
      </c>
      <c r="Y2565">
        <v>1</v>
      </c>
      <c r="Z2565">
        <v>8</v>
      </c>
      <c r="AA2565">
        <v>25</v>
      </c>
      <c r="AB2565">
        <v>2</v>
      </c>
      <c r="AC2565">
        <v>3</v>
      </c>
      <c r="AD2565">
        <v>3.28900003</v>
      </c>
      <c r="AE2565">
        <v>1</v>
      </c>
      <c r="AF2565">
        <v>25</v>
      </c>
      <c r="AG2565">
        <v>3.28600001</v>
      </c>
      <c r="AH2565">
        <v>4</v>
      </c>
      <c r="AI2565">
        <v>17</v>
      </c>
      <c r="AJ2565">
        <v>1</v>
      </c>
      <c r="AK2565">
        <v>18</v>
      </c>
      <c r="AL2565">
        <v>51</v>
      </c>
      <c r="AM2565" t="s">
        <v>43</v>
      </c>
      <c r="AN2565" t="s">
        <v>43</v>
      </c>
    </row>
    <row r="2566" spans="1:40" x14ac:dyDescent="0.3">
      <c r="A2566" s="1">
        <v>46210.702662037038</v>
      </c>
      <c r="B2566" t="s">
        <v>40</v>
      </c>
      <c r="C2566" t="s">
        <v>41</v>
      </c>
      <c r="D2566" s="1">
        <v>46210.705520833333</v>
      </c>
      <c r="E2566" t="s">
        <v>42</v>
      </c>
      <c r="F2566" t="s">
        <v>83</v>
      </c>
      <c r="G2566">
        <v>0</v>
      </c>
      <c r="H2566">
        <v>33174</v>
      </c>
      <c r="I2566" t="s">
        <v>1358</v>
      </c>
      <c r="J2566">
        <v>58</v>
      </c>
      <c r="K2566">
        <v>4</v>
      </c>
      <c r="L2566">
        <v>98</v>
      </c>
      <c r="M2566">
        <v>630.29998779000005</v>
      </c>
      <c r="N2566" t="s">
        <v>85</v>
      </c>
      <c r="O2566" t="s">
        <v>82</v>
      </c>
      <c r="P2566">
        <v>125</v>
      </c>
      <c r="Q2566" t="s">
        <v>43</v>
      </c>
      <c r="R2566">
        <v>0</v>
      </c>
      <c r="S2566">
        <v>0</v>
      </c>
      <c r="T2566">
        <v>-40</v>
      </c>
      <c r="U2566">
        <v>48</v>
      </c>
      <c r="V2566">
        <v>0</v>
      </c>
      <c r="W2566">
        <v>29</v>
      </c>
      <c r="X2566">
        <v>29</v>
      </c>
      <c r="Y2566">
        <v>1</v>
      </c>
      <c r="Z2566">
        <v>8</v>
      </c>
      <c r="AA2566">
        <v>25</v>
      </c>
      <c r="AB2566">
        <v>2</v>
      </c>
      <c r="AC2566">
        <v>3</v>
      </c>
      <c r="AD2566">
        <v>3.28900003</v>
      </c>
      <c r="AE2566">
        <v>1</v>
      </c>
      <c r="AF2566">
        <v>25</v>
      </c>
      <c r="AG2566">
        <v>3.28600001</v>
      </c>
      <c r="AH2566">
        <v>4</v>
      </c>
      <c r="AI2566">
        <v>17</v>
      </c>
      <c r="AJ2566">
        <v>1</v>
      </c>
      <c r="AK2566">
        <v>18</v>
      </c>
      <c r="AL2566">
        <v>51</v>
      </c>
      <c r="AM2566" t="s">
        <v>43</v>
      </c>
      <c r="AN2566" t="str">
        <f>HYPERLINK("https://www.google.com/maps?q=10.815135,79.14878845","Open Location")</f>
        <v>Open Location</v>
      </c>
    </row>
    <row r="2567" spans="1:40" x14ac:dyDescent="0.3">
      <c r="A2567" s="1">
        <v>46210.702546296299</v>
      </c>
      <c r="B2567" t="s">
        <v>40</v>
      </c>
      <c r="C2567" t="s">
        <v>41</v>
      </c>
      <c r="D2567" s="1">
        <v>46210.705682870372</v>
      </c>
      <c r="E2567" t="s">
        <v>42</v>
      </c>
      <c r="F2567" t="s">
        <v>83</v>
      </c>
      <c r="G2567">
        <v>0</v>
      </c>
      <c r="H2567" t="s">
        <v>43</v>
      </c>
      <c r="I2567" t="s">
        <v>1359</v>
      </c>
      <c r="J2567">
        <v>58</v>
      </c>
      <c r="K2567">
        <v>4</v>
      </c>
      <c r="L2567">
        <v>98</v>
      </c>
      <c r="M2567">
        <v>630.09997558999999</v>
      </c>
      <c r="N2567" t="s">
        <v>85</v>
      </c>
      <c r="O2567" t="s">
        <v>82</v>
      </c>
      <c r="P2567">
        <v>125</v>
      </c>
      <c r="Q2567" t="s">
        <v>82</v>
      </c>
      <c r="R2567">
        <v>0</v>
      </c>
      <c r="S2567">
        <v>0</v>
      </c>
      <c r="T2567">
        <v>-40</v>
      </c>
      <c r="U2567">
        <v>48</v>
      </c>
      <c r="V2567">
        <v>0</v>
      </c>
      <c r="W2567" t="s">
        <v>43</v>
      </c>
      <c r="X2567" t="s">
        <v>43</v>
      </c>
      <c r="Y2567" t="s">
        <v>43</v>
      </c>
      <c r="Z2567" t="s">
        <v>43</v>
      </c>
      <c r="AA2567" t="s">
        <v>43</v>
      </c>
      <c r="AB2567" t="s">
        <v>43</v>
      </c>
      <c r="AC2567" t="s">
        <v>43</v>
      </c>
      <c r="AD2567" t="s">
        <v>43</v>
      </c>
      <c r="AE2567" t="s">
        <v>43</v>
      </c>
      <c r="AF2567" t="s">
        <v>43</v>
      </c>
      <c r="AG2567" t="s">
        <v>43</v>
      </c>
      <c r="AH2567" t="s">
        <v>43</v>
      </c>
      <c r="AI2567" t="s">
        <v>43</v>
      </c>
      <c r="AJ2567">
        <v>1</v>
      </c>
      <c r="AK2567">
        <v>18</v>
      </c>
      <c r="AL2567">
        <v>51</v>
      </c>
      <c r="AM2567" t="s">
        <v>43</v>
      </c>
      <c r="AN2567" t="str">
        <f>HYPERLINK("https://www.google.com/maps?q=10.81513309,79.14878845","Open Location")</f>
        <v>Open Location</v>
      </c>
    </row>
    <row r="2568" spans="1:40" x14ac:dyDescent="0.3">
      <c r="A2568" s="1">
        <v>46210.702430555553</v>
      </c>
      <c r="B2568" t="s">
        <v>40</v>
      </c>
      <c r="C2568" t="s">
        <v>41</v>
      </c>
      <c r="D2568" s="1">
        <v>46210.705381944441</v>
      </c>
      <c r="E2568" t="s">
        <v>42</v>
      </c>
      <c r="F2568" t="s">
        <v>83</v>
      </c>
      <c r="G2568">
        <v>0</v>
      </c>
      <c r="H2568">
        <v>33174</v>
      </c>
      <c r="I2568" t="s">
        <v>1360</v>
      </c>
      <c r="J2568">
        <v>58</v>
      </c>
      <c r="K2568">
        <v>4</v>
      </c>
      <c r="L2568">
        <v>98</v>
      </c>
      <c r="M2568">
        <v>630.40002441000001</v>
      </c>
      <c r="N2568" t="s">
        <v>85</v>
      </c>
      <c r="O2568" t="s">
        <v>82</v>
      </c>
      <c r="P2568">
        <v>125</v>
      </c>
      <c r="Q2568" t="s">
        <v>82</v>
      </c>
      <c r="R2568">
        <v>0</v>
      </c>
      <c r="S2568">
        <v>0</v>
      </c>
      <c r="T2568">
        <v>-40</v>
      </c>
      <c r="U2568">
        <v>48</v>
      </c>
      <c r="V2568">
        <v>0</v>
      </c>
      <c r="W2568">
        <v>29</v>
      </c>
      <c r="X2568">
        <v>29</v>
      </c>
      <c r="Y2568">
        <v>1</v>
      </c>
      <c r="Z2568">
        <v>8</v>
      </c>
      <c r="AA2568">
        <v>25</v>
      </c>
      <c r="AB2568">
        <v>2</v>
      </c>
      <c r="AC2568">
        <v>3</v>
      </c>
      <c r="AD2568">
        <v>3.28900003</v>
      </c>
      <c r="AE2568">
        <v>1</v>
      </c>
      <c r="AF2568">
        <v>25</v>
      </c>
      <c r="AG2568">
        <v>3.28600001</v>
      </c>
      <c r="AH2568">
        <v>2</v>
      </c>
      <c r="AI2568">
        <v>3</v>
      </c>
      <c r="AJ2568">
        <v>1</v>
      </c>
      <c r="AK2568">
        <v>18</v>
      </c>
      <c r="AL2568">
        <v>51</v>
      </c>
      <c r="AM2568" t="s">
        <v>43</v>
      </c>
      <c r="AN2568" t="str">
        <f>HYPERLINK("https://www.google.com/maps?q=10.81512833,79.14878082","Open Location")</f>
        <v>Open Location</v>
      </c>
    </row>
    <row r="2569" spans="1:40" x14ac:dyDescent="0.3">
      <c r="A2569" s="1">
        <v>46210.702314814815</v>
      </c>
      <c r="B2569" t="s">
        <v>40</v>
      </c>
      <c r="C2569" t="s">
        <v>41</v>
      </c>
      <c r="D2569" s="1">
        <v>46210.70511574074</v>
      </c>
      <c r="E2569" t="s">
        <v>42</v>
      </c>
      <c r="F2569" t="s">
        <v>83</v>
      </c>
      <c r="G2569">
        <v>0</v>
      </c>
      <c r="H2569" t="s">
        <v>43</v>
      </c>
      <c r="I2569" t="s">
        <v>1361</v>
      </c>
      <c r="J2569">
        <v>58</v>
      </c>
      <c r="K2569">
        <v>4</v>
      </c>
      <c r="L2569">
        <v>98</v>
      </c>
      <c r="M2569">
        <v>630.79998779000005</v>
      </c>
      <c r="N2569" t="s">
        <v>85</v>
      </c>
      <c r="O2569" t="s">
        <v>82</v>
      </c>
      <c r="P2569">
        <v>125</v>
      </c>
      <c r="Q2569" t="s">
        <v>82</v>
      </c>
      <c r="R2569">
        <v>0</v>
      </c>
      <c r="S2569">
        <v>0</v>
      </c>
      <c r="T2569">
        <v>-40</v>
      </c>
      <c r="U2569">
        <v>48</v>
      </c>
      <c r="V2569">
        <v>0</v>
      </c>
      <c r="W2569" t="s">
        <v>43</v>
      </c>
      <c r="X2569" t="s">
        <v>43</v>
      </c>
      <c r="Y2569" t="s">
        <v>43</v>
      </c>
      <c r="Z2569" t="s">
        <v>43</v>
      </c>
      <c r="AA2569" t="s">
        <v>43</v>
      </c>
      <c r="AB2569" t="s">
        <v>43</v>
      </c>
      <c r="AC2569" t="s">
        <v>43</v>
      </c>
      <c r="AD2569" t="s">
        <v>43</v>
      </c>
      <c r="AE2569" t="s">
        <v>43</v>
      </c>
      <c r="AF2569" t="s">
        <v>43</v>
      </c>
      <c r="AG2569" t="s">
        <v>43</v>
      </c>
      <c r="AH2569" t="s">
        <v>43</v>
      </c>
      <c r="AI2569" t="s">
        <v>43</v>
      </c>
      <c r="AJ2569">
        <v>1</v>
      </c>
      <c r="AK2569">
        <v>18</v>
      </c>
      <c r="AL2569">
        <v>51</v>
      </c>
      <c r="AM2569" t="s">
        <v>43</v>
      </c>
      <c r="AN2569" t="str">
        <f>HYPERLINK("https://www.google.com/maps?q=10.81511879,79.14878082","Open Location")</f>
        <v>Open Location</v>
      </c>
    </row>
    <row r="2570" spans="1:40" x14ac:dyDescent="0.3">
      <c r="A2570" s="1">
        <v>46210.702199074076</v>
      </c>
      <c r="B2570" t="s">
        <v>40</v>
      </c>
      <c r="C2570" t="s">
        <v>41</v>
      </c>
      <c r="D2570" s="1">
        <v>46210.70511574074</v>
      </c>
      <c r="E2570" t="s">
        <v>42</v>
      </c>
      <c r="F2570" t="s">
        <v>83</v>
      </c>
      <c r="G2570">
        <v>0</v>
      </c>
      <c r="H2570">
        <v>33174</v>
      </c>
      <c r="I2570" t="s">
        <v>1362</v>
      </c>
      <c r="J2570">
        <v>58</v>
      </c>
      <c r="K2570">
        <v>4</v>
      </c>
      <c r="L2570">
        <v>98</v>
      </c>
      <c r="M2570">
        <v>629.79998779000005</v>
      </c>
      <c r="N2570" t="s">
        <v>85</v>
      </c>
      <c r="O2570" t="s">
        <v>82</v>
      </c>
      <c r="P2570">
        <v>125</v>
      </c>
      <c r="Q2570" t="s">
        <v>82</v>
      </c>
      <c r="R2570">
        <v>0</v>
      </c>
      <c r="S2570">
        <v>0</v>
      </c>
      <c r="T2570">
        <v>-40</v>
      </c>
      <c r="U2570">
        <v>48</v>
      </c>
      <c r="V2570">
        <v>0</v>
      </c>
      <c r="W2570">
        <v>29</v>
      </c>
      <c r="X2570">
        <v>29</v>
      </c>
      <c r="Y2570">
        <v>1</v>
      </c>
      <c r="Z2570">
        <v>8</v>
      </c>
      <c r="AA2570">
        <v>25</v>
      </c>
      <c r="AB2570">
        <v>2</v>
      </c>
      <c r="AC2570">
        <v>3</v>
      </c>
      <c r="AD2570">
        <v>3.28800011</v>
      </c>
      <c r="AE2570">
        <v>1</v>
      </c>
      <c r="AF2570">
        <v>1</v>
      </c>
      <c r="AG2570">
        <v>3.28600001</v>
      </c>
      <c r="AH2570">
        <v>1</v>
      </c>
      <c r="AI2570">
        <v>15</v>
      </c>
      <c r="AJ2570">
        <v>1</v>
      </c>
      <c r="AK2570">
        <v>18</v>
      </c>
      <c r="AL2570">
        <v>51</v>
      </c>
      <c r="AM2570" t="s">
        <v>43</v>
      </c>
      <c r="AN2570" t="str">
        <f>HYPERLINK("https://www.google.com/maps?q=10.81511784,79.14877319","Open Location")</f>
        <v>Open Location</v>
      </c>
    </row>
    <row r="2571" spans="1:40" x14ac:dyDescent="0.3">
      <c r="A2571" s="1">
        <v>46210.70208333333</v>
      </c>
      <c r="B2571" t="s">
        <v>40</v>
      </c>
      <c r="C2571" t="s">
        <v>41</v>
      </c>
      <c r="D2571" s="1">
        <v>46210.70480324074</v>
      </c>
      <c r="E2571" t="s">
        <v>42</v>
      </c>
      <c r="F2571" t="s">
        <v>83</v>
      </c>
      <c r="G2571">
        <v>0</v>
      </c>
      <c r="H2571">
        <v>33174</v>
      </c>
      <c r="I2571" t="s">
        <v>43</v>
      </c>
      <c r="J2571">
        <v>58</v>
      </c>
      <c r="K2571">
        <v>4</v>
      </c>
      <c r="L2571">
        <v>98</v>
      </c>
      <c r="M2571">
        <v>630.79998779000005</v>
      </c>
      <c r="N2571" t="s">
        <v>85</v>
      </c>
      <c r="O2571" t="s">
        <v>82</v>
      </c>
      <c r="P2571">
        <v>125</v>
      </c>
      <c r="Q2571" t="s">
        <v>82</v>
      </c>
      <c r="R2571">
        <v>0</v>
      </c>
      <c r="S2571">
        <v>0</v>
      </c>
      <c r="T2571">
        <v>-40</v>
      </c>
      <c r="U2571">
        <v>48</v>
      </c>
      <c r="V2571">
        <v>0</v>
      </c>
      <c r="W2571">
        <v>29</v>
      </c>
      <c r="X2571">
        <v>29</v>
      </c>
      <c r="Y2571">
        <v>1</v>
      </c>
      <c r="Z2571">
        <v>8</v>
      </c>
      <c r="AA2571">
        <v>25</v>
      </c>
      <c r="AB2571">
        <v>2</v>
      </c>
      <c r="AC2571">
        <v>3</v>
      </c>
      <c r="AD2571">
        <v>3.28800011</v>
      </c>
      <c r="AE2571">
        <v>1</v>
      </c>
      <c r="AF2571">
        <v>23</v>
      </c>
      <c r="AG2571">
        <v>3.28600001</v>
      </c>
      <c r="AH2571">
        <v>1</v>
      </c>
      <c r="AI2571">
        <v>4</v>
      </c>
      <c r="AJ2571">
        <v>1</v>
      </c>
      <c r="AK2571">
        <v>18</v>
      </c>
      <c r="AL2571">
        <v>51</v>
      </c>
      <c r="AM2571" t="s">
        <v>43</v>
      </c>
      <c r="AN2571" t="s">
        <v>43</v>
      </c>
    </row>
    <row r="2572" spans="1:40" x14ac:dyDescent="0.3">
      <c r="A2572" s="1">
        <v>46210.701967592591</v>
      </c>
      <c r="B2572" t="s">
        <v>40</v>
      </c>
      <c r="C2572" t="s">
        <v>41</v>
      </c>
      <c r="D2572" s="1">
        <v>46210.704756944448</v>
      </c>
      <c r="E2572" t="s">
        <v>42</v>
      </c>
      <c r="F2572" t="s">
        <v>83</v>
      </c>
      <c r="G2572">
        <v>0</v>
      </c>
      <c r="H2572">
        <v>33174</v>
      </c>
      <c r="I2572" t="s">
        <v>1362</v>
      </c>
      <c r="J2572">
        <v>58</v>
      </c>
      <c r="K2572">
        <v>4</v>
      </c>
      <c r="L2572">
        <v>98</v>
      </c>
      <c r="M2572">
        <v>629.90002441000001</v>
      </c>
      <c r="N2572" t="s">
        <v>85</v>
      </c>
      <c r="O2572" t="s">
        <v>82</v>
      </c>
      <c r="P2572">
        <v>125</v>
      </c>
      <c r="Q2572" t="s">
        <v>82</v>
      </c>
      <c r="R2572">
        <v>0</v>
      </c>
      <c r="S2572">
        <v>0</v>
      </c>
      <c r="T2572">
        <v>-40</v>
      </c>
      <c r="U2572">
        <v>48</v>
      </c>
      <c r="V2572">
        <v>0</v>
      </c>
      <c r="W2572">
        <v>29</v>
      </c>
      <c r="X2572">
        <v>29</v>
      </c>
      <c r="Y2572">
        <v>1</v>
      </c>
      <c r="Z2572">
        <v>8</v>
      </c>
      <c r="AA2572">
        <v>25</v>
      </c>
      <c r="AB2572">
        <v>2</v>
      </c>
      <c r="AC2572">
        <v>3</v>
      </c>
      <c r="AD2572">
        <v>3.28800011</v>
      </c>
      <c r="AE2572">
        <v>1</v>
      </c>
      <c r="AF2572">
        <v>25</v>
      </c>
      <c r="AG2572">
        <v>3.28500009</v>
      </c>
      <c r="AH2572">
        <v>4</v>
      </c>
      <c r="AI2572">
        <v>17</v>
      </c>
      <c r="AJ2572">
        <v>1</v>
      </c>
      <c r="AK2572">
        <v>18</v>
      </c>
      <c r="AL2572">
        <v>51</v>
      </c>
      <c r="AM2572" t="s">
        <v>43</v>
      </c>
      <c r="AN2572" t="str">
        <f>HYPERLINK("https://www.google.com/maps?q=10.81511784,79.14877319","Open Location")</f>
        <v>Open Location</v>
      </c>
    </row>
    <row r="2573" spans="1:40" x14ac:dyDescent="0.3">
      <c r="A2573" s="1">
        <v>46210.701851851853</v>
      </c>
      <c r="B2573" t="s">
        <v>40</v>
      </c>
      <c r="C2573" t="s">
        <v>41</v>
      </c>
      <c r="D2573" s="1">
        <v>46210.704629629632</v>
      </c>
      <c r="E2573" t="s">
        <v>42</v>
      </c>
      <c r="F2573" t="s">
        <v>83</v>
      </c>
      <c r="G2573">
        <v>0</v>
      </c>
      <c r="H2573">
        <v>33174</v>
      </c>
      <c r="I2573" t="s">
        <v>1363</v>
      </c>
      <c r="J2573">
        <v>58</v>
      </c>
      <c r="K2573">
        <v>11</v>
      </c>
      <c r="L2573">
        <v>98</v>
      </c>
      <c r="M2573">
        <v>629.40002441000001</v>
      </c>
      <c r="N2573" t="s">
        <v>85</v>
      </c>
      <c r="O2573" t="s">
        <v>82</v>
      </c>
      <c r="P2573">
        <v>125</v>
      </c>
      <c r="Q2573" t="s">
        <v>82</v>
      </c>
      <c r="R2573">
        <v>0</v>
      </c>
      <c r="S2573">
        <v>0</v>
      </c>
      <c r="T2573">
        <v>-40</v>
      </c>
      <c r="U2573">
        <v>48</v>
      </c>
      <c r="V2573">
        <v>0</v>
      </c>
      <c r="W2573" t="s">
        <v>43</v>
      </c>
      <c r="X2573" t="s">
        <v>43</v>
      </c>
      <c r="Y2573" t="s">
        <v>43</v>
      </c>
      <c r="Z2573" t="s">
        <v>43</v>
      </c>
      <c r="AA2573" t="s">
        <v>43</v>
      </c>
      <c r="AB2573" t="s">
        <v>43</v>
      </c>
      <c r="AC2573" t="s">
        <v>43</v>
      </c>
      <c r="AD2573" t="s">
        <v>43</v>
      </c>
      <c r="AE2573" t="s">
        <v>43</v>
      </c>
      <c r="AF2573" t="s">
        <v>43</v>
      </c>
      <c r="AG2573" t="s">
        <v>43</v>
      </c>
      <c r="AH2573" t="s">
        <v>43</v>
      </c>
      <c r="AI2573" t="s">
        <v>43</v>
      </c>
      <c r="AJ2573">
        <v>1</v>
      </c>
      <c r="AK2573">
        <v>18</v>
      </c>
      <c r="AL2573">
        <v>51</v>
      </c>
      <c r="AM2573" t="s">
        <v>43</v>
      </c>
      <c r="AN2573" t="str">
        <f>HYPERLINK("https://www.google.com/maps?q=10.81511593,79.14876556","Open Location")</f>
        <v>Open Location</v>
      </c>
    </row>
    <row r="2574" spans="1:40" x14ac:dyDescent="0.3">
      <c r="A2574" s="1">
        <v>46210.701736111114</v>
      </c>
      <c r="B2574" t="s">
        <v>40</v>
      </c>
      <c r="C2574" t="s">
        <v>41</v>
      </c>
      <c r="D2574" s="1">
        <v>46210.70449074074</v>
      </c>
      <c r="E2574" t="s">
        <v>42</v>
      </c>
      <c r="F2574" t="s">
        <v>83</v>
      </c>
      <c r="G2574">
        <v>0</v>
      </c>
      <c r="H2574">
        <v>33174</v>
      </c>
      <c r="I2574" t="s">
        <v>1364</v>
      </c>
      <c r="J2574">
        <v>58</v>
      </c>
      <c r="K2574">
        <v>11</v>
      </c>
      <c r="L2574">
        <v>98</v>
      </c>
      <c r="M2574">
        <v>630.40002441000001</v>
      </c>
      <c r="N2574" t="s">
        <v>85</v>
      </c>
      <c r="O2574" t="s">
        <v>82</v>
      </c>
      <c r="P2574">
        <v>125</v>
      </c>
      <c r="Q2574" t="s">
        <v>82</v>
      </c>
      <c r="R2574">
        <v>0</v>
      </c>
      <c r="S2574">
        <v>0</v>
      </c>
      <c r="T2574">
        <v>-40</v>
      </c>
      <c r="U2574">
        <v>48</v>
      </c>
      <c r="V2574">
        <v>0</v>
      </c>
      <c r="W2574">
        <v>29</v>
      </c>
      <c r="X2574">
        <v>29</v>
      </c>
      <c r="Y2574">
        <v>1</v>
      </c>
      <c r="Z2574">
        <v>8</v>
      </c>
      <c r="AA2574">
        <v>25</v>
      </c>
      <c r="AB2574">
        <v>2</v>
      </c>
      <c r="AC2574">
        <v>3</v>
      </c>
      <c r="AD2574">
        <v>3.28600001</v>
      </c>
      <c r="AE2574">
        <v>1</v>
      </c>
      <c r="AF2574">
        <v>6</v>
      </c>
      <c r="AG2574">
        <v>3.2820000600000001</v>
      </c>
      <c r="AH2574">
        <v>4</v>
      </c>
      <c r="AI2574">
        <v>17</v>
      </c>
      <c r="AJ2574">
        <v>1</v>
      </c>
      <c r="AK2574">
        <v>18</v>
      </c>
      <c r="AL2574">
        <v>51</v>
      </c>
      <c r="AM2574" t="s">
        <v>43</v>
      </c>
      <c r="AN2574" t="str">
        <f>HYPERLINK("https://www.google.com/maps?q=10.81511688,79.14876556","Open Location")</f>
        <v>Open Location</v>
      </c>
    </row>
    <row r="2575" spans="1:40" x14ac:dyDescent="0.3">
      <c r="A2575" s="1">
        <v>46210.701620370368</v>
      </c>
      <c r="B2575" t="s">
        <v>40</v>
      </c>
      <c r="C2575" t="s">
        <v>41</v>
      </c>
      <c r="D2575" s="1">
        <v>46210.704444444447</v>
      </c>
      <c r="E2575" t="s">
        <v>42</v>
      </c>
      <c r="F2575" t="s">
        <v>83</v>
      </c>
      <c r="G2575">
        <v>0</v>
      </c>
      <c r="H2575">
        <v>33174</v>
      </c>
      <c r="I2575" t="s">
        <v>1365</v>
      </c>
      <c r="J2575">
        <v>58</v>
      </c>
      <c r="K2575">
        <v>11</v>
      </c>
      <c r="L2575">
        <v>98</v>
      </c>
      <c r="M2575">
        <v>630.20001220999995</v>
      </c>
      <c r="N2575" t="s">
        <v>85</v>
      </c>
      <c r="O2575" t="s">
        <v>86</v>
      </c>
      <c r="P2575">
        <v>127</v>
      </c>
      <c r="Q2575" t="s">
        <v>82</v>
      </c>
      <c r="R2575">
        <v>0</v>
      </c>
      <c r="S2575">
        <v>45</v>
      </c>
      <c r="T2575">
        <v>-40</v>
      </c>
      <c r="U2575">
        <v>48</v>
      </c>
      <c r="V2575">
        <v>5</v>
      </c>
      <c r="W2575">
        <v>29</v>
      </c>
      <c r="X2575">
        <v>29</v>
      </c>
      <c r="Y2575">
        <v>1</v>
      </c>
      <c r="Z2575">
        <v>8</v>
      </c>
      <c r="AA2575">
        <v>25</v>
      </c>
      <c r="AB2575">
        <v>2</v>
      </c>
      <c r="AC2575">
        <v>3</v>
      </c>
      <c r="AD2575">
        <v>3.28600001</v>
      </c>
      <c r="AE2575">
        <v>1</v>
      </c>
      <c r="AF2575">
        <v>25</v>
      </c>
      <c r="AG2575">
        <v>3.2820000600000001</v>
      </c>
      <c r="AH2575">
        <v>6</v>
      </c>
      <c r="AI2575">
        <v>17</v>
      </c>
      <c r="AJ2575">
        <v>1</v>
      </c>
      <c r="AK2575">
        <v>18</v>
      </c>
      <c r="AL2575">
        <v>51</v>
      </c>
      <c r="AM2575" t="s">
        <v>43</v>
      </c>
      <c r="AN2575" t="str">
        <f>HYPERLINK("https://www.google.com/maps?q=10.81511879,79.14876556","Open Location")</f>
        <v>Open Location</v>
      </c>
    </row>
    <row r="2576" spans="1:40" x14ac:dyDescent="0.3">
      <c r="A2576" s="1">
        <v>46210.701504629629</v>
      </c>
      <c r="B2576" t="s">
        <v>40</v>
      </c>
      <c r="C2576" t="s">
        <v>41</v>
      </c>
      <c r="D2576" s="1">
        <v>46210.704456018517</v>
      </c>
      <c r="E2576" t="s">
        <v>42</v>
      </c>
      <c r="F2576" t="s">
        <v>83</v>
      </c>
      <c r="G2576">
        <v>2</v>
      </c>
      <c r="H2576">
        <v>33174</v>
      </c>
      <c r="I2576" t="s">
        <v>43</v>
      </c>
      <c r="J2576">
        <v>58</v>
      </c>
      <c r="K2576">
        <v>36</v>
      </c>
      <c r="L2576">
        <v>98</v>
      </c>
      <c r="M2576">
        <v>629.40002441000001</v>
      </c>
      <c r="N2576" t="s">
        <v>87</v>
      </c>
      <c r="O2576" t="s">
        <v>86</v>
      </c>
      <c r="P2576">
        <v>127</v>
      </c>
      <c r="Q2576">
        <v>2</v>
      </c>
      <c r="R2576">
        <v>5</v>
      </c>
      <c r="S2576">
        <v>357</v>
      </c>
      <c r="T2576">
        <v>-40</v>
      </c>
      <c r="U2576">
        <v>49</v>
      </c>
      <c r="V2576">
        <v>380</v>
      </c>
      <c r="W2576">
        <v>29</v>
      </c>
      <c r="X2576">
        <v>29</v>
      </c>
      <c r="Y2576">
        <v>1</v>
      </c>
      <c r="Z2576">
        <v>8</v>
      </c>
      <c r="AA2576">
        <v>25</v>
      </c>
      <c r="AB2576">
        <v>2</v>
      </c>
      <c r="AC2576">
        <v>3</v>
      </c>
      <c r="AD2576">
        <v>3.28500009</v>
      </c>
      <c r="AE2576">
        <v>5</v>
      </c>
      <c r="AF2576">
        <v>38</v>
      </c>
      <c r="AG2576">
        <v>3.2790000400000001</v>
      </c>
      <c r="AH2576">
        <v>4</v>
      </c>
      <c r="AI2576">
        <v>17</v>
      </c>
      <c r="AJ2576">
        <v>1</v>
      </c>
      <c r="AK2576">
        <v>18</v>
      </c>
      <c r="AL2576">
        <v>51</v>
      </c>
      <c r="AM2576" t="s">
        <v>43</v>
      </c>
      <c r="AN2576" t="s">
        <v>43</v>
      </c>
    </row>
    <row r="2577" spans="1:40" x14ac:dyDescent="0.3">
      <c r="A2577" s="1">
        <v>46210.701388888891</v>
      </c>
      <c r="B2577" t="s">
        <v>40</v>
      </c>
      <c r="C2577" t="s">
        <v>41</v>
      </c>
      <c r="D2577" s="1">
        <v>46210.704282407409</v>
      </c>
      <c r="E2577" t="s">
        <v>42</v>
      </c>
      <c r="F2577" t="s">
        <v>83</v>
      </c>
      <c r="G2577">
        <v>0</v>
      </c>
      <c r="H2577">
        <v>33174</v>
      </c>
      <c r="I2577" t="s">
        <v>1366</v>
      </c>
      <c r="J2577">
        <v>58</v>
      </c>
      <c r="K2577">
        <v>4</v>
      </c>
      <c r="L2577">
        <v>98</v>
      </c>
      <c r="M2577">
        <v>631.09997558999999</v>
      </c>
      <c r="N2577" t="s">
        <v>85</v>
      </c>
      <c r="O2577" t="s">
        <v>86</v>
      </c>
      <c r="P2577">
        <v>127</v>
      </c>
      <c r="Q2577">
        <v>2</v>
      </c>
      <c r="R2577">
        <v>4</v>
      </c>
      <c r="S2577">
        <v>0</v>
      </c>
      <c r="T2577">
        <v>-40</v>
      </c>
      <c r="U2577">
        <v>48</v>
      </c>
      <c r="V2577">
        <v>0</v>
      </c>
      <c r="W2577">
        <v>29</v>
      </c>
      <c r="X2577">
        <v>29</v>
      </c>
      <c r="Y2577">
        <v>1</v>
      </c>
      <c r="Z2577">
        <v>8</v>
      </c>
      <c r="AA2577">
        <v>25</v>
      </c>
      <c r="AB2577">
        <v>2</v>
      </c>
      <c r="AC2577">
        <v>3</v>
      </c>
      <c r="AD2577">
        <v>3.28900003</v>
      </c>
      <c r="AE2577">
        <v>1</v>
      </c>
      <c r="AF2577">
        <v>25</v>
      </c>
      <c r="AG2577">
        <v>3.28600001</v>
      </c>
      <c r="AH2577">
        <v>2</v>
      </c>
      <c r="AI2577">
        <v>12</v>
      </c>
      <c r="AJ2577">
        <v>1</v>
      </c>
      <c r="AK2577">
        <v>18</v>
      </c>
      <c r="AL2577">
        <v>51</v>
      </c>
      <c r="AM2577" t="s">
        <v>43</v>
      </c>
      <c r="AN2577" t="str">
        <f>HYPERLINK("https://www.google.com/maps?q=10.81510925,79.14870453","Open Location")</f>
        <v>Open Location</v>
      </c>
    </row>
    <row r="2578" spans="1:40" x14ac:dyDescent="0.3">
      <c r="A2578" s="1">
        <v>46210.701273148145</v>
      </c>
      <c r="B2578" t="s">
        <v>40</v>
      </c>
      <c r="C2578" t="s">
        <v>41</v>
      </c>
      <c r="D2578" s="1">
        <v>46210.70416666667</v>
      </c>
      <c r="E2578" t="s">
        <v>42</v>
      </c>
      <c r="F2578" t="s">
        <v>83</v>
      </c>
      <c r="G2578">
        <v>0</v>
      </c>
      <c r="H2578">
        <v>33174</v>
      </c>
      <c r="I2578" t="s">
        <v>1367</v>
      </c>
      <c r="J2578">
        <v>58</v>
      </c>
      <c r="K2578">
        <v>4</v>
      </c>
      <c r="L2578">
        <v>98</v>
      </c>
      <c r="M2578">
        <v>630.79998779000005</v>
      </c>
      <c r="N2578" t="s">
        <v>85</v>
      </c>
      <c r="O2578" t="s">
        <v>82</v>
      </c>
      <c r="P2578">
        <v>125</v>
      </c>
      <c r="Q2578" t="s">
        <v>82</v>
      </c>
      <c r="R2578">
        <v>0</v>
      </c>
      <c r="S2578">
        <v>0</v>
      </c>
      <c r="T2578">
        <v>-40</v>
      </c>
      <c r="U2578">
        <v>47</v>
      </c>
      <c r="V2578">
        <v>0</v>
      </c>
      <c r="W2578">
        <v>29</v>
      </c>
      <c r="X2578">
        <v>29</v>
      </c>
      <c r="Y2578">
        <v>1</v>
      </c>
      <c r="Z2578">
        <v>8</v>
      </c>
      <c r="AA2578">
        <v>25</v>
      </c>
      <c r="AB2578">
        <v>2</v>
      </c>
      <c r="AC2578">
        <v>3</v>
      </c>
      <c r="AD2578">
        <v>3.28900003</v>
      </c>
      <c r="AE2578">
        <v>1</v>
      </c>
      <c r="AF2578">
        <v>25</v>
      </c>
      <c r="AG2578">
        <v>3.28600001</v>
      </c>
      <c r="AH2578">
        <v>2</v>
      </c>
      <c r="AI2578">
        <v>12</v>
      </c>
      <c r="AJ2578">
        <v>1</v>
      </c>
      <c r="AK2578">
        <v>17</v>
      </c>
      <c r="AL2578">
        <v>51</v>
      </c>
      <c r="AM2578" t="s">
        <v>43</v>
      </c>
      <c r="AN2578" t="str">
        <f>HYPERLINK("https://www.google.com/maps?q=10.81511116,79.14868927","Open Location")</f>
        <v>Open Location</v>
      </c>
    </row>
    <row r="2579" spans="1:40" x14ac:dyDescent="0.3">
      <c r="A2579" s="1">
        <v>46210.701157407406</v>
      </c>
      <c r="B2579" t="s">
        <v>40</v>
      </c>
      <c r="C2579" t="s">
        <v>41</v>
      </c>
      <c r="D2579" s="1">
        <v>46210.704097222224</v>
      </c>
      <c r="E2579" t="s">
        <v>42</v>
      </c>
      <c r="F2579" t="s">
        <v>83</v>
      </c>
      <c r="G2579">
        <v>0</v>
      </c>
      <c r="H2579" t="s">
        <v>43</v>
      </c>
      <c r="I2579" t="s">
        <v>1368</v>
      </c>
      <c r="J2579">
        <v>58</v>
      </c>
      <c r="K2579">
        <v>4</v>
      </c>
      <c r="L2579">
        <v>98</v>
      </c>
      <c r="M2579">
        <v>631</v>
      </c>
      <c r="N2579" t="s">
        <v>85</v>
      </c>
      <c r="O2579" t="s">
        <v>82</v>
      </c>
      <c r="P2579">
        <v>125</v>
      </c>
      <c r="Q2579" t="s">
        <v>82</v>
      </c>
      <c r="R2579">
        <v>0</v>
      </c>
      <c r="S2579">
        <v>0</v>
      </c>
      <c r="T2579">
        <v>-40</v>
      </c>
      <c r="U2579">
        <v>47</v>
      </c>
      <c r="V2579">
        <v>0</v>
      </c>
      <c r="W2579" t="s">
        <v>43</v>
      </c>
      <c r="X2579" t="s">
        <v>43</v>
      </c>
      <c r="Y2579" t="s">
        <v>43</v>
      </c>
      <c r="Z2579" t="s">
        <v>43</v>
      </c>
      <c r="AA2579" t="s">
        <v>43</v>
      </c>
      <c r="AB2579" t="s">
        <v>43</v>
      </c>
      <c r="AC2579" t="s">
        <v>43</v>
      </c>
      <c r="AD2579" t="s">
        <v>43</v>
      </c>
      <c r="AE2579" t="s">
        <v>43</v>
      </c>
      <c r="AF2579" t="s">
        <v>43</v>
      </c>
      <c r="AG2579" t="s">
        <v>43</v>
      </c>
      <c r="AH2579" t="s">
        <v>43</v>
      </c>
      <c r="AI2579" t="s">
        <v>43</v>
      </c>
      <c r="AJ2579">
        <v>1</v>
      </c>
      <c r="AK2579">
        <v>18</v>
      </c>
      <c r="AL2579">
        <v>51</v>
      </c>
      <c r="AM2579" t="s">
        <v>43</v>
      </c>
      <c r="AN2579" t="str">
        <f>HYPERLINK("https://www.google.com/maps?q=10.81511402,79.14868927","Open Location")</f>
        <v>Open Location</v>
      </c>
    </row>
    <row r="2580" spans="1:40" x14ac:dyDescent="0.3">
      <c r="A2580" s="1">
        <v>46210.701041666667</v>
      </c>
      <c r="B2580" t="s">
        <v>40</v>
      </c>
      <c r="C2580" t="s">
        <v>41</v>
      </c>
      <c r="D2580" s="1">
        <v>46210.703784722224</v>
      </c>
      <c r="E2580" t="s">
        <v>42</v>
      </c>
      <c r="F2580" t="s">
        <v>83</v>
      </c>
      <c r="G2580">
        <v>0</v>
      </c>
      <c r="H2580">
        <v>33174</v>
      </c>
      <c r="I2580" t="s">
        <v>1369</v>
      </c>
      <c r="J2580">
        <v>58</v>
      </c>
      <c r="K2580">
        <v>4</v>
      </c>
      <c r="L2580">
        <v>98</v>
      </c>
      <c r="M2580">
        <v>630.29998779000005</v>
      </c>
      <c r="N2580" t="s">
        <v>85</v>
      </c>
      <c r="O2580" t="s">
        <v>82</v>
      </c>
      <c r="P2580">
        <v>125</v>
      </c>
      <c r="Q2580" t="s">
        <v>82</v>
      </c>
      <c r="R2580">
        <v>0</v>
      </c>
      <c r="S2580">
        <v>0</v>
      </c>
      <c r="T2580">
        <v>-40</v>
      </c>
      <c r="U2580">
        <v>47</v>
      </c>
      <c r="V2580">
        <v>0</v>
      </c>
      <c r="W2580">
        <v>29</v>
      </c>
      <c r="X2580">
        <v>29</v>
      </c>
      <c r="Y2580">
        <v>1</v>
      </c>
      <c r="Z2580">
        <v>8</v>
      </c>
      <c r="AA2580">
        <v>25</v>
      </c>
      <c r="AB2580">
        <v>2</v>
      </c>
      <c r="AC2580">
        <v>3</v>
      </c>
      <c r="AD2580">
        <v>3.28900003</v>
      </c>
      <c r="AE2580">
        <v>1</v>
      </c>
      <c r="AF2580">
        <v>29</v>
      </c>
      <c r="AG2580">
        <v>3.28600001</v>
      </c>
      <c r="AH2580">
        <v>1</v>
      </c>
      <c r="AI2580">
        <v>30</v>
      </c>
      <c r="AJ2580">
        <v>1</v>
      </c>
      <c r="AK2580">
        <v>19</v>
      </c>
      <c r="AL2580">
        <v>51</v>
      </c>
      <c r="AM2580" t="s">
        <v>43</v>
      </c>
      <c r="AN2580" t="str">
        <f>HYPERLINK("https://www.google.com/maps?q=10.81511497,79.14868927","Open Location")</f>
        <v>Open Location</v>
      </c>
    </row>
    <row r="2581" spans="1:40" x14ac:dyDescent="0.3">
      <c r="A2581" s="1">
        <v>46210.700925925928</v>
      </c>
      <c r="B2581" t="s">
        <v>40</v>
      </c>
      <c r="C2581" t="s">
        <v>41</v>
      </c>
      <c r="D2581" s="1">
        <v>46210.703715277778</v>
      </c>
      <c r="E2581" t="s">
        <v>42</v>
      </c>
      <c r="F2581" t="s">
        <v>83</v>
      </c>
      <c r="G2581">
        <v>0</v>
      </c>
      <c r="H2581">
        <v>33174</v>
      </c>
      <c r="I2581" t="s">
        <v>1368</v>
      </c>
      <c r="J2581">
        <v>58</v>
      </c>
      <c r="K2581">
        <v>4</v>
      </c>
      <c r="L2581">
        <v>98</v>
      </c>
      <c r="M2581">
        <v>630.59997558999999</v>
      </c>
      <c r="N2581" t="s">
        <v>85</v>
      </c>
      <c r="O2581" t="s">
        <v>82</v>
      </c>
      <c r="P2581">
        <v>125</v>
      </c>
      <c r="Q2581" t="s">
        <v>82</v>
      </c>
      <c r="R2581">
        <v>0</v>
      </c>
      <c r="S2581">
        <v>0</v>
      </c>
      <c r="T2581">
        <v>-40</v>
      </c>
      <c r="U2581">
        <v>47</v>
      </c>
      <c r="V2581">
        <v>0</v>
      </c>
      <c r="W2581">
        <v>29</v>
      </c>
      <c r="X2581">
        <v>29</v>
      </c>
      <c r="Y2581">
        <v>1</v>
      </c>
      <c r="Z2581">
        <v>8</v>
      </c>
      <c r="AA2581">
        <v>25</v>
      </c>
      <c r="AB2581">
        <v>2</v>
      </c>
      <c r="AC2581">
        <v>3</v>
      </c>
      <c r="AD2581">
        <v>3.28800011</v>
      </c>
      <c r="AE2581">
        <v>1</v>
      </c>
      <c r="AF2581">
        <v>6</v>
      </c>
      <c r="AG2581">
        <v>3.28600001</v>
      </c>
      <c r="AH2581">
        <v>1</v>
      </c>
      <c r="AI2581">
        <v>4</v>
      </c>
      <c r="AJ2581">
        <v>1</v>
      </c>
      <c r="AK2581">
        <v>19</v>
      </c>
      <c r="AL2581">
        <v>51</v>
      </c>
      <c r="AM2581" t="s">
        <v>43</v>
      </c>
      <c r="AN2581" t="str">
        <f>HYPERLINK("https://www.google.com/maps?q=10.81511402,79.14868927","Open Location")</f>
        <v>Open Location</v>
      </c>
    </row>
    <row r="2582" spans="1:40" x14ac:dyDescent="0.3">
      <c r="A2582" s="1">
        <v>46210.700810185182</v>
      </c>
      <c r="B2582" t="s">
        <v>40</v>
      </c>
      <c r="C2582" t="s">
        <v>41</v>
      </c>
      <c r="D2582" s="1">
        <v>46210.703981481478</v>
      </c>
      <c r="E2582" t="s">
        <v>42</v>
      </c>
      <c r="F2582" t="s">
        <v>83</v>
      </c>
      <c r="G2582">
        <v>0</v>
      </c>
      <c r="H2582">
        <v>33174</v>
      </c>
      <c r="I2582" t="s">
        <v>43</v>
      </c>
      <c r="J2582">
        <v>58</v>
      </c>
      <c r="K2582">
        <v>4</v>
      </c>
      <c r="L2582">
        <v>98</v>
      </c>
      <c r="M2582">
        <v>630</v>
      </c>
      <c r="N2582" t="s">
        <v>85</v>
      </c>
      <c r="O2582" t="s">
        <v>82</v>
      </c>
      <c r="P2582">
        <v>125</v>
      </c>
      <c r="Q2582" t="s">
        <v>82</v>
      </c>
      <c r="R2582">
        <v>0</v>
      </c>
      <c r="S2582">
        <v>0</v>
      </c>
      <c r="T2582">
        <v>-40</v>
      </c>
      <c r="U2582">
        <v>47</v>
      </c>
      <c r="V2582">
        <v>0</v>
      </c>
      <c r="W2582">
        <v>29</v>
      </c>
      <c r="X2582">
        <v>29</v>
      </c>
      <c r="Y2582">
        <v>1</v>
      </c>
      <c r="Z2582">
        <v>8</v>
      </c>
      <c r="AA2582">
        <v>25</v>
      </c>
      <c r="AB2582">
        <v>2</v>
      </c>
      <c r="AC2582">
        <v>3</v>
      </c>
      <c r="AD2582">
        <v>3.28800011</v>
      </c>
      <c r="AE2582">
        <v>1</v>
      </c>
      <c r="AF2582">
        <v>23</v>
      </c>
      <c r="AG2582">
        <v>3.28600001</v>
      </c>
      <c r="AH2582">
        <v>1</v>
      </c>
      <c r="AI2582">
        <v>4</v>
      </c>
      <c r="AJ2582">
        <v>1</v>
      </c>
      <c r="AK2582">
        <v>19</v>
      </c>
      <c r="AL2582">
        <v>51</v>
      </c>
      <c r="AM2582" t="s">
        <v>43</v>
      </c>
      <c r="AN2582" t="s">
        <v>43</v>
      </c>
    </row>
    <row r="2583" spans="1:40" x14ac:dyDescent="0.3">
      <c r="A2583" s="1">
        <v>46210.700694444444</v>
      </c>
      <c r="B2583" t="s">
        <v>40</v>
      </c>
      <c r="C2583" t="s">
        <v>41</v>
      </c>
      <c r="D2583" s="1">
        <v>46210.703611111108</v>
      </c>
      <c r="E2583" t="s">
        <v>42</v>
      </c>
      <c r="F2583" t="s">
        <v>83</v>
      </c>
      <c r="G2583">
        <v>0</v>
      </c>
      <c r="H2583" t="s">
        <v>43</v>
      </c>
      <c r="I2583" t="s">
        <v>1370</v>
      </c>
      <c r="J2583">
        <v>58</v>
      </c>
      <c r="K2583">
        <v>7</v>
      </c>
      <c r="L2583">
        <v>98</v>
      </c>
      <c r="M2583">
        <v>629.90002441000001</v>
      </c>
      <c r="N2583" t="s">
        <v>85</v>
      </c>
      <c r="O2583" t="s">
        <v>82</v>
      </c>
      <c r="P2583">
        <v>125</v>
      </c>
      <c r="Q2583" t="s">
        <v>82</v>
      </c>
      <c r="R2583">
        <v>0</v>
      </c>
      <c r="S2583">
        <v>0</v>
      </c>
      <c r="T2583">
        <v>-40</v>
      </c>
      <c r="U2583">
        <v>47</v>
      </c>
      <c r="V2583">
        <v>0</v>
      </c>
      <c r="W2583" t="s">
        <v>43</v>
      </c>
      <c r="X2583" t="s">
        <v>43</v>
      </c>
      <c r="Y2583" t="s">
        <v>43</v>
      </c>
      <c r="Z2583" t="s">
        <v>43</v>
      </c>
      <c r="AA2583" t="s">
        <v>43</v>
      </c>
      <c r="AB2583" t="s">
        <v>43</v>
      </c>
      <c r="AC2583" t="s">
        <v>43</v>
      </c>
      <c r="AD2583" t="s">
        <v>43</v>
      </c>
      <c r="AE2583" t="s">
        <v>43</v>
      </c>
      <c r="AF2583" t="s">
        <v>43</v>
      </c>
      <c r="AG2583" t="s">
        <v>43</v>
      </c>
      <c r="AH2583" t="s">
        <v>43</v>
      </c>
      <c r="AI2583" t="s">
        <v>43</v>
      </c>
      <c r="AJ2583">
        <v>1</v>
      </c>
      <c r="AK2583">
        <v>19</v>
      </c>
      <c r="AL2583">
        <v>51</v>
      </c>
      <c r="AM2583" t="s">
        <v>43</v>
      </c>
      <c r="AN2583" t="str">
        <f>HYPERLINK("https://www.google.com/maps?q=10.81511307,79.14868927","Open Location")</f>
        <v>Open Location</v>
      </c>
    </row>
    <row r="2584" spans="1:40" x14ac:dyDescent="0.3">
      <c r="A2584" s="1">
        <v>46210.700578703705</v>
      </c>
      <c r="B2584" t="s">
        <v>40</v>
      </c>
      <c r="C2584" t="s">
        <v>41</v>
      </c>
      <c r="D2584" s="1">
        <v>46210.703611111108</v>
      </c>
      <c r="E2584" t="s">
        <v>42</v>
      </c>
      <c r="F2584" t="s">
        <v>83</v>
      </c>
      <c r="G2584">
        <v>0</v>
      </c>
      <c r="H2584">
        <v>33174</v>
      </c>
      <c r="I2584" t="s">
        <v>1371</v>
      </c>
      <c r="J2584">
        <v>58</v>
      </c>
      <c r="K2584">
        <v>11</v>
      </c>
      <c r="L2584">
        <v>98</v>
      </c>
      <c r="M2584">
        <v>630.40002441000001</v>
      </c>
      <c r="N2584" t="s">
        <v>85</v>
      </c>
      <c r="O2584" t="s">
        <v>82</v>
      </c>
      <c r="P2584">
        <v>125</v>
      </c>
      <c r="Q2584" t="s">
        <v>82</v>
      </c>
      <c r="R2584">
        <v>0</v>
      </c>
      <c r="S2584">
        <v>0</v>
      </c>
      <c r="T2584">
        <v>-40</v>
      </c>
      <c r="U2584">
        <v>47</v>
      </c>
      <c r="V2584">
        <v>0</v>
      </c>
      <c r="W2584">
        <v>29</v>
      </c>
      <c r="X2584">
        <v>29</v>
      </c>
      <c r="Y2584">
        <v>1</v>
      </c>
      <c r="Z2584">
        <v>8</v>
      </c>
      <c r="AA2584">
        <v>25</v>
      </c>
      <c r="AB2584">
        <v>2</v>
      </c>
      <c r="AC2584">
        <v>3</v>
      </c>
      <c r="AD2584">
        <v>3.2869999399999998</v>
      </c>
      <c r="AE2584">
        <v>1</v>
      </c>
      <c r="AF2584">
        <v>25</v>
      </c>
      <c r="AG2584">
        <v>3.2820000600000001</v>
      </c>
      <c r="AH2584">
        <v>4</v>
      </c>
      <c r="AI2584">
        <v>17</v>
      </c>
      <c r="AJ2584">
        <v>1</v>
      </c>
      <c r="AK2584">
        <v>19</v>
      </c>
      <c r="AL2584">
        <v>51</v>
      </c>
      <c r="AM2584" t="s">
        <v>43</v>
      </c>
      <c r="AN2584" t="str">
        <f>HYPERLINK("https://www.google.com/maps?q=10.81511784,79.14868927","Open Location")</f>
        <v>Open Location</v>
      </c>
    </row>
    <row r="2585" spans="1:40" x14ac:dyDescent="0.3">
      <c r="A2585" s="1">
        <v>46210.700462962966</v>
      </c>
      <c r="B2585" t="s">
        <v>40</v>
      </c>
      <c r="C2585" t="s">
        <v>41</v>
      </c>
      <c r="D2585" s="1">
        <v>46210.703518518516</v>
      </c>
      <c r="E2585" t="s">
        <v>42</v>
      </c>
      <c r="F2585" t="s">
        <v>83</v>
      </c>
      <c r="G2585">
        <v>0</v>
      </c>
      <c r="H2585" t="s">
        <v>43</v>
      </c>
      <c r="I2585" t="s">
        <v>1372</v>
      </c>
      <c r="J2585">
        <v>58</v>
      </c>
      <c r="K2585">
        <v>11</v>
      </c>
      <c r="L2585">
        <v>98</v>
      </c>
      <c r="M2585">
        <v>629.90002441000001</v>
      </c>
      <c r="N2585" t="s">
        <v>85</v>
      </c>
      <c r="O2585" t="s">
        <v>82</v>
      </c>
      <c r="P2585">
        <v>125</v>
      </c>
      <c r="Q2585" t="s">
        <v>82</v>
      </c>
      <c r="R2585">
        <v>0</v>
      </c>
      <c r="S2585">
        <v>0</v>
      </c>
      <c r="T2585">
        <v>-40</v>
      </c>
      <c r="U2585">
        <v>47</v>
      </c>
      <c r="V2585">
        <v>0</v>
      </c>
      <c r="W2585" t="s">
        <v>43</v>
      </c>
      <c r="X2585" t="s">
        <v>43</v>
      </c>
      <c r="Y2585" t="s">
        <v>43</v>
      </c>
      <c r="Z2585" t="s">
        <v>43</v>
      </c>
      <c r="AA2585" t="s">
        <v>43</v>
      </c>
      <c r="AB2585" t="s">
        <v>43</v>
      </c>
      <c r="AC2585" t="s">
        <v>43</v>
      </c>
      <c r="AD2585" t="s">
        <v>43</v>
      </c>
      <c r="AE2585" t="s">
        <v>43</v>
      </c>
      <c r="AF2585" t="s">
        <v>43</v>
      </c>
      <c r="AG2585" t="s">
        <v>43</v>
      </c>
      <c r="AH2585" t="s">
        <v>43</v>
      </c>
      <c r="AI2585" t="s">
        <v>43</v>
      </c>
      <c r="AJ2585">
        <v>1</v>
      </c>
      <c r="AK2585">
        <v>19</v>
      </c>
      <c r="AL2585">
        <v>51</v>
      </c>
      <c r="AM2585" t="s">
        <v>43</v>
      </c>
      <c r="AN2585" t="str">
        <f>HYPERLINK("https://www.google.com/maps?q=10.81511688,79.14868927","Open Location")</f>
        <v>Open Location</v>
      </c>
    </row>
    <row r="2586" spans="1:40" x14ac:dyDescent="0.3">
      <c r="A2586" s="1">
        <v>46210.70034722222</v>
      </c>
      <c r="B2586" t="s">
        <v>40</v>
      </c>
      <c r="C2586" t="s">
        <v>41</v>
      </c>
      <c r="D2586" s="1">
        <v>46210.703182870369</v>
      </c>
      <c r="E2586" t="s">
        <v>42</v>
      </c>
      <c r="F2586" t="s">
        <v>83</v>
      </c>
      <c r="G2586">
        <v>0</v>
      </c>
      <c r="H2586">
        <v>33174</v>
      </c>
      <c r="I2586" t="s">
        <v>1373</v>
      </c>
      <c r="J2586">
        <v>58</v>
      </c>
      <c r="K2586">
        <v>4</v>
      </c>
      <c r="L2586">
        <v>98</v>
      </c>
      <c r="M2586">
        <v>630.79998779000005</v>
      </c>
      <c r="N2586" t="s">
        <v>85</v>
      </c>
      <c r="O2586" t="s">
        <v>82</v>
      </c>
      <c r="P2586">
        <v>125</v>
      </c>
      <c r="Q2586" t="s">
        <v>82</v>
      </c>
      <c r="R2586">
        <v>0</v>
      </c>
      <c r="S2586">
        <v>0</v>
      </c>
      <c r="T2586">
        <v>-40</v>
      </c>
      <c r="U2586">
        <v>47</v>
      </c>
      <c r="V2586">
        <v>0</v>
      </c>
      <c r="W2586">
        <v>29</v>
      </c>
      <c r="X2586">
        <v>29</v>
      </c>
      <c r="Y2586">
        <v>1</v>
      </c>
      <c r="Z2586">
        <v>8</v>
      </c>
      <c r="AA2586">
        <v>25</v>
      </c>
      <c r="AB2586">
        <v>2</v>
      </c>
      <c r="AC2586">
        <v>3</v>
      </c>
      <c r="AD2586">
        <v>3.28800011</v>
      </c>
      <c r="AE2586">
        <v>1</v>
      </c>
      <c r="AF2586">
        <v>23</v>
      </c>
      <c r="AG2586">
        <v>3.28600001</v>
      </c>
      <c r="AH2586">
        <v>1</v>
      </c>
      <c r="AI2586">
        <v>4</v>
      </c>
      <c r="AJ2586">
        <v>1</v>
      </c>
      <c r="AK2586">
        <v>19</v>
      </c>
      <c r="AL2586">
        <v>51</v>
      </c>
      <c r="AM2586" t="s">
        <v>43</v>
      </c>
      <c r="AN2586" t="str">
        <f>HYPERLINK("https://www.google.com/maps?q=10.81511211,79.14868927","Open Location")</f>
        <v>Open Location</v>
      </c>
    </row>
    <row r="2587" spans="1:40" x14ac:dyDescent="0.3">
      <c r="A2587" s="1">
        <v>46210.700231481482</v>
      </c>
      <c r="B2587" t="s">
        <v>40</v>
      </c>
      <c r="C2587" t="s">
        <v>41</v>
      </c>
      <c r="D2587" s="1">
        <v>46210.702986111108</v>
      </c>
      <c r="E2587" t="s">
        <v>42</v>
      </c>
      <c r="F2587" t="s">
        <v>83</v>
      </c>
      <c r="G2587">
        <v>0</v>
      </c>
      <c r="H2587" t="s">
        <v>43</v>
      </c>
      <c r="I2587" t="s">
        <v>43</v>
      </c>
      <c r="J2587">
        <v>58</v>
      </c>
      <c r="K2587">
        <v>4</v>
      </c>
      <c r="L2587">
        <v>98</v>
      </c>
      <c r="M2587">
        <v>630.09997558999999</v>
      </c>
      <c r="N2587" t="s">
        <v>85</v>
      </c>
      <c r="O2587" t="s">
        <v>82</v>
      </c>
      <c r="P2587">
        <v>125</v>
      </c>
      <c r="Q2587" t="s">
        <v>82</v>
      </c>
      <c r="R2587">
        <v>0</v>
      </c>
      <c r="S2587">
        <v>0</v>
      </c>
      <c r="T2587">
        <v>-40</v>
      </c>
      <c r="U2587">
        <v>48</v>
      </c>
      <c r="V2587">
        <v>0</v>
      </c>
      <c r="W2587" t="s">
        <v>43</v>
      </c>
      <c r="X2587" t="s">
        <v>43</v>
      </c>
      <c r="Y2587" t="s">
        <v>43</v>
      </c>
      <c r="Z2587" t="s">
        <v>43</v>
      </c>
      <c r="AA2587" t="s">
        <v>43</v>
      </c>
      <c r="AB2587" t="s">
        <v>43</v>
      </c>
      <c r="AC2587" t="s">
        <v>43</v>
      </c>
      <c r="AD2587" t="s">
        <v>43</v>
      </c>
      <c r="AE2587" t="s">
        <v>43</v>
      </c>
      <c r="AF2587" t="s">
        <v>43</v>
      </c>
      <c r="AG2587" t="s">
        <v>43</v>
      </c>
      <c r="AH2587" t="s">
        <v>43</v>
      </c>
      <c r="AI2587" t="s">
        <v>43</v>
      </c>
      <c r="AJ2587">
        <v>1</v>
      </c>
      <c r="AK2587">
        <v>18</v>
      </c>
      <c r="AL2587">
        <v>51</v>
      </c>
      <c r="AM2587" t="s">
        <v>43</v>
      </c>
      <c r="AN2587" t="s">
        <v>43</v>
      </c>
    </row>
    <row r="2588" spans="1:40" x14ac:dyDescent="0.3">
      <c r="A2588" s="1">
        <v>46210.700115740743</v>
      </c>
      <c r="B2588" t="s">
        <v>40</v>
      </c>
      <c r="C2588" t="s">
        <v>41</v>
      </c>
      <c r="D2588" s="1">
        <v>46210.703229166669</v>
      </c>
      <c r="E2588" t="s">
        <v>42</v>
      </c>
      <c r="F2588" t="s">
        <v>83</v>
      </c>
      <c r="G2588">
        <v>0</v>
      </c>
      <c r="H2588">
        <v>33174</v>
      </c>
      <c r="I2588" t="s">
        <v>43</v>
      </c>
      <c r="J2588">
        <v>58</v>
      </c>
      <c r="K2588">
        <v>4</v>
      </c>
      <c r="L2588">
        <v>98</v>
      </c>
      <c r="M2588">
        <v>630</v>
      </c>
      <c r="N2588" t="s">
        <v>85</v>
      </c>
      <c r="O2588" t="s">
        <v>82</v>
      </c>
      <c r="P2588">
        <v>125</v>
      </c>
      <c r="Q2588" t="s">
        <v>82</v>
      </c>
      <c r="R2588">
        <v>0</v>
      </c>
      <c r="S2588">
        <v>0</v>
      </c>
      <c r="T2588">
        <v>-40</v>
      </c>
      <c r="U2588">
        <v>48</v>
      </c>
      <c r="V2588">
        <v>0</v>
      </c>
      <c r="W2588">
        <v>29</v>
      </c>
      <c r="X2588">
        <v>29</v>
      </c>
      <c r="Y2588">
        <v>1</v>
      </c>
      <c r="Z2588">
        <v>8</v>
      </c>
      <c r="AA2588">
        <v>25</v>
      </c>
      <c r="AB2588">
        <v>2</v>
      </c>
      <c r="AC2588">
        <v>3</v>
      </c>
      <c r="AD2588">
        <v>3.28800011</v>
      </c>
      <c r="AE2588">
        <v>1</v>
      </c>
      <c r="AF2588">
        <v>29</v>
      </c>
      <c r="AG2588">
        <v>3.28500009</v>
      </c>
      <c r="AH2588">
        <v>1</v>
      </c>
      <c r="AI2588">
        <v>30</v>
      </c>
      <c r="AJ2588">
        <v>1</v>
      </c>
      <c r="AK2588">
        <v>19</v>
      </c>
      <c r="AL2588">
        <v>51</v>
      </c>
      <c r="AM2588" t="s">
        <v>43</v>
      </c>
      <c r="AN2588" t="s">
        <v>43</v>
      </c>
    </row>
    <row r="2589" spans="1:40" x14ac:dyDescent="0.3">
      <c r="A2589" s="1">
        <v>46210.7</v>
      </c>
      <c r="B2589" t="s">
        <v>40</v>
      </c>
      <c r="C2589" t="s">
        <v>41</v>
      </c>
      <c r="D2589" s="1">
        <v>46210.702719907407</v>
      </c>
      <c r="E2589" t="s">
        <v>42</v>
      </c>
      <c r="F2589" t="s">
        <v>43</v>
      </c>
      <c r="G2589">
        <v>0</v>
      </c>
      <c r="H2589">
        <v>33174</v>
      </c>
      <c r="I2589" t="s">
        <v>1374</v>
      </c>
      <c r="J2589" t="s">
        <v>43</v>
      </c>
      <c r="K2589" t="s">
        <v>43</v>
      </c>
      <c r="L2589" t="s">
        <v>43</v>
      </c>
      <c r="M2589" t="s">
        <v>43</v>
      </c>
      <c r="N2589" t="s">
        <v>85</v>
      </c>
      <c r="O2589" t="s">
        <v>86</v>
      </c>
      <c r="P2589">
        <v>127</v>
      </c>
      <c r="Q2589">
        <v>2</v>
      </c>
      <c r="R2589">
        <v>9</v>
      </c>
      <c r="S2589">
        <v>301</v>
      </c>
      <c r="T2589">
        <v>-40</v>
      </c>
      <c r="U2589">
        <v>49</v>
      </c>
      <c r="V2589">
        <v>360</v>
      </c>
      <c r="W2589" t="s">
        <v>43</v>
      </c>
      <c r="X2589" t="s">
        <v>43</v>
      </c>
      <c r="Y2589" t="s">
        <v>43</v>
      </c>
      <c r="Z2589" t="s">
        <v>43</v>
      </c>
      <c r="AA2589" t="s">
        <v>43</v>
      </c>
      <c r="AB2589" t="s">
        <v>43</v>
      </c>
      <c r="AC2589" t="s">
        <v>43</v>
      </c>
      <c r="AD2589" t="s">
        <v>43</v>
      </c>
      <c r="AE2589" t="s">
        <v>43</v>
      </c>
      <c r="AF2589" t="s">
        <v>43</v>
      </c>
      <c r="AG2589" t="s">
        <v>43</v>
      </c>
      <c r="AH2589" t="s">
        <v>43</v>
      </c>
      <c r="AI2589" t="s">
        <v>43</v>
      </c>
      <c r="AJ2589">
        <v>1</v>
      </c>
      <c r="AK2589">
        <v>19</v>
      </c>
      <c r="AL2589">
        <v>51</v>
      </c>
      <c r="AM2589" t="s">
        <v>43</v>
      </c>
      <c r="AN2589" t="str">
        <f>HYPERLINK("https://www.google.com/maps?q=10.81510162,79.14868164","Open Location")</f>
        <v>Open Location</v>
      </c>
    </row>
    <row r="2590" spans="1:40" x14ac:dyDescent="0.3">
      <c r="A2590" s="1">
        <v>46210.699884259258</v>
      </c>
      <c r="B2590" t="s">
        <v>40</v>
      </c>
      <c r="C2590" t="s">
        <v>41</v>
      </c>
      <c r="D2590" s="1">
        <v>46210.702638888892</v>
      </c>
      <c r="E2590" t="s">
        <v>42</v>
      </c>
      <c r="F2590" t="s">
        <v>83</v>
      </c>
      <c r="G2590">
        <v>0</v>
      </c>
      <c r="H2590">
        <v>33174</v>
      </c>
      <c r="I2590" t="s">
        <v>1375</v>
      </c>
      <c r="J2590">
        <v>58</v>
      </c>
      <c r="K2590">
        <v>11</v>
      </c>
      <c r="L2590">
        <v>98</v>
      </c>
      <c r="M2590">
        <v>630.40002441000001</v>
      </c>
      <c r="N2590" t="s">
        <v>85</v>
      </c>
      <c r="O2590" t="s">
        <v>86</v>
      </c>
      <c r="P2590">
        <v>127</v>
      </c>
      <c r="Q2590">
        <v>2</v>
      </c>
      <c r="R2590">
        <v>0</v>
      </c>
      <c r="S2590">
        <v>0</v>
      </c>
      <c r="T2590">
        <v>-40</v>
      </c>
      <c r="U2590">
        <v>47</v>
      </c>
      <c r="V2590">
        <v>5</v>
      </c>
      <c r="W2590" t="s">
        <v>43</v>
      </c>
      <c r="X2590" t="s">
        <v>43</v>
      </c>
      <c r="Y2590" t="s">
        <v>43</v>
      </c>
      <c r="Z2590" t="s">
        <v>43</v>
      </c>
      <c r="AA2590" t="s">
        <v>43</v>
      </c>
      <c r="AB2590" t="s">
        <v>43</v>
      </c>
      <c r="AC2590" t="s">
        <v>43</v>
      </c>
      <c r="AD2590" t="s">
        <v>43</v>
      </c>
      <c r="AE2590" t="s">
        <v>43</v>
      </c>
      <c r="AF2590" t="s">
        <v>43</v>
      </c>
      <c r="AG2590" t="s">
        <v>43</v>
      </c>
      <c r="AH2590" t="s">
        <v>43</v>
      </c>
      <c r="AI2590" t="s">
        <v>43</v>
      </c>
      <c r="AJ2590">
        <v>1</v>
      </c>
      <c r="AK2590">
        <v>19</v>
      </c>
      <c r="AL2590">
        <v>51</v>
      </c>
      <c r="AM2590" t="s">
        <v>43</v>
      </c>
      <c r="AN2590" t="str">
        <f>HYPERLINK("https://www.google.com/maps?q=10.81509781,79.14865875","Open Location")</f>
        <v>Open Location</v>
      </c>
    </row>
    <row r="2591" spans="1:40" x14ac:dyDescent="0.3">
      <c r="A2591" s="1">
        <v>46210.69976851852</v>
      </c>
      <c r="B2591" t="s">
        <v>40</v>
      </c>
      <c r="C2591" t="s">
        <v>41</v>
      </c>
      <c r="D2591" s="1">
        <v>46210.702650462961</v>
      </c>
      <c r="E2591" t="s">
        <v>42</v>
      </c>
      <c r="F2591" t="s">
        <v>83</v>
      </c>
      <c r="G2591">
        <v>0</v>
      </c>
      <c r="H2591">
        <v>33174</v>
      </c>
      <c r="I2591" t="s">
        <v>1375</v>
      </c>
      <c r="J2591">
        <v>58</v>
      </c>
      <c r="K2591">
        <v>10</v>
      </c>
      <c r="L2591">
        <v>98</v>
      </c>
      <c r="M2591">
        <v>629.70001220999995</v>
      </c>
      <c r="N2591" t="s">
        <v>85</v>
      </c>
      <c r="O2591" t="s">
        <v>86</v>
      </c>
      <c r="P2591">
        <v>127</v>
      </c>
      <c r="Q2591">
        <v>2</v>
      </c>
      <c r="R2591">
        <v>0</v>
      </c>
      <c r="S2591">
        <v>0</v>
      </c>
      <c r="T2591">
        <v>-40</v>
      </c>
      <c r="U2591">
        <v>48</v>
      </c>
      <c r="V2591">
        <v>5</v>
      </c>
      <c r="W2591">
        <v>29</v>
      </c>
      <c r="X2591">
        <v>29</v>
      </c>
      <c r="Y2591">
        <v>1</v>
      </c>
      <c r="Z2591">
        <v>8</v>
      </c>
      <c r="AA2591">
        <v>25</v>
      </c>
      <c r="AB2591">
        <v>2</v>
      </c>
      <c r="AC2591">
        <v>3</v>
      </c>
      <c r="AD2591">
        <v>3.2869999399999998</v>
      </c>
      <c r="AE2591">
        <v>1</v>
      </c>
      <c r="AF2591">
        <v>25</v>
      </c>
      <c r="AG2591">
        <v>3.2820000600000001</v>
      </c>
      <c r="AH2591">
        <v>4</v>
      </c>
      <c r="AI2591">
        <v>17</v>
      </c>
      <c r="AJ2591">
        <v>1</v>
      </c>
      <c r="AK2591">
        <v>19</v>
      </c>
      <c r="AL2591">
        <v>51</v>
      </c>
      <c r="AM2591" t="s">
        <v>43</v>
      </c>
      <c r="AN2591" t="str">
        <f>HYPERLINK("https://www.google.com/maps?q=10.81509781,79.14865875","Open Location")</f>
        <v>Open Location</v>
      </c>
    </row>
    <row r="2592" spans="1:40" x14ac:dyDescent="0.3">
      <c r="A2592" s="1">
        <v>46210.699652777781</v>
      </c>
      <c r="B2592" t="s">
        <v>40</v>
      </c>
      <c r="C2592" t="s">
        <v>41</v>
      </c>
      <c r="D2592" s="1">
        <v>46210.702650462961</v>
      </c>
      <c r="E2592" t="s">
        <v>42</v>
      </c>
      <c r="F2592" t="s">
        <v>83</v>
      </c>
      <c r="G2592">
        <v>0</v>
      </c>
      <c r="H2592">
        <v>33174</v>
      </c>
      <c r="I2592" t="s">
        <v>1376</v>
      </c>
      <c r="J2592">
        <v>58</v>
      </c>
      <c r="K2592">
        <v>4</v>
      </c>
      <c r="L2592">
        <v>98</v>
      </c>
      <c r="M2592">
        <v>630.09997558999999</v>
      </c>
      <c r="N2592" t="s">
        <v>85</v>
      </c>
      <c r="O2592" t="s">
        <v>86</v>
      </c>
      <c r="P2592">
        <v>127</v>
      </c>
      <c r="Q2592">
        <v>2</v>
      </c>
      <c r="R2592">
        <v>0</v>
      </c>
      <c r="S2592">
        <v>0</v>
      </c>
      <c r="T2592">
        <v>-40</v>
      </c>
      <c r="U2592">
        <v>48</v>
      </c>
      <c r="V2592">
        <v>5</v>
      </c>
      <c r="W2592" t="s">
        <v>43</v>
      </c>
      <c r="X2592" t="s">
        <v>43</v>
      </c>
      <c r="Y2592" t="s">
        <v>43</v>
      </c>
      <c r="Z2592" t="s">
        <v>43</v>
      </c>
      <c r="AA2592" t="s">
        <v>43</v>
      </c>
      <c r="AB2592" t="s">
        <v>43</v>
      </c>
      <c r="AC2592" t="s">
        <v>43</v>
      </c>
      <c r="AD2592" t="s">
        <v>43</v>
      </c>
      <c r="AE2592" t="s">
        <v>43</v>
      </c>
      <c r="AF2592" t="s">
        <v>43</v>
      </c>
      <c r="AG2592" t="s">
        <v>43</v>
      </c>
      <c r="AH2592" t="s">
        <v>43</v>
      </c>
      <c r="AI2592" t="s">
        <v>43</v>
      </c>
      <c r="AJ2592">
        <v>1</v>
      </c>
      <c r="AK2592">
        <v>19</v>
      </c>
      <c r="AL2592">
        <v>51</v>
      </c>
      <c r="AM2592" t="s">
        <v>43</v>
      </c>
      <c r="AN2592" t="str">
        <f>HYPERLINK("https://www.google.com/maps?q=10.8150959,79.14866638","Open Location")</f>
        <v>Open Location</v>
      </c>
    </row>
    <row r="2593" spans="1:40" x14ac:dyDescent="0.3">
      <c r="A2593" s="1">
        <v>46210.699537037035</v>
      </c>
      <c r="B2593" t="s">
        <v>40</v>
      </c>
      <c r="C2593" t="s">
        <v>41</v>
      </c>
      <c r="D2593" s="1">
        <v>46210.702453703707</v>
      </c>
      <c r="E2593" t="s">
        <v>42</v>
      </c>
      <c r="F2593" t="s">
        <v>83</v>
      </c>
      <c r="G2593">
        <v>0</v>
      </c>
      <c r="H2593" t="s">
        <v>43</v>
      </c>
      <c r="I2593" t="s">
        <v>43</v>
      </c>
      <c r="J2593">
        <v>58</v>
      </c>
      <c r="K2593">
        <v>4</v>
      </c>
      <c r="L2593">
        <v>98</v>
      </c>
      <c r="M2593">
        <v>630.79998779000005</v>
      </c>
      <c r="N2593" t="s">
        <v>85</v>
      </c>
      <c r="O2593" t="s">
        <v>86</v>
      </c>
      <c r="P2593">
        <v>127</v>
      </c>
      <c r="Q2593">
        <v>2</v>
      </c>
      <c r="R2593">
        <v>0</v>
      </c>
      <c r="S2593">
        <v>0</v>
      </c>
      <c r="T2593">
        <v>-40</v>
      </c>
      <c r="U2593">
        <v>48</v>
      </c>
      <c r="V2593">
        <v>5</v>
      </c>
      <c r="W2593">
        <v>29</v>
      </c>
      <c r="X2593">
        <v>29</v>
      </c>
      <c r="Y2593">
        <v>1</v>
      </c>
      <c r="Z2593">
        <v>8</v>
      </c>
      <c r="AA2593">
        <v>25</v>
      </c>
      <c r="AB2593">
        <v>2</v>
      </c>
      <c r="AC2593">
        <v>4</v>
      </c>
      <c r="AD2593">
        <v>3.28900003</v>
      </c>
      <c r="AE2593">
        <v>1</v>
      </c>
      <c r="AF2593">
        <v>29</v>
      </c>
      <c r="AG2593">
        <v>3.28600001</v>
      </c>
      <c r="AH2593">
        <v>1</v>
      </c>
      <c r="AI2593">
        <v>15</v>
      </c>
      <c r="AJ2593">
        <v>1</v>
      </c>
      <c r="AK2593">
        <v>19</v>
      </c>
      <c r="AL2593">
        <v>51</v>
      </c>
      <c r="AM2593" t="s">
        <v>43</v>
      </c>
      <c r="AN2593" t="s">
        <v>43</v>
      </c>
    </row>
    <row r="2594" spans="1:40" x14ac:dyDescent="0.3">
      <c r="A2594" s="1">
        <v>46210.699421296296</v>
      </c>
      <c r="B2594" t="s">
        <v>40</v>
      </c>
      <c r="C2594" t="s">
        <v>41</v>
      </c>
      <c r="D2594" s="1">
        <v>46210.702453703707</v>
      </c>
      <c r="E2594" t="s">
        <v>42</v>
      </c>
      <c r="F2594" t="s">
        <v>83</v>
      </c>
      <c r="G2594">
        <v>0</v>
      </c>
      <c r="H2594">
        <v>33174</v>
      </c>
      <c r="I2594" t="s">
        <v>43</v>
      </c>
      <c r="J2594">
        <v>58</v>
      </c>
      <c r="K2594">
        <v>4</v>
      </c>
      <c r="L2594">
        <v>98</v>
      </c>
      <c r="M2594">
        <v>630.59997558999999</v>
      </c>
      <c r="N2594" t="s">
        <v>85</v>
      </c>
      <c r="O2594" t="s">
        <v>86</v>
      </c>
      <c r="P2594">
        <v>127</v>
      </c>
      <c r="Q2594">
        <v>2</v>
      </c>
      <c r="R2594">
        <v>0</v>
      </c>
      <c r="S2594">
        <v>0</v>
      </c>
      <c r="T2594">
        <v>-40</v>
      </c>
      <c r="U2594">
        <v>48</v>
      </c>
      <c r="V2594">
        <v>5</v>
      </c>
      <c r="W2594" t="s">
        <v>43</v>
      </c>
      <c r="X2594" t="s">
        <v>43</v>
      </c>
      <c r="Y2594" t="s">
        <v>43</v>
      </c>
      <c r="Z2594" t="s">
        <v>43</v>
      </c>
      <c r="AA2594" t="s">
        <v>43</v>
      </c>
      <c r="AB2594" t="s">
        <v>43</v>
      </c>
      <c r="AC2594" t="s">
        <v>43</v>
      </c>
      <c r="AD2594" t="s">
        <v>43</v>
      </c>
      <c r="AE2594" t="s">
        <v>43</v>
      </c>
      <c r="AF2594" t="s">
        <v>43</v>
      </c>
      <c r="AG2594" t="s">
        <v>43</v>
      </c>
      <c r="AH2594" t="s">
        <v>43</v>
      </c>
      <c r="AI2594" t="s">
        <v>43</v>
      </c>
      <c r="AJ2594">
        <v>1</v>
      </c>
      <c r="AK2594">
        <v>19</v>
      </c>
      <c r="AL2594">
        <v>50</v>
      </c>
      <c r="AM2594" t="s">
        <v>43</v>
      </c>
      <c r="AN2594" t="s">
        <v>43</v>
      </c>
    </row>
    <row r="2595" spans="1:40" x14ac:dyDescent="0.3">
      <c r="A2595" s="1">
        <v>46210.699305555558</v>
      </c>
      <c r="B2595" t="s">
        <v>40</v>
      </c>
      <c r="C2595" t="s">
        <v>41</v>
      </c>
      <c r="D2595" s="1">
        <v>46210.701990740738</v>
      </c>
      <c r="E2595" t="s">
        <v>42</v>
      </c>
      <c r="F2595" t="s">
        <v>83</v>
      </c>
      <c r="G2595">
        <v>0</v>
      </c>
      <c r="H2595">
        <v>33174</v>
      </c>
      <c r="I2595" t="s">
        <v>1377</v>
      </c>
      <c r="J2595" t="s">
        <v>43</v>
      </c>
      <c r="K2595" t="s">
        <v>43</v>
      </c>
      <c r="L2595" t="s">
        <v>43</v>
      </c>
      <c r="M2595" t="s">
        <v>43</v>
      </c>
      <c r="N2595" t="s">
        <v>85</v>
      </c>
      <c r="O2595" t="s">
        <v>86</v>
      </c>
      <c r="P2595">
        <v>127</v>
      </c>
      <c r="Q2595">
        <v>2</v>
      </c>
      <c r="R2595">
        <v>0</v>
      </c>
      <c r="S2595">
        <v>0</v>
      </c>
      <c r="T2595">
        <v>-40</v>
      </c>
      <c r="U2595">
        <v>48</v>
      </c>
      <c r="V2595">
        <v>5</v>
      </c>
      <c r="W2595">
        <v>29</v>
      </c>
      <c r="X2595">
        <v>29</v>
      </c>
      <c r="Y2595">
        <v>1</v>
      </c>
      <c r="Z2595">
        <v>8</v>
      </c>
      <c r="AA2595">
        <v>25</v>
      </c>
      <c r="AB2595">
        <v>2</v>
      </c>
      <c r="AC2595">
        <v>4</v>
      </c>
      <c r="AD2595">
        <v>3.28800011</v>
      </c>
      <c r="AE2595">
        <v>1</v>
      </c>
      <c r="AF2595">
        <v>23</v>
      </c>
      <c r="AG2595">
        <v>3.28600001</v>
      </c>
      <c r="AH2595">
        <v>1</v>
      </c>
      <c r="AI2595">
        <v>4</v>
      </c>
      <c r="AJ2595">
        <v>1</v>
      </c>
      <c r="AK2595">
        <v>19</v>
      </c>
      <c r="AL2595">
        <v>50</v>
      </c>
      <c r="AM2595" t="s">
        <v>43</v>
      </c>
      <c r="AN2595" t="str">
        <f>HYPERLINK("https://www.google.com/maps?q=10.81509018,79.14866638","Open Location")</f>
        <v>Open Location</v>
      </c>
    </row>
    <row r="2596" spans="1:40" x14ac:dyDescent="0.3">
      <c r="A2596" s="1">
        <v>46210.699189814812</v>
      </c>
      <c r="B2596" t="s">
        <v>40</v>
      </c>
      <c r="C2596" t="s">
        <v>41</v>
      </c>
      <c r="D2596" s="1">
        <v>46210.702037037037</v>
      </c>
      <c r="E2596" t="s">
        <v>42</v>
      </c>
      <c r="F2596" t="s">
        <v>83</v>
      </c>
      <c r="G2596">
        <v>0</v>
      </c>
      <c r="H2596">
        <v>33174</v>
      </c>
      <c r="I2596" t="s">
        <v>1378</v>
      </c>
      <c r="J2596">
        <v>58</v>
      </c>
      <c r="K2596">
        <v>4</v>
      </c>
      <c r="L2596">
        <v>98</v>
      </c>
      <c r="M2596">
        <v>630.40002441000001</v>
      </c>
      <c r="N2596" t="s">
        <v>85</v>
      </c>
      <c r="O2596" t="s">
        <v>86</v>
      </c>
      <c r="P2596">
        <v>127</v>
      </c>
      <c r="Q2596">
        <v>2</v>
      </c>
      <c r="R2596">
        <v>0</v>
      </c>
      <c r="S2596">
        <v>0</v>
      </c>
      <c r="T2596">
        <v>-40</v>
      </c>
      <c r="U2596">
        <v>48</v>
      </c>
      <c r="V2596">
        <v>5</v>
      </c>
      <c r="W2596" t="s">
        <v>43</v>
      </c>
      <c r="X2596" t="s">
        <v>43</v>
      </c>
      <c r="Y2596" t="s">
        <v>43</v>
      </c>
      <c r="Z2596" t="s">
        <v>43</v>
      </c>
      <c r="AA2596" t="s">
        <v>43</v>
      </c>
      <c r="AB2596" t="s">
        <v>43</v>
      </c>
      <c r="AC2596" t="s">
        <v>43</v>
      </c>
      <c r="AD2596" t="s">
        <v>43</v>
      </c>
      <c r="AE2596" t="s">
        <v>43</v>
      </c>
      <c r="AF2596" t="s">
        <v>43</v>
      </c>
      <c r="AG2596" t="s">
        <v>43</v>
      </c>
      <c r="AH2596" t="s">
        <v>43</v>
      </c>
      <c r="AI2596" t="s">
        <v>43</v>
      </c>
      <c r="AJ2596">
        <v>1</v>
      </c>
      <c r="AK2596">
        <v>19</v>
      </c>
      <c r="AL2596">
        <v>50</v>
      </c>
      <c r="AM2596" t="s">
        <v>43</v>
      </c>
      <c r="AN2596" t="str">
        <f>HYPERLINK("https://www.google.com/maps?q=10.81508732,79.14866638","Open Location")</f>
        <v>Open Location</v>
      </c>
    </row>
    <row r="2597" spans="1:40" x14ac:dyDescent="0.3">
      <c r="A2597" s="1">
        <v>46210.699074074073</v>
      </c>
      <c r="B2597" t="s">
        <v>40</v>
      </c>
      <c r="C2597" t="s">
        <v>41</v>
      </c>
      <c r="D2597" s="1">
        <v>46210.702060185184</v>
      </c>
      <c r="E2597" t="s">
        <v>42</v>
      </c>
      <c r="F2597" t="s">
        <v>83</v>
      </c>
      <c r="G2597">
        <v>0</v>
      </c>
      <c r="H2597">
        <v>33174</v>
      </c>
      <c r="I2597" t="s">
        <v>1379</v>
      </c>
      <c r="J2597">
        <v>58</v>
      </c>
      <c r="K2597">
        <v>4</v>
      </c>
      <c r="L2597">
        <v>98</v>
      </c>
      <c r="M2597">
        <v>630.20001220999995</v>
      </c>
      <c r="N2597" t="s">
        <v>85</v>
      </c>
      <c r="O2597" t="s">
        <v>86</v>
      </c>
      <c r="P2597">
        <v>127</v>
      </c>
      <c r="Q2597">
        <v>2</v>
      </c>
      <c r="R2597">
        <v>0</v>
      </c>
      <c r="S2597">
        <v>0</v>
      </c>
      <c r="T2597">
        <v>-40</v>
      </c>
      <c r="U2597">
        <v>48</v>
      </c>
      <c r="V2597">
        <v>5</v>
      </c>
      <c r="W2597">
        <v>29</v>
      </c>
      <c r="X2597">
        <v>29</v>
      </c>
      <c r="Y2597">
        <v>1</v>
      </c>
      <c r="Z2597">
        <v>8</v>
      </c>
      <c r="AA2597">
        <v>25</v>
      </c>
      <c r="AB2597">
        <v>2</v>
      </c>
      <c r="AC2597">
        <v>4</v>
      </c>
      <c r="AD2597">
        <v>3.28800011</v>
      </c>
      <c r="AE2597">
        <v>1</v>
      </c>
      <c r="AF2597">
        <v>25</v>
      </c>
      <c r="AG2597">
        <v>3.28500009</v>
      </c>
      <c r="AH2597">
        <v>4</v>
      </c>
      <c r="AI2597">
        <v>17</v>
      </c>
      <c r="AJ2597">
        <v>1</v>
      </c>
      <c r="AK2597">
        <v>19</v>
      </c>
      <c r="AL2597">
        <v>50</v>
      </c>
      <c r="AM2597" t="s">
        <v>43</v>
      </c>
      <c r="AN2597" t="str">
        <f>HYPERLINK("https://www.google.com/maps?q=10.81508446,79.14866638","Open Location")</f>
        <v>Open Location</v>
      </c>
    </row>
    <row r="2598" spans="1:40" x14ac:dyDescent="0.3">
      <c r="A2598" s="1">
        <v>46210.698958333334</v>
      </c>
      <c r="B2598" t="s">
        <v>40</v>
      </c>
      <c r="C2598" t="s">
        <v>41</v>
      </c>
      <c r="D2598" s="1">
        <v>46210.701550925929</v>
      </c>
      <c r="E2598" t="s">
        <v>42</v>
      </c>
      <c r="F2598" t="s">
        <v>83</v>
      </c>
      <c r="G2598">
        <v>0</v>
      </c>
      <c r="H2598">
        <v>33174</v>
      </c>
      <c r="I2598" t="s">
        <v>1380</v>
      </c>
      <c r="J2598">
        <v>58</v>
      </c>
      <c r="K2598">
        <v>11</v>
      </c>
      <c r="L2598">
        <v>98</v>
      </c>
      <c r="M2598">
        <v>630.20001220999995</v>
      </c>
      <c r="N2598" t="s">
        <v>85</v>
      </c>
      <c r="O2598" t="s">
        <v>86</v>
      </c>
      <c r="P2598">
        <v>127</v>
      </c>
      <c r="Q2598">
        <v>2</v>
      </c>
      <c r="R2598">
        <v>0</v>
      </c>
      <c r="S2598">
        <v>0</v>
      </c>
      <c r="T2598">
        <v>-40</v>
      </c>
      <c r="U2598">
        <v>48</v>
      </c>
      <c r="V2598">
        <v>5</v>
      </c>
      <c r="W2598" t="s">
        <v>43</v>
      </c>
      <c r="X2598" t="s">
        <v>43</v>
      </c>
      <c r="Y2598" t="s">
        <v>43</v>
      </c>
      <c r="Z2598" t="s">
        <v>43</v>
      </c>
      <c r="AA2598" t="s">
        <v>43</v>
      </c>
      <c r="AB2598" t="s">
        <v>43</v>
      </c>
      <c r="AC2598" t="s">
        <v>43</v>
      </c>
      <c r="AD2598" t="s">
        <v>43</v>
      </c>
      <c r="AE2598" t="s">
        <v>43</v>
      </c>
      <c r="AF2598" t="s">
        <v>43</v>
      </c>
      <c r="AG2598" t="s">
        <v>43</v>
      </c>
      <c r="AH2598" t="s">
        <v>43</v>
      </c>
      <c r="AI2598" t="s">
        <v>43</v>
      </c>
      <c r="AJ2598">
        <v>1</v>
      </c>
      <c r="AK2598">
        <v>19</v>
      </c>
      <c r="AL2598">
        <v>50</v>
      </c>
      <c r="AM2598" t="s">
        <v>43</v>
      </c>
      <c r="AN2598" t="str">
        <f>HYPERLINK("https://www.google.com/maps?q=10.8150816,79.14866638","Open Location")</f>
        <v>Open Location</v>
      </c>
    </row>
    <row r="2599" spans="1:40" x14ac:dyDescent="0.3">
      <c r="A2599" s="1">
        <v>46210.698842592596</v>
      </c>
      <c r="B2599" t="s">
        <v>40</v>
      </c>
      <c r="C2599" t="s">
        <v>41</v>
      </c>
      <c r="D2599" s="1">
        <v>46210.701736111114</v>
      </c>
      <c r="E2599" t="s">
        <v>42</v>
      </c>
      <c r="F2599" t="s">
        <v>83</v>
      </c>
      <c r="G2599">
        <v>0</v>
      </c>
      <c r="H2599">
        <v>33174</v>
      </c>
      <c r="I2599" t="s">
        <v>43</v>
      </c>
      <c r="J2599">
        <v>58</v>
      </c>
      <c r="K2599">
        <v>11</v>
      </c>
      <c r="L2599">
        <v>98</v>
      </c>
      <c r="M2599">
        <v>630.20001220999995</v>
      </c>
      <c r="N2599" t="s">
        <v>85</v>
      </c>
      <c r="O2599" t="s">
        <v>86</v>
      </c>
      <c r="P2599">
        <v>127</v>
      </c>
      <c r="Q2599">
        <v>2</v>
      </c>
      <c r="R2599">
        <v>0</v>
      </c>
      <c r="S2599">
        <v>0</v>
      </c>
      <c r="T2599">
        <v>-40</v>
      </c>
      <c r="U2599">
        <v>48</v>
      </c>
      <c r="V2599">
        <v>5</v>
      </c>
      <c r="W2599">
        <v>29</v>
      </c>
      <c r="X2599">
        <v>29</v>
      </c>
      <c r="Y2599">
        <v>1</v>
      </c>
      <c r="Z2599">
        <v>8</v>
      </c>
      <c r="AA2599">
        <v>25</v>
      </c>
      <c r="AB2599">
        <v>2</v>
      </c>
      <c r="AC2599">
        <v>4</v>
      </c>
      <c r="AD2599">
        <v>3.28600001</v>
      </c>
      <c r="AE2599">
        <v>1</v>
      </c>
      <c r="AF2599">
        <v>25</v>
      </c>
      <c r="AG2599">
        <v>3.2809998999999999</v>
      </c>
      <c r="AH2599">
        <v>4</v>
      </c>
      <c r="AI2599">
        <v>17</v>
      </c>
      <c r="AJ2599">
        <v>1</v>
      </c>
      <c r="AK2599">
        <v>19</v>
      </c>
      <c r="AL2599">
        <v>50</v>
      </c>
      <c r="AM2599" t="s">
        <v>43</v>
      </c>
      <c r="AN2599" t="s">
        <v>43</v>
      </c>
    </row>
    <row r="2600" spans="1:40" x14ac:dyDescent="0.3">
      <c r="A2600" s="1">
        <v>46210.69872685185</v>
      </c>
      <c r="B2600" t="s">
        <v>40</v>
      </c>
      <c r="C2600" t="s">
        <v>41</v>
      </c>
      <c r="D2600" s="1">
        <v>46210.701550925929</v>
      </c>
      <c r="E2600" t="s">
        <v>42</v>
      </c>
      <c r="F2600" t="s">
        <v>83</v>
      </c>
      <c r="G2600">
        <v>0</v>
      </c>
      <c r="H2600">
        <v>33174</v>
      </c>
      <c r="I2600" t="s">
        <v>1381</v>
      </c>
      <c r="J2600">
        <v>58</v>
      </c>
      <c r="K2600">
        <v>11</v>
      </c>
      <c r="L2600">
        <v>98</v>
      </c>
      <c r="M2600">
        <v>629.59997558999999</v>
      </c>
      <c r="N2600" t="s">
        <v>85</v>
      </c>
      <c r="O2600" t="s">
        <v>86</v>
      </c>
      <c r="P2600">
        <v>127</v>
      </c>
      <c r="Q2600">
        <v>2</v>
      </c>
      <c r="R2600">
        <v>0</v>
      </c>
      <c r="S2600">
        <v>0</v>
      </c>
      <c r="T2600">
        <v>-40</v>
      </c>
      <c r="U2600">
        <v>49</v>
      </c>
      <c r="V2600">
        <v>5</v>
      </c>
      <c r="W2600">
        <v>29</v>
      </c>
      <c r="X2600">
        <v>29</v>
      </c>
      <c r="Y2600">
        <v>1</v>
      </c>
      <c r="Z2600">
        <v>8</v>
      </c>
      <c r="AA2600">
        <v>25</v>
      </c>
      <c r="AB2600">
        <v>2</v>
      </c>
      <c r="AC2600">
        <v>4</v>
      </c>
      <c r="AD2600">
        <v>3.28600001</v>
      </c>
      <c r="AE2600">
        <v>1</v>
      </c>
      <c r="AF2600">
        <v>23</v>
      </c>
      <c r="AG2600">
        <v>3.2809998999999999</v>
      </c>
      <c r="AH2600">
        <v>4</v>
      </c>
      <c r="AI2600">
        <v>17</v>
      </c>
      <c r="AJ2600">
        <v>1</v>
      </c>
      <c r="AK2600">
        <v>19</v>
      </c>
      <c r="AL2600">
        <v>50</v>
      </c>
      <c r="AM2600" t="s">
        <v>43</v>
      </c>
      <c r="AN2600" t="str">
        <f>HYPERLINK("https://www.google.com/maps?q=10.81507969,79.14866638","Open Location")</f>
        <v>Open Location</v>
      </c>
    </row>
    <row r="2601" spans="1:40" x14ac:dyDescent="0.3">
      <c r="A2601" s="1">
        <v>46210.698611111111</v>
      </c>
      <c r="B2601" t="s">
        <v>40</v>
      </c>
      <c r="C2601" t="s">
        <v>41</v>
      </c>
      <c r="D2601" s="1">
        <v>46210.701539351852</v>
      </c>
      <c r="E2601" t="s">
        <v>42</v>
      </c>
      <c r="F2601" t="s">
        <v>83</v>
      </c>
      <c r="G2601">
        <v>0</v>
      </c>
      <c r="H2601">
        <v>33174</v>
      </c>
      <c r="I2601" t="s">
        <v>1380</v>
      </c>
      <c r="J2601">
        <v>58</v>
      </c>
      <c r="K2601">
        <v>4</v>
      </c>
      <c r="L2601">
        <v>98</v>
      </c>
      <c r="M2601">
        <v>630.5</v>
      </c>
      <c r="N2601" t="s">
        <v>85</v>
      </c>
      <c r="O2601" t="s">
        <v>86</v>
      </c>
      <c r="P2601">
        <v>127</v>
      </c>
      <c r="Q2601">
        <v>2</v>
      </c>
      <c r="R2601">
        <v>0</v>
      </c>
      <c r="S2601">
        <v>0</v>
      </c>
      <c r="T2601">
        <v>-40</v>
      </c>
      <c r="U2601">
        <v>49</v>
      </c>
      <c r="V2601">
        <v>5</v>
      </c>
      <c r="W2601">
        <v>29</v>
      </c>
      <c r="X2601">
        <v>29</v>
      </c>
      <c r="Y2601">
        <v>1</v>
      </c>
      <c r="Z2601">
        <v>8</v>
      </c>
      <c r="AA2601">
        <v>25</v>
      </c>
      <c r="AB2601">
        <v>2</v>
      </c>
      <c r="AC2601">
        <v>4</v>
      </c>
      <c r="AD2601">
        <v>3.28600001</v>
      </c>
      <c r="AE2601">
        <v>1</v>
      </c>
      <c r="AF2601">
        <v>23</v>
      </c>
      <c r="AG2601">
        <v>3.2809998999999999</v>
      </c>
      <c r="AH2601">
        <v>4</v>
      </c>
      <c r="AI2601">
        <v>17</v>
      </c>
      <c r="AJ2601">
        <v>1</v>
      </c>
      <c r="AK2601">
        <v>18</v>
      </c>
      <c r="AL2601">
        <v>50</v>
      </c>
      <c r="AM2601" t="s">
        <v>43</v>
      </c>
      <c r="AN2601" t="str">
        <f>HYPERLINK("https://www.google.com/maps?q=10.8150816,79.14866638","Open Location")</f>
        <v>Open Location</v>
      </c>
    </row>
    <row r="2602" spans="1:40" x14ac:dyDescent="0.3">
      <c r="A2602" s="1">
        <v>46210.698495370372</v>
      </c>
      <c r="B2602" t="s">
        <v>40</v>
      </c>
      <c r="C2602" t="s">
        <v>41</v>
      </c>
      <c r="D2602" s="1">
        <v>46210.701643518521</v>
      </c>
      <c r="E2602" t="s">
        <v>42</v>
      </c>
      <c r="F2602" t="s">
        <v>83</v>
      </c>
      <c r="G2602">
        <v>2</v>
      </c>
      <c r="H2602" t="s">
        <v>43</v>
      </c>
      <c r="I2602" t="s">
        <v>1382</v>
      </c>
      <c r="J2602">
        <v>58</v>
      </c>
      <c r="K2602">
        <v>21</v>
      </c>
      <c r="L2602">
        <v>98</v>
      </c>
      <c r="M2602">
        <v>629.40002441000001</v>
      </c>
      <c r="N2602" t="s">
        <v>87</v>
      </c>
      <c r="O2602" t="s">
        <v>86</v>
      </c>
      <c r="P2602">
        <v>127</v>
      </c>
      <c r="Q2602">
        <v>2</v>
      </c>
      <c r="R2602">
        <v>10</v>
      </c>
      <c r="S2602">
        <v>621</v>
      </c>
      <c r="T2602">
        <v>-40</v>
      </c>
      <c r="U2602">
        <v>51</v>
      </c>
      <c r="V2602">
        <v>160</v>
      </c>
      <c r="W2602">
        <v>29</v>
      </c>
      <c r="X2602">
        <v>29</v>
      </c>
      <c r="Y2602">
        <v>1</v>
      </c>
      <c r="Z2602">
        <v>8</v>
      </c>
      <c r="AA2602">
        <v>25</v>
      </c>
      <c r="AB2602">
        <v>2</v>
      </c>
      <c r="AC2602">
        <v>4</v>
      </c>
      <c r="AD2602">
        <v>3.2869999399999998</v>
      </c>
      <c r="AE2602">
        <v>1</v>
      </c>
      <c r="AF2602">
        <v>25</v>
      </c>
      <c r="AG2602">
        <v>3.2839999199999999</v>
      </c>
      <c r="AH2602">
        <v>4</v>
      </c>
      <c r="AI2602">
        <v>17</v>
      </c>
      <c r="AJ2602">
        <v>1</v>
      </c>
      <c r="AK2602">
        <v>17</v>
      </c>
      <c r="AL2602">
        <v>50</v>
      </c>
      <c r="AM2602" t="s">
        <v>43</v>
      </c>
      <c r="AN2602" t="str">
        <f>HYPERLINK("https://www.google.com/maps?q=10.81507778,79.14862823","Open Location")</f>
        <v>Open Location</v>
      </c>
    </row>
    <row r="2603" spans="1:40" x14ac:dyDescent="0.3">
      <c r="A2603" s="1">
        <v>46210.698379629626</v>
      </c>
      <c r="B2603" t="s">
        <v>40</v>
      </c>
      <c r="C2603" t="s">
        <v>41</v>
      </c>
      <c r="D2603" s="1">
        <v>46210.701180555552</v>
      </c>
      <c r="E2603" t="s">
        <v>42</v>
      </c>
      <c r="F2603" t="s">
        <v>83</v>
      </c>
      <c r="G2603">
        <v>0</v>
      </c>
      <c r="H2603">
        <v>33174</v>
      </c>
      <c r="I2603" t="s">
        <v>1383</v>
      </c>
      <c r="J2603">
        <v>58</v>
      </c>
      <c r="K2603">
        <v>8</v>
      </c>
      <c r="L2603">
        <v>98</v>
      </c>
      <c r="M2603">
        <v>629.90002441000001</v>
      </c>
      <c r="N2603" t="s">
        <v>85</v>
      </c>
      <c r="O2603" t="s">
        <v>86</v>
      </c>
      <c r="P2603">
        <v>127</v>
      </c>
      <c r="Q2603">
        <v>2</v>
      </c>
      <c r="R2603">
        <v>11</v>
      </c>
      <c r="S2603">
        <v>0</v>
      </c>
      <c r="T2603">
        <v>-40</v>
      </c>
      <c r="U2603">
        <v>50</v>
      </c>
      <c r="V2603">
        <v>400</v>
      </c>
      <c r="W2603">
        <v>29</v>
      </c>
      <c r="X2603">
        <v>29</v>
      </c>
      <c r="Y2603">
        <v>1</v>
      </c>
      <c r="Z2603">
        <v>8</v>
      </c>
      <c r="AA2603">
        <v>25</v>
      </c>
      <c r="AB2603">
        <v>2</v>
      </c>
      <c r="AC2603">
        <v>4</v>
      </c>
      <c r="AD2603">
        <v>3.2809998999999999</v>
      </c>
      <c r="AE2603">
        <v>5</v>
      </c>
      <c r="AF2603">
        <v>38</v>
      </c>
      <c r="AG2603">
        <v>3.2760000200000001</v>
      </c>
      <c r="AH2603">
        <v>4</v>
      </c>
      <c r="AI2603">
        <v>17</v>
      </c>
      <c r="AJ2603">
        <v>1</v>
      </c>
      <c r="AK2603">
        <v>17</v>
      </c>
      <c r="AL2603">
        <v>50</v>
      </c>
      <c r="AM2603" t="s">
        <v>43</v>
      </c>
      <c r="AN2603" t="str">
        <f>HYPERLINK("https://www.google.com/maps?q=10.8150568,79.14857483","Open Location")</f>
        <v>Open Location</v>
      </c>
    </row>
    <row r="2604" spans="1:40" x14ac:dyDescent="0.3">
      <c r="A2604" s="1">
        <v>46210.698263888888</v>
      </c>
      <c r="B2604" t="s">
        <v>40</v>
      </c>
      <c r="C2604" t="s">
        <v>41</v>
      </c>
      <c r="D2604" s="1">
        <v>46210.701192129629</v>
      </c>
      <c r="E2604" t="s">
        <v>42</v>
      </c>
      <c r="F2604" t="s">
        <v>83</v>
      </c>
      <c r="G2604">
        <v>0</v>
      </c>
      <c r="H2604">
        <v>33174</v>
      </c>
      <c r="I2604" t="s">
        <v>1384</v>
      </c>
      <c r="J2604">
        <v>58</v>
      </c>
      <c r="K2604">
        <v>6</v>
      </c>
      <c r="L2604">
        <v>98</v>
      </c>
      <c r="M2604">
        <v>629.79998779000005</v>
      </c>
      <c r="N2604" t="s">
        <v>85</v>
      </c>
      <c r="O2604" t="s">
        <v>86</v>
      </c>
      <c r="P2604">
        <v>127</v>
      </c>
      <c r="Q2604">
        <v>2</v>
      </c>
      <c r="R2604">
        <v>0</v>
      </c>
      <c r="S2604">
        <v>539</v>
      </c>
      <c r="T2604">
        <v>-40</v>
      </c>
      <c r="U2604">
        <v>49</v>
      </c>
      <c r="V2604">
        <v>5</v>
      </c>
      <c r="W2604">
        <v>29</v>
      </c>
      <c r="X2604">
        <v>29</v>
      </c>
      <c r="Y2604">
        <v>1</v>
      </c>
      <c r="Z2604">
        <v>8</v>
      </c>
      <c r="AA2604">
        <v>25</v>
      </c>
      <c r="AB2604">
        <v>2</v>
      </c>
      <c r="AC2604">
        <v>4</v>
      </c>
      <c r="AD2604">
        <v>3.28800011</v>
      </c>
      <c r="AE2604">
        <v>1</v>
      </c>
      <c r="AF2604">
        <v>25</v>
      </c>
      <c r="AG2604">
        <v>3.28500009</v>
      </c>
      <c r="AH2604">
        <v>4</v>
      </c>
      <c r="AI2604">
        <v>17</v>
      </c>
      <c r="AJ2604">
        <v>1</v>
      </c>
      <c r="AK2604">
        <v>19</v>
      </c>
      <c r="AL2604">
        <v>50</v>
      </c>
      <c r="AM2604" t="s">
        <v>43</v>
      </c>
      <c r="AN2604" t="str">
        <f>HYPERLINK("https://www.google.com/maps?q=10.81505203,79.14855194","Open Location")</f>
        <v>Open Location</v>
      </c>
    </row>
    <row r="2605" spans="1:40" x14ac:dyDescent="0.3">
      <c r="A2605" s="1">
        <v>46210.698148148149</v>
      </c>
      <c r="B2605" t="s">
        <v>40</v>
      </c>
      <c r="C2605" t="s">
        <v>41</v>
      </c>
      <c r="D2605" s="1">
        <v>46210.701053240744</v>
      </c>
      <c r="E2605" t="s">
        <v>42</v>
      </c>
      <c r="F2605" t="s">
        <v>83</v>
      </c>
      <c r="G2605">
        <v>0</v>
      </c>
      <c r="H2605">
        <v>33174</v>
      </c>
      <c r="I2605" t="s">
        <v>43</v>
      </c>
      <c r="J2605">
        <v>58</v>
      </c>
      <c r="K2605">
        <v>11</v>
      </c>
      <c r="L2605">
        <v>98</v>
      </c>
      <c r="M2605">
        <v>629.79998779000005</v>
      </c>
      <c r="N2605" t="s">
        <v>85</v>
      </c>
      <c r="O2605" t="s">
        <v>249</v>
      </c>
      <c r="P2605">
        <v>125</v>
      </c>
      <c r="Q2605">
        <v>2</v>
      </c>
      <c r="R2605">
        <v>0</v>
      </c>
      <c r="S2605">
        <v>0</v>
      </c>
      <c r="T2605">
        <v>-40</v>
      </c>
      <c r="U2605">
        <v>48</v>
      </c>
      <c r="V2605">
        <v>5</v>
      </c>
      <c r="W2605">
        <v>29</v>
      </c>
      <c r="X2605">
        <v>29</v>
      </c>
      <c r="Y2605">
        <v>1</v>
      </c>
      <c r="Z2605">
        <v>8</v>
      </c>
      <c r="AA2605">
        <v>25</v>
      </c>
      <c r="AB2605">
        <v>2</v>
      </c>
      <c r="AC2605">
        <v>4</v>
      </c>
      <c r="AD2605">
        <v>3.2809998999999999</v>
      </c>
      <c r="AE2605">
        <v>5</v>
      </c>
      <c r="AF2605">
        <v>38</v>
      </c>
      <c r="AG2605">
        <v>3.2760000200000001</v>
      </c>
      <c r="AH2605">
        <v>4</v>
      </c>
      <c r="AI2605">
        <v>17</v>
      </c>
      <c r="AJ2605">
        <v>1</v>
      </c>
      <c r="AK2605">
        <v>18</v>
      </c>
      <c r="AL2605">
        <v>50</v>
      </c>
      <c r="AM2605" t="s">
        <v>43</v>
      </c>
      <c r="AN2605" t="s">
        <v>43</v>
      </c>
    </row>
    <row r="2606" spans="1:40" x14ac:dyDescent="0.3">
      <c r="A2606" s="1">
        <v>46210.69803240741</v>
      </c>
      <c r="B2606" t="s">
        <v>40</v>
      </c>
      <c r="C2606" t="s">
        <v>41</v>
      </c>
      <c r="D2606" s="1">
        <v>46210.701053240744</v>
      </c>
      <c r="E2606" t="s">
        <v>42</v>
      </c>
      <c r="F2606" t="s">
        <v>83</v>
      </c>
      <c r="G2606">
        <v>0</v>
      </c>
      <c r="H2606">
        <v>33174</v>
      </c>
      <c r="I2606" t="s">
        <v>43</v>
      </c>
      <c r="J2606">
        <v>58</v>
      </c>
      <c r="K2606">
        <v>11</v>
      </c>
      <c r="L2606">
        <v>98</v>
      </c>
      <c r="M2606">
        <v>629.59997558999999</v>
      </c>
      <c r="N2606" t="s">
        <v>85</v>
      </c>
      <c r="O2606" t="s">
        <v>249</v>
      </c>
      <c r="P2606">
        <v>124</v>
      </c>
      <c r="Q2606" t="s">
        <v>249</v>
      </c>
      <c r="R2606">
        <v>0</v>
      </c>
      <c r="S2606">
        <v>0</v>
      </c>
      <c r="T2606">
        <v>-40</v>
      </c>
      <c r="U2606">
        <v>48</v>
      </c>
      <c r="V2606">
        <v>0</v>
      </c>
      <c r="W2606">
        <v>29</v>
      </c>
      <c r="X2606">
        <v>29</v>
      </c>
      <c r="Y2606">
        <v>1</v>
      </c>
      <c r="Z2606">
        <v>8</v>
      </c>
      <c r="AA2606">
        <v>25</v>
      </c>
      <c r="AB2606">
        <v>2</v>
      </c>
      <c r="AC2606">
        <v>4</v>
      </c>
      <c r="AD2606">
        <v>3.28600001</v>
      </c>
      <c r="AE2606">
        <v>1</v>
      </c>
      <c r="AF2606">
        <v>25</v>
      </c>
      <c r="AG2606">
        <v>3.2809998999999999</v>
      </c>
      <c r="AH2606">
        <v>4</v>
      </c>
      <c r="AI2606">
        <v>17</v>
      </c>
      <c r="AJ2606">
        <v>1</v>
      </c>
      <c r="AK2606">
        <v>18</v>
      </c>
      <c r="AL2606">
        <v>50</v>
      </c>
      <c r="AM2606" t="s">
        <v>43</v>
      </c>
      <c r="AN2606" t="s">
        <v>43</v>
      </c>
    </row>
    <row r="2607" spans="1:40" x14ac:dyDescent="0.3">
      <c r="A2607" s="1">
        <v>46210.697916666664</v>
      </c>
      <c r="B2607" t="s">
        <v>40</v>
      </c>
      <c r="C2607" t="s">
        <v>41</v>
      </c>
      <c r="D2607" s="1">
        <v>46210.700856481482</v>
      </c>
      <c r="E2607" t="s">
        <v>42</v>
      </c>
      <c r="F2607" t="s">
        <v>83</v>
      </c>
      <c r="G2607">
        <v>0</v>
      </c>
      <c r="H2607" t="s">
        <v>43</v>
      </c>
      <c r="I2607" t="s">
        <v>1385</v>
      </c>
      <c r="J2607">
        <v>58</v>
      </c>
      <c r="K2607">
        <v>11</v>
      </c>
      <c r="L2607">
        <v>98</v>
      </c>
      <c r="M2607">
        <v>629.59997558999999</v>
      </c>
      <c r="N2607" t="s">
        <v>85</v>
      </c>
      <c r="O2607" t="s">
        <v>82</v>
      </c>
      <c r="P2607">
        <v>125</v>
      </c>
      <c r="Q2607" t="s">
        <v>82</v>
      </c>
      <c r="R2607">
        <v>0</v>
      </c>
      <c r="S2607">
        <v>0</v>
      </c>
      <c r="T2607">
        <v>-40</v>
      </c>
      <c r="U2607">
        <v>48</v>
      </c>
      <c r="V2607">
        <v>0</v>
      </c>
      <c r="W2607">
        <v>29</v>
      </c>
      <c r="X2607">
        <v>29</v>
      </c>
      <c r="Y2607">
        <v>1</v>
      </c>
      <c r="Z2607">
        <v>8</v>
      </c>
      <c r="AA2607">
        <v>25</v>
      </c>
      <c r="AB2607">
        <v>2</v>
      </c>
      <c r="AC2607">
        <v>4</v>
      </c>
      <c r="AD2607">
        <v>3.2869999399999998</v>
      </c>
      <c r="AE2607">
        <v>1</v>
      </c>
      <c r="AF2607">
        <v>25</v>
      </c>
      <c r="AG2607">
        <v>3.2820000600000001</v>
      </c>
      <c r="AH2607">
        <v>4</v>
      </c>
      <c r="AI2607">
        <v>17</v>
      </c>
      <c r="AJ2607">
        <v>1</v>
      </c>
      <c r="AK2607">
        <v>17</v>
      </c>
      <c r="AL2607">
        <v>50</v>
      </c>
      <c r="AM2607" t="s">
        <v>43</v>
      </c>
      <c r="AN2607" t="str">
        <f>HYPERLINK("https://www.google.com/maps?q=10.81506443,79.14855957","Open Location")</f>
        <v>Open Location</v>
      </c>
    </row>
    <row r="2608" spans="1:40" x14ac:dyDescent="0.3">
      <c r="A2608" s="1">
        <v>46210.697800925926</v>
      </c>
      <c r="B2608" t="s">
        <v>40</v>
      </c>
      <c r="C2608" t="s">
        <v>41</v>
      </c>
      <c r="D2608" s="1">
        <v>46210.70076388889</v>
      </c>
      <c r="E2608" t="s">
        <v>42</v>
      </c>
      <c r="F2608" t="s">
        <v>83</v>
      </c>
      <c r="G2608">
        <v>0</v>
      </c>
      <c r="H2608">
        <v>33174</v>
      </c>
      <c r="I2608" t="s">
        <v>1386</v>
      </c>
      <c r="J2608">
        <v>58</v>
      </c>
      <c r="K2608">
        <v>4</v>
      </c>
      <c r="L2608">
        <v>98</v>
      </c>
      <c r="M2608">
        <v>630.09997558999999</v>
      </c>
      <c r="N2608" t="s">
        <v>85</v>
      </c>
      <c r="O2608" t="s">
        <v>82</v>
      </c>
      <c r="P2608">
        <v>125</v>
      </c>
      <c r="Q2608" t="s">
        <v>82</v>
      </c>
      <c r="R2608">
        <v>0</v>
      </c>
      <c r="S2608">
        <v>0</v>
      </c>
      <c r="T2608">
        <v>-40</v>
      </c>
      <c r="U2608">
        <v>48</v>
      </c>
      <c r="V2608">
        <v>0</v>
      </c>
      <c r="W2608" t="s">
        <v>43</v>
      </c>
      <c r="X2608" t="s">
        <v>43</v>
      </c>
      <c r="Y2608" t="s">
        <v>43</v>
      </c>
      <c r="Z2608" t="s">
        <v>43</v>
      </c>
      <c r="AA2608" t="s">
        <v>43</v>
      </c>
      <c r="AB2608" t="s">
        <v>43</v>
      </c>
      <c r="AC2608" t="s">
        <v>43</v>
      </c>
      <c r="AD2608" t="s">
        <v>43</v>
      </c>
      <c r="AE2608" t="s">
        <v>43</v>
      </c>
      <c r="AF2608" t="s">
        <v>43</v>
      </c>
      <c r="AG2608" t="s">
        <v>43</v>
      </c>
      <c r="AH2608" t="s">
        <v>43</v>
      </c>
      <c r="AI2608" t="s">
        <v>43</v>
      </c>
      <c r="AJ2608">
        <v>1</v>
      </c>
      <c r="AK2608">
        <v>18</v>
      </c>
      <c r="AL2608">
        <v>50</v>
      </c>
      <c r="AM2608" t="s">
        <v>43</v>
      </c>
      <c r="AN2608" t="str">
        <f>HYPERLINK("https://www.google.com/maps?q=10.81506348,79.14855957","Open Location")</f>
        <v>Open Location</v>
      </c>
    </row>
    <row r="2609" spans="1:40" x14ac:dyDescent="0.3">
      <c r="A2609" s="1">
        <v>46210.697685185187</v>
      </c>
      <c r="B2609" t="s">
        <v>40</v>
      </c>
      <c r="C2609" t="s">
        <v>41</v>
      </c>
      <c r="D2609" s="1">
        <v>46210.700682870367</v>
      </c>
      <c r="E2609" t="s">
        <v>42</v>
      </c>
      <c r="F2609" t="s">
        <v>83</v>
      </c>
      <c r="G2609">
        <v>0</v>
      </c>
      <c r="H2609" t="s">
        <v>43</v>
      </c>
      <c r="I2609" t="s">
        <v>1387</v>
      </c>
      <c r="J2609">
        <v>58</v>
      </c>
      <c r="K2609">
        <v>4</v>
      </c>
      <c r="L2609">
        <v>98</v>
      </c>
      <c r="M2609">
        <v>630.09997558999999</v>
      </c>
      <c r="N2609" t="s">
        <v>85</v>
      </c>
      <c r="O2609" t="s">
        <v>82</v>
      </c>
      <c r="P2609">
        <v>125</v>
      </c>
      <c r="Q2609" t="s">
        <v>82</v>
      </c>
      <c r="R2609">
        <v>0</v>
      </c>
      <c r="S2609">
        <v>0</v>
      </c>
      <c r="T2609">
        <v>-40</v>
      </c>
      <c r="U2609">
        <v>48</v>
      </c>
      <c r="V2609">
        <v>0</v>
      </c>
      <c r="W2609">
        <v>29</v>
      </c>
      <c r="X2609">
        <v>29</v>
      </c>
      <c r="Y2609">
        <v>1</v>
      </c>
      <c r="Z2609">
        <v>8</v>
      </c>
      <c r="AA2609">
        <v>25</v>
      </c>
      <c r="AB2609">
        <v>2</v>
      </c>
      <c r="AC2609">
        <v>4</v>
      </c>
      <c r="AD2609">
        <v>3.28900003</v>
      </c>
      <c r="AE2609">
        <v>1</v>
      </c>
      <c r="AF2609">
        <v>25</v>
      </c>
      <c r="AG2609">
        <v>3.28600001</v>
      </c>
      <c r="AH2609">
        <v>1</v>
      </c>
      <c r="AI2609">
        <v>30</v>
      </c>
      <c r="AJ2609">
        <v>1</v>
      </c>
      <c r="AK2609">
        <v>17</v>
      </c>
      <c r="AL2609">
        <v>50</v>
      </c>
      <c r="AM2609" t="s">
        <v>43</v>
      </c>
      <c r="AN2609" t="str">
        <f>HYPERLINK("https://www.google.com/maps?q=10.81506157,79.14855957","Open Location")</f>
        <v>Open Location</v>
      </c>
    </row>
    <row r="2610" spans="1:40" x14ac:dyDescent="0.3">
      <c r="A2610" s="1">
        <v>46210.697569444441</v>
      </c>
      <c r="B2610" t="s">
        <v>40</v>
      </c>
      <c r="C2610" t="s">
        <v>41</v>
      </c>
      <c r="D2610" s="1">
        <v>46210.700833333336</v>
      </c>
      <c r="E2610" t="s">
        <v>42</v>
      </c>
      <c r="F2610" t="s">
        <v>83</v>
      </c>
      <c r="G2610">
        <v>0</v>
      </c>
      <c r="H2610">
        <v>33174</v>
      </c>
      <c r="I2610" t="s">
        <v>43</v>
      </c>
      <c r="J2610">
        <v>58</v>
      </c>
      <c r="K2610">
        <v>4</v>
      </c>
      <c r="L2610">
        <v>98</v>
      </c>
      <c r="M2610">
        <v>630.79998779000005</v>
      </c>
      <c r="N2610" t="s">
        <v>85</v>
      </c>
      <c r="O2610" t="s">
        <v>82</v>
      </c>
      <c r="P2610">
        <v>125</v>
      </c>
      <c r="Q2610" t="s">
        <v>82</v>
      </c>
      <c r="R2610">
        <v>0</v>
      </c>
      <c r="S2610">
        <v>0</v>
      </c>
      <c r="T2610">
        <v>-40</v>
      </c>
      <c r="U2610">
        <v>48</v>
      </c>
      <c r="V2610">
        <v>0</v>
      </c>
      <c r="W2610">
        <v>30</v>
      </c>
      <c r="X2610">
        <v>30</v>
      </c>
      <c r="Y2610">
        <v>1</v>
      </c>
      <c r="Z2610">
        <v>8</v>
      </c>
      <c r="AA2610">
        <v>25</v>
      </c>
      <c r="AB2610">
        <v>2</v>
      </c>
      <c r="AC2610">
        <v>4</v>
      </c>
      <c r="AD2610">
        <v>3.28900003</v>
      </c>
      <c r="AE2610">
        <v>1</v>
      </c>
      <c r="AF2610">
        <v>29</v>
      </c>
      <c r="AG2610">
        <v>3.28600001</v>
      </c>
      <c r="AH2610">
        <v>1</v>
      </c>
      <c r="AI2610">
        <v>15</v>
      </c>
      <c r="AJ2610">
        <v>1</v>
      </c>
      <c r="AK2610">
        <v>17</v>
      </c>
      <c r="AL2610">
        <v>50</v>
      </c>
      <c r="AM2610" t="s">
        <v>43</v>
      </c>
      <c r="AN2610" t="s">
        <v>43</v>
      </c>
    </row>
    <row r="2611" spans="1:40" x14ac:dyDescent="0.3">
      <c r="A2611" s="1">
        <v>46210.697453703702</v>
      </c>
      <c r="B2611" t="s">
        <v>40</v>
      </c>
      <c r="C2611" t="s">
        <v>41</v>
      </c>
      <c r="D2611" s="1">
        <v>46210.700462962966</v>
      </c>
      <c r="E2611" t="s">
        <v>42</v>
      </c>
      <c r="F2611" t="s">
        <v>83</v>
      </c>
      <c r="G2611">
        <v>0</v>
      </c>
      <c r="H2611">
        <v>33174</v>
      </c>
      <c r="I2611" t="s">
        <v>1385</v>
      </c>
      <c r="J2611">
        <v>58</v>
      </c>
      <c r="K2611">
        <v>4</v>
      </c>
      <c r="L2611">
        <v>98</v>
      </c>
      <c r="M2611">
        <v>630.59997558999999</v>
      </c>
      <c r="N2611" t="s">
        <v>85</v>
      </c>
      <c r="O2611" t="s">
        <v>82</v>
      </c>
      <c r="P2611">
        <v>125</v>
      </c>
      <c r="Q2611" t="s">
        <v>82</v>
      </c>
      <c r="R2611">
        <v>0</v>
      </c>
      <c r="S2611">
        <v>0</v>
      </c>
      <c r="T2611">
        <v>-40</v>
      </c>
      <c r="U2611">
        <v>47</v>
      </c>
      <c r="V2611">
        <v>0</v>
      </c>
      <c r="W2611">
        <v>30</v>
      </c>
      <c r="X2611">
        <v>30</v>
      </c>
      <c r="Y2611">
        <v>1</v>
      </c>
      <c r="Z2611">
        <v>8</v>
      </c>
      <c r="AA2611">
        <v>25</v>
      </c>
      <c r="AB2611">
        <v>2</v>
      </c>
      <c r="AC2611">
        <v>4</v>
      </c>
      <c r="AD2611">
        <v>3.28900003</v>
      </c>
      <c r="AE2611">
        <v>1</v>
      </c>
      <c r="AF2611">
        <v>29</v>
      </c>
      <c r="AG2611">
        <v>3.28600001</v>
      </c>
      <c r="AH2611">
        <v>1</v>
      </c>
      <c r="AI2611">
        <v>4</v>
      </c>
      <c r="AJ2611">
        <v>1</v>
      </c>
      <c r="AK2611">
        <v>17</v>
      </c>
      <c r="AL2611">
        <v>50</v>
      </c>
      <c r="AM2611" t="s">
        <v>43</v>
      </c>
      <c r="AN2611" t="str">
        <f>HYPERLINK("https://www.google.com/maps?q=10.81506443,79.14855957","Open Location")</f>
        <v>Open Location</v>
      </c>
    </row>
    <row r="2612" spans="1:40" x14ac:dyDescent="0.3">
      <c r="A2612" s="1">
        <v>46210.697337962964</v>
      </c>
      <c r="B2612" t="s">
        <v>40</v>
      </c>
      <c r="C2612" t="s">
        <v>41</v>
      </c>
      <c r="D2612" s="1">
        <v>46210.70034722222</v>
      </c>
      <c r="E2612" t="s">
        <v>42</v>
      </c>
      <c r="F2612" t="s">
        <v>83</v>
      </c>
      <c r="G2612">
        <v>0</v>
      </c>
      <c r="H2612">
        <v>33174</v>
      </c>
      <c r="I2612" t="s">
        <v>43</v>
      </c>
      <c r="J2612">
        <v>58</v>
      </c>
      <c r="K2612">
        <v>4</v>
      </c>
      <c r="L2612">
        <v>98</v>
      </c>
      <c r="M2612">
        <v>630.29998779000005</v>
      </c>
      <c r="N2612" t="s">
        <v>85</v>
      </c>
      <c r="O2612" t="s">
        <v>82</v>
      </c>
      <c r="P2612">
        <v>125</v>
      </c>
      <c r="Q2612" t="s">
        <v>82</v>
      </c>
      <c r="R2612">
        <v>0</v>
      </c>
      <c r="S2612">
        <v>0</v>
      </c>
      <c r="T2612">
        <v>-40</v>
      </c>
      <c r="U2612">
        <v>47</v>
      </c>
      <c r="V2612">
        <v>0</v>
      </c>
      <c r="W2612">
        <v>30</v>
      </c>
      <c r="X2612">
        <v>30</v>
      </c>
      <c r="Y2612">
        <v>1</v>
      </c>
      <c r="Z2612">
        <v>8</v>
      </c>
      <c r="AA2612">
        <v>25</v>
      </c>
      <c r="AB2612">
        <v>2</v>
      </c>
      <c r="AC2612">
        <v>4</v>
      </c>
      <c r="AD2612">
        <v>3.28900003</v>
      </c>
      <c r="AE2612">
        <v>1</v>
      </c>
      <c r="AF2612">
        <v>36</v>
      </c>
      <c r="AG2612">
        <v>3.28600001</v>
      </c>
      <c r="AH2612">
        <v>1</v>
      </c>
      <c r="AI2612">
        <v>4</v>
      </c>
      <c r="AJ2612">
        <v>1</v>
      </c>
      <c r="AK2612">
        <v>17</v>
      </c>
      <c r="AL2612">
        <v>50</v>
      </c>
      <c r="AM2612" t="s">
        <v>43</v>
      </c>
      <c r="AN2612" t="s">
        <v>43</v>
      </c>
    </row>
    <row r="2613" spans="1:40" x14ac:dyDescent="0.3">
      <c r="A2613" s="1">
        <v>46210.697222222225</v>
      </c>
      <c r="B2613" t="s">
        <v>40</v>
      </c>
      <c r="C2613" t="s">
        <v>41</v>
      </c>
      <c r="D2613" s="1">
        <v>46210.699965277781</v>
      </c>
      <c r="E2613" t="s">
        <v>42</v>
      </c>
      <c r="F2613" t="s">
        <v>83</v>
      </c>
      <c r="G2613">
        <v>0</v>
      </c>
      <c r="H2613">
        <v>33174</v>
      </c>
      <c r="I2613" t="s">
        <v>1388</v>
      </c>
      <c r="J2613">
        <v>58</v>
      </c>
      <c r="K2613">
        <v>4</v>
      </c>
      <c r="L2613">
        <v>98</v>
      </c>
      <c r="M2613">
        <v>630.09997558999999</v>
      </c>
      <c r="N2613" t="s">
        <v>85</v>
      </c>
      <c r="O2613" t="s">
        <v>82</v>
      </c>
      <c r="P2613">
        <v>125</v>
      </c>
      <c r="Q2613" t="s">
        <v>82</v>
      </c>
      <c r="R2613">
        <v>0</v>
      </c>
      <c r="S2613">
        <v>0</v>
      </c>
      <c r="T2613">
        <v>-40</v>
      </c>
      <c r="U2613">
        <v>47</v>
      </c>
      <c r="V2613">
        <v>0</v>
      </c>
      <c r="W2613">
        <v>30</v>
      </c>
      <c r="X2613">
        <v>30</v>
      </c>
      <c r="Y2613">
        <v>1</v>
      </c>
      <c r="Z2613">
        <v>8</v>
      </c>
      <c r="AA2613">
        <v>25</v>
      </c>
      <c r="AB2613">
        <v>2</v>
      </c>
      <c r="AC2613">
        <v>4</v>
      </c>
      <c r="AD2613">
        <v>3.28800011</v>
      </c>
      <c r="AE2613">
        <v>1</v>
      </c>
      <c r="AF2613">
        <v>17</v>
      </c>
      <c r="AG2613">
        <v>3.28600001</v>
      </c>
      <c r="AH2613">
        <v>1</v>
      </c>
      <c r="AI2613">
        <v>4</v>
      </c>
      <c r="AJ2613">
        <v>1</v>
      </c>
      <c r="AK2613">
        <v>18</v>
      </c>
      <c r="AL2613">
        <v>50</v>
      </c>
      <c r="AM2613" t="s">
        <v>43</v>
      </c>
      <c r="AN2613" t="str">
        <f>HYPERLINK("https://www.google.com/maps?q=10.81506824,79.14855957","Open Location")</f>
        <v>Open Location</v>
      </c>
    </row>
    <row r="2614" spans="1:40" x14ac:dyDescent="0.3">
      <c r="A2614" s="1">
        <v>46210.697106481479</v>
      </c>
      <c r="B2614" t="s">
        <v>40</v>
      </c>
      <c r="C2614" t="s">
        <v>41</v>
      </c>
      <c r="D2614" s="1">
        <v>46210.7</v>
      </c>
      <c r="E2614" t="s">
        <v>42</v>
      </c>
      <c r="F2614" t="s">
        <v>83</v>
      </c>
      <c r="G2614">
        <v>0</v>
      </c>
      <c r="H2614">
        <v>33174</v>
      </c>
      <c r="I2614" t="s">
        <v>1389</v>
      </c>
      <c r="J2614">
        <v>58</v>
      </c>
      <c r="K2614">
        <v>4</v>
      </c>
      <c r="L2614">
        <v>98</v>
      </c>
      <c r="M2614">
        <v>630.79998779000005</v>
      </c>
      <c r="N2614" t="s">
        <v>85</v>
      </c>
      <c r="O2614" t="s">
        <v>82</v>
      </c>
      <c r="P2614">
        <v>125</v>
      </c>
      <c r="Q2614" t="s">
        <v>82</v>
      </c>
      <c r="R2614">
        <v>0</v>
      </c>
      <c r="S2614">
        <v>0</v>
      </c>
      <c r="T2614">
        <v>-40</v>
      </c>
      <c r="U2614">
        <v>47</v>
      </c>
      <c r="V2614">
        <v>0</v>
      </c>
      <c r="W2614">
        <v>30</v>
      </c>
      <c r="X2614">
        <v>30</v>
      </c>
      <c r="Y2614">
        <v>1</v>
      </c>
      <c r="Z2614">
        <v>8</v>
      </c>
      <c r="AA2614">
        <v>25</v>
      </c>
      <c r="AB2614">
        <v>2</v>
      </c>
      <c r="AC2614">
        <v>4</v>
      </c>
      <c r="AD2614">
        <v>3.28800011</v>
      </c>
      <c r="AE2614">
        <v>1</v>
      </c>
      <c r="AF2614">
        <v>23</v>
      </c>
      <c r="AG2614">
        <v>3.28500009</v>
      </c>
      <c r="AH2614">
        <v>4</v>
      </c>
      <c r="AI2614">
        <v>17</v>
      </c>
      <c r="AJ2614">
        <v>1</v>
      </c>
      <c r="AK2614">
        <v>18</v>
      </c>
      <c r="AL2614">
        <v>50</v>
      </c>
      <c r="AM2614" t="s">
        <v>43</v>
      </c>
      <c r="AN2614" t="str">
        <f>HYPERLINK("https://www.google.com/maps?q=10.81507111,79.1485672","Open Location")</f>
        <v>Open Location</v>
      </c>
    </row>
    <row r="2615" spans="1:40" x14ac:dyDescent="0.3">
      <c r="A2615" s="1">
        <v>46210.69699074074</v>
      </c>
      <c r="B2615" t="s">
        <v>40</v>
      </c>
      <c r="C2615" t="s">
        <v>41</v>
      </c>
      <c r="D2615" s="1">
        <v>46210.699872685182</v>
      </c>
      <c r="E2615" t="s">
        <v>42</v>
      </c>
      <c r="F2615" t="s">
        <v>83</v>
      </c>
      <c r="G2615">
        <v>0</v>
      </c>
      <c r="H2615" t="s">
        <v>43</v>
      </c>
      <c r="I2615" t="s">
        <v>1390</v>
      </c>
      <c r="J2615">
        <v>58</v>
      </c>
      <c r="K2615">
        <v>4</v>
      </c>
      <c r="L2615">
        <v>98</v>
      </c>
      <c r="M2615">
        <v>629.90002441000001</v>
      </c>
      <c r="N2615" t="s">
        <v>85</v>
      </c>
      <c r="O2615" t="s">
        <v>82</v>
      </c>
      <c r="P2615">
        <v>125</v>
      </c>
      <c r="Q2615" t="s">
        <v>82</v>
      </c>
      <c r="R2615">
        <v>0</v>
      </c>
      <c r="S2615">
        <v>0</v>
      </c>
      <c r="T2615">
        <v>-40</v>
      </c>
      <c r="U2615">
        <v>47</v>
      </c>
      <c r="V2615">
        <v>0</v>
      </c>
      <c r="W2615">
        <v>30</v>
      </c>
      <c r="X2615">
        <v>30</v>
      </c>
      <c r="Y2615">
        <v>1</v>
      </c>
      <c r="Z2615">
        <v>8</v>
      </c>
      <c r="AA2615">
        <v>25</v>
      </c>
      <c r="AB2615">
        <v>2</v>
      </c>
      <c r="AC2615">
        <v>4</v>
      </c>
      <c r="AD2615">
        <v>3.28800011</v>
      </c>
      <c r="AE2615">
        <v>1</v>
      </c>
      <c r="AF2615">
        <v>24</v>
      </c>
      <c r="AG2615">
        <v>3.28500009</v>
      </c>
      <c r="AH2615">
        <v>4</v>
      </c>
      <c r="AI2615">
        <v>17</v>
      </c>
      <c r="AJ2615">
        <v>1</v>
      </c>
      <c r="AK2615">
        <v>17</v>
      </c>
      <c r="AL2615">
        <v>50</v>
      </c>
      <c r="AM2615" t="s">
        <v>43</v>
      </c>
      <c r="AN2615" t="str">
        <f>HYPERLINK("https://www.google.com/maps?q=10.81507206,79.1485672","Open Location")</f>
        <v>Open Location</v>
      </c>
    </row>
    <row r="2616" spans="1:40" x14ac:dyDescent="0.3">
      <c r="A2616" s="1">
        <v>46210.696875000001</v>
      </c>
      <c r="B2616" t="s">
        <v>40</v>
      </c>
      <c r="C2616" t="s">
        <v>41</v>
      </c>
      <c r="D2616" s="1">
        <v>46210.69976851852</v>
      </c>
      <c r="E2616" t="s">
        <v>42</v>
      </c>
      <c r="F2616" t="s">
        <v>83</v>
      </c>
      <c r="G2616">
        <v>0</v>
      </c>
      <c r="H2616">
        <v>33174</v>
      </c>
      <c r="I2616" t="s">
        <v>43</v>
      </c>
      <c r="J2616">
        <v>58</v>
      </c>
      <c r="K2616">
        <v>4</v>
      </c>
      <c r="L2616">
        <v>98</v>
      </c>
      <c r="M2616">
        <v>630</v>
      </c>
      <c r="N2616" t="s">
        <v>85</v>
      </c>
      <c r="O2616" t="s">
        <v>82</v>
      </c>
      <c r="P2616">
        <v>125</v>
      </c>
      <c r="Q2616" t="s">
        <v>82</v>
      </c>
      <c r="R2616">
        <v>0</v>
      </c>
      <c r="S2616">
        <v>0</v>
      </c>
      <c r="T2616">
        <v>-40</v>
      </c>
      <c r="U2616">
        <v>47</v>
      </c>
      <c r="V2616">
        <v>0</v>
      </c>
      <c r="W2616">
        <v>30</v>
      </c>
      <c r="X2616">
        <v>30</v>
      </c>
      <c r="Y2616">
        <v>1</v>
      </c>
      <c r="Z2616">
        <v>8</v>
      </c>
      <c r="AA2616">
        <v>25</v>
      </c>
      <c r="AB2616">
        <v>2</v>
      </c>
      <c r="AC2616">
        <v>4</v>
      </c>
      <c r="AD2616">
        <v>3.28800011</v>
      </c>
      <c r="AE2616">
        <v>1</v>
      </c>
      <c r="AF2616">
        <v>25</v>
      </c>
      <c r="AG2616">
        <v>3.28500009</v>
      </c>
      <c r="AH2616">
        <v>4</v>
      </c>
      <c r="AI2616">
        <v>17</v>
      </c>
      <c r="AJ2616">
        <v>1</v>
      </c>
      <c r="AK2616">
        <v>19</v>
      </c>
      <c r="AL2616">
        <v>50</v>
      </c>
      <c r="AM2616" t="s">
        <v>43</v>
      </c>
      <c r="AN2616" t="s">
        <v>43</v>
      </c>
    </row>
    <row r="2617" spans="1:40" x14ac:dyDescent="0.3">
      <c r="A2617" s="1">
        <v>46210.696759259263</v>
      </c>
      <c r="B2617" t="s">
        <v>40</v>
      </c>
      <c r="C2617" t="s">
        <v>41</v>
      </c>
      <c r="D2617" s="1">
        <v>46210.699884259258</v>
      </c>
      <c r="E2617" t="s">
        <v>42</v>
      </c>
      <c r="F2617" t="s">
        <v>83</v>
      </c>
      <c r="G2617">
        <v>0</v>
      </c>
      <c r="H2617">
        <v>33174</v>
      </c>
      <c r="I2617" t="s">
        <v>1390</v>
      </c>
      <c r="J2617">
        <v>58</v>
      </c>
      <c r="K2617">
        <v>11</v>
      </c>
      <c r="L2617">
        <v>98</v>
      </c>
      <c r="M2617">
        <v>630.20001220999995</v>
      </c>
      <c r="N2617" t="s">
        <v>85</v>
      </c>
      <c r="O2617" t="s">
        <v>82</v>
      </c>
      <c r="P2617">
        <v>125</v>
      </c>
      <c r="Q2617" t="s">
        <v>82</v>
      </c>
      <c r="R2617">
        <v>0</v>
      </c>
      <c r="S2617">
        <v>0</v>
      </c>
      <c r="T2617">
        <v>-40</v>
      </c>
      <c r="U2617">
        <v>47</v>
      </c>
      <c r="V2617">
        <v>0</v>
      </c>
      <c r="W2617">
        <v>30</v>
      </c>
      <c r="X2617">
        <v>30</v>
      </c>
      <c r="Y2617">
        <v>1</v>
      </c>
      <c r="Z2617">
        <v>8</v>
      </c>
      <c r="AA2617">
        <v>25</v>
      </c>
      <c r="AB2617">
        <v>2</v>
      </c>
      <c r="AC2617">
        <v>4</v>
      </c>
      <c r="AD2617">
        <v>3.2869999399999998</v>
      </c>
      <c r="AE2617">
        <v>1</v>
      </c>
      <c r="AF2617">
        <v>23</v>
      </c>
      <c r="AG2617">
        <v>3.2760000200000001</v>
      </c>
      <c r="AH2617">
        <v>6</v>
      </c>
      <c r="AI2617">
        <v>17</v>
      </c>
      <c r="AJ2617">
        <v>1</v>
      </c>
      <c r="AK2617">
        <v>19</v>
      </c>
      <c r="AL2617">
        <v>50</v>
      </c>
      <c r="AM2617" t="s">
        <v>43</v>
      </c>
      <c r="AN2617" t="str">
        <f>HYPERLINK("https://www.google.com/maps?q=10.81507206,79.1485672","Open Location")</f>
        <v>Open Location</v>
      </c>
    </row>
    <row r="2618" spans="1:40" x14ac:dyDescent="0.3">
      <c r="A2618" s="1">
        <v>46210.696643518517</v>
      </c>
      <c r="B2618" t="s">
        <v>40</v>
      </c>
      <c r="C2618" t="s">
        <v>41</v>
      </c>
      <c r="D2618" s="1">
        <v>46210.69971064815</v>
      </c>
      <c r="E2618" t="s">
        <v>42</v>
      </c>
      <c r="F2618" t="s">
        <v>83</v>
      </c>
      <c r="G2618">
        <v>0</v>
      </c>
      <c r="H2618">
        <v>33174</v>
      </c>
      <c r="I2618" t="s">
        <v>1390</v>
      </c>
      <c r="J2618">
        <v>58</v>
      </c>
      <c r="K2618">
        <v>11</v>
      </c>
      <c r="L2618">
        <v>98</v>
      </c>
      <c r="M2618">
        <v>629.59997558999999</v>
      </c>
      <c r="N2618" t="s">
        <v>85</v>
      </c>
      <c r="O2618" t="s">
        <v>82</v>
      </c>
      <c r="P2618">
        <v>125</v>
      </c>
      <c r="Q2618" t="s">
        <v>82</v>
      </c>
      <c r="R2618">
        <v>0</v>
      </c>
      <c r="S2618">
        <v>0</v>
      </c>
      <c r="T2618">
        <v>-40</v>
      </c>
      <c r="U2618">
        <v>47</v>
      </c>
      <c r="V2618">
        <v>0</v>
      </c>
      <c r="W2618">
        <v>30</v>
      </c>
      <c r="X2618">
        <v>30</v>
      </c>
      <c r="Y2618">
        <v>1</v>
      </c>
      <c r="Z2618">
        <v>8</v>
      </c>
      <c r="AA2618">
        <v>25</v>
      </c>
      <c r="AB2618">
        <v>2</v>
      </c>
      <c r="AC2618">
        <v>4</v>
      </c>
      <c r="AD2618">
        <v>3.28600001</v>
      </c>
      <c r="AE2618">
        <v>1</v>
      </c>
      <c r="AF2618">
        <v>24</v>
      </c>
      <c r="AG2618">
        <v>3.2760000200000001</v>
      </c>
      <c r="AH2618">
        <v>6</v>
      </c>
      <c r="AI2618">
        <v>17</v>
      </c>
      <c r="AJ2618">
        <v>1</v>
      </c>
      <c r="AK2618">
        <v>19</v>
      </c>
      <c r="AL2618">
        <v>50</v>
      </c>
      <c r="AM2618" t="s">
        <v>43</v>
      </c>
      <c r="AN2618" t="str">
        <f>HYPERLINK("https://www.google.com/maps?q=10.81507206,79.1485672","Open Location")</f>
        <v>Open Location</v>
      </c>
    </row>
    <row r="2619" spans="1:40" x14ac:dyDescent="0.3">
      <c r="A2619" s="1">
        <v>46210.696527777778</v>
      </c>
      <c r="B2619" t="s">
        <v>40</v>
      </c>
      <c r="C2619" t="s">
        <v>41</v>
      </c>
      <c r="D2619" s="1">
        <v>46210.699560185189</v>
      </c>
      <c r="E2619" t="s">
        <v>42</v>
      </c>
      <c r="F2619" t="s">
        <v>83</v>
      </c>
      <c r="G2619">
        <v>0</v>
      </c>
      <c r="H2619">
        <v>33174</v>
      </c>
      <c r="I2619" t="s">
        <v>1391</v>
      </c>
      <c r="J2619">
        <v>58</v>
      </c>
      <c r="K2619">
        <v>11</v>
      </c>
      <c r="L2619">
        <v>98</v>
      </c>
      <c r="M2619">
        <v>629.5</v>
      </c>
      <c r="N2619" t="s">
        <v>85</v>
      </c>
      <c r="O2619" t="s">
        <v>82</v>
      </c>
      <c r="P2619">
        <v>125</v>
      </c>
      <c r="Q2619" t="s">
        <v>82</v>
      </c>
      <c r="R2619">
        <v>0</v>
      </c>
      <c r="S2619">
        <v>0</v>
      </c>
      <c r="T2619">
        <v>-40</v>
      </c>
      <c r="U2619">
        <v>47</v>
      </c>
      <c r="V2619">
        <v>0</v>
      </c>
      <c r="W2619">
        <v>30</v>
      </c>
      <c r="X2619">
        <v>30</v>
      </c>
      <c r="Y2619">
        <v>1</v>
      </c>
      <c r="Z2619">
        <v>8</v>
      </c>
      <c r="AA2619">
        <v>26</v>
      </c>
      <c r="AB2619">
        <v>1</v>
      </c>
      <c r="AC2619">
        <v>3</v>
      </c>
      <c r="AD2619">
        <v>3.2869999399999998</v>
      </c>
      <c r="AE2619">
        <v>1</v>
      </c>
      <c r="AF2619">
        <v>46</v>
      </c>
      <c r="AG2619">
        <v>3.2760000200000001</v>
      </c>
      <c r="AH2619">
        <v>6</v>
      </c>
      <c r="AI2619">
        <v>17</v>
      </c>
      <c r="AJ2619">
        <v>1</v>
      </c>
      <c r="AK2619">
        <v>19</v>
      </c>
      <c r="AL2619">
        <v>50</v>
      </c>
      <c r="AM2619" t="s">
        <v>43</v>
      </c>
      <c r="AN2619" t="str">
        <f>HYPERLINK("https://www.google.com/maps?q=10.81506634,79.14855957","Open Location")</f>
        <v>Open Location</v>
      </c>
    </row>
    <row r="2620" spans="1:40" x14ac:dyDescent="0.3">
      <c r="A2620" s="1">
        <v>46210.696412037039</v>
      </c>
      <c r="B2620" t="s">
        <v>40</v>
      </c>
      <c r="C2620" t="s">
        <v>41</v>
      </c>
      <c r="D2620" s="1">
        <v>46210.699560185189</v>
      </c>
      <c r="E2620" t="s">
        <v>42</v>
      </c>
      <c r="F2620" t="s">
        <v>83</v>
      </c>
      <c r="G2620">
        <v>0</v>
      </c>
      <c r="H2620" t="s">
        <v>43</v>
      </c>
      <c r="I2620" t="s">
        <v>1392</v>
      </c>
      <c r="J2620">
        <v>58</v>
      </c>
      <c r="K2620">
        <v>13</v>
      </c>
      <c r="L2620">
        <v>98</v>
      </c>
      <c r="M2620">
        <v>629.90002441000001</v>
      </c>
      <c r="N2620" t="s">
        <v>85</v>
      </c>
      <c r="O2620" t="s">
        <v>249</v>
      </c>
      <c r="P2620">
        <v>124</v>
      </c>
      <c r="Q2620" t="s">
        <v>249</v>
      </c>
      <c r="R2620">
        <v>0</v>
      </c>
      <c r="S2620">
        <v>700</v>
      </c>
      <c r="T2620">
        <v>-40</v>
      </c>
      <c r="U2620">
        <v>47</v>
      </c>
      <c r="V2620">
        <v>-5</v>
      </c>
      <c r="W2620">
        <v>30</v>
      </c>
      <c r="X2620">
        <v>30</v>
      </c>
      <c r="Y2620">
        <v>1</v>
      </c>
      <c r="Z2620">
        <v>8</v>
      </c>
      <c r="AA2620">
        <v>26</v>
      </c>
      <c r="AB2620">
        <v>1</v>
      </c>
      <c r="AC2620">
        <v>3</v>
      </c>
      <c r="AD2620">
        <v>3.2869999399999998</v>
      </c>
      <c r="AE2620">
        <v>1</v>
      </c>
      <c r="AF2620">
        <v>36</v>
      </c>
      <c r="AG2620">
        <v>3.2809998999999999</v>
      </c>
      <c r="AH2620">
        <v>4</v>
      </c>
      <c r="AI2620">
        <v>17</v>
      </c>
      <c r="AJ2620">
        <v>1</v>
      </c>
      <c r="AK2620">
        <v>21</v>
      </c>
      <c r="AL2620">
        <v>50</v>
      </c>
      <c r="AM2620" t="s">
        <v>43</v>
      </c>
      <c r="AN2620" t="str">
        <f>HYPERLINK("https://www.google.com/maps?q=10.81506538,79.14857483","Open Location")</f>
        <v>Open Location</v>
      </c>
    </row>
    <row r="2621" spans="1:40" x14ac:dyDescent="0.3">
      <c r="A2621" s="1">
        <v>46210.696296296293</v>
      </c>
      <c r="B2621" t="s">
        <v>40</v>
      </c>
      <c r="C2621" t="s">
        <v>41</v>
      </c>
      <c r="D2621" s="1">
        <v>46210.699062500003</v>
      </c>
      <c r="E2621" t="s">
        <v>42</v>
      </c>
      <c r="F2621" t="s">
        <v>83</v>
      </c>
      <c r="G2621">
        <v>0</v>
      </c>
      <c r="H2621">
        <v>33174</v>
      </c>
      <c r="I2621" t="s">
        <v>1393</v>
      </c>
      <c r="J2621">
        <v>58</v>
      </c>
      <c r="K2621">
        <v>5</v>
      </c>
      <c r="L2621">
        <v>98</v>
      </c>
      <c r="M2621">
        <v>630</v>
      </c>
      <c r="N2621" t="s">
        <v>85</v>
      </c>
      <c r="O2621" t="s">
        <v>249</v>
      </c>
      <c r="P2621">
        <v>124</v>
      </c>
      <c r="Q2621" t="s">
        <v>249</v>
      </c>
      <c r="R2621">
        <v>1</v>
      </c>
      <c r="S2621">
        <v>70</v>
      </c>
      <c r="T2621">
        <v>-40</v>
      </c>
      <c r="U2621">
        <v>47</v>
      </c>
      <c r="V2621">
        <v>-5</v>
      </c>
      <c r="W2621">
        <v>30</v>
      </c>
      <c r="X2621">
        <v>30</v>
      </c>
      <c r="Y2621">
        <v>1</v>
      </c>
      <c r="Z2621">
        <v>8</v>
      </c>
      <c r="AA2621">
        <v>26</v>
      </c>
      <c r="AB2621">
        <v>1</v>
      </c>
      <c r="AC2621">
        <v>3</v>
      </c>
      <c r="AD2621">
        <v>3.2869999399999998</v>
      </c>
      <c r="AE2621">
        <v>1</v>
      </c>
      <c r="AF2621">
        <v>25</v>
      </c>
      <c r="AG2621">
        <v>3.2820000600000001</v>
      </c>
      <c r="AH2621">
        <v>4</v>
      </c>
      <c r="AI2621">
        <v>17</v>
      </c>
      <c r="AJ2621">
        <v>1</v>
      </c>
      <c r="AK2621">
        <v>22</v>
      </c>
      <c r="AL2621">
        <v>50</v>
      </c>
      <c r="AM2621" t="s">
        <v>43</v>
      </c>
      <c r="AN2621" t="str">
        <f>HYPERLINK("https://www.google.com/maps?q=10.81507111,79.14859772","Open Location")</f>
        <v>Open Location</v>
      </c>
    </row>
    <row r="2622" spans="1:40" x14ac:dyDescent="0.3">
      <c r="A2622" s="1">
        <v>46210.696180555555</v>
      </c>
      <c r="B2622" t="s">
        <v>40</v>
      </c>
      <c r="C2622" t="s">
        <v>41</v>
      </c>
      <c r="D2622" s="1">
        <v>46210.699120370373</v>
      </c>
      <c r="E2622" t="s">
        <v>42</v>
      </c>
      <c r="F2622" t="s">
        <v>83</v>
      </c>
      <c r="G2622">
        <v>0</v>
      </c>
      <c r="H2622">
        <v>33174</v>
      </c>
      <c r="I2622" t="s">
        <v>43</v>
      </c>
      <c r="J2622">
        <v>58</v>
      </c>
      <c r="K2622">
        <v>4</v>
      </c>
      <c r="L2622">
        <v>98</v>
      </c>
      <c r="M2622">
        <v>630.20001220999995</v>
      </c>
      <c r="N2622" t="s">
        <v>85</v>
      </c>
      <c r="O2622" t="s">
        <v>82</v>
      </c>
      <c r="P2622">
        <v>125</v>
      </c>
      <c r="Q2622" t="s">
        <v>82</v>
      </c>
      <c r="R2622">
        <v>0</v>
      </c>
      <c r="S2622">
        <v>0</v>
      </c>
      <c r="T2622">
        <v>-40</v>
      </c>
      <c r="U2622">
        <v>47</v>
      </c>
      <c r="V2622">
        <v>0</v>
      </c>
      <c r="W2622">
        <v>30</v>
      </c>
      <c r="X2622">
        <v>30</v>
      </c>
      <c r="Y2622">
        <v>1</v>
      </c>
      <c r="Z2622">
        <v>8</v>
      </c>
      <c r="AA2622">
        <v>26</v>
      </c>
      <c r="AB2622">
        <v>1</v>
      </c>
      <c r="AC2622">
        <v>3</v>
      </c>
      <c r="AD2622">
        <v>3.28800011</v>
      </c>
      <c r="AE2622">
        <v>1</v>
      </c>
      <c r="AF2622">
        <v>23</v>
      </c>
      <c r="AG2622">
        <v>3.28500009</v>
      </c>
      <c r="AH2622">
        <v>4</v>
      </c>
      <c r="AI2622">
        <v>17</v>
      </c>
      <c r="AJ2622">
        <v>1</v>
      </c>
      <c r="AK2622">
        <v>19</v>
      </c>
      <c r="AL2622">
        <v>50</v>
      </c>
      <c r="AM2622" t="s">
        <v>43</v>
      </c>
      <c r="AN2622" t="s">
        <v>43</v>
      </c>
    </row>
    <row r="2623" spans="1:40" x14ac:dyDescent="0.3">
      <c r="A2623" s="1">
        <v>46210.696064814816</v>
      </c>
      <c r="B2623" t="s">
        <v>40</v>
      </c>
      <c r="C2623" t="s">
        <v>41</v>
      </c>
      <c r="D2623" s="1">
        <v>46210.699178240742</v>
      </c>
      <c r="E2623" t="s">
        <v>42</v>
      </c>
      <c r="F2623" t="s">
        <v>83</v>
      </c>
      <c r="G2623">
        <v>0</v>
      </c>
      <c r="H2623">
        <v>33174</v>
      </c>
      <c r="I2623" t="s">
        <v>1394</v>
      </c>
      <c r="J2623">
        <v>58</v>
      </c>
      <c r="K2623">
        <v>4</v>
      </c>
      <c r="L2623">
        <v>98</v>
      </c>
      <c r="M2623">
        <v>630.59997558999999</v>
      </c>
      <c r="N2623" t="s">
        <v>85</v>
      </c>
      <c r="O2623" t="s">
        <v>82</v>
      </c>
      <c r="P2623">
        <v>125</v>
      </c>
      <c r="Q2623" t="s">
        <v>82</v>
      </c>
      <c r="R2623">
        <v>0</v>
      </c>
      <c r="S2623">
        <v>0</v>
      </c>
      <c r="T2623">
        <v>-40</v>
      </c>
      <c r="U2623">
        <v>47</v>
      </c>
      <c r="V2623">
        <v>0</v>
      </c>
      <c r="W2623">
        <v>30</v>
      </c>
      <c r="X2623">
        <v>30</v>
      </c>
      <c r="Y2623">
        <v>1</v>
      </c>
      <c r="Z2623">
        <v>8</v>
      </c>
      <c r="AA2623">
        <v>26</v>
      </c>
      <c r="AB2623">
        <v>1</v>
      </c>
      <c r="AC2623">
        <v>3</v>
      </c>
      <c r="AD2623">
        <v>3.28800011</v>
      </c>
      <c r="AE2623">
        <v>1</v>
      </c>
      <c r="AF2623">
        <v>24</v>
      </c>
      <c r="AG2623">
        <v>3.28500009</v>
      </c>
      <c r="AH2623">
        <v>4</v>
      </c>
      <c r="AI2623">
        <v>17</v>
      </c>
      <c r="AJ2623">
        <v>1</v>
      </c>
      <c r="AK2623">
        <v>19</v>
      </c>
      <c r="AL2623">
        <v>50</v>
      </c>
      <c r="AM2623" t="s">
        <v>43</v>
      </c>
      <c r="AN2623" t="str">
        <f>HYPERLINK("https://www.google.com/maps?q=10.81507301,79.14859772","Open Location")</f>
        <v>Open Location</v>
      </c>
    </row>
    <row r="2624" spans="1:40" x14ac:dyDescent="0.3">
      <c r="A2624" s="1">
        <v>46210.695949074077</v>
      </c>
      <c r="B2624" t="s">
        <v>40</v>
      </c>
      <c r="C2624" t="s">
        <v>41</v>
      </c>
      <c r="D2624" s="1">
        <v>46210.698865740742</v>
      </c>
      <c r="E2624" t="s">
        <v>42</v>
      </c>
      <c r="F2624" t="s">
        <v>83</v>
      </c>
      <c r="G2624">
        <v>0</v>
      </c>
      <c r="H2624">
        <v>33174</v>
      </c>
      <c r="I2624" t="s">
        <v>1395</v>
      </c>
      <c r="J2624">
        <v>58</v>
      </c>
      <c r="K2624">
        <v>4</v>
      </c>
      <c r="L2624">
        <v>98</v>
      </c>
      <c r="M2624">
        <v>630</v>
      </c>
      <c r="N2624" t="s">
        <v>85</v>
      </c>
      <c r="O2624" t="s">
        <v>82</v>
      </c>
      <c r="P2624">
        <v>125</v>
      </c>
      <c r="Q2624" t="s">
        <v>82</v>
      </c>
      <c r="R2624">
        <v>0</v>
      </c>
      <c r="S2624">
        <v>0</v>
      </c>
      <c r="T2624">
        <v>-40</v>
      </c>
      <c r="U2624">
        <v>47</v>
      </c>
      <c r="V2624">
        <v>0</v>
      </c>
      <c r="W2624">
        <v>30</v>
      </c>
      <c r="X2624">
        <v>30</v>
      </c>
      <c r="Y2624">
        <v>1</v>
      </c>
      <c r="Z2624">
        <v>8</v>
      </c>
      <c r="AA2624">
        <v>26</v>
      </c>
      <c r="AB2624">
        <v>1</v>
      </c>
      <c r="AC2624">
        <v>3</v>
      </c>
      <c r="AD2624">
        <v>3.28800011</v>
      </c>
      <c r="AE2624">
        <v>1</v>
      </c>
      <c r="AF2624">
        <v>24</v>
      </c>
      <c r="AG2624">
        <v>3.28500009</v>
      </c>
      <c r="AH2624">
        <v>4</v>
      </c>
      <c r="AI2624">
        <v>17</v>
      </c>
      <c r="AJ2624">
        <v>1</v>
      </c>
      <c r="AK2624">
        <v>19</v>
      </c>
      <c r="AL2624">
        <v>50</v>
      </c>
      <c r="AM2624" t="s">
        <v>43</v>
      </c>
      <c r="AN2624" t="str">
        <f>HYPERLINK("https://www.google.com/maps?q=10.81507397,79.14859772","Open Location")</f>
        <v>Open Location</v>
      </c>
    </row>
    <row r="2625" spans="1:40" x14ac:dyDescent="0.3">
      <c r="A2625" s="1">
        <v>46210.695833333331</v>
      </c>
      <c r="B2625" t="s">
        <v>40</v>
      </c>
      <c r="C2625" t="s">
        <v>41</v>
      </c>
      <c r="D2625" s="1">
        <v>46210.698796296296</v>
      </c>
      <c r="E2625" t="s">
        <v>42</v>
      </c>
      <c r="F2625" t="s">
        <v>83</v>
      </c>
      <c r="G2625">
        <v>0</v>
      </c>
      <c r="H2625">
        <v>33174</v>
      </c>
      <c r="I2625" t="s">
        <v>1394</v>
      </c>
      <c r="J2625">
        <v>58</v>
      </c>
      <c r="K2625">
        <v>4</v>
      </c>
      <c r="L2625">
        <v>98</v>
      </c>
      <c r="M2625">
        <v>630.09997558999999</v>
      </c>
      <c r="N2625" t="s">
        <v>85</v>
      </c>
      <c r="O2625" t="s">
        <v>82</v>
      </c>
      <c r="P2625">
        <v>125</v>
      </c>
      <c r="Q2625" t="s">
        <v>82</v>
      </c>
      <c r="R2625">
        <v>0</v>
      </c>
      <c r="S2625">
        <v>0</v>
      </c>
      <c r="T2625">
        <v>-40</v>
      </c>
      <c r="U2625">
        <v>47</v>
      </c>
      <c r="V2625">
        <v>0</v>
      </c>
      <c r="W2625">
        <v>30</v>
      </c>
      <c r="X2625">
        <v>30</v>
      </c>
      <c r="Y2625">
        <v>1</v>
      </c>
      <c r="Z2625">
        <v>8</v>
      </c>
      <c r="AA2625">
        <v>26</v>
      </c>
      <c r="AB2625">
        <v>1</v>
      </c>
      <c r="AC2625">
        <v>3</v>
      </c>
      <c r="AD2625">
        <v>3.28800011</v>
      </c>
      <c r="AE2625">
        <v>1</v>
      </c>
      <c r="AF2625">
        <v>25</v>
      </c>
      <c r="AG2625">
        <v>3.28500009</v>
      </c>
      <c r="AH2625">
        <v>4</v>
      </c>
      <c r="AI2625">
        <v>17</v>
      </c>
      <c r="AJ2625">
        <v>1</v>
      </c>
      <c r="AK2625">
        <v>19</v>
      </c>
      <c r="AL2625">
        <v>50</v>
      </c>
      <c r="AM2625" t="s">
        <v>43</v>
      </c>
      <c r="AN2625" t="str">
        <f>HYPERLINK("https://www.google.com/maps?q=10.81507301,79.14859772","Open Location")</f>
        <v>Open Location</v>
      </c>
    </row>
    <row r="2626" spans="1:40" x14ac:dyDescent="0.3">
      <c r="A2626" s="1">
        <v>46210.695717592593</v>
      </c>
      <c r="B2626" t="s">
        <v>40</v>
      </c>
      <c r="C2626" t="s">
        <v>41</v>
      </c>
      <c r="D2626" s="1">
        <v>46210.698796296296</v>
      </c>
      <c r="E2626" t="s">
        <v>42</v>
      </c>
      <c r="F2626" t="s">
        <v>83</v>
      </c>
      <c r="G2626">
        <v>0</v>
      </c>
      <c r="H2626">
        <v>33174</v>
      </c>
      <c r="I2626" t="s">
        <v>1396</v>
      </c>
      <c r="J2626">
        <v>58</v>
      </c>
      <c r="K2626">
        <v>4</v>
      </c>
      <c r="L2626">
        <v>98</v>
      </c>
      <c r="M2626">
        <v>630</v>
      </c>
      <c r="N2626" t="s">
        <v>85</v>
      </c>
      <c r="O2626" t="s">
        <v>82</v>
      </c>
      <c r="P2626">
        <v>125</v>
      </c>
      <c r="Q2626" t="s">
        <v>82</v>
      </c>
      <c r="R2626">
        <v>0</v>
      </c>
      <c r="S2626">
        <v>0</v>
      </c>
      <c r="T2626">
        <v>-40</v>
      </c>
      <c r="U2626">
        <v>48</v>
      </c>
      <c r="V2626">
        <v>0</v>
      </c>
      <c r="W2626">
        <v>30</v>
      </c>
      <c r="X2626">
        <v>30</v>
      </c>
      <c r="Y2626">
        <v>1</v>
      </c>
      <c r="Z2626">
        <v>8</v>
      </c>
      <c r="AA2626">
        <v>26</v>
      </c>
      <c r="AB2626">
        <v>1</v>
      </c>
      <c r="AC2626">
        <v>3</v>
      </c>
      <c r="AD2626">
        <v>3.28800011</v>
      </c>
      <c r="AE2626">
        <v>1</v>
      </c>
      <c r="AF2626">
        <v>25</v>
      </c>
      <c r="AG2626">
        <v>3.28500009</v>
      </c>
      <c r="AH2626">
        <v>4</v>
      </c>
      <c r="AI2626">
        <v>17</v>
      </c>
      <c r="AJ2626">
        <v>1</v>
      </c>
      <c r="AK2626">
        <v>19</v>
      </c>
      <c r="AL2626">
        <v>50</v>
      </c>
      <c r="AM2626" t="s">
        <v>43</v>
      </c>
      <c r="AN2626" t="str">
        <f>HYPERLINK("https://www.google.com/maps?q=10.81507015,79.14859009","Open Location")</f>
        <v>Open Location</v>
      </c>
    </row>
    <row r="2627" spans="1:40" x14ac:dyDescent="0.3">
      <c r="A2627" s="1">
        <v>46210.695601851854</v>
      </c>
      <c r="B2627" t="s">
        <v>40</v>
      </c>
      <c r="C2627" t="s">
        <v>41</v>
      </c>
      <c r="D2627" s="1">
        <v>46210.698495370372</v>
      </c>
      <c r="E2627" t="s">
        <v>42</v>
      </c>
      <c r="F2627" t="s">
        <v>83</v>
      </c>
      <c r="G2627">
        <v>0</v>
      </c>
      <c r="H2627">
        <v>33174</v>
      </c>
      <c r="I2627" t="s">
        <v>43</v>
      </c>
      <c r="J2627">
        <v>58</v>
      </c>
      <c r="K2627">
        <v>4</v>
      </c>
      <c r="L2627">
        <v>98</v>
      </c>
      <c r="M2627">
        <v>630.09997558999999</v>
      </c>
      <c r="N2627" t="s">
        <v>85</v>
      </c>
      <c r="O2627" t="s">
        <v>82</v>
      </c>
      <c r="P2627">
        <v>125</v>
      </c>
      <c r="Q2627" t="s">
        <v>82</v>
      </c>
      <c r="R2627">
        <v>0</v>
      </c>
      <c r="S2627">
        <v>0</v>
      </c>
      <c r="T2627">
        <v>-40</v>
      </c>
      <c r="U2627">
        <v>48</v>
      </c>
      <c r="V2627">
        <v>0</v>
      </c>
      <c r="W2627">
        <v>30</v>
      </c>
      <c r="X2627">
        <v>30</v>
      </c>
      <c r="Y2627">
        <v>1</v>
      </c>
      <c r="Z2627">
        <v>8</v>
      </c>
      <c r="AA2627">
        <v>26</v>
      </c>
      <c r="AB2627">
        <v>1</v>
      </c>
      <c r="AC2627">
        <v>3</v>
      </c>
      <c r="AD2627">
        <v>3.28800011</v>
      </c>
      <c r="AE2627">
        <v>1</v>
      </c>
      <c r="AF2627">
        <v>25</v>
      </c>
      <c r="AG2627">
        <v>3.28500009</v>
      </c>
      <c r="AH2627">
        <v>2</v>
      </c>
      <c r="AI2627">
        <v>12</v>
      </c>
      <c r="AJ2627">
        <v>1</v>
      </c>
      <c r="AK2627">
        <v>19</v>
      </c>
      <c r="AL2627">
        <v>50</v>
      </c>
      <c r="AM2627" t="s">
        <v>43</v>
      </c>
      <c r="AN2627" t="s">
        <v>43</v>
      </c>
    </row>
    <row r="2628" spans="1:40" x14ac:dyDescent="0.3">
      <c r="A2628" s="1">
        <v>46210.695486111108</v>
      </c>
      <c r="B2628" t="s">
        <v>40</v>
      </c>
      <c r="C2628" t="s">
        <v>41</v>
      </c>
      <c r="D2628" s="1">
        <v>46210.698425925926</v>
      </c>
      <c r="E2628" t="s">
        <v>42</v>
      </c>
      <c r="F2628" t="s">
        <v>83</v>
      </c>
      <c r="G2628">
        <v>0</v>
      </c>
      <c r="H2628">
        <v>33174</v>
      </c>
      <c r="I2628" t="s">
        <v>1397</v>
      </c>
      <c r="J2628">
        <v>58</v>
      </c>
      <c r="K2628">
        <v>4</v>
      </c>
      <c r="L2628">
        <v>98</v>
      </c>
      <c r="M2628">
        <v>630.09997558999999</v>
      </c>
      <c r="N2628" t="s">
        <v>85</v>
      </c>
      <c r="O2628" t="s">
        <v>82</v>
      </c>
      <c r="P2628">
        <v>125</v>
      </c>
      <c r="Q2628" t="s">
        <v>82</v>
      </c>
      <c r="R2628">
        <v>0</v>
      </c>
      <c r="S2628">
        <v>0</v>
      </c>
      <c r="T2628">
        <v>-40</v>
      </c>
      <c r="U2628">
        <v>48</v>
      </c>
      <c r="V2628">
        <v>0</v>
      </c>
      <c r="W2628">
        <v>30</v>
      </c>
      <c r="X2628">
        <v>30</v>
      </c>
      <c r="Y2628">
        <v>1</v>
      </c>
      <c r="Z2628">
        <v>8</v>
      </c>
      <c r="AA2628">
        <v>26</v>
      </c>
      <c r="AB2628">
        <v>1</v>
      </c>
      <c r="AC2628">
        <v>3</v>
      </c>
      <c r="AD2628">
        <v>3.28800011</v>
      </c>
      <c r="AE2628">
        <v>1</v>
      </c>
      <c r="AF2628">
        <v>25</v>
      </c>
      <c r="AG2628">
        <v>3.28500009</v>
      </c>
      <c r="AH2628">
        <v>2</v>
      </c>
      <c r="AI2628">
        <v>3</v>
      </c>
      <c r="AJ2628">
        <v>1</v>
      </c>
      <c r="AK2628">
        <v>19</v>
      </c>
      <c r="AL2628">
        <v>50</v>
      </c>
      <c r="AM2628" t="s">
        <v>43</v>
      </c>
      <c r="AN2628" t="str">
        <f>HYPERLINK("https://www.google.com/maps?q=10.81506824,79.14859009","Open Location")</f>
        <v>Open Location</v>
      </c>
    </row>
    <row r="2629" spans="1:40" x14ac:dyDescent="0.3">
      <c r="A2629" s="1">
        <v>46210.695370370369</v>
      </c>
      <c r="B2629" t="s">
        <v>40</v>
      </c>
      <c r="C2629" t="s">
        <v>41</v>
      </c>
      <c r="D2629" s="1">
        <v>46210.698229166665</v>
      </c>
      <c r="E2629" t="s">
        <v>42</v>
      </c>
      <c r="F2629" t="s">
        <v>83</v>
      </c>
      <c r="G2629">
        <v>0</v>
      </c>
      <c r="H2629">
        <v>33174</v>
      </c>
      <c r="I2629" t="s">
        <v>1396</v>
      </c>
      <c r="J2629">
        <v>58</v>
      </c>
      <c r="K2629">
        <v>4</v>
      </c>
      <c r="L2629">
        <v>98</v>
      </c>
      <c r="M2629">
        <v>630.09997558999999</v>
      </c>
      <c r="N2629" t="s">
        <v>85</v>
      </c>
      <c r="O2629" t="s">
        <v>82</v>
      </c>
      <c r="P2629">
        <v>125</v>
      </c>
      <c r="Q2629" t="s">
        <v>82</v>
      </c>
      <c r="R2629">
        <v>0</v>
      </c>
      <c r="S2629">
        <v>0</v>
      </c>
      <c r="T2629">
        <v>-40</v>
      </c>
      <c r="U2629">
        <v>48</v>
      </c>
      <c r="V2629">
        <v>0</v>
      </c>
      <c r="W2629">
        <v>30</v>
      </c>
      <c r="X2629">
        <v>30</v>
      </c>
      <c r="Y2629">
        <v>1</v>
      </c>
      <c r="Z2629">
        <v>8</v>
      </c>
      <c r="AA2629">
        <v>26</v>
      </c>
      <c r="AB2629">
        <v>1</v>
      </c>
      <c r="AC2629">
        <v>3</v>
      </c>
      <c r="AD2629">
        <v>3.28800011</v>
      </c>
      <c r="AE2629">
        <v>1</v>
      </c>
      <c r="AF2629">
        <v>25</v>
      </c>
      <c r="AG2629">
        <v>3.28500009</v>
      </c>
      <c r="AH2629">
        <v>2</v>
      </c>
      <c r="AI2629">
        <v>3</v>
      </c>
      <c r="AJ2629">
        <v>1</v>
      </c>
      <c r="AK2629">
        <v>19</v>
      </c>
      <c r="AL2629">
        <v>50</v>
      </c>
      <c r="AM2629" t="s">
        <v>43</v>
      </c>
      <c r="AN2629" t="str">
        <f>HYPERLINK("https://www.google.com/maps?q=10.81507015,79.14859009","Open Location")</f>
        <v>Open Location</v>
      </c>
    </row>
    <row r="2630" spans="1:40" x14ac:dyDescent="0.3">
      <c r="A2630" s="1">
        <v>46210.695254629631</v>
      </c>
      <c r="B2630" t="s">
        <v>40</v>
      </c>
      <c r="C2630" t="s">
        <v>41</v>
      </c>
      <c r="D2630" s="1">
        <v>46210.698229166665</v>
      </c>
      <c r="E2630" t="s">
        <v>42</v>
      </c>
      <c r="F2630" t="s">
        <v>83</v>
      </c>
      <c r="G2630">
        <v>0</v>
      </c>
      <c r="H2630">
        <v>33174</v>
      </c>
      <c r="I2630" t="s">
        <v>1398</v>
      </c>
      <c r="J2630">
        <v>58</v>
      </c>
      <c r="K2630">
        <v>4</v>
      </c>
      <c r="L2630">
        <v>98</v>
      </c>
      <c r="M2630">
        <v>630.59997558999999</v>
      </c>
      <c r="N2630" t="s">
        <v>85</v>
      </c>
      <c r="O2630" t="s">
        <v>82</v>
      </c>
      <c r="P2630">
        <v>125</v>
      </c>
      <c r="Q2630" t="s">
        <v>82</v>
      </c>
      <c r="R2630">
        <v>0</v>
      </c>
      <c r="S2630">
        <v>0</v>
      </c>
      <c r="T2630">
        <v>-40</v>
      </c>
      <c r="U2630">
        <v>48</v>
      </c>
      <c r="V2630">
        <v>0</v>
      </c>
      <c r="W2630">
        <v>30</v>
      </c>
      <c r="X2630">
        <v>30</v>
      </c>
      <c r="Y2630">
        <v>1</v>
      </c>
      <c r="Z2630">
        <v>8</v>
      </c>
      <c r="AA2630">
        <v>26</v>
      </c>
      <c r="AB2630">
        <v>1</v>
      </c>
      <c r="AC2630">
        <v>3</v>
      </c>
      <c r="AD2630">
        <v>3.28800011</v>
      </c>
      <c r="AE2630">
        <v>1</v>
      </c>
      <c r="AF2630">
        <v>25</v>
      </c>
      <c r="AG2630">
        <v>3.28500009</v>
      </c>
      <c r="AH2630">
        <v>2</v>
      </c>
      <c r="AI2630">
        <v>3</v>
      </c>
      <c r="AJ2630">
        <v>1</v>
      </c>
      <c r="AK2630">
        <v>18</v>
      </c>
      <c r="AL2630">
        <v>50</v>
      </c>
      <c r="AM2630" t="s">
        <v>43</v>
      </c>
      <c r="AN2630" t="str">
        <f>HYPERLINK("https://www.google.com/maps?q=10.81507206,79.14859009","Open Location")</f>
        <v>Open Location</v>
      </c>
    </row>
    <row r="2631" spans="1:40" x14ac:dyDescent="0.3">
      <c r="A2631" s="1">
        <v>46210.695138888892</v>
      </c>
      <c r="B2631" t="s">
        <v>40</v>
      </c>
      <c r="C2631" t="s">
        <v>41</v>
      </c>
      <c r="D2631" s="1">
        <v>46210.697905092595</v>
      </c>
      <c r="E2631" t="s">
        <v>42</v>
      </c>
      <c r="F2631" t="s">
        <v>83</v>
      </c>
      <c r="G2631">
        <v>0</v>
      </c>
      <c r="H2631" t="s">
        <v>43</v>
      </c>
      <c r="I2631" t="s">
        <v>1399</v>
      </c>
      <c r="J2631">
        <v>58</v>
      </c>
      <c r="K2631">
        <v>4</v>
      </c>
      <c r="L2631">
        <v>98</v>
      </c>
      <c r="M2631">
        <v>630.59997558999999</v>
      </c>
      <c r="N2631" t="s">
        <v>85</v>
      </c>
      <c r="O2631" t="s">
        <v>82</v>
      </c>
      <c r="P2631">
        <v>125</v>
      </c>
      <c r="Q2631" t="s">
        <v>82</v>
      </c>
      <c r="R2631">
        <v>0</v>
      </c>
      <c r="S2631">
        <v>0</v>
      </c>
      <c r="T2631">
        <v>-40</v>
      </c>
      <c r="U2631">
        <v>48</v>
      </c>
      <c r="V2631">
        <v>0</v>
      </c>
      <c r="W2631">
        <v>30</v>
      </c>
      <c r="X2631">
        <v>30</v>
      </c>
      <c r="Y2631">
        <v>1</v>
      </c>
      <c r="Z2631">
        <v>8</v>
      </c>
      <c r="AA2631">
        <v>26</v>
      </c>
      <c r="AB2631">
        <v>1</v>
      </c>
      <c r="AC2631">
        <v>3</v>
      </c>
      <c r="AD2631">
        <v>3.28800011</v>
      </c>
      <c r="AE2631">
        <v>1</v>
      </c>
      <c r="AF2631">
        <v>25</v>
      </c>
      <c r="AG2631">
        <v>3.28500009</v>
      </c>
      <c r="AH2631">
        <v>1</v>
      </c>
      <c r="AI2631">
        <v>4</v>
      </c>
      <c r="AJ2631">
        <v>1</v>
      </c>
      <c r="AK2631">
        <v>19</v>
      </c>
      <c r="AL2631">
        <v>50</v>
      </c>
      <c r="AM2631" t="s">
        <v>43</v>
      </c>
      <c r="AN2631" t="str">
        <f>HYPERLINK("https://www.google.com/maps?q=10.81507111,79.14859009","Open Location")</f>
        <v>Open Location</v>
      </c>
    </row>
    <row r="2632" spans="1:40" x14ac:dyDescent="0.3">
      <c r="A2632" s="1">
        <v>46210.695023148146</v>
      </c>
      <c r="B2632" t="s">
        <v>40</v>
      </c>
      <c r="C2632" t="s">
        <v>41</v>
      </c>
      <c r="D2632" s="1">
        <v>46210.698009259257</v>
      </c>
      <c r="E2632" t="s">
        <v>42</v>
      </c>
      <c r="F2632" t="s">
        <v>83</v>
      </c>
      <c r="G2632">
        <v>0</v>
      </c>
      <c r="H2632">
        <v>33174</v>
      </c>
      <c r="I2632" t="s">
        <v>1400</v>
      </c>
      <c r="J2632">
        <v>58</v>
      </c>
      <c r="K2632">
        <v>4</v>
      </c>
      <c r="L2632">
        <v>98</v>
      </c>
      <c r="M2632">
        <v>630.79998779000005</v>
      </c>
      <c r="N2632" t="s">
        <v>85</v>
      </c>
      <c r="O2632" t="s">
        <v>82</v>
      </c>
      <c r="P2632">
        <v>125</v>
      </c>
      <c r="Q2632" t="s">
        <v>82</v>
      </c>
      <c r="R2632">
        <v>0</v>
      </c>
      <c r="S2632">
        <v>0</v>
      </c>
      <c r="T2632">
        <v>-40</v>
      </c>
      <c r="U2632">
        <v>48</v>
      </c>
      <c r="V2632">
        <v>0</v>
      </c>
      <c r="W2632">
        <v>30</v>
      </c>
      <c r="X2632">
        <v>30</v>
      </c>
      <c r="Y2632">
        <v>1</v>
      </c>
      <c r="Z2632">
        <v>8</v>
      </c>
      <c r="AA2632">
        <v>26</v>
      </c>
      <c r="AB2632">
        <v>1</v>
      </c>
      <c r="AC2632">
        <v>3</v>
      </c>
      <c r="AD2632">
        <v>3.28800011</v>
      </c>
      <c r="AE2632">
        <v>1</v>
      </c>
      <c r="AF2632">
        <v>25</v>
      </c>
      <c r="AG2632">
        <v>3.28500009</v>
      </c>
      <c r="AH2632">
        <v>1</v>
      </c>
      <c r="AI2632">
        <v>4</v>
      </c>
      <c r="AJ2632">
        <v>1</v>
      </c>
      <c r="AK2632">
        <v>19</v>
      </c>
      <c r="AL2632">
        <v>50</v>
      </c>
      <c r="AM2632" t="s">
        <v>43</v>
      </c>
      <c r="AN2632" t="str">
        <f>HYPERLINK("https://www.google.com/maps?q=10.81507301,79.14859009","Open Location")</f>
        <v>Open Location</v>
      </c>
    </row>
    <row r="2633" spans="1:40" x14ac:dyDescent="0.3">
      <c r="A2633" s="1">
        <v>46210.694907407407</v>
      </c>
      <c r="B2633" t="s">
        <v>40</v>
      </c>
      <c r="C2633" t="s">
        <v>41</v>
      </c>
      <c r="D2633" s="1">
        <v>46210.697731481479</v>
      </c>
      <c r="E2633" t="s">
        <v>42</v>
      </c>
      <c r="F2633" t="s">
        <v>83</v>
      </c>
      <c r="G2633">
        <v>0</v>
      </c>
      <c r="H2633">
        <v>33174</v>
      </c>
      <c r="I2633" t="s">
        <v>43</v>
      </c>
      <c r="J2633">
        <v>58</v>
      </c>
      <c r="K2633">
        <v>4</v>
      </c>
      <c r="L2633">
        <v>98</v>
      </c>
      <c r="M2633">
        <v>630.70001220999995</v>
      </c>
      <c r="N2633" t="s">
        <v>85</v>
      </c>
      <c r="O2633" t="s">
        <v>82</v>
      </c>
      <c r="P2633">
        <v>125</v>
      </c>
      <c r="Q2633" t="s">
        <v>82</v>
      </c>
      <c r="R2633">
        <v>0</v>
      </c>
      <c r="S2633">
        <v>0</v>
      </c>
      <c r="T2633">
        <v>-40</v>
      </c>
      <c r="U2633">
        <v>48</v>
      </c>
      <c r="V2633">
        <v>0</v>
      </c>
      <c r="W2633">
        <v>30</v>
      </c>
      <c r="X2633">
        <v>30</v>
      </c>
      <c r="Y2633">
        <v>1</v>
      </c>
      <c r="Z2633">
        <v>8</v>
      </c>
      <c r="AA2633">
        <v>26</v>
      </c>
      <c r="AB2633">
        <v>1</v>
      </c>
      <c r="AC2633">
        <v>3</v>
      </c>
      <c r="AD2633">
        <v>3.28800011</v>
      </c>
      <c r="AE2633">
        <v>1</v>
      </c>
      <c r="AF2633">
        <v>29</v>
      </c>
      <c r="AG2633">
        <v>3.28500009</v>
      </c>
      <c r="AH2633">
        <v>1</v>
      </c>
      <c r="AI2633">
        <v>4</v>
      </c>
      <c r="AJ2633">
        <v>1</v>
      </c>
      <c r="AK2633">
        <v>19</v>
      </c>
      <c r="AL2633">
        <v>50</v>
      </c>
      <c r="AM2633" t="s">
        <v>43</v>
      </c>
      <c r="AN2633" t="s">
        <v>43</v>
      </c>
    </row>
    <row r="2634" spans="1:40" x14ac:dyDescent="0.3">
      <c r="A2634" s="1">
        <v>46210.694791666669</v>
      </c>
      <c r="B2634" t="s">
        <v>40</v>
      </c>
      <c r="C2634" t="s">
        <v>41</v>
      </c>
      <c r="D2634" s="1">
        <v>46210.697731481479</v>
      </c>
      <c r="E2634" t="s">
        <v>42</v>
      </c>
      <c r="F2634" t="s">
        <v>83</v>
      </c>
      <c r="G2634">
        <v>0</v>
      </c>
      <c r="H2634">
        <v>33174</v>
      </c>
      <c r="I2634" t="s">
        <v>1401</v>
      </c>
      <c r="J2634">
        <v>58</v>
      </c>
      <c r="K2634">
        <v>4</v>
      </c>
      <c r="L2634">
        <v>98</v>
      </c>
      <c r="M2634">
        <v>629.90002441000001</v>
      </c>
      <c r="N2634" t="s">
        <v>85</v>
      </c>
      <c r="O2634" t="s">
        <v>82</v>
      </c>
      <c r="P2634">
        <v>125</v>
      </c>
      <c r="Q2634" t="s">
        <v>82</v>
      </c>
      <c r="R2634">
        <v>0</v>
      </c>
      <c r="S2634">
        <v>0</v>
      </c>
      <c r="T2634">
        <v>-40</v>
      </c>
      <c r="U2634">
        <v>48</v>
      </c>
      <c r="V2634">
        <v>0</v>
      </c>
      <c r="W2634">
        <v>30</v>
      </c>
      <c r="X2634">
        <v>30</v>
      </c>
      <c r="Y2634">
        <v>1</v>
      </c>
      <c r="Z2634">
        <v>8</v>
      </c>
      <c r="AA2634">
        <v>26</v>
      </c>
      <c r="AB2634">
        <v>2</v>
      </c>
      <c r="AC2634">
        <v>1</v>
      </c>
      <c r="AD2634">
        <v>3.28800011</v>
      </c>
      <c r="AE2634">
        <v>1</v>
      </c>
      <c r="AF2634">
        <v>29</v>
      </c>
      <c r="AG2634">
        <v>3.2839999199999999</v>
      </c>
      <c r="AH2634">
        <v>4</v>
      </c>
      <c r="AI2634">
        <v>17</v>
      </c>
      <c r="AJ2634">
        <v>1</v>
      </c>
      <c r="AK2634">
        <v>19</v>
      </c>
      <c r="AL2634">
        <v>50</v>
      </c>
      <c r="AM2634" t="s">
        <v>43</v>
      </c>
      <c r="AN2634" t="str">
        <f>HYPERLINK("https://www.google.com/maps?q=10.81507683,79.14859009","Open Location")</f>
        <v>Open Location</v>
      </c>
    </row>
    <row r="2635" spans="1:40" x14ac:dyDescent="0.3">
      <c r="A2635" s="1">
        <v>46210.694675925923</v>
      </c>
      <c r="B2635" t="s">
        <v>40</v>
      </c>
      <c r="C2635" t="s">
        <v>41</v>
      </c>
      <c r="D2635" s="1">
        <v>46210.697592592594</v>
      </c>
      <c r="E2635" t="s">
        <v>42</v>
      </c>
      <c r="F2635" t="s">
        <v>83</v>
      </c>
      <c r="G2635">
        <v>0</v>
      </c>
      <c r="H2635">
        <v>33174</v>
      </c>
      <c r="I2635" t="s">
        <v>1402</v>
      </c>
      <c r="J2635">
        <v>58</v>
      </c>
      <c r="K2635">
        <v>4</v>
      </c>
      <c r="L2635">
        <v>98</v>
      </c>
      <c r="M2635">
        <v>630.79998779000005</v>
      </c>
      <c r="N2635" t="s">
        <v>85</v>
      </c>
      <c r="O2635" t="s">
        <v>82</v>
      </c>
      <c r="P2635">
        <v>125</v>
      </c>
      <c r="Q2635" t="s">
        <v>82</v>
      </c>
      <c r="R2635">
        <v>0</v>
      </c>
      <c r="S2635">
        <v>0</v>
      </c>
      <c r="T2635">
        <v>-40</v>
      </c>
      <c r="U2635">
        <v>48</v>
      </c>
      <c r="V2635">
        <v>0</v>
      </c>
      <c r="W2635">
        <v>30</v>
      </c>
      <c r="X2635">
        <v>30</v>
      </c>
      <c r="Y2635">
        <v>1</v>
      </c>
      <c r="Z2635">
        <v>8</v>
      </c>
      <c r="AA2635">
        <v>26</v>
      </c>
      <c r="AB2635">
        <v>2</v>
      </c>
      <c r="AC2635">
        <v>1</v>
      </c>
      <c r="AD2635">
        <v>3.28800011</v>
      </c>
      <c r="AE2635">
        <v>5</v>
      </c>
      <c r="AF2635">
        <v>38</v>
      </c>
      <c r="AG2635">
        <v>3.2839999199999999</v>
      </c>
      <c r="AH2635">
        <v>4</v>
      </c>
      <c r="AI2635">
        <v>17</v>
      </c>
      <c r="AJ2635">
        <v>1</v>
      </c>
      <c r="AK2635">
        <v>19</v>
      </c>
      <c r="AL2635">
        <v>50</v>
      </c>
      <c r="AM2635" t="s">
        <v>43</v>
      </c>
      <c r="AN2635" t="str">
        <f>HYPERLINK("https://www.google.com/maps?q=10.8150816,79.14858246","Open Location")</f>
        <v>Open Location</v>
      </c>
    </row>
    <row r="2636" spans="1:40" x14ac:dyDescent="0.3">
      <c r="A2636" s="1">
        <v>46210.694560185184</v>
      </c>
      <c r="B2636" t="s">
        <v>40</v>
      </c>
      <c r="C2636" t="s">
        <v>41</v>
      </c>
      <c r="D2636" s="1">
        <v>46210.697511574072</v>
      </c>
      <c r="E2636" t="s">
        <v>42</v>
      </c>
      <c r="F2636" t="s">
        <v>83</v>
      </c>
      <c r="G2636">
        <v>0</v>
      </c>
      <c r="H2636">
        <v>33174</v>
      </c>
      <c r="I2636" t="s">
        <v>1403</v>
      </c>
      <c r="J2636">
        <v>58</v>
      </c>
      <c r="K2636">
        <v>4</v>
      </c>
      <c r="L2636">
        <v>98</v>
      </c>
      <c r="M2636">
        <v>630.29998779000005</v>
      </c>
      <c r="N2636" t="s">
        <v>85</v>
      </c>
      <c r="O2636" t="s">
        <v>82</v>
      </c>
      <c r="P2636">
        <v>125</v>
      </c>
      <c r="Q2636" t="s">
        <v>82</v>
      </c>
      <c r="R2636">
        <v>0</v>
      </c>
      <c r="S2636">
        <v>0</v>
      </c>
      <c r="T2636">
        <v>-40</v>
      </c>
      <c r="U2636">
        <v>48</v>
      </c>
      <c r="V2636">
        <v>0</v>
      </c>
      <c r="W2636">
        <v>30</v>
      </c>
      <c r="X2636">
        <v>30</v>
      </c>
      <c r="Y2636">
        <v>1</v>
      </c>
      <c r="Z2636">
        <v>8</v>
      </c>
      <c r="AA2636">
        <v>26</v>
      </c>
      <c r="AB2636">
        <v>2</v>
      </c>
      <c r="AC2636">
        <v>1</v>
      </c>
      <c r="AD2636">
        <v>3.2869999399999998</v>
      </c>
      <c r="AE2636">
        <v>1</v>
      </c>
      <c r="AF2636">
        <v>23</v>
      </c>
      <c r="AG2636">
        <v>3.2839999199999999</v>
      </c>
      <c r="AH2636">
        <v>4</v>
      </c>
      <c r="AI2636">
        <v>17</v>
      </c>
      <c r="AJ2636">
        <v>1</v>
      </c>
      <c r="AK2636">
        <v>19</v>
      </c>
      <c r="AL2636">
        <v>50</v>
      </c>
      <c r="AM2636" t="s">
        <v>43</v>
      </c>
      <c r="AN2636" t="str">
        <f>HYPERLINK("https://www.google.com/maps?q=10.81508923,79.14859009","Open Location")</f>
        <v>Open Location</v>
      </c>
    </row>
    <row r="2637" spans="1:40" x14ac:dyDescent="0.3">
      <c r="A2637" s="1">
        <v>46210.694444444445</v>
      </c>
      <c r="B2637" t="s">
        <v>40</v>
      </c>
      <c r="C2637" t="s">
        <v>41</v>
      </c>
      <c r="D2637" s="1">
        <v>46210.697337962964</v>
      </c>
      <c r="E2637" t="s">
        <v>42</v>
      </c>
      <c r="F2637" t="s">
        <v>83</v>
      </c>
      <c r="G2637">
        <v>0</v>
      </c>
      <c r="H2637" t="s">
        <v>43</v>
      </c>
      <c r="I2637" t="s">
        <v>1404</v>
      </c>
      <c r="J2637" t="s">
        <v>43</v>
      </c>
      <c r="K2637" t="s">
        <v>43</v>
      </c>
      <c r="L2637" t="s">
        <v>43</v>
      </c>
      <c r="M2637" t="s">
        <v>43</v>
      </c>
      <c r="N2637" t="s">
        <v>85</v>
      </c>
      <c r="O2637" t="s">
        <v>82</v>
      </c>
      <c r="P2637">
        <v>125</v>
      </c>
      <c r="Q2637" t="s">
        <v>82</v>
      </c>
      <c r="R2637">
        <v>0</v>
      </c>
      <c r="S2637">
        <v>0</v>
      </c>
      <c r="T2637">
        <v>-40</v>
      </c>
      <c r="U2637">
        <v>48</v>
      </c>
      <c r="V2637">
        <v>0</v>
      </c>
      <c r="W2637">
        <v>30</v>
      </c>
      <c r="X2637">
        <v>30</v>
      </c>
      <c r="Y2637">
        <v>1</v>
      </c>
      <c r="Z2637">
        <v>8</v>
      </c>
      <c r="AA2637">
        <v>26</v>
      </c>
      <c r="AB2637">
        <v>2</v>
      </c>
      <c r="AC2637">
        <v>1</v>
      </c>
      <c r="AD2637">
        <v>3.2869999399999998</v>
      </c>
      <c r="AE2637">
        <v>1</v>
      </c>
      <c r="AF2637">
        <v>24</v>
      </c>
      <c r="AG2637">
        <v>3.2839999199999999</v>
      </c>
      <c r="AH2637">
        <v>4</v>
      </c>
      <c r="AI2637">
        <v>17</v>
      </c>
      <c r="AJ2637">
        <v>1</v>
      </c>
      <c r="AK2637">
        <v>19</v>
      </c>
      <c r="AL2637">
        <v>50</v>
      </c>
      <c r="AM2637" t="s">
        <v>43</v>
      </c>
      <c r="AN2637" t="str">
        <f>HYPERLINK("https://www.google.com/maps?q=10.81509876,79.14858246","Open Location")</f>
        <v>Open Location</v>
      </c>
    </row>
    <row r="2638" spans="1:40" x14ac:dyDescent="0.3">
      <c r="A2638" s="1">
        <v>46210.694328703707</v>
      </c>
      <c r="B2638" t="s">
        <v>40</v>
      </c>
      <c r="C2638" t="s">
        <v>41</v>
      </c>
      <c r="D2638" s="1">
        <v>46210.697210648148</v>
      </c>
      <c r="E2638" t="s">
        <v>42</v>
      </c>
      <c r="F2638" t="s">
        <v>83</v>
      </c>
      <c r="G2638">
        <v>0</v>
      </c>
      <c r="H2638">
        <v>33174</v>
      </c>
      <c r="I2638" t="s">
        <v>1405</v>
      </c>
      <c r="J2638">
        <v>58</v>
      </c>
      <c r="K2638">
        <v>4</v>
      </c>
      <c r="L2638">
        <v>98</v>
      </c>
      <c r="M2638">
        <v>630.40002441000001</v>
      </c>
      <c r="N2638" t="s">
        <v>85</v>
      </c>
      <c r="O2638" t="s">
        <v>82</v>
      </c>
      <c r="P2638">
        <v>125</v>
      </c>
      <c r="Q2638" t="s">
        <v>82</v>
      </c>
      <c r="R2638">
        <v>0</v>
      </c>
      <c r="S2638">
        <v>0</v>
      </c>
      <c r="T2638">
        <v>-40</v>
      </c>
      <c r="U2638">
        <v>48</v>
      </c>
      <c r="V2638">
        <v>0</v>
      </c>
      <c r="W2638" t="s">
        <v>43</v>
      </c>
      <c r="X2638" t="s">
        <v>43</v>
      </c>
      <c r="Y2638" t="s">
        <v>43</v>
      </c>
      <c r="Z2638" t="s">
        <v>43</v>
      </c>
      <c r="AA2638" t="s">
        <v>43</v>
      </c>
      <c r="AB2638" t="s">
        <v>43</v>
      </c>
      <c r="AC2638" t="s">
        <v>43</v>
      </c>
      <c r="AD2638" t="s">
        <v>43</v>
      </c>
      <c r="AE2638" t="s">
        <v>43</v>
      </c>
      <c r="AF2638" t="s">
        <v>43</v>
      </c>
      <c r="AG2638" t="s">
        <v>43</v>
      </c>
      <c r="AH2638" t="s">
        <v>43</v>
      </c>
      <c r="AI2638" t="s">
        <v>43</v>
      </c>
      <c r="AJ2638">
        <v>1</v>
      </c>
      <c r="AK2638">
        <v>19</v>
      </c>
      <c r="AL2638">
        <v>50</v>
      </c>
      <c r="AM2638" t="s">
        <v>43</v>
      </c>
      <c r="AN2638" t="str">
        <f>HYPERLINK("https://www.google.com/maps?q=10.81510735,79.14858246","Open Location")</f>
        <v>Open Location</v>
      </c>
    </row>
    <row r="2639" spans="1:40" x14ac:dyDescent="0.3">
      <c r="A2639" s="1">
        <v>46210.694212962961</v>
      </c>
      <c r="B2639" t="s">
        <v>40</v>
      </c>
      <c r="C2639" t="s">
        <v>41</v>
      </c>
      <c r="D2639" s="1">
        <v>46210.697106481479</v>
      </c>
      <c r="E2639" t="s">
        <v>42</v>
      </c>
      <c r="F2639" t="s">
        <v>83</v>
      </c>
      <c r="G2639">
        <v>0</v>
      </c>
      <c r="H2639">
        <v>33174</v>
      </c>
      <c r="I2639" t="s">
        <v>43</v>
      </c>
      <c r="J2639">
        <v>58</v>
      </c>
      <c r="K2639">
        <v>4</v>
      </c>
      <c r="L2639">
        <v>98</v>
      </c>
      <c r="M2639">
        <v>630.5</v>
      </c>
      <c r="N2639" t="s">
        <v>85</v>
      </c>
      <c r="O2639" t="s">
        <v>82</v>
      </c>
      <c r="P2639">
        <v>125</v>
      </c>
      <c r="Q2639" t="s">
        <v>82</v>
      </c>
      <c r="R2639">
        <v>0</v>
      </c>
      <c r="S2639">
        <v>0</v>
      </c>
      <c r="T2639">
        <v>-40</v>
      </c>
      <c r="U2639">
        <v>48</v>
      </c>
      <c r="V2639">
        <v>0</v>
      </c>
      <c r="W2639">
        <v>30</v>
      </c>
      <c r="X2639">
        <v>30</v>
      </c>
      <c r="Y2639">
        <v>1</v>
      </c>
      <c r="Z2639">
        <v>8</v>
      </c>
      <c r="AA2639">
        <v>26</v>
      </c>
      <c r="AB2639">
        <v>2</v>
      </c>
      <c r="AC2639">
        <v>1</v>
      </c>
      <c r="AD2639">
        <v>3.2869999399999998</v>
      </c>
      <c r="AE2639">
        <v>1</v>
      </c>
      <c r="AF2639">
        <v>25</v>
      </c>
      <c r="AG2639">
        <v>3.2839999199999999</v>
      </c>
      <c r="AH2639">
        <v>2</v>
      </c>
      <c r="AI2639">
        <v>3</v>
      </c>
      <c r="AJ2639">
        <v>1</v>
      </c>
      <c r="AK2639">
        <v>19</v>
      </c>
      <c r="AL2639">
        <v>50</v>
      </c>
      <c r="AM2639" t="s">
        <v>43</v>
      </c>
      <c r="AN2639" t="s">
        <v>43</v>
      </c>
    </row>
    <row r="2640" spans="1:40" x14ac:dyDescent="0.3">
      <c r="A2640" s="1">
        <v>46210.694097222222</v>
      </c>
      <c r="B2640" t="s">
        <v>40</v>
      </c>
      <c r="C2640" t="s">
        <v>41</v>
      </c>
      <c r="D2640" s="1">
        <v>46210.697106481479</v>
      </c>
      <c r="E2640" t="s">
        <v>42</v>
      </c>
      <c r="F2640" t="s">
        <v>83</v>
      </c>
      <c r="G2640">
        <v>0</v>
      </c>
      <c r="H2640" t="s">
        <v>43</v>
      </c>
      <c r="I2640" t="s">
        <v>1406</v>
      </c>
      <c r="J2640">
        <v>58</v>
      </c>
      <c r="K2640">
        <v>4</v>
      </c>
      <c r="L2640">
        <v>98</v>
      </c>
      <c r="M2640">
        <v>629.90002441000001</v>
      </c>
      <c r="N2640" t="s">
        <v>85</v>
      </c>
      <c r="O2640" t="s">
        <v>82</v>
      </c>
      <c r="P2640">
        <v>125</v>
      </c>
      <c r="Q2640" t="s">
        <v>82</v>
      </c>
      <c r="R2640">
        <v>0</v>
      </c>
      <c r="S2640">
        <v>0</v>
      </c>
      <c r="T2640">
        <v>-40</v>
      </c>
      <c r="U2640">
        <v>48</v>
      </c>
      <c r="V2640">
        <v>0</v>
      </c>
      <c r="W2640">
        <v>30</v>
      </c>
      <c r="X2640">
        <v>30</v>
      </c>
      <c r="Y2640">
        <v>1</v>
      </c>
      <c r="Z2640">
        <v>8</v>
      </c>
      <c r="AA2640">
        <v>26</v>
      </c>
      <c r="AB2640">
        <v>2</v>
      </c>
      <c r="AC2640">
        <v>1</v>
      </c>
      <c r="AD2640">
        <v>3.2869999399999998</v>
      </c>
      <c r="AE2640">
        <v>1</v>
      </c>
      <c r="AF2640">
        <v>25</v>
      </c>
      <c r="AG2640">
        <v>3.2839999199999999</v>
      </c>
      <c r="AH2640">
        <v>2</v>
      </c>
      <c r="AI2640">
        <v>3</v>
      </c>
      <c r="AJ2640">
        <v>1</v>
      </c>
      <c r="AK2640">
        <v>19</v>
      </c>
      <c r="AL2640">
        <v>50</v>
      </c>
      <c r="AM2640" t="s">
        <v>43</v>
      </c>
      <c r="AN2640" t="str">
        <f>HYPERLINK("https://www.google.com/maps?q=10.81511211,79.14858246","Open Location")</f>
        <v>Open Location</v>
      </c>
    </row>
    <row r="2641" spans="1:40" x14ac:dyDescent="0.3">
      <c r="A2641" s="1">
        <v>46210.693981481483</v>
      </c>
      <c r="B2641" t="s">
        <v>40</v>
      </c>
      <c r="C2641" t="s">
        <v>41</v>
      </c>
      <c r="D2641" s="1">
        <v>46210.696863425925</v>
      </c>
      <c r="E2641" t="s">
        <v>42</v>
      </c>
      <c r="F2641" t="s">
        <v>83</v>
      </c>
      <c r="G2641">
        <v>0</v>
      </c>
      <c r="H2641">
        <v>33174</v>
      </c>
      <c r="I2641" t="s">
        <v>1407</v>
      </c>
      <c r="J2641">
        <v>58</v>
      </c>
      <c r="K2641">
        <v>4</v>
      </c>
      <c r="L2641">
        <v>98</v>
      </c>
      <c r="M2641">
        <v>630.5</v>
      </c>
      <c r="N2641" t="s">
        <v>85</v>
      </c>
      <c r="O2641" t="s">
        <v>82</v>
      </c>
      <c r="P2641">
        <v>125</v>
      </c>
      <c r="Q2641" t="s">
        <v>82</v>
      </c>
      <c r="R2641">
        <v>0</v>
      </c>
      <c r="S2641">
        <v>0</v>
      </c>
      <c r="T2641">
        <v>-40</v>
      </c>
      <c r="U2641">
        <v>48</v>
      </c>
      <c r="V2641">
        <v>0</v>
      </c>
      <c r="W2641">
        <v>30</v>
      </c>
      <c r="X2641">
        <v>30</v>
      </c>
      <c r="Y2641">
        <v>1</v>
      </c>
      <c r="Z2641">
        <v>8</v>
      </c>
      <c r="AA2641">
        <v>26</v>
      </c>
      <c r="AB2641">
        <v>2</v>
      </c>
      <c r="AC2641">
        <v>1</v>
      </c>
      <c r="AD2641">
        <v>3.2869999399999998</v>
      </c>
      <c r="AE2641">
        <v>1</v>
      </c>
      <c r="AF2641">
        <v>25</v>
      </c>
      <c r="AG2641">
        <v>3.2839999199999999</v>
      </c>
      <c r="AH2641">
        <v>1</v>
      </c>
      <c r="AI2641">
        <v>4</v>
      </c>
      <c r="AJ2641">
        <v>1</v>
      </c>
      <c r="AK2641">
        <v>19</v>
      </c>
      <c r="AL2641">
        <v>50</v>
      </c>
      <c r="AM2641" t="s">
        <v>43</v>
      </c>
      <c r="AN2641" t="str">
        <f>HYPERLINK("https://www.google.com/maps?q=10.81510925,79.14859009","Open Location")</f>
        <v>Open Location</v>
      </c>
    </row>
    <row r="2642" spans="1:40" x14ac:dyDescent="0.3">
      <c r="A2642" s="1">
        <v>46210.693865740737</v>
      </c>
      <c r="B2642" t="s">
        <v>40</v>
      </c>
      <c r="C2642" t="s">
        <v>41</v>
      </c>
      <c r="D2642" s="1">
        <v>46210.697013888886</v>
      </c>
      <c r="E2642" t="s">
        <v>42</v>
      </c>
      <c r="F2642" t="s">
        <v>83</v>
      </c>
      <c r="G2642">
        <v>0</v>
      </c>
      <c r="H2642">
        <v>33174</v>
      </c>
      <c r="I2642" t="s">
        <v>1407</v>
      </c>
      <c r="J2642">
        <v>58</v>
      </c>
      <c r="K2642">
        <v>4</v>
      </c>
      <c r="L2642">
        <v>98</v>
      </c>
      <c r="M2642">
        <v>629.79998779000005</v>
      </c>
      <c r="N2642" t="s">
        <v>85</v>
      </c>
      <c r="O2642" t="s">
        <v>82</v>
      </c>
      <c r="P2642">
        <v>125</v>
      </c>
      <c r="Q2642" t="s">
        <v>82</v>
      </c>
      <c r="R2642">
        <v>0</v>
      </c>
      <c r="S2642">
        <v>0</v>
      </c>
      <c r="T2642">
        <v>-40</v>
      </c>
      <c r="U2642">
        <v>48</v>
      </c>
      <c r="V2642">
        <v>0</v>
      </c>
      <c r="W2642">
        <v>30</v>
      </c>
      <c r="X2642">
        <v>30</v>
      </c>
      <c r="Y2642">
        <v>1</v>
      </c>
      <c r="Z2642">
        <v>8</v>
      </c>
      <c r="AA2642">
        <v>26</v>
      </c>
      <c r="AB2642">
        <v>2</v>
      </c>
      <c r="AC2642">
        <v>1</v>
      </c>
      <c r="AD2642">
        <v>3.2869999399999998</v>
      </c>
      <c r="AE2642">
        <v>1</v>
      </c>
      <c r="AF2642">
        <v>29</v>
      </c>
      <c r="AG2642">
        <v>3.2839999199999999</v>
      </c>
      <c r="AH2642">
        <v>1</v>
      </c>
      <c r="AI2642">
        <v>4</v>
      </c>
      <c r="AJ2642">
        <v>1</v>
      </c>
      <c r="AK2642">
        <v>19</v>
      </c>
      <c r="AL2642">
        <v>51</v>
      </c>
      <c r="AM2642" t="s">
        <v>43</v>
      </c>
      <c r="AN2642" t="str">
        <f>HYPERLINK("https://www.google.com/maps?q=10.81510925,79.14859009","Open Location")</f>
        <v>Open Location</v>
      </c>
    </row>
    <row r="2643" spans="1:40" x14ac:dyDescent="0.3">
      <c r="A2643" s="1">
        <v>46210.693749999999</v>
      </c>
      <c r="B2643" t="s">
        <v>40</v>
      </c>
      <c r="C2643" t="s">
        <v>41</v>
      </c>
      <c r="D2643" s="1">
        <v>46210.696539351855</v>
      </c>
      <c r="E2643" t="s">
        <v>42</v>
      </c>
      <c r="F2643" t="s">
        <v>83</v>
      </c>
      <c r="G2643">
        <v>0</v>
      </c>
      <c r="H2643">
        <v>33174</v>
      </c>
      <c r="I2643" t="s">
        <v>1408</v>
      </c>
      <c r="J2643">
        <v>58</v>
      </c>
      <c r="K2643">
        <v>4</v>
      </c>
      <c r="L2643">
        <v>98</v>
      </c>
      <c r="M2643">
        <v>630.40002441000001</v>
      </c>
      <c r="N2643" t="s">
        <v>85</v>
      </c>
      <c r="O2643" t="s">
        <v>82</v>
      </c>
      <c r="P2643">
        <v>125</v>
      </c>
      <c r="Q2643" t="s">
        <v>82</v>
      </c>
      <c r="R2643">
        <v>0</v>
      </c>
      <c r="S2643">
        <v>0</v>
      </c>
      <c r="T2643">
        <v>-40</v>
      </c>
      <c r="U2643">
        <v>48</v>
      </c>
      <c r="V2643">
        <v>0</v>
      </c>
      <c r="W2643">
        <v>30</v>
      </c>
      <c r="X2643">
        <v>30</v>
      </c>
      <c r="Y2643">
        <v>1</v>
      </c>
      <c r="Z2643">
        <v>8</v>
      </c>
      <c r="AA2643">
        <v>26</v>
      </c>
      <c r="AB2643">
        <v>2</v>
      </c>
      <c r="AC2643">
        <v>1</v>
      </c>
      <c r="AD2643">
        <v>3.2869999399999998</v>
      </c>
      <c r="AE2643">
        <v>1</v>
      </c>
      <c r="AF2643">
        <v>36</v>
      </c>
      <c r="AG2643">
        <v>3.28299999</v>
      </c>
      <c r="AH2643">
        <v>4</v>
      </c>
      <c r="AI2643">
        <v>17</v>
      </c>
      <c r="AJ2643">
        <v>1</v>
      </c>
      <c r="AK2643">
        <v>19</v>
      </c>
      <c r="AL2643">
        <v>51</v>
      </c>
      <c r="AM2643" t="s">
        <v>43</v>
      </c>
      <c r="AN2643" t="str">
        <f>HYPERLINK("https://www.google.com/maps?q=10.81510735,79.14859009","Open Location")</f>
        <v>Open Location</v>
      </c>
    </row>
    <row r="2644" spans="1:40" x14ac:dyDescent="0.3">
      <c r="A2644" s="1">
        <v>46210.69363425926</v>
      </c>
      <c r="B2644" t="s">
        <v>40</v>
      </c>
      <c r="C2644" t="s">
        <v>41</v>
      </c>
      <c r="D2644" s="1">
        <v>46210.696550925924</v>
      </c>
      <c r="E2644" t="s">
        <v>42</v>
      </c>
      <c r="F2644" t="s">
        <v>83</v>
      </c>
      <c r="G2644">
        <v>0</v>
      </c>
      <c r="H2644">
        <v>33174</v>
      </c>
      <c r="I2644" t="s">
        <v>43</v>
      </c>
      <c r="J2644">
        <v>58</v>
      </c>
      <c r="K2644">
        <v>4</v>
      </c>
      <c r="L2644">
        <v>98</v>
      </c>
      <c r="M2644">
        <v>630.09997558999999</v>
      </c>
      <c r="N2644" t="s">
        <v>85</v>
      </c>
      <c r="O2644" t="s">
        <v>82</v>
      </c>
      <c r="P2644">
        <v>125</v>
      </c>
      <c r="Q2644" t="s">
        <v>82</v>
      </c>
      <c r="R2644">
        <v>0</v>
      </c>
      <c r="S2644">
        <v>0</v>
      </c>
      <c r="T2644">
        <v>-40</v>
      </c>
      <c r="U2644">
        <v>48</v>
      </c>
      <c r="V2644">
        <v>0</v>
      </c>
      <c r="W2644">
        <v>30</v>
      </c>
      <c r="X2644">
        <v>30</v>
      </c>
      <c r="Y2644">
        <v>1</v>
      </c>
      <c r="Z2644">
        <v>8</v>
      </c>
      <c r="AA2644">
        <v>26</v>
      </c>
      <c r="AB2644">
        <v>2</v>
      </c>
      <c r="AC2644">
        <v>3</v>
      </c>
      <c r="AD2644">
        <v>3.28600001</v>
      </c>
      <c r="AE2644">
        <v>1</v>
      </c>
      <c r="AF2644">
        <v>23</v>
      </c>
      <c r="AG2644">
        <v>3.28299999</v>
      </c>
      <c r="AH2644">
        <v>4</v>
      </c>
      <c r="AI2644">
        <v>17</v>
      </c>
      <c r="AJ2644">
        <v>1</v>
      </c>
      <c r="AK2644">
        <v>19</v>
      </c>
      <c r="AL2644">
        <v>51</v>
      </c>
      <c r="AM2644" t="s">
        <v>43</v>
      </c>
      <c r="AN2644" t="s">
        <v>43</v>
      </c>
    </row>
    <row r="2645" spans="1:40" x14ac:dyDescent="0.3">
      <c r="A2645" s="1">
        <v>46210.693518518521</v>
      </c>
      <c r="B2645" t="s">
        <v>40</v>
      </c>
      <c r="C2645" t="s">
        <v>41</v>
      </c>
      <c r="D2645" s="1">
        <v>46210.696412037039</v>
      </c>
      <c r="E2645" t="s">
        <v>42</v>
      </c>
      <c r="F2645" t="s">
        <v>83</v>
      </c>
      <c r="G2645">
        <v>0</v>
      </c>
      <c r="H2645" t="s">
        <v>43</v>
      </c>
      <c r="I2645" t="s">
        <v>1409</v>
      </c>
      <c r="J2645">
        <v>58</v>
      </c>
      <c r="K2645">
        <v>4</v>
      </c>
      <c r="L2645">
        <v>98</v>
      </c>
      <c r="M2645">
        <v>630.40002441000001</v>
      </c>
      <c r="N2645" t="s">
        <v>85</v>
      </c>
      <c r="O2645" t="s">
        <v>82</v>
      </c>
      <c r="P2645">
        <v>125</v>
      </c>
      <c r="Q2645" t="s">
        <v>82</v>
      </c>
      <c r="R2645">
        <v>0</v>
      </c>
      <c r="S2645">
        <v>0</v>
      </c>
      <c r="T2645">
        <v>-40</v>
      </c>
      <c r="U2645">
        <v>48</v>
      </c>
      <c r="V2645">
        <v>0</v>
      </c>
      <c r="W2645">
        <v>30</v>
      </c>
      <c r="X2645">
        <v>30</v>
      </c>
      <c r="Y2645">
        <v>1</v>
      </c>
      <c r="Z2645">
        <v>8</v>
      </c>
      <c r="AA2645">
        <v>26</v>
      </c>
      <c r="AB2645">
        <v>2</v>
      </c>
      <c r="AC2645">
        <v>3</v>
      </c>
      <c r="AD2645">
        <v>3.28600001</v>
      </c>
      <c r="AE2645">
        <v>1</v>
      </c>
      <c r="AF2645">
        <v>24</v>
      </c>
      <c r="AG2645">
        <v>3.28299999</v>
      </c>
      <c r="AH2645">
        <v>4</v>
      </c>
      <c r="AI2645">
        <v>17</v>
      </c>
      <c r="AJ2645">
        <v>1</v>
      </c>
      <c r="AK2645">
        <v>19</v>
      </c>
      <c r="AL2645">
        <v>51</v>
      </c>
      <c r="AM2645" t="s">
        <v>43</v>
      </c>
      <c r="AN2645" t="str">
        <f>HYPERLINK("https://www.google.com/maps?q=10.81510544,79.14859009","Open Location")</f>
        <v>Open Location</v>
      </c>
    </row>
    <row r="2646" spans="1:40" x14ac:dyDescent="0.3">
      <c r="A2646" s="1">
        <v>46210.693402777775</v>
      </c>
      <c r="B2646" t="s">
        <v>40</v>
      </c>
      <c r="C2646" t="s">
        <v>41</v>
      </c>
      <c r="D2646" s="1">
        <v>46210.696331018517</v>
      </c>
      <c r="E2646" t="s">
        <v>42</v>
      </c>
      <c r="F2646" t="s">
        <v>83</v>
      </c>
      <c r="G2646">
        <v>0</v>
      </c>
      <c r="H2646">
        <v>33174</v>
      </c>
      <c r="I2646" t="s">
        <v>1410</v>
      </c>
      <c r="J2646">
        <v>58</v>
      </c>
      <c r="K2646">
        <v>4</v>
      </c>
      <c r="L2646">
        <v>98</v>
      </c>
      <c r="M2646">
        <v>629.90002441000001</v>
      </c>
      <c r="N2646" t="s">
        <v>85</v>
      </c>
      <c r="O2646" t="s">
        <v>82</v>
      </c>
      <c r="P2646">
        <v>125</v>
      </c>
      <c r="Q2646" t="s">
        <v>82</v>
      </c>
      <c r="R2646">
        <v>0</v>
      </c>
      <c r="S2646">
        <v>0</v>
      </c>
      <c r="T2646">
        <v>-40</v>
      </c>
      <c r="U2646">
        <v>48</v>
      </c>
      <c r="V2646">
        <v>0</v>
      </c>
      <c r="W2646">
        <v>30</v>
      </c>
      <c r="X2646">
        <v>30</v>
      </c>
      <c r="Y2646">
        <v>1</v>
      </c>
      <c r="Z2646">
        <v>8</v>
      </c>
      <c r="AA2646">
        <v>26</v>
      </c>
      <c r="AB2646">
        <v>2</v>
      </c>
      <c r="AC2646">
        <v>3</v>
      </c>
      <c r="AD2646">
        <v>3.28600001</v>
      </c>
      <c r="AE2646">
        <v>1</v>
      </c>
      <c r="AF2646">
        <v>25</v>
      </c>
      <c r="AG2646">
        <v>3.28299999</v>
      </c>
      <c r="AH2646">
        <v>2</v>
      </c>
      <c r="AI2646">
        <v>3</v>
      </c>
      <c r="AJ2646">
        <v>1</v>
      </c>
      <c r="AK2646">
        <v>19</v>
      </c>
      <c r="AL2646">
        <v>51</v>
      </c>
      <c r="AM2646" t="s">
        <v>43</v>
      </c>
      <c r="AN2646" t="str">
        <f>HYPERLINK("https://www.google.com/maps?q=10.81510067,79.14859009","Open Location")</f>
        <v>Open Location</v>
      </c>
    </row>
    <row r="2647" spans="1:40" x14ac:dyDescent="0.3">
      <c r="A2647" s="1">
        <v>46210.693287037036</v>
      </c>
      <c r="B2647" t="s">
        <v>40</v>
      </c>
      <c r="C2647" t="s">
        <v>41</v>
      </c>
      <c r="D2647" s="1">
        <v>46210.696018518516</v>
      </c>
      <c r="E2647" t="s">
        <v>42</v>
      </c>
      <c r="F2647" t="s">
        <v>83</v>
      </c>
      <c r="G2647">
        <v>0</v>
      </c>
      <c r="H2647">
        <v>33174</v>
      </c>
      <c r="I2647" t="s">
        <v>1411</v>
      </c>
      <c r="J2647">
        <v>58</v>
      </c>
      <c r="K2647">
        <v>4</v>
      </c>
      <c r="L2647">
        <v>98</v>
      </c>
      <c r="M2647">
        <v>630.20001220999995</v>
      </c>
      <c r="N2647" t="s">
        <v>85</v>
      </c>
      <c r="O2647" t="s">
        <v>82</v>
      </c>
      <c r="P2647">
        <v>125</v>
      </c>
      <c r="Q2647" t="s">
        <v>82</v>
      </c>
      <c r="R2647">
        <v>0</v>
      </c>
      <c r="S2647">
        <v>0</v>
      </c>
      <c r="T2647">
        <v>-40</v>
      </c>
      <c r="U2647">
        <v>48</v>
      </c>
      <c r="V2647">
        <v>0</v>
      </c>
      <c r="W2647">
        <v>30</v>
      </c>
      <c r="X2647">
        <v>30</v>
      </c>
      <c r="Y2647">
        <v>1</v>
      </c>
      <c r="Z2647">
        <v>8</v>
      </c>
      <c r="AA2647">
        <v>26</v>
      </c>
      <c r="AB2647">
        <v>2</v>
      </c>
      <c r="AC2647">
        <v>3</v>
      </c>
      <c r="AD2647">
        <v>3.28600001</v>
      </c>
      <c r="AE2647">
        <v>1</v>
      </c>
      <c r="AF2647">
        <v>25</v>
      </c>
      <c r="AG2647">
        <v>3.28299999</v>
      </c>
      <c r="AH2647">
        <v>1</v>
      </c>
      <c r="AI2647">
        <v>4</v>
      </c>
      <c r="AJ2647">
        <v>1</v>
      </c>
      <c r="AK2647">
        <v>18</v>
      </c>
      <c r="AL2647">
        <v>51</v>
      </c>
      <c r="AM2647" t="s">
        <v>43</v>
      </c>
      <c r="AN2647" t="str">
        <f>HYPERLINK("https://www.google.com/maps?q=10.81509972,79.14859009","Open Location")</f>
        <v>Open Location</v>
      </c>
    </row>
    <row r="2648" spans="1:40" x14ac:dyDescent="0.3">
      <c r="A2648" s="1">
        <v>46210.693171296298</v>
      </c>
      <c r="B2648" t="s">
        <v>40</v>
      </c>
      <c r="C2648" t="s">
        <v>41</v>
      </c>
      <c r="D2648" s="1">
        <v>46210.696030092593</v>
      </c>
      <c r="E2648" t="s">
        <v>42</v>
      </c>
      <c r="F2648" t="s">
        <v>83</v>
      </c>
      <c r="G2648">
        <v>0</v>
      </c>
      <c r="H2648">
        <v>33174</v>
      </c>
      <c r="I2648" t="s">
        <v>1412</v>
      </c>
      <c r="J2648">
        <v>58</v>
      </c>
      <c r="K2648">
        <v>4</v>
      </c>
      <c r="L2648">
        <v>98</v>
      </c>
      <c r="M2648">
        <v>630.20001220999995</v>
      </c>
      <c r="N2648" t="s">
        <v>85</v>
      </c>
      <c r="O2648" t="s">
        <v>82</v>
      </c>
      <c r="P2648">
        <v>125</v>
      </c>
      <c r="Q2648" t="s">
        <v>82</v>
      </c>
      <c r="R2648">
        <v>0</v>
      </c>
      <c r="S2648">
        <v>0</v>
      </c>
      <c r="T2648">
        <v>-40</v>
      </c>
      <c r="U2648">
        <v>49</v>
      </c>
      <c r="V2648">
        <v>0</v>
      </c>
      <c r="W2648">
        <v>30</v>
      </c>
      <c r="X2648">
        <v>30</v>
      </c>
      <c r="Y2648">
        <v>1</v>
      </c>
      <c r="Z2648">
        <v>8</v>
      </c>
      <c r="AA2648">
        <v>26</v>
      </c>
      <c r="AB2648">
        <v>2</v>
      </c>
      <c r="AC2648">
        <v>3</v>
      </c>
      <c r="AD2648">
        <v>3.28600001</v>
      </c>
      <c r="AE2648">
        <v>1</v>
      </c>
      <c r="AF2648">
        <v>25</v>
      </c>
      <c r="AG2648">
        <v>3.28299999</v>
      </c>
      <c r="AH2648">
        <v>1</v>
      </c>
      <c r="AI2648">
        <v>4</v>
      </c>
      <c r="AJ2648">
        <v>1</v>
      </c>
      <c r="AK2648">
        <v>19</v>
      </c>
      <c r="AL2648">
        <v>51</v>
      </c>
      <c r="AM2648" t="s">
        <v>43</v>
      </c>
      <c r="AN2648" t="str">
        <f>HYPERLINK("https://www.google.com/maps?q=10.8150959,79.14859009","Open Location")</f>
        <v>Open Location</v>
      </c>
    </row>
    <row r="2649" spans="1:40" x14ac:dyDescent="0.3">
      <c r="A2649" s="1">
        <v>46210.693055555559</v>
      </c>
      <c r="B2649" t="s">
        <v>40</v>
      </c>
      <c r="C2649" t="s">
        <v>41</v>
      </c>
      <c r="D2649" s="1">
        <v>46210.696006944447</v>
      </c>
      <c r="E2649" t="s">
        <v>42</v>
      </c>
      <c r="F2649" t="s">
        <v>83</v>
      </c>
      <c r="G2649">
        <v>0</v>
      </c>
      <c r="H2649">
        <v>33174</v>
      </c>
      <c r="I2649" t="s">
        <v>1413</v>
      </c>
      <c r="J2649">
        <v>58</v>
      </c>
      <c r="K2649">
        <v>4</v>
      </c>
      <c r="L2649">
        <v>98</v>
      </c>
      <c r="M2649">
        <v>629.90002441000001</v>
      </c>
      <c r="N2649" t="s">
        <v>85</v>
      </c>
      <c r="O2649" t="s">
        <v>82</v>
      </c>
      <c r="P2649">
        <v>125</v>
      </c>
      <c r="Q2649" t="s">
        <v>82</v>
      </c>
      <c r="R2649">
        <v>0</v>
      </c>
      <c r="S2649">
        <v>0</v>
      </c>
      <c r="T2649">
        <v>-40</v>
      </c>
      <c r="U2649">
        <v>49</v>
      </c>
      <c r="V2649">
        <v>0</v>
      </c>
      <c r="W2649">
        <v>30</v>
      </c>
      <c r="X2649">
        <v>30</v>
      </c>
      <c r="Y2649">
        <v>1</v>
      </c>
      <c r="Z2649">
        <v>8</v>
      </c>
      <c r="AA2649">
        <v>26</v>
      </c>
      <c r="AB2649">
        <v>2</v>
      </c>
      <c r="AC2649">
        <v>3</v>
      </c>
      <c r="AD2649">
        <v>3.28600001</v>
      </c>
      <c r="AE2649">
        <v>1</v>
      </c>
      <c r="AF2649">
        <v>29</v>
      </c>
      <c r="AG2649">
        <v>3.2820000600000001</v>
      </c>
      <c r="AH2649">
        <v>4</v>
      </c>
      <c r="AI2649">
        <v>17</v>
      </c>
      <c r="AJ2649">
        <v>1</v>
      </c>
      <c r="AK2649">
        <v>19</v>
      </c>
      <c r="AL2649">
        <v>51</v>
      </c>
      <c r="AM2649" t="s">
        <v>43</v>
      </c>
      <c r="AN2649" t="str">
        <f>HYPERLINK("https://www.google.com/maps?q=10.81509209,79.14859009","Open Location")</f>
        <v>Open Location</v>
      </c>
    </row>
    <row r="2650" spans="1:40" x14ac:dyDescent="0.3">
      <c r="A2650" s="1">
        <v>46210.692939814813</v>
      </c>
      <c r="B2650" t="s">
        <v>40</v>
      </c>
      <c r="C2650" t="s">
        <v>41</v>
      </c>
      <c r="D2650" s="1">
        <v>46210.695983796293</v>
      </c>
      <c r="E2650" t="s">
        <v>42</v>
      </c>
      <c r="F2650" t="s">
        <v>83</v>
      </c>
      <c r="G2650">
        <v>0</v>
      </c>
      <c r="H2650">
        <v>33174</v>
      </c>
      <c r="I2650" t="s">
        <v>43</v>
      </c>
      <c r="J2650">
        <v>58</v>
      </c>
      <c r="K2650">
        <v>5</v>
      </c>
      <c r="L2650">
        <v>98</v>
      </c>
      <c r="M2650">
        <v>630.09997558999999</v>
      </c>
      <c r="N2650" t="s">
        <v>85</v>
      </c>
      <c r="O2650" t="s">
        <v>82</v>
      </c>
      <c r="P2650">
        <v>125</v>
      </c>
      <c r="Q2650" t="s">
        <v>82</v>
      </c>
      <c r="R2650">
        <v>0</v>
      </c>
      <c r="S2650">
        <v>0</v>
      </c>
      <c r="T2650">
        <v>-40</v>
      </c>
      <c r="U2650">
        <v>49</v>
      </c>
      <c r="V2650">
        <v>0</v>
      </c>
      <c r="W2650">
        <v>30</v>
      </c>
      <c r="X2650">
        <v>30</v>
      </c>
      <c r="Y2650">
        <v>1</v>
      </c>
      <c r="Z2650">
        <v>8</v>
      </c>
      <c r="AA2650">
        <v>26</v>
      </c>
      <c r="AB2650">
        <v>2</v>
      </c>
      <c r="AC2650">
        <v>3</v>
      </c>
      <c r="AD2650">
        <v>3.28500009</v>
      </c>
      <c r="AE2650">
        <v>1</v>
      </c>
      <c r="AF2650">
        <v>24</v>
      </c>
      <c r="AG2650">
        <v>3.2820000600000001</v>
      </c>
      <c r="AH2650">
        <v>4</v>
      </c>
      <c r="AI2650">
        <v>17</v>
      </c>
      <c r="AJ2650">
        <v>1</v>
      </c>
      <c r="AK2650">
        <v>19</v>
      </c>
      <c r="AL2650">
        <v>51</v>
      </c>
      <c r="AM2650" t="s">
        <v>43</v>
      </c>
      <c r="AN2650" t="s">
        <v>43</v>
      </c>
    </row>
    <row r="2651" spans="1:40" x14ac:dyDescent="0.3">
      <c r="A2651" s="1">
        <v>46210.692824074074</v>
      </c>
      <c r="B2651" t="s">
        <v>40</v>
      </c>
      <c r="C2651" t="s">
        <v>41</v>
      </c>
      <c r="D2651" s="1">
        <v>46210.696006944447</v>
      </c>
      <c r="E2651" t="s">
        <v>42</v>
      </c>
      <c r="F2651" t="s">
        <v>83</v>
      </c>
      <c r="G2651">
        <v>0</v>
      </c>
      <c r="H2651">
        <v>33174</v>
      </c>
      <c r="I2651" t="s">
        <v>1414</v>
      </c>
      <c r="J2651">
        <v>58</v>
      </c>
      <c r="K2651">
        <v>5</v>
      </c>
      <c r="L2651">
        <v>98</v>
      </c>
      <c r="M2651">
        <v>629.90002441000001</v>
      </c>
      <c r="N2651" t="s">
        <v>85</v>
      </c>
      <c r="O2651" t="s">
        <v>82</v>
      </c>
      <c r="P2651">
        <v>125</v>
      </c>
      <c r="Q2651" t="s">
        <v>82</v>
      </c>
      <c r="R2651">
        <v>0</v>
      </c>
      <c r="S2651">
        <v>0</v>
      </c>
      <c r="T2651">
        <v>-40</v>
      </c>
      <c r="U2651">
        <v>49</v>
      </c>
      <c r="V2651">
        <v>0</v>
      </c>
      <c r="W2651">
        <v>30</v>
      </c>
      <c r="X2651">
        <v>30</v>
      </c>
      <c r="Y2651">
        <v>1</v>
      </c>
      <c r="Z2651">
        <v>8</v>
      </c>
      <c r="AA2651">
        <v>26</v>
      </c>
      <c r="AB2651">
        <v>2</v>
      </c>
      <c r="AC2651">
        <v>3</v>
      </c>
      <c r="AD2651">
        <v>3.28500009</v>
      </c>
      <c r="AE2651">
        <v>1</v>
      </c>
      <c r="AF2651">
        <v>25</v>
      </c>
      <c r="AG2651">
        <v>3.2820000600000001</v>
      </c>
      <c r="AH2651">
        <v>2</v>
      </c>
      <c r="AI2651">
        <v>3</v>
      </c>
      <c r="AJ2651">
        <v>1</v>
      </c>
      <c r="AK2651">
        <v>19</v>
      </c>
      <c r="AL2651">
        <v>51</v>
      </c>
      <c r="AM2651" t="s">
        <v>43</v>
      </c>
      <c r="AN2651" t="str">
        <f>HYPERLINK("https://www.google.com/maps?q=10.81508541,79.14859009","Open Location")</f>
        <v>Open Location</v>
      </c>
    </row>
    <row r="2652" spans="1:40" x14ac:dyDescent="0.3">
      <c r="A2652" s="1">
        <v>46210.692708333336</v>
      </c>
      <c r="B2652" t="s">
        <v>40</v>
      </c>
      <c r="C2652" t="s">
        <v>41</v>
      </c>
      <c r="D2652" s="1">
        <v>46210.696030092593</v>
      </c>
      <c r="E2652" t="s">
        <v>42</v>
      </c>
      <c r="F2652" t="s">
        <v>83</v>
      </c>
      <c r="G2652">
        <v>0</v>
      </c>
      <c r="H2652">
        <v>33174</v>
      </c>
      <c r="I2652" t="s">
        <v>1415</v>
      </c>
      <c r="J2652">
        <v>58</v>
      </c>
      <c r="K2652">
        <v>4</v>
      </c>
      <c r="L2652">
        <v>98</v>
      </c>
      <c r="M2652">
        <v>629.5</v>
      </c>
      <c r="N2652" t="s">
        <v>85</v>
      </c>
      <c r="O2652" t="s">
        <v>82</v>
      </c>
      <c r="P2652">
        <v>125</v>
      </c>
      <c r="Q2652" t="s">
        <v>82</v>
      </c>
      <c r="R2652">
        <v>0</v>
      </c>
      <c r="S2652">
        <v>0</v>
      </c>
      <c r="T2652">
        <v>-40</v>
      </c>
      <c r="U2652">
        <v>49</v>
      </c>
      <c r="V2652">
        <v>0</v>
      </c>
      <c r="W2652">
        <v>30</v>
      </c>
      <c r="X2652">
        <v>30</v>
      </c>
      <c r="Y2652">
        <v>1</v>
      </c>
      <c r="Z2652">
        <v>8</v>
      </c>
      <c r="AA2652">
        <v>26</v>
      </c>
      <c r="AB2652">
        <v>2</v>
      </c>
      <c r="AC2652">
        <v>3</v>
      </c>
      <c r="AD2652">
        <v>3.28500009</v>
      </c>
      <c r="AE2652">
        <v>1</v>
      </c>
      <c r="AF2652">
        <v>25</v>
      </c>
      <c r="AG2652">
        <v>3.2820000600000001</v>
      </c>
      <c r="AH2652">
        <v>1</v>
      </c>
      <c r="AI2652">
        <v>4</v>
      </c>
      <c r="AJ2652">
        <v>1</v>
      </c>
      <c r="AK2652">
        <v>19</v>
      </c>
      <c r="AL2652">
        <v>51</v>
      </c>
      <c r="AM2652" t="s">
        <v>43</v>
      </c>
      <c r="AN2652" t="str">
        <f>HYPERLINK("https://www.google.com/maps?q=10.81507778,79.14859772","Open Location")</f>
        <v>Open Location</v>
      </c>
    </row>
    <row r="2653" spans="1:40" x14ac:dyDescent="0.3">
      <c r="A2653" s="1">
        <v>46210.69259259259</v>
      </c>
      <c r="B2653" t="s">
        <v>40</v>
      </c>
      <c r="C2653" t="s">
        <v>41</v>
      </c>
      <c r="D2653" s="1">
        <v>46210.695543981485</v>
      </c>
      <c r="E2653" t="s">
        <v>42</v>
      </c>
      <c r="F2653" t="s">
        <v>83</v>
      </c>
      <c r="G2653">
        <v>0</v>
      </c>
      <c r="H2653">
        <v>33174</v>
      </c>
      <c r="I2653" t="s">
        <v>1395</v>
      </c>
      <c r="J2653">
        <v>58</v>
      </c>
      <c r="K2653">
        <v>4</v>
      </c>
      <c r="L2653">
        <v>98</v>
      </c>
      <c r="M2653">
        <v>629.59997558999999</v>
      </c>
      <c r="N2653" t="s">
        <v>85</v>
      </c>
      <c r="O2653" t="s">
        <v>82</v>
      </c>
      <c r="P2653">
        <v>125</v>
      </c>
      <c r="Q2653" t="s">
        <v>82</v>
      </c>
      <c r="R2653">
        <v>0</v>
      </c>
      <c r="S2653">
        <v>0</v>
      </c>
      <c r="T2653">
        <v>-40</v>
      </c>
      <c r="U2653">
        <v>49</v>
      </c>
      <c r="V2653">
        <v>0</v>
      </c>
      <c r="W2653">
        <v>30</v>
      </c>
      <c r="X2653">
        <v>30</v>
      </c>
      <c r="Y2653">
        <v>1</v>
      </c>
      <c r="Z2653">
        <v>8</v>
      </c>
      <c r="AA2653">
        <v>26</v>
      </c>
      <c r="AB2653">
        <v>2</v>
      </c>
      <c r="AC2653">
        <v>3</v>
      </c>
      <c r="AD2653">
        <v>3.28500009</v>
      </c>
      <c r="AE2653">
        <v>1</v>
      </c>
      <c r="AF2653">
        <v>36</v>
      </c>
      <c r="AG2653">
        <v>3.2809998999999999</v>
      </c>
      <c r="AH2653">
        <v>4</v>
      </c>
      <c r="AI2653">
        <v>17</v>
      </c>
      <c r="AJ2653">
        <v>1</v>
      </c>
      <c r="AK2653">
        <v>19</v>
      </c>
      <c r="AL2653">
        <v>51</v>
      </c>
      <c r="AM2653" t="s">
        <v>43</v>
      </c>
      <c r="AN2653" t="str">
        <f>HYPERLINK("https://www.google.com/maps?q=10.81507397,79.14859772","Open Location")</f>
        <v>Open Location</v>
      </c>
    </row>
    <row r="2654" spans="1:40" x14ac:dyDescent="0.3">
      <c r="A2654" s="1">
        <v>46210.692476851851</v>
      </c>
      <c r="B2654" t="s">
        <v>40</v>
      </c>
      <c r="C2654" t="s">
        <v>41</v>
      </c>
      <c r="D2654" s="1">
        <v>46210.695451388892</v>
      </c>
      <c r="E2654" t="s">
        <v>42</v>
      </c>
      <c r="F2654" t="s">
        <v>83</v>
      </c>
      <c r="G2654">
        <v>0</v>
      </c>
      <c r="H2654">
        <v>33174</v>
      </c>
      <c r="I2654" t="s">
        <v>1416</v>
      </c>
      <c r="J2654">
        <v>58</v>
      </c>
      <c r="K2654">
        <v>11</v>
      </c>
      <c r="L2654">
        <v>98</v>
      </c>
      <c r="M2654">
        <v>629.70001220999995</v>
      </c>
      <c r="N2654" t="s">
        <v>85</v>
      </c>
      <c r="O2654" t="s">
        <v>82</v>
      </c>
      <c r="P2654">
        <v>125</v>
      </c>
      <c r="Q2654" t="s">
        <v>82</v>
      </c>
      <c r="R2654">
        <v>0</v>
      </c>
      <c r="S2654">
        <v>0</v>
      </c>
      <c r="T2654">
        <v>-40</v>
      </c>
      <c r="U2654">
        <v>49</v>
      </c>
      <c r="V2654">
        <v>0</v>
      </c>
      <c r="W2654">
        <v>30</v>
      </c>
      <c r="X2654">
        <v>30</v>
      </c>
      <c r="Y2654">
        <v>1</v>
      </c>
      <c r="Z2654">
        <v>8</v>
      </c>
      <c r="AA2654">
        <v>26</v>
      </c>
      <c r="AB2654">
        <v>2</v>
      </c>
      <c r="AC2654">
        <v>3</v>
      </c>
      <c r="AD2654">
        <v>3.2839999199999999</v>
      </c>
      <c r="AE2654">
        <v>1</v>
      </c>
      <c r="AF2654">
        <v>25</v>
      </c>
      <c r="AG2654">
        <v>3.2809998999999999</v>
      </c>
      <c r="AH2654">
        <v>2</v>
      </c>
      <c r="AI2654">
        <v>12</v>
      </c>
      <c r="AJ2654">
        <v>1</v>
      </c>
      <c r="AK2654">
        <v>19</v>
      </c>
      <c r="AL2654">
        <v>51</v>
      </c>
      <c r="AM2654" t="s">
        <v>43</v>
      </c>
      <c r="AN2654" t="str">
        <f>HYPERLINK("https://www.google.com/maps?q=10.81506824,79.14860535","Open Location")</f>
        <v>Open Location</v>
      </c>
    </row>
    <row r="2655" spans="1:40" x14ac:dyDescent="0.3">
      <c r="A2655" s="1">
        <v>46210.692361111112</v>
      </c>
      <c r="B2655" t="s">
        <v>40</v>
      </c>
      <c r="C2655" t="s">
        <v>41</v>
      </c>
      <c r="D2655" s="1">
        <v>46210.695115740738</v>
      </c>
      <c r="E2655" t="s">
        <v>42</v>
      </c>
      <c r="F2655" t="s">
        <v>83</v>
      </c>
      <c r="G2655">
        <v>0</v>
      </c>
      <c r="H2655">
        <v>33174</v>
      </c>
      <c r="I2655" t="s">
        <v>1417</v>
      </c>
      <c r="J2655">
        <v>58</v>
      </c>
      <c r="K2655">
        <v>12</v>
      </c>
      <c r="L2655">
        <v>98</v>
      </c>
      <c r="M2655">
        <v>629.59997558999999</v>
      </c>
      <c r="N2655" t="s">
        <v>85</v>
      </c>
      <c r="O2655" t="s">
        <v>82</v>
      </c>
      <c r="P2655">
        <v>125</v>
      </c>
      <c r="Q2655" t="s">
        <v>82</v>
      </c>
      <c r="R2655">
        <v>0</v>
      </c>
      <c r="S2655">
        <v>0</v>
      </c>
      <c r="T2655">
        <v>-40</v>
      </c>
      <c r="U2655">
        <v>49</v>
      </c>
      <c r="V2655">
        <v>0</v>
      </c>
      <c r="W2655">
        <v>30</v>
      </c>
      <c r="X2655">
        <v>30</v>
      </c>
      <c r="Y2655">
        <v>1</v>
      </c>
      <c r="Z2655">
        <v>8</v>
      </c>
      <c r="AA2655">
        <v>26</v>
      </c>
      <c r="AB2655">
        <v>2</v>
      </c>
      <c r="AC2655">
        <v>3</v>
      </c>
      <c r="AD2655">
        <v>3.28299999</v>
      </c>
      <c r="AE2655">
        <v>1</v>
      </c>
      <c r="AF2655">
        <v>36</v>
      </c>
      <c r="AG2655">
        <v>3.27699995</v>
      </c>
      <c r="AH2655">
        <v>4</v>
      </c>
      <c r="AI2655">
        <v>17</v>
      </c>
      <c r="AJ2655">
        <v>1</v>
      </c>
      <c r="AK2655">
        <v>19</v>
      </c>
      <c r="AL2655">
        <v>51</v>
      </c>
      <c r="AM2655" t="s">
        <v>43</v>
      </c>
      <c r="AN2655" t="str">
        <f>HYPERLINK("https://www.google.com/maps?q=10.81507111,79.14861298","Open Location")</f>
        <v>Open Location</v>
      </c>
    </row>
    <row r="2656" spans="1:40" x14ac:dyDescent="0.3">
      <c r="A2656" s="1">
        <v>46210.692245370374</v>
      </c>
      <c r="B2656" t="s">
        <v>40</v>
      </c>
      <c r="C2656" t="s">
        <v>41</v>
      </c>
      <c r="D2656" s="1">
        <v>46210.695127314815</v>
      </c>
      <c r="E2656" t="s">
        <v>42</v>
      </c>
      <c r="F2656" t="s">
        <v>83</v>
      </c>
      <c r="G2656">
        <v>0</v>
      </c>
      <c r="H2656">
        <v>33174</v>
      </c>
      <c r="I2656" t="s">
        <v>43</v>
      </c>
      <c r="J2656">
        <v>58</v>
      </c>
      <c r="K2656">
        <v>10</v>
      </c>
      <c r="L2656">
        <v>98</v>
      </c>
      <c r="M2656">
        <v>629.5</v>
      </c>
      <c r="N2656" t="s">
        <v>85</v>
      </c>
      <c r="O2656" t="s">
        <v>82</v>
      </c>
      <c r="P2656">
        <v>125</v>
      </c>
      <c r="Q2656" t="s">
        <v>82</v>
      </c>
      <c r="R2656">
        <v>0</v>
      </c>
      <c r="S2656">
        <v>0</v>
      </c>
      <c r="T2656">
        <v>-40</v>
      </c>
      <c r="U2656">
        <v>49</v>
      </c>
      <c r="V2656">
        <v>0</v>
      </c>
      <c r="W2656">
        <v>30</v>
      </c>
      <c r="X2656">
        <v>30</v>
      </c>
      <c r="Y2656">
        <v>1</v>
      </c>
      <c r="Z2656">
        <v>8</v>
      </c>
      <c r="AA2656">
        <v>26</v>
      </c>
      <c r="AB2656">
        <v>2</v>
      </c>
      <c r="AC2656">
        <v>3</v>
      </c>
      <c r="AD2656">
        <v>3.28299999</v>
      </c>
      <c r="AE2656">
        <v>1</v>
      </c>
      <c r="AF2656">
        <v>36</v>
      </c>
      <c r="AG2656">
        <v>3.27699995</v>
      </c>
      <c r="AH2656">
        <v>4</v>
      </c>
      <c r="AI2656">
        <v>17</v>
      </c>
      <c r="AJ2656">
        <v>1</v>
      </c>
      <c r="AK2656">
        <v>19</v>
      </c>
      <c r="AL2656">
        <v>51</v>
      </c>
      <c r="AM2656" t="s">
        <v>43</v>
      </c>
      <c r="AN2656" t="s">
        <v>43</v>
      </c>
    </row>
    <row r="2657" spans="1:40" x14ac:dyDescent="0.3">
      <c r="A2657" s="1">
        <v>46210.692129629628</v>
      </c>
      <c r="B2657" t="s">
        <v>40</v>
      </c>
      <c r="C2657" t="s">
        <v>41</v>
      </c>
      <c r="D2657" s="1">
        <v>46210.694849537038</v>
      </c>
      <c r="E2657" t="s">
        <v>42</v>
      </c>
      <c r="F2657" t="s">
        <v>83</v>
      </c>
      <c r="G2657">
        <v>0</v>
      </c>
      <c r="H2657">
        <v>33174</v>
      </c>
      <c r="I2657" t="s">
        <v>1418</v>
      </c>
      <c r="J2657">
        <v>58</v>
      </c>
      <c r="K2657">
        <v>4</v>
      </c>
      <c r="L2657">
        <v>98</v>
      </c>
      <c r="M2657">
        <v>629.90002441000001</v>
      </c>
      <c r="N2657" t="s">
        <v>85</v>
      </c>
      <c r="O2657" t="s">
        <v>82</v>
      </c>
      <c r="P2657">
        <v>125</v>
      </c>
      <c r="Q2657" t="s">
        <v>82</v>
      </c>
      <c r="R2657">
        <v>0</v>
      </c>
      <c r="S2657">
        <v>0</v>
      </c>
      <c r="T2657">
        <v>-40</v>
      </c>
      <c r="U2657">
        <v>49</v>
      </c>
      <c r="V2657">
        <v>0</v>
      </c>
      <c r="W2657">
        <v>30</v>
      </c>
      <c r="X2657">
        <v>30</v>
      </c>
      <c r="Y2657">
        <v>1</v>
      </c>
      <c r="Z2657">
        <v>8</v>
      </c>
      <c r="AA2657">
        <v>26</v>
      </c>
      <c r="AB2657">
        <v>2</v>
      </c>
      <c r="AC2657">
        <v>3</v>
      </c>
      <c r="AD2657">
        <v>3.2839999199999999</v>
      </c>
      <c r="AE2657">
        <v>1</v>
      </c>
      <c r="AF2657">
        <v>25</v>
      </c>
      <c r="AG2657">
        <v>3.27999997</v>
      </c>
      <c r="AH2657">
        <v>4</v>
      </c>
      <c r="AI2657">
        <v>17</v>
      </c>
      <c r="AJ2657">
        <v>1</v>
      </c>
      <c r="AK2657">
        <v>19</v>
      </c>
      <c r="AL2657">
        <v>51</v>
      </c>
      <c r="AM2657" t="s">
        <v>43</v>
      </c>
      <c r="AN2657" t="str">
        <f>HYPERLINK("https://www.google.com/maps?q=10.81507206,79.14860535","Open Location")</f>
        <v>Open Location</v>
      </c>
    </row>
    <row r="2658" spans="1:40" x14ac:dyDescent="0.3">
      <c r="A2658" s="1">
        <v>46210.692013888889</v>
      </c>
      <c r="B2658" t="s">
        <v>40</v>
      </c>
      <c r="C2658" t="s">
        <v>41</v>
      </c>
      <c r="D2658" s="1">
        <v>46210.694849537038</v>
      </c>
      <c r="E2658" t="s">
        <v>42</v>
      </c>
      <c r="F2658" t="s">
        <v>83</v>
      </c>
      <c r="G2658">
        <v>0</v>
      </c>
      <c r="H2658" t="s">
        <v>43</v>
      </c>
      <c r="I2658" t="s">
        <v>1419</v>
      </c>
      <c r="J2658">
        <v>58</v>
      </c>
      <c r="K2658">
        <v>4</v>
      </c>
      <c r="L2658">
        <v>98</v>
      </c>
      <c r="M2658">
        <v>629</v>
      </c>
      <c r="N2658" t="s">
        <v>85</v>
      </c>
      <c r="O2658" t="s">
        <v>82</v>
      </c>
      <c r="P2658">
        <v>125</v>
      </c>
      <c r="Q2658" t="s">
        <v>82</v>
      </c>
      <c r="R2658">
        <v>0</v>
      </c>
      <c r="S2658">
        <v>0</v>
      </c>
      <c r="T2658">
        <v>-40</v>
      </c>
      <c r="U2658">
        <v>49</v>
      </c>
      <c r="V2658">
        <v>0</v>
      </c>
      <c r="W2658">
        <v>30</v>
      </c>
      <c r="X2658">
        <v>30</v>
      </c>
      <c r="Y2658">
        <v>1</v>
      </c>
      <c r="Z2658">
        <v>8</v>
      </c>
      <c r="AA2658">
        <v>26</v>
      </c>
      <c r="AB2658">
        <v>2</v>
      </c>
      <c r="AC2658">
        <v>3</v>
      </c>
      <c r="AD2658">
        <v>3.28299999</v>
      </c>
      <c r="AE2658">
        <v>1</v>
      </c>
      <c r="AF2658">
        <v>25</v>
      </c>
      <c r="AG2658">
        <v>3.27999997</v>
      </c>
      <c r="AH2658">
        <v>2</v>
      </c>
      <c r="AI2658">
        <v>3</v>
      </c>
      <c r="AJ2658">
        <v>1</v>
      </c>
      <c r="AK2658">
        <v>19</v>
      </c>
      <c r="AL2658">
        <v>51</v>
      </c>
      <c r="AM2658" t="s">
        <v>43</v>
      </c>
      <c r="AN2658" t="str">
        <f>HYPERLINK("https://www.google.com/maps?q=10.81506634,79.14860535","Open Location")</f>
        <v>Open Location</v>
      </c>
    </row>
    <row r="2659" spans="1:40" x14ac:dyDescent="0.3">
      <c r="A2659" s="1">
        <v>46210.69189814815</v>
      </c>
      <c r="B2659" t="s">
        <v>40</v>
      </c>
      <c r="C2659" t="s">
        <v>41</v>
      </c>
      <c r="D2659" s="1">
        <v>46210.694687499999</v>
      </c>
      <c r="E2659" t="s">
        <v>42</v>
      </c>
      <c r="F2659" t="s">
        <v>83</v>
      </c>
      <c r="G2659">
        <v>0</v>
      </c>
      <c r="H2659">
        <v>33174</v>
      </c>
      <c r="I2659" t="s">
        <v>1420</v>
      </c>
      <c r="J2659">
        <v>58</v>
      </c>
      <c r="K2659">
        <v>4</v>
      </c>
      <c r="L2659">
        <v>98</v>
      </c>
      <c r="M2659">
        <v>628.70001220999995</v>
      </c>
      <c r="N2659" t="s">
        <v>85</v>
      </c>
      <c r="O2659" t="s">
        <v>82</v>
      </c>
      <c r="P2659">
        <v>125</v>
      </c>
      <c r="Q2659" t="s">
        <v>82</v>
      </c>
      <c r="R2659">
        <v>0</v>
      </c>
      <c r="S2659">
        <v>0</v>
      </c>
      <c r="T2659">
        <v>-40</v>
      </c>
      <c r="U2659">
        <v>49</v>
      </c>
      <c r="V2659">
        <v>0</v>
      </c>
      <c r="W2659">
        <v>30</v>
      </c>
      <c r="X2659">
        <v>30</v>
      </c>
      <c r="Y2659">
        <v>1</v>
      </c>
      <c r="Z2659">
        <v>8</v>
      </c>
      <c r="AA2659">
        <v>26</v>
      </c>
      <c r="AB2659">
        <v>2</v>
      </c>
      <c r="AC2659">
        <v>3</v>
      </c>
      <c r="AD2659">
        <v>3.28299999</v>
      </c>
      <c r="AE2659">
        <v>1</v>
      </c>
      <c r="AF2659">
        <v>25</v>
      </c>
      <c r="AG2659">
        <v>3.2790000400000001</v>
      </c>
      <c r="AH2659">
        <v>4</v>
      </c>
      <c r="AI2659">
        <v>17</v>
      </c>
      <c r="AJ2659">
        <v>1</v>
      </c>
      <c r="AK2659">
        <v>19</v>
      </c>
      <c r="AL2659">
        <v>52</v>
      </c>
      <c r="AM2659" t="s">
        <v>43</v>
      </c>
      <c r="AN2659" t="str">
        <f>HYPERLINK("https://www.google.com/maps?q=10.81505871,79.14859772","Open Location")</f>
        <v>Open Location</v>
      </c>
    </row>
    <row r="2660" spans="1:40" x14ac:dyDescent="0.3">
      <c r="A2660" s="1">
        <v>46210.691782407404</v>
      </c>
      <c r="B2660" t="s">
        <v>40</v>
      </c>
      <c r="C2660" t="s">
        <v>41</v>
      </c>
      <c r="D2660" s="1">
        <v>46210.694849537038</v>
      </c>
      <c r="E2660" t="s">
        <v>42</v>
      </c>
      <c r="F2660" t="s">
        <v>83</v>
      </c>
      <c r="G2660">
        <v>0</v>
      </c>
      <c r="H2660">
        <v>33174</v>
      </c>
      <c r="I2660" t="s">
        <v>1421</v>
      </c>
      <c r="J2660">
        <v>58</v>
      </c>
      <c r="K2660">
        <v>12</v>
      </c>
      <c r="L2660">
        <v>98</v>
      </c>
      <c r="M2660">
        <v>629.29998779000005</v>
      </c>
      <c r="N2660" t="s">
        <v>85</v>
      </c>
      <c r="O2660" t="s">
        <v>82</v>
      </c>
      <c r="P2660">
        <v>125</v>
      </c>
      <c r="Q2660" t="s">
        <v>82</v>
      </c>
      <c r="R2660">
        <v>0</v>
      </c>
      <c r="S2660">
        <v>0</v>
      </c>
      <c r="T2660">
        <v>-40</v>
      </c>
      <c r="U2660">
        <v>49</v>
      </c>
      <c r="V2660">
        <v>0</v>
      </c>
      <c r="W2660">
        <v>30</v>
      </c>
      <c r="X2660">
        <v>30</v>
      </c>
      <c r="Y2660">
        <v>1</v>
      </c>
      <c r="Z2660">
        <v>8</v>
      </c>
      <c r="AA2660">
        <v>26</v>
      </c>
      <c r="AB2660">
        <v>2</v>
      </c>
      <c r="AC2660">
        <v>3</v>
      </c>
      <c r="AD2660">
        <v>3.2820000600000001</v>
      </c>
      <c r="AE2660">
        <v>1</v>
      </c>
      <c r="AF2660">
        <v>25</v>
      </c>
      <c r="AG2660">
        <v>3.2780001200000002</v>
      </c>
      <c r="AH2660">
        <v>4</v>
      </c>
      <c r="AI2660">
        <v>17</v>
      </c>
      <c r="AJ2660">
        <v>1</v>
      </c>
      <c r="AK2660">
        <v>19</v>
      </c>
      <c r="AL2660">
        <v>52</v>
      </c>
      <c r="AM2660" t="s">
        <v>43</v>
      </c>
      <c r="AN2660" t="str">
        <f>HYPERLINK("https://www.google.com/maps?q=10.81505775,79.14859772","Open Location")</f>
        <v>Open Location</v>
      </c>
    </row>
    <row r="2661" spans="1:40" x14ac:dyDescent="0.3">
      <c r="A2661" s="1">
        <v>46210.691666666666</v>
      </c>
      <c r="B2661" t="s">
        <v>40</v>
      </c>
      <c r="C2661" t="s">
        <v>41</v>
      </c>
      <c r="D2661" s="1">
        <v>46210.694641203707</v>
      </c>
      <c r="E2661" t="s">
        <v>42</v>
      </c>
      <c r="F2661" t="s">
        <v>83</v>
      </c>
      <c r="G2661">
        <v>0</v>
      </c>
      <c r="H2661">
        <v>33174</v>
      </c>
      <c r="I2661" t="s">
        <v>43</v>
      </c>
      <c r="J2661">
        <v>58</v>
      </c>
      <c r="K2661">
        <v>12</v>
      </c>
      <c r="L2661">
        <v>98</v>
      </c>
      <c r="M2661">
        <v>629</v>
      </c>
      <c r="N2661" t="s">
        <v>85</v>
      </c>
      <c r="O2661" t="s">
        <v>82</v>
      </c>
      <c r="P2661">
        <v>125</v>
      </c>
      <c r="Q2661">
        <v>2</v>
      </c>
      <c r="R2661">
        <v>0</v>
      </c>
      <c r="S2661">
        <v>126</v>
      </c>
      <c r="T2661">
        <v>-40</v>
      </c>
      <c r="U2661">
        <v>50</v>
      </c>
      <c r="V2661">
        <v>0</v>
      </c>
      <c r="W2661">
        <v>30</v>
      </c>
      <c r="X2661">
        <v>30</v>
      </c>
      <c r="Y2661">
        <v>1</v>
      </c>
      <c r="Z2661">
        <v>8</v>
      </c>
      <c r="AA2661">
        <v>26</v>
      </c>
      <c r="AB2661">
        <v>2</v>
      </c>
      <c r="AC2661">
        <v>3</v>
      </c>
      <c r="AD2661">
        <v>3.27999997</v>
      </c>
      <c r="AE2661">
        <v>1</v>
      </c>
      <c r="AF2661">
        <v>25</v>
      </c>
      <c r="AG2661">
        <v>3.27399993</v>
      </c>
      <c r="AH2661">
        <v>4</v>
      </c>
      <c r="AI2661">
        <v>17</v>
      </c>
      <c r="AJ2661">
        <v>1</v>
      </c>
      <c r="AK2661">
        <v>19</v>
      </c>
      <c r="AL2661">
        <v>52</v>
      </c>
      <c r="AM2661" t="s">
        <v>43</v>
      </c>
      <c r="AN2661" t="s">
        <v>43</v>
      </c>
    </row>
    <row r="2662" spans="1:40" x14ac:dyDescent="0.3">
      <c r="A2662" s="1">
        <v>46210.691550925927</v>
      </c>
      <c r="B2662" t="s">
        <v>40</v>
      </c>
      <c r="C2662" t="s">
        <v>41</v>
      </c>
      <c r="D2662" s="1">
        <v>46210.694606481484</v>
      </c>
      <c r="E2662" t="s">
        <v>42</v>
      </c>
      <c r="F2662" t="s">
        <v>83</v>
      </c>
      <c r="G2662">
        <v>6</v>
      </c>
      <c r="H2662">
        <v>33174</v>
      </c>
      <c r="I2662" t="s">
        <v>1422</v>
      </c>
      <c r="J2662">
        <v>58</v>
      </c>
      <c r="K2662">
        <v>64</v>
      </c>
      <c r="L2662">
        <v>98</v>
      </c>
      <c r="M2662">
        <v>627.29998779000005</v>
      </c>
      <c r="N2662" t="s">
        <v>87</v>
      </c>
      <c r="O2662" t="s">
        <v>86</v>
      </c>
      <c r="P2662">
        <v>128</v>
      </c>
      <c r="Q2662">
        <v>3</v>
      </c>
      <c r="R2662">
        <v>34</v>
      </c>
      <c r="S2662">
        <v>1169</v>
      </c>
      <c r="T2662">
        <v>-40</v>
      </c>
      <c r="U2662">
        <v>52</v>
      </c>
      <c r="V2662">
        <v>240</v>
      </c>
      <c r="W2662">
        <v>30</v>
      </c>
      <c r="X2662">
        <v>30</v>
      </c>
      <c r="Y2662">
        <v>1</v>
      </c>
      <c r="Z2662">
        <v>8</v>
      </c>
      <c r="AA2662">
        <v>26</v>
      </c>
      <c r="AB2662">
        <v>2</v>
      </c>
      <c r="AC2662">
        <v>4</v>
      </c>
      <c r="AD2662">
        <v>3.27699995</v>
      </c>
      <c r="AE2662">
        <v>1</v>
      </c>
      <c r="AF2662">
        <v>36</v>
      </c>
      <c r="AG2662">
        <v>3.27099991</v>
      </c>
      <c r="AH2662">
        <v>5</v>
      </c>
      <c r="AI2662">
        <v>17</v>
      </c>
      <c r="AJ2662">
        <v>1</v>
      </c>
      <c r="AK2662">
        <v>19</v>
      </c>
      <c r="AL2662">
        <v>52</v>
      </c>
      <c r="AM2662" t="s">
        <v>43</v>
      </c>
      <c r="AN2662" t="str">
        <f>HYPERLINK("https://www.google.com/maps?q=10.81504822,79.14858246","Open Location")</f>
        <v>Open Location</v>
      </c>
    </row>
    <row r="2663" spans="1:40" x14ac:dyDescent="0.3">
      <c r="A2663" s="1">
        <v>46210.691435185188</v>
      </c>
      <c r="B2663" t="s">
        <v>40</v>
      </c>
      <c r="C2663" t="s">
        <v>41</v>
      </c>
      <c r="D2663" s="1">
        <v>46210.694166666668</v>
      </c>
      <c r="E2663" t="s">
        <v>42</v>
      </c>
      <c r="F2663" t="s">
        <v>83</v>
      </c>
      <c r="G2663">
        <v>10</v>
      </c>
      <c r="H2663">
        <v>33173</v>
      </c>
      <c r="I2663" t="s">
        <v>1423</v>
      </c>
      <c r="J2663">
        <v>58</v>
      </c>
      <c r="K2663">
        <v>-32</v>
      </c>
      <c r="L2663">
        <v>98</v>
      </c>
      <c r="M2663">
        <v>630.29998779000005</v>
      </c>
      <c r="N2663" t="s">
        <v>87</v>
      </c>
      <c r="O2663" t="s">
        <v>86</v>
      </c>
      <c r="P2663">
        <v>128</v>
      </c>
      <c r="Q2663" t="s">
        <v>43</v>
      </c>
      <c r="R2663">
        <v>-9</v>
      </c>
      <c r="S2663">
        <v>382</v>
      </c>
      <c r="T2663">
        <v>-40</v>
      </c>
      <c r="U2663">
        <v>53</v>
      </c>
      <c r="V2663">
        <v>-740</v>
      </c>
      <c r="W2663">
        <v>31</v>
      </c>
      <c r="X2663">
        <v>31</v>
      </c>
      <c r="Y2663">
        <v>1</v>
      </c>
      <c r="Z2663">
        <v>8</v>
      </c>
      <c r="AA2663">
        <v>26</v>
      </c>
      <c r="AB2663">
        <v>2</v>
      </c>
      <c r="AC2663">
        <v>4</v>
      </c>
      <c r="AD2663">
        <v>3.27399993</v>
      </c>
      <c r="AE2663">
        <v>5</v>
      </c>
      <c r="AF2663">
        <v>38</v>
      </c>
      <c r="AG2663">
        <v>3.2650001</v>
      </c>
      <c r="AH2663">
        <v>4</v>
      </c>
      <c r="AI2663">
        <v>17</v>
      </c>
      <c r="AJ2663">
        <v>1</v>
      </c>
      <c r="AK2663">
        <v>20</v>
      </c>
      <c r="AL2663">
        <v>52</v>
      </c>
      <c r="AM2663" t="s">
        <v>43</v>
      </c>
      <c r="AN2663" t="str">
        <f>HYPERLINK("https://www.google.com/maps?q=10.81496143,79.14836884","Open Location")</f>
        <v>Open Location</v>
      </c>
    </row>
    <row r="2664" spans="1:40" x14ac:dyDescent="0.3">
      <c r="A2664" s="1">
        <v>46210.691319444442</v>
      </c>
      <c r="B2664" t="s">
        <v>40</v>
      </c>
      <c r="C2664" t="s">
        <v>41</v>
      </c>
      <c r="D2664" s="1">
        <v>46210.694120370368</v>
      </c>
      <c r="E2664" t="s">
        <v>42</v>
      </c>
      <c r="F2664" t="s">
        <v>83</v>
      </c>
      <c r="G2664">
        <v>30</v>
      </c>
      <c r="H2664">
        <v>33173</v>
      </c>
      <c r="I2664" t="s">
        <v>1424</v>
      </c>
      <c r="J2664">
        <v>58</v>
      </c>
      <c r="K2664">
        <v>-125</v>
      </c>
      <c r="L2664">
        <v>98</v>
      </c>
      <c r="M2664">
        <v>633.40002441000001</v>
      </c>
      <c r="N2664" t="s">
        <v>87</v>
      </c>
      <c r="O2664" t="s">
        <v>86</v>
      </c>
      <c r="P2664">
        <v>131</v>
      </c>
      <c r="Q2664">
        <v>6</v>
      </c>
      <c r="R2664">
        <v>-26</v>
      </c>
      <c r="S2664">
        <v>921</v>
      </c>
      <c r="T2664">
        <v>-40</v>
      </c>
      <c r="U2664">
        <v>53</v>
      </c>
      <c r="V2664">
        <v>-940</v>
      </c>
      <c r="W2664" t="s">
        <v>43</v>
      </c>
      <c r="X2664" t="s">
        <v>43</v>
      </c>
      <c r="Y2664" t="s">
        <v>43</v>
      </c>
      <c r="Z2664" t="s">
        <v>43</v>
      </c>
      <c r="AA2664" t="s">
        <v>43</v>
      </c>
      <c r="AB2664" t="s">
        <v>43</v>
      </c>
      <c r="AC2664" t="s">
        <v>43</v>
      </c>
      <c r="AD2664" t="s">
        <v>43</v>
      </c>
      <c r="AE2664" t="s">
        <v>43</v>
      </c>
      <c r="AF2664" t="s">
        <v>43</v>
      </c>
      <c r="AG2664" t="s">
        <v>43</v>
      </c>
      <c r="AH2664" t="s">
        <v>43</v>
      </c>
      <c r="AI2664" t="s">
        <v>43</v>
      </c>
      <c r="AJ2664">
        <v>1</v>
      </c>
      <c r="AK2664">
        <v>19</v>
      </c>
      <c r="AL2664">
        <v>52</v>
      </c>
      <c r="AM2664" t="s">
        <v>43</v>
      </c>
      <c r="AN2664" t="str">
        <f>HYPERLINK("https://www.google.com/maps?q=10.81441975,79.14852142","Open Location")</f>
        <v>Open Location</v>
      </c>
    </row>
    <row r="2665" spans="1:40" x14ac:dyDescent="0.3">
      <c r="A2665" s="1">
        <v>46210.691203703704</v>
      </c>
      <c r="B2665" t="s">
        <v>40</v>
      </c>
      <c r="C2665" t="s">
        <v>41</v>
      </c>
      <c r="D2665" s="1">
        <v>46210.693969907406</v>
      </c>
      <c r="E2665" t="s">
        <v>42</v>
      </c>
      <c r="F2665" t="s">
        <v>83</v>
      </c>
      <c r="G2665">
        <v>42</v>
      </c>
      <c r="H2665">
        <v>33173</v>
      </c>
      <c r="I2665" t="s">
        <v>1425</v>
      </c>
      <c r="J2665">
        <v>58</v>
      </c>
      <c r="K2665">
        <v>-49</v>
      </c>
      <c r="L2665">
        <v>98</v>
      </c>
      <c r="M2665">
        <v>629</v>
      </c>
      <c r="N2665" t="s">
        <v>87</v>
      </c>
      <c r="O2665" t="s">
        <v>86</v>
      </c>
      <c r="P2665">
        <v>131</v>
      </c>
      <c r="Q2665">
        <v>6</v>
      </c>
      <c r="R2665">
        <v>-37</v>
      </c>
      <c r="S2665">
        <v>1187</v>
      </c>
      <c r="T2665">
        <v>-40</v>
      </c>
      <c r="U2665">
        <v>52</v>
      </c>
      <c r="V2665">
        <v>-300</v>
      </c>
      <c r="W2665">
        <v>31</v>
      </c>
      <c r="X2665">
        <v>31</v>
      </c>
      <c r="Y2665">
        <v>1</v>
      </c>
      <c r="Z2665">
        <v>8</v>
      </c>
      <c r="AA2665">
        <v>26</v>
      </c>
      <c r="AB2665">
        <v>2</v>
      </c>
      <c r="AC2665">
        <v>4</v>
      </c>
      <c r="AD2665">
        <v>3.28500009</v>
      </c>
      <c r="AE2665">
        <v>1</v>
      </c>
      <c r="AF2665">
        <v>24</v>
      </c>
      <c r="AG2665">
        <v>3.2820000600000001</v>
      </c>
      <c r="AH2665">
        <v>1</v>
      </c>
      <c r="AI2665">
        <v>4</v>
      </c>
      <c r="AJ2665">
        <v>1</v>
      </c>
      <c r="AK2665">
        <v>18</v>
      </c>
      <c r="AL2665">
        <v>52</v>
      </c>
      <c r="AM2665" t="s">
        <v>43</v>
      </c>
      <c r="AN2665" t="str">
        <f>HYPERLINK("https://www.google.com/maps?q=10.81349945,79.14922333","Open Location")</f>
        <v>Open Location</v>
      </c>
    </row>
    <row r="2666" spans="1:40" x14ac:dyDescent="0.3">
      <c r="A2666" s="1">
        <v>46210.691087962965</v>
      </c>
      <c r="B2666" t="s">
        <v>40</v>
      </c>
      <c r="C2666" t="s">
        <v>41</v>
      </c>
      <c r="D2666" s="1">
        <v>46210.69390046296</v>
      </c>
      <c r="E2666" t="s">
        <v>42</v>
      </c>
      <c r="F2666" t="s">
        <v>83</v>
      </c>
      <c r="G2666">
        <v>44</v>
      </c>
      <c r="H2666">
        <v>33173</v>
      </c>
      <c r="I2666" t="s">
        <v>1426</v>
      </c>
      <c r="J2666">
        <v>58</v>
      </c>
      <c r="K2666">
        <v>130</v>
      </c>
      <c r="L2666">
        <v>98</v>
      </c>
      <c r="M2666">
        <v>622.09997558999999</v>
      </c>
      <c r="N2666" t="s">
        <v>87</v>
      </c>
      <c r="O2666" t="s">
        <v>86</v>
      </c>
      <c r="P2666">
        <v>131</v>
      </c>
      <c r="Q2666">
        <v>6</v>
      </c>
      <c r="R2666">
        <v>96</v>
      </c>
      <c r="S2666">
        <v>1201</v>
      </c>
      <c r="T2666">
        <v>-40</v>
      </c>
      <c r="U2666">
        <v>53</v>
      </c>
      <c r="V2666">
        <v>600</v>
      </c>
      <c r="W2666">
        <v>31</v>
      </c>
      <c r="X2666">
        <v>31</v>
      </c>
      <c r="Y2666">
        <v>1</v>
      </c>
      <c r="Z2666">
        <v>8</v>
      </c>
      <c r="AA2666">
        <v>26</v>
      </c>
      <c r="AB2666">
        <v>2</v>
      </c>
      <c r="AC2666">
        <v>4</v>
      </c>
      <c r="AD2666">
        <v>3.2520000900000001</v>
      </c>
      <c r="AE2666">
        <v>1</v>
      </c>
      <c r="AF2666">
        <v>38</v>
      </c>
      <c r="AG2666">
        <v>3.2420000999999998</v>
      </c>
      <c r="AH2666">
        <v>4</v>
      </c>
      <c r="AI2666">
        <v>17</v>
      </c>
      <c r="AJ2666">
        <v>1</v>
      </c>
      <c r="AK2666">
        <v>17</v>
      </c>
      <c r="AL2666">
        <v>52</v>
      </c>
      <c r="AM2666" t="s">
        <v>43</v>
      </c>
      <c r="AN2666" t="str">
        <f>HYPERLINK("https://www.google.com/maps?q=10.8125391,79.15014648","Open Location")</f>
        <v>Open Location</v>
      </c>
    </row>
    <row r="2667" spans="1:40" x14ac:dyDescent="0.3">
      <c r="A2667" s="1">
        <v>46210.690972222219</v>
      </c>
      <c r="B2667" t="s">
        <v>40</v>
      </c>
      <c r="C2667" t="s">
        <v>41</v>
      </c>
      <c r="D2667" s="1">
        <v>46210.69390046296</v>
      </c>
      <c r="E2667" t="s">
        <v>42</v>
      </c>
      <c r="F2667" t="s">
        <v>83</v>
      </c>
      <c r="G2667">
        <v>43</v>
      </c>
      <c r="H2667">
        <v>33173</v>
      </c>
      <c r="I2667" t="s">
        <v>43</v>
      </c>
      <c r="J2667">
        <v>58</v>
      </c>
      <c r="K2667">
        <v>85</v>
      </c>
      <c r="L2667">
        <v>98</v>
      </c>
      <c r="M2667">
        <v>623.79998779000005</v>
      </c>
      <c r="N2667" t="s">
        <v>87</v>
      </c>
      <c r="O2667" t="s">
        <v>86</v>
      </c>
      <c r="P2667">
        <v>131</v>
      </c>
      <c r="Q2667">
        <v>6</v>
      </c>
      <c r="R2667">
        <v>57</v>
      </c>
      <c r="S2667">
        <v>1186</v>
      </c>
      <c r="T2667">
        <v>-40</v>
      </c>
      <c r="U2667">
        <v>52</v>
      </c>
      <c r="V2667">
        <v>380</v>
      </c>
      <c r="W2667">
        <v>31</v>
      </c>
      <c r="X2667">
        <v>31</v>
      </c>
      <c r="Y2667">
        <v>1</v>
      </c>
      <c r="Z2667">
        <v>8</v>
      </c>
      <c r="AA2667">
        <v>26</v>
      </c>
      <c r="AB2667">
        <v>2</v>
      </c>
      <c r="AC2667">
        <v>4</v>
      </c>
      <c r="AD2667">
        <v>3.2569999699999999</v>
      </c>
      <c r="AE2667">
        <v>5</v>
      </c>
      <c r="AF2667">
        <v>38</v>
      </c>
      <c r="AG2667">
        <v>3.2460000500000001</v>
      </c>
      <c r="AH2667">
        <v>4</v>
      </c>
      <c r="AI2667">
        <v>17</v>
      </c>
      <c r="AJ2667">
        <v>1</v>
      </c>
      <c r="AK2667">
        <v>18</v>
      </c>
      <c r="AL2667">
        <v>52</v>
      </c>
      <c r="AM2667" t="s">
        <v>43</v>
      </c>
      <c r="AN2667" t="s">
        <v>43</v>
      </c>
    </row>
    <row r="2668" spans="1:40" x14ac:dyDescent="0.3">
      <c r="A2668" s="1">
        <v>46210.69085648148</v>
      </c>
      <c r="B2668" t="s">
        <v>40</v>
      </c>
      <c r="C2668" t="s">
        <v>41</v>
      </c>
      <c r="D2668" s="1">
        <v>46210.693888888891</v>
      </c>
      <c r="E2668" t="s">
        <v>42</v>
      </c>
      <c r="F2668" t="s">
        <v>83</v>
      </c>
      <c r="G2668">
        <v>43</v>
      </c>
      <c r="H2668">
        <v>33173</v>
      </c>
      <c r="I2668" t="s">
        <v>1427</v>
      </c>
      <c r="J2668">
        <v>58</v>
      </c>
      <c r="K2668">
        <v>63</v>
      </c>
      <c r="L2668">
        <v>98</v>
      </c>
      <c r="M2668">
        <v>625.40002441000001</v>
      </c>
      <c r="N2668" t="s">
        <v>87</v>
      </c>
      <c r="O2668" t="s">
        <v>86</v>
      </c>
      <c r="P2668">
        <v>131</v>
      </c>
      <c r="Q2668">
        <v>6</v>
      </c>
      <c r="R2668">
        <v>35</v>
      </c>
      <c r="S2668">
        <v>1207</v>
      </c>
      <c r="T2668">
        <v>-40</v>
      </c>
      <c r="U2668">
        <v>51</v>
      </c>
      <c r="V2668">
        <v>280</v>
      </c>
      <c r="W2668">
        <v>31</v>
      </c>
      <c r="X2668">
        <v>31</v>
      </c>
      <c r="Y2668">
        <v>1</v>
      </c>
      <c r="Z2668">
        <v>8</v>
      </c>
      <c r="AA2668">
        <v>26</v>
      </c>
      <c r="AB2668">
        <v>2</v>
      </c>
      <c r="AC2668">
        <v>4</v>
      </c>
      <c r="AD2668" t="s">
        <v>43</v>
      </c>
      <c r="AE2668" t="s">
        <v>43</v>
      </c>
      <c r="AF2668" t="s">
        <v>43</v>
      </c>
      <c r="AG2668" t="s">
        <v>43</v>
      </c>
      <c r="AH2668" t="s">
        <v>43</v>
      </c>
      <c r="AI2668" t="s">
        <v>43</v>
      </c>
      <c r="AJ2668">
        <v>1</v>
      </c>
      <c r="AK2668">
        <v>18</v>
      </c>
      <c r="AL2668">
        <v>52</v>
      </c>
      <c r="AM2668" t="s">
        <v>43</v>
      </c>
      <c r="AN2668" t="str">
        <f>HYPERLINK("https://www.google.com/maps?q=10.81156445,79.15100098","Open Location")</f>
        <v>Open Location</v>
      </c>
    </row>
    <row r="2669" spans="1:40" x14ac:dyDescent="0.3">
      <c r="A2669" s="1">
        <v>46210.690740740742</v>
      </c>
      <c r="B2669" t="s">
        <v>40</v>
      </c>
      <c r="C2669" t="s">
        <v>41</v>
      </c>
      <c r="D2669" s="1">
        <v>46210.693553240744</v>
      </c>
      <c r="E2669" t="s">
        <v>42</v>
      </c>
      <c r="F2669" t="s">
        <v>83</v>
      </c>
      <c r="G2669">
        <v>44</v>
      </c>
      <c r="H2669" t="s">
        <v>43</v>
      </c>
      <c r="I2669" t="s">
        <v>1428</v>
      </c>
      <c r="J2669">
        <v>58</v>
      </c>
      <c r="K2669">
        <v>90</v>
      </c>
      <c r="L2669">
        <v>98</v>
      </c>
      <c r="M2669">
        <v>623.70001220999995</v>
      </c>
      <c r="N2669" t="s">
        <v>87</v>
      </c>
      <c r="O2669" t="s">
        <v>86</v>
      </c>
      <c r="P2669">
        <v>131</v>
      </c>
      <c r="Q2669" t="s">
        <v>43</v>
      </c>
      <c r="R2669">
        <v>50</v>
      </c>
      <c r="S2669">
        <v>1223</v>
      </c>
      <c r="T2669">
        <v>-40</v>
      </c>
      <c r="U2669">
        <v>52</v>
      </c>
      <c r="V2669">
        <v>400</v>
      </c>
      <c r="W2669">
        <v>31</v>
      </c>
      <c r="X2669">
        <v>31</v>
      </c>
      <c r="Y2669">
        <v>1</v>
      </c>
      <c r="Z2669">
        <v>8</v>
      </c>
      <c r="AA2669">
        <v>26</v>
      </c>
      <c r="AB2669">
        <v>2</v>
      </c>
      <c r="AC2669">
        <v>4</v>
      </c>
      <c r="AD2669">
        <v>3.2639999400000002</v>
      </c>
      <c r="AE2669">
        <v>5</v>
      </c>
      <c r="AF2669">
        <v>38</v>
      </c>
      <c r="AG2669">
        <v>3.25600004</v>
      </c>
      <c r="AH2669">
        <v>4</v>
      </c>
      <c r="AI2669">
        <v>17</v>
      </c>
      <c r="AJ2669">
        <v>1</v>
      </c>
      <c r="AK2669">
        <v>18</v>
      </c>
      <c r="AL2669">
        <v>52</v>
      </c>
      <c r="AM2669" t="s">
        <v>43</v>
      </c>
      <c r="AN2669" t="str">
        <f>HYPERLINK("https://www.google.com/maps?q=10.81056404,79.15185547","Open Location")</f>
        <v>Open Location</v>
      </c>
    </row>
    <row r="2670" spans="1:40" x14ac:dyDescent="0.3">
      <c r="A2670" s="1">
        <v>46210.690625000003</v>
      </c>
      <c r="B2670" t="s">
        <v>40</v>
      </c>
      <c r="C2670" t="s">
        <v>41</v>
      </c>
      <c r="D2670" s="1">
        <v>46210.693483796298</v>
      </c>
      <c r="E2670" t="s">
        <v>42</v>
      </c>
      <c r="F2670" t="s">
        <v>83</v>
      </c>
      <c r="G2670">
        <v>44</v>
      </c>
      <c r="H2670" t="s">
        <v>43</v>
      </c>
      <c r="I2670" t="s">
        <v>1429</v>
      </c>
      <c r="J2670">
        <v>58</v>
      </c>
      <c r="K2670">
        <v>119</v>
      </c>
      <c r="L2670">
        <v>98</v>
      </c>
      <c r="M2670">
        <v>622.79998779000005</v>
      </c>
      <c r="N2670" t="s">
        <v>87</v>
      </c>
      <c r="O2670" t="s">
        <v>86</v>
      </c>
      <c r="P2670">
        <v>131</v>
      </c>
      <c r="Q2670">
        <v>6</v>
      </c>
      <c r="R2670">
        <v>58</v>
      </c>
      <c r="S2670">
        <v>1225</v>
      </c>
      <c r="T2670">
        <v>-40</v>
      </c>
      <c r="U2670">
        <v>53</v>
      </c>
      <c r="V2670">
        <v>520</v>
      </c>
      <c r="W2670" t="s">
        <v>43</v>
      </c>
      <c r="X2670" t="s">
        <v>43</v>
      </c>
      <c r="Y2670" t="s">
        <v>43</v>
      </c>
      <c r="Z2670" t="s">
        <v>43</v>
      </c>
      <c r="AA2670" t="s">
        <v>43</v>
      </c>
      <c r="AB2670" t="s">
        <v>43</v>
      </c>
      <c r="AC2670" t="s">
        <v>43</v>
      </c>
      <c r="AD2670" t="s">
        <v>43</v>
      </c>
      <c r="AE2670" t="s">
        <v>43</v>
      </c>
      <c r="AF2670" t="s">
        <v>43</v>
      </c>
      <c r="AG2670" t="s">
        <v>43</v>
      </c>
      <c r="AH2670" t="s">
        <v>43</v>
      </c>
      <c r="AI2670" t="s">
        <v>43</v>
      </c>
      <c r="AJ2670">
        <v>1</v>
      </c>
      <c r="AK2670">
        <v>18</v>
      </c>
      <c r="AL2670">
        <v>52</v>
      </c>
      <c r="AM2670" t="s">
        <v>43</v>
      </c>
      <c r="AN2670" t="str">
        <f>HYPERLINK("https://www.google.com/maps?q=10.8094244,79.15276337","Open Location")</f>
        <v>Open Location</v>
      </c>
    </row>
    <row r="2671" spans="1:40" x14ac:dyDescent="0.3">
      <c r="A2671" s="1">
        <v>46210.690509259257</v>
      </c>
      <c r="B2671" t="s">
        <v>40</v>
      </c>
      <c r="C2671" t="s">
        <v>41</v>
      </c>
      <c r="D2671" s="1">
        <v>46210.693414351852</v>
      </c>
      <c r="E2671" t="s">
        <v>42</v>
      </c>
      <c r="F2671" t="s">
        <v>83</v>
      </c>
      <c r="G2671">
        <v>44</v>
      </c>
      <c r="H2671">
        <v>33173</v>
      </c>
      <c r="I2671" t="s">
        <v>1430</v>
      </c>
      <c r="J2671">
        <v>58</v>
      </c>
      <c r="K2671">
        <v>224</v>
      </c>
      <c r="L2671">
        <v>98</v>
      </c>
      <c r="M2671">
        <v>618.59997558999999</v>
      </c>
      <c r="N2671" t="s">
        <v>87</v>
      </c>
      <c r="O2671" t="s">
        <v>86</v>
      </c>
      <c r="P2671">
        <v>131</v>
      </c>
      <c r="Q2671">
        <v>6</v>
      </c>
      <c r="R2671">
        <v>110</v>
      </c>
      <c r="S2671">
        <v>1199</v>
      </c>
      <c r="T2671">
        <v>-40</v>
      </c>
      <c r="U2671">
        <v>53</v>
      </c>
      <c r="V2671">
        <v>1000</v>
      </c>
      <c r="W2671">
        <v>31</v>
      </c>
      <c r="X2671">
        <v>31</v>
      </c>
      <c r="Y2671">
        <v>1</v>
      </c>
      <c r="Z2671">
        <v>8</v>
      </c>
      <c r="AA2671">
        <v>26</v>
      </c>
      <c r="AB2671">
        <v>2</v>
      </c>
      <c r="AC2671">
        <v>4</v>
      </c>
      <c r="AD2671">
        <v>3.25300002</v>
      </c>
      <c r="AE2671">
        <v>1</v>
      </c>
      <c r="AF2671">
        <v>42</v>
      </c>
      <c r="AG2671">
        <v>3.2420000999999998</v>
      </c>
      <c r="AH2671">
        <v>4</v>
      </c>
      <c r="AI2671">
        <v>17</v>
      </c>
      <c r="AJ2671">
        <v>1</v>
      </c>
      <c r="AK2671">
        <v>18</v>
      </c>
      <c r="AL2671">
        <v>52</v>
      </c>
      <c r="AM2671" t="s">
        <v>43</v>
      </c>
      <c r="AN2671" t="str">
        <f>HYPERLINK("https://www.google.com/maps?q=10.80839157,79.15358734","Open Location")</f>
        <v>Open Location</v>
      </c>
    </row>
    <row r="2672" spans="1:40" x14ac:dyDescent="0.3">
      <c r="A2672" s="1">
        <v>46210.690393518518</v>
      </c>
      <c r="B2672" t="s">
        <v>40</v>
      </c>
      <c r="C2672" t="s">
        <v>41</v>
      </c>
      <c r="D2672" s="1">
        <v>46210.693368055552</v>
      </c>
      <c r="E2672" t="s">
        <v>42</v>
      </c>
      <c r="F2672" t="s">
        <v>83</v>
      </c>
      <c r="G2672">
        <v>47</v>
      </c>
      <c r="H2672">
        <v>33172</v>
      </c>
      <c r="I2672" t="s">
        <v>1431</v>
      </c>
      <c r="J2672">
        <v>58</v>
      </c>
      <c r="K2672">
        <v>-50</v>
      </c>
      <c r="L2672">
        <v>98</v>
      </c>
      <c r="M2672">
        <v>629.59997558999999</v>
      </c>
      <c r="N2672" t="s">
        <v>87</v>
      </c>
      <c r="O2672" t="s">
        <v>86</v>
      </c>
      <c r="P2672">
        <v>131</v>
      </c>
      <c r="Q2672">
        <v>6</v>
      </c>
      <c r="R2672">
        <v>-124</v>
      </c>
      <c r="S2672">
        <v>1381</v>
      </c>
      <c r="T2672">
        <v>-40</v>
      </c>
      <c r="U2672">
        <v>51</v>
      </c>
      <c r="V2672">
        <v>-300</v>
      </c>
      <c r="W2672">
        <v>31</v>
      </c>
      <c r="X2672">
        <v>31</v>
      </c>
      <c r="Y2672">
        <v>1</v>
      </c>
      <c r="Z2672">
        <v>8</v>
      </c>
      <c r="AA2672">
        <v>26</v>
      </c>
      <c r="AB2672">
        <v>2</v>
      </c>
      <c r="AC2672">
        <v>4</v>
      </c>
      <c r="AD2672">
        <v>3.28600001</v>
      </c>
      <c r="AE2672">
        <v>1</v>
      </c>
      <c r="AF2672">
        <v>26</v>
      </c>
      <c r="AG2672">
        <v>3.27999997</v>
      </c>
      <c r="AH2672">
        <v>6</v>
      </c>
      <c r="AI2672">
        <v>17</v>
      </c>
      <c r="AJ2672">
        <v>1</v>
      </c>
      <c r="AK2672">
        <v>21</v>
      </c>
      <c r="AL2672">
        <v>52</v>
      </c>
      <c r="AM2672" t="s">
        <v>43</v>
      </c>
      <c r="AN2672" t="str">
        <f>HYPERLINK("https://www.google.com/maps?q=10.80729103,79.15447998","Open Location")</f>
        <v>Open Location</v>
      </c>
    </row>
    <row r="2673" spans="1:40" x14ac:dyDescent="0.3">
      <c r="A2673" s="1">
        <v>46210.69027777778</v>
      </c>
      <c r="B2673" t="s">
        <v>40</v>
      </c>
      <c r="C2673" t="s">
        <v>41</v>
      </c>
      <c r="D2673" s="1">
        <v>46210.693136574075</v>
      </c>
      <c r="E2673" t="s">
        <v>42</v>
      </c>
      <c r="F2673" t="s">
        <v>83</v>
      </c>
      <c r="G2673">
        <v>51</v>
      </c>
      <c r="H2673">
        <v>33172</v>
      </c>
      <c r="I2673" t="s">
        <v>43</v>
      </c>
      <c r="J2673">
        <v>58</v>
      </c>
      <c r="K2673">
        <v>108</v>
      </c>
      <c r="L2673">
        <v>98</v>
      </c>
      <c r="M2673">
        <v>622.29998779000005</v>
      </c>
      <c r="N2673" t="s">
        <v>87</v>
      </c>
      <c r="O2673" t="s">
        <v>86</v>
      </c>
      <c r="P2673">
        <v>131</v>
      </c>
      <c r="Q2673">
        <v>6</v>
      </c>
      <c r="R2673">
        <v>59</v>
      </c>
      <c r="S2673">
        <v>1436</v>
      </c>
      <c r="T2673">
        <v>-40</v>
      </c>
      <c r="U2673">
        <v>51</v>
      </c>
      <c r="V2673">
        <v>400</v>
      </c>
      <c r="W2673">
        <v>31</v>
      </c>
      <c r="X2673">
        <v>31</v>
      </c>
      <c r="Y2673">
        <v>1</v>
      </c>
      <c r="Z2673">
        <v>8</v>
      </c>
      <c r="AA2673">
        <v>26</v>
      </c>
      <c r="AB2673">
        <v>2</v>
      </c>
      <c r="AC2673">
        <v>4</v>
      </c>
      <c r="AD2673">
        <v>3.2539999499999999</v>
      </c>
      <c r="AE2673">
        <v>1</v>
      </c>
      <c r="AF2673">
        <v>38</v>
      </c>
      <c r="AG2673">
        <v>3.2420000999999998</v>
      </c>
      <c r="AH2673">
        <v>4</v>
      </c>
      <c r="AI2673">
        <v>17</v>
      </c>
      <c r="AJ2673">
        <v>1</v>
      </c>
      <c r="AK2673">
        <v>18</v>
      </c>
      <c r="AL2673">
        <v>52</v>
      </c>
      <c r="AM2673" t="s">
        <v>43</v>
      </c>
      <c r="AN2673" t="s">
        <v>43</v>
      </c>
    </row>
    <row r="2674" spans="1:40" x14ac:dyDescent="0.3">
      <c r="A2674" s="1">
        <v>46210.690162037034</v>
      </c>
      <c r="B2674" t="s">
        <v>40</v>
      </c>
      <c r="C2674" t="s">
        <v>41</v>
      </c>
      <c r="D2674" s="1">
        <v>46210.693368055552</v>
      </c>
      <c r="E2674" t="s">
        <v>42</v>
      </c>
      <c r="F2674" t="s">
        <v>83</v>
      </c>
      <c r="G2674">
        <v>52</v>
      </c>
      <c r="H2674">
        <v>33172</v>
      </c>
      <c r="I2674" t="s">
        <v>1432</v>
      </c>
      <c r="J2674">
        <v>58</v>
      </c>
      <c r="K2674">
        <v>124</v>
      </c>
      <c r="L2674">
        <v>98</v>
      </c>
      <c r="M2674">
        <v>622.20001220999995</v>
      </c>
      <c r="N2674" t="s">
        <v>87</v>
      </c>
      <c r="O2674" t="s">
        <v>86</v>
      </c>
      <c r="P2674">
        <v>131</v>
      </c>
      <c r="Q2674">
        <v>6</v>
      </c>
      <c r="R2674">
        <v>65</v>
      </c>
      <c r="S2674">
        <v>1427</v>
      </c>
      <c r="T2674">
        <v>-40</v>
      </c>
      <c r="U2674">
        <v>52</v>
      </c>
      <c r="V2674">
        <v>480</v>
      </c>
      <c r="W2674">
        <v>31</v>
      </c>
      <c r="X2674">
        <v>31</v>
      </c>
      <c r="Y2674">
        <v>1</v>
      </c>
      <c r="Z2674">
        <v>8</v>
      </c>
      <c r="AA2674">
        <v>26</v>
      </c>
      <c r="AB2674">
        <v>2</v>
      </c>
      <c r="AC2674">
        <v>4</v>
      </c>
      <c r="AD2674">
        <v>3.25600004</v>
      </c>
      <c r="AE2674">
        <v>1</v>
      </c>
      <c r="AF2674">
        <v>36</v>
      </c>
      <c r="AG2674">
        <v>3.24699998</v>
      </c>
      <c r="AH2674">
        <v>4</v>
      </c>
      <c r="AI2674">
        <v>17</v>
      </c>
      <c r="AJ2674">
        <v>1</v>
      </c>
      <c r="AK2674">
        <v>17</v>
      </c>
      <c r="AL2674">
        <v>52</v>
      </c>
      <c r="AM2674" t="s">
        <v>43</v>
      </c>
      <c r="AN2674" t="str">
        <f>HYPERLINK("https://www.google.com/maps?q=10.80607796,79.15547943","Open Location")</f>
        <v>Open Location</v>
      </c>
    </row>
    <row r="2675" spans="1:40" x14ac:dyDescent="0.3">
      <c r="A2675" s="1">
        <v>46210.690046296295</v>
      </c>
      <c r="B2675" t="s">
        <v>40</v>
      </c>
      <c r="C2675" t="s">
        <v>41</v>
      </c>
      <c r="D2675" s="1">
        <v>46210.69295138889</v>
      </c>
      <c r="E2675" t="s">
        <v>42</v>
      </c>
      <c r="F2675" t="s">
        <v>83</v>
      </c>
      <c r="G2675">
        <v>51</v>
      </c>
      <c r="H2675" t="s">
        <v>43</v>
      </c>
      <c r="I2675" t="s">
        <v>1433</v>
      </c>
      <c r="J2675">
        <v>59</v>
      </c>
      <c r="K2675">
        <v>99</v>
      </c>
      <c r="L2675">
        <v>98</v>
      </c>
      <c r="M2675">
        <v>622.5</v>
      </c>
      <c r="N2675" t="s">
        <v>87</v>
      </c>
      <c r="O2675" t="s">
        <v>86</v>
      </c>
      <c r="P2675">
        <v>131</v>
      </c>
      <c r="Q2675" t="s">
        <v>43</v>
      </c>
      <c r="R2675">
        <v>68</v>
      </c>
      <c r="S2675">
        <v>1418</v>
      </c>
      <c r="T2675">
        <v>-40</v>
      </c>
      <c r="U2675">
        <v>51</v>
      </c>
      <c r="V2675">
        <v>400</v>
      </c>
      <c r="W2675">
        <v>31</v>
      </c>
      <c r="X2675">
        <v>31</v>
      </c>
      <c r="Y2675">
        <v>1</v>
      </c>
      <c r="Z2675">
        <v>8</v>
      </c>
      <c r="AA2675">
        <v>27</v>
      </c>
      <c r="AB2675">
        <v>1</v>
      </c>
      <c r="AC2675">
        <v>3</v>
      </c>
      <c r="AD2675">
        <v>3.2479999099999999</v>
      </c>
      <c r="AE2675">
        <v>1</v>
      </c>
      <c r="AF2675">
        <v>44</v>
      </c>
      <c r="AG2675">
        <v>3.2349999</v>
      </c>
      <c r="AH2675">
        <v>4</v>
      </c>
      <c r="AI2675">
        <v>17</v>
      </c>
      <c r="AJ2675">
        <v>1</v>
      </c>
      <c r="AK2675">
        <v>17</v>
      </c>
      <c r="AL2675">
        <v>52</v>
      </c>
      <c r="AM2675" t="s">
        <v>43</v>
      </c>
      <c r="AN2675" t="str">
        <f>HYPERLINK("https://www.google.com/maps?q=10.80488968,79.15649414","Open Location")</f>
        <v>Open Location</v>
      </c>
    </row>
    <row r="2676" spans="1:40" x14ac:dyDescent="0.3">
      <c r="A2676" s="1">
        <v>46210.689930555556</v>
      </c>
      <c r="B2676" t="s">
        <v>40</v>
      </c>
      <c r="C2676" t="s">
        <v>41</v>
      </c>
      <c r="D2676" s="1">
        <v>46210.692604166667</v>
      </c>
      <c r="E2676" t="s">
        <v>42</v>
      </c>
      <c r="F2676" t="s">
        <v>83</v>
      </c>
      <c r="G2676">
        <v>52</v>
      </c>
      <c r="H2676" t="s">
        <v>43</v>
      </c>
      <c r="I2676" t="s">
        <v>1434</v>
      </c>
      <c r="J2676">
        <v>59</v>
      </c>
      <c r="K2676">
        <v>100</v>
      </c>
      <c r="L2676">
        <v>98</v>
      </c>
      <c r="M2676">
        <v>622.90002441000001</v>
      </c>
      <c r="N2676" t="s">
        <v>87</v>
      </c>
      <c r="O2676" t="s">
        <v>86</v>
      </c>
      <c r="P2676">
        <v>131</v>
      </c>
      <c r="Q2676">
        <v>6</v>
      </c>
      <c r="R2676">
        <v>57</v>
      </c>
      <c r="S2676">
        <v>1448</v>
      </c>
      <c r="T2676">
        <v>-40</v>
      </c>
      <c r="U2676">
        <v>51</v>
      </c>
      <c r="V2676">
        <v>380</v>
      </c>
      <c r="W2676" t="s">
        <v>43</v>
      </c>
      <c r="X2676" t="s">
        <v>43</v>
      </c>
      <c r="Y2676" t="s">
        <v>43</v>
      </c>
      <c r="Z2676" t="s">
        <v>43</v>
      </c>
      <c r="AA2676" t="s">
        <v>43</v>
      </c>
      <c r="AB2676" t="s">
        <v>43</v>
      </c>
      <c r="AC2676" t="s">
        <v>43</v>
      </c>
      <c r="AD2676" t="s">
        <v>43</v>
      </c>
      <c r="AE2676" t="s">
        <v>43</v>
      </c>
      <c r="AF2676" t="s">
        <v>43</v>
      </c>
      <c r="AG2676" t="s">
        <v>43</v>
      </c>
      <c r="AH2676" t="s">
        <v>43</v>
      </c>
      <c r="AI2676" t="s">
        <v>43</v>
      </c>
      <c r="AJ2676">
        <v>1</v>
      </c>
      <c r="AK2676">
        <v>19</v>
      </c>
      <c r="AL2676">
        <v>52</v>
      </c>
      <c r="AM2676" t="s">
        <v>43</v>
      </c>
      <c r="AN2676" t="str">
        <f>HYPERLINK("https://www.google.com/maps?q=10.80370426,79.15753937","Open Location")</f>
        <v>Open Location</v>
      </c>
    </row>
    <row r="2677" spans="1:40" x14ac:dyDescent="0.3">
      <c r="A2677" s="1">
        <v>46210.689814814818</v>
      </c>
      <c r="B2677" t="s">
        <v>40</v>
      </c>
      <c r="C2677" t="s">
        <v>41</v>
      </c>
      <c r="D2677" s="1">
        <v>46210.692569444444</v>
      </c>
      <c r="E2677" t="s">
        <v>42</v>
      </c>
      <c r="F2677" t="s">
        <v>83</v>
      </c>
      <c r="G2677">
        <v>53</v>
      </c>
      <c r="H2677">
        <v>33172</v>
      </c>
      <c r="I2677" t="s">
        <v>1435</v>
      </c>
      <c r="J2677">
        <v>59</v>
      </c>
      <c r="K2677">
        <v>76</v>
      </c>
      <c r="L2677">
        <v>98</v>
      </c>
      <c r="M2677">
        <v>624.09997558999999</v>
      </c>
      <c r="N2677" t="s">
        <v>87</v>
      </c>
      <c r="O2677" t="s">
        <v>86</v>
      </c>
      <c r="P2677">
        <v>131</v>
      </c>
      <c r="Q2677" t="s">
        <v>43</v>
      </c>
      <c r="R2677">
        <v>67</v>
      </c>
      <c r="S2677">
        <v>1467</v>
      </c>
      <c r="T2677">
        <v>-40</v>
      </c>
      <c r="U2677">
        <v>51</v>
      </c>
      <c r="V2677">
        <v>300</v>
      </c>
      <c r="W2677">
        <v>31</v>
      </c>
      <c r="X2677">
        <v>31</v>
      </c>
      <c r="Y2677">
        <v>1</v>
      </c>
      <c r="Z2677">
        <v>8</v>
      </c>
      <c r="AA2677">
        <v>27</v>
      </c>
      <c r="AB2677">
        <v>1</v>
      </c>
      <c r="AC2677">
        <v>3</v>
      </c>
      <c r="AD2677">
        <v>3.2479999099999999</v>
      </c>
      <c r="AE2677">
        <v>5</v>
      </c>
      <c r="AF2677">
        <v>38</v>
      </c>
      <c r="AG2677">
        <v>3.2349999</v>
      </c>
      <c r="AH2677">
        <v>4</v>
      </c>
      <c r="AI2677">
        <v>17</v>
      </c>
      <c r="AJ2677">
        <v>1</v>
      </c>
      <c r="AK2677">
        <v>19</v>
      </c>
      <c r="AL2677">
        <v>52</v>
      </c>
      <c r="AM2677" t="s">
        <v>43</v>
      </c>
      <c r="AN2677" t="str">
        <f>HYPERLINK("https://www.google.com/maps?q=10.80237484,79.15866852","Open Location")</f>
        <v>Open Location</v>
      </c>
    </row>
    <row r="2678" spans="1:40" x14ac:dyDescent="0.3">
      <c r="A2678" s="1">
        <v>46210.689699074072</v>
      </c>
      <c r="B2678" t="s">
        <v>40</v>
      </c>
      <c r="C2678" t="s">
        <v>41</v>
      </c>
      <c r="D2678" s="1">
        <v>46210.692696759259</v>
      </c>
      <c r="E2678" t="s">
        <v>42</v>
      </c>
      <c r="F2678" t="s">
        <v>83</v>
      </c>
      <c r="G2678">
        <v>54</v>
      </c>
      <c r="H2678">
        <v>33172</v>
      </c>
      <c r="I2678" t="s">
        <v>43</v>
      </c>
      <c r="J2678">
        <v>59</v>
      </c>
      <c r="K2678">
        <v>119</v>
      </c>
      <c r="L2678">
        <v>98</v>
      </c>
      <c r="M2678">
        <v>622.20001220999995</v>
      </c>
      <c r="N2678" t="s">
        <v>87</v>
      </c>
      <c r="O2678" t="s">
        <v>86</v>
      </c>
      <c r="P2678">
        <v>131</v>
      </c>
      <c r="Q2678">
        <v>6</v>
      </c>
      <c r="R2678">
        <v>69</v>
      </c>
      <c r="S2678">
        <v>1504</v>
      </c>
      <c r="T2678">
        <v>-40</v>
      </c>
      <c r="U2678">
        <v>52</v>
      </c>
      <c r="V2678">
        <v>460</v>
      </c>
      <c r="W2678">
        <v>31</v>
      </c>
      <c r="X2678">
        <v>31</v>
      </c>
      <c r="Y2678">
        <v>1</v>
      </c>
      <c r="Z2678">
        <v>8</v>
      </c>
      <c r="AA2678">
        <v>27</v>
      </c>
      <c r="AB2678">
        <v>1</v>
      </c>
      <c r="AC2678">
        <v>3</v>
      </c>
      <c r="AD2678">
        <v>3.2579999000000002</v>
      </c>
      <c r="AE2678">
        <v>1</v>
      </c>
      <c r="AF2678">
        <v>40</v>
      </c>
      <c r="AG2678">
        <v>3.2490000700000001</v>
      </c>
      <c r="AH2678">
        <v>4</v>
      </c>
      <c r="AI2678">
        <v>17</v>
      </c>
      <c r="AJ2678">
        <v>1</v>
      </c>
      <c r="AK2678">
        <v>19</v>
      </c>
      <c r="AL2678">
        <v>52</v>
      </c>
      <c r="AM2678" t="s">
        <v>43</v>
      </c>
      <c r="AN2678" t="s">
        <v>43</v>
      </c>
    </row>
    <row r="2679" spans="1:40" x14ac:dyDescent="0.3">
      <c r="A2679" s="1">
        <v>46210.689583333333</v>
      </c>
      <c r="B2679" t="s">
        <v>40</v>
      </c>
      <c r="C2679" t="s">
        <v>41</v>
      </c>
      <c r="D2679" s="1">
        <v>46210.692256944443</v>
      </c>
      <c r="E2679" t="s">
        <v>42</v>
      </c>
      <c r="F2679" t="s">
        <v>83</v>
      </c>
      <c r="G2679">
        <v>53</v>
      </c>
      <c r="H2679">
        <v>33172</v>
      </c>
      <c r="I2679" t="s">
        <v>1436</v>
      </c>
      <c r="J2679">
        <v>59</v>
      </c>
      <c r="K2679">
        <v>136</v>
      </c>
      <c r="L2679">
        <v>98</v>
      </c>
      <c r="M2679">
        <v>621.29998779000005</v>
      </c>
      <c r="N2679" t="s">
        <v>87</v>
      </c>
      <c r="O2679" t="s">
        <v>86</v>
      </c>
      <c r="P2679">
        <v>131</v>
      </c>
      <c r="Q2679">
        <v>6</v>
      </c>
      <c r="R2679">
        <v>83</v>
      </c>
      <c r="S2679">
        <v>1471</v>
      </c>
      <c r="T2679">
        <v>-40</v>
      </c>
      <c r="U2679">
        <v>52</v>
      </c>
      <c r="V2679">
        <v>500</v>
      </c>
      <c r="W2679">
        <v>31</v>
      </c>
      <c r="X2679">
        <v>31</v>
      </c>
      <c r="Y2679">
        <v>1</v>
      </c>
      <c r="Z2679">
        <v>8</v>
      </c>
      <c r="AA2679">
        <v>27</v>
      </c>
      <c r="AB2679">
        <v>1</v>
      </c>
      <c r="AC2679">
        <v>3</v>
      </c>
      <c r="AD2679">
        <v>3.2460000500000001</v>
      </c>
      <c r="AE2679">
        <v>1</v>
      </c>
      <c r="AF2679">
        <v>42</v>
      </c>
      <c r="AG2679">
        <v>3.2330000399999999</v>
      </c>
      <c r="AH2679">
        <v>4</v>
      </c>
      <c r="AI2679">
        <v>17</v>
      </c>
      <c r="AJ2679">
        <v>1</v>
      </c>
      <c r="AK2679">
        <v>19</v>
      </c>
      <c r="AL2679">
        <v>52</v>
      </c>
      <c r="AM2679" t="s">
        <v>43</v>
      </c>
      <c r="AN2679" t="str">
        <f>HYPERLINK("https://www.google.com/maps?q=10.80113029,79.15974426","Open Location")</f>
        <v>Open Location</v>
      </c>
    </row>
    <row r="2680" spans="1:40" x14ac:dyDescent="0.3">
      <c r="A2680" s="1">
        <v>46210.689467592594</v>
      </c>
      <c r="B2680" t="s">
        <v>40</v>
      </c>
      <c r="C2680" t="s">
        <v>41</v>
      </c>
      <c r="D2680" s="1">
        <v>46210.692395833335</v>
      </c>
      <c r="E2680" t="s">
        <v>42</v>
      </c>
      <c r="F2680" t="s">
        <v>83</v>
      </c>
      <c r="G2680">
        <v>52</v>
      </c>
      <c r="H2680">
        <v>33171</v>
      </c>
      <c r="I2680" t="s">
        <v>1437</v>
      </c>
      <c r="J2680">
        <v>59</v>
      </c>
      <c r="K2680">
        <v>88</v>
      </c>
      <c r="L2680">
        <v>98</v>
      </c>
      <c r="M2680">
        <v>622.90002441000001</v>
      </c>
      <c r="N2680" t="s">
        <v>87</v>
      </c>
      <c r="O2680" t="s">
        <v>86</v>
      </c>
      <c r="P2680">
        <v>131</v>
      </c>
      <c r="Q2680">
        <v>6</v>
      </c>
      <c r="R2680">
        <v>60</v>
      </c>
      <c r="S2680">
        <v>1439</v>
      </c>
      <c r="T2680">
        <v>-40</v>
      </c>
      <c r="U2680">
        <v>51</v>
      </c>
      <c r="V2680">
        <v>320</v>
      </c>
      <c r="W2680">
        <v>31</v>
      </c>
      <c r="X2680">
        <v>31</v>
      </c>
      <c r="Y2680">
        <v>1</v>
      </c>
      <c r="Z2680">
        <v>8</v>
      </c>
      <c r="AA2680">
        <v>27</v>
      </c>
      <c r="AB2680">
        <v>1</v>
      </c>
      <c r="AC2680">
        <v>3</v>
      </c>
      <c r="AD2680">
        <v>3.24099994</v>
      </c>
      <c r="AE2680">
        <v>1</v>
      </c>
      <c r="AF2680">
        <v>42</v>
      </c>
      <c r="AG2680">
        <v>3.2269999999999999</v>
      </c>
      <c r="AH2680">
        <v>4</v>
      </c>
      <c r="AI2680">
        <v>17</v>
      </c>
      <c r="AJ2680">
        <v>1</v>
      </c>
      <c r="AK2680">
        <v>20</v>
      </c>
      <c r="AL2680">
        <v>52</v>
      </c>
      <c r="AM2680" t="s">
        <v>43</v>
      </c>
      <c r="AN2680" t="str">
        <f>HYPERLINK("https://www.google.com/maps?q=10.79978275,79.16060638","Open Location")</f>
        <v>Open Location</v>
      </c>
    </row>
    <row r="2681" spans="1:40" x14ac:dyDescent="0.3">
      <c r="A2681" s="1">
        <v>46210.689351851855</v>
      </c>
      <c r="B2681" t="s">
        <v>40</v>
      </c>
      <c r="C2681" t="s">
        <v>41</v>
      </c>
      <c r="D2681" s="1">
        <v>46210.692025462966</v>
      </c>
      <c r="E2681" t="s">
        <v>42</v>
      </c>
      <c r="F2681" t="s">
        <v>83</v>
      </c>
      <c r="G2681">
        <v>52</v>
      </c>
      <c r="H2681">
        <v>33171</v>
      </c>
      <c r="I2681" t="s">
        <v>1438</v>
      </c>
      <c r="J2681">
        <v>59</v>
      </c>
      <c r="K2681">
        <v>124</v>
      </c>
      <c r="L2681">
        <v>98</v>
      </c>
      <c r="M2681">
        <v>621.90002441000001</v>
      </c>
      <c r="N2681" t="s">
        <v>87</v>
      </c>
      <c r="O2681" t="s">
        <v>86</v>
      </c>
      <c r="P2681">
        <v>131</v>
      </c>
      <c r="Q2681">
        <v>6</v>
      </c>
      <c r="R2681">
        <v>72</v>
      </c>
      <c r="S2681">
        <v>1423</v>
      </c>
      <c r="T2681">
        <v>-40</v>
      </c>
      <c r="U2681">
        <v>52</v>
      </c>
      <c r="V2681">
        <v>480</v>
      </c>
      <c r="W2681">
        <v>31</v>
      </c>
      <c r="X2681">
        <v>31</v>
      </c>
      <c r="Y2681">
        <v>1</v>
      </c>
      <c r="Z2681">
        <v>8</v>
      </c>
      <c r="AA2681">
        <v>27</v>
      </c>
      <c r="AB2681">
        <v>1</v>
      </c>
      <c r="AC2681">
        <v>3</v>
      </c>
      <c r="AD2681">
        <v>3.2550001100000001</v>
      </c>
      <c r="AE2681">
        <v>1</v>
      </c>
      <c r="AF2681">
        <v>42</v>
      </c>
      <c r="AG2681">
        <v>3.2449998899999999</v>
      </c>
      <c r="AH2681">
        <v>4</v>
      </c>
      <c r="AI2681">
        <v>17</v>
      </c>
      <c r="AJ2681">
        <v>1</v>
      </c>
      <c r="AK2681">
        <v>19</v>
      </c>
      <c r="AL2681">
        <v>52</v>
      </c>
      <c r="AM2681" t="s">
        <v>43</v>
      </c>
      <c r="AN2681" t="str">
        <f>HYPERLINK("https://www.google.com/maps?q=10.79823303,79.1608429","Open Location")</f>
        <v>Open Location</v>
      </c>
    </row>
    <row r="2682" spans="1:40" x14ac:dyDescent="0.3">
      <c r="A2682" s="1">
        <v>46210.689236111109</v>
      </c>
      <c r="B2682" t="s">
        <v>40</v>
      </c>
      <c r="C2682" t="s">
        <v>41</v>
      </c>
      <c r="D2682" s="1">
        <v>46210.69189814815</v>
      </c>
      <c r="E2682" t="s">
        <v>42</v>
      </c>
      <c r="F2682" t="s">
        <v>83</v>
      </c>
      <c r="G2682">
        <v>52</v>
      </c>
      <c r="H2682" t="s">
        <v>43</v>
      </c>
      <c r="I2682" t="s">
        <v>1439</v>
      </c>
      <c r="J2682">
        <v>59</v>
      </c>
      <c r="K2682">
        <v>121</v>
      </c>
      <c r="L2682">
        <v>98</v>
      </c>
      <c r="M2682">
        <v>622.20001220999995</v>
      </c>
      <c r="N2682" t="s">
        <v>87</v>
      </c>
      <c r="O2682" t="s">
        <v>86</v>
      </c>
      <c r="P2682">
        <v>131</v>
      </c>
      <c r="Q2682">
        <v>6</v>
      </c>
      <c r="R2682">
        <v>57</v>
      </c>
      <c r="S2682">
        <v>1435</v>
      </c>
      <c r="T2682">
        <v>-40</v>
      </c>
      <c r="U2682">
        <v>52</v>
      </c>
      <c r="V2682">
        <v>480</v>
      </c>
      <c r="W2682">
        <v>31</v>
      </c>
      <c r="X2682">
        <v>31</v>
      </c>
      <c r="Y2682">
        <v>1</v>
      </c>
      <c r="Z2682">
        <v>8</v>
      </c>
      <c r="AA2682">
        <v>27</v>
      </c>
      <c r="AB2682">
        <v>2</v>
      </c>
      <c r="AC2682">
        <v>1</v>
      </c>
      <c r="AD2682">
        <v>3.2550001100000001</v>
      </c>
      <c r="AE2682">
        <v>5</v>
      </c>
      <c r="AF2682">
        <v>38</v>
      </c>
      <c r="AG2682">
        <v>3.24399996</v>
      </c>
      <c r="AH2682">
        <v>4</v>
      </c>
      <c r="AI2682">
        <v>17</v>
      </c>
      <c r="AJ2682">
        <v>1</v>
      </c>
      <c r="AK2682">
        <v>19</v>
      </c>
      <c r="AL2682">
        <v>52</v>
      </c>
      <c r="AM2682" t="s">
        <v>43</v>
      </c>
      <c r="AN2682" t="str">
        <f>HYPERLINK("https://www.google.com/maps?q=10.79668427,79.16104126","Open Location")</f>
        <v>Open Location</v>
      </c>
    </row>
    <row r="2683" spans="1:40" x14ac:dyDescent="0.3">
      <c r="A2683" s="1">
        <v>46210.689120370371</v>
      </c>
      <c r="B2683" t="s">
        <v>40</v>
      </c>
      <c r="C2683" t="s">
        <v>41</v>
      </c>
      <c r="D2683" s="1">
        <v>46210.69189814815</v>
      </c>
      <c r="E2683" t="s">
        <v>42</v>
      </c>
      <c r="F2683" t="s">
        <v>83</v>
      </c>
      <c r="G2683">
        <v>51</v>
      </c>
      <c r="H2683">
        <v>33171</v>
      </c>
      <c r="I2683" t="s">
        <v>43</v>
      </c>
      <c r="J2683">
        <v>59</v>
      </c>
      <c r="K2683">
        <v>97</v>
      </c>
      <c r="L2683">
        <v>98</v>
      </c>
      <c r="M2683">
        <v>622.70001220999995</v>
      </c>
      <c r="N2683" t="s">
        <v>87</v>
      </c>
      <c r="O2683" t="s">
        <v>86</v>
      </c>
      <c r="P2683">
        <v>131</v>
      </c>
      <c r="Q2683" t="s">
        <v>43</v>
      </c>
      <c r="R2683">
        <v>71</v>
      </c>
      <c r="S2683">
        <v>1397</v>
      </c>
      <c r="T2683">
        <v>-40</v>
      </c>
      <c r="U2683">
        <v>52</v>
      </c>
      <c r="V2683">
        <v>380</v>
      </c>
      <c r="W2683">
        <v>31</v>
      </c>
      <c r="X2683">
        <v>31</v>
      </c>
      <c r="Y2683">
        <v>1</v>
      </c>
      <c r="Z2683">
        <v>8</v>
      </c>
      <c r="AA2683">
        <v>27</v>
      </c>
      <c r="AB2683">
        <v>2</v>
      </c>
      <c r="AC2683">
        <v>3</v>
      </c>
      <c r="AD2683">
        <v>3.2509999299999999</v>
      </c>
      <c r="AE2683">
        <v>5</v>
      </c>
      <c r="AF2683">
        <v>38</v>
      </c>
      <c r="AG2683">
        <v>3.23799992</v>
      </c>
      <c r="AH2683">
        <v>4</v>
      </c>
      <c r="AI2683">
        <v>17</v>
      </c>
      <c r="AJ2683">
        <v>1</v>
      </c>
      <c r="AK2683">
        <v>19</v>
      </c>
      <c r="AL2683">
        <v>52</v>
      </c>
      <c r="AM2683" t="s">
        <v>43</v>
      </c>
      <c r="AN2683" t="s">
        <v>43</v>
      </c>
    </row>
    <row r="2684" spans="1:40" x14ac:dyDescent="0.3">
      <c r="A2684" s="1">
        <v>46210.689004629632</v>
      </c>
      <c r="B2684" t="s">
        <v>40</v>
      </c>
      <c r="C2684" t="s">
        <v>41</v>
      </c>
      <c r="D2684" s="1">
        <v>46210.691863425927</v>
      </c>
      <c r="E2684" t="s">
        <v>42</v>
      </c>
      <c r="F2684" t="s">
        <v>83</v>
      </c>
      <c r="G2684">
        <v>47</v>
      </c>
      <c r="H2684">
        <v>33171</v>
      </c>
      <c r="I2684" t="s">
        <v>43</v>
      </c>
      <c r="J2684">
        <v>59</v>
      </c>
      <c r="K2684">
        <v>107</v>
      </c>
      <c r="L2684">
        <v>98</v>
      </c>
      <c r="M2684">
        <v>623.20001220999995</v>
      </c>
      <c r="N2684" t="s">
        <v>87</v>
      </c>
      <c r="O2684" t="s">
        <v>86</v>
      </c>
      <c r="P2684">
        <v>131</v>
      </c>
      <c r="Q2684">
        <v>6</v>
      </c>
      <c r="R2684">
        <v>66</v>
      </c>
      <c r="S2684">
        <v>1327</v>
      </c>
      <c r="T2684">
        <v>-40</v>
      </c>
      <c r="U2684">
        <v>52</v>
      </c>
      <c r="V2684">
        <v>405</v>
      </c>
      <c r="W2684">
        <v>31</v>
      </c>
      <c r="X2684">
        <v>31</v>
      </c>
      <c r="Y2684">
        <v>1</v>
      </c>
      <c r="Z2684">
        <v>8</v>
      </c>
      <c r="AA2684">
        <v>27</v>
      </c>
      <c r="AB2684">
        <v>2</v>
      </c>
      <c r="AC2684">
        <v>3</v>
      </c>
      <c r="AD2684">
        <v>3.2539999499999999</v>
      </c>
      <c r="AE2684">
        <v>1</v>
      </c>
      <c r="AF2684">
        <v>41</v>
      </c>
      <c r="AG2684">
        <v>3.2430000300000001</v>
      </c>
      <c r="AH2684">
        <v>4</v>
      </c>
      <c r="AI2684">
        <v>17</v>
      </c>
      <c r="AJ2684">
        <v>1</v>
      </c>
      <c r="AK2684">
        <v>19</v>
      </c>
      <c r="AL2684">
        <v>52</v>
      </c>
      <c r="AM2684" t="s">
        <v>43</v>
      </c>
      <c r="AN2684" t="s">
        <v>43</v>
      </c>
    </row>
    <row r="2685" spans="1:40" x14ac:dyDescent="0.3">
      <c r="A2685" s="1">
        <v>46210.688888888886</v>
      </c>
      <c r="B2685" t="s">
        <v>40</v>
      </c>
      <c r="C2685" t="s">
        <v>41</v>
      </c>
      <c r="D2685" s="1">
        <v>46210.69159722222</v>
      </c>
      <c r="E2685" t="s">
        <v>42</v>
      </c>
      <c r="F2685" t="s">
        <v>83</v>
      </c>
      <c r="G2685">
        <v>48</v>
      </c>
      <c r="H2685">
        <v>33171</v>
      </c>
      <c r="I2685" t="s">
        <v>1440</v>
      </c>
      <c r="J2685">
        <v>59</v>
      </c>
      <c r="K2685">
        <v>83</v>
      </c>
      <c r="L2685">
        <v>98</v>
      </c>
      <c r="M2685">
        <v>623.79998779000005</v>
      </c>
      <c r="N2685" t="s">
        <v>87</v>
      </c>
      <c r="O2685" t="s">
        <v>86</v>
      </c>
      <c r="P2685">
        <v>131</v>
      </c>
      <c r="Q2685">
        <v>6</v>
      </c>
      <c r="R2685">
        <v>55</v>
      </c>
      <c r="S2685">
        <v>1340</v>
      </c>
      <c r="T2685">
        <v>-40</v>
      </c>
      <c r="U2685">
        <v>52</v>
      </c>
      <c r="V2685">
        <v>340</v>
      </c>
      <c r="W2685">
        <v>31</v>
      </c>
      <c r="X2685">
        <v>31</v>
      </c>
      <c r="Y2685">
        <v>1</v>
      </c>
      <c r="Z2685">
        <v>8</v>
      </c>
      <c r="AA2685">
        <v>27</v>
      </c>
      <c r="AB2685">
        <v>2</v>
      </c>
      <c r="AC2685">
        <v>3</v>
      </c>
      <c r="AD2685">
        <v>3.2550001100000001</v>
      </c>
      <c r="AE2685">
        <v>1</v>
      </c>
      <c r="AF2685">
        <v>38</v>
      </c>
      <c r="AG2685">
        <v>3.2449998899999999</v>
      </c>
      <c r="AH2685">
        <v>4</v>
      </c>
      <c r="AI2685">
        <v>17</v>
      </c>
      <c r="AJ2685">
        <v>1</v>
      </c>
      <c r="AK2685">
        <v>19</v>
      </c>
      <c r="AL2685">
        <v>52</v>
      </c>
      <c r="AM2685" t="s">
        <v>43</v>
      </c>
      <c r="AN2685" t="str">
        <f>HYPERLINK("https://www.google.com/maps?q=10.7937479,79.16142273","Open Location")</f>
        <v>Open Location</v>
      </c>
    </row>
    <row r="2686" spans="1:40" x14ac:dyDescent="0.3">
      <c r="A2686" s="1">
        <v>46210.688773148147</v>
      </c>
      <c r="B2686" t="s">
        <v>40</v>
      </c>
      <c r="C2686" t="s">
        <v>41</v>
      </c>
      <c r="D2686" s="1">
        <v>46210.69159722222</v>
      </c>
      <c r="E2686" t="s">
        <v>42</v>
      </c>
      <c r="F2686" t="s">
        <v>83</v>
      </c>
      <c r="G2686">
        <v>48</v>
      </c>
      <c r="H2686">
        <v>33170</v>
      </c>
      <c r="I2686" t="s">
        <v>1441</v>
      </c>
      <c r="J2686">
        <v>59</v>
      </c>
      <c r="K2686">
        <v>119</v>
      </c>
      <c r="L2686">
        <v>98</v>
      </c>
      <c r="M2686">
        <v>622.09997558999999</v>
      </c>
      <c r="N2686" t="s">
        <v>87</v>
      </c>
      <c r="O2686" t="s">
        <v>86</v>
      </c>
      <c r="P2686">
        <v>131</v>
      </c>
      <c r="Q2686">
        <v>6</v>
      </c>
      <c r="R2686">
        <v>61</v>
      </c>
      <c r="S2686">
        <v>1313</v>
      </c>
      <c r="T2686">
        <v>-40</v>
      </c>
      <c r="U2686">
        <v>53</v>
      </c>
      <c r="V2686">
        <v>500</v>
      </c>
      <c r="W2686">
        <v>31</v>
      </c>
      <c r="X2686">
        <v>31</v>
      </c>
      <c r="Y2686">
        <v>1</v>
      </c>
      <c r="Z2686">
        <v>8</v>
      </c>
      <c r="AA2686">
        <v>27</v>
      </c>
      <c r="AB2686">
        <v>2</v>
      </c>
      <c r="AC2686">
        <v>3</v>
      </c>
      <c r="AD2686">
        <v>3.25600004</v>
      </c>
      <c r="AE2686">
        <v>1</v>
      </c>
      <c r="AF2686">
        <v>41</v>
      </c>
      <c r="AG2686">
        <v>3.2460000500000001</v>
      </c>
      <c r="AH2686">
        <v>4</v>
      </c>
      <c r="AI2686">
        <v>17</v>
      </c>
      <c r="AJ2686">
        <v>1</v>
      </c>
      <c r="AK2686">
        <v>19</v>
      </c>
      <c r="AL2686">
        <v>52</v>
      </c>
      <c r="AM2686" t="s">
        <v>43</v>
      </c>
      <c r="AN2686" t="str">
        <f>HYPERLINK("https://www.google.com/maps?q=10.79224873,79.1619339","Open Location")</f>
        <v>Open Location</v>
      </c>
    </row>
    <row r="2687" spans="1:40" x14ac:dyDescent="0.3">
      <c r="A2687" s="1">
        <v>46210.688657407409</v>
      </c>
      <c r="B2687" t="s">
        <v>40</v>
      </c>
      <c r="C2687" t="s">
        <v>41</v>
      </c>
      <c r="D2687" s="1">
        <v>46210.691435185188</v>
      </c>
      <c r="E2687" t="s">
        <v>42</v>
      </c>
      <c r="F2687" t="s">
        <v>83</v>
      </c>
      <c r="G2687">
        <v>46</v>
      </c>
      <c r="H2687">
        <v>33170</v>
      </c>
      <c r="I2687" t="s">
        <v>1442</v>
      </c>
      <c r="J2687">
        <v>59</v>
      </c>
      <c r="K2687">
        <v>96</v>
      </c>
      <c r="L2687">
        <v>98</v>
      </c>
      <c r="M2687">
        <v>622.70001220999995</v>
      </c>
      <c r="N2687" t="s">
        <v>87</v>
      </c>
      <c r="O2687" t="s">
        <v>86</v>
      </c>
      <c r="P2687">
        <v>131</v>
      </c>
      <c r="Q2687" t="s">
        <v>43</v>
      </c>
      <c r="R2687">
        <v>61</v>
      </c>
      <c r="S2687">
        <v>1280</v>
      </c>
      <c r="T2687">
        <v>-40</v>
      </c>
      <c r="U2687">
        <v>53</v>
      </c>
      <c r="V2687">
        <v>400</v>
      </c>
      <c r="W2687">
        <v>31</v>
      </c>
      <c r="X2687">
        <v>31</v>
      </c>
      <c r="Y2687">
        <v>1</v>
      </c>
      <c r="Z2687">
        <v>8</v>
      </c>
      <c r="AA2687">
        <v>27</v>
      </c>
      <c r="AB2687">
        <v>2</v>
      </c>
      <c r="AC2687">
        <v>3</v>
      </c>
      <c r="AD2687">
        <v>3.25</v>
      </c>
      <c r="AE2687">
        <v>1</v>
      </c>
      <c r="AF2687">
        <v>44</v>
      </c>
      <c r="AG2687">
        <v>3.23799992</v>
      </c>
      <c r="AH2687">
        <v>4</v>
      </c>
      <c r="AI2687">
        <v>17</v>
      </c>
      <c r="AJ2687">
        <v>1</v>
      </c>
      <c r="AK2687">
        <v>19</v>
      </c>
      <c r="AL2687">
        <v>52</v>
      </c>
      <c r="AM2687" t="s">
        <v>43</v>
      </c>
      <c r="AN2687" t="str">
        <f>HYPERLINK("https://www.google.com/maps?q=10.79106522,79.1627121","Open Location")</f>
        <v>Open Location</v>
      </c>
    </row>
    <row r="2688" spans="1:40" x14ac:dyDescent="0.3">
      <c r="A2688" s="1">
        <v>46210.68854166667</v>
      </c>
      <c r="B2688" t="s">
        <v>40</v>
      </c>
      <c r="C2688" t="s">
        <v>41</v>
      </c>
      <c r="D2688" s="1">
        <v>46210.691446759258</v>
      </c>
      <c r="E2688" t="s">
        <v>42</v>
      </c>
      <c r="F2688" t="s">
        <v>83</v>
      </c>
      <c r="G2688">
        <v>46</v>
      </c>
      <c r="H2688">
        <v>33170</v>
      </c>
      <c r="I2688" t="s">
        <v>1443</v>
      </c>
      <c r="J2688">
        <v>59</v>
      </c>
      <c r="K2688">
        <v>144</v>
      </c>
      <c r="L2688">
        <v>98</v>
      </c>
      <c r="M2688">
        <v>621</v>
      </c>
      <c r="N2688" t="s">
        <v>87</v>
      </c>
      <c r="O2688" t="s">
        <v>86</v>
      </c>
      <c r="P2688">
        <v>131</v>
      </c>
      <c r="Q2688">
        <v>6</v>
      </c>
      <c r="R2688">
        <v>63</v>
      </c>
      <c r="S2688">
        <v>1293</v>
      </c>
      <c r="T2688">
        <v>-40</v>
      </c>
      <c r="U2688">
        <v>54</v>
      </c>
      <c r="V2688">
        <v>640</v>
      </c>
      <c r="W2688">
        <v>31</v>
      </c>
      <c r="X2688">
        <v>31</v>
      </c>
      <c r="Y2688">
        <v>1</v>
      </c>
      <c r="Z2688">
        <v>8</v>
      </c>
      <c r="AA2688">
        <v>27</v>
      </c>
      <c r="AB2688">
        <v>2</v>
      </c>
      <c r="AC2688">
        <v>3</v>
      </c>
      <c r="AD2688">
        <v>3.2479999099999999</v>
      </c>
      <c r="AE2688">
        <v>5</v>
      </c>
      <c r="AF2688">
        <v>38</v>
      </c>
      <c r="AG2688">
        <v>3.2360000599999998</v>
      </c>
      <c r="AH2688">
        <v>4</v>
      </c>
      <c r="AI2688">
        <v>17</v>
      </c>
      <c r="AJ2688">
        <v>1</v>
      </c>
      <c r="AK2688">
        <v>19</v>
      </c>
      <c r="AL2688">
        <v>52</v>
      </c>
      <c r="AM2688" t="s">
        <v>43</v>
      </c>
      <c r="AN2688" t="str">
        <f>HYPERLINK("https://www.google.com/maps?q=10.79059315,79.16403961","Open Location")</f>
        <v>Open Location</v>
      </c>
    </row>
    <row r="2689" spans="1:40" x14ac:dyDescent="0.3">
      <c r="A2689" s="1">
        <v>46210.688425925924</v>
      </c>
      <c r="B2689" t="s">
        <v>40</v>
      </c>
      <c r="C2689" t="s">
        <v>41</v>
      </c>
      <c r="D2689" s="1">
        <v>46210.691296296296</v>
      </c>
      <c r="E2689" t="s">
        <v>42</v>
      </c>
      <c r="F2689" t="s">
        <v>83</v>
      </c>
      <c r="G2689">
        <v>46</v>
      </c>
      <c r="H2689">
        <v>33170</v>
      </c>
      <c r="I2689" t="s">
        <v>43</v>
      </c>
      <c r="J2689">
        <v>60</v>
      </c>
      <c r="K2689">
        <v>135</v>
      </c>
      <c r="L2689">
        <v>98</v>
      </c>
      <c r="M2689">
        <v>621.09997558999999</v>
      </c>
      <c r="N2689" t="s">
        <v>87</v>
      </c>
      <c r="O2689" t="s">
        <v>86</v>
      </c>
      <c r="P2689">
        <v>131</v>
      </c>
      <c r="Q2689">
        <v>6</v>
      </c>
      <c r="R2689">
        <v>60</v>
      </c>
      <c r="S2689">
        <v>1278</v>
      </c>
      <c r="T2689">
        <v>-40</v>
      </c>
      <c r="U2689">
        <v>56</v>
      </c>
      <c r="V2689">
        <v>605</v>
      </c>
      <c r="W2689">
        <v>31</v>
      </c>
      <c r="X2689">
        <v>31</v>
      </c>
      <c r="Y2689">
        <v>1</v>
      </c>
      <c r="Z2689">
        <v>8</v>
      </c>
      <c r="AA2689">
        <v>27</v>
      </c>
      <c r="AB2689">
        <v>2</v>
      </c>
      <c r="AC2689">
        <v>3</v>
      </c>
      <c r="AD2689">
        <v>3.2430000300000001</v>
      </c>
      <c r="AE2689">
        <v>1</v>
      </c>
      <c r="AF2689">
        <v>42</v>
      </c>
      <c r="AG2689">
        <v>3.2300000199999999</v>
      </c>
      <c r="AH2689">
        <v>4</v>
      </c>
      <c r="AI2689">
        <v>17</v>
      </c>
      <c r="AJ2689">
        <v>1</v>
      </c>
      <c r="AK2689">
        <v>19</v>
      </c>
      <c r="AL2689">
        <v>52</v>
      </c>
      <c r="AM2689" t="s">
        <v>43</v>
      </c>
      <c r="AN2689" t="s">
        <v>43</v>
      </c>
    </row>
    <row r="2690" spans="1:40" x14ac:dyDescent="0.3">
      <c r="A2690" s="1">
        <v>46210.688310185185</v>
      </c>
      <c r="B2690" t="s">
        <v>40</v>
      </c>
      <c r="C2690" t="s">
        <v>41</v>
      </c>
      <c r="D2690" s="1">
        <v>46210.691168981481</v>
      </c>
      <c r="E2690" t="s">
        <v>42</v>
      </c>
      <c r="F2690" t="s">
        <v>83</v>
      </c>
      <c r="G2690">
        <v>43</v>
      </c>
      <c r="H2690">
        <v>33170</v>
      </c>
      <c r="I2690" t="s">
        <v>43</v>
      </c>
      <c r="J2690">
        <v>60</v>
      </c>
      <c r="K2690">
        <v>281</v>
      </c>
      <c r="L2690">
        <v>98</v>
      </c>
      <c r="M2690">
        <v>614</v>
      </c>
      <c r="N2690" t="s">
        <v>87</v>
      </c>
      <c r="O2690" t="s">
        <v>86</v>
      </c>
      <c r="P2690">
        <v>131</v>
      </c>
      <c r="Q2690">
        <v>6</v>
      </c>
      <c r="R2690">
        <v>146</v>
      </c>
      <c r="S2690">
        <v>1183</v>
      </c>
      <c r="T2690">
        <v>-40</v>
      </c>
      <c r="U2690">
        <v>58</v>
      </c>
      <c r="V2690">
        <v>1400</v>
      </c>
      <c r="W2690">
        <v>31</v>
      </c>
      <c r="X2690">
        <v>31</v>
      </c>
      <c r="Y2690">
        <v>1</v>
      </c>
      <c r="Z2690">
        <v>8</v>
      </c>
      <c r="AA2690">
        <v>27</v>
      </c>
      <c r="AB2690">
        <v>2</v>
      </c>
      <c r="AC2690">
        <v>1</v>
      </c>
      <c r="AD2690">
        <v>3.22000003</v>
      </c>
      <c r="AE2690">
        <v>1</v>
      </c>
      <c r="AF2690">
        <v>42</v>
      </c>
      <c r="AG2690">
        <v>3.2000000499999999</v>
      </c>
      <c r="AH2690">
        <v>4</v>
      </c>
      <c r="AI2690">
        <v>17</v>
      </c>
      <c r="AJ2690">
        <v>1</v>
      </c>
      <c r="AK2690">
        <v>19</v>
      </c>
      <c r="AL2690">
        <v>52</v>
      </c>
      <c r="AM2690" t="s">
        <v>43</v>
      </c>
      <c r="AN2690" t="s">
        <v>43</v>
      </c>
    </row>
    <row r="2691" spans="1:40" x14ac:dyDescent="0.3">
      <c r="A2691" s="1">
        <v>46210.688194444447</v>
      </c>
      <c r="B2691" t="s">
        <v>40</v>
      </c>
      <c r="C2691" t="s">
        <v>41</v>
      </c>
      <c r="D2691" s="1">
        <v>46210.690937500003</v>
      </c>
      <c r="E2691" t="s">
        <v>42</v>
      </c>
      <c r="F2691" t="s">
        <v>83</v>
      </c>
      <c r="G2691">
        <v>39</v>
      </c>
      <c r="H2691" t="s">
        <v>43</v>
      </c>
      <c r="I2691" t="s">
        <v>1444</v>
      </c>
      <c r="J2691">
        <v>60</v>
      </c>
      <c r="K2691">
        <v>231</v>
      </c>
      <c r="L2691">
        <v>98</v>
      </c>
      <c r="M2691">
        <v>616</v>
      </c>
      <c r="N2691" t="s">
        <v>87</v>
      </c>
      <c r="O2691" t="s">
        <v>86</v>
      </c>
      <c r="P2691">
        <v>130</v>
      </c>
      <c r="Q2691" t="s">
        <v>43</v>
      </c>
      <c r="R2691">
        <v>184</v>
      </c>
      <c r="S2691">
        <v>1763</v>
      </c>
      <c r="T2691">
        <v>-40</v>
      </c>
      <c r="U2691">
        <v>55</v>
      </c>
      <c r="V2691">
        <v>720</v>
      </c>
      <c r="W2691">
        <v>31</v>
      </c>
      <c r="X2691">
        <v>31</v>
      </c>
      <c r="Y2691">
        <v>1</v>
      </c>
      <c r="Z2691">
        <v>8</v>
      </c>
      <c r="AA2691">
        <v>27</v>
      </c>
      <c r="AB2691">
        <v>2</v>
      </c>
      <c r="AC2691">
        <v>1</v>
      </c>
      <c r="AD2691">
        <v>3.2609999200000002</v>
      </c>
      <c r="AE2691">
        <v>1</v>
      </c>
      <c r="AF2691">
        <v>41</v>
      </c>
      <c r="AG2691">
        <v>3.2520000900000001</v>
      </c>
      <c r="AH2691">
        <v>4</v>
      </c>
      <c r="AI2691">
        <v>17</v>
      </c>
      <c r="AJ2691">
        <v>1</v>
      </c>
      <c r="AK2691">
        <v>19</v>
      </c>
      <c r="AL2691">
        <v>52</v>
      </c>
      <c r="AM2691" t="s">
        <v>43</v>
      </c>
      <c r="AN2691" t="str">
        <f>HYPERLINK("https://www.google.com/maps?q=10.7899189,79.16667175","Open Location")</f>
        <v>Open Location</v>
      </c>
    </row>
    <row r="2692" spans="1:40" x14ac:dyDescent="0.3">
      <c r="A2692" s="1">
        <v>46210.688078703701</v>
      </c>
      <c r="B2692" t="s">
        <v>40</v>
      </c>
      <c r="C2692" t="s">
        <v>41</v>
      </c>
      <c r="D2692" s="1">
        <v>46210.690821759257</v>
      </c>
      <c r="E2692" t="s">
        <v>42</v>
      </c>
      <c r="F2692" t="s">
        <v>83</v>
      </c>
      <c r="G2692">
        <v>32</v>
      </c>
      <c r="H2692">
        <v>33170</v>
      </c>
      <c r="I2692" t="s">
        <v>1445</v>
      </c>
      <c r="J2692">
        <v>60</v>
      </c>
      <c r="K2692">
        <v>226</v>
      </c>
      <c r="L2692">
        <v>98</v>
      </c>
      <c r="M2692">
        <v>617.59997558999999</v>
      </c>
      <c r="N2692" t="s">
        <v>87</v>
      </c>
      <c r="O2692" t="s">
        <v>86</v>
      </c>
      <c r="P2692">
        <v>130</v>
      </c>
      <c r="Q2692">
        <v>5</v>
      </c>
      <c r="R2692">
        <v>130</v>
      </c>
      <c r="S2692">
        <v>1379</v>
      </c>
      <c r="T2692">
        <v>-40</v>
      </c>
      <c r="U2692">
        <v>55</v>
      </c>
      <c r="V2692">
        <v>880</v>
      </c>
      <c r="W2692">
        <v>31</v>
      </c>
      <c r="X2692">
        <v>31</v>
      </c>
      <c r="Y2692">
        <v>1</v>
      </c>
      <c r="Z2692">
        <v>8</v>
      </c>
      <c r="AA2692">
        <v>27</v>
      </c>
      <c r="AB2692">
        <v>1</v>
      </c>
      <c r="AC2692">
        <v>3</v>
      </c>
      <c r="AD2692">
        <v>3.22600007</v>
      </c>
      <c r="AE2692">
        <v>1</v>
      </c>
      <c r="AF2692">
        <v>38</v>
      </c>
      <c r="AG2692">
        <v>3.2070000200000002</v>
      </c>
      <c r="AH2692">
        <v>4</v>
      </c>
      <c r="AI2692">
        <v>17</v>
      </c>
      <c r="AJ2692">
        <v>1</v>
      </c>
      <c r="AK2692">
        <v>19</v>
      </c>
      <c r="AL2692">
        <v>52</v>
      </c>
      <c r="AM2692" t="s">
        <v>43</v>
      </c>
      <c r="AN2692" t="str">
        <f>HYPERLINK("https://www.google.com/maps?q=10.78961182,79.16776276","Open Location")</f>
        <v>Open Location</v>
      </c>
    </row>
    <row r="2693" spans="1:40" x14ac:dyDescent="0.3">
      <c r="A2693" s="1">
        <v>46210.687962962962</v>
      </c>
      <c r="B2693" t="s">
        <v>40</v>
      </c>
      <c r="C2693" t="s">
        <v>41</v>
      </c>
      <c r="D2693" s="1">
        <v>46210.69090277778</v>
      </c>
      <c r="E2693" t="s">
        <v>42</v>
      </c>
      <c r="F2693" t="s">
        <v>83</v>
      </c>
      <c r="G2693">
        <v>25</v>
      </c>
      <c r="H2693" t="s">
        <v>43</v>
      </c>
      <c r="I2693" t="s">
        <v>1446</v>
      </c>
      <c r="J2693">
        <v>60</v>
      </c>
      <c r="K2693">
        <v>272</v>
      </c>
      <c r="L2693">
        <v>98</v>
      </c>
      <c r="M2693">
        <v>622.29998779000005</v>
      </c>
      <c r="N2693" t="s">
        <v>87</v>
      </c>
      <c r="O2693" t="s">
        <v>86</v>
      </c>
      <c r="P2693">
        <v>130</v>
      </c>
      <c r="Q2693">
        <v>4</v>
      </c>
      <c r="R2693">
        <v>112</v>
      </c>
      <c r="S2693">
        <v>1886</v>
      </c>
      <c r="T2693">
        <v>-40</v>
      </c>
      <c r="U2693">
        <v>54</v>
      </c>
      <c r="V2693">
        <v>960</v>
      </c>
      <c r="W2693">
        <v>31</v>
      </c>
      <c r="X2693">
        <v>31</v>
      </c>
      <c r="Y2693">
        <v>1</v>
      </c>
      <c r="Z2693">
        <v>8</v>
      </c>
      <c r="AA2693">
        <v>27</v>
      </c>
      <c r="AB2693">
        <v>1</v>
      </c>
      <c r="AC2693">
        <v>3</v>
      </c>
      <c r="AD2693">
        <v>3.2369999900000002</v>
      </c>
      <c r="AE2693">
        <v>5</v>
      </c>
      <c r="AF2693">
        <v>38</v>
      </c>
      <c r="AG2693">
        <v>3.22000003</v>
      </c>
      <c r="AH2693">
        <v>4</v>
      </c>
      <c r="AI2693">
        <v>17</v>
      </c>
      <c r="AJ2693">
        <v>1</v>
      </c>
      <c r="AK2693">
        <v>19</v>
      </c>
      <c r="AL2693">
        <v>52</v>
      </c>
      <c r="AM2693" t="s">
        <v>43</v>
      </c>
      <c r="AN2693" t="str">
        <f>HYPERLINK("https://www.google.com/maps?q=10.7892971,79.16860199","Open Location")</f>
        <v>Open Location</v>
      </c>
    </row>
    <row r="2694" spans="1:40" x14ac:dyDescent="0.3">
      <c r="A2694" s="1">
        <v>46210.687847222223</v>
      </c>
      <c r="B2694" t="s">
        <v>40</v>
      </c>
      <c r="C2694" t="s">
        <v>41</v>
      </c>
      <c r="D2694" s="1">
        <v>46210.690706018519</v>
      </c>
      <c r="E2694" t="s">
        <v>42</v>
      </c>
      <c r="F2694" t="s">
        <v>83</v>
      </c>
      <c r="G2694">
        <v>15</v>
      </c>
      <c r="H2694">
        <v>33170</v>
      </c>
      <c r="I2694" t="s">
        <v>1447</v>
      </c>
      <c r="J2694">
        <v>60</v>
      </c>
      <c r="K2694">
        <v>265</v>
      </c>
      <c r="L2694">
        <v>98</v>
      </c>
      <c r="M2694">
        <v>617.70001220999995</v>
      </c>
      <c r="N2694" t="s">
        <v>87</v>
      </c>
      <c r="O2694" t="s">
        <v>86</v>
      </c>
      <c r="P2694">
        <v>129</v>
      </c>
      <c r="Q2694">
        <v>3</v>
      </c>
      <c r="R2694">
        <v>0</v>
      </c>
      <c r="S2694">
        <v>1742</v>
      </c>
      <c r="T2694">
        <v>-40</v>
      </c>
      <c r="U2694">
        <v>52</v>
      </c>
      <c r="V2694">
        <v>860</v>
      </c>
      <c r="W2694">
        <v>31</v>
      </c>
      <c r="X2694">
        <v>31</v>
      </c>
      <c r="Y2694">
        <v>1</v>
      </c>
      <c r="Z2694">
        <v>8</v>
      </c>
      <c r="AA2694">
        <v>27</v>
      </c>
      <c r="AB2694">
        <v>1</v>
      </c>
      <c r="AC2694">
        <v>3</v>
      </c>
      <c r="AD2694">
        <v>3.2420000999999998</v>
      </c>
      <c r="AE2694">
        <v>1</v>
      </c>
      <c r="AF2694">
        <v>42</v>
      </c>
      <c r="AG2694">
        <v>3.22600007</v>
      </c>
      <c r="AH2694">
        <v>4</v>
      </c>
      <c r="AI2694">
        <v>17</v>
      </c>
      <c r="AJ2694">
        <v>1</v>
      </c>
      <c r="AK2694">
        <v>20</v>
      </c>
      <c r="AL2694">
        <v>52</v>
      </c>
      <c r="AM2694" t="s">
        <v>43</v>
      </c>
      <c r="AN2694" t="str">
        <f>HYPERLINK("https://www.google.com/maps?q=10.78903389,79.16911316","Open Location")</f>
        <v>Open Location</v>
      </c>
    </row>
    <row r="2695" spans="1:40" x14ac:dyDescent="0.3">
      <c r="A2695" s="1">
        <v>46210.687731481485</v>
      </c>
      <c r="B2695" t="s">
        <v>40</v>
      </c>
      <c r="C2695" t="s">
        <v>41</v>
      </c>
      <c r="D2695" s="1">
        <v>46210.69090277778</v>
      </c>
      <c r="E2695" t="s">
        <v>42</v>
      </c>
      <c r="F2695" t="s">
        <v>83</v>
      </c>
      <c r="G2695">
        <v>9</v>
      </c>
      <c r="H2695">
        <v>33170</v>
      </c>
      <c r="I2695" t="s">
        <v>43</v>
      </c>
      <c r="J2695">
        <v>60</v>
      </c>
      <c r="K2695">
        <v>117</v>
      </c>
      <c r="L2695">
        <v>98</v>
      </c>
      <c r="M2695">
        <v>625.20001220999995</v>
      </c>
      <c r="N2695" t="s">
        <v>87</v>
      </c>
      <c r="O2695" t="s">
        <v>86</v>
      </c>
      <c r="P2695">
        <v>127</v>
      </c>
      <c r="Q2695">
        <v>2</v>
      </c>
      <c r="R2695">
        <v>0</v>
      </c>
      <c r="S2695">
        <v>1615</v>
      </c>
      <c r="T2695">
        <v>-40</v>
      </c>
      <c r="U2695">
        <v>50</v>
      </c>
      <c r="V2695">
        <v>444</v>
      </c>
      <c r="W2695">
        <v>31</v>
      </c>
      <c r="X2695">
        <v>31</v>
      </c>
      <c r="Y2695">
        <v>1</v>
      </c>
      <c r="Z2695">
        <v>8</v>
      </c>
      <c r="AA2695">
        <v>27</v>
      </c>
      <c r="AB2695">
        <v>1</v>
      </c>
      <c r="AC2695">
        <v>3</v>
      </c>
      <c r="AD2695">
        <v>3.2699999800000001</v>
      </c>
      <c r="AE2695">
        <v>4</v>
      </c>
      <c r="AF2695">
        <v>10</v>
      </c>
      <c r="AG2695">
        <v>3.25300002</v>
      </c>
      <c r="AH2695">
        <v>8</v>
      </c>
      <c r="AI2695">
        <v>35</v>
      </c>
      <c r="AJ2695">
        <v>1</v>
      </c>
      <c r="AK2695">
        <v>20</v>
      </c>
      <c r="AL2695">
        <v>52</v>
      </c>
      <c r="AM2695" t="s">
        <v>43</v>
      </c>
      <c r="AN2695" t="s">
        <v>43</v>
      </c>
    </row>
    <row r="2696" spans="1:40" x14ac:dyDescent="0.3">
      <c r="A2696" s="1">
        <v>46210.687615740739</v>
      </c>
      <c r="B2696" t="s">
        <v>40</v>
      </c>
      <c r="C2696" t="s">
        <v>41</v>
      </c>
      <c r="D2696" s="1">
        <v>46210.691122685188</v>
      </c>
      <c r="E2696" t="s">
        <v>42</v>
      </c>
      <c r="F2696" t="s">
        <v>83</v>
      </c>
      <c r="G2696">
        <v>6</v>
      </c>
      <c r="H2696">
        <v>33170</v>
      </c>
      <c r="I2696" t="s">
        <v>43</v>
      </c>
      <c r="J2696">
        <v>60</v>
      </c>
      <c r="K2696">
        <v>12</v>
      </c>
      <c r="L2696">
        <v>98</v>
      </c>
      <c r="M2696">
        <v>629.20001220999995</v>
      </c>
      <c r="N2696" t="s">
        <v>87</v>
      </c>
      <c r="O2696" t="s">
        <v>86</v>
      </c>
      <c r="P2696">
        <v>127</v>
      </c>
      <c r="Q2696">
        <v>2</v>
      </c>
      <c r="R2696">
        <v>-1</v>
      </c>
      <c r="S2696">
        <v>1723</v>
      </c>
      <c r="T2696">
        <v>-40</v>
      </c>
      <c r="U2696">
        <v>49</v>
      </c>
      <c r="V2696">
        <v>5</v>
      </c>
      <c r="W2696">
        <v>31</v>
      </c>
      <c r="X2696">
        <v>31</v>
      </c>
      <c r="Y2696">
        <v>1</v>
      </c>
      <c r="Z2696">
        <v>8</v>
      </c>
      <c r="AA2696">
        <v>27</v>
      </c>
      <c r="AB2696">
        <v>1</v>
      </c>
      <c r="AC2696">
        <v>3</v>
      </c>
      <c r="AD2696">
        <v>3.2820000600000001</v>
      </c>
      <c r="AE2696">
        <v>1</v>
      </c>
      <c r="AF2696">
        <v>25</v>
      </c>
      <c r="AG2696">
        <v>3.2750001000000002</v>
      </c>
      <c r="AH2696">
        <v>4</v>
      </c>
      <c r="AI2696">
        <v>17</v>
      </c>
      <c r="AJ2696">
        <v>1</v>
      </c>
      <c r="AK2696">
        <v>21</v>
      </c>
      <c r="AL2696">
        <v>52</v>
      </c>
      <c r="AM2696" t="s">
        <v>43</v>
      </c>
      <c r="AN2696" t="s">
        <v>43</v>
      </c>
    </row>
    <row r="2697" spans="1:40" x14ac:dyDescent="0.3">
      <c r="A2697" s="1">
        <v>46210.6875</v>
      </c>
      <c r="B2697" t="s">
        <v>40</v>
      </c>
      <c r="C2697" t="s">
        <v>41</v>
      </c>
      <c r="D2697" s="1">
        <v>46210.690949074073</v>
      </c>
      <c r="E2697" t="s">
        <v>42</v>
      </c>
      <c r="F2697" t="s">
        <v>83</v>
      </c>
      <c r="G2697">
        <v>6</v>
      </c>
      <c r="H2697">
        <v>33170</v>
      </c>
      <c r="I2697" t="s">
        <v>1448</v>
      </c>
      <c r="J2697">
        <v>60</v>
      </c>
      <c r="K2697">
        <v>66</v>
      </c>
      <c r="L2697">
        <v>98</v>
      </c>
      <c r="M2697">
        <v>626.09997558999999</v>
      </c>
      <c r="N2697" t="s">
        <v>87</v>
      </c>
      <c r="O2697" t="s">
        <v>86</v>
      </c>
      <c r="P2697">
        <v>127</v>
      </c>
      <c r="Q2697" t="s">
        <v>43</v>
      </c>
      <c r="R2697">
        <v>21</v>
      </c>
      <c r="S2697">
        <v>961</v>
      </c>
      <c r="T2697">
        <v>-40</v>
      </c>
      <c r="U2697">
        <v>50</v>
      </c>
      <c r="V2697">
        <v>320</v>
      </c>
      <c r="W2697">
        <v>31</v>
      </c>
      <c r="X2697">
        <v>31</v>
      </c>
      <c r="Y2697">
        <v>1</v>
      </c>
      <c r="Z2697">
        <v>8</v>
      </c>
      <c r="AA2697">
        <v>27</v>
      </c>
      <c r="AB2697">
        <v>2</v>
      </c>
      <c r="AC2697">
        <v>1</v>
      </c>
      <c r="AD2697">
        <v>3.2790000400000001</v>
      </c>
      <c r="AE2697">
        <v>1</v>
      </c>
      <c r="AF2697">
        <v>25</v>
      </c>
      <c r="AG2697">
        <v>3.26799989</v>
      </c>
      <c r="AH2697">
        <v>6</v>
      </c>
      <c r="AI2697">
        <v>17</v>
      </c>
      <c r="AJ2697">
        <v>1</v>
      </c>
      <c r="AK2697">
        <v>20</v>
      </c>
      <c r="AL2697">
        <v>52</v>
      </c>
      <c r="AM2697" t="s">
        <v>43</v>
      </c>
      <c r="AN2697" t="str">
        <f>HYPERLINK("https://www.google.com/maps?q=10.78882694,79.16955566","Open Location")</f>
        <v>Open Location</v>
      </c>
    </row>
    <row r="2698" spans="1:40" x14ac:dyDescent="0.3">
      <c r="A2698" s="1">
        <v>46210.687384259261</v>
      </c>
      <c r="B2698" t="s">
        <v>40</v>
      </c>
      <c r="C2698" t="s">
        <v>41</v>
      </c>
      <c r="D2698" s="1">
        <v>46210.690706018519</v>
      </c>
      <c r="E2698" t="s">
        <v>42</v>
      </c>
      <c r="F2698" t="s">
        <v>83</v>
      </c>
      <c r="G2698">
        <v>7</v>
      </c>
      <c r="H2698">
        <v>33170</v>
      </c>
      <c r="I2698" t="s">
        <v>1449</v>
      </c>
      <c r="J2698">
        <v>60</v>
      </c>
      <c r="K2698">
        <v>87</v>
      </c>
      <c r="L2698">
        <v>98</v>
      </c>
      <c r="M2698">
        <v>625.40002441000001</v>
      </c>
      <c r="N2698" t="s">
        <v>87</v>
      </c>
      <c r="O2698" t="s">
        <v>86</v>
      </c>
      <c r="P2698">
        <v>127</v>
      </c>
      <c r="Q2698">
        <v>2</v>
      </c>
      <c r="R2698">
        <v>49</v>
      </c>
      <c r="S2698">
        <v>1262</v>
      </c>
      <c r="T2698">
        <v>-40</v>
      </c>
      <c r="U2698">
        <v>51</v>
      </c>
      <c r="V2698">
        <v>320</v>
      </c>
      <c r="W2698">
        <v>31</v>
      </c>
      <c r="X2698">
        <v>31</v>
      </c>
      <c r="Y2698">
        <v>1</v>
      </c>
      <c r="Z2698">
        <v>8</v>
      </c>
      <c r="AA2698">
        <v>27</v>
      </c>
      <c r="AB2698">
        <v>2</v>
      </c>
      <c r="AC2698">
        <v>3</v>
      </c>
      <c r="AD2698">
        <v>3.2660000299999998</v>
      </c>
      <c r="AE2698">
        <v>1</v>
      </c>
      <c r="AF2698">
        <v>42</v>
      </c>
      <c r="AG2698">
        <v>3.2569999699999999</v>
      </c>
      <c r="AH2698">
        <v>4</v>
      </c>
      <c r="AI2698">
        <v>17</v>
      </c>
      <c r="AJ2698">
        <v>1</v>
      </c>
      <c r="AK2698">
        <v>20</v>
      </c>
      <c r="AL2698">
        <v>52</v>
      </c>
      <c r="AM2698" t="s">
        <v>43</v>
      </c>
      <c r="AN2698" t="str">
        <f>HYPERLINK("https://www.google.com/maps?q=10.7887373,79.16972351","Open Location")</f>
        <v>Open Location</v>
      </c>
    </row>
    <row r="2699" spans="1:40" x14ac:dyDescent="0.3">
      <c r="A2699" s="1">
        <v>46210.687268518515</v>
      </c>
      <c r="B2699" t="s">
        <v>40</v>
      </c>
      <c r="C2699" t="s">
        <v>41</v>
      </c>
      <c r="D2699" s="1">
        <v>46210.690439814818</v>
      </c>
      <c r="E2699" t="s">
        <v>42</v>
      </c>
      <c r="F2699" t="s">
        <v>83</v>
      </c>
      <c r="G2699">
        <v>5</v>
      </c>
      <c r="H2699">
        <v>33170</v>
      </c>
      <c r="I2699" t="s">
        <v>1450</v>
      </c>
      <c r="J2699">
        <v>60</v>
      </c>
      <c r="K2699">
        <v>16</v>
      </c>
      <c r="L2699">
        <v>98</v>
      </c>
      <c r="M2699">
        <v>628.59997558999999</v>
      </c>
      <c r="N2699" t="s">
        <v>87</v>
      </c>
      <c r="O2699" t="s">
        <v>86</v>
      </c>
      <c r="P2699">
        <v>127</v>
      </c>
      <c r="Q2699">
        <v>2</v>
      </c>
      <c r="R2699">
        <v>3</v>
      </c>
      <c r="S2699">
        <v>1312</v>
      </c>
      <c r="T2699">
        <v>-40</v>
      </c>
      <c r="U2699">
        <v>50</v>
      </c>
      <c r="V2699">
        <v>24</v>
      </c>
      <c r="W2699">
        <v>31</v>
      </c>
      <c r="X2699">
        <v>31</v>
      </c>
      <c r="Y2699">
        <v>1</v>
      </c>
      <c r="Z2699">
        <v>8</v>
      </c>
      <c r="AA2699">
        <v>27</v>
      </c>
      <c r="AB2699">
        <v>2</v>
      </c>
      <c r="AC2699">
        <v>3</v>
      </c>
      <c r="AD2699">
        <v>3.27999997</v>
      </c>
      <c r="AE2699">
        <v>1</v>
      </c>
      <c r="AF2699">
        <v>36</v>
      </c>
      <c r="AG2699">
        <v>3.2730000000000001</v>
      </c>
      <c r="AH2699">
        <v>4</v>
      </c>
      <c r="AI2699">
        <v>17</v>
      </c>
      <c r="AJ2699">
        <v>1</v>
      </c>
      <c r="AK2699">
        <v>20</v>
      </c>
      <c r="AL2699">
        <v>52</v>
      </c>
      <c r="AM2699" t="s">
        <v>43</v>
      </c>
      <c r="AN2699" t="str">
        <f>HYPERLINK("https://www.google.com/maps?q=10.78865147,79.16986084","Open Location")</f>
        <v>Open Location</v>
      </c>
    </row>
    <row r="2700" spans="1:40" x14ac:dyDescent="0.3">
      <c r="A2700" s="1">
        <v>46210.687152777777</v>
      </c>
      <c r="B2700" t="s">
        <v>40</v>
      </c>
      <c r="C2700" t="s">
        <v>41</v>
      </c>
      <c r="D2700" s="1">
        <v>46210.690555555557</v>
      </c>
      <c r="E2700" t="s">
        <v>42</v>
      </c>
      <c r="F2700" t="s">
        <v>83</v>
      </c>
      <c r="G2700">
        <v>8</v>
      </c>
      <c r="H2700">
        <v>33170</v>
      </c>
      <c r="I2700" t="s">
        <v>1451</v>
      </c>
      <c r="J2700">
        <v>60</v>
      </c>
      <c r="K2700">
        <v>-93</v>
      </c>
      <c r="L2700">
        <v>98</v>
      </c>
      <c r="M2700">
        <v>632.90002441000001</v>
      </c>
      <c r="N2700" t="s">
        <v>87</v>
      </c>
      <c r="O2700" t="s">
        <v>86</v>
      </c>
      <c r="P2700">
        <v>130</v>
      </c>
      <c r="Q2700">
        <v>5</v>
      </c>
      <c r="R2700">
        <v>-15</v>
      </c>
      <c r="S2700">
        <v>916</v>
      </c>
      <c r="T2700">
        <v>-40</v>
      </c>
      <c r="U2700">
        <v>54</v>
      </c>
      <c r="V2700">
        <v>-790</v>
      </c>
      <c r="W2700">
        <v>31</v>
      </c>
      <c r="X2700">
        <v>31</v>
      </c>
      <c r="Y2700">
        <v>1</v>
      </c>
      <c r="Z2700">
        <v>8</v>
      </c>
      <c r="AA2700">
        <v>27</v>
      </c>
      <c r="AB2700">
        <v>2</v>
      </c>
      <c r="AC2700">
        <v>3</v>
      </c>
      <c r="AD2700">
        <v>3.28299999</v>
      </c>
      <c r="AE2700">
        <v>1</v>
      </c>
      <c r="AF2700">
        <v>25</v>
      </c>
      <c r="AG2700">
        <v>3.2790000400000001</v>
      </c>
      <c r="AH2700">
        <v>2</v>
      </c>
      <c r="AI2700">
        <v>3</v>
      </c>
      <c r="AJ2700">
        <v>1</v>
      </c>
      <c r="AK2700">
        <v>22</v>
      </c>
      <c r="AL2700">
        <v>52</v>
      </c>
      <c r="AM2700" t="s">
        <v>43</v>
      </c>
      <c r="AN2700" t="str">
        <f>HYPERLINK("https://www.google.com/maps?q=10.78851318,79.17009735","Open Location")</f>
        <v>Open Location</v>
      </c>
    </row>
    <row r="2701" spans="1:40" x14ac:dyDescent="0.3">
      <c r="A2701" s="1">
        <v>46210.687037037038</v>
      </c>
      <c r="B2701" t="s">
        <v>40</v>
      </c>
      <c r="C2701" t="s">
        <v>41</v>
      </c>
      <c r="D2701" s="1">
        <v>46210.690555555557</v>
      </c>
      <c r="E2701" t="s">
        <v>42</v>
      </c>
      <c r="F2701" t="s">
        <v>83</v>
      </c>
      <c r="G2701">
        <v>34</v>
      </c>
      <c r="H2701" t="s">
        <v>43</v>
      </c>
      <c r="I2701" t="s">
        <v>43</v>
      </c>
      <c r="J2701">
        <v>60</v>
      </c>
      <c r="K2701">
        <v>-40</v>
      </c>
      <c r="L2701">
        <v>98</v>
      </c>
      <c r="M2701">
        <v>628.70001220999995</v>
      </c>
      <c r="N2701" t="s">
        <v>87</v>
      </c>
      <c r="O2701" t="s">
        <v>86</v>
      </c>
      <c r="P2701">
        <v>130</v>
      </c>
      <c r="Q2701">
        <v>5</v>
      </c>
      <c r="R2701">
        <v>-30</v>
      </c>
      <c r="S2701">
        <v>1593</v>
      </c>
      <c r="T2701">
        <v>-40</v>
      </c>
      <c r="U2701">
        <v>52</v>
      </c>
      <c r="V2701">
        <v>-184</v>
      </c>
      <c r="W2701">
        <v>31</v>
      </c>
      <c r="X2701">
        <v>31</v>
      </c>
      <c r="Y2701">
        <v>1</v>
      </c>
      <c r="Z2701">
        <v>8</v>
      </c>
      <c r="AA2701">
        <v>27</v>
      </c>
      <c r="AB2701">
        <v>2</v>
      </c>
      <c r="AC2701">
        <v>3</v>
      </c>
      <c r="AD2701">
        <v>3.2820000600000001</v>
      </c>
      <c r="AE2701">
        <v>1</v>
      </c>
      <c r="AF2701">
        <v>25</v>
      </c>
      <c r="AG2701">
        <v>3.2780001200000002</v>
      </c>
      <c r="AH2701">
        <v>8</v>
      </c>
      <c r="AI2701">
        <v>17</v>
      </c>
      <c r="AJ2701">
        <v>1</v>
      </c>
      <c r="AK2701">
        <v>20</v>
      </c>
      <c r="AL2701">
        <v>52</v>
      </c>
      <c r="AM2701" t="s">
        <v>43</v>
      </c>
      <c r="AN2701" t="s">
        <v>43</v>
      </c>
    </row>
    <row r="2702" spans="1:40" x14ac:dyDescent="0.3">
      <c r="A2702" s="1">
        <v>46210.686921296299</v>
      </c>
      <c r="B2702" t="s">
        <v>40</v>
      </c>
      <c r="C2702" t="s">
        <v>41</v>
      </c>
      <c r="D2702" s="1">
        <v>46210.690416666665</v>
      </c>
      <c r="E2702" t="s">
        <v>42</v>
      </c>
      <c r="F2702" t="s">
        <v>83</v>
      </c>
      <c r="G2702">
        <v>34</v>
      </c>
      <c r="H2702">
        <v>33169</v>
      </c>
      <c r="I2702" t="s">
        <v>43</v>
      </c>
      <c r="J2702">
        <v>60</v>
      </c>
      <c r="K2702">
        <v>287</v>
      </c>
      <c r="L2702">
        <v>98</v>
      </c>
      <c r="M2702">
        <v>615</v>
      </c>
      <c r="N2702" t="s">
        <v>87</v>
      </c>
      <c r="O2702" t="s">
        <v>86</v>
      </c>
      <c r="P2702">
        <v>130</v>
      </c>
      <c r="Q2702">
        <v>5</v>
      </c>
      <c r="R2702">
        <v>172</v>
      </c>
      <c r="S2702">
        <v>1451</v>
      </c>
      <c r="T2702">
        <v>-40</v>
      </c>
      <c r="U2702">
        <v>56</v>
      </c>
      <c r="V2702">
        <v>1060</v>
      </c>
      <c r="W2702">
        <v>31</v>
      </c>
      <c r="X2702">
        <v>31</v>
      </c>
      <c r="Y2702">
        <v>1</v>
      </c>
      <c r="Z2702">
        <v>8</v>
      </c>
      <c r="AA2702">
        <v>27</v>
      </c>
      <c r="AB2702">
        <v>2</v>
      </c>
      <c r="AC2702">
        <v>3</v>
      </c>
      <c r="AD2702">
        <v>3.2269999999999999</v>
      </c>
      <c r="AE2702">
        <v>5</v>
      </c>
      <c r="AF2702">
        <v>38</v>
      </c>
      <c r="AG2702">
        <v>3.2049999200000001</v>
      </c>
      <c r="AH2702">
        <v>4</v>
      </c>
      <c r="AI2702">
        <v>17</v>
      </c>
      <c r="AJ2702">
        <v>1</v>
      </c>
      <c r="AK2702">
        <v>20</v>
      </c>
      <c r="AL2702">
        <v>52</v>
      </c>
      <c r="AM2702" t="s">
        <v>43</v>
      </c>
      <c r="AN2702" t="s">
        <v>43</v>
      </c>
    </row>
    <row r="2703" spans="1:40" x14ac:dyDescent="0.3">
      <c r="A2703" s="1">
        <v>46210.686805555553</v>
      </c>
      <c r="B2703" t="s">
        <v>40</v>
      </c>
      <c r="C2703" t="s">
        <v>41</v>
      </c>
      <c r="D2703" s="1">
        <v>46210.689560185187</v>
      </c>
      <c r="E2703" t="s">
        <v>42</v>
      </c>
      <c r="F2703" t="s">
        <v>83</v>
      </c>
      <c r="G2703">
        <v>27</v>
      </c>
      <c r="H2703">
        <v>33169</v>
      </c>
      <c r="I2703" t="s">
        <v>1452</v>
      </c>
      <c r="J2703">
        <v>61</v>
      </c>
      <c r="K2703">
        <v>205</v>
      </c>
      <c r="L2703">
        <v>98</v>
      </c>
      <c r="M2703">
        <v>620</v>
      </c>
      <c r="N2703" t="s">
        <v>87</v>
      </c>
      <c r="O2703" t="s">
        <v>86</v>
      </c>
      <c r="P2703">
        <v>130</v>
      </c>
      <c r="Q2703" t="s">
        <v>43</v>
      </c>
      <c r="R2703">
        <v>109</v>
      </c>
      <c r="S2703">
        <v>1255</v>
      </c>
      <c r="T2703">
        <v>-40</v>
      </c>
      <c r="U2703">
        <v>54</v>
      </c>
      <c r="V2703">
        <v>940</v>
      </c>
      <c r="W2703">
        <v>31</v>
      </c>
      <c r="X2703">
        <v>31</v>
      </c>
      <c r="Y2703">
        <v>1</v>
      </c>
      <c r="Z2703">
        <v>8</v>
      </c>
      <c r="AA2703">
        <v>27</v>
      </c>
      <c r="AB2703">
        <v>2</v>
      </c>
      <c r="AC2703">
        <v>3</v>
      </c>
      <c r="AD2703">
        <v>3.2420000999999998</v>
      </c>
      <c r="AE2703">
        <v>1</v>
      </c>
      <c r="AF2703">
        <v>40</v>
      </c>
      <c r="AG2703">
        <v>3.2239999799999999</v>
      </c>
      <c r="AH2703">
        <v>4</v>
      </c>
      <c r="AI2703">
        <v>17</v>
      </c>
      <c r="AJ2703">
        <v>1</v>
      </c>
      <c r="AK2703">
        <v>20</v>
      </c>
      <c r="AL2703">
        <v>52</v>
      </c>
      <c r="AM2703" t="s">
        <v>43</v>
      </c>
      <c r="AN2703" t="str">
        <f>HYPERLINK("https://www.google.com/maps?q=10.787076,79.17160034","Open Location")</f>
        <v>Open Location</v>
      </c>
    </row>
    <row r="2704" spans="1:40" x14ac:dyDescent="0.3">
      <c r="A2704" s="1">
        <v>46210.686689814815</v>
      </c>
      <c r="B2704" t="s">
        <v>40</v>
      </c>
      <c r="C2704" t="s">
        <v>41</v>
      </c>
      <c r="D2704" s="1">
        <v>46210.689525462964</v>
      </c>
      <c r="E2704" t="s">
        <v>42</v>
      </c>
      <c r="F2704" t="s">
        <v>83</v>
      </c>
      <c r="G2704">
        <v>19</v>
      </c>
      <c r="H2704">
        <v>33169</v>
      </c>
      <c r="I2704" t="s">
        <v>1453</v>
      </c>
      <c r="J2704">
        <v>61</v>
      </c>
      <c r="K2704">
        <v>159</v>
      </c>
      <c r="L2704">
        <v>98</v>
      </c>
      <c r="M2704">
        <v>622.20001220999995</v>
      </c>
      <c r="N2704" t="s">
        <v>87</v>
      </c>
      <c r="O2704" t="s">
        <v>86</v>
      </c>
      <c r="P2704">
        <v>129</v>
      </c>
      <c r="Q2704">
        <v>4</v>
      </c>
      <c r="R2704">
        <v>112</v>
      </c>
      <c r="S2704">
        <v>1297</v>
      </c>
      <c r="T2704">
        <v>-40</v>
      </c>
      <c r="U2704">
        <v>52</v>
      </c>
      <c r="V2704">
        <v>722</v>
      </c>
      <c r="W2704">
        <v>31</v>
      </c>
      <c r="X2704">
        <v>31</v>
      </c>
      <c r="Y2704">
        <v>1</v>
      </c>
      <c r="Z2704">
        <v>8</v>
      </c>
      <c r="AA2704">
        <v>27</v>
      </c>
      <c r="AB2704">
        <v>2</v>
      </c>
      <c r="AC2704">
        <v>3</v>
      </c>
      <c r="AD2704">
        <v>3.24399996</v>
      </c>
      <c r="AE2704">
        <v>1</v>
      </c>
      <c r="AF2704">
        <v>42</v>
      </c>
      <c r="AG2704">
        <v>3.2249998999999998</v>
      </c>
      <c r="AH2704">
        <v>4</v>
      </c>
      <c r="AI2704">
        <v>17</v>
      </c>
      <c r="AJ2704">
        <v>1</v>
      </c>
      <c r="AK2704">
        <v>20</v>
      </c>
      <c r="AL2704">
        <v>52</v>
      </c>
      <c r="AM2704" t="s">
        <v>43</v>
      </c>
      <c r="AN2704" t="str">
        <f>HYPERLINK("https://www.google.com/maps?q=10.78635406,79.17169952","Open Location")</f>
        <v>Open Location</v>
      </c>
    </row>
    <row r="2705" spans="1:40" x14ac:dyDescent="0.3">
      <c r="A2705" s="1">
        <v>46210.686574074076</v>
      </c>
      <c r="B2705" t="s">
        <v>40</v>
      </c>
      <c r="C2705" t="s">
        <v>41</v>
      </c>
      <c r="D2705" s="1">
        <v>46210.689560185187</v>
      </c>
      <c r="E2705" t="s">
        <v>42</v>
      </c>
      <c r="F2705" t="s">
        <v>83</v>
      </c>
      <c r="G2705">
        <v>9</v>
      </c>
      <c r="H2705">
        <v>33169</v>
      </c>
      <c r="I2705" t="s">
        <v>1454</v>
      </c>
      <c r="J2705">
        <v>61</v>
      </c>
      <c r="K2705">
        <v>8</v>
      </c>
      <c r="L2705">
        <v>98</v>
      </c>
      <c r="M2705">
        <v>629.90002441000001</v>
      </c>
      <c r="N2705" t="s">
        <v>87</v>
      </c>
      <c r="O2705" t="s">
        <v>86</v>
      </c>
      <c r="P2705">
        <v>127</v>
      </c>
      <c r="Q2705" t="s">
        <v>43</v>
      </c>
      <c r="R2705">
        <v>25</v>
      </c>
      <c r="S2705">
        <v>1603</v>
      </c>
      <c r="T2705">
        <v>-40</v>
      </c>
      <c r="U2705">
        <v>51</v>
      </c>
      <c r="V2705">
        <v>0</v>
      </c>
      <c r="W2705">
        <v>31</v>
      </c>
      <c r="X2705">
        <v>31</v>
      </c>
      <c r="Y2705">
        <v>1</v>
      </c>
      <c r="Z2705">
        <v>8</v>
      </c>
      <c r="AA2705">
        <v>27</v>
      </c>
      <c r="AB2705">
        <v>2</v>
      </c>
      <c r="AC2705">
        <v>3</v>
      </c>
      <c r="AD2705">
        <v>3.2869999399999998</v>
      </c>
      <c r="AE2705">
        <v>1</v>
      </c>
      <c r="AF2705">
        <v>25</v>
      </c>
      <c r="AG2705">
        <v>3.2820000600000001</v>
      </c>
      <c r="AH2705">
        <v>3</v>
      </c>
      <c r="AI2705">
        <v>1</v>
      </c>
      <c r="AJ2705">
        <v>1</v>
      </c>
      <c r="AK2705">
        <v>21</v>
      </c>
      <c r="AL2705">
        <v>52</v>
      </c>
      <c r="AM2705" t="s">
        <v>43</v>
      </c>
      <c r="AN2705" t="str">
        <f>HYPERLINK("https://www.google.com/maps?q=10.78598309,79.17169952","Open Location")</f>
        <v>Open Location</v>
      </c>
    </row>
    <row r="2706" spans="1:40" x14ac:dyDescent="0.3">
      <c r="A2706" s="1">
        <v>46210.68645833333</v>
      </c>
      <c r="B2706" t="s">
        <v>40</v>
      </c>
      <c r="C2706" t="s">
        <v>41</v>
      </c>
      <c r="D2706" s="1">
        <v>46210.68949074074</v>
      </c>
      <c r="E2706" t="s">
        <v>42</v>
      </c>
      <c r="F2706" t="s">
        <v>83</v>
      </c>
      <c r="G2706">
        <v>18</v>
      </c>
      <c r="H2706">
        <v>33169</v>
      </c>
      <c r="I2706" t="s">
        <v>43</v>
      </c>
      <c r="J2706">
        <v>61</v>
      </c>
      <c r="K2706">
        <v>-21</v>
      </c>
      <c r="L2706">
        <v>98</v>
      </c>
      <c r="M2706">
        <v>630.70001220999995</v>
      </c>
      <c r="N2706" t="s">
        <v>87</v>
      </c>
      <c r="O2706" t="s">
        <v>86</v>
      </c>
      <c r="P2706">
        <v>130</v>
      </c>
      <c r="Q2706">
        <v>2</v>
      </c>
      <c r="R2706">
        <v>-19</v>
      </c>
      <c r="S2706">
        <v>923</v>
      </c>
      <c r="T2706">
        <v>-40</v>
      </c>
      <c r="U2706">
        <v>52</v>
      </c>
      <c r="V2706">
        <v>-184</v>
      </c>
      <c r="W2706">
        <v>31</v>
      </c>
      <c r="X2706">
        <v>31</v>
      </c>
      <c r="Y2706">
        <v>1</v>
      </c>
      <c r="Z2706">
        <v>8</v>
      </c>
      <c r="AA2706">
        <v>27</v>
      </c>
      <c r="AB2706">
        <v>2</v>
      </c>
      <c r="AC2706">
        <v>3</v>
      </c>
      <c r="AD2706">
        <v>3.3029999700000001</v>
      </c>
      <c r="AE2706">
        <v>1</v>
      </c>
      <c r="AF2706">
        <v>26</v>
      </c>
      <c r="AG2706">
        <v>3.2980000999999999</v>
      </c>
      <c r="AH2706">
        <v>5</v>
      </c>
      <c r="AI2706">
        <v>10</v>
      </c>
      <c r="AJ2706">
        <v>1</v>
      </c>
      <c r="AK2706">
        <v>22</v>
      </c>
      <c r="AL2706">
        <v>52</v>
      </c>
      <c r="AM2706" t="s">
        <v>43</v>
      </c>
      <c r="AN2706" t="s">
        <v>43</v>
      </c>
    </row>
    <row r="2707" spans="1:40" x14ac:dyDescent="0.3">
      <c r="A2707" s="1">
        <v>46210.686342592591</v>
      </c>
      <c r="B2707" t="s">
        <v>40</v>
      </c>
      <c r="C2707" t="s">
        <v>41</v>
      </c>
      <c r="D2707" s="1">
        <v>46210.68917824074</v>
      </c>
      <c r="E2707" t="s">
        <v>42</v>
      </c>
      <c r="F2707" t="s">
        <v>83</v>
      </c>
      <c r="G2707">
        <v>26</v>
      </c>
      <c r="H2707">
        <v>33169</v>
      </c>
      <c r="I2707" t="s">
        <v>1455</v>
      </c>
      <c r="J2707">
        <v>61</v>
      </c>
      <c r="K2707">
        <v>-193</v>
      </c>
      <c r="L2707">
        <v>98</v>
      </c>
      <c r="M2707">
        <v>636.70001220999995</v>
      </c>
      <c r="N2707" t="s">
        <v>87</v>
      </c>
      <c r="O2707" t="s">
        <v>86</v>
      </c>
      <c r="P2707">
        <v>130</v>
      </c>
      <c r="Q2707">
        <v>5</v>
      </c>
      <c r="R2707">
        <v>-73</v>
      </c>
      <c r="S2707">
        <v>1420</v>
      </c>
      <c r="T2707">
        <v>-40</v>
      </c>
      <c r="U2707">
        <v>52</v>
      </c>
      <c r="V2707">
        <v>-910</v>
      </c>
      <c r="W2707">
        <v>31</v>
      </c>
      <c r="X2707">
        <v>31</v>
      </c>
      <c r="Y2707">
        <v>1</v>
      </c>
      <c r="Z2707">
        <v>8</v>
      </c>
      <c r="AA2707">
        <v>27</v>
      </c>
      <c r="AB2707">
        <v>2</v>
      </c>
      <c r="AC2707">
        <v>3</v>
      </c>
      <c r="AD2707">
        <v>3.2899999599999998</v>
      </c>
      <c r="AE2707">
        <v>1</v>
      </c>
      <c r="AF2707">
        <v>25</v>
      </c>
      <c r="AG2707">
        <v>3.28500009</v>
      </c>
      <c r="AH2707">
        <v>8</v>
      </c>
      <c r="AI2707">
        <v>48</v>
      </c>
      <c r="AJ2707">
        <v>1</v>
      </c>
      <c r="AK2707">
        <v>21</v>
      </c>
      <c r="AL2707">
        <v>52</v>
      </c>
      <c r="AM2707" t="s">
        <v>43</v>
      </c>
      <c r="AN2707" t="str">
        <f>HYPERLINK("https://www.google.com/maps?q=10.78551674,79.17165375","Open Location")</f>
        <v>Open Location</v>
      </c>
    </row>
    <row r="2708" spans="1:40" x14ac:dyDescent="0.3">
      <c r="A2708" s="1">
        <v>46210.686226851853</v>
      </c>
      <c r="B2708" t="s">
        <v>40</v>
      </c>
      <c r="C2708" t="s">
        <v>41</v>
      </c>
      <c r="D2708" s="1">
        <v>46210.68917824074</v>
      </c>
      <c r="E2708" t="s">
        <v>42</v>
      </c>
      <c r="F2708" t="s">
        <v>83</v>
      </c>
      <c r="G2708">
        <v>37</v>
      </c>
      <c r="H2708">
        <v>33169</v>
      </c>
      <c r="I2708" t="s">
        <v>43</v>
      </c>
      <c r="J2708">
        <v>61</v>
      </c>
      <c r="K2708">
        <v>-44</v>
      </c>
      <c r="L2708">
        <v>98</v>
      </c>
      <c r="M2708">
        <v>629</v>
      </c>
      <c r="N2708" t="s">
        <v>87</v>
      </c>
      <c r="O2708" t="s">
        <v>86</v>
      </c>
      <c r="P2708">
        <v>130</v>
      </c>
      <c r="Q2708">
        <v>5</v>
      </c>
      <c r="R2708">
        <v>-33</v>
      </c>
      <c r="S2708">
        <v>1745</v>
      </c>
      <c r="T2708">
        <v>-40</v>
      </c>
      <c r="U2708">
        <v>51</v>
      </c>
      <c r="V2708">
        <v>-184</v>
      </c>
      <c r="W2708">
        <v>31</v>
      </c>
      <c r="X2708">
        <v>31</v>
      </c>
      <c r="Y2708">
        <v>1</v>
      </c>
      <c r="Z2708">
        <v>8</v>
      </c>
      <c r="AA2708">
        <v>27</v>
      </c>
      <c r="AB2708">
        <v>2</v>
      </c>
      <c r="AC2708">
        <v>3</v>
      </c>
      <c r="AD2708">
        <v>3.2839999199999999</v>
      </c>
      <c r="AE2708">
        <v>1</v>
      </c>
      <c r="AF2708">
        <v>26</v>
      </c>
      <c r="AG2708">
        <v>3.27999997</v>
      </c>
      <c r="AH2708">
        <v>2</v>
      </c>
      <c r="AI2708">
        <v>6</v>
      </c>
      <c r="AJ2708">
        <v>1</v>
      </c>
      <c r="AK2708">
        <v>20</v>
      </c>
      <c r="AL2708">
        <v>52</v>
      </c>
      <c r="AM2708" t="s">
        <v>43</v>
      </c>
      <c r="AN2708" t="s">
        <v>43</v>
      </c>
    </row>
    <row r="2709" spans="1:40" x14ac:dyDescent="0.3">
      <c r="A2709" s="1">
        <v>46210.686111111114</v>
      </c>
      <c r="B2709" t="s">
        <v>40</v>
      </c>
      <c r="C2709" t="s">
        <v>41</v>
      </c>
      <c r="D2709" s="1">
        <v>46210.689282407409</v>
      </c>
      <c r="E2709" t="s">
        <v>42</v>
      </c>
      <c r="F2709" t="s">
        <v>83</v>
      </c>
      <c r="G2709">
        <v>38</v>
      </c>
      <c r="H2709" t="s">
        <v>43</v>
      </c>
      <c r="I2709" t="s">
        <v>1456</v>
      </c>
      <c r="J2709">
        <v>61</v>
      </c>
      <c r="K2709">
        <v>88</v>
      </c>
      <c r="L2709">
        <v>98</v>
      </c>
      <c r="M2709">
        <v>623.29998779000005</v>
      </c>
      <c r="N2709" t="s">
        <v>87</v>
      </c>
      <c r="O2709" t="s">
        <v>86</v>
      </c>
      <c r="P2709">
        <v>130</v>
      </c>
      <c r="Q2709">
        <v>5</v>
      </c>
      <c r="R2709">
        <v>43</v>
      </c>
      <c r="S2709">
        <v>1743</v>
      </c>
      <c r="T2709">
        <v>-40</v>
      </c>
      <c r="U2709">
        <v>52</v>
      </c>
      <c r="V2709">
        <v>240</v>
      </c>
      <c r="W2709">
        <v>31</v>
      </c>
      <c r="X2709">
        <v>31</v>
      </c>
      <c r="Y2709">
        <v>1</v>
      </c>
      <c r="Z2709">
        <v>8</v>
      </c>
      <c r="AA2709">
        <v>27</v>
      </c>
      <c r="AB2709">
        <v>2</v>
      </c>
      <c r="AC2709">
        <v>3</v>
      </c>
      <c r="AD2709">
        <v>3.25900006</v>
      </c>
      <c r="AE2709">
        <v>1</v>
      </c>
      <c r="AF2709">
        <v>42</v>
      </c>
      <c r="AG2709">
        <v>3.2479999099999999</v>
      </c>
      <c r="AH2709">
        <v>4</v>
      </c>
      <c r="AI2709">
        <v>17</v>
      </c>
      <c r="AJ2709">
        <v>1</v>
      </c>
      <c r="AK2709">
        <v>20</v>
      </c>
      <c r="AL2709">
        <v>52</v>
      </c>
      <c r="AM2709" t="s">
        <v>43</v>
      </c>
      <c r="AN2709" t="str">
        <f>HYPERLINK("https://www.google.com/maps?q=10.78388214,79.17044067","Open Location")</f>
        <v>Open Location</v>
      </c>
    </row>
    <row r="2710" spans="1:40" x14ac:dyDescent="0.3">
      <c r="A2710" s="1">
        <v>46210.685995370368</v>
      </c>
      <c r="B2710" t="s">
        <v>40</v>
      </c>
      <c r="C2710" t="s">
        <v>41</v>
      </c>
      <c r="D2710" s="1">
        <v>46210.68891203704</v>
      </c>
      <c r="E2710" t="s">
        <v>42</v>
      </c>
      <c r="F2710" t="s">
        <v>83</v>
      </c>
      <c r="G2710">
        <v>39</v>
      </c>
      <c r="H2710">
        <v>33169</v>
      </c>
      <c r="I2710" t="s">
        <v>1457</v>
      </c>
      <c r="J2710">
        <v>61</v>
      </c>
      <c r="K2710">
        <v>153</v>
      </c>
      <c r="L2710">
        <v>98</v>
      </c>
      <c r="M2710">
        <v>620.5</v>
      </c>
      <c r="N2710" t="s">
        <v>87</v>
      </c>
      <c r="O2710" t="s">
        <v>86</v>
      </c>
      <c r="P2710">
        <v>130</v>
      </c>
      <c r="Q2710" t="s">
        <v>43</v>
      </c>
      <c r="R2710">
        <v>81</v>
      </c>
      <c r="S2710">
        <v>1762</v>
      </c>
      <c r="T2710">
        <v>-40</v>
      </c>
      <c r="U2710">
        <v>53</v>
      </c>
      <c r="V2710">
        <v>460</v>
      </c>
      <c r="W2710">
        <v>31</v>
      </c>
      <c r="X2710">
        <v>31</v>
      </c>
      <c r="Y2710">
        <v>1</v>
      </c>
      <c r="Z2710">
        <v>8</v>
      </c>
      <c r="AA2710">
        <v>27</v>
      </c>
      <c r="AB2710">
        <v>2</v>
      </c>
      <c r="AC2710">
        <v>3</v>
      </c>
      <c r="AD2710">
        <v>3.2490000700000001</v>
      </c>
      <c r="AE2710">
        <v>1</v>
      </c>
      <c r="AF2710">
        <v>36</v>
      </c>
      <c r="AG2710">
        <v>3.2360000599999998</v>
      </c>
      <c r="AH2710">
        <v>4</v>
      </c>
      <c r="AI2710">
        <v>17</v>
      </c>
      <c r="AJ2710">
        <v>1</v>
      </c>
      <c r="AK2710">
        <v>20</v>
      </c>
      <c r="AL2710">
        <v>52</v>
      </c>
      <c r="AM2710" t="s">
        <v>43</v>
      </c>
      <c r="AN2710" t="str">
        <f>HYPERLINK("https://www.google.com/maps?q=10.78286552,79.16965485","Open Location")</f>
        <v>Open Location</v>
      </c>
    </row>
    <row r="2711" spans="1:40" x14ac:dyDescent="0.3">
      <c r="A2711" s="1">
        <v>46210.685879629629</v>
      </c>
      <c r="B2711" t="s">
        <v>40</v>
      </c>
      <c r="C2711" t="s">
        <v>41</v>
      </c>
      <c r="D2711" s="1">
        <v>46210.68855324074</v>
      </c>
      <c r="E2711" t="s">
        <v>42</v>
      </c>
      <c r="F2711" t="s">
        <v>83</v>
      </c>
      <c r="G2711">
        <v>37</v>
      </c>
      <c r="H2711" t="s">
        <v>43</v>
      </c>
      <c r="I2711" t="s">
        <v>1458</v>
      </c>
      <c r="J2711">
        <v>61</v>
      </c>
      <c r="K2711">
        <v>190</v>
      </c>
      <c r="L2711">
        <v>98</v>
      </c>
      <c r="M2711">
        <v>619.09997558999999</v>
      </c>
      <c r="N2711" t="s">
        <v>87</v>
      </c>
      <c r="O2711" t="s">
        <v>86</v>
      </c>
      <c r="P2711">
        <v>130</v>
      </c>
      <c r="Q2711">
        <v>5</v>
      </c>
      <c r="R2711">
        <v>142</v>
      </c>
      <c r="S2711">
        <v>1657</v>
      </c>
      <c r="T2711">
        <v>-40</v>
      </c>
      <c r="U2711">
        <v>55</v>
      </c>
      <c r="V2711">
        <v>640</v>
      </c>
      <c r="W2711">
        <v>31</v>
      </c>
      <c r="X2711">
        <v>31</v>
      </c>
      <c r="Y2711">
        <v>1</v>
      </c>
      <c r="Z2711">
        <v>8</v>
      </c>
      <c r="AA2711">
        <v>27</v>
      </c>
      <c r="AB2711">
        <v>2</v>
      </c>
      <c r="AC2711">
        <v>3</v>
      </c>
      <c r="AD2711">
        <v>3.2349999</v>
      </c>
      <c r="AE2711">
        <v>1</v>
      </c>
      <c r="AF2711">
        <v>42</v>
      </c>
      <c r="AG2711">
        <v>3.2160000800000001</v>
      </c>
      <c r="AH2711">
        <v>4</v>
      </c>
      <c r="AI2711">
        <v>17</v>
      </c>
      <c r="AJ2711">
        <v>1</v>
      </c>
      <c r="AK2711">
        <v>20</v>
      </c>
      <c r="AL2711">
        <v>52</v>
      </c>
      <c r="AM2711" t="s">
        <v>43</v>
      </c>
      <c r="AN2711" t="str">
        <f>HYPERLINK("https://www.google.com/maps?q=10.78194618,79.16896057","Open Location")</f>
        <v>Open Location</v>
      </c>
    </row>
    <row r="2712" spans="1:40" x14ac:dyDescent="0.3">
      <c r="A2712" s="1">
        <v>46210.685763888891</v>
      </c>
      <c r="B2712" t="s">
        <v>40</v>
      </c>
      <c r="C2712" t="s">
        <v>41</v>
      </c>
      <c r="D2712" s="1">
        <v>46210.688726851855</v>
      </c>
      <c r="E2712" t="s">
        <v>42</v>
      </c>
      <c r="F2712" t="s">
        <v>83</v>
      </c>
      <c r="G2712">
        <v>32</v>
      </c>
      <c r="H2712">
        <v>33169</v>
      </c>
      <c r="I2712" t="s">
        <v>43</v>
      </c>
      <c r="J2712">
        <v>61</v>
      </c>
      <c r="K2712">
        <v>201</v>
      </c>
      <c r="L2712">
        <v>98</v>
      </c>
      <c r="M2712">
        <v>618.70001220999995</v>
      </c>
      <c r="N2712" t="s">
        <v>87</v>
      </c>
      <c r="O2712" t="s">
        <v>86</v>
      </c>
      <c r="P2712">
        <v>130</v>
      </c>
      <c r="Q2712">
        <v>5</v>
      </c>
      <c r="R2712">
        <v>130</v>
      </c>
      <c r="S2712">
        <v>1401</v>
      </c>
      <c r="T2712">
        <v>-40</v>
      </c>
      <c r="U2712">
        <v>55</v>
      </c>
      <c r="V2712">
        <v>788</v>
      </c>
      <c r="W2712">
        <v>31</v>
      </c>
      <c r="X2712">
        <v>31</v>
      </c>
      <c r="Y2712">
        <v>1</v>
      </c>
      <c r="Z2712">
        <v>8</v>
      </c>
      <c r="AA2712">
        <v>27</v>
      </c>
      <c r="AB2712">
        <v>2</v>
      </c>
      <c r="AC2712">
        <v>3</v>
      </c>
      <c r="AD2712">
        <v>3.2339999700000002</v>
      </c>
      <c r="AE2712">
        <v>1</v>
      </c>
      <c r="AF2712">
        <v>44</v>
      </c>
      <c r="AG2712">
        <v>3.2160000800000001</v>
      </c>
      <c r="AH2712">
        <v>4</v>
      </c>
      <c r="AI2712">
        <v>17</v>
      </c>
      <c r="AJ2712">
        <v>1</v>
      </c>
      <c r="AK2712">
        <v>20</v>
      </c>
      <c r="AL2712">
        <v>52</v>
      </c>
      <c r="AM2712" t="s">
        <v>43</v>
      </c>
      <c r="AN2712" t="s">
        <v>43</v>
      </c>
    </row>
    <row r="2713" spans="1:40" x14ac:dyDescent="0.3">
      <c r="A2713" s="1">
        <v>46210.685648148145</v>
      </c>
      <c r="B2713" t="s">
        <v>40</v>
      </c>
      <c r="C2713" t="s">
        <v>41</v>
      </c>
      <c r="D2713" s="1">
        <v>46210.688506944447</v>
      </c>
      <c r="E2713" t="s">
        <v>42</v>
      </c>
      <c r="F2713" t="s">
        <v>83</v>
      </c>
      <c r="G2713">
        <v>28</v>
      </c>
      <c r="H2713">
        <v>33169</v>
      </c>
      <c r="I2713" t="s">
        <v>1459</v>
      </c>
      <c r="J2713">
        <v>61</v>
      </c>
      <c r="K2713">
        <v>125</v>
      </c>
      <c r="L2713">
        <v>98</v>
      </c>
      <c r="M2713">
        <v>622</v>
      </c>
      <c r="N2713" t="s">
        <v>87</v>
      </c>
      <c r="O2713" t="s">
        <v>86</v>
      </c>
      <c r="P2713">
        <v>130</v>
      </c>
      <c r="Q2713">
        <v>5</v>
      </c>
      <c r="R2713">
        <v>87</v>
      </c>
      <c r="S2713">
        <v>1222</v>
      </c>
      <c r="T2713">
        <v>-40</v>
      </c>
      <c r="U2713">
        <v>54</v>
      </c>
      <c r="V2713">
        <v>560</v>
      </c>
      <c r="W2713">
        <v>31</v>
      </c>
      <c r="X2713">
        <v>31</v>
      </c>
      <c r="Y2713">
        <v>1</v>
      </c>
      <c r="Z2713">
        <v>8</v>
      </c>
      <c r="AA2713">
        <v>27</v>
      </c>
      <c r="AB2713">
        <v>2</v>
      </c>
      <c r="AC2713">
        <v>3</v>
      </c>
      <c r="AD2713">
        <v>3.2460000500000001</v>
      </c>
      <c r="AE2713">
        <v>1</v>
      </c>
      <c r="AF2713">
        <v>42</v>
      </c>
      <c r="AG2713">
        <v>3.23200011</v>
      </c>
      <c r="AH2713">
        <v>4</v>
      </c>
      <c r="AI2713">
        <v>17</v>
      </c>
      <c r="AJ2713">
        <v>1</v>
      </c>
      <c r="AK2713">
        <v>20</v>
      </c>
      <c r="AL2713">
        <v>52</v>
      </c>
      <c r="AM2713" t="s">
        <v>43</v>
      </c>
      <c r="AN2713" t="str">
        <f>HYPERLINK("https://www.google.com/maps?q=10.7811594,79.16835785","Open Location")</f>
        <v>Open Location</v>
      </c>
    </row>
    <row r="2714" spans="1:40" x14ac:dyDescent="0.3">
      <c r="A2714" s="1">
        <v>46210.685532407406</v>
      </c>
      <c r="B2714" t="s">
        <v>40</v>
      </c>
      <c r="C2714" t="s">
        <v>41</v>
      </c>
      <c r="D2714" s="1">
        <v>46210.688923611109</v>
      </c>
      <c r="E2714" t="s">
        <v>42</v>
      </c>
      <c r="F2714" t="s">
        <v>83</v>
      </c>
      <c r="G2714">
        <v>22</v>
      </c>
      <c r="H2714">
        <v>33168</v>
      </c>
      <c r="I2714" t="s">
        <v>43</v>
      </c>
      <c r="J2714">
        <v>61</v>
      </c>
      <c r="K2714">
        <v>282</v>
      </c>
      <c r="L2714">
        <v>98</v>
      </c>
      <c r="M2714">
        <v>615.90002441000001</v>
      </c>
      <c r="N2714" t="s">
        <v>87</v>
      </c>
      <c r="O2714" t="s">
        <v>86</v>
      </c>
      <c r="P2714">
        <v>129</v>
      </c>
      <c r="Q2714">
        <v>5</v>
      </c>
      <c r="R2714">
        <v>183</v>
      </c>
      <c r="S2714">
        <v>1466</v>
      </c>
      <c r="T2714">
        <v>-40</v>
      </c>
      <c r="U2714">
        <v>56</v>
      </c>
      <c r="V2714">
        <v>1060</v>
      </c>
      <c r="W2714">
        <v>31</v>
      </c>
      <c r="X2714">
        <v>31</v>
      </c>
      <c r="Y2714">
        <v>1</v>
      </c>
      <c r="Z2714">
        <v>8</v>
      </c>
      <c r="AA2714">
        <v>27</v>
      </c>
      <c r="AB2714">
        <v>2</v>
      </c>
      <c r="AC2714">
        <v>3</v>
      </c>
      <c r="AD2714">
        <v>3.2330000399999999</v>
      </c>
      <c r="AE2714">
        <v>1</v>
      </c>
      <c r="AF2714">
        <v>42</v>
      </c>
      <c r="AG2714">
        <v>3.21700001</v>
      </c>
      <c r="AH2714">
        <v>4</v>
      </c>
      <c r="AI2714">
        <v>17</v>
      </c>
      <c r="AJ2714">
        <v>1</v>
      </c>
      <c r="AK2714">
        <v>20</v>
      </c>
      <c r="AL2714">
        <v>52</v>
      </c>
      <c r="AM2714" t="s">
        <v>43</v>
      </c>
      <c r="AN2714" t="s">
        <v>43</v>
      </c>
    </row>
    <row r="2715" spans="1:40" x14ac:dyDescent="0.3">
      <c r="A2715" s="1">
        <v>46210.685416666667</v>
      </c>
      <c r="B2715" t="s">
        <v>40</v>
      </c>
      <c r="C2715" t="s">
        <v>41</v>
      </c>
      <c r="D2715" s="1">
        <v>46210.688460648147</v>
      </c>
      <c r="E2715" t="s">
        <v>42</v>
      </c>
      <c r="F2715" t="s">
        <v>83</v>
      </c>
      <c r="G2715">
        <v>16</v>
      </c>
      <c r="H2715">
        <v>33168</v>
      </c>
      <c r="I2715" t="s">
        <v>1460</v>
      </c>
      <c r="J2715">
        <v>61</v>
      </c>
      <c r="K2715">
        <v>141</v>
      </c>
      <c r="L2715">
        <v>98</v>
      </c>
      <c r="M2715">
        <v>622.29998779000005</v>
      </c>
      <c r="N2715" t="s">
        <v>87</v>
      </c>
      <c r="O2715" t="s">
        <v>86</v>
      </c>
      <c r="P2715">
        <v>129</v>
      </c>
      <c r="Q2715">
        <v>4</v>
      </c>
      <c r="R2715">
        <v>84</v>
      </c>
      <c r="S2715">
        <v>1188</v>
      </c>
      <c r="T2715">
        <v>-40</v>
      </c>
      <c r="U2715">
        <v>52</v>
      </c>
      <c r="V2715">
        <v>732</v>
      </c>
      <c r="W2715">
        <v>31</v>
      </c>
      <c r="X2715">
        <v>31</v>
      </c>
      <c r="Y2715">
        <v>1</v>
      </c>
      <c r="Z2715">
        <v>8</v>
      </c>
      <c r="AA2715">
        <v>27</v>
      </c>
      <c r="AB2715">
        <v>2</v>
      </c>
      <c r="AC2715">
        <v>3</v>
      </c>
      <c r="AD2715">
        <v>3.2539999499999999</v>
      </c>
      <c r="AE2715">
        <v>5</v>
      </c>
      <c r="AF2715">
        <v>38</v>
      </c>
      <c r="AG2715">
        <v>3.2390000799999998</v>
      </c>
      <c r="AH2715">
        <v>4</v>
      </c>
      <c r="AI2715">
        <v>17</v>
      </c>
      <c r="AJ2715">
        <v>1</v>
      </c>
      <c r="AK2715">
        <v>20</v>
      </c>
      <c r="AL2715">
        <v>52</v>
      </c>
      <c r="AM2715" t="s">
        <v>43</v>
      </c>
      <c r="AN2715" t="str">
        <f>HYPERLINK("https://www.google.com/maps?q=10.78005219,79.16764832","Open Location")</f>
        <v>Open Location</v>
      </c>
    </row>
    <row r="2716" spans="1:40" x14ac:dyDescent="0.3">
      <c r="A2716" s="1">
        <v>46210.685300925928</v>
      </c>
      <c r="B2716" t="s">
        <v>40</v>
      </c>
      <c r="C2716" t="s">
        <v>41</v>
      </c>
      <c r="D2716" s="1">
        <v>46210.688090277778</v>
      </c>
      <c r="E2716" t="s">
        <v>42</v>
      </c>
      <c r="F2716" t="s">
        <v>83</v>
      </c>
      <c r="G2716">
        <v>9</v>
      </c>
      <c r="H2716">
        <v>33168</v>
      </c>
      <c r="I2716" t="s">
        <v>1461</v>
      </c>
      <c r="J2716">
        <v>61</v>
      </c>
      <c r="K2716">
        <v>38</v>
      </c>
      <c r="L2716">
        <v>98</v>
      </c>
      <c r="M2716">
        <v>628.40002441000001</v>
      </c>
      <c r="N2716" t="s">
        <v>87</v>
      </c>
      <c r="O2716" t="s">
        <v>86</v>
      </c>
      <c r="P2716">
        <v>128</v>
      </c>
      <c r="Q2716" t="s">
        <v>43</v>
      </c>
      <c r="R2716">
        <v>62</v>
      </c>
      <c r="S2716">
        <v>1255</v>
      </c>
      <c r="T2716">
        <v>-40</v>
      </c>
      <c r="U2716">
        <v>50</v>
      </c>
      <c r="V2716">
        <v>0</v>
      </c>
      <c r="W2716">
        <v>31</v>
      </c>
      <c r="X2716">
        <v>31</v>
      </c>
      <c r="Y2716">
        <v>1</v>
      </c>
      <c r="Z2716">
        <v>8</v>
      </c>
      <c r="AA2716">
        <v>27</v>
      </c>
      <c r="AB2716">
        <v>2</v>
      </c>
      <c r="AC2716">
        <v>3</v>
      </c>
      <c r="AD2716">
        <v>3.2690000499999998</v>
      </c>
      <c r="AE2716">
        <v>1</v>
      </c>
      <c r="AF2716">
        <v>25</v>
      </c>
      <c r="AG2716">
        <v>3.25900006</v>
      </c>
      <c r="AH2716">
        <v>4</v>
      </c>
      <c r="AI2716">
        <v>17</v>
      </c>
      <c r="AJ2716">
        <v>1</v>
      </c>
      <c r="AK2716">
        <v>19</v>
      </c>
      <c r="AL2716">
        <v>52</v>
      </c>
      <c r="AM2716" t="s">
        <v>43</v>
      </c>
      <c r="AN2716" t="str">
        <f>HYPERLINK("https://www.google.com/maps?q=10.77990532,79.16799927","Open Location")</f>
        <v>Open Location</v>
      </c>
    </row>
    <row r="2717" spans="1:40" x14ac:dyDescent="0.3">
      <c r="A2717" s="1">
        <v>46210.685185185182</v>
      </c>
      <c r="B2717" t="s">
        <v>40</v>
      </c>
      <c r="C2717" t="s">
        <v>41</v>
      </c>
      <c r="D2717" s="1">
        <v>46210.688067129631</v>
      </c>
      <c r="E2717" t="s">
        <v>42</v>
      </c>
      <c r="F2717" t="s">
        <v>83</v>
      </c>
      <c r="G2717">
        <v>11</v>
      </c>
      <c r="H2717">
        <v>33168</v>
      </c>
      <c r="I2717" t="s">
        <v>1462</v>
      </c>
      <c r="J2717">
        <v>61</v>
      </c>
      <c r="K2717">
        <v>32</v>
      </c>
      <c r="L2717">
        <v>98</v>
      </c>
      <c r="M2717">
        <v>628.90002441000001</v>
      </c>
      <c r="N2717" t="s">
        <v>87</v>
      </c>
      <c r="O2717" t="s">
        <v>86</v>
      </c>
      <c r="P2717">
        <v>128</v>
      </c>
      <c r="Q2717">
        <v>2</v>
      </c>
      <c r="R2717">
        <v>-67</v>
      </c>
      <c r="S2717">
        <v>1682</v>
      </c>
      <c r="T2717">
        <v>-40</v>
      </c>
      <c r="U2717">
        <v>51</v>
      </c>
      <c r="V2717">
        <v>32</v>
      </c>
      <c r="W2717">
        <v>31</v>
      </c>
      <c r="X2717">
        <v>31</v>
      </c>
      <c r="Y2717">
        <v>1</v>
      </c>
      <c r="Z2717">
        <v>8</v>
      </c>
      <c r="AA2717">
        <v>27</v>
      </c>
      <c r="AB2717">
        <v>2</v>
      </c>
      <c r="AC2717">
        <v>3</v>
      </c>
      <c r="AD2717">
        <v>3.3010001199999999</v>
      </c>
      <c r="AE2717">
        <v>1</v>
      </c>
      <c r="AF2717">
        <v>26</v>
      </c>
      <c r="AG2717">
        <v>3.2939999100000001</v>
      </c>
      <c r="AH2717">
        <v>5</v>
      </c>
      <c r="AI2717">
        <v>10</v>
      </c>
      <c r="AJ2717">
        <v>1</v>
      </c>
      <c r="AK2717">
        <v>19</v>
      </c>
      <c r="AL2717">
        <v>52</v>
      </c>
      <c r="AM2717" t="s">
        <v>43</v>
      </c>
      <c r="AN2717" t="str">
        <f>HYPERLINK("https://www.google.com/maps?q=10.78005695,79.16824341","Open Location")</f>
        <v>Open Location</v>
      </c>
    </row>
    <row r="2718" spans="1:40" x14ac:dyDescent="0.3">
      <c r="A2718" s="1">
        <v>46210.685069444444</v>
      </c>
      <c r="B2718" t="s">
        <v>40</v>
      </c>
      <c r="C2718" t="s">
        <v>41</v>
      </c>
      <c r="D2718" s="1">
        <v>46210.688090277778</v>
      </c>
      <c r="E2718" t="s">
        <v>42</v>
      </c>
      <c r="F2718" t="s">
        <v>83</v>
      </c>
      <c r="G2718">
        <v>7</v>
      </c>
      <c r="H2718">
        <v>33168</v>
      </c>
      <c r="I2718" t="s">
        <v>43</v>
      </c>
      <c r="J2718">
        <v>61</v>
      </c>
      <c r="K2718">
        <v>14</v>
      </c>
      <c r="L2718">
        <v>98</v>
      </c>
      <c r="M2718">
        <v>629</v>
      </c>
      <c r="N2718" t="s">
        <v>87</v>
      </c>
      <c r="O2718" t="s">
        <v>86</v>
      </c>
      <c r="P2718">
        <v>127</v>
      </c>
      <c r="Q2718">
        <v>3</v>
      </c>
      <c r="R2718">
        <v>98</v>
      </c>
      <c r="S2718">
        <v>833</v>
      </c>
      <c r="T2718">
        <v>-40</v>
      </c>
      <c r="U2718">
        <v>49</v>
      </c>
      <c r="V2718">
        <v>30</v>
      </c>
      <c r="W2718">
        <v>31</v>
      </c>
      <c r="X2718">
        <v>31</v>
      </c>
      <c r="Y2718">
        <v>1</v>
      </c>
      <c r="Z2718">
        <v>8</v>
      </c>
      <c r="AA2718">
        <v>27</v>
      </c>
      <c r="AB2718">
        <v>2</v>
      </c>
      <c r="AC2718">
        <v>3</v>
      </c>
      <c r="AD2718">
        <v>3.2550001100000001</v>
      </c>
      <c r="AE2718">
        <v>5</v>
      </c>
      <c r="AF2718">
        <v>38</v>
      </c>
      <c r="AG2718">
        <v>3.23799992</v>
      </c>
      <c r="AH2718">
        <v>4</v>
      </c>
      <c r="AI2718">
        <v>17</v>
      </c>
      <c r="AJ2718">
        <v>1</v>
      </c>
      <c r="AK2718">
        <v>20</v>
      </c>
      <c r="AL2718">
        <v>52</v>
      </c>
      <c r="AM2718" t="s">
        <v>43</v>
      </c>
      <c r="AN2718" t="s">
        <v>43</v>
      </c>
    </row>
    <row r="2719" spans="1:40" x14ac:dyDescent="0.3">
      <c r="A2719" s="1">
        <v>46210.684953703705</v>
      </c>
      <c r="B2719" t="s">
        <v>40</v>
      </c>
      <c r="C2719" t="s">
        <v>41</v>
      </c>
      <c r="D2719" s="1">
        <v>46210.688078703701</v>
      </c>
      <c r="E2719" t="s">
        <v>42</v>
      </c>
      <c r="F2719" t="s">
        <v>83</v>
      </c>
      <c r="G2719">
        <v>7</v>
      </c>
      <c r="H2719">
        <v>33168</v>
      </c>
      <c r="I2719" t="s">
        <v>1463</v>
      </c>
      <c r="J2719">
        <v>61</v>
      </c>
      <c r="K2719">
        <v>7</v>
      </c>
      <c r="L2719">
        <v>98</v>
      </c>
      <c r="M2719">
        <v>629.20001220999995</v>
      </c>
      <c r="N2719" t="s">
        <v>87</v>
      </c>
      <c r="O2719" t="s">
        <v>86</v>
      </c>
      <c r="P2719">
        <v>127</v>
      </c>
      <c r="Q2719">
        <v>3</v>
      </c>
      <c r="R2719">
        <v>41</v>
      </c>
      <c r="S2719">
        <v>980</v>
      </c>
      <c r="T2719">
        <v>-40</v>
      </c>
      <c r="U2719">
        <v>49</v>
      </c>
      <c r="V2719">
        <v>5</v>
      </c>
      <c r="W2719">
        <v>31</v>
      </c>
      <c r="X2719">
        <v>31</v>
      </c>
      <c r="Y2719">
        <v>1</v>
      </c>
      <c r="Z2719">
        <v>8</v>
      </c>
      <c r="AA2719">
        <v>27</v>
      </c>
      <c r="AB2719">
        <v>2</v>
      </c>
      <c r="AC2719">
        <v>3</v>
      </c>
      <c r="AD2719">
        <v>3.2720000699999998</v>
      </c>
      <c r="AE2719">
        <v>5</v>
      </c>
      <c r="AF2719">
        <v>38</v>
      </c>
      <c r="AG2719">
        <v>3.2630000099999998</v>
      </c>
      <c r="AH2719">
        <v>4</v>
      </c>
      <c r="AI2719">
        <v>17</v>
      </c>
      <c r="AJ2719">
        <v>1</v>
      </c>
      <c r="AK2719">
        <v>20</v>
      </c>
      <c r="AL2719">
        <v>52</v>
      </c>
      <c r="AM2719" t="s">
        <v>43</v>
      </c>
      <c r="AN2719" t="str">
        <f>HYPERLINK("https://www.google.com/maps?q=10.78026867,79.1684494","Open Location")</f>
        <v>Open Location</v>
      </c>
    </row>
    <row r="2720" spans="1:40" x14ac:dyDescent="0.3">
      <c r="A2720" s="1">
        <v>46210.684837962966</v>
      </c>
      <c r="B2720" t="s">
        <v>40</v>
      </c>
      <c r="C2720" t="s">
        <v>41</v>
      </c>
      <c r="D2720" s="1">
        <v>46210.688078703701</v>
      </c>
      <c r="E2720" t="s">
        <v>42</v>
      </c>
      <c r="F2720" t="s">
        <v>83</v>
      </c>
      <c r="G2720">
        <v>7</v>
      </c>
      <c r="H2720" t="s">
        <v>43</v>
      </c>
      <c r="I2720" t="s">
        <v>43</v>
      </c>
      <c r="J2720">
        <v>61</v>
      </c>
      <c r="K2720">
        <v>38</v>
      </c>
      <c r="L2720">
        <v>98</v>
      </c>
      <c r="M2720">
        <v>627.79998779000005</v>
      </c>
      <c r="N2720" t="s">
        <v>87</v>
      </c>
      <c r="O2720" t="s">
        <v>86</v>
      </c>
      <c r="P2720">
        <v>127</v>
      </c>
      <c r="Q2720">
        <v>3</v>
      </c>
      <c r="R2720">
        <v>39</v>
      </c>
      <c r="S2720">
        <v>968</v>
      </c>
      <c r="T2720">
        <v>-40</v>
      </c>
      <c r="U2720">
        <v>51</v>
      </c>
      <c r="V2720">
        <v>183</v>
      </c>
      <c r="W2720">
        <v>31</v>
      </c>
      <c r="X2720">
        <v>31</v>
      </c>
      <c r="Y2720">
        <v>1</v>
      </c>
      <c r="Z2720">
        <v>8</v>
      </c>
      <c r="AA2720">
        <v>27</v>
      </c>
      <c r="AB2720">
        <v>2</v>
      </c>
      <c r="AC2720">
        <v>3</v>
      </c>
      <c r="AD2720">
        <v>3.27399993</v>
      </c>
      <c r="AE2720">
        <v>5</v>
      </c>
      <c r="AF2720">
        <v>38</v>
      </c>
      <c r="AG2720">
        <v>3.2660000299999998</v>
      </c>
      <c r="AH2720">
        <v>4</v>
      </c>
      <c r="AI2720">
        <v>17</v>
      </c>
      <c r="AJ2720">
        <v>1</v>
      </c>
      <c r="AK2720">
        <v>19</v>
      </c>
      <c r="AL2720">
        <v>52</v>
      </c>
      <c r="AM2720" t="s">
        <v>43</v>
      </c>
      <c r="AN2720" t="s">
        <v>43</v>
      </c>
    </row>
    <row r="2721" spans="1:40" x14ac:dyDescent="0.3">
      <c r="A2721" s="1">
        <v>46210.68472222222</v>
      </c>
      <c r="B2721" t="s">
        <v>40</v>
      </c>
      <c r="C2721" t="s">
        <v>41</v>
      </c>
      <c r="D2721" s="1">
        <v>46210.687696759262</v>
      </c>
      <c r="E2721" t="s">
        <v>42</v>
      </c>
      <c r="F2721" t="s">
        <v>83</v>
      </c>
      <c r="G2721">
        <v>21</v>
      </c>
      <c r="H2721">
        <v>33168</v>
      </c>
      <c r="I2721" t="s">
        <v>1464</v>
      </c>
      <c r="J2721">
        <v>61</v>
      </c>
      <c r="K2721">
        <v>-99</v>
      </c>
      <c r="L2721">
        <v>98</v>
      </c>
      <c r="M2721">
        <v>633.70001220999995</v>
      </c>
      <c r="N2721" t="s">
        <v>87</v>
      </c>
      <c r="O2721" t="s">
        <v>86</v>
      </c>
      <c r="P2721">
        <v>130</v>
      </c>
      <c r="Q2721">
        <v>2</v>
      </c>
      <c r="R2721">
        <v>-82</v>
      </c>
      <c r="S2721">
        <v>917</v>
      </c>
      <c r="T2721">
        <v>-40</v>
      </c>
      <c r="U2721">
        <v>52</v>
      </c>
      <c r="V2721">
        <v>-642</v>
      </c>
      <c r="W2721">
        <v>31</v>
      </c>
      <c r="X2721">
        <v>31</v>
      </c>
      <c r="Y2721">
        <v>1</v>
      </c>
      <c r="Z2721">
        <v>8</v>
      </c>
      <c r="AA2721">
        <v>27</v>
      </c>
      <c r="AB2721">
        <v>2</v>
      </c>
      <c r="AC2721">
        <v>3</v>
      </c>
      <c r="AD2721">
        <v>3.3020000500000002</v>
      </c>
      <c r="AE2721">
        <v>1</v>
      </c>
      <c r="AF2721">
        <v>26</v>
      </c>
      <c r="AG2721">
        <v>3.2959999999999998</v>
      </c>
      <c r="AH2721">
        <v>8</v>
      </c>
      <c r="AI2721">
        <v>48</v>
      </c>
      <c r="AJ2721">
        <v>1</v>
      </c>
      <c r="AK2721">
        <v>20</v>
      </c>
      <c r="AL2721">
        <v>52</v>
      </c>
      <c r="AM2721" t="s">
        <v>43</v>
      </c>
      <c r="AN2721" t="str">
        <f>HYPERLINK("https://www.google.com/maps?q=10.78046703,79.16896057","Open Location")</f>
        <v>Open Location</v>
      </c>
    </row>
    <row r="2722" spans="1:40" x14ac:dyDescent="0.3">
      <c r="A2722" s="1">
        <v>46210.684606481482</v>
      </c>
      <c r="B2722" t="s">
        <v>40</v>
      </c>
      <c r="C2722" t="s">
        <v>41</v>
      </c>
      <c r="D2722" s="1">
        <v>46210.687638888892</v>
      </c>
      <c r="E2722" t="s">
        <v>42</v>
      </c>
      <c r="F2722" t="s">
        <v>83</v>
      </c>
      <c r="G2722">
        <v>27</v>
      </c>
      <c r="H2722">
        <v>33168</v>
      </c>
      <c r="I2722" t="s">
        <v>1465</v>
      </c>
      <c r="J2722">
        <v>61</v>
      </c>
      <c r="K2722">
        <v>185</v>
      </c>
      <c r="L2722">
        <v>98</v>
      </c>
      <c r="M2722">
        <v>620.5</v>
      </c>
      <c r="N2722" t="s">
        <v>87</v>
      </c>
      <c r="O2722" t="s">
        <v>86</v>
      </c>
      <c r="P2722">
        <v>130</v>
      </c>
      <c r="Q2722" t="s">
        <v>43</v>
      </c>
      <c r="R2722">
        <v>70</v>
      </c>
      <c r="S2722">
        <v>1173</v>
      </c>
      <c r="T2722">
        <v>-40</v>
      </c>
      <c r="U2722">
        <v>54</v>
      </c>
      <c r="V2722">
        <v>860</v>
      </c>
      <c r="W2722">
        <v>31</v>
      </c>
      <c r="X2722">
        <v>31</v>
      </c>
      <c r="Y2722">
        <v>1</v>
      </c>
      <c r="Z2722">
        <v>8</v>
      </c>
      <c r="AA2722">
        <v>27</v>
      </c>
      <c r="AB2722">
        <v>2</v>
      </c>
      <c r="AC2722">
        <v>3</v>
      </c>
      <c r="AD2722">
        <v>3.2720000699999998</v>
      </c>
      <c r="AE2722">
        <v>5</v>
      </c>
      <c r="AF2722">
        <v>38</v>
      </c>
      <c r="AG2722">
        <v>3.2630000099999998</v>
      </c>
      <c r="AH2722">
        <v>4</v>
      </c>
      <c r="AI2722">
        <v>17</v>
      </c>
      <c r="AJ2722">
        <v>1</v>
      </c>
      <c r="AK2722">
        <v>19</v>
      </c>
      <c r="AL2722">
        <v>52</v>
      </c>
      <c r="AM2722" t="s">
        <v>43</v>
      </c>
      <c r="AN2722" t="str">
        <f>HYPERLINK("https://www.google.com/maps?q=10.78063107,79.16975403","Open Location")</f>
        <v>Open Location</v>
      </c>
    </row>
    <row r="2723" spans="1:40" x14ac:dyDescent="0.3">
      <c r="A2723" s="1">
        <v>46210.684490740743</v>
      </c>
      <c r="B2723" t="s">
        <v>40</v>
      </c>
      <c r="C2723" t="s">
        <v>41</v>
      </c>
      <c r="D2723" s="1">
        <v>46210.687777777777</v>
      </c>
      <c r="E2723" t="s">
        <v>42</v>
      </c>
      <c r="F2723" t="s">
        <v>83</v>
      </c>
      <c r="G2723">
        <v>20</v>
      </c>
      <c r="H2723">
        <v>33168</v>
      </c>
      <c r="I2723" t="s">
        <v>43</v>
      </c>
      <c r="J2723">
        <v>62</v>
      </c>
      <c r="K2723">
        <v>330</v>
      </c>
      <c r="L2723">
        <v>98</v>
      </c>
      <c r="M2723">
        <v>615.70001220999995</v>
      </c>
      <c r="N2723" t="s">
        <v>87</v>
      </c>
      <c r="O2723" t="s">
        <v>86</v>
      </c>
      <c r="P2723">
        <v>128</v>
      </c>
      <c r="Q2723">
        <v>5</v>
      </c>
      <c r="R2723">
        <v>0</v>
      </c>
      <c r="S2723">
        <v>2088</v>
      </c>
      <c r="T2723">
        <v>-40</v>
      </c>
      <c r="U2723">
        <v>53</v>
      </c>
      <c r="V2723">
        <v>843</v>
      </c>
      <c r="W2723">
        <v>31</v>
      </c>
      <c r="X2723">
        <v>31</v>
      </c>
      <c r="Y2723">
        <v>1</v>
      </c>
      <c r="Z2723">
        <v>8</v>
      </c>
      <c r="AA2723">
        <v>27</v>
      </c>
      <c r="AB2723">
        <v>2</v>
      </c>
      <c r="AC2723">
        <v>3</v>
      </c>
      <c r="AD2723">
        <v>3.2750001000000002</v>
      </c>
      <c r="AE2723">
        <v>1</v>
      </c>
      <c r="AF2723">
        <v>36</v>
      </c>
      <c r="AG2723">
        <v>3.26799989</v>
      </c>
      <c r="AH2723">
        <v>4</v>
      </c>
      <c r="AI2723">
        <v>17</v>
      </c>
      <c r="AJ2723">
        <v>1</v>
      </c>
      <c r="AK2723">
        <v>19</v>
      </c>
      <c r="AL2723">
        <v>52</v>
      </c>
      <c r="AM2723" t="s">
        <v>43</v>
      </c>
      <c r="AN2723" t="s">
        <v>43</v>
      </c>
    </row>
    <row r="2724" spans="1:40" x14ac:dyDescent="0.3">
      <c r="A2724" s="1">
        <v>46210.684374999997</v>
      </c>
      <c r="B2724" t="s">
        <v>40</v>
      </c>
      <c r="C2724" t="s">
        <v>41</v>
      </c>
      <c r="D2724" s="1">
        <v>46210.687974537039</v>
      </c>
      <c r="E2724" t="s">
        <v>42</v>
      </c>
      <c r="F2724" t="s">
        <v>83</v>
      </c>
      <c r="G2724">
        <v>27</v>
      </c>
      <c r="H2724">
        <v>33168</v>
      </c>
      <c r="I2724" t="s">
        <v>1466</v>
      </c>
      <c r="J2724">
        <v>62</v>
      </c>
      <c r="K2724">
        <v>-37</v>
      </c>
      <c r="L2724">
        <v>98</v>
      </c>
      <c r="M2724">
        <v>630.40002441000001</v>
      </c>
      <c r="N2724" t="s">
        <v>87</v>
      </c>
      <c r="O2724" t="s">
        <v>86</v>
      </c>
      <c r="P2724">
        <v>130</v>
      </c>
      <c r="Q2724">
        <v>3</v>
      </c>
      <c r="R2724">
        <v>-115</v>
      </c>
      <c r="S2724">
        <v>1447</v>
      </c>
      <c r="T2724">
        <v>-40</v>
      </c>
      <c r="U2724">
        <v>53</v>
      </c>
      <c r="V2724">
        <v>-184</v>
      </c>
      <c r="W2724">
        <v>31</v>
      </c>
      <c r="X2724">
        <v>31</v>
      </c>
      <c r="Y2724">
        <v>1</v>
      </c>
      <c r="Z2724">
        <v>8</v>
      </c>
      <c r="AA2724">
        <v>27</v>
      </c>
      <c r="AB2724">
        <v>2</v>
      </c>
      <c r="AC2724">
        <v>3</v>
      </c>
      <c r="AD2724">
        <v>3.3059999900000001</v>
      </c>
      <c r="AE2724">
        <v>1</v>
      </c>
      <c r="AF2724">
        <v>26</v>
      </c>
      <c r="AG2724">
        <v>3.2990000199999998</v>
      </c>
      <c r="AH2724">
        <v>5</v>
      </c>
      <c r="AI2724">
        <v>8</v>
      </c>
      <c r="AJ2724">
        <v>1</v>
      </c>
      <c r="AK2724">
        <v>20</v>
      </c>
      <c r="AL2724">
        <v>52</v>
      </c>
      <c r="AM2724" t="s">
        <v>43</v>
      </c>
      <c r="AN2724" t="str">
        <f>HYPERLINK("https://www.google.com/maps?q=10.78071785,79.17037964","Open Location")</f>
        <v>Open Location</v>
      </c>
    </row>
    <row r="2725" spans="1:40" x14ac:dyDescent="0.3">
      <c r="A2725" s="1">
        <v>46210.684259259258</v>
      </c>
      <c r="B2725" t="s">
        <v>40</v>
      </c>
      <c r="C2725" t="s">
        <v>41</v>
      </c>
      <c r="D2725" s="1">
        <v>46210.687557870369</v>
      </c>
      <c r="E2725" t="s">
        <v>42</v>
      </c>
      <c r="F2725" t="s">
        <v>83</v>
      </c>
      <c r="G2725">
        <v>33</v>
      </c>
      <c r="H2725">
        <v>33168</v>
      </c>
      <c r="I2725" t="s">
        <v>1467</v>
      </c>
      <c r="J2725">
        <v>62</v>
      </c>
      <c r="K2725">
        <v>195</v>
      </c>
      <c r="L2725">
        <v>98</v>
      </c>
      <c r="M2725">
        <v>619.20001220999995</v>
      </c>
      <c r="N2725" t="s">
        <v>87</v>
      </c>
      <c r="O2725" t="s">
        <v>86</v>
      </c>
      <c r="P2725">
        <v>130</v>
      </c>
      <c r="Q2725">
        <v>5</v>
      </c>
      <c r="R2725">
        <v>104</v>
      </c>
      <c r="S2725">
        <v>1488</v>
      </c>
      <c r="T2725">
        <v>-40</v>
      </c>
      <c r="U2725">
        <v>55</v>
      </c>
      <c r="V2725">
        <v>715</v>
      </c>
      <c r="W2725">
        <v>31</v>
      </c>
      <c r="X2725">
        <v>31</v>
      </c>
      <c r="Y2725">
        <v>1</v>
      </c>
      <c r="Z2725">
        <v>8</v>
      </c>
      <c r="AA2725">
        <v>27</v>
      </c>
      <c r="AB2725">
        <v>2</v>
      </c>
      <c r="AC2725">
        <v>3</v>
      </c>
      <c r="AD2725">
        <v>3.24099994</v>
      </c>
      <c r="AE2725">
        <v>1</v>
      </c>
      <c r="AF2725">
        <v>42</v>
      </c>
      <c r="AG2725">
        <v>3.2249998999999998</v>
      </c>
      <c r="AH2725">
        <v>4</v>
      </c>
      <c r="AI2725">
        <v>17</v>
      </c>
      <c r="AJ2725">
        <v>1</v>
      </c>
      <c r="AK2725">
        <v>20</v>
      </c>
      <c r="AL2725">
        <v>52</v>
      </c>
      <c r="AM2725" t="s">
        <v>43</v>
      </c>
      <c r="AN2725" t="str">
        <f>HYPERLINK("https://www.google.com/maps?q=10.78093338,79.17116547","Open Location")</f>
        <v>Open Location</v>
      </c>
    </row>
    <row r="2726" spans="1:40" x14ac:dyDescent="0.3">
      <c r="A2726" s="1">
        <v>46210.68414351852</v>
      </c>
      <c r="B2726" t="s">
        <v>40</v>
      </c>
      <c r="C2726" t="s">
        <v>41</v>
      </c>
      <c r="D2726" s="1">
        <v>46210.687268518515</v>
      </c>
      <c r="E2726" t="s">
        <v>42</v>
      </c>
      <c r="F2726" t="s">
        <v>83</v>
      </c>
      <c r="G2726">
        <v>28</v>
      </c>
      <c r="H2726" t="s">
        <v>43</v>
      </c>
      <c r="I2726" t="s">
        <v>1468</v>
      </c>
      <c r="J2726">
        <v>62</v>
      </c>
      <c r="K2726">
        <v>211</v>
      </c>
      <c r="L2726">
        <v>98</v>
      </c>
      <c r="M2726">
        <v>619.20001220999995</v>
      </c>
      <c r="N2726" t="s">
        <v>87</v>
      </c>
      <c r="O2726" t="s">
        <v>86</v>
      </c>
      <c r="P2726">
        <v>130</v>
      </c>
      <c r="Q2726">
        <v>5</v>
      </c>
      <c r="R2726">
        <v>128</v>
      </c>
      <c r="S2726">
        <v>1245</v>
      </c>
      <c r="T2726">
        <v>-40</v>
      </c>
      <c r="U2726">
        <v>55</v>
      </c>
      <c r="V2726">
        <v>925</v>
      </c>
      <c r="W2726">
        <v>31</v>
      </c>
      <c r="X2726">
        <v>31</v>
      </c>
      <c r="Y2726">
        <v>1</v>
      </c>
      <c r="Z2726">
        <v>8</v>
      </c>
      <c r="AA2726">
        <v>27</v>
      </c>
      <c r="AB2726">
        <v>2</v>
      </c>
      <c r="AC2726">
        <v>3</v>
      </c>
      <c r="AD2726">
        <v>3.2400000100000002</v>
      </c>
      <c r="AE2726">
        <v>5</v>
      </c>
      <c r="AF2726">
        <v>38</v>
      </c>
      <c r="AG2726">
        <v>3.22300005</v>
      </c>
      <c r="AH2726">
        <v>4</v>
      </c>
      <c r="AI2726">
        <v>17</v>
      </c>
      <c r="AJ2726">
        <v>1</v>
      </c>
      <c r="AK2726">
        <v>20</v>
      </c>
      <c r="AL2726">
        <v>52</v>
      </c>
      <c r="AM2726" t="s">
        <v>43</v>
      </c>
      <c r="AN2726" t="str">
        <f>HYPERLINK("https://www.google.com/maps?q=10.7811842,79.17211914","Open Location")</f>
        <v>Open Location</v>
      </c>
    </row>
    <row r="2727" spans="1:40" x14ac:dyDescent="0.3">
      <c r="A2727" s="1">
        <v>46210.684027777781</v>
      </c>
      <c r="B2727" t="s">
        <v>40</v>
      </c>
      <c r="C2727" t="s">
        <v>41</v>
      </c>
      <c r="D2727" s="1">
        <v>46210.687557870369</v>
      </c>
      <c r="E2727" t="s">
        <v>42</v>
      </c>
      <c r="F2727" t="s">
        <v>83</v>
      </c>
      <c r="G2727">
        <v>23</v>
      </c>
      <c r="H2727">
        <v>33168</v>
      </c>
      <c r="I2727" t="s">
        <v>1469</v>
      </c>
      <c r="J2727">
        <v>62</v>
      </c>
      <c r="K2727">
        <v>255</v>
      </c>
      <c r="L2727">
        <v>98</v>
      </c>
      <c r="M2727">
        <v>618.5</v>
      </c>
      <c r="N2727" t="s">
        <v>87</v>
      </c>
      <c r="O2727" t="s">
        <v>86</v>
      </c>
      <c r="P2727">
        <v>129</v>
      </c>
      <c r="Q2727">
        <v>5</v>
      </c>
      <c r="R2727">
        <v>157</v>
      </c>
      <c r="S2727">
        <v>1753</v>
      </c>
      <c r="T2727">
        <v>-40</v>
      </c>
      <c r="U2727">
        <v>54</v>
      </c>
      <c r="V2727">
        <v>920</v>
      </c>
      <c r="W2727">
        <v>31</v>
      </c>
      <c r="X2727">
        <v>31</v>
      </c>
      <c r="Y2727">
        <v>1</v>
      </c>
      <c r="Z2727">
        <v>8</v>
      </c>
      <c r="AA2727">
        <v>27</v>
      </c>
      <c r="AB2727">
        <v>2</v>
      </c>
      <c r="AC2727">
        <v>3</v>
      </c>
      <c r="AD2727">
        <v>3.2339999700000002</v>
      </c>
      <c r="AE2727">
        <v>5</v>
      </c>
      <c r="AF2727">
        <v>38</v>
      </c>
      <c r="AG2727">
        <v>3.21399999</v>
      </c>
      <c r="AH2727">
        <v>4</v>
      </c>
      <c r="AI2727">
        <v>17</v>
      </c>
      <c r="AJ2727">
        <v>1</v>
      </c>
      <c r="AK2727">
        <v>19</v>
      </c>
      <c r="AL2727">
        <v>51</v>
      </c>
      <c r="AM2727" t="s">
        <v>43</v>
      </c>
      <c r="AN2727" t="str">
        <f>HYPERLINK("https://www.google.com/maps?q=10.78135109,79.17295074","Open Location")</f>
        <v>Open Location</v>
      </c>
    </row>
    <row r="2728" spans="1:40" x14ac:dyDescent="0.3">
      <c r="A2728" s="1">
        <v>46210.683912037035</v>
      </c>
      <c r="B2728" t="s">
        <v>40</v>
      </c>
      <c r="C2728" t="s">
        <v>41</v>
      </c>
      <c r="D2728" s="1">
        <v>46210.687025462961</v>
      </c>
      <c r="E2728" t="s">
        <v>42</v>
      </c>
      <c r="F2728" t="s">
        <v>83</v>
      </c>
      <c r="G2728">
        <v>14</v>
      </c>
      <c r="H2728">
        <v>33168</v>
      </c>
      <c r="I2728" t="s">
        <v>1470</v>
      </c>
      <c r="J2728">
        <v>62</v>
      </c>
      <c r="K2728">
        <v>216</v>
      </c>
      <c r="L2728">
        <v>98</v>
      </c>
      <c r="M2728">
        <v>620.59997558999999</v>
      </c>
      <c r="N2728" t="s">
        <v>87</v>
      </c>
      <c r="O2728" t="s">
        <v>86</v>
      </c>
      <c r="P2728">
        <v>128</v>
      </c>
      <c r="Q2728" t="s">
        <v>43</v>
      </c>
      <c r="R2728">
        <v>0</v>
      </c>
      <c r="S2728">
        <v>1558</v>
      </c>
      <c r="T2728">
        <v>-40</v>
      </c>
      <c r="U2728">
        <v>52</v>
      </c>
      <c r="V2728">
        <v>800</v>
      </c>
      <c r="W2728">
        <v>31</v>
      </c>
      <c r="X2728">
        <v>31</v>
      </c>
      <c r="Y2728">
        <v>1</v>
      </c>
      <c r="Z2728">
        <v>8</v>
      </c>
      <c r="AA2728">
        <v>27</v>
      </c>
      <c r="AB2728">
        <v>2</v>
      </c>
      <c r="AC2728">
        <v>3</v>
      </c>
      <c r="AD2728">
        <v>3.28600001</v>
      </c>
      <c r="AE2728">
        <v>8</v>
      </c>
      <c r="AF2728">
        <v>14</v>
      </c>
      <c r="AG2728">
        <v>3.2750001000000002</v>
      </c>
      <c r="AH2728">
        <v>4</v>
      </c>
      <c r="AI2728">
        <v>17</v>
      </c>
      <c r="AJ2728">
        <v>1</v>
      </c>
      <c r="AK2728">
        <v>19</v>
      </c>
      <c r="AL2728">
        <v>51</v>
      </c>
      <c r="AM2728" t="s">
        <v>43</v>
      </c>
      <c r="AN2728" t="str">
        <f>HYPERLINK("https://www.google.com/maps?q=10.78142929,79.17341614","Open Location")</f>
        <v>Open Location</v>
      </c>
    </row>
    <row r="2729" spans="1:40" x14ac:dyDescent="0.3">
      <c r="A2729" s="1">
        <v>46210.683796296296</v>
      </c>
      <c r="B2729" t="s">
        <v>40</v>
      </c>
      <c r="C2729" t="s">
        <v>41</v>
      </c>
      <c r="D2729" s="1">
        <v>46210.68712962963</v>
      </c>
      <c r="E2729" t="s">
        <v>42</v>
      </c>
      <c r="F2729" t="s">
        <v>83</v>
      </c>
      <c r="G2729">
        <v>4</v>
      </c>
      <c r="H2729">
        <v>33168</v>
      </c>
      <c r="I2729" t="s">
        <v>43</v>
      </c>
      <c r="J2729">
        <v>62</v>
      </c>
      <c r="K2729">
        <v>34</v>
      </c>
      <c r="L2729">
        <v>98</v>
      </c>
      <c r="M2729">
        <v>629.20001220999995</v>
      </c>
      <c r="N2729" t="s">
        <v>87</v>
      </c>
      <c r="O2729" t="s">
        <v>86</v>
      </c>
      <c r="P2729">
        <v>127</v>
      </c>
      <c r="Q2729">
        <v>3</v>
      </c>
      <c r="R2729">
        <v>20</v>
      </c>
      <c r="S2729">
        <v>775</v>
      </c>
      <c r="T2729">
        <v>-40</v>
      </c>
      <c r="U2729">
        <v>50</v>
      </c>
      <c r="V2729">
        <v>240</v>
      </c>
      <c r="W2729">
        <v>31</v>
      </c>
      <c r="X2729">
        <v>31</v>
      </c>
      <c r="Y2729">
        <v>1</v>
      </c>
      <c r="Z2729">
        <v>8</v>
      </c>
      <c r="AA2729">
        <v>27</v>
      </c>
      <c r="AB2729">
        <v>2</v>
      </c>
      <c r="AC2729">
        <v>3</v>
      </c>
      <c r="AD2729">
        <v>3.2809998999999999</v>
      </c>
      <c r="AE2729">
        <v>1</v>
      </c>
      <c r="AF2729">
        <v>36</v>
      </c>
      <c r="AG2729">
        <v>3.27399993</v>
      </c>
      <c r="AH2729">
        <v>4</v>
      </c>
      <c r="AI2729">
        <v>17</v>
      </c>
      <c r="AJ2729">
        <v>1</v>
      </c>
      <c r="AK2729">
        <v>19</v>
      </c>
      <c r="AL2729">
        <v>51</v>
      </c>
      <c r="AM2729" t="s">
        <v>43</v>
      </c>
      <c r="AN2729" t="s">
        <v>43</v>
      </c>
    </row>
    <row r="2730" spans="1:40" x14ac:dyDescent="0.3">
      <c r="A2730" s="1">
        <v>46210.683680555558</v>
      </c>
      <c r="B2730" t="s">
        <v>40</v>
      </c>
      <c r="C2730" t="s">
        <v>41</v>
      </c>
      <c r="D2730" s="1">
        <v>46210.687037037038</v>
      </c>
      <c r="E2730" t="s">
        <v>42</v>
      </c>
      <c r="F2730" t="s">
        <v>83</v>
      </c>
      <c r="G2730">
        <v>0</v>
      </c>
      <c r="H2730">
        <v>33168</v>
      </c>
      <c r="I2730" t="s">
        <v>1471</v>
      </c>
      <c r="J2730">
        <v>62</v>
      </c>
      <c r="K2730">
        <v>5</v>
      </c>
      <c r="L2730">
        <v>98</v>
      </c>
      <c r="M2730">
        <v>629.40002441000001</v>
      </c>
      <c r="N2730" t="s">
        <v>85</v>
      </c>
      <c r="O2730" t="s">
        <v>86</v>
      </c>
      <c r="P2730">
        <v>127</v>
      </c>
      <c r="Q2730">
        <v>2</v>
      </c>
      <c r="R2730">
        <v>1</v>
      </c>
      <c r="S2730">
        <v>107</v>
      </c>
      <c r="T2730">
        <v>-40</v>
      </c>
      <c r="U2730">
        <v>49</v>
      </c>
      <c r="V2730">
        <v>5</v>
      </c>
      <c r="W2730">
        <v>31</v>
      </c>
      <c r="X2730">
        <v>31</v>
      </c>
      <c r="Y2730">
        <v>1</v>
      </c>
      <c r="Z2730">
        <v>8</v>
      </c>
      <c r="AA2730">
        <v>27</v>
      </c>
      <c r="AB2730">
        <v>2</v>
      </c>
      <c r="AC2730">
        <v>3</v>
      </c>
      <c r="AD2730">
        <v>3.28600001</v>
      </c>
      <c r="AE2730">
        <v>1</v>
      </c>
      <c r="AF2730">
        <v>25</v>
      </c>
      <c r="AG2730">
        <v>3.2809998999999999</v>
      </c>
      <c r="AH2730">
        <v>4</v>
      </c>
      <c r="AI2730">
        <v>17</v>
      </c>
      <c r="AJ2730">
        <v>1</v>
      </c>
      <c r="AK2730">
        <v>19</v>
      </c>
      <c r="AL2730">
        <v>51</v>
      </c>
      <c r="AM2730" t="s">
        <v>43</v>
      </c>
      <c r="AN2730" t="str">
        <f>HYPERLINK("https://www.google.com/maps?q=10.78143883,79.17357635","Open Location")</f>
        <v>Open Location</v>
      </c>
    </row>
    <row r="2731" spans="1:40" x14ac:dyDescent="0.3">
      <c r="A2731" s="1">
        <v>46210.683564814812</v>
      </c>
      <c r="B2731" t="s">
        <v>40</v>
      </c>
      <c r="C2731" t="s">
        <v>41</v>
      </c>
      <c r="D2731" s="1">
        <v>46210.686886574076</v>
      </c>
      <c r="E2731" t="s">
        <v>42</v>
      </c>
      <c r="F2731" t="s">
        <v>83</v>
      </c>
      <c r="G2731">
        <v>11</v>
      </c>
      <c r="H2731">
        <v>33168</v>
      </c>
      <c r="I2731" t="s">
        <v>1472</v>
      </c>
      <c r="J2731">
        <v>62</v>
      </c>
      <c r="K2731">
        <v>-57</v>
      </c>
      <c r="L2731">
        <v>98</v>
      </c>
      <c r="M2731">
        <v>632.40002441000001</v>
      </c>
      <c r="N2731" t="s">
        <v>87</v>
      </c>
      <c r="O2731" t="s">
        <v>86</v>
      </c>
      <c r="P2731">
        <v>131</v>
      </c>
      <c r="Q2731">
        <v>2</v>
      </c>
      <c r="R2731">
        <v>-23</v>
      </c>
      <c r="S2731">
        <v>549</v>
      </c>
      <c r="T2731">
        <v>-40</v>
      </c>
      <c r="U2731">
        <v>53</v>
      </c>
      <c r="V2731">
        <v>-800</v>
      </c>
      <c r="W2731">
        <v>31</v>
      </c>
      <c r="X2731">
        <v>31</v>
      </c>
      <c r="Y2731">
        <v>1</v>
      </c>
      <c r="Z2731">
        <v>8</v>
      </c>
      <c r="AA2731">
        <v>27</v>
      </c>
      <c r="AB2731">
        <v>2</v>
      </c>
      <c r="AC2731">
        <v>3</v>
      </c>
      <c r="AD2731">
        <v>3.2899999599999998</v>
      </c>
      <c r="AE2731">
        <v>7</v>
      </c>
      <c r="AF2731">
        <v>3</v>
      </c>
      <c r="AG2731">
        <v>3.28299999</v>
      </c>
      <c r="AH2731">
        <v>8</v>
      </c>
      <c r="AI2731">
        <v>48</v>
      </c>
      <c r="AJ2731">
        <v>1</v>
      </c>
      <c r="AK2731">
        <v>20</v>
      </c>
      <c r="AL2731">
        <v>51</v>
      </c>
      <c r="AM2731" t="s">
        <v>43</v>
      </c>
      <c r="AN2731" t="str">
        <f>HYPERLINK("https://www.google.com/maps?q=10.78144264,79.17362213","Open Location")</f>
        <v>Open Location</v>
      </c>
    </row>
    <row r="2732" spans="1:40" x14ac:dyDescent="0.3">
      <c r="A2732" s="1">
        <v>46210.683449074073</v>
      </c>
      <c r="B2732" t="s">
        <v>40</v>
      </c>
      <c r="C2732" t="s">
        <v>41</v>
      </c>
      <c r="D2732" s="1">
        <v>46210.687037037038</v>
      </c>
      <c r="E2732" t="s">
        <v>42</v>
      </c>
      <c r="F2732" t="s">
        <v>83</v>
      </c>
      <c r="G2732">
        <v>39</v>
      </c>
      <c r="H2732">
        <v>33168</v>
      </c>
      <c r="I2732" t="s">
        <v>1473</v>
      </c>
      <c r="J2732">
        <v>62</v>
      </c>
      <c r="K2732">
        <v>-44</v>
      </c>
      <c r="L2732">
        <v>98</v>
      </c>
      <c r="M2732">
        <v>630.40002441000001</v>
      </c>
      <c r="N2732" t="s">
        <v>87</v>
      </c>
      <c r="O2732" t="s">
        <v>86</v>
      </c>
      <c r="P2732">
        <v>131</v>
      </c>
      <c r="Q2732">
        <v>4</v>
      </c>
      <c r="R2732">
        <v>-34</v>
      </c>
      <c r="S2732">
        <v>1098</v>
      </c>
      <c r="T2732">
        <v>-40</v>
      </c>
      <c r="U2732">
        <v>51</v>
      </c>
      <c r="V2732">
        <v>-300</v>
      </c>
      <c r="W2732">
        <v>31</v>
      </c>
      <c r="X2732">
        <v>31</v>
      </c>
      <c r="Y2732">
        <v>1</v>
      </c>
      <c r="Z2732">
        <v>8</v>
      </c>
      <c r="AA2732">
        <v>27</v>
      </c>
      <c r="AB2732">
        <v>2</v>
      </c>
      <c r="AC2732">
        <v>3</v>
      </c>
      <c r="AD2732">
        <v>3.2899999599999998</v>
      </c>
      <c r="AE2732">
        <v>1</v>
      </c>
      <c r="AF2732">
        <v>25</v>
      </c>
      <c r="AG2732">
        <v>3.28500009</v>
      </c>
      <c r="AH2732">
        <v>5</v>
      </c>
      <c r="AI2732">
        <v>27</v>
      </c>
      <c r="AJ2732">
        <v>1</v>
      </c>
      <c r="AK2732">
        <v>19</v>
      </c>
      <c r="AL2732">
        <v>51</v>
      </c>
      <c r="AM2732" t="s">
        <v>43</v>
      </c>
      <c r="AN2732" t="str">
        <f>HYPERLINK("https://www.google.com/maps?q=10.78157425,79.17436218","Open Location")</f>
        <v>Open Location</v>
      </c>
    </row>
    <row r="2733" spans="1:40" x14ac:dyDescent="0.3">
      <c r="A2733" s="1">
        <v>46210.683333333334</v>
      </c>
      <c r="B2733" t="s">
        <v>40</v>
      </c>
      <c r="C2733" t="s">
        <v>41</v>
      </c>
      <c r="D2733" s="1">
        <v>46210.686805555553</v>
      </c>
      <c r="E2733" t="s">
        <v>42</v>
      </c>
      <c r="F2733" t="s">
        <v>83</v>
      </c>
      <c r="G2733">
        <v>41</v>
      </c>
      <c r="H2733">
        <v>33168</v>
      </c>
      <c r="I2733" t="s">
        <v>1474</v>
      </c>
      <c r="J2733">
        <v>62</v>
      </c>
      <c r="K2733">
        <v>69</v>
      </c>
      <c r="L2733">
        <v>98</v>
      </c>
      <c r="M2733">
        <v>625.40002441000001</v>
      </c>
      <c r="N2733" t="s">
        <v>87</v>
      </c>
      <c r="O2733" t="s">
        <v>86</v>
      </c>
      <c r="P2733">
        <v>131</v>
      </c>
      <c r="Q2733">
        <v>6</v>
      </c>
      <c r="R2733">
        <v>38</v>
      </c>
      <c r="S2733">
        <v>1141</v>
      </c>
      <c r="T2733">
        <v>-40</v>
      </c>
      <c r="U2733">
        <v>51</v>
      </c>
      <c r="V2733">
        <v>320</v>
      </c>
      <c r="W2733">
        <v>31</v>
      </c>
      <c r="X2733">
        <v>31</v>
      </c>
      <c r="Y2733">
        <v>1</v>
      </c>
      <c r="Z2733">
        <v>8</v>
      </c>
      <c r="AA2733">
        <v>27</v>
      </c>
      <c r="AB2733">
        <v>2</v>
      </c>
      <c r="AC2733">
        <v>3</v>
      </c>
      <c r="AD2733">
        <v>3.26799989</v>
      </c>
      <c r="AE2733">
        <v>5</v>
      </c>
      <c r="AF2733">
        <v>38</v>
      </c>
      <c r="AG2733">
        <v>3.25900006</v>
      </c>
      <c r="AH2733">
        <v>4</v>
      </c>
      <c r="AI2733">
        <v>17</v>
      </c>
      <c r="AJ2733">
        <v>1</v>
      </c>
      <c r="AK2733">
        <v>18</v>
      </c>
      <c r="AL2733">
        <v>51</v>
      </c>
      <c r="AM2733" t="s">
        <v>43</v>
      </c>
      <c r="AN2733" t="str">
        <f>HYPERLINK("https://www.google.com/maps?q=10.78177643,79.17559814","Open Location")</f>
        <v>Open Location</v>
      </c>
    </row>
    <row r="2734" spans="1:40" x14ac:dyDescent="0.3">
      <c r="A2734" s="1">
        <v>46210.683217592596</v>
      </c>
      <c r="B2734" t="s">
        <v>40</v>
      </c>
      <c r="C2734" t="s">
        <v>41</v>
      </c>
      <c r="D2734" s="1">
        <v>46210.686354166668</v>
      </c>
      <c r="E2734" t="s">
        <v>42</v>
      </c>
      <c r="F2734" t="s">
        <v>83</v>
      </c>
      <c r="G2734">
        <v>42</v>
      </c>
      <c r="H2734">
        <v>33168</v>
      </c>
      <c r="I2734" t="s">
        <v>1475</v>
      </c>
      <c r="J2734">
        <v>62</v>
      </c>
      <c r="K2734">
        <v>95</v>
      </c>
      <c r="L2734">
        <v>98</v>
      </c>
      <c r="M2734">
        <v>624.59997558999999</v>
      </c>
      <c r="N2734" t="s">
        <v>87</v>
      </c>
      <c r="O2734" t="s">
        <v>86</v>
      </c>
      <c r="P2734">
        <v>131</v>
      </c>
      <c r="Q2734" t="s">
        <v>43</v>
      </c>
      <c r="R2734">
        <v>43</v>
      </c>
      <c r="S2734">
        <v>1166</v>
      </c>
      <c r="T2734">
        <v>-40</v>
      </c>
      <c r="U2734">
        <v>52</v>
      </c>
      <c r="V2734">
        <v>440</v>
      </c>
      <c r="W2734">
        <v>31</v>
      </c>
      <c r="X2734">
        <v>31</v>
      </c>
      <c r="Y2734">
        <v>1</v>
      </c>
      <c r="Z2734">
        <v>8</v>
      </c>
      <c r="AA2734">
        <v>27</v>
      </c>
      <c r="AB2734">
        <v>2</v>
      </c>
      <c r="AC2734">
        <v>3</v>
      </c>
      <c r="AD2734">
        <v>3.2650001</v>
      </c>
      <c r="AE2734">
        <v>5</v>
      </c>
      <c r="AF2734">
        <v>38</v>
      </c>
      <c r="AG2734">
        <v>3.2550001100000001</v>
      </c>
      <c r="AH2734">
        <v>4</v>
      </c>
      <c r="AI2734">
        <v>17</v>
      </c>
      <c r="AJ2734">
        <v>1</v>
      </c>
      <c r="AK2734">
        <v>19</v>
      </c>
      <c r="AL2734">
        <v>51</v>
      </c>
      <c r="AM2734" t="s">
        <v>43</v>
      </c>
      <c r="AN2734" t="str">
        <f>HYPERLINK("https://www.google.com/maps?q=10.78200054,79.17686462","Open Location")</f>
        <v>Open Location</v>
      </c>
    </row>
    <row r="2735" spans="1:40" x14ac:dyDescent="0.3">
      <c r="A2735" s="1">
        <v>46210.68310185185</v>
      </c>
      <c r="B2735" t="s">
        <v>40</v>
      </c>
      <c r="C2735" t="s">
        <v>41</v>
      </c>
      <c r="D2735" s="1">
        <v>46210.686284722222</v>
      </c>
      <c r="E2735" t="s">
        <v>43</v>
      </c>
      <c r="F2735" t="s">
        <v>83</v>
      </c>
      <c r="G2735">
        <v>42</v>
      </c>
      <c r="H2735">
        <v>33167</v>
      </c>
      <c r="I2735" t="s">
        <v>1476</v>
      </c>
      <c r="J2735">
        <v>62</v>
      </c>
      <c r="K2735">
        <v>113</v>
      </c>
      <c r="L2735">
        <v>98</v>
      </c>
      <c r="M2735">
        <v>623.90002441000001</v>
      </c>
      <c r="N2735" t="s">
        <v>87</v>
      </c>
      <c r="O2735" t="s">
        <v>86</v>
      </c>
      <c r="P2735">
        <v>131</v>
      </c>
      <c r="Q2735">
        <v>6</v>
      </c>
      <c r="R2735">
        <v>48</v>
      </c>
      <c r="S2735">
        <v>1148</v>
      </c>
      <c r="T2735">
        <v>-40</v>
      </c>
      <c r="U2735">
        <v>52</v>
      </c>
      <c r="V2735">
        <v>540</v>
      </c>
      <c r="W2735">
        <v>31</v>
      </c>
      <c r="X2735">
        <v>31</v>
      </c>
      <c r="Y2735">
        <v>1</v>
      </c>
      <c r="Z2735">
        <v>8</v>
      </c>
      <c r="AA2735">
        <v>27</v>
      </c>
      <c r="AB2735">
        <v>2</v>
      </c>
      <c r="AC2735">
        <v>3</v>
      </c>
      <c r="AD2735">
        <v>3.2630000099999998</v>
      </c>
      <c r="AE2735">
        <v>5</v>
      </c>
      <c r="AF2735">
        <v>38</v>
      </c>
      <c r="AG2735">
        <v>3.25300002</v>
      </c>
      <c r="AH2735">
        <v>4</v>
      </c>
      <c r="AI2735">
        <v>17</v>
      </c>
      <c r="AJ2735">
        <v>1</v>
      </c>
      <c r="AK2735">
        <v>19</v>
      </c>
      <c r="AL2735">
        <v>51</v>
      </c>
      <c r="AM2735" t="s">
        <v>43</v>
      </c>
      <c r="AN2735" t="str">
        <f>HYPERLINK("https://www.google.com/maps?q=10.78230953,79.17863464","Open Location")</f>
        <v>Open Location</v>
      </c>
    </row>
    <row r="2736" spans="1:40" x14ac:dyDescent="0.3">
      <c r="A2736" s="1">
        <v>46210.682986111111</v>
      </c>
      <c r="B2736" t="s">
        <v>40</v>
      </c>
      <c r="C2736" t="s">
        <v>41</v>
      </c>
      <c r="D2736" s="1">
        <v>46210.685925925929</v>
      </c>
      <c r="E2736" t="s">
        <v>42</v>
      </c>
      <c r="F2736" t="s">
        <v>83</v>
      </c>
      <c r="G2736">
        <v>41</v>
      </c>
      <c r="H2736">
        <v>33167</v>
      </c>
      <c r="I2736" t="s">
        <v>43</v>
      </c>
      <c r="J2736">
        <v>62</v>
      </c>
      <c r="K2736">
        <v>103</v>
      </c>
      <c r="L2736">
        <v>98</v>
      </c>
      <c r="M2736">
        <v>623.79998779000005</v>
      </c>
      <c r="N2736" t="s">
        <v>87</v>
      </c>
      <c r="O2736" t="s">
        <v>86</v>
      </c>
      <c r="P2736">
        <v>131</v>
      </c>
      <c r="Q2736">
        <v>6</v>
      </c>
      <c r="R2736">
        <v>45</v>
      </c>
      <c r="S2736">
        <v>1139</v>
      </c>
      <c r="T2736">
        <v>-40</v>
      </c>
      <c r="U2736">
        <v>52</v>
      </c>
      <c r="V2736">
        <v>460</v>
      </c>
      <c r="W2736">
        <v>31</v>
      </c>
      <c r="X2736">
        <v>31</v>
      </c>
      <c r="Y2736">
        <v>1</v>
      </c>
      <c r="Z2736">
        <v>8</v>
      </c>
      <c r="AA2736">
        <v>27</v>
      </c>
      <c r="AB2736">
        <v>2</v>
      </c>
      <c r="AC2736">
        <v>3</v>
      </c>
      <c r="AD2736">
        <v>3.2639999400000002</v>
      </c>
      <c r="AE2736">
        <v>5</v>
      </c>
      <c r="AF2736">
        <v>38</v>
      </c>
      <c r="AG2736">
        <v>3.2520000900000001</v>
      </c>
      <c r="AH2736">
        <v>4</v>
      </c>
      <c r="AI2736">
        <v>17</v>
      </c>
      <c r="AJ2736">
        <v>1</v>
      </c>
      <c r="AK2736">
        <v>19</v>
      </c>
      <c r="AL2736">
        <v>51</v>
      </c>
      <c r="AM2736" t="s">
        <v>43</v>
      </c>
      <c r="AN2736" t="s">
        <v>43</v>
      </c>
    </row>
    <row r="2737" spans="1:40" x14ac:dyDescent="0.3">
      <c r="A2737" s="1">
        <v>46210.682870370372</v>
      </c>
      <c r="B2737" t="s">
        <v>40</v>
      </c>
      <c r="C2737" t="s">
        <v>41</v>
      </c>
      <c r="D2737" s="1">
        <v>46210.686041666668</v>
      </c>
      <c r="E2737" t="s">
        <v>42</v>
      </c>
      <c r="F2737" t="s">
        <v>83</v>
      </c>
      <c r="G2737">
        <v>41</v>
      </c>
      <c r="H2737">
        <v>33167</v>
      </c>
      <c r="I2737" t="s">
        <v>1477</v>
      </c>
      <c r="J2737">
        <v>62</v>
      </c>
      <c r="K2737">
        <v>134</v>
      </c>
      <c r="L2737">
        <v>98</v>
      </c>
      <c r="M2737">
        <v>622.70001220999995</v>
      </c>
      <c r="N2737" t="s">
        <v>87</v>
      </c>
      <c r="O2737" t="s">
        <v>86</v>
      </c>
      <c r="P2737">
        <v>131</v>
      </c>
      <c r="Q2737">
        <v>6</v>
      </c>
      <c r="R2737">
        <v>64</v>
      </c>
      <c r="S2737">
        <v>1156</v>
      </c>
      <c r="T2737">
        <v>-40</v>
      </c>
      <c r="U2737">
        <v>53</v>
      </c>
      <c r="V2737">
        <v>600</v>
      </c>
      <c r="W2737">
        <v>31</v>
      </c>
      <c r="X2737">
        <v>31</v>
      </c>
      <c r="Y2737">
        <v>1</v>
      </c>
      <c r="Z2737">
        <v>8</v>
      </c>
      <c r="AA2737">
        <v>27</v>
      </c>
      <c r="AB2737">
        <v>2</v>
      </c>
      <c r="AC2737">
        <v>3</v>
      </c>
      <c r="AD2737">
        <v>3.2569999699999999</v>
      </c>
      <c r="AE2737">
        <v>5</v>
      </c>
      <c r="AF2737">
        <v>38</v>
      </c>
      <c r="AG2737">
        <v>3.2430000300000001</v>
      </c>
      <c r="AH2737">
        <v>4</v>
      </c>
      <c r="AI2737">
        <v>17</v>
      </c>
      <c r="AJ2737">
        <v>1</v>
      </c>
      <c r="AK2737">
        <v>19</v>
      </c>
      <c r="AL2737">
        <v>51</v>
      </c>
      <c r="AM2737" t="s">
        <v>43</v>
      </c>
      <c r="AN2737" t="str">
        <f>HYPERLINK("https://www.google.com/maps?q=10.78250313,79.17987061","Open Location")</f>
        <v>Open Location</v>
      </c>
    </row>
    <row r="2738" spans="1:40" x14ac:dyDescent="0.3">
      <c r="A2738" s="1">
        <v>46210.682754629626</v>
      </c>
      <c r="B2738" t="s">
        <v>40</v>
      </c>
      <c r="C2738" t="s">
        <v>41</v>
      </c>
      <c r="D2738" s="1">
        <v>46210.686053240737</v>
      </c>
      <c r="E2738" t="s">
        <v>42</v>
      </c>
      <c r="F2738" t="s">
        <v>83</v>
      </c>
      <c r="G2738">
        <v>41</v>
      </c>
      <c r="H2738">
        <v>33167</v>
      </c>
      <c r="I2738" t="s">
        <v>1478</v>
      </c>
      <c r="J2738">
        <v>62</v>
      </c>
      <c r="K2738">
        <v>13</v>
      </c>
      <c r="L2738">
        <v>98</v>
      </c>
      <c r="M2738">
        <v>629</v>
      </c>
      <c r="N2738" t="s">
        <v>87</v>
      </c>
      <c r="O2738" t="s">
        <v>86</v>
      </c>
      <c r="P2738">
        <v>131</v>
      </c>
      <c r="Q2738">
        <v>6</v>
      </c>
      <c r="R2738">
        <v>72</v>
      </c>
      <c r="S2738">
        <v>1152</v>
      </c>
      <c r="T2738">
        <v>-40</v>
      </c>
      <c r="U2738">
        <v>52</v>
      </c>
      <c r="V2738">
        <v>76</v>
      </c>
      <c r="W2738">
        <v>31</v>
      </c>
      <c r="X2738">
        <v>31</v>
      </c>
      <c r="Y2738">
        <v>1</v>
      </c>
      <c r="Z2738">
        <v>8</v>
      </c>
      <c r="AA2738">
        <v>27</v>
      </c>
      <c r="AB2738">
        <v>2</v>
      </c>
      <c r="AC2738">
        <v>3</v>
      </c>
      <c r="AD2738">
        <v>3.2579999000000002</v>
      </c>
      <c r="AE2738">
        <v>5</v>
      </c>
      <c r="AF2738">
        <v>38</v>
      </c>
      <c r="AG2738">
        <v>3.24399996</v>
      </c>
      <c r="AH2738">
        <v>4</v>
      </c>
      <c r="AI2738">
        <v>17</v>
      </c>
      <c r="AJ2738">
        <v>1</v>
      </c>
      <c r="AK2738">
        <v>19</v>
      </c>
      <c r="AL2738">
        <v>51</v>
      </c>
      <c r="AM2738" t="s">
        <v>43</v>
      </c>
      <c r="AN2738" t="str">
        <f>HYPERLINK("https://www.google.com/maps?q=10.78271008,79.1811142","Open Location")</f>
        <v>Open Location</v>
      </c>
    </row>
    <row r="2739" spans="1:40" x14ac:dyDescent="0.3">
      <c r="A2739" s="1">
        <v>46210.682638888888</v>
      </c>
      <c r="B2739" t="s">
        <v>40</v>
      </c>
      <c r="C2739" t="s">
        <v>41</v>
      </c>
      <c r="D2739" s="1">
        <v>46210.685960648145</v>
      </c>
      <c r="E2739" t="s">
        <v>42</v>
      </c>
      <c r="F2739" t="s">
        <v>83</v>
      </c>
      <c r="G2739">
        <v>41</v>
      </c>
      <c r="H2739">
        <v>33167</v>
      </c>
      <c r="I2739" t="s">
        <v>1479</v>
      </c>
      <c r="J2739">
        <v>62</v>
      </c>
      <c r="K2739">
        <v>106</v>
      </c>
      <c r="L2739">
        <v>98</v>
      </c>
      <c r="M2739">
        <v>623.79998779000005</v>
      </c>
      <c r="N2739" t="s">
        <v>87</v>
      </c>
      <c r="O2739" t="s">
        <v>86</v>
      </c>
      <c r="P2739">
        <v>131</v>
      </c>
      <c r="Q2739">
        <v>6</v>
      </c>
      <c r="R2739">
        <v>48</v>
      </c>
      <c r="S2739">
        <v>1157</v>
      </c>
      <c r="T2739">
        <v>-40</v>
      </c>
      <c r="U2739">
        <v>53</v>
      </c>
      <c r="V2739">
        <v>500</v>
      </c>
      <c r="W2739">
        <v>31</v>
      </c>
      <c r="X2739">
        <v>31</v>
      </c>
      <c r="Y2739">
        <v>1</v>
      </c>
      <c r="Z2739">
        <v>8</v>
      </c>
      <c r="AA2739">
        <v>27</v>
      </c>
      <c r="AB2739">
        <v>2</v>
      </c>
      <c r="AC2739">
        <v>3</v>
      </c>
      <c r="AD2739">
        <v>3.2609999200000002</v>
      </c>
      <c r="AE2739">
        <v>1</v>
      </c>
      <c r="AF2739">
        <v>42</v>
      </c>
      <c r="AG2739">
        <v>3.25</v>
      </c>
      <c r="AH2739">
        <v>4</v>
      </c>
      <c r="AI2739">
        <v>17</v>
      </c>
      <c r="AJ2739">
        <v>1</v>
      </c>
      <c r="AK2739">
        <v>19</v>
      </c>
      <c r="AL2739">
        <v>51</v>
      </c>
      <c r="AM2739" t="s">
        <v>43</v>
      </c>
      <c r="AN2739" t="str">
        <f>HYPERLINK("https://www.google.com/maps?q=10.78288841,79.18238068","Open Location")</f>
        <v>Open Location</v>
      </c>
    </row>
    <row r="2740" spans="1:40" x14ac:dyDescent="0.3">
      <c r="A2740" s="1">
        <v>46210.682523148149</v>
      </c>
      <c r="B2740" t="s">
        <v>40</v>
      </c>
      <c r="C2740" t="s">
        <v>41</v>
      </c>
      <c r="D2740" s="1">
        <v>46210.685856481483</v>
      </c>
      <c r="E2740" t="s">
        <v>42</v>
      </c>
      <c r="F2740" t="s">
        <v>83</v>
      </c>
      <c r="G2740">
        <v>42</v>
      </c>
      <c r="H2740" t="s">
        <v>43</v>
      </c>
      <c r="I2740" t="s">
        <v>1480</v>
      </c>
      <c r="J2740">
        <v>62</v>
      </c>
      <c r="K2740">
        <v>94</v>
      </c>
      <c r="L2740">
        <v>98</v>
      </c>
      <c r="M2740">
        <v>623.40002441000001</v>
      </c>
      <c r="N2740" t="s">
        <v>87</v>
      </c>
      <c r="O2740" t="s">
        <v>86</v>
      </c>
      <c r="P2740">
        <v>131</v>
      </c>
      <c r="Q2740">
        <v>6</v>
      </c>
      <c r="R2740">
        <v>63</v>
      </c>
      <c r="S2740">
        <v>1176</v>
      </c>
      <c r="T2740">
        <v>-40</v>
      </c>
      <c r="U2740">
        <v>53</v>
      </c>
      <c r="V2740">
        <v>420</v>
      </c>
      <c r="W2740">
        <v>31</v>
      </c>
      <c r="X2740">
        <v>31</v>
      </c>
      <c r="Y2740">
        <v>1</v>
      </c>
      <c r="Z2740">
        <v>8</v>
      </c>
      <c r="AA2740">
        <v>27</v>
      </c>
      <c r="AB2740">
        <v>2</v>
      </c>
      <c r="AC2740">
        <v>3</v>
      </c>
      <c r="AD2740">
        <v>3.25900006</v>
      </c>
      <c r="AE2740">
        <v>5</v>
      </c>
      <c r="AF2740">
        <v>38</v>
      </c>
      <c r="AG2740">
        <v>3.24699998</v>
      </c>
      <c r="AH2740">
        <v>4</v>
      </c>
      <c r="AI2740">
        <v>17</v>
      </c>
      <c r="AJ2740">
        <v>1</v>
      </c>
      <c r="AK2740">
        <v>18</v>
      </c>
      <c r="AL2740">
        <v>51</v>
      </c>
      <c r="AM2740" t="s">
        <v>43</v>
      </c>
      <c r="AN2740" t="str">
        <f>HYPERLINK("https://www.google.com/maps?q=10.78310299,79.18366241","Open Location")</f>
        <v>Open Location</v>
      </c>
    </row>
    <row r="2741" spans="1:40" x14ac:dyDescent="0.3">
      <c r="A2741" s="1">
        <v>46210.68240740741</v>
      </c>
      <c r="B2741" t="s">
        <v>40</v>
      </c>
      <c r="C2741" t="s">
        <v>41</v>
      </c>
      <c r="D2741" s="1">
        <v>46210.685868055552</v>
      </c>
      <c r="E2741" t="s">
        <v>42</v>
      </c>
      <c r="F2741" t="s">
        <v>83</v>
      </c>
      <c r="G2741">
        <v>42</v>
      </c>
      <c r="H2741">
        <v>33167</v>
      </c>
      <c r="I2741" t="s">
        <v>43</v>
      </c>
      <c r="J2741">
        <v>63</v>
      </c>
      <c r="K2741">
        <v>110</v>
      </c>
      <c r="L2741">
        <v>98</v>
      </c>
      <c r="M2741">
        <v>623.09997558999999</v>
      </c>
      <c r="N2741" t="s">
        <v>87</v>
      </c>
      <c r="O2741" t="s">
        <v>86</v>
      </c>
      <c r="P2741">
        <v>131</v>
      </c>
      <c r="Q2741">
        <v>6</v>
      </c>
      <c r="R2741">
        <v>64</v>
      </c>
      <c r="S2741">
        <v>1153</v>
      </c>
      <c r="T2741">
        <v>-40</v>
      </c>
      <c r="U2741">
        <v>54</v>
      </c>
      <c r="V2741">
        <v>520</v>
      </c>
      <c r="W2741">
        <v>31</v>
      </c>
      <c r="X2741">
        <v>31</v>
      </c>
      <c r="Y2741">
        <v>1</v>
      </c>
      <c r="Z2741">
        <v>8</v>
      </c>
      <c r="AA2741">
        <v>27</v>
      </c>
      <c r="AB2741">
        <v>2</v>
      </c>
      <c r="AC2741">
        <v>3</v>
      </c>
      <c r="AD2741">
        <v>3.2520000900000001</v>
      </c>
      <c r="AE2741">
        <v>1</v>
      </c>
      <c r="AF2741">
        <v>42</v>
      </c>
      <c r="AG2741">
        <v>3.2390000799999998</v>
      </c>
      <c r="AH2741">
        <v>4</v>
      </c>
      <c r="AI2741">
        <v>17</v>
      </c>
      <c r="AJ2741">
        <v>1</v>
      </c>
      <c r="AK2741">
        <v>19</v>
      </c>
      <c r="AL2741">
        <v>51</v>
      </c>
      <c r="AM2741" t="s">
        <v>43</v>
      </c>
      <c r="AN2741" t="s">
        <v>43</v>
      </c>
    </row>
    <row r="2742" spans="1:40" x14ac:dyDescent="0.3">
      <c r="A2742" s="1">
        <v>46210.682291666664</v>
      </c>
      <c r="B2742" t="s">
        <v>40</v>
      </c>
      <c r="C2742" t="s">
        <v>41</v>
      </c>
      <c r="D2742" s="1">
        <v>46210.68545138889</v>
      </c>
      <c r="E2742" t="s">
        <v>42</v>
      </c>
      <c r="F2742" t="s">
        <v>83</v>
      </c>
      <c r="G2742">
        <v>41</v>
      </c>
      <c r="H2742">
        <v>33166</v>
      </c>
      <c r="I2742" t="s">
        <v>1481</v>
      </c>
      <c r="J2742">
        <v>63</v>
      </c>
      <c r="K2742">
        <v>143</v>
      </c>
      <c r="L2742">
        <v>98</v>
      </c>
      <c r="M2742">
        <v>621.20001220999995</v>
      </c>
      <c r="N2742" t="s">
        <v>87</v>
      </c>
      <c r="O2742" t="s">
        <v>86</v>
      </c>
      <c r="P2742">
        <v>131</v>
      </c>
      <c r="Q2742">
        <v>6</v>
      </c>
      <c r="R2742">
        <v>70</v>
      </c>
      <c r="S2742">
        <v>1112</v>
      </c>
      <c r="T2742">
        <v>-40</v>
      </c>
      <c r="U2742">
        <v>55</v>
      </c>
      <c r="V2742">
        <v>700</v>
      </c>
      <c r="W2742">
        <v>31</v>
      </c>
      <c r="X2742">
        <v>31</v>
      </c>
      <c r="Y2742">
        <v>1</v>
      </c>
      <c r="Z2742">
        <v>8</v>
      </c>
      <c r="AA2742">
        <v>27</v>
      </c>
      <c r="AB2742">
        <v>2</v>
      </c>
      <c r="AC2742">
        <v>3</v>
      </c>
      <c r="AD2742">
        <v>3.2479999099999999</v>
      </c>
      <c r="AE2742">
        <v>1</v>
      </c>
      <c r="AF2742">
        <v>42</v>
      </c>
      <c r="AG2742">
        <v>3.2339999700000002</v>
      </c>
      <c r="AH2742">
        <v>4</v>
      </c>
      <c r="AI2742">
        <v>17</v>
      </c>
      <c r="AJ2742">
        <v>1</v>
      </c>
      <c r="AK2742">
        <v>19</v>
      </c>
      <c r="AL2742">
        <v>51</v>
      </c>
      <c r="AM2742" t="s">
        <v>43</v>
      </c>
      <c r="AN2742" t="str">
        <f>HYPERLINK("https://www.google.com/maps?q=10.7833519,79.18503571","Open Location")</f>
        <v>Open Location</v>
      </c>
    </row>
    <row r="2743" spans="1:40" x14ac:dyDescent="0.3">
      <c r="A2743" s="1">
        <v>46210.682175925926</v>
      </c>
      <c r="B2743" t="s">
        <v>40</v>
      </c>
      <c r="C2743" t="s">
        <v>41</v>
      </c>
      <c r="D2743" s="1">
        <v>46210.68513888889</v>
      </c>
      <c r="E2743" t="s">
        <v>42</v>
      </c>
      <c r="F2743" t="s">
        <v>83</v>
      </c>
      <c r="G2743">
        <v>40</v>
      </c>
      <c r="H2743" t="s">
        <v>43</v>
      </c>
      <c r="I2743" t="s">
        <v>1482</v>
      </c>
      <c r="J2743">
        <v>63</v>
      </c>
      <c r="K2743">
        <v>261</v>
      </c>
      <c r="L2743">
        <v>98</v>
      </c>
      <c r="M2743">
        <v>617.20001220999995</v>
      </c>
      <c r="N2743" t="s">
        <v>87</v>
      </c>
      <c r="O2743" t="s">
        <v>86</v>
      </c>
      <c r="P2743">
        <v>131</v>
      </c>
      <c r="Q2743">
        <v>6</v>
      </c>
      <c r="R2743">
        <v>79</v>
      </c>
      <c r="S2743">
        <v>1795</v>
      </c>
      <c r="T2743">
        <v>-40</v>
      </c>
      <c r="U2743">
        <v>54</v>
      </c>
      <c r="V2743">
        <v>835</v>
      </c>
      <c r="W2743">
        <v>31</v>
      </c>
      <c r="X2743">
        <v>31</v>
      </c>
      <c r="Y2743">
        <v>1</v>
      </c>
      <c r="Z2743">
        <v>8</v>
      </c>
      <c r="AA2743">
        <v>27</v>
      </c>
      <c r="AB2743">
        <v>2</v>
      </c>
      <c r="AC2743">
        <v>3</v>
      </c>
      <c r="AD2743">
        <v>3.26799989</v>
      </c>
      <c r="AE2743">
        <v>1</v>
      </c>
      <c r="AF2743">
        <v>36</v>
      </c>
      <c r="AG2743">
        <v>3.2599999899999998</v>
      </c>
      <c r="AH2743">
        <v>4</v>
      </c>
      <c r="AI2743">
        <v>17</v>
      </c>
      <c r="AJ2743">
        <v>1</v>
      </c>
      <c r="AK2743">
        <v>19</v>
      </c>
      <c r="AL2743">
        <v>51</v>
      </c>
      <c r="AM2743" t="s">
        <v>43</v>
      </c>
      <c r="AN2743" t="str">
        <f>HYPERLINK("https://www.google.com/maps?q=10.7835722,79.18623352","Open Location")</f>
        <v>Open Location</v>
      </c>
    </row>
    <row r="2744" spans="1:40" x14ac:dyDescent="0.3">
      <c r="A2744" s="1">
        <v>46210.682060185187</v>
      </c>
      <c r="B2744" t="s">
        <v>40</v>
      </c>
      <c r="C2744" t="s">
        <v>41</v>
      </c>
      <c r="D2744" s="1">
        <v>46210.685173611113</v>
      </c>
      <c r="E2744" t="s">
        <v>42</v>
      </c>
      <c r="F2744" t="s">
        <v>83</v>
      </c>
      <c r="G2744">
        <v>39</v>
      </c>
      <c r="H2744">
        <v>33166</v>
      </c>
      <c r="I2744" t="s">
        <v>1483</v>
      </c>
      <c r="J2744">
        <v>63</v>
      </c>
      <c r="K2744">
        <v>231</v>
      </c>
      <c r="L2744">
        <v>98</v>
      </c>
      <c r="M2744">
        <v>618.09997558999999</v>
      </c>
      <c r="N2744" t="s">
        <v>87</v>
      </c>
      <c r="O2744" t="s">
        <v>86</v>
      </c>
      <c r="P2744">
        <v>130</v>
      </c>
      <c r="Q2744">
        <v>5</v>
      </c>
      <c r="R2744">
        <v>135</v>
      </c>
      <c r="S2744">
        <v>1650</v>
      </c>
      <c r="T2744">
        <v>-40</v>
      </c>
      <c r="U2744">
        <v>55</v>
      </c>
      <c r="V2744">
        <v>800</v>
      </c>
      <c r="W2744">
        <v>31</v>
      </c>
      <c r="X2744">
        <v>31</v>
      </c>
      <c r="Y2744">
        <v>1</v>
      </c>
      <c r="Z2744">
        <v>8</v>
      </c>
      <c r="AA2744">
        <v>27</v>
      </c>
      <c r="AB2744">
        <v>2</v>
      </c>
      <c r="AC2744">
        <v>3</v>
      </c>
      <c r="AD2744">
        <v>3.2309999500000002</v>
      </c>
      <c r="AE2744">
        <v>1</v>
      </c>
      <c r="AF2744">
        <v>40</v>
      </c>
      <c r="AG2744">
        <v>3.21099997</v>
      </c>
      <c r="AH2744">
        <v>8</v>
      </c>
      <c r="AI2744">
        <v>35</v>
      </c>
      <c r="AJ2744">
        <v>1</v>
      </c>
      <c r="AK2744">
        <v>19</v>
      </c>
      <c r="AL2744">
        <v>51</v>
      </c>
      <c r="AM2744" t="s">
        <v>43</v>
      </c>
      <c r="AN2744" t="str">
        <f>HYPERLINK("https://www.google.com/maps?q=10.78376675,79.18740082","Open Location")</f>
        <v>Open Location</v>
      </c>
    </row>
    <row r="2745" spans="1:40" x14ac:dyDescent="0.3">
      <c r="A2745" s="1">
        <v>46210.681944444441</v>
      </c>
      <c r="B2745" t="s">
        <v>40</v>
      </c>
      <c r="C2745" t="s">
        <v>41</v>
      </c>
      <c r="D2745" s="1">
        <v>46210.684745370374</v>
      </c>
      <c r="E2745" t="s">
        <v>42</v>
      </c>
      <c r="F2745" t="s">
        <v>83</v>
      </c>
      <c r="G2745">
        <v>35</v>
      </c>
      <c r="H2745">
        <v>33166</v>
      </c>
      <c r="I2745" t="s">
        <v>1484</v>
      </c>
      <c r="J2745">
        <v>63</v>
      </c>
      <c r="K2745">
        <v>246</v>
      </c>
      <c r="L2745">
        <v>98</v>
      </c>
      <c r="M2745">
        <v>617.29998779000005</v>
      </c>
      <c r="N2745" t="s">
        <v>87</v>
      </c>
      <c r="O2745" t="s">
        <v>86</v>
      </c>
      <c r="P2745">
        <v>130</v>
      </c>
      <c r="Q2745">
        <v>5</v>
      </c>
      <c r="R2745">
        <v>137</v>
      </c>
      <c r="S2745">
        <v>1447</v>
      </c>
      <c r="T2745">
        <v>-40</v>
      </c>
      <c r="U2745">
        <v>56</v>
      </c>
      <c r="V2745">
        <v>920</v>
      </c>
      <c r="W2745">
        <v>31</v>
      </c>
      <c r="X2745">
        <v>31</v>
      </c>
      <c r="Y2745">
        <v>1</v>
      </c>
      <c r="Z2745">
        <v>8</v>
      </c>
      <c r="AA2745">
        <v>27</v>
      </c>
      <c r="AB2745">
        <v>2</v>
      </c>
      <c r="AC2745">
        <v>3</v>
      </c>
      <c r="AD2745">
        <v>3.2349999</v>
      </c>
      <c r="AE2745">
        <v>5</v>
      </c>
      <c r="AF2745">
        <v>38</v>
      </c>
      <c r="AG2745">
        <v>3.21499991</v>
      </c>
      <c r="AH2745">
        <v>4</v>
      </c>
      <c r="AI2745">
        <v>17</v>
      </c>
      <c r="AJ2745">
        <v>1</v>
      </c>
      <c r="AK2745">
        <v>19</v>
      </c>
      <c r="AL2745">
        <v>51</v>
      </c>
      <c r="AM2745" t="s">
        <v>43</v>
      </c>
      <c r="AN2745" t="str">
        <f>HYPERLINK("https://www.google.com/maps?q=10.78388691,79.1884613","Open Location")</f>
        <v>Open Location</v>
      </c>
    </row>
    <row r="2746" spans="1:40" x14ac:dyDescent="0.3">
      <c r="A2746" s="1">
        <v>46210.681828703702</v>
      </c>
      <c r="B2746" t="s">
        <v>40</v>
      </c>
      <c r="C2746" t="s">
        <v>41</v>
      </c>
      <c r="D2746" s="1">
        <v>46210.684618055559</v>
      </c>
      <c r="E2746" t="s">
        <v>42</v>
      </c>
      <c r="F2746" t="s">
        <v>83</v>
      </c>
      <c r="G2746">
        <v>30</v>
      </c>
      <c r="H2746">
        <v>33166</v>
      </c>
      <c r="I2746" t="s">
        <v>1485</v>
      </c>
      <c r="J2746">
        <v>63</v>
      </c>
      <c r="K2746">
        <v>7</v>
      </c>
      <c r="L2746">
        <v>98</v>
      </c>
      <c r="M2746">
        <v>627.59997558999999</v>
      </c>
      <c r="N2746" t="s">
        <v>87</v>
      </c>
      <c r="O2746" t="s">
        <v>86</v>
      </c>
      <c r="P2746">
        <v>130</v>
      </c>
      <c r="Q2746">
        <v>5</v>
      </c>
      <c r="R2746">
        <v>128</v>
      </c>
      <c r="S2746">
        <v>1816</v>
      </c>
      <c r="T2746">
        <v>-40</v>
      </c>
      <c r="U2746">
        <v>56</v>
      </c>
      <c r="V2746">
        <v>0</v>
      </c>
      <c r="W2746">
        <v>31</v>
      </c>
      <c r="X2746">
        <v>31</v>
      </c>
      <c r="Y2746">
        <v>1</v>
      </c>
      <c r="Z2746">
        <v>8</v>
      </c>
      <c r="AA2746">
        <v>27</v>
      </c>
      <c r="AB2746">
        <v>2</v>
      </c>
      <c r="AC2746">
        <v>3</v>
      </c>
      <c r="AD2746">
        <v>3.23799992</v>
      </c>
      <c r="AE2746">
        <v>5</v>
      </c>
      <c r="AF2746">
        <v>38</v>
      </c>
      <c r="AG2746">
        <v>3.21499991</v>
      </c>
      <c r="AH2746">
        <v>4</v>
      </c>
      <c r="AI2746">
        <v>17</v>
      </c>
      <c r="AJ2746">
        <v>1</v>
      </c>
      <c r="AK2746">
        <v>19</v>
      </c>
      <c r="AL2746">
        <v>51</v>
      </c>
      <c r="AM2746" t="s">
        <v>43</v>
      </c>
      <c r="AN2746" t="str">
        <f>HYPERLINK("https://www.google.com/maps?q=10.7839489,79.18933105","Open Location")</f>
        <v>Open Location</v>
      </c>
    </row>
    <row r="2747" spans="1:40" x14ac:dyDescent="0.3">
      <c r="A2747" s="1">
        <v>46210.681712962964</v>
      </c>
      <c r="B2747" t="s">
        <v>40</v>
      </c>
      <c r="C2747" t="s">
        <v>41</v>
      </c>
      <c r="D2747" s="1">
        <v>46210.684652777774</v>
      </c>
      <c r="E2747" t="s">
        <v>42</v>
      </c>
      <c r="F2747" t="s">
        <v>83</v>
      </c>
      <c r="G2747">
        <v>22</v>
      </c>
      <c r="H2747">
        <v>33166</v>
      </c>
      <c r="I2747" t="s">
        <v>43</v>
      </c>
      <c r="J2747">
        <v>63</v>
      </c>
      <c r="K2747">
        <v>241</v>
      </c>
      <c r="L2747">
        <v>98</v>
      </c>
      <c r="M2747">
        <v>618.90002441000001</v>
      </c>
      <c r="N2747" t="s">
        <v>87</v>
      </c>
      <c r="O2747" t="s">
        <v>86</v>
      </c>
      <c r="P2747">
        <v>129</v>
      </c>
      <c r="Q2747">
        <v>4</v>
      </c>
      <c r="R2747">
        <v>187</v>
      </c>
      <c r="S2747">
        <v>1687</v>
      </c>
      <c r="T2747">
        <v>-40</v>
      </c>
      <c r="U2747">
        <v>55</v>
      </c>
      <c r="V2747">
        <v>780</v>
      </c>
      <c r="W2747">
        <v>31</v>
      </c>
      <c r="X2747">
        <v>31</v>
      </c>
      <c r="Y2747">
        <v>1</v>
      </c>
      <c r="Z2747">
        <v>8</v>
      </c>
      <c r="AA2747">
        <v>27</v>
      </c>
      <c r="AB2747">
        <v>2</v>
      </c>
      <c r="AC2747">
        <v>3</v>
      </c>
      <c r="AD2747">
        <v>3.2309999500000002</v>
      </c>
      <c r="AE2747">
        <v>5</v>
      </c>
      <c r="AF2747">
        <v>38</v>
      </c>
      <c r="AG2747">
        <v>3.2060000899999999</v>
      </c>
      <c r="AH2747">
        <v>4</v>
      </c>
      <c r="AI2747">
        <v>17</v>
      </c>
      <c r="AJ2747">
        <v>1</v>
      </c>
      <c r="AK2747">
        <v>19</v>
      </c>
      <c r="AL2747">
        <v>51</v>
      </c>
      <c r="AM2747" t="s">
        <v>43</v>
      </c>
      <c r="AN2747" t="s">
        <v>43</v>
      </c>
    </row>
    <row r="2748" spans="1:40" x14ac:dyDescent="0.3">
      <c r="A2748" s="1">
        <v>46210.681597222225</v>
      </c>
      <c r="B2748" t="s">
        <v>40</v>
      </c>
      <c r="C2748" t="s">
        <v>41</v>
      </c>
      <c r="D2748" s="1">
        <v>46210.68440972222</v>
      </c>
      <c r="E2748" t="s">
        <v>42</v>
      </c>
      <c r="F2748" t="s">
        <v>83</v>
      </c>
      <c r="G2748">
        <v>9</v>
      </c>
      <c r="H2748">
        <v>33166</v>
      </c>
      <c r="I2748" t="s">
        <v>1486</v>
      </c>
      <c r="J2748">
        <v>63</v>
      </c>
      <c r="K2748">
        <v>-75</v>
      </c>
      <c r="L2748">
        <v>98</v>
      </c>
      <c r="M2748">
        <v>632.29998779000005</v>
      </c>
      <c r="N2748" t="s">
        <v>87</v>
      </c>
      <c r="O2748" t="s">
        <v>86</v>
      </c>
      <c r="P2748">
        <v>127</v>
      </c>
      <c r="Q2748">
        <v>3</v>
      </c>
      <c r="R2748">
        <v>0</v>
      </c>
      <c r="S2748">
        <v>810</v>
      </c>
      <c r="T2748">
        <v>-40</v>
      </c>
      <c r="U2748">
        <v>52</v>
      </c>
      <c r="V2748">
        <v>-710</v>
      </c>
      <c r="W2748">
        <v>31</v>
      </c>
      <c r="X2748">
        <v>31</v>
      </c>
      <c r="Y2748">
        <v>1</v>
      </c>
      <c r="Z2748">
        <v>8</v>
      </c>
      <c r="AA2748">
        <v>27</v>
      </c>
      <c r="AB2748">
        <v>2</v>
      </c>
      <c r="AC2748">
        <v>3</v>
      </c>
      <c r="AD2748">
        <v>3.2639999400000002</v>
      </c>
      <c r="AE2748">
        <v>5</v>
      </c>
      <c r="AF2748">
        <v>38</v>
      </c>
      <c r="AG2748">
        <v>3.2479999099999999</v>
      </c>
      <c r="AH2748">
        <v>4</v>
      </c>
      <c r="AI2748">
        <v>17</v>
      </c>
      <c r="AJ2748">
        <v>1</v>
      </c>
      <c r="AK2748">
        <v>22</v>
      </c>
      <c r="AL2748">
        <v>51</v>
      </c>
      <c r="AM2748" t="s">
        <v>43</v>
      </c>
      <c r="AN2748" t="str">
        <f>HYPERLINK("https://www.google.com/maps?q=10.78396416,79.18982697","Open Location")</f>
        <v>Open Location</v>
      </c>
    </row>
    <row r="2749" spans="1:40" x14ac:dyDescent="0.3">
      <c r="A2749" s="1">
        <v>46210.681481481479</v>
      </c>
      <c r="B2749" t="s">
        <v>40</v>
      </c>
      <c r="C2749" t="s">
        <v>41</v>
      </c>
      <c r="D2749" s="1">
        <v>46210.684305555558</v>
      </c>
      <c r="E2749" t="s">
        <v>42</v>
      </c>
      <c r="F2749" t="s">
        <v>83</v>
      </c>
      <c r="G2749">
        <v>17</v>
      </c>
      <c r="H2749" t="s">
        <v>43</v>
      </c>
      <c r="I2749" t="s">
        <v>1487</v>
      </c>
      <c r="J2749">
        <v>63</v>
      </c>
      <c r="K2749">
        <v>-64</v>
      </c>
      <c r="L2749">
        <v>98</v>
      </c>
      <c r="M2749">
        <v>632.5</v>
      </c>
      <c r="N2749" t="s">
        <v>87</v>
      </c>
      <c r="O2749" t="s">
        <v>86</v>
      </c>
      <c r="P2749">
        <v>128</v>
      </c>
      <c r="Q2749">
        <v>4</v>
      </c>
      <c r="R2749">
        <v>78</v>
      </c>
      <c r="S2749">
        <v>580</v>
      </c>
      <c r="T2749">
        <v>-40</v>
      </c>
      <c r="U2749">
        <v>53</v>
      </c>
      <c r="V2749">
        <v>-820</v>
      </c>
      <c r="W2749">
        <v>31</v>
      </c>
      <c r="X2749">
        <v>31</v>
      </c>
      <c r="Y2749">
        <v>1</v>
      </c>
      <c r="Z2749">
        <v>8</v>
      </c>
      <c r="AA2749">
        <v>27</v>
      </c>
      <c r="AB2749">
        <v>2</v>
      </c>
      <c r="AC2749">
        <v>3</v>
      </c>
      <c r="AD2749">
        <v>3.2609999200000002</v>
      </c>
      <c r="AE2749">
        <v>5</v>
      </c>
      <c r="AF2749">
        <v>38</v>
      </c>
      <c r="AG2749">
        <v>3.2449998899999999</v>
      </c>
      <c r="AH2749">
        <v>8</v>
      </c>
      <c r="AI2749">
        <v>35</v>
      </c>
      <c r="AJ2749">
        <v>1</v>
      </c>
      <c r="AK2749">
        <v>19</v>
      </c>
      <c r="AL2749">
        <v>51</v>
      </c>
      <c r="AM2749" t="s">
        <v>43</v>
      </c>
      <c r="AN2749" t="str">
        <f>HYPERLINK("https://www.google.com/maps?q=10.7839756,79.19016266","Open Location")</f>
        <v>Open Location</v>
      </c>
    </row>
    <row r="2750" spans="1:40" x14ac:dyDescent="0.3">
      <c r="A2750" s="1">
        <v>46210.68136574074</v>
      </c>
      <c r="B2750" t="s">
        <v>40</v>
      </c>
      <c r="C2750" t="s">
        <v>41</v>
      </c>
      <c r="D2750" s="1">
        <v>46210.684317129628</v>
      </c>
      <c r="E2750" t="s">
        <v>42</v>
      </c>
      <c r="F2750" t="s">
        <v>83</v>
      </c>
      <c r="G2750">
        <v>31</v>
      </c>
      <c r="H2750">
        <v>33166</v>
      </c>
      <c r="I2750" t="s">
        <v>1488</v>
      </c>
      <c r="J2750">
        <v>63</v>
      </c>
      <c r="K2750">
        <v>64</v>
      </c>
      <c r="L2750">
        <v>98</v>
      </c>
      <c r="M2750">
        <v>627</v>
      </c>
      <c r="N2750" t="s">
        <v>87</v>
      </c>
      <c r="O2750" t="s">
        <v>86</v>
      </c>
      <c r="P2750">
        <v>131</v>
      </c>
      <c r="Q2750">
        <v>5</v>
      </c>
      <c r="R2750">
        <v>-42</v>
      </c>
      <c r="S2750">
        <v>1097</v>
      </c>
      <c r="T2750">
        <v>-40</v>
      </c>
      <c r="U2750">
        <v>54</v>
      </c>
      <c r="V2750">
        <v>340</v>
      </c>
      <c r="W2750">
        <v>31</v>
      </c>
      <c r="X2750">
        <v>31</v>
      </c>
      <c r="Y2750">
        <v>1</v>
      </c>
      <c r="Z2750">
        <v>8</v>
      </c>
      <c r="AA2750">
        <v>27</v>
      </c>
      <c r="AB2750">
        <v>2</v>
      </c>
      <c r="AC2750">
        <v>3</v>
      </c>
      <c r="AD2750">
        <v>3.30900002</v>
      </c>
      <c r="AE2750">
        <v>1</v>
      </c>
      <c r="AF2750">
        <v>24</v>
      </c>
      <c r="AG2750">
        <v>3.3029999700000001</v>
      </c>
      <c r="AH2750">
        <v>5</v>
      </c>
      <c r="AI2750">
        <v>10</v>
      </c>
      <c r="AJ2750">
        <v>1</v>
      </c>
      <c r="AK2750">
        <v>18</v>
      </c>
      <c r="AL2750">
        <v>51</v>
      </c>
      <c r="AM2750" t="s">
        <v>43</v>
      </c>
      <c r="AN2750" t="str">
        <f>HYPERLINK("https://www.google.com/maps?q=10.78399181,79.1910553","Open Location")</f>
        <v>Open Location</v>
      </c>
    </row>
    <row r="2751" spans="1:40" x14ac:dyDescent="0.3">
      <c r="A2751" s="1">
        <v>46210.681250000001</v>
      </c>
      <c r="B2751" t="s">
        <v>40</v>
      </c>
      <c r="C2751" t="s">
        <v>41</v>
      </c>
      <c r="D2751" s="1">
        <v>46210.684374999997</v>
      </c>
      <c r="E2751" t="s">
        <v>42</v>
      </c>
      <c r="F2751" t="s">
        <v>83</v>
      </c>
      <c r="G2751">
        <v>40</v>
      </c>
      <c r="H2751">
        <v>33166</v>
      </c>
      <c r="I2751" t="s">
        <v>1489</v>
      </c>
      <c r="J2751">
        <v>63</v>
      </c>
      <c r="K2751">
        <v>121</v>
      </c>
      <c r="L2751">
        <v>98</v>
      </c>
      <c r="M2751">
        <v>623.70001220999995</v>
      </c>
      <c r="N2751" t="s">
        <v>87</v>
      </c>
      <c r="O2751" t="s">
        <v>86</v>
      </c>
      <c r="P2751">
        <v>131</v>
      </c>
      <c r="Q2751">
        <v>6</v>
      </c>
      <c r="R2751">
        <v>67</v>
      </c>
      <c r="S2751">
        <v>1107</v>
      </c>
      <c r="T2751">
        <v>-40</v>
      </c>
      <c r="U2751">
        <v>54</v>
      </c>
      <c r="V2751">
        <v>600</v>
      </c>
      <c r="W2751">
        <v>31</v>
      </c>
      <c r="X2751">
        <v>31</v>
      </c>
      <c r="Y2751">
        <v>1</v>
      </c>
      <c r="Z2751">
        <v>8</v>
      </c>
      <c r="AA2751">
        <v>27</v>
      </c>
      <c r="AB2751">
        <v>2</v>
      </c>
      <c r="AC2751">
        <v>3</v>
      </c>
      <c r="AD2751">
        <v>3.25900006</v>
      </c>
      <c r="AE2751">
        <v>5</v>
      </c>
      <c r="AF2751">
        <v>38</v>
      </c>
      <c r="AG2751">
        <v>3.2449998899999999</v>
      </c>
      <c r="AH2751">
        <v>4</v>
      </c>
      <c r="AI2751">
        <v>17</v>
      </c>
      <c r="AJ2751">
        <v>1</v>
      </c>
      <c r="AK2751">
        <v>18</v>
      </c>
      <c r="AL2751">
        <v>51</v>
      </c>
      <c r="AM2751" t="s">
        <v>43</v>
      </c>
      <c r="AN2751" t="str">
        <f>HYPERLINK("https://www.google.com/maps?q=10.78395653,79.19226837","Open Location")</f>
        <v>Open Location</v>
      </c>
    </row>
    <row r="2752" spans="1:40" x14ac:dyDescent="0.3">
      <c r="A2752" s="1">
        <v>46210.681134259263</v>
      </c>
      <c r="B2752" t="s">
        <v>40</v>
      </c>
      <c r="C2752" t="s">
        <v>41</v>
      </c>
      <c r="D2752" s="1">
        <v>46210.684374999997</v>
      </c>
      <c r="E2752" t="s">
        <v>42</v>
      </c>
      <c r="F2752" t="s">
        <v>83</v>
      </c>
      <c r="G2752">
        <v>40</v>
      </c>
      <c r="H2752">
        <v>33166</v>
      </c>
      <c r="I2752" t="s">
        <v>1490</v>
      </c>
      <c r="J2752">
        <v>63</v>
      </c>
      <c r="K2752">
        <v>100</v>
      </c>
      <c r="L2752">
        <v>98</v>
      </c>
      <c r="M2752">
        <v>624.70001220999995</v>
      </c>
      <c r="N2752" t="s">
        <v>87</v>
      </c>
      <c r="O2752" t="s">
        <v>86</v>
      </c>
      <c r="P2752">
        <v>131</v>
      </c>
      <c r="Q2752">
        <v>6</v>
      </c>
      <c r="R2752">
        <v>55</v>
      </c>
      <c r="S2752">
        <v>1127</v>
      </c>
      <c r="T2752">
        <v>-40</v>
      </c>
      <c r="U2752">
        <v>53</v>
      </c>
      <c r="V2752">
        <v>546</v>
      </c>
      <c r="W2752">
        <v>31</v>
      </c>
      <c r="X2752">
        <v>31</v>
      </c>
      <c r="Y2752">
        <v>1</v>
      </c>
      <c r="Z2752">
        <v>8</v>
      </c>
      <c r="AA2752">
        <v>27</v>
      </c>
      <c r="AB2752">
        <v>2</v>
      </c>
      <c r="AC2752">
        <v>3</v>
      </c>
      <c r="AD2752">
        <v>3.2639999400000002</v>
      </c>
      <c r="AE2752">
        <v>5</v>
      </c>
      <c r="AF2752">
        <v>38</v>
      </c>
      <c r="AG2752">
        <v>3.25</v>
      </c>
      <c r="AH2752">
        <v>4</v>
      </c>
      <c r="AI2752">
        <v>17</v>
      </c>
      <c r="AJ2752">
        <v>1</v>
      </c>
      <c r="AK2752">
        <v>18</v>
      </c>
      <c r="AL2752">
        <v>51</v>
      </c>
      <c r="AM2752" t="s">
        <v>43</v>
      </c>
      <c r="AN2752" t="str">
        <f>HYPERLINK("https://www.google.com/maps?q=10.78383255,79.1934967","Open Location")</f>
        <v>Open Location</v>
      </c>
    </row>
    <row r="2753" spans="1:40" x14ac:dyDescent="0.3">
      <c r="A2753" s="1">
        <v>46210.681018518517</v>
      </c>
      <c r="B2753" t="s">
        <v>40</v>
      </c>
      <c r="C2753" t="s">
        <v>41</v>
      </c>
      <c r="D2753" s="1">
        <v>46210.684282407405</v>
      </c>
      <c r="E2753" t="s">
        <v>42</v>
      </c>
      <c r="F2753" t="s">
        <v>83</v>
      </c>
      <c r="G2753">
        <v>41</v>
      </c>
      <c r="H2753">
        <v>33166</v>
      </c>
      <c r="I2753" t="s">
        <v>43</v>
      </c>
      <c r="J2753">
        <v>63</v>
      </c>
      <c r="K2753">
        <v>108</v>
      </c>
      <c r="L2753">
        <v>98</v>
      </c>
      <c r="M2753">
        <v>625.40002441000001</v>
      </c>
      <c r="N2753" t="s">
        <v>87</v>
      </c>
      <c r="O2753" t="s">
        <v>86</v>
      </c>
      <c r="P2753">
        <v>131</v>
      </c>
      <c r="Q2753">
        <v>6</v>
      </c>
      <c r="R2753">
        <v>57</v>
      </c>
      <c r="S2753">
        <v>1141</v>
      </c>
      <c r="T2753">
        <v>-40</v>
      </c>
      <c r="U2753">
        <v>53</v>
      </c>
      <c r="V2753">
        <v>520</v>
      </c>
      <c r="W2753">
        <v>31</v>
      </c>
      <c r="X2753">
        <v>31</v>
      </c>
      <c r="Y2753">
        <v>1</v>
      </c>
      <c r="Z2753">
        <v>8</v>
      </c>
      <c r="AA2753">
        <v>27</v>
      </c>
      <c r="AB2753">
        <v>2</v>
      </c>
      <c r="AC2753">
        <v>3</v>
      </c>
      <c r="AD2753">
        <v>3.26799989</v>
      </c>
      <c r="AE2753">
        <v>5</v>
      </c>
      <c r="AF2753">
        <v>38</v>
      </c>
      <c r="AG2753">
        <v>3.25600004</v>
      </c>
      <c r="AH2753">
        <v>4</v>
      </c>
      <c r="AI2753">
        <v>17</v>
      </c>
      <c r="AJ2753">
        <v>1</v>
      </c>
      <c r="AK2753">
        <v>18</v>
      </c>
      <c r="AL2753">
        <v>51</v>
      </c>
      <c r="AM2753" t="s">
        <v>43</v>
      </c>
      <c r="AN2753" t="s">
        <v>43</v>
      </c>
    </row>
    <row r="2754" spans="1:40" x14ac:dyDescent="0.3">
      <c r="A2754" s="1">
        <v>46210.680902777778</v>
      </c>
      <c r="B2754" t="s">
        <v>40</v>
      </c>
      <c r="C2754" t="s">
        <v>41</v>
      </c>
      <c r="D2754" s="1">
        <v>46210.683564814812</v>
      </c>
      <c r="E2754" t="s">
        <v>42</v>
      </c>
      <c r="F2754" t="s">
        <v>83</v>
      </c>
      <c r="G2754">
        <v>41</v>
      </c>
      <c r="H2754">
        <v>33165</v>
      </c>
      <c r="I2754" t="s">
        <v>1491</v>
      </c>
      <c r="J2754">
        <v>64</v>
      </c>
      <c r="K2754">
        <v>84</v>
      </c>
      <c r="L2754">
        <v>98</v>
      </c>
      <c r="M2754">
        <v>625.90002441000001</v>
      </c>
      <c r="N2754" t="s">
        <v>87</v>
      </c>
      <c r="O2754" t="s">
        <v>86</v>
      </c>
      <c r="P2754">
        <v>131</v>
      </c>
      <c r="Q2754">
        <v>6</v>
      </c>
      <c r="R2754">
        <v>47</v>
      </c>
      <c r="S2754">
        <v>1143</v>
      </c>
      <c r="T2754">
        <v>-40</v>
      </c>
      <c r="U2754">
        <v>52</v>
      </c>
      <c r="V2754">
        <v>360</v>
      </c>
      <c r="W2754">
        <v>31</v>
      </c>
      <c r="X2754">
        <v>31</v>
      </c>
      <c r="Y2754">
        <v>1</v>
      </c>
      <c r="Z2754">
        <v>8</v>
      </c>
      <c r="AA2754">
        <v>27</v>
      </c>
      <c r="AB2754">
        <v>2</v>
      </c>
      <c r="AC2754">
        <v>3</v>
      </c>
      <c r="AD2754">
        <v>3.2690000499999998</v>
      </c>
      <c r="AE2754">
        <v>5</v>
      </c>
      <c r="AF2754">
        <v>38</v>
      </c>
      <c r="AG2754">
        <v>3.2569999699999999</v>
      </c>
      <c r="AH2754">
        <v>4</v>
      </c>
      <c r="AI2754">
        <v>17</v>
      </c>
      <c r="AJ2754">
        <v>1</v>
      </c>
      <c r="AK2754">
        <v>18</v>
      </c>
      <c r="AL2754">
        <v>51</v>
      </c>
      <c r="AM2754" t="s">
        <v>43</v>
      </c>
      <c r="AN2754" t="str">
        <f>HYPERLINK("https://www.google.com/maps?q=10.78358269,79.19473267","Open Location")</f>
        <v>Open Location</v>
      </c>
    </row>
    <row r="2755" spans="1:40" x14ac:dyDescent="0.3">
      <c r="A2755" s="1">
        <v>46210.680787037039</v>
      </c>
      <c r="B2755" t="s">
        <v>40</v>
      </c>
      <c r="C2755" t="s">
        <v>41</v>
      </c>
      <c r="D2755" s="1">
        <v>46210.683587962965</v>
      </c>
      <c r="E2755" t="s">
        <v>42</v>
      </c>
      <c r="F2755" t="s">
        <v>83</v>
      </c>
      <c r="G2755">
        <v>41</v>
      </c>
      <c r="H2755">
        <v>33165</v>
      </c>
      <c r="I2755" t="s">
        <v>1492</v>
      </c>
      <c r="J2755">
        <v>64</v>
      </c>
      <c r="K2755">
        <v>154</v>
      </c>
      <c r="L2755">
        <v>98</v>
      </c>
      <c r="M2755">
        <v>622.79998779000005</v>
      </c>
      <c r="N2755" t="s">
        <v>87</v>
      </c>
      <c r="O2755" t="s">
        <v>86</v>
      </c>
      <c r="P2755">
        <v>131</v>
      </c>
      <c r="Q2755">
        <v>6</v>
      </c>
      <c r="R2755">
        <v>43</v>
      </c>
      <c r="S2755">
        <v>1144</v>
      </c>
      <c r="T2755">
        <v>-40</v>
      </c>
      <c r="U2755">
        <v>52</v>
      </c>
      <c r="V2755">
        <v>780</v>
      </c>
      <c r="W2755">
        <v>31</v>
      </c>
      <c r="X2755">
        <v>31</v>
      </c>
      <c r="Y2755">
        <v>1</v>
      </c>
      <c r="Z2755">
        <v>8</v>
      </c>
      <c r="AA2755">
        <v>27</v>
      </c>
      <c r="AB2755">
        <v>2</v>
      </c>
      <c r="AC2755">
        <v>3</v>
      </c>
      <c r="AD2755">
        <v>3.27099991</v>
      </c>
      <c r="AE2755">
        <v>1</v>
      </c>
      <c r="AF2755">
        <v>36</v>
      </c>
      <c r="AG2755">
        <v>3.2609999200000002</v>
      </c>
      <c r="AH2755">
        <v>4</v>
      </c>
      <c r="AI2755">
        <v>17</v>
      </c>
      <c r="AJ2755">
        <v>1</v>
      </c>
      <c r="AK2755">
        <v>18</v>
      </c>
      <c r="AL2755">
        <v>51</v>
      </c>
      <c r="AM2755" t="s">
        <v>43</v>
      </c>
      <c r="AN2755" t="str">
        <f>HYPERLINK("https://www.google.com/maps?q=10.78324986,79.19595337","Open Location")</f>
        <v>Open Location</v>
      </c>
    </row>
    <row r="2756" spans="1:40" x14ac:dyDescent="0.3">
      <c r="A2756" s="1">
        <v>46210.680671296293</v>
      </c>
      <c r="B2756" t="s">
        <v>40</v>
      </c>
      <c r="C2756" t="s">
        <v>41</v>
      </c>
      <c r="D2756" s="1">
        <v>46210.683553240742</v>
      </c>
      <c r="E2756" t="s">
        <v>42</v>
      </c>
      <c r="F2756" t="s">
        <v>83</v>
      </c>
      <c r="G2756">
        <v>41</v>
      </c>
      <c r="H2756">
        <v>33165</v>
      </c>
      <c r="I2756" t="s">
        <v>1493</v>
      </c>
      <c r="J2756">
        <v>64</v>
      </c>
      <c r="K2756">
        <v>114</v>
      </c>
      <c r="L2756">
        <v>98</v>
      </c>
      <c r="M2756">
        <v>624.59997558999999</v>
      </c>
      <c r="N2756" t="s">
        <v>87</v>
      </c>
      <c r="O2756" t="s">
        <v>86</v>
      </c>
      <c r="P2756">
        <v>131</v>
      </c>
      <c r="Q2756">
        <v>6</v>
      </c>
      <c r="R2756">
        <v>47</v>
      </c>
      <c r="S2756">
        <v>1129</v>
      </c>
      <c r="T2756">
        <v>-40</v>
      </c>
      <c r="U2756">
        <v>53</v>
      </c>
      <c r="V2756">
        <v>560</v>
      </c>
      <c r="W2756">
        <v>31</v>
      </c>
      <c r="X2756">
        <v>31</v>
      </c>
      <c r="Y2756">
        <v>1</v>
      </c>
      <c r="Z2756">
        <v>8</v>
      </c>
      <c r="AA2756">
        <v>27</v>
      </c>
      <c r="AB2756">
        <v>2</v>
      </c>
      <c r="AC2756">
        <v>3</v>
      </c>
      <c r="AD2756">
        <v>3.2669999600000001</v>
      </c>
      <c r="AE2756">
        <v>5</v>
      </c>
      <c r="AF2756">
        <v>38</v>
      </c>
      <c r="AG2756">
        <v>3.2550001100000001</v>
      </c>
      <c r="AH2756">
        <v>4</v>
      </c>
      <c r="AI2756">
        <v>17</v>
      </c>
      <c r="AJ2756">
        <v>1</v>
      </c>
      <c r="AK2756">
        <v>17</v>
      </c>
      <c r="AL2756">
        <v>51</v>
      </c>
      <c r="AM2756" t="s">
        <v>43</v>
      </c>
      <c r="AN2756" t="str">
        <f>HYPERLINK("https://www.google.com/maps?q=10.78289795,79.19715881","Open Location")</f>
        <v>Open Location</v>
      </c>
    </row>
    <row r="2757" spans="1:40" x14ac:dyDescent="0.3">
      <c r="A2757" s="1">
        <v>46210.680555555555</v>
      </c>
      <c r="B2757" t="s">
        <v>40</v>
      </c>
      <c r="C2757" t="s">
        <v>41</v>
      </c>
      <c r="D2757" s="1">
        <v>46210.683472222219</v>
      </c>
      <c r="E2757" t="s">
        <v>42</v>
      </c>
      <c r="F2757" t="s">
        <v>83</v>
      </c>
      <c r="G2757">
        <v>40</v>
      </c>
      <c r="H2757" t="s">
        <v>43</v>
      </c>
      <c r="I2757" t="s">
        <v>1494</v>
      </c>
      <c r="J2757">
        <v>64</v>
      </c>
      <c r="K2757">
        <v>74</v>
      </c>
      <c r="L2757">
        <v>98</v>
      </c>
      <c r="M2757">
        <v>627.09997558999999</v>
      </c>
      <c r="N2757" t="s">
        <v>87</v>
      </c>
      <c r="O2757" t="s">
        <v>86</v>
      </c>
      <c r="P2757">
        <v>131</v>
      </c>
      <c r="Q2757">
        <v>6</v>
      </c>
      <c r="R2757">
        <v>65</v>
      </c>
      <c r="S2757">
        <v>1107</v>
      </c>
      <c r="T2757">
        <v>-40</v>
      </c>
      <c r="U2757">
        <v>52</v>
      </c>
      <c r="V2757">
        <v>360</v>
      </c>
      <c r="W2757">
        <v>31</v>
      </c>
      <c r="X2757">
        <v>31</v>
      </c>
      <c r="Y2757">
        <v>1</v>
      </c>
      <c r="Z2757">
        <v>8</v>
      </c>
      <c r="AA2757">
        <v>27</v>
      </c>
      <c r="AB2757">
        <v>2</v>
      </c>
      <c r="AC2757">
        <v>3</v>
      </c>
      <c r="AD2757">
        <v>3.2730000000000001</v>
      </c>
      <c r="AE2757">
        <v>5</v>
      </c>
      <c r="AF2757">
        <v>38</v>
      </c>
      <c r="AG2757">
        <v>3.26200008</v>
      </c>
      <c r="AH2757">
        <v>4</v>
      </c>
      <c r="AI2757">
        <v>17</v>
      </c>
      <c r="AJ2757" t="s">
        <v>43</v>
      </c>
      <c r="AK2757" t="s">
        <v>43</v>
      </c>
      <c r="AL2757" t="s">
        <v>43</v>
      </c>
      <c r="AM2757" t="s">
        <v>43</v>
      </c>
      <c r="AN2757" t="str">
        <f>HYPERLINK("https://www.google.com/maps?q=10.78260899,79.19834137","Open Location")</f>
        <v>Open Location</v>
      </c>
    </row>
    <row r="2758" spans="1:40" x14ac:dyDescent="0.3">
      <c r="A2758" s="1">
        <v>46210.680439814816</v>
      </c>
      <c r="B2758" t="s">
        <v>40</v>
      </c>
      <c r="C2758" t="s">
        <v>41</v>
      </c>
      <c r="D2758" s="1">
        <v>46210.68304398148</v>
      </c>
      <c r="E2758" t="s">
        <v>42</v>
      </c>
      <c r="F2758" t="s">
        <v>83</v>
      </c>
      <c r="G2758">
        <v>40</v>
      </c>
      <c r="H2758">
        <v>33165</v>
      </c>
      <c r="I2758" t="s">
        <v>43</v>
      </c>
      <c r="J2758">
        <v>64</v>
      </c>
      <c r="K2758">
        <v>54</v>
      </c>
      <c r="L2758">
        <v>98</v>
      </c>
      <c r="M2758">
        <v>627.90002441000001</v>
      </c>
      <c r="N2758" t="s">
        <v>87</v>
      </c>
      <c r="O2758" t="s">
        <v>86</v>
      </c>
      <c r="P2758">
        <v>131</v>
      </c>
      <c r="Q2758">
        <v>6</v>
      </c>
      <c r="R2758">
        <v>41</v>
      </c>
      <c r="S2758">
        <v>1111</v>
      </c>
      <c r="T2758">
        <v>-40</v>
      </c>
      <c r="U2758">
        <v>51</v>
      </c>
      <c r="V2758">
        <v>256</v>
      </c>
      <c r="W2758">
        <v>31</v>
      </c>
      <c r="X2758">
        <v>31</v>
      </c>
      <c r="Y2758">
        <v>1</v>
      </c>
      <c r="Z2758">
        <v>8</v>
      </c>
      <c r="AA2758">
        <v>27</v>
      </c>
      <c r="AB2758">
        <v>2</v>
      </c>
      <c r="AC2758">
        <v>3</v>
      </c>
      <c r="AD2758">
        <v>3.2760000200000001</v>
      </c>
      <c r="AE2758">
        <v>5</v>
      </c>
      <c r="AF2758">
        <v>38</v>
      </c>
      <c r="AG2758">
        <v>3.2660000299999998</v>
      </c>
      <c r="AH2758">
        <v>4</v>
      </c>
      <c r="AI2758">
        <v>17</v>
      </c>
      <c r="AJ2758">
        <v>1</v>
      </c>
      <c r="AK2758">
        <v>18</v>
      </c>
      <c r="AL2758">
        <v>51</v>
      </c>
      <c r="AM2758" t="s">
        <v>43</v>
      </c>
      <c r="AN2758" t="s">
        <v>43</v>
      </c>
    </row>
    <row r="2759" spans="1:40" x14ac:dyDescent="0.3">
      <c r="A2759" s="1">
        <v>46210.680324074077</v>
      </c>
      <c r="B2759" t="s">
        <v>40</v>
      </c>
      <c r="C2759" t="s">
        <v>41</v>
      </c>
      <c r="D2759" s="1">
        <v>46210.683252314811</v>
      </c>
      <c r="E2759" t="s">
        <v>42</v>
      </c>
      <c r="F2759" t="s">
        <v>83</v>
      </c>
      <c r="G2759">
        <v>40</v>
      </c>
      <c r="H2759">
        <v>33165</v>
      </c>
      <c r="I2759" t="s">
        <v>1495</v>
      </c>
      <c r="J2759">
        <v>64</v>
      </c>
      <c r="K2759">
        <v>44</v>
      </c>
      <c r="L2759">
        <v>98</v>
      </c>
      <c r="M2759">
        <v>628.09997558999999</v>
      </c>
      <c r="N2759" t="s">
        <v>87</v>
      </c>
      <c r="O2759" t="s">
        <v>86</v>
      </c>
      <c r="P2759">
        <v>131</v>
      </c>
      <c r="Q2759">
        <v>6</v>
      </c>
      <c r="R2759">
        <v>23</v>
      </c>
      <c r="S2759">
        <v>1148</v>
      </c>
      <c r="T2759">
        <v>-40</v>
      </c>
      <c r="U2759">
        <v>50</v>
      </c>
      <c r="V2759">
        <v>200</v>
      </c>
      <c r="W2759">
        <v>31</v>
      </c>
      <c r="X2759">
        <v>31</v>
      </c>
      <c r="Y2759">
        <v>1</v>
      </c>
      <c r="Z2759">
        <v>8</v>
      </c>
      <c r="AA2759">
        <v>27</v>
      </c>
      <c r="AB2759">
        <v>2</v>
      </c>
      <c r="AC2759">
        <v>3</v>
      </c>
      <c r="AD2759">
        <v>3.2809998999999999</v>
      </c>
      <c r="AE2759">
        <v>1</v>
      </c>
      <c r="AF2759">
        <v>25</v>
      </c>
      <c r="AG2759">
        <v>3.2720000699999998</v>
      </c>
      <c r="AH2759">
        <v>4</v>
      </c>
      <c r="AI2759">
        <v>17</v>
      </c>
      <c r="AJ2759">
        <v>1</v>
      </c>
      <c r="AK2759">
        <v>18</v>
      </c>
      <c r="AL2759">
        <v>51</v>
      </c>
      <c r="AM2759" t="s">
        <v>43</v>
      </c>
      <c r="AN2759" t="str">
        <f>HYPERLINK("https://www.google.com/maps?q=10.78269196,79.199646","Open Location")</f>
        <v>Open Location</v>
      </c>
    </row>
    <row r="2760" spans="1:40" x14ac:dyDescent="0.3">
      <c r="A2760" s="1">
        <v>46210.680208333331</v>
      </c>
      <c r="B2760" t="s">
        <v>40</v>
      </c>
      <c r="C2760" t="s">
        <v>41</v>
      </c>
      <c r="D2760" s="1">
        <v>46210.682974537034</v>
      </c>
      <c r="E2760" t="s">
        <v>42</v>
      </c>
      <c r="F2760" t="s">
        <v>83</v>
      </c>
      <c r="G2760">
        <v>42</v>
      </c>
      <c r="H2760">
        <v>33165</v>
      </c>
      <c r="I2760" t="s">
        <v>1496</v>
      </c>
      <c r="J2760">
        <v>64</v>
      </c>
      <c r="K2760">
        <v>45</v>
      </c>
      <c r="L2760">
        <v>98</v>
      </c>
      <c r="M2760">
        <v>628.20001220999995</v>
      </c>
      <c r="N2760" t="s">
        <v>87</v>
      </c>
      <c r="O2760" t="s">
        <v>86</v>
      </c>
      <c r="P2760">
        <v>131</v>
      </c>
      <c r="Q2760">
        <v>6</v>
      </c>
      <c r="R2760">
        <v>24</v>
      </c>
      <c r="S2760">
        <v>1200</v>
      </c>
      <c r="T2760">
        <v>-40</v>
      </c>
      <c r="U2760">
        <v>50</v>
      </c>
      <c r="V2760">
        <v>200</v>
      </c>
      <c r="W2760">
        <v>31</v>
      </c>
      <c r="X2760">
        <v>31</v>
      </c>
      <c r="Y2760">
        <v>1</v>
      </c>
      <c r="Z2760">
        <v>8</v>
      </c>
      <c r="AA2760">
        <v>27</v>
      </c>
      <c r="AB2760">
        <v>2</v>
      </c>
      <c r="AC2760">
        <v>3</v>
      </c>
      <c r="AD2760">
        <v>3.27999997</v>
      </c>
      <c r="AE2760">
        <v>1</v>
      </c>
      <c r="AF2760">
        <v>36</v>
      </c>
      <c r="AG2760">
        <v>3.27099991</v>
      </c>
      <c r="AH2760">
        <v>4</v>
      </c>
      <c r="AI2760">
        <v>17</v>
      </c>
      <c r="AJ2760">
        <v>1</v>
      </c>
      <c r="AK2760">
        <v>18</v>
      </c>
      <c r="AL2760">
        <v>51</v>
      </c>
      <c r="AM2760" t="s">
        <v>43</v>
      </c>
      <c r="AN2760" t="str">
        <f>HYPERLINK("https://www.google.com/maps?q=10.78302765,79.20088959","Open Location")</f>
        <v>Open Location</v>
      </c>
    </row>
    <row r="2761" spans="1:40" x14ac:dyDescent="0.3">
      <c r="A2761" s="1">
        <v>46210.680092592593</v>
      </c>
      <c r="B2761" t="s">
        <v>40</v>
      </c>
      <c r="C2761" t="s">
        <v>41</v>
      </c>
      <c r="D2761" s="1">
        <v>46210.683252314811</v>
      </c>
      <c r="E2761" t="s">
        <v>42</v>
      </c>
      <c r="F2761" t="s">
        <v>83</v>
      </c>
      <c r="G2761">
        <v>44</v>
      </c>
      <c r="H2761">
        <v>33165</v>
      </c>
      <c r="I2761" t="s">
        <v>1497</v>
      </c>
      <c r="J2761">
        <v>64</v>
      </c>
      <c r="K2761">
        <v>55</v>
      </c>
      <c r="L2761">
        <v>98</v>
      </c>
      <c r="M2761">
        <v>626.90002441000001</v>
      </c>
      <c r="N2761" t="s">
        <v>87</v>
      </c>
      <c r="O2761" t="s">
        <v>86</v>
      </c>
      <c r="P2761">
        <v>131</v>
      </c>
      <c r="Q2761">
        <v>6</v>
      </c>
      <c r="R2761">
        <v>25</v>
      </c>
      <c r="S2761">
        <v>1228</v>
      </c>
      <c r="T2761">
        <v>-40</v>
      </c>
      <c r="U2761">
        <v>50</v>
      </c>
      <c r="V2761">
        <v>240</v>
      </c>
      <c r="W2761">
        <v>31</v>
      </c>
      <c r="X2761">
        <v>31</v>
      </c>
      <c r="Y2761">
        <v>1</v>
      </c>
      <c r="Z2761">
        <v>8</v>
      </c>
      <c r="AA2761">
        <v>27</v>
      </c>
      <c r="AB2761">
        <v>2</v>
      </c>
      <c r="AC2761">
        <v>3</v>
      </c>
      <c r="AD2761">
        <v>3.2790000400000001</v>
      </c>
      <c r="AE2761">
        <v>5</v>
      </c>
      <c r="AF2761">
        <v>38</v>
      </c>
      <c r="AG2761">
        <v>3.2699999800000001</v>
      </c>
      <c r="AH2761">
        <v>4</v>
      </c>
      <c r="AI2761">
        <v>17</v>
      </c>
      <c r="AJ2761">
        <v>1</v>
      </c>
      <c r="AK2761">
        <v>18</v>
      </c>
      <c r="AL2761">
        <v>51</v>
      </c>
      <c r="AM2761" t="s">
        <v>43</v>
      </c>
      <c r="AN2761" t="str">
        <f>HYPERLINK("https://www.google.com/maps?q=10.78314304,79.20220947","Open Location")</f>
        <v>Open Location</v>
      </c>
    </row>
    <row r="2762" spans="1:40" x14ac:dyDescent="0.3">
      <c r="A2762" s="1">
        <v>46210.679976851854</v>
      </c>
      <c r="B2762" t="s">
        <v>40</v>
      </c>
      <c r="C2762" t="s">
        <v>41</v>
      </c>
      <c r="D2762" s="1">
        <v>46210.682685185187</v>
      </c>
      <c r="E2762" t="s">
        <v>42</v>
      </c>
      <c r="F2762" t="s">
        <v>83</v>
      </c>
      <c r="G2762">
        <v>45</v>
      </c>
      <c r="H2762">
        <v>33165</v>
      </c>
      <c r="I2762" t="s">
        <v>1498</v>
      </c>
      <c r="J2762">
        <v>64</v>
      </c>
      <c r="K2762">
        <v>64</v>
      </c>
      <c r="L2762">
        <v>98</v>
      </c>
      <c r="M2762">
        <v>626.90002441000001</v>
      </c>
      <c r="N2762" t="s">
        <v>87</v>
      </c>
      <c r="O2762" t="s">
        <v>86</v>
      </c>
      <c r="P2762">
        <v>131</v>
      </c>
      <c r="Q2762">
        <v>6</v>
      </c>
      <c r="R2762">
        <v>36</v>
      </c>
      <c r="S2762">
        <v>1247</v>
      </c>
      <c r="T2762">
        <v>-40</v>
      </c>
      <c r="U2762">
        <v>51</v>
      </c>
      <c r="V2762">
        <v>280</v>
      </c>
      <c r="W2762">
        <v>31</v>
      </c>
      <c r="X2762">
        <v>31</v>
      </c>
      <c r="Y2762">
        <v>1</v>
      </c>
      <c r="Z2762">
        <v>8</v>
      </c>
      <c r="AA2762">
        <v>27</v>
      </c>
      <c r="AB2762">
        <v>2</v>
      </c>
      <c r="AC2762">
        <v>3</v>
      </c>
      <c r="AD2762">
        <v>3.2750001000000002</v>
      </c>
      <c r="AE2762">
        <v>1</v>
      </c>
      <c r="AF2762">
        <v>36</v>
      </c>
      <c r="AG2762">
        <v>3.2650001</v>
      </c>
      <c r="AH2762">
        <v>4</v>
      </c>
      <c r="AI2762">
        <v>17</v>
      </c>
      <c r="AJ2762">
        <v>1</v>
      </c>
      <c r="AK2762">
        <v>18</v>
      </c>
      <c r="AL2762">
        <v>51</v>
      </c>
      <c r="AM2762" t="s">
        <v>43</v>
      </c>
      <c r="AN2762" t="str">
        <f>HYPERLINK("https://www.google.com/maps?q=10.78291988,79.20355988","Open Location")</f>
        <v>Open Location</v>
      </c>
    </row>
    <row r="2763" spans="1:40" x14ac:dyDescent="0.3">
      <c r="A2763" s="1">
        <v>46210.679861111108</v>
      </c>
      <c r="B2763" t="s">
        <v>40</v>
      </c>
      <c r="C2763" t="s">
        <v>41</v>
      </c>
      <c r="D2763" s="1">
        <v>46210.682650462964</v>
      </c>
      <c r="E2763" t="s">
        <v>42</v>
      </c>
      <c r="F2763" t="s">
        <v>83</v>
      </c>
      <c r="G2763">
        <v>45</v>
      </c>
      <c r="H2763" t="s">
        <v>43</v>
      </c>
      <c r="I2763" t="s">
        <v>1499</v>
      </c>
      <c r="J2763">
        <v>64</v>
      </c>
      <c r="K2763">
        <v>64</v>
      </c>
      <c r="L2763">
        <v>98</v>
      </c>
      <c r="M2763">
        <v>626.90002441000001</v>
      </c>
      <c r="N2763" t="s">
        <v>87</v>
      </c>
      <c r="O2763" t="s">
        <v>86</v>
      </c>
      <c r="P2763">
        <v>131</v>
      </c>
      <c r="Q2763">
        <v>6</v>
      </c>
      <c r="R2763">
        <v>36</v>
      </c>
      <c r="S2763">
        <v>1246</v>
      </c>
      <c r="T2763">
        <v>-40</v>
      </c>
      <c r="U2763">
        <v>51</v>
      </c>
      <c r="V2763">
        <v>280</v>
      </c>
      <c r="W2763">
        <v>31</v>
      </c>
      <c r="X2763">
        <v>31</v>
      </c>
      <c r="Y2763">
        <v>1</v>
      </c>
      <c r="Z2763">
        <v>8</v>
      </c>
      <c r="AA2763">
        <v>27</v>
      </c>
      <c r="AB2763">
        <v>2</v>
      </c>
      <c r="AC2763">
        <v>3</v>
      </c>
      <c r="AD2763">
        <v>3.27399993</v>
      </c>
      <c r="AE2763">
        <v>1</v>
      </c>
      <c r="AF2763">
        <v>36</v>
      </c>
      <c r="AG2763">
        <v>3.2639999400000002</v>
      </c>
      <c r="AH2763">
        <v>4</v>
      </c>
      <c r="AI2763">
        <v>17</v>
      </c>
      <c r="AJ2763" t="s">
        <v>43</v>
      </c>
      <c r="AK2763" t="s">
        <v>43</v>
      </c>
      <c r="AL2763" t="s">
        <v>43</v>
      </c>
      <c r="AM2763" t="s">
        <v>43</v>
      </c>
      <c r="AN2763" t="str">
        <f>HYPERLINK("https://www.google.com/maps?q=10.7827282,79.20492554","Open Location")</f>
        <v>Open Location</v>
      </c>
    </row>
    <row r="2764" spans="1:40" x14ac:dyDescent="0.3">
      <c r="A2764" s="1">
        <v>46210.679745370369</v>
      </c>
      <c r="B2764" t="s">
        <v>40</v>
      </c>
      <c r="C2764" t="s">
        <v>41</v>
      </c>
      <c r="D2764" s="1">
        <v>46210.682523148149</v>
      </c>
      <c r="E2764" t="s">
        <v>42</v>
      </c>
      <c r="F2764" t="s">
        <v>83</v>
      </c>
      <c r="G2764">
        <v>45</v>
      </c>
      <c r="H2764">
        <v>33164</v>
      </c>
      <c r="I2764" t="s">
        <v>43</v>
      </c>
      <c r="J2764">
        <v>64</v>
      </c>
      <c r="K2764">
        <v>64</v>
      </c>
      <c r="L2764">
        <v>98</v>
      </c>
      <c r="M2764">
        <v>626.29998779000005</v>
      </c>
      <c r="N2764" t="s">
        <v>87</v>
      </c>
      <c r="O2764" t="s">
        <v>86</v>
      </c>
      <c r="P2764">
        <v>131</v>
      </c>
      <c r="Q2764">
        <v>6</v>
      </c>
      <c r="R2764">
        <v>36</v>
      </c>
      <c r="S2764">
        <v>1233</v>
      </c>
      <c r="T2764">
        <v>-40</v>
      </c>
      <c r="U2764">
        <v>51</v>
      </c>
      <c r="V2764">
        <v>280</v>
      </c>
      <c r="W2764">
        <v>31</v>
      </c>
      <c r="X2764">
        <v>31</v>
      </c>
      <c r="Y2764">
        <v>1</v>
      </c>
      <c r="Z2764">
        <v>8</v>
      </c>
      <c r="AA2764">
        <v>27</v>
      </c>
      <c r="AB2764">
        <v>2</v>
      </c>
      <c r="AC2764">
        <v>3</v>
      </c>
      <c r="AD2764">
        <v>3.27399993</v>
      </c>
      <c r="AE2764">
        <v>5</v>
      </c>
      <c r="AF2764">
        <v>38</v>
      </c>
      <c r="AG2764">
        <v>3.2639999400000002</v>
      </c>
      <c r="AH2764">
        <v>4</v>
      </c>
      <c r="AI2764">
        <v>17</v>
      </c>
      <c r="AJ2764">
        <v>1</v>
      </c>
      <c r="AK2764">
        <v>18</v>
      </c>
      <c r="AL2764">
        <v>51</v>
      </c>
      <c r="AM2764" t="s">
        <v>43</v>
      </c>
      <c r="AN2764" t="s">
        <v>43</v>
      </c>
    </row>
    <row r="2765" spans="1:40" x14ac:dyDescent="0.3">
      <c r="A2765" s="1">
        <v>46210.679629629631</v>
      </c>
      <c r="B2765" t="s">
        <v>40</v>
      </c>
      <c r="C2765" t="s">
        <v>41</v>
      </c>
      <c r="D2765" s="1">
        <v>46210.68246527778</v>
      </c>
      <c r="E2765" t="s">
        <v>42</v>
      </c>
      <c r="F2765" t="s">
        <v>83</v>
      </c>
      <c r="G2765">
        <v>44</v>
      </c>
      <c r="H2765">
        <v>33164</v>
      </c>
      <c r="I2765" t="s">
        <v>1500</v>
      </c>
      <c r="J2765">
        <v>64</v>
      </c>
      <c r="K2765">
        <v>81</v>
      </c>
      <c r="L2765">
        <v>98</v>
      </c>
      <c r="M2765">
        <v>625.59997558999999</v>
      </c>
      <c r="N2765" t="s">
        <v>87</v>
      </c>
      <c r="O2765" t="s">
        <v>86</v>
      </c>
      <c r="P2765">
        <v>131</v>
      </c>
      <c r="Q2765">
        <v>6</v>
      </c>
      <c r="R2765">
        <v>36</v>
      </c>
      <c r="S2765">
        <v>1225</v>
      </c>
      <c r="T2765">
        <v>-40</v>
      </c>
      <c r="U2765">
        <v>52</v>
      </c>
      <c r="V2765">
        <v>360</v>
      </c>
      <c r="W2765" t="s">
        <v>43</v>
      </c>
      <c r="X2765" t="s">
        <v>43</v>
      </c>
      <c r="Y2765" t="s">
        <v>43</v>
      </c>
      <c r="Z2765" t="s">
        <v>43</v>
      </c>
      <c r="AA2765" t="s">
        <v>43</v>
      </c>
      <c r="AB2765" t="s">
        <v>43</v>
      </c>
      <c r="AC2765" t="s">
        <v>43</v>
      </c>
      <c r="AD2765" t="s">
        <v>43</v>
      </c>
      <c r="AE2765" t="s">
        <v>43</v>
      </c>
      <c r="AF2765" t="s">
        <v>43</v>
      </c>
      <c r="AG2765" t="s">
        <v>43</v>
      </c>
      <c r="AH2765" t="s">
        <v>43</v>
      </c>
      <c r="AI2765" t="s">
        <v>43</v>
      </c>
      <c r="AJ2765" t="s">
        <v>43</v>
      </c>
      <c r="AK2765" t="s">
        <v>43</v>
      </c>
      <c r="AL2765" t="s">
        <v>43</v>
      </c>
      <c r="AM2765" t="s">
        <v>43</v>
      </c>
      <c r="AN2765" t="str">
        <f>HYPERLINK("https://www.google.com/maps?q=10.78261089,79.2062912","Open Location")</f>
        <v>Open Location</v>
      </c>
    </row>
    <row r="2766" spans="1:40" x14ac:dyDescent="0.3">
      <c r="A2766" s="1">
        <v>46210.679513888892</v>
      </c>
      <c r="B2766" t="s">
        <v>40</v>
      </c>
      <c r="C2766" t="s">
        <v>41</v>
      </c>
      <c r="D2766" s="1">
        <v>46210.68246527778</v>
      </c>
      <c r="E2766" t="s">
        <v>42</v>
      </c>
      <c r="F2766" t="s">
        <v>83</v>
      </c>
      <c r="G2766">
        <v>44</v>
      </c>
      <c r="H2766">
        <v>33164</v>
      </c>
      <c r="I2766" t="s">
        <v>1501</v>
      </c>
      <c r="J2766">
        <v>64</v>
      </c>
      <c r="K2766">
        <v>115</v>
      </c>
      <c r="L2766">
        <v>98</v>
      </c>
      <c r="M2766">
        <v>624.09997558999999</v>
      </c>
      <c r="N2766" t="s">
        <v>87</v>
      </c>
      <c r="O2766" t="s">
        <v>86</v>
      </c>
      <c r="P2766">
        <v>131</v>
      </c>
      <c r="Q2766">
        <v>6</v>
      </c>
      <c r="R2766">
        <v>45</v>
      </c>
      <c r="S2766">
        <v>1219</v>
      </c>
      <c r="T2766">
        <v>-40</v>
      </c>
      <c r="U2766">
        <v>52</v>
      </c>
      <c r="V2766">
        <v>520</v>
      </c>
      <c r="W2766">
        <v>31</v>
      </c>
      <c r="X2766">
        <v>31</v>
      </c>
      <c r="Y2766">
        <v>1</v>
      </c>
      <c r="Z2766">
        <v>8</v>
      </c>
      <c r="AA2766">
        <v>27</v>
      </c>
      <c r="AB2766">
        <v>2</v>
      </c>
      <c r="AC2766">
        <v>3</v>
      </c>
      <c r="AD2766">
        <v>3.2660000299999998</v>
      </c>
      <c r="AE2766">
        <v>1</v>
      </c>
      <c r="AF2766">
        <v>36</v>
      </c>
      <c r="AG2766">
        <v>3.2539999499999999</v>
      </c>
      <c r="AH2766">
        <v>4</v>
      </c>
      <c r="AI2766">
        <v>17</v>
      </c>
      <c r="AJ2766">
        <v>1</v>
      </c>
      <c r="AK2766">
        <v>18</v>
      </c>
      <c r="AL2766">
        <v>51</v>
      </c>
      <c r="AM2766" t="s">
        <v>43</v>
      </c>
      <c r="AN2766" t="str">
        <f>HYPERLINK("https://www.google.com/maps?q=10.78250694,79.2076416","Open Location")</f>
        <v>Open Location</v>
      </c>
    </row>
    <row r="2767" spans="1:40" x14ac:dyDescent="0.3">
      <c r="A2767" s="1">
        <v>46210.679398148146</v>
      </c>
      <c r="B2767" t="s">
        <v>40</v>
      </c>
      <c r="C2767" t="s">
        <v>41</v>
      </c>
      <c r="D2767" s="1">
        <v>46210.682372685187</v>
      </c>
      <c r="E2767" t="s">
        <v>42</v>
      </c>
      <c r="F2767" t="s">
        <v>83</v>
      </c>
      <c r="G2767">
        <v>44</v>
      </c>
      <c r="H2767">
        <v>33164</v>
      </c>
      <c r="I2767" t="s">
        <v>1502</v>
      </c>
      <c r="J2767">
        <v>64</v>
      </c>
      <c r="K2767">
        <v>83</v>
      </c>
      <c r="L2767">
        <v>98</v>
      </c>
      <c r="M2767">
        <v>625.40002441000001</v>
      </c>
      <c r="N2767" t="s">
        <v>87</v>
      </c>
      <c r="O2767" t="s">
        <v>86</v>
      </c>
      <c r="P2767">
        <v>131</v>
      </c>
      <c r="Q2767">
        <v>6</v>
      </c>
      <c r="R2767">
        <v>54</v>
      </c>
      <c r="S2767">
        <v>1252</v>
      </c>
      <c r="T2767">
        <v>-40</v>
      </c>
      <c r="U2767">
        <v>52</v>
      </c>
      <c r="V2767">
        <v>360</v>
      </c>
      <c r="W2767">
        <v>31</v>
      </c>
      <c r="X2767">
        <v>31</v>
      </c>
      <c r="Y2767">
        <v>1</v>
      </c>
      <c r="Z2767">
        <v>8</v>
      </c>
      <c r="AA2767">
        <v>27</v>
      </c>
      <c r="AB2767">
        <v>2</v>
      </c>
      <c r="AC2767">
        <v>3</v>
      </c>
      <c r="AD2767">
        <v>3.2660000299999998</v>
      </c>
      <c r="AE2767">
        <v>5</v>
      </c>
      <c r="AF2767">
        <v>38</v>
      </c>
      <c r="AG2767">
        <v>3.2539999499999999</v>
      </c>
      <c r="AH2767">
        <v>4</v>
      </c>
      <c r="AI2767">
        <v>17</v>
      </c>
      <c r="AJ2767">
        <v>1</v>
      </c>
      <c r="AK2767">
        <v>18</v>
      </c>
      <c r="AL2767">
        <v>51</v>
      </c>
      <c r="AM2767" t="s">
        <v>43</v>
      </c>
      <c r="AN2767" t="str">
        <f>HYPERLINK("https://www.google.com/maps?q=10.78240108,79.20910645","Open Location")</f>
        <v>Open Location</v>
      </c>
    </row>
    <row r="2768" spans="1:40" x14ac:dyDescent="0.3">
      <c r="A2768" s="1">
        <v>46210.679282407407</v>
      </c>
      <c r="B2768" t="s">
        <v>40</v>
      </c>
      <c r="C2768" t="s">
        <v>41</v>
      </c>
      <c r="D2768" s="1">
        <v>46210.682013888887</v>
      </c>
      <c r="E2768" t="s">
        <v>42</v>
      </c>
      <c r="F2768" t="s">
        <v>83</v>
      </c>
      <c r="G2768">
        <v>46</v>
      </c>
      <c r="H2768">
        <v>33164</v>
      </c>
      <c r="I2768" t="s">
        <v>1503</v>
      </c>
      <c r="J2768">
        <v>64</v>
      </c>
      <c r="K2768">
        <v>144</v>
      </c>
      <c r="L2768">
        <v>98</v>
      </c>
      <c r="M2768">
        <v>623.29998779000005</v>
      </c>
      <c r="N2768" t="s">
        <v>87</v>
      </c>
      <c r="O2768" t="s">
        <v>86</v>
      </c>
      <c r="P2768">
        <v>131</v>
      </c>
      <c r="Q2768">
        <v>6</v>
      </c>
      <c r="R2768">
        <v>61</v>
      </c>
      <c r="S2768">
        <v>1264</v>
      </c>
      <c r="T2768">
        <v>-40</v>
      </c>
      <c r="U2768">
        <v>53</v>
      </c>
      <c r="V2768">
        <v>620</v>
      </c>
      <c r="W2768">
        <v>31</v>
      </c>
      <c r="X2768">
        <v>31</v>
      </c>
      <c r="Y2768">
        <v>1</v>
      </c>
      <c r="Z2768">
        <v>8</v>
      </c>
      <c r="AA2768">
        <v>27</v>
      </c>
      <c r="AB2768">
        <v>2</v>
      </c>
      <c r="AC2768">
        <v>3</v>
      </c>
      <c r="AD2768">
        <v>3.2569999699999999</v>
      </c>
      <c r="AE2768">
        <v>1</v>
      </c>
      <c r="AF2768">
        <v>42</v>
      </c>
      <c r="AG2768">
        <v>3.2420000999999998</v>
      </c>
      <c r="AH2768">
        <v>4</v>
      </c>
      <c r="AI2768">
        <v>17</v>
      </c>
      <c r="AJ2768">
        <v>1</v>
      </c>
      <c r="AK2768">
        <v>18</v>
      </c>
      <c r="AL2768">
        <v>51</v>
      </c>
      <c r="AM2768" t="s">
        <v>43</v>
      </c>
      <c r="AN2768" t="str">
        <f>HYPERLINK("https://www.google.com/maps?q=10.78230095,79.21048737","Open Location")</f>
        <v>Open Location</v>
      </c>
    </row>
    <row r="2769" spans="1:40" x14ac:dyDescent="0.3">
      <c r="A2769" s="1">
        <v>46210.679166666669</v>
      </c>
      <c r="B2769" t="s">
        <v>40</v>
      </c>
      <c r="C2769" t="s">
        <v>41</v>
      </c>
      <c r="D2769" s="1">
        <v>46210.682303240741</v>
      </c>
      <c r="E2769" t="s">
        <v>42</v>
      </c>
      <c r="F2769" t="s">
        <v>83</v>
      </c>
      <c r="G2769">
        <v>45</v>
      </c>
      <c r="H2769">
        <v>33164</v>
      </c>
      <c r="I2769" t="s">
        <v>1504</v>
      </c>
      <c r="J2769">
        <v>64</v>
      </c>
      <c r="K2769">
        <v>128</v>
      </c>
      <c r="L2769">
        <v>98</v>
      </c>
      <c r="M2769">
        <v>623.59997558999999</v>
      </c>
      <c r="N2769" t="s">
        <v>87</v>
      </c>
      <c r="O2769" t="s">
        <v>86</v>
      </c>
      <c r="P2769">
        <v>131</v>
      </c>
      <c r="Q2769">
        <v>6</v>
      </c>
      <c r="R2769">
        <v>84</v>
      </c>
      <c r="S2769">
        <v>1261</v>
      </c>
      <c r="T2769">
        <v>-40</v>
      </c>
      <c r="U2769">
        <v>53</v>
      </c>
      <c r="V2769">
        <v>560</v>
      </c>
      <c r="W2769">
        <v>31</v>
      </c>
      <c r="X2769">
        <v>31</v>
      </c>
      <c r="Y2769">
        <v>1</v>
      </c>
      <c r="Z2769">
        <v>8</v>
      </c>
      <c r="AA2769">
        <v>27</v>
      </c>
      <c r="AB2769">
        <v>2</v>
      </c>
      <c r="AC2769">
        <v>3</v>
      </c>
      <c r="AD2769" t="s">
        <v>43</v>
      </c>
      <c r="AE2769" t="s">
        <v>43</v>
      </c>
      <c r="AF2769" t="s">
        <v>43</v>
      </c>
      <c r="AG2769" t="s">
        <v>43</v>
      </c>
      <c r="AH2769" t="s">
        <v>43</v>
      </c>
      <c r="AI2769" t="s">
        <v>43</v>
      </c>
      <c r="AJ2769" t="s">
        <v>43</v>
      </c>
      <c r="AK2769" t="s">
        <v>43</v>
      </c>
      <c r="AL2769" t="s">
        <v>43</v>
      </c>
      <c r="AM2769" t="s">
        <v>43</v>
      </c>
      <c r="AN2769" t="str">
        <f>HYPERLINK("https://www.google.com/maps?q=10.7822094,79.21188354","Open Location")</f>
        <v>Open Location</v>
      </c>
    </row>
    <row r="2770" spans="1:40" x14ac:dyDescent="0.3">
      <c r="A2770" s="1">
        <v>46210.679050925923</v>
      </c>
      <c r="B2770" t="s">
        <v>40</v>
      </c>
      <c r="C2770" t="s">
        <v>41</v>
      </c>
      <c r="D2770" s="1">
        <v>46210.681956018518</v>
      </c>
      <c r="E2770" t="s">
        <v>42</v>
      </c>
      <c r="F2770" t="s">
        <v>83</v>
      </c>
      <c r="G2770">
        <v>45</v>
      </c>
      <c r="H2770">
        <v>33164</v>
      </c>
      <c r="I2770" t="s">
        <v>43</v>
      </c>
      <c r="J2770">
        <v>64</v>
      </c>
      <c r="K2770">
        <v>92</v>
      </c>
      <c r="L2770">
        <v>98</v>
      </c>
      <c r="M2770">
        <v>624.70001220999995</v>
      </c>
      <c r="N2770" t="s">
        <v>87</v>
      </c>
      <c r="O2770" t="s">
        <v>86</v>
      </c>
      <c r="P2770">
        <v>131</v>
      </c>
      <c r="Q2770">
        <v>6</v>
      </c>
      <c r="R2770">
        <v>60</v>
      </c>
      <c r="S2770">
        <v>1257</v>
      </c>
      <c r="T2770">
        <v>-40</v>
      </c>
      <c r="U2770">
        <v>52</v>
      </c>
      <c r="V2770">
        <v>380</v>
      </c>
      <c r="W2770">
        <v>32</v>
      </c>
      <c r="X2770">
        <v>32</v>
      </c>
      <c r="Y2770">
        <v>1</v>
      </c>
      <c r="Z2770">
        <v>8</v>
      </c>
      <c r="AA2770">
        <v>27</v>
      </c>
      <c r="AB2770">
        <v>2</v>
      </c>
      <c r="AC2770">
        <v>3</v>
      </c>
      <c r="AD2770">
        <v>3.2650001</v>
      </c>
      <c r="AE2770">
        <v>5</v>
      </c>
      <c r="AF2770">
        <v>38</v>
      </c>
      <c r="AG2770">
        <v>3.25300002</v>
      </c>
      <c r="AH2770">
        <v>4</v>
      </c>
      <c r="AI2770">
        <v>17</v>
      </c>
      <c r="AJ2770">
        <v>1</v>
      </c>
      <c r="AK2770">
        <v>17</v>
      </c>
      <c r="AL2770">
        <v>51</v>
      </c>
      <c r="AM2770" t="s">
        <v>43</v>
      </c>
      <c r="AN2770" t="s">
        <v>43</v>
      </c>
    </row>
    <row r="2771" spans="1:40" x14ac:dyDescent="0.3">
      <c r="A2771" s="1">
        <v>46210.678935185184</v>
      </c>
      <c r="B2771" t="s">
        <v>40</v>
      </c>
      <c r="C2771" t="s">
        <v>41</v>
      </c>
      <c r="D2771" s="1">
        <v>46210.681770833333</v>
      </c>
      <c r="E2771" t="s">
        <v>42</v>
      </c>
      <c r="F2771" t="s">
        <v>83</v>
      </c>
      <c r="G2771">
        <v>45</v>
      </c>
      <c r="H2771">
        <v>33163</v>
      </c>
      <c r="I2771" t="s">
        <v>1505</v>
      </c>
      <c r="J2771">
        <v>64</v>
      </c>
      <c r="K2771">
        <v>131</v>
      </c>
      <c r="L2771">
        <v>98</v>
      </c>
      <c r="M2771">
        <v>623.59997558999999</v>
      </c>
      <c r="N2771" t="s">
        <v>87</v>
      </c>
      <c r="O2771" t="s">
        <v>86</v>
      </c>
      <c r="P2771">
        <v>131</v>
      </c>
      <c r="Q2771">
        <v>6</v>
      </c>
      <c r="R2771">
        <v>78</v>
      </c>
      <c r="S2771">
        <v>1232</v>
      </c>
      <c r="T2771">
        <v>-40</v>
      </c>
      <c r="U2771">
        <v>53</v>
      </c>
      <c r="V2771">
        <v>580</v>
      </c>
      <c r="W2771">
        <v>32</v>
      </c>
      <c r="X2771">
        <v>32</v>
      </c>
      <c r="Y2771">
        <v>1</v>
      </c>
      <c r="Z2771">
        <v>8</v>
      </c>
      <c r="AA2771">
        <v>27</v>
      </c>
      <c r="AB2771">
        <v>2</v>
      </c>
      <c r="AC2771">
        <v>3</v>
      </c>
      <c r="AD2771" t="s">
        <v>43</v>
      </c>
      <c r="AE2771" t="s">
        <v>43</v>
      </c>
      <c r="AF2771" t="s">
        <v>43</v>
      </c>
      <c r="AG2771" t="s">
        <v>43</v>
      </c>
      <c r="AH2771" t="s">
        <v>43</v>
      </c>
      <c r="AI2771" t="s">
        <v>43</v>
      </c>
      <c r="AJ2771" t="s">
        <v>43</v>
      </c>
      <c r="AK2771" t="s">
        <v>43</v>
      </c>
      <c r="AL2771" t="s">
        <v>43</v>
      </c>
      <c r="AM2771" t="s">
        <v>43</v>
      </c>
      <c r="AN2771" t="str">
        <f>HYPERLINK("https://www.google.com/maps?q=10.78214264,79.21327209","Open Location")</f>
        <v>Open Location</v>
      </c>
    </row>
    <row r="2772" spans="1:40" x14ac:dyDescent="0.3">
      <c r="A2772" s="1">
        <v>46210.678819444445</v>
      </c>
      <c r="B2772" t="s">
        <v>40</v>
      </c>
      <c r="C2772" t="s">
        <v>41</v>
      </c>
      <c r="D2772" s="1">
        <v>46210.681527777779</v>
      </c>
      <c r="E2772" t="s">
        <v>42</v>
      </c>
      <c r="F2772" t="s">
        <v>83</v>
      </c>
      <c r="G2772">
        <v>45</v>
      </c>
      <c r="H2772" t="s">
        <v>43</v>
      </c>
      <c r="I2772" t="s">
        <v>1506</v>
      </c>
      <c r="J2772">
        <v>65</v>
      </c>
      <c r="K2772">
        <v>137</v>
      </c>
      <c r="L2772">
        <v>98</v>
      </c>
      <c r="M2772">
        <v>623</v>
      </c>
      <c r="N2772" t="s">
        <v>87</v>
      </c>
      <c r="O2772" t="s">
        <v>86</v>
      </c>
      <c r="P2772">
        <v>131</v>
      </c>
      <c r="Q2772">
        <v>6</v>
      </c>
      <c r="R2772">
        <v>77</v>
      </c>
      <c r="S2772">
        <v>1267</v>
      </c>
      <c r="T2772">
        <v>-40</v>
      </c>
      <c r="U2772">
        <v>53</v>
      </c>
      <c r="V2772">
        <v>600</v>
      </c>
      <c r="W2772">
        <v>32</v>
      </c>
      <c r="X2772">
        <v>32</v>
      </c>
      <c r="Y2772">
        <v>1</v>
      </c>
      <c r="Z2772">
        <v>8</v>
      </c>
      <c r="AA2772">
        <v>27</v>
      </c>
      <c r="AB2772">
        <v>2</v>
      </c>
      <c r="AC2772">
        <v>3</v>
      </c>
      <c r="AD2772">
        <v>3.2579999000000002</v>
      </c>
      <c r="AE2772">
        <v>1</v>
      </c>
      <c r="AF2772">
        <v>42</v>
      </c>
      <c r="AG2772">
        <v>3.2430000300000001</v>
      </c>
      <c r="AH2772">
        <v>4</v>
      </c>
      <c r="AI2772">
        <v>17</v>
      </c>
      <c r="AJ2772">
        <v>1</v>
      </c>
      <c r="AK2772">
        <v>17</v>
      </c>
      <c r="AL2772">
        <v>52</v>
      </c>
      <c r="AM2772" t="s">
        <v>43</v>
      </c>
      <c r="AN2772" t="str">
        <f>HYPERLINK("https://www.google.com/maps?q=10.782094,79.21463776","Open Location")</f>
        <v>Open Location</v>
      </c>
    </row>
    <row r="2773" spans="1:40" x14ac:dyDescent="0.3">
      <c r="A2773" s="1">
        <v>46210.678703703707</v>
      </c>
      <c r="B2773" t="s">
        <v>40</v>
      </c>
      <c r="C2773" t="s">
        <v>41</v>
      </c>
      <c r="D2773" s="1">
        <v>46210.681481481479</v>
      </c>
      <c r="E2773" t="s">
        <v>42</v>
      </c>
      <c r="F2773" t="s">
        <v>83</v>
      </c>
      <c r="G2773">
        <v>46</v>
      </c>
      <c r="H2773">
        <v>33163</v>
      </c>
      <c r="I2773" t="s">
        <v>1507</v>
      </c>
      <c r="J2773">
        <v>65</v>
      </c>
      <c r="K2773">
        <v>114</v>
      </c>
      <c r="L2773">
        <v>98</v>
      </c>
      <c r="M2773">
        <v>623.79998779000005</v>
      </c>
      <c r="N2773" t="s">
        <v>87</v>
      </c>
      <c r="O2773" t="s">
        <v>86</v>
      </c>
      <c r="P2773">
        <v>131</v>
      </c>
      <c r="Q2773">
        <v>6</v>
      </c>
      <c r="R2773">
        <v>79</v>
      </c>
      <c r="S2773">
        <v>1287</v>
      </c>
      <c r="T2773">
        <v>-40</v>
      </c>
      <c r="U2773">
        <v>52</v>
      </c>
      <c r="V2773">
        <v>500</v>
      </c>
      <c r="W2773">
        <v>32</v>
      </c>
      <c r="X2773">
        <v>32</v>
      </c>
      <c r="Y2773">
        <v>1</v>
      </c>
      <c r="Z2773">
        <v>8</v>
      </c>
      <c r="AA2773">
        <v>27</v>
      </c>
      <c r="AB2773">
        <v>2</v>
      </c>
      <c r="AC2773">
        <v>3</v>
      </c>
      <c r="AD2773">
        <v>3.26200008</v>
      </c>
      <c r="AE2773">
        <v>5</v>
      </c>
      <c r="AF2773">
        <v>38</v>
      </c>
      <c r="AG2773">
        <v>3.24699998</v>
      </c>
      <c r="AH2773">
        <v>4</v>
      </c>
      <c r="AI2773">
        <v>17</v>
      </c>
      <c r="AJ2773">
        <v>1</v>
      </c>
      <c r="AK2773">
        <v>18</v>
      </c>
      <c r="AL2773">
        <v>52</v>
      </c>
      <c r="AM2773" t="s">
        <v>43</v>
      </c>
      <c r="AN2773" t="str">
        <f>HYPERLINK("https://www.google.com/maps?q=10.78199959,79.21604156","Open Location")</f>
        <v>Open Location</v>
      </c>
    </row>
    <row r="2774" spans="1:40" x14ac:dyDescent="0.3">
      <c r="A2774" s="1">
        <v>46210.678587962961</v>
      </c>
      <c r="B2774" t="s">
        <v>40</v>
      </c>
      <c r="C2774" t="s">
        <v>41</v>
      </c>
      <c r="D2774" s="1">
        <v>46210.681180555555</v>
      </c>
      <c r="E2774" t="s">
        <v>42</v>
      </c>
      <c r="F2774" t="s">
        <v>83</v>
      </c>
      <c r="G2774">
        <v>46</v>
      </c>
      <c r="H2774">
        <v>33163</v>
      </c>
      <c r="I2774" t="s">
        <v>1508</v>
      </c>
      <c r="J2774">
        <v>65</v>
      </c>
      <c r="K2774">
        <v>98</v>
      </c>
      <c r="L2774">
        <v>98</v>
      </c>
      <c r="M2774">
        <v>625.40002441000001</v>
      </c>
      <c r="N2774" t="s">
        <v>87</v>
      </c>
      <c r="O2774" t="s">
        <v>86</v>
      </c>
      <c r="P2774">
        <v>131</v>
      </c>
      <c r="Q2774">
        <v>6</v>
      </c>
      <c r="R2774">
        <v>56</v>
      </c>
      <c r="S2774">
        <v>1274</v>
      </c>
      <c r="T2774">
        <v>-40</v>
      </c>
      <c r="U2774">
        <v>52</v>
      </c>
      <c r="V2774">
        <v>420</v>
      </c>
      <c r="W2774">
        <v>32</v>
      </c>
      <c r="X2774">
        <v>32</v>
      </c>
      <c r="Y2774">
        <v>1</v>
      </c>
      <c r="Z2774">
        <v>8</v>
      </c>
      <c r="AA2774">
        <v>27</v>
      </c>
      <c r="AB2774">
        <v>2</v>
      </c>
      <c r="AC2774">
        <v>3</v>
      </c>
      <c r="AD2774">
        <v>3.2660000299999998</v>
      </c>
      <c r="AE2774">
        <v>1</v>
      </c>
      <c r="AF2774">
        <v>36</v>
      </c>
      <c r="AG2774">
        <v>3.2539999499999999</v>
      </c>
      <c r="AH2774">
        <v>4</v>
      </c>
      <c r="AI2774">
        <v>17</v>
      </c>
      <c r="AJ2774">
        <v>1</v>
      </c>
      <c r="AK2774">
        <v>19</v>
      </c>
      <c r="AL2774">
        <v>52</v>
      </c>
      <c r="AM2774" t="s">
        <v>43</v>
      </c>
      <c r="AN2774" t="str">
        <f>HYPERLINK("https://www.google.com/maps?q=10.78208065,79.21743774","Open Location")</f>
        <v>Open Location</v>
      </c>
    </row>
    <row r="2775" spans="1:40" x14ac:dyDescent="0.3">
      <c r="A2775" s="1">
        <v>46210.678472222222</v>
      </c>
      <c r="B2775" t="s">
        <v>40</v>
      </c>
      <c r="C2775" t="s">
        <v>41</v>
      </c>
      <c r="D2775" s="1">
        <v>46210.681446759256</v>
      </c>
      <c r="E2775" t="s">
        <v>42</v>
      </c>
      <c r="F2775" t="s">
        <v>83</v>
      </c>
      <c r="G2775">
        <v>45</v>
      </c>
      <c r="H2775">
        <v>33163</v>
      </c>
      <c r="I2775" t="s">
        <v>43</v>
      </c>
      <c r="J2775">
        <v>65</v>
      </c>
      <c r="K2775">
        <v>163</v>
      </c>
      <c r="L2775">
        <v>98</v>
      </c>
      <c r="M2775">
        <v>623.59997558999999</v>
      </c>
      <c r="N2775" t="s">
        <v>87</v>
      </c>
      <c r="O2775" t="s">
        <v>86</v>
      </c>
      <c r="P2775">
        <v>131</v>
      </c>
      <c r="Q2775">
        <v>6</v>
      </c>
      <c r="R2775">
        <v>79</v>
      </c>
      <c r="S2775">
        <v>1253</v>
      </c>
      <c r="T2775">
        <v>-40</v>
      </c>
      <c r="U2775">
        <v>53</v>
      </c>
      <c r="V2775">
        <v>780</v>
      </c>
      <c r="W2775">
        <v>32</v>
      </c>
      <c r="X2775">
        <v>32</v>
      </c>
      <c r="Y2775">
        <v>1</v>
      </c>
      <c r="Z2775">
        <v>8</v>
      </c>
      <c r="AA2775">
        <v>27</v>
      </c>
      <c r="AB2775">
        <v>2</v>
      </c>
      <c r="AC2775">
        <v>3</v>
      </c>
      <c r="AD2775">
        <v>3.2599999899999998</v>
      </c>
      <c r="AE2775">
        <v>5</v>
      </c>
      <c r="AF2775">
        <v>38</v>
      </c>
      <c r="AG2775">
        <v>3.2449998899999999</v>
      </c>
      <c r="AH2775">
        <v>4</v>
      </c>
      <c r="AI2775">
        <v>17</v>
      </c>
      <c r="AJ2775" t="s">
        <v>43</v>
      </c>
      <c r="AK2775" t="s">
        <v>43</v>
      </c>
      <c r="AL2775" t="s">
        <v>43</v>
      </c>
      <c r="AM2775" t="s">
        <v>43</v>
      </c>
      <c r="AN2775" t="s">
        <v>43</v>
      </c>
    </row>
    <row r="2776" spans="1:40" x14ac:dyDescent="0.3">
      <c r="A2776" s="1">
        <v>46210.678356481483</v>
      </c>
      <c r="B2776" t="s">
        <v>40</v>
      </c>
      <c r="C2776" t="s">
        <v>41</v>
      </c>
      <c r="D2776" s="1">
        <v>46210.681493055556</v>
      </c>
      <c r="E2776" t="s">
        <v>42</v>
      </c>
      <c r="F2776" t="s">
        <v>83</v>
      </c>
      <c r="G2776">
        <v>45</v>
      </c>
      <c r="H2776" t="s">
        <v>43</v>
      </c>
      <c r="I2776" t="s">
        <v>1509</v>
      </c>
      <c r="J2776">
        <v>65</v>
      </c>
      <c r="K2776">
        <v>144</v>
      </c>
      <c r="L2776">
        <v>98</v>
      </c>
      <c r="M2776">
        <v>624.20001220999995</v>
      </c>
      <c r="N2776" t="s">
        <v>87</v>
      </c>
      <c r="O2776" t="s">
        <v>86</v>
      </c>
      <c r="P2776">
        <v>131</v>
      </c>
      <c r="Q2776">
        <v>6</v>
      </c>
      <c r="R2776">
        <v>99</v>
      </c>
      <c r="S2776">
        <v>1240</v>
      </c>
      <c r="T2776">
        <v>-40</v>
      </c>
      <c r="U2776">
        <v>53</v>
      </c>
      <c r="V2776">
        <v>640</v>
      </c>
      <c r="W2776">
        <v>32</v>
      </c>
      <c r="X2776">
        <v>32</v>
      </c>
      <c r="Y2776">
        <v>1</v>
      </c>
      <c r="Z2776">
        <v>8</v>
      </c>
      <c r="AA2776">
        <v>27</v>
      </c>
      <c r="AB2776">
        <v>2</v>
      </c>
      <c r="AC2776">
        <v>3</v>
      </c>
      <c r="AD2776">
        <v>3.2579999000000002</v>
      </c>
      <c r="AE2776">
        <v>5</v>
      </c>
      <c r="AF2776">
        <v>38</v>
      </c>
      <c r="AG2776">
        <v>3.24099994</v>
      </c>
      <c r="AH2776">
        <v>4</v>
      </c>
      <c r="AI2776">
        <v>17</v>
      </c>
      <c r="AJ2776">
        <v>1</v>
      </c>
      <c r="AK2776">
        <v>19</v>
      </c>
      <c r="AL2776">
        <v>52</v>
      </c>
      <c r="AM2776" t="s">
        <v>43</v>
      </c>
      <c r="AN2776" t="str">
        <f>HYPERLINK("https://www.google.com/maps?q=10.78233433,79.21891785","Open Location")</f>
        <v>Open Location</v>
      </c>
    </row>
    <row r="2777" spans="1:40" x14ac:dyDescent="0.3">
      <c r="A2777" s="1">
        <v>46210.678240740737</v>
      </c>
      <c r="B2777" t="s">
        <v>40</v>
      </c>
      <c r="C2777" t="s">
        <v>41</v>
      </c>
      <c r="D2777" s="1">
        <v>46210.68105324074</v>
      </c>
      <c r="E2777" t="s">
        <v>42</v>
      </c>
      <c r="F2777" t="s">
        <v>83</v>
      </c>
      <c r="G2777">
        <v>45</v>
      </c>
      <c r="H2777">
        <v>33163</v>
      </c>
      <c r="I2777" t="s">
        <v>1510</v>
      </c>
      <c r="J2777">
        <v>65</v>
      </c>
      <c r="K2777">
        <v>180</v>
      </c>
      <c r="L2777">
        <v>98</v>
      </c>
      <c r="M2777">
        <v>621.40002441000001</v>
      </c>
      <c r="N2777" t="s">
        <v>87</v>
      </c>
      <c r="O2777" t="s">
        <v>86</v>
      </c>
      <c r="P2777">
        <v>131</v>
      </c>
      <c r="Q2777">
        <v>6</v>
      </c>
      <c r="R2777">
        <v>86</v>
      </c>
      <c r="S2777">
        <v>1246</v>
      </c>
      <c r="T2777">
        <v>-40</v>
      </c>
      <c r="U2777">
        <v>52</v>
      </c>
      <c r="V2777">
        <v>820</v>
      </c>
      <c r="W2777">
        <v>32</v>
      </c>
      <c r="X2777">
        <v>32</v>
      </c>
      <c r="Y2777">
        <v>1</v>
      </c>
      <c r="Z2777">
        <v>8</v>
      </c>
      <c r="AA2777">
        <v>27</v>
      </c>
      <c r="AB2777">
        <v>2</v>
      </c>
      <c r="AC2777">
        <v>3</v>
      </c>
      <c r="AD2777">
        <v>3.26200008</v>
      </c>
      <c r="AE2777">
        <v>5</v>
      </c>
      <c r="AF2777">
        <v>38</v>
      </c>
      <c r="AG2777">
        <v>3.2460000500000001</v>
      </c>
      <c r="AH2777">
        <v>4</v>
      </c>
      <c r="AI2777">
        <v>17</v>
      </c>
      <c r="AJ2777" t="s">
        <v>43</v>
      </c>
      <c r="AK2777" t="s">
        <v>43</v>
      </c>
      <c r="AL2777" t="s">
        <v>43</v>
      </c>
      <c r="AM2777" t="s">
        <v>43</v>
      </c>
      <c r="AN2777" t="str">
        <f>HYPERLINK("https://www.google.com/maps?q=10.78259277,79.22026825","Open Location")</f>
        <v>Open Location</v>
      </c>
    </row>
    <row r="2778" spans="1:40" x14ac:dyDescent="0.3">
      <c r="A2778" s="1">
        <v>46210.678124999999</v>
      </c>
      <c r="B2778" t="s">
        <v>40</v>
      </c>
      <c r="C2778" t="s">
        <v>41</v>
      </c>
      <c r="D2778" s="1">
        <v>46210.680949074071</v>
      </c>
      <c r="E2778" t="s">
        <v>42</v>
      </c>
      <c r="F2778" t="s">
        <v>83</v>
      </c>
      <c r="G2778">
        <v>45</v>
      </c>
      <c r="H2778">
        <v>33163</v>
      </c>
      <c r="I2778" t="s">
        <v>1511</v>
      </c>
      <c r="J2778">
        <v>65</v>
      </c>
      <c r="K2778">
        <v>73</v>
      </c>
      <c r="L2778">
        <v>98</v>
      </c>
      <c r="M2778">
        <v>627</v>
      </c>
      <c r="N2778" t="s">
        <v>87</v>
      </c>
      <c r="O2778" t="s">
        <v>86</v>
      </c>
      <c r="P2778">
        <v>131</v>
      </c>
      <c r="Q2778">
        <v>6</v>
      </c>
      <c r="R2778">
        <v>93</v>
      </c>
      <c r="S2778">
        <v>1264</v>
      </c>
      <c r="T2778">
        <v>-40</v>
      </c>
      <c r="U2778">
        <v>51</v>
      </c>
      <c r="V2778">
        <v>280</v>
      </c>
      <c r="W2778">
        <v>32</v>
      </c>
      <c r="X2778">
        <v>32</v>
      </c>
      <c r="Y2778">
        <v>1</v>
      </c>
      <c r="Z2778">
        <v>8</v>
      </c>
      <c r="AA2778">
        <v>27</v>
      </c>
      <c r="AB2778">
        <v>2</v>
      </c>
      <c r="AC2778">
        <v>3</v>
      </c>
      <c r="AD2778">
        <v>3.2750001000000002</v>
      </c>
      <c r="AE2778">
        <v>5</v>
      </c>
      <c r="AF2778">
        <v>38</v>
      </c>
      <c r="AG2778">
        <v>3.2599999899999998</v>
      </c>
      <c r="AH2778">
        <v>4</v>
      </c>
      <c r="AI2778">
        <v>17</v>
      </c>
      <c r="AJ2778">
        <v>1</v>
      </c>
      <c r="AK2778">
        <v>19</v>
      </c>
      <c r="AL2778">
        <v>52</v>
      </c>
      <c r="AM2778" t="s">
        <v>43</v>
      </c>
      <c r="AN2778" t="str">
        <f>HYPERLINK("https://www.google.com/maps?q=10.7825861,79.22164917","Open Location")</f>
        <v>Open Location</v>
      </c>
    </row>
    <row r="2779" spans="1:40" x14ac:dyDescent="0.3">
      <c r="A2779" s="1">
        <v>46210.67800925926</v>
      </c>
      <c r="B2779" t="s">
        <v>40</v>
      </c>
      <c r="C2779" t="s">
        <v>41</v>
      </c>
      <c r="D2779" s="1">
        <v>46210.680925925924</v>
      </c>
      <c r="E2779" t="s">
        <v>42</v>
      </c>
      <c r="F2779" t="s">
        <v>83</v>
      </c>
      <c r="G2779">
        <v>46</v>
      </c>
      <c r="H2779">
        <v>33162</v>
      </c>
      <c r="I2779" t="s">
        <v>1512</v>
      </c>
      <c r="J2779">
        <v>65</v>
      </c>
      <c r="K2779">
        <v>82</v>
      </c>
      <c r="L2779">
        <v>98</v>
      </c>
      <c r="M2779">
        <v>626.09997558999999</v>
      </c>
      <c r="N2779" t="s">
        <v>87</v>
      </c>
      <c r="O2779" t="s">
        <v>86</v>
      </c>
      <c r="P2779">
        <v>131</v>
      </c>
      <c r="Q2779">
        <v>6</v>
      </c>
      <c r="R2779">
        <v>37</v>
      </c>
      <c r="S2779">
        <v>1290</v>
      </c>
      <c r="T2779">
        <v>-40</v>
      </c>
      <c r="U2779">
        <v>50</v>
      </c>
      <c r="V2779">
        <v>320</v>
      </c>
      <c r="W2779">
        <v>32</v>
      </c>
      <c r="X2779">
        <v>32</v>
      </c>
      <c r="Y2779">
        <v>1</v>
      </c>
      <c r="Z2779">
        <v>8</v>
      </c>
      <c r="AA2779">
        <v>27</v>
      </c>
      <c r="AB2779">
        <v>2</v>
      </c>
      <c r="AC2779">
        <v>3</v>
      </c>
      <c r="AD2779">
        <v>3.27399993</v>
      </c>
      <c r="AE2779">
        <v>1</v>
      </c>
      <c r="AF2779">
        <v>36</v>
      </c>
      <c r="AG2779">
        <v>3.26200008</v>
      </c>
      <c r="AH2779">
        <v>4</v>
      </c>
      <c r="AI2779">
        <v>17</v>
      </c>
      <c r="AJ2779">
        <v>1</v>
      </c>
      <c r="AK2779">
        <v>19</v>
      </c>
      <c r="AL2779">
        <v>52</v>
      </c>
      <c r="AM2779" t="s">
        <v>43</v>
      </c>
      <c r="AN2779" t="str">
        <f>HYPERLINK("https://www.google.com/maps?q=10.78227711,79.2230072","Open Location")</f>
        <v>Open Location</v>
      </c>
    </row>
    <row r="2780" spans="1:40" x14ac:dyDescent="0.3">
      <c r="A2780" s="1">
        <v>46210.677893518521</v>
      </c>
      <c r="B2780" t="s">
        <v>40</v>
      </c>
      <c r="C2780" t="s">
        <v>41</v>
      </c>
      <c r="D2780" s="1">
        <v>46210.680555555555</v>
      </c>
      <c r="E2780" t="s">
        <v>42</v>
      </c>
      <c r="F2780" t="s">
        <v>83</v>
      </c>
      <c r="G2780">
        <v>47</v>
      </c>
      <c r="H2780" t="s">
        <v>43</v>
      </c>
      <c r="I2780" t="s">
        <v>1513</v>
      </c>
      <c r="J2780">
        <v>65</v>
      </c>
      <c r="K2780">
        <v>86</v>
      </c>
      <c r="L2780">
        <v>98</v>
      </c>
      <c r="M2780">
        <v>626.09997558999999</v>
      </c>
      <c r="N2780" t="s">
        <v>87</v>
      </c>
      <c r="O2780" t="s">
        <v>86</v>
      </c>
      <c r="P2780">
        <v>131</v>
      </c>
      <c r="Q2780">
        <v>6</v>
      </c>
      <c r="R2780">
        <v>43</v>
      </c>
      <c r="S2780">
        <v>1300</v>
      </c>
      <c r="T2780">
        <v>-40</v>
      </c>
      <c r="U2780">
        <v>51</v>
      </c>
      <c r="V2780">
        <v>360</v>
      </c>
      <c r="W2780">
        <v>32</v>
      </c>
      <c r="X2780">
        <v>32</v>
      </c>
      <c r="Y2780">
        <v>1</v>
      </c>
      <c r="Z2780">
        <v>8</v>
      </c>
      <c r="AA2780">
        <v>27</v>
      </c>
      <c r="AB2780">
        <v>2</v>
      </c>
      <c r="AC2780">
        <v>3</v>
      </c>
      <c r="AD2780">
        <v>3.27099991</v>
      </c>
      <c r="AE2780">
        <v>5</v>
      </c>
      <c r="AF2780">
        <v>38</v>
      </c>
      <c r="AG2780">
        <v>3.2569999699999999</v>
      </c>
      <c r="AH2780">
        <v>4</v>
      </c>
      <c r="AI2780">
        <v>17</v>
      </c>
      <c r="AJ2780">
        <v>1</v>
      </c>
      <c r="AK2780">
        <v>19</v>
      </c>
      <c r="AL2780">
        <v>52</v>
      </c>
      <c r="AM2780" t="s">
        <v>43</v>
      </c>
      <c r="AN2780" t="str">
        <f>HYPERLINK("https://www.google.com/maps?q=10.78191566,79.22438049","Open Location")</f>
        <v>Open Location</v>
      </c>
    </row>
    <row r="2781" spans="1:40" x14ac:dyDescent="0.3">
      <c r="A2781" s="1">
        <v>46210.677777777775</v>
      </c>
      <c r="B2781" t="s">
        <v>40</v>
      </c>
      <c r="C2781" t="s">
        <v>41</v>
      </c>
      <c r="D2781" s="1">
        <v>46210.680555555555</v>
      </c>
      <c r="E2781" t="s">
        <v>42</v>
      </c>
      <c r="F2781" t="s">
        <v>83</v>
      </c>
      <c r="G2781">
        <v>46</v>
      </c>
      <c r="H2781">
        <v>33162</v>
      </c>
      <c r="I2781" t="s">
        <v>43</v>
      </c>
      <c r="J2781">
        <v>65</v>
      </c>
      <c r="K2781">
        <v>154</v>
      </c>
      <c r="L2781">
        <v>98</v>
      </c>
      <c r="M2781">
        <v>622.09997558999999</v>
      </c>
      <c r="N2781" t="s">
        <v>87</v>
      </c>
      <c r="O2781" t="s">
        <v>86</v>
      </c>
      <c r="P2781">
        <v>131</v>
      </c>
      <c r="Q2781">
        <v>6</v>
      </c>
      <c r="R2781">
        <v>64</v>
      </c>
      <c r="S2781">
        <v>1228</v>
      </c>
      <c r="T2781">
        <v>-40</v>
      </c>
      <c r="U2781">
        <v>52</v>
      </c>
      <c r="V2781">
        <v>740</v>
      </c>
      <c r="W2781">
        <v>32</v>
      </c>
      <c r="X2781">
        <v>32</v>
      </c>
      <c r="Y2781">
        <v>1</v>
      </c>
      <c r="Z2781">
        <v>8</v>
      </c>
      <c r="AA2781">
        <v>27</v>
      </c>
      <c r="AB2781">
        <v>2</v>
      </c>
      <c r="AC2781">
        <v>3</v>
      </c>
      <c r="AD2781">
        <v>3.2639999400000002</v>
      </c>
      <c r="AE2781">
        <v>1</v>
      </c>
      <c r="AF2781">
        <v>42</v>
      </c>
      <c r="AG2781">
        <v>3.2509999299999999</v>
      </c>
      <c r="AH2781">
        <v>4</v>
      </c>
      <c r="AI2781">
        <v>17</v>
      </c>
      <c r="AJ2781" t="s">
        <v>43</v>
      </c>
      <c r="AK2781" t="s">
        <v>43</v>
      </c>
      <c r="AL2781" t="s">
        <v>43</v>
      </c>
      <c r="AM2781" t="s">
        <v>43</v>
      </c>
      <c r="AN2781" t="s">
        <v>43</v>
      </c>
    </row>
    <row r="2782" spans="1:40" x14ac:dyDescent="0.3">
      <c r="A2782" s="1">
        <v>46210.677662037036</v>
      </c>
      <c r="B2782" t="s">
        <v>40</v>
      </c>
      <c r="C2782" t="s">
        <v>41</v>
      </c>
      <c r="D2782" s="1">
        <v>46210.680277777778</v>
      </c>
      <c r="E2782" t="s">
        <v>42</v>
      </c>
      <c r="F2782" t="s">
        <v>83</v>
      </c>
      <c r="G2782">
        <v>44</v>
      </c>
      <c r="H2782">
        <v>33162</v>
      </c>
      <c r="I2782" t="s">
        <v>1514</v>
      </c>
      <c r="J2782">
        <v>65</v>
      </c>
      <c r="K2782">
        <v>116</v>
      </c>
      <c r="L2782">
        <v>98</v>
      </c>
      <c r="M2782">
        <v>624.70001220999995</v>
      </c>
      <c r="N2782" t="s">
        <v>87</v>
      </c>
      <c r="O2782" t="s">
        <v>86</v>
      </c>
      <c r="P2782">
        <v>131</v>
      </c>
      <c r="Q2782">
        <v>6</v>
      </c>
      <c r="R2782">
        <v>66</v>
      </c>
      <c r="S2782">
        <v>1233</v>
      </c>
      <c r="T2782">
        <v>-40</v>
      </c>
      <c r="U2782">
        <v>52</v>
      </c>
      <c r="V2782">
        <v>520</v>
      </c>
      <c r="W2782">
        <v>32</v>
      </c>
      <c r="X2782">
        <v>32</v>
      </c>
      <c r="Y2782">
        <v>1</v>
      </c>
      <c r="Z2782">
        <v>8</v>
      </c>
      <c r="AA2782">
        <v>27</v>
      </c>
      <c r="AB2782">
        <v>2</v>
      </c>
      <c r="AC2782">
        <v>3</v>
      </c>
      <c r="AD2782">
        <v>3.2650001</v>
      </c>
      <c r="AE2782">
        <v>1</v>
      </c>
      <c r="AF2782">
        <v>42</v>
      </c>
      <c r="AG2782">
        <v>3.2509999299999999</v>
      </c>
      <c r="AH2782">
        <v>4</v>
      </c>
      <c r="AI2782">
        <v>17</v>
      </c>
      <c r="AJ2782">
        <v>1</v>
      </c>
      <c r="AK2782">
        <v>19</v>
      </c>
      <c r="AL2782">
        <v>52</v>
      </c>
      <c r="AM2782" t="s">
        <v>43</v>
      </c>
      <c r="AN2782" t="str">
        <f>HYPERLINK("https://www.google.com/maps?q=10.78166008,79.22573853","Open Location")</f>
        <v>Open Location</v>
      </c>
    </row>
    <row r="2783" spans="1:40" x14ac:dyDescent="0.3">
      <c r="A2783" s="1">
        <v>46210.677546296298</v>
      </c>
      <c r="B2783" t="s">
        <v>40</v>
      </c>
      <c r="C2783" t="s">
        <v>41</v>
      </c>
      <c r="D2783" s="1">
        <v>46210.680486111109</v>
      </c>
      <c r="E2783" t="s">
        <v>42</v>
      </c>
      <c r="F2783" t="s">
        <v>83</v>
      </c>
      <c r="G2783">
        <v>45</v>
      </c>
      <c r="H2783">
        <v>33162</v>
      </c>
      <c r="I2783" t="s">
        <v>43</v>
      </c>
      <c r="J2783">
        <v>65</v>
      </c>
      <c r="K2783">
        <v>117</v>
      </c>
      <c r="L2783">
        <v>98</v>
      </c>
      <c r="M2783">
        <v>625.09997558999999</v>
      </c>
      <c r="N2783" t="s">
        <v>87</v>
      </c>
      <c r="O2783" t="s">
        <v>86</v>
      </c>
      <c r="P2783">
        <v>131</v>
      </c>
      <c r="Q2783">
        <v>6</v>
      </c>
      <c r="R2783">
        <v>70</v>
      </c>
      <c r="S2783">
        <v>1279</v>
      </c>
      <c r="T2783">
        <v>-40</v>
      </c>
      <c r="U2783">
        <v>52</v>
      </c>
      <c r="V2783">
        <v>540</v>
      </c>
      <c r="W2783" t="s">
        <v>43</v>
      </c>
      <c r="X2783" t="s">
        <v>43</v>
      </c>
      <c r="Y2783" t="s">
        <v>43</v>
      </c>
      <c r="Z2783" t="s">
        <v>43</v>
      </c>
      <c r="AA2783" t="s">
        <v>43</v>
      </c>
      <c r="AB2783" t="s">
        <v>43</v>
      </c>
      <c r="AC2783" t="s">
        <v>43</v>
      </c>
      <c r="AD2783" t="s">
        <v>43</v>
      </c>
      <c r="AE2783" t="s">
        <v>43</v>
      </c>
      <c r="AF2783" t="s">
        <v>43</v>
      </c>
      <c r="AG2783" t="s">
        <v>43</v>
      </c>
      <c r="AH2783" t="s">
        <v>43</v>
      </c>
      <c r="AI2783" t="s">
        <v>43</v>
      </c>
      <c r="AJ2783" t="s">
        <v>43</v>
      </c>
      <c r="AK2783" t="s">
        <v>43</v>
      </c>
      <c r="AL2783" t="s">
        <v>43</v>
      </c>
      <c r="AM2783" t="s">
        <v>43</v>
      </c>
      <c r="AN2783" t="s">
        <v>43</v>
      </c>
    </row>
    <row r="2784" spans="1:40" x14ac:dyDescent="0.3">
      <c r="A2784" s="1">
        <v>46210.677430555559</v>
      </c>
      <c r="B2784" t="s">
        <v>40</v>
      </c>
      <c r="C2784" t="s">
        <v>41</v>
      </c>
      <c r="D2784" s="1">
        <v>46210.680219907408</v>
      </c>
      <c r="E2784" t="s">
        <v>42</v>
      </c>
      <c r="F2784" t="s">
        <v>83</v>
      </c>
      <c r="G2784">
        <v>46</v>
      </c>
      <c r="H2784">
        <v>33162</v>
      </c>
      <c r="I2784" t="s">
        <v>1515</v>
      </c>
      <c r="J2784">
        <v>65</v>
      </c>
      <c r="K2784">
        <v>119</v>
      </c>
      <c r="L2784">
        <v>98</v>
      </c>
      <c r="M2784">
        <v>624.90002441000001</v>
      </c>
      <c r="N2784" t="s">
        <v>87</v>
      </c>
      <c r="O2784" t="s">
        <v>86</v>
      </c>
      <c r="P2784">
        <v>131</v>
      </c>
      <c r="Q2784">
        <v>6</v>
      </c>
      <c r="R2784">
        <v>96</v>
      </c>
      <c r="S2784">
        <v>1263</v>
      </c>
      <c r="T2784">
        <v>-40</v>
      </c>
      <c r="U2784">
        <v>52</v>
      </c>
      <c r="V2784">
        <v>520</v>
      </c>
      <c r="W2784">
        <v>32</v>
      </c>
      <c r="X2784">
        <v>32</v>
      </c>
      <c r="Y2784">
        <v>1</v>
      </c>
      <c r="Z2784">
        <v>8</v>
      </c>
      <c r="AA2784">
        <v>27</v>
      </c>
      <c r="AB2784">
        <v>2</v>
      </c>
      <c r="AC2784">
        <v>3</v>
      </c>
      <c r="AD2784">
        <v>3.2660000299999998</v>
      </c>
      <c r="AE2784">
        <v>5</v>
      </c>
      <c r="AF2784">
        <v>38</v>
      </c>
      <c r="AG2784">
        <v>3.2509999299999999</v>
      </c>
      <c r="AH2784">
        <v>4</v>
      </c>
      <c r="AI2784">
        <v>17</v>
      </c>
      <c r="AJ2784">
        <v>1</v>
      </c>
      <c r="AK2784">
        <v>19</v>
      </c>
      <c r="AL2784">
        <v>52</v>
      </c>
      <c r="AM2784" t="s">
        <v>43</v>
      </c>
      <c r="AN2784" t="str">
        <f>HYPERLINK("https://www.google.com/maps?q=10.78145123,79.22849274","Open Location")</f>
        <v>Open Location</v>
      </c>
    </row>
    <row r="2785" spans="1:40" x14ac:dyDescent="0.3">
      <c r="A2785" s="1">
        <v>46210.677314814813</v>
      </c>
      <c r="B2785" t="s">
        <v>40</v>
      </c>
      <c r="C2785" t="s">
        <v>41</v>
      </c>
      <c r="D2785" s="1">
        <v>46210.680486111109</v>
      </c>
      <c r="E2785" t="s">
        <v>42</v>
      </c>
      <c r="F2785" t="s">
        <v>83</v>
      </c>
      <c r="G2785">
        <v>45</v>
      </c>
      <c r="H2785">
        <v>33162</v>
      </c>
      <c r="I2785" t="s">
        <v>1516</v>
      </c>
      <c r="J2785">
        <v>65</v>
      </c>
      <c r="K2785">
        <v>97</v>
      </c>
      <c r="L2785">
        <v>98</v>
      </c>
      <c r="M2785">
        <v>624.79998779000005</v>
      </c>
      <c r="N2785" t="s">
        <v>87</v>
      </c>
      <c r="O2785" t="s">
        <v>86</v>
      </c>
      <c r="P2785">
        <v>131</v>
      </c>
      <c r="Q2785">
        <v>6</v>
      </c>
      <c r="R2785">
        <v>66</v>
      </c>
      <c r="S2785">
        <v>1270</v>
      </c>
      <c r="T2785">
        <v>-40</v>
      </c>
      <c r="U2785">
        <v>52</v>
      </c>
      <c r="V2785">
        <v>420</v>
      </c>
      <c r="W2785">
        <v>32</v>
      </c>
      <c r="X2785">
        <v>32</v>
      </c>
      <c r="Y2785">
        <v>1</v>
      </c>
      <c r="Z2785">
        <v>8</v>
      </c>
      <c r="AA2785">
        <v>27</v>
      </c>
      <c r="AB2785">
        <v>2</v>
      </c>
      <c r="AC2785">
        <v>3</v>
      </c>
      <c r="AD2785">
        <v>3.2690000499999998</v>
      </c>
      <c r="AE2785">
        <v>5</v>
      </c>
      <c r="AF2785">
        <v>38</v>
      </c>
      <c r="AG2785">
        <v>3.2550001100000001</v>
      </c>
      <c r="AH2785">
        <v>4</v>
      </c>
      <c r="AI2785">
        <v>17</v>
      </c>
      <c r="AJ2785">
        <v>1</v>
      </c>
      <c r="AK2785">
        <v>26</v>
      </c>
      <c r="AL2785">
        <v>52</v>
      </c>
      <c r="AM2785" t="s">
        <v>43</v>
      </c>
      <c r="AN2785" t="str">
        <f>HYPERLINK("https://www.google.com/maps?q=10.78144741,79.23001862","Open Location")</f>
        <v>Open Location</v>
      </c>
    </row>
    <row r="2786" spans="1:40" x14ac:dyDescent="0.3">
      <c r="A2786" s="1">
        <v>46210.677199074074</v>
      </c>
      <c r="B2786" t="s">
        <v>40</v>
      </c>
      <c r="C2786" t="s">
        <v>41</v>
      </c>
      <c r="D2786" s="1">
        <v>46210.680173611108</v>
      </c>
      <c r="E2786" t="s">
        <v>42</v>
      </c>
      <c r="F2786" t="s">
        <v>83</v>
      </c>
      <c r="G2786">
        <v>46</v>
      </c>
      <c r="H2786" t="s">
        <v>43</v>
      </c>
      <c r="I2786" t="s">
        <v>1517</v>
      </c>
      <c r="J2786">
        <v>65</v>
      </c>
      <c r="K2786">
        <v>86</v>
      </c>
      <c r="L2786">
        <v>98</v>
      </c>
      <c r="M2786">
        <v>626.40002441000001</v>
      </c>
      <c r="N2786" t="s">
        <v>87</v>
      </c>
      <c r="O2786" t="s">
        <v>86</v>
      </c>
      <c r="P2786">
        <v>131</v>
      </c>
      <c r="Q2786">
        <v>6</v>
      </c>
      <c r="R2786">
        <v>45</v>
      </c>
      <c r="S2786">
        <v>1304</v>
      </c>
      <c r="T2786">
        <v>-40</v>
      </c>
      <c r="U2786">
        <v>51</v>
      </c>
      <c r="V2786">
        <v>360</v>
      </c>
      <c r="W2786">
        <v>32</v>
      </c>
      <c r="X2786">
        <v>32</v>
      </c>
      <c r="Y2786">
        <v>1</v>
      </c>
      <c r="Z2786">
        <v>8</v>
      </c>
      <c r="AA2786">
        <v>27</v>
      </c>
      <c r="AB2786">
        <v>2</v>
      </c>
      <c r="AC2786">
        <v>3</v>
      </c>
      <c r="AD2786">
        <v>3.27099991</v>
      </c>
      <c r="AE2786">
        <v>1</v>
      </c>
      <c r="AF2786">
        <v>36</v>
      </c>
      <c r="AG2786">
        <v>3.25900006</v>
      </c>
      <c r="AH2786">
        <v>4</v>
      </c>
      <c r="AI2786">
        <v>17</v>
      </c>
      <c r="AJ2786">
        <v>1</v>
      </c>
      <c r="AK2786">
        <v>25</v>
      </c>
      <c r="AL2786">
        <v>52</v>
      </c>
      <c r="AM2786" t="s">
        <v>43</v>
      </c>
      <c r="AN2786" t="str">
        <f>HYPERLINK("https://www.google.com/maps?q=10.78146267,79.23144531","Open Location")</f>
        <v>Open Location</v>
      </c>
    </row>
    <row r="2787" spans="1:40" x14ac:dyDescent="0.3">
      <c r="A2787" s="1">
        <v>46210.677083333336</v>
      </c>
      <c r="B2787" t="s">
        <v>40</v>
      </c>
      <c r="C2787" t="s">
        <v>41</v>
      </c>
      <c r="D2787" s="1">
        <v>46210.679814814815</v>
      </c>
      <c r="E2787" t="s">
        <v>42</v>
      </c>
      <c r="F2787" t="s">
        <v>83</v>
      </c>
      <c r="G2787">
        <v>46</v>
      </c>
      <c r="H2787">
        <v>33161</v>
      </c>
      <c r="I2787" t="s">
        <v>43</v>
      </c>
      <c r="J2787">
        <v>66</v>
      </c>
      <c r="K2787">
        <v>113</v>
      </c>
      <c r="L2787">
        <v>98</v>
      </c>
      <c r="M2787">
        <v>623.79998779000005</v>
      </c>
      <c r="N2787" t="s">
        <v>87</v>
      </c>
      <c r="O2787" t="s">
        <v>86</v>
      </c>
      <c r="P2787">
        <v>131</v>
      </c>
      <c r="Q2787">
        <v>6</v>
      </c>
      <c r="R2787">
        <v>40</v>
      </c>
      <c r="S2787">
        <v>1291</v>
      </c>
      <c r="T2787">
        <v>-40</v>
      </c>
      <c r="U2787">
        <v>52</v>
      </c>
      <c r="V2787">
        <v>480</v>
      </c>
      <c r="W2787">
        <v>32</v>
      </c>
      <c r="X2787">
        <v>32</v>
      </c>
      <c r="Y2787">
        <v>1</v>
      </c>
      <c r="Z2787">
        <v>8</v>
      </c>
      <c r="AA2787">
        <v>27</v>
      </c>
      <c r="AB2787">
        <v>2</v>
      </c>
      <c r="AC2787">
        <v>3</v>
      </c>
      <c r="AD2787">
        <v>3.2720000699999998</v>
      </c>
      <c r="AE2787">
        <v>5</v>
      </c>
      <c r="AF2787">
        <v>38</v>
      </c>
      <c r="AG2787">
        <v>3.2599999899999998</v>
      </c>
      <c r="AH2787">
        <v>4</v>
      </c>
      <c r="AI2787">
        <v>17</v>
      </c>
      <c r="AJ2787" t="s">
        <v>43</v>
      </c>
      <c r="AK2787" t="s">
        <v>43</v>
      </c>
      <c r="AL2787" t="s">
        <v>43</v>
      </c>
      <c r="AM2787" t="s">
        <v>43</v>
      </c>
      <c r="AN2787" t="s">
        <v>43</v>
      </c>
    </row>
    <row r="2788" spans="1:40" x14ac:dyDescent="0.3">
      <c r="A2788" s="1">
        <v>46210.67696759259</v>
      </c>
      <c r="B2788" t="s">
        <v>40</v>
      </c>
      <c r="C2788" t="s">
        <v>41</v>
      </c>
      <c r="D2788" s="1">
        <v>46210.679560185185</v>
      </c>
      <c r="E2788" t="s">
        <v>42</v>
      </c>
      <c r="F2788" t="s">
        <v>83</v>
      </c>
      <c r="G2788">
        <v>46</v>
      </c>
      <c r="H2788">
        <v>33161</v>
      </c>
      <c r="I2788" t="s">
        <v>1518</v>
      </c>
      <c r="J2788">
        <v>66</v>
      </c>
      <c r="K2788">
        <v>252</v>
      </c>
      <c r="L2788">
        <v>98</v>
      </c>
      <c r="M2788">
        <v>618.90002441000001</v>
      </c>
      <c r="N2788" t="s">
        <v>87</v>
      </c>
      <c r="O2788" t="s">
        <v>86</v>
      </c>
      <c r="P2788">
        <v>131</v>
      </c>
      <c r="Q2788">
        <v>6</v>
      </c>
      <c r="R2788">
        <v>121</v>
      </c>
      <c r="S2788">
        <v>1250</v>
      </c>
      <c r="T2788">
        <v>-40</v>
      </c>
      <c r="U2788">
        <v>56</v>
      </c>
      <c r="V2788">
        <v>1120</v>
      </c>
      <c r="W2788">
        <v>32</v>
      </c>
      <c r="X2788">
        <v>32</v>
      </c>
      <c r="Y2788">
        <v>1</v>
      </c>
      <c r="Z2788">
        <v>8</v>
      </c>
      <c r="AA2788">
        <v>27</v>
      </c>
      <c r="AB2788">
        <v>2</v>
      </c>
      <c r="AC2788">
        <v>3</v>
      </c>
      <c r="AD2788">
        <v>3.23200011</v>
      </c>
      <c r="AE2788">
        <v>5</v>
      </c>
      <c r="AF2788">
        <v>38</v>
      </c>
      <c r="AG2788">
        <v>3.2070000200000002</v>
      </c>
      <c r="AH2788">
        <v>4</v>
      </c>
      <c r="AI2788">
        <v>17</v>
      </c>
      <c r="AJ2788">
        <v>1</v>
      </c>
      <c r="AK2788">
        <v>26</v>
      </c>
      <c r="AL2788">
        <v>52</v>
      </c>
      <c r="AM2788" t="s">
        <v>43</v>
      </c>
      <c r="AN2788" t="str">
        <f>HYPERLINK("https://www.google.com/maps?q=10.78147125,79.23287201","Open Location")</f>
        <v>Open Location</v>
      </c>
    </row>
    <row r="2789" spans="1:40" x14ac:dyDescent="0.3">
      <c r="A2789" s="1">
        <v>46210.676851851851</v>
      </c>
      <c r="B2789" t="s">
        <v>40</v>
      </c>
      <c r="C2789" t="s">
        <v>41</v>
      </c>
      <c r="D2789" s="1">
        <v>46210.6796412037</v>
      </c>
      <c r="E2789" t="s">
        <v>42</v>
      </c>
      <c r="F2789" t="s">
        <v>83</v>
      </c>
      <c r="G2789">
        <v>45</v>
      </c>
      <c r="H2789">
        <v>33161</v>
      </c>
      <c r="I2789" t="s">
        <v>43</v>
      </c>
      <c r="J2789">
        <v>66</v>
      </c>
      <c r="K2789">
        <v>79</v>
      </c>
      <c r="L2789">
        <v>98</v>
      </c>
      <c r="M2789">
        <v>626.40002441000001</v>
      </c>
      <c r="N2789" t="s">
        <v>87</v>
      </c>
      <c r="O2789" t="s">
        <v>86</v>
      </c>
      <c r="P2789">
        <v>131</v>
      </c>
      <c r="Q2789">
        <v>6</v>
      </c>
      <c r="R2789">
        <v>70</v>
      </c>
      <c r="S2789">
        <v>1274</v>
      </c>
      <c r="T2789">
        <v>-40</v>
      </c>
      <c r="U2789">
        <v>52</v>
      </c>
      <c r="V2789">
        <v>340</v>
      </c>
      <c r="W2789" t="s">
        <v>43</v>
      </c>
      <c r="X2789" t="s">
        <v>43</v>
      </c>
      <c r="Y2789" t="s">
        <v>43</v>
      </c>
      <c r="Z2789" t="s">
        <v>43</v>
      </c>
      <c r="AA2789" t="s">
        <v>43</v>
      </c>
      <c r="AB2789" t="s">
        <v>43</v>
      </c>
      <c r="AC2789" t="s">
        <v>43</v>
      </c>
      <c r="AD2789" t="s">
        <v>43</v>
      </c>
      <c r="AE2789" t="s">
        <v>43</v>
      </c>
      <c r="AF2789" t="s">
        <v>43</v>
      </c>
      <c r="AG2789" t="s">
        <v>43</v>
      </c>
      <c r="AH2789" t="s">
        <v>43</v>
      </c>
      <c r="AI2789" t="s">
        <v>43</v>
      </c>
      <c r="AJ2789" t="s">
        <v>43</v>
      </c>
      <c r="AK2789" t="s">
        <v>43</v>
      </c>
      <c r="AL2789" t="s">
        <v>43</v>
      </c>
      <c r="AM2789" t="s">
        <v>43</v>
      </c>
      <c r="AN2789" t="s">
        <v>43</v>
      </c>
    </row>
    <row r="2790" spans="1:40" x14ac:dyDescent="0.3">
      <c r="A2790" s="1">
        <v>46210.676736111112</v>
      </c>
      <c r="B2790" t="s">
        <v>40</v>
      </c>
      <c r="C2790" t="s">
        <v>41</v>
      </c>
      <c r="D2790" s="1">
        <v>46210.679351851853</v>
      </c>
      <c r="E2790" t="s">
        <v>42</v>
      </c>
      <c r="F2790" t="s">
        <v>83</v>
      </c>
      <c r="G2790">
        <v>46</v>
      </c>
      <c r="H2790">
        <v>33161</v>
      </c>
      <c r="I2790" t="s">
        <v>1519</v>
      </c>
      <c r="J2790">
        <v>66</v>
      </c>
      <c r="K2790">
        <v>104</v>
      </c>
      <c r="L2790">
        <v>98</v>
      </c>
      <c r="M2790">
        <v>625.79998779000005</v>
      </c>
      <c r="N2790" t="s">
        <v>87</v>
      </c>
      <c r="O2790" t="s">
        <v>86</v>
      </c>
      <c r="P2790">
        <v>131</v>
      </c>
      <c r="Q2790">
        <v>6</v>
      </c>
      <c r="R2790">
        <v>58</v>
      </c>
      <c r="S2790">
        <v>1283</v>
      </c>
      <c r="T2790">
        <v>-40</v>
      </c>
      <c r="U2790">
        <v>52</v>
      </c>
      <c r="V2790">
        <v>440</v>
      </c>
      <c r="W2790">
        <v>32</v>
      </c>
      <c r="X2790">
        <v>32</v>
      </c>
      <c r="Y2790">
        <v>1</v>
      </c>
      <c r="Z2790">
        <v>8</v>
      </c>
      <c r="AA2790">
        <v>27</v>
      </c>
      <c r="AB2790">
        <v>2</v>
      </c>
      <c r="AC2790">
        <v>3</v>
      </c>
      <c r="AD2790">
        <v>3.2699999800000001</v>
      </c>
      <c r="AE2790">
        <v>1</v>
      </c>
      <c r="AF2790">
        <v>42</v>
      </c>
      <c r="AG2790">
        <v>3.25600004</v>
      </c>
      <c r="AH2790">
        <v>4</v>
      </c>
      <c r="AI2790">
        <v>17</v>
      </c>
      <c r="AJ2790">
        <v>1</v>
      </c>
      <c r="AK2790">
        <v>26</v>
      </c>
      <c r="AL2790">
        <v>52</v>
      </c>
      <c r="AM2790" t="s">
        <v>43</v>
      </c>
      <c r="AN2790" t="str">
        <f>HYPERLINK("https://www.google.com/maps?q=10.78090096,79.2355957","Open Location")</f>
        <v>Open Location</v>
      </c>
    </row>
    <row r="2791" spans="1:40" x14ac:dyDescent="0.3">
      <c r="A2791" s="1">
        <v>46210.676620370374</v>
      </c>
      <c r="B2791" t="s">
        <v>40</v>
      </c>
      <c r="C2791" t="s">
        <v>41</v>
      </c>
      <c r="D2791" s="1">
        <v>46210.679618055554</v>
      </c>
      <c r="E2791" t="s">
        <v>42</v>
      </c>
      <c r="F2791" t="s">
        <v>83</v>
      </c>
      <c r="G2791">
        <v>47</v>
      </c>
      <c r="H2791">
        <v>33161</v>
      </c>
      <c r="I2791" t="s">
        <v>1520</v>
      </c>
      <c r="J2791">
        <v>66</v>
      </c>
      <c r="K2791">
        <v>128</v>
      </c>
      <c r="L2791">
        <v>98</v>
      </c>
      <c r="M2791">
        <v>623.90002441000001</v>
      </c>
      <c r="N2791" t="s">
        <v>87</v>
      </c>
      <c r="O2791" t="s">
        <v>86</v>
      </c>
      <c r="P2791">
        <v>131</v>
      </c>
      <c r="Q2791">
        <v>6</v>
      </c>
      <c r="R2791">
        <v>65</v>
      </c>
      <c r="S2791">
        <v>1312</v>
      </c>
      <c r="T2791">
        <v>-40</v>
      </c>
      <c r="U2791">
        <v>52</v>
      </c>
      <c r="V2791">
        <v>540</v>
      </c>
      <c r="W2791" t="s">
        <v>43</v>
      </c>
      <c r="X2791" t="s">
        <v>43</v>
      </c>
      <c r="Y2791" t="s">
        <v>43</v>
      </c>
      <c r="Z2791" t="s">
        <v>43</v>
      </c>
      <c r="AA2791" t="s">
        <v>43</v>
      </c>
      <c r="AB2791" t="s">
        <v>43</v>
      </c>
      <c r="AC2791" t="s">
        <v>43</v>
      </c>
      <c r="AD2791" t="s">
        <v>43</v>
      </c>
      <c r="AE2791" t="s">
        <v>43</v>
      </c>
      <c r="AF2791" t="s">
        <v>43</v>
      </c>
      <c r="AG2791" t="s">
        <v>43</v>
      </c>
      <c r="AH2791" t="s">
        <v>43</v>
      </c>
      <c r="AI2791" t="s">
        <v>43</v>
      </c>
      <c r="AJ2791" t="s">
        <v>43</v>
      </c>
      <c r="AK2791" t="s">
        <v>43</v>
      </c>
      <c r="AL2791" t="s">
        <v>43</v>
      </c>
      <c r="AM2791" t="s">
        <v>43</v>
      </c>
      <c r="AN2791" t="str">
        <f>HYPERLINK("https://www.google.com/maps?q=10.78060341,79.23699188","Open Location")</f>
        <v>Open Location</v>
      </c>
    </row>
    <row r="2792" spans="1:40" x14ac:dyDescent="0.3">
      <c r="A2792" s="1">
        <v>46210.676504629628</v>
      </c>
      <c r="B2792" t="s">
        <v>40</v>
      </c>
      <c r="C2792" t="s">
        <v>41</v>
      </c>
      <c r="D2792" s="1">
        <v>46210.679618055554</v>
      </c>
      <c r="E2792" t="s">
        <v>42</v>
      </c>
      <c r="F2792" t="s">
        <v>83</v>
      </c>
      <c r="G2792">
        <v>47</v>
      </c>
      <c r="H2792">
        <v>33161</v>
      </c>
      <c r="I2792" t="s">
        <v>43</v>
      </c>
      <c r="J2792">
        <v>66</v>
      </c>
      <c r="K2792">
        <v>118</v>
      </c>
      <c r="L2792">
        <v>98</v>
      </c>
      <c r="M2792">
        <v>624.90002441000001</v>
      </c>
      <c r="N2792" t="s">
        <v>87</v>
      </c>
      <c r="O2792" t="s">
        <v>86</v>
      </c>
      <c r="P2792">
        <v>131</v>
      </c>
      <c r="Q2792">
        <v>6</v>
      </c>
      <c r="R2792">
        <v>74</v>
      </c>
      <c r="S2792">
        <v>1344</v>
      </c>
      <c r="T2792">
        <v>-40</v>
      </c>
      <c r="U2792">
        <v>52</v>
      </c>
      <c r="V2792">
        <v>480</v>
      </c>
      <c r="W2792">
        <v>32</v>
      </c>
      <c r="X2792">
        <v>32</v>
      </c>
      <c r="Y2792">
        <v>1</v>
      </c>
      <c r="Z2792">
        <v>8</v>
      </c>
      <c r="AA2792">
        <v>27</v>
      </c>
      <c r="AB2792">
        <v>2</v>
      </c>
      <c r="AC2792">
        <v>3</v>
      </c>
      <c r="AD2792">
        <v>3.2660000299999998</v>
      </c>
      <c r="AE2792">
        <v>1</v>
      </c>
      <c r="AF2792">
        <v>42</v>
      </c>
      <c r="AG2792">
        <v>3.25</v>
      </c>
      <c r="AH2792">
        <v>4</v>
      </c>
      <c r="AI2792">
        <v>17</v>
      </c>
      <c r="AJ2792">
        <v>1</v>
      </c>
      <c r="AK2792">
        <v>26</v>
      </c>
      <c r="AL2792">
        <v>52</v>
      </c>
      <c r="AM2792" t="s">
        <v>43</v>
      </c>
      <c r="AN2792" t="s">
        <v>43</v>
      </c>
    </row>
    <row r="2793" spans="1:40" x14ac:dyDescent="0.3">
      <c r="A2793" s="1">
        <v>46210.676388888889</v>
      </c>
      <c r="B2793" t="s">
        <v>40</v>
      </c>
      <c r="C2793" t="s">
        <v>41</v>
      </c>
      <c r="D2793" s="1">
        <v>46210.679629629631</v>
      </c>
      <c r="E2793" t="s">
        <v>42</v>
      </c>
      <c r="F2793" t="s">
        <v>83</v>
      </c>
      <c r="G2793">
        <v>49</v>
      </c>
      <c r="H2793">
        <v>33161</v>
      </c>
      <c r="I2793" t="s">
        <v>1521</v>
      </c>
      <c r="J2793">
        <v>66</v>
      </c>
      <c r="K2793">
        <v>131</v>
      </c>
      <c r="L2793">
        <v>98</v>
      </c>
      <c r="M2793">
        <v>624.59997558999999</v>
      </c>
      <c r="N2793" t="s">
        <v>87</v>
      </c>
      <c r="O2793" t="s">
        <v>86</v>
      </c>
      <c r="P2793">
        <v>131</v>
      </c>
      <c r="Q2793">
        <v>6</v>
      </c>
      <c r="R2793">
        <v>64</v>
      </c>
      <c r="S2793">
        <v>1326</v>
      </c>
      <c r="T2793">
        <v>-40</v>
      </c>
      <c r="U2793">
        <v>53</v>
      </c>
      <c r="V2793">
        <v>540</v>
      </c>
      <c r="W2793">
        <v>32</v>
      </c>
      <c r="X2793">
        <v>32</v>
      </c>
      <c r="Y2793">
        <v>1</v>
      </c>
      <c r="Z2793">
        <v>8</v>
      </c>
      <c r="AA2793">
        <v>27</v>
      </c>
      <c r="AB2793">
        <v>2</v>
      </c>
      <c r="AC2793">
        <v>3</v>
      </c>
      <c r="AD2793">
        <v>3.2609999200000002</v>
      </c>
      <c r="AE2793">
        <v>5</v>
      </c>
      <c r="AF2793">
        <v>38</v>
      </c>
      <c r="AG2793">
        <v>3.24399996</v>
      </c>
      <c r="AH2793">
        <v>4</v>
      </c>
      <c r="AI2793">
        <v>17</v>
      </c>
      <c r="AJ2793" t="s">
        <v>43</v>
      </c>
      <c r="AK2793" t="s">
        <v>43</v>
      </c>
      <c r="AL2793">
        <v>52</v>
      </c>
      <c r="AM2793" t="s">
        <v>43</v>
      </c>
      <c r="AN2793" t="str">
        <f>HYPERLINK("https://www.google.com/maps?q=10.7801857,79.23851013","Open Location")</f>
        <v>Open Location</v>
      </c>
    </row>
    <row r="2794" spans="1:40" x14ac:dyDescent="0.3">
      <c r="A2794" s="1">
        <v>46210.67627314815</v>
      </c>
      <c r="B2794" t="s">
        <v>40</v>
      </c>
      <c r="C2794" t="s">
        <v>41</v>
      </c>
      <c r="D2794" s="1">
        <v>46210.679097222222</v>
      </c>
      <c r="E2794" t="s">
        <v>42</v>
      </c>
      <c r="F2794" t="s">
        <v>83</v>
      </c>
      <c r="G2794">
        <v>47</v>
      </c>
      <c r="H2794" t="s">
        <v>43</v>
      </c>
      <c r="I2794" t="s">
        <v>43</v>
      </c>
      <c r="J2794">
        <v>66</v>
      </c>
      <c r="K2794">
        <v>128</v>
      </c>
      <c r="L2794">
        <v>98</v>
      </c>
      <c r="M2794">
        <v>624.90002441000001</v>
      </c>
      <c r="N2794" t="s">
        <v>87</v>
      </c>
      <c r="O2794" t="s">
        <v>86</v>
      </c>
      <c r="P2794">
        <v>131</v>
      </c>
      <c r="Q2794">
        <v>6</v>
      </c>
      <c r="R2794">
        <v>97</v>
      </c>
      <c r="S2794">
        <v>1245</v>
      </c>
      <c r="T2794">
        <v>-40</v>
      </c>
      <c r="U2794">
        <v>52</v>
      </c>
      <c r="V2794">
        <v>560</v>
      </c>
      <c r="W2794">
        <v>32</v>
      </c>
      <c r="X2794">
        <v>32</v>
      </c>
      <c r="Y2794">
        <v>1</v>
      </c>
      <c r="Z2794">
        <v>8</v>
      </c>
      <c r="AA2794">
        <v>27</v>
      </c>
      <c r="AB2794">
        <v>2</v>
      </c>
      <c r="AC2794">
        <v>3</v>
      </c>
      <c r="AD2794">
        <v>3.27399993</v>
      </c>
      <c r="AE2794">
        <v>5</v>
      </c>
      <c r="AF2794">
        <v>38</v>
      </c>
      <c r="AG2794">
        <v>3.2599999899999998</v>
      </c>
      <c r="AH2794">
        <v>4</v>
      </c>
      <c r="AI2794">
        <v>17</v>
      </c>
      <c r="AJ2794">
        <v>1</v>
      </c>
      <c r="AK2794">
        <v>26</v>
      </c>
      <c r="AL2794">
        <v>52</v>
      </c>
      <c r="AM2794" t="s">
        <v>43</v>
      </c>
      <c r="AN2794" t="s">
        <v>43</v>
      </c>
    </row>
    <row r="2795" spans="1:40" x14ac:dyDescent="0.3">
      <c r="A2795" s="1">
        <v>46210.676157407404</v>
      </c>
      <c r="B2795" t="s">
        <v>40</v>
      </c>
      <c r="C2795" t="s">
        <v>41</v>
      </c>
      <c r="D2795" s="1">
        <v>46210.679131944446</v>
      </c>
      <c r="E2795" t="s">
        <v>42</v>
      </c>
      <c r="F2795" t="s">
        <v>83</v>
      </c>
      <c r="G2795">
        <v>44</v>
      </c>
      <c r="H2795">
        <v>33160</v>
      </c>
      <c r="I2795" t="s">
        <v>1522</v>
      </c>
      <c r="J2795">
        <v>66</v>
      </c>
      <c r="K2795">
        <v>118</v>
      </c>
      <c r="L2795">
        <v>98</v>
      </c>
      <c r="M2795">
        <v>625.29998779000005</v>
      </c>
      <c r="N2795" t="s">
        <v>87</v>
      </c>
      <c r="O2795" t="s">
        <v>86</v>
      </c>
      <c r="P2795">
        <v>131</v>
      </c>
      <c r="Q2795">
        <v>6</v>
      </c>
      <c r="R2795">
        <v>68</v>
      </c>
      <c r="S2795">
        <v>1156</v>
      </c>
      <c r="T2795">
        <v>-40</v>
      </c>
      <c r="U2795">
        <v>53</v>
      </c>
      <c r="V2795">
        <v>560</v>
      </c>
      <c r="W2795">
        <v>32</v>
      </c>
      <c r="X2795">
        <v>32</v>
      </c>
      <c r="Y2795">
        <v>1</v>
      </c>
      <c r="Z2795">
        <v>8</v>
      </c>
      <c r="AA2795">
        <v>27</v>
      </c>
      <c r="AB2795">
        <v>2</v>
      </c>
      <c r="AC2795">
        <v>3</v>
      </c>
      <c r="AD2795">
        <v>3.2699999800000001</v>
      </c>
      <c r="AE2795">
        <v>5</v>
      </c>
      <c r="AF2795">
        <v>38</v>
      </c>
      <c r="AG2795">
        <v>3.2550001100000001</v>
      </c>
      <c r="AH2795">
        <v>4</v>
      </c>
      <c r="AI2795">
        <v>17</v>
      </c>
      <c r="AJ2795">
        <v>1</v>
      </c>
      <c r="AK2795">
        <v>25</v>
      </c>
      <c r="AL2795">
        <v>52</v>
      </c>
      <c r="AM2795" t="s">
        <v>43</v>
      </c>
      <c r="AN2795" t="str">
        <f>HYPERLINK("https://www.google.com/maps?q=10.7787962,79.2407074","Open Location")</f>
        <v>Open Location</v>
      </c>
    </row>
    <row r="2796" spans="1:40" x14ac:dyDescent="0.3">
      <c r="A2796" s="1">
        <v>46210.676041666666</v>
      </c>
      <c r="B2796" t="s">
        <v>40</v>
      </c>
      <c r="C2796" t="s">
        <v>41</v>
      </c>
      <c r="D2796" s="1">
        <v>46210.678703703707</v>
      </c>
      <c r="E2796" t="s">
        <v>42</v>
      </c>
      <c r="F2796" t="s">
        <v>83</v>
      </c>
      <c r="G2796">
        <v>42</v>
      </c>
      <c r="H2796">
        <v>33160</v>
      </c>
      <c r="I2796" t="s">
        <v>43</v>
      </c>
      <c r="J2796">
        <v>66</v>
      </c>
      <c r="K2796">
        <v>110</v>
      </c>
      <c r="L2796">
        <v>98</v>
      </c>
      <c r="M2796">
        <v>626.20001220999995</v>
      </c>
      <c r="N2796" t="s">
        <v>87</v>
      </c>
      <c r="O2796" t="s">
        <v>86</v>
      </c>
      <c r="P2796">
        <v>131</v>
      </c>
      <c r="Q2796">
        <v>6</v>
      </c>
      <c r="R2796">
        <v>65</v>
      </c>
      <c r="S2796">
        <v>1147</v>
      </c>
      <c r="T2796">
        <v>-40</v>
      </c>
      <c r="U2796">
        <v>53</v>
      </c>
      <c r="V2796">
        <v>520</v>
      </c>
      <c r="W2796">
        <v>32</v>
      </c>
      <c r="X2796">
        <v>32</v>
      </c>
      <c r="Y2796">
        <v>1</v>
      </c>
      <c r="Z2796">
        <v>8</v>
      </c>
      <c r="AA2796">
        <v>27</v>
      </c>
      <c r="AB2796">
        <v>2</v>
      </c>
      <c r="AC2796">
        <v>3</v>
      </c>
      <c r="AD2796">
        <v>3.26799989</v>
      </c>
      <c r="AE2796">
        <v>5</v>
      </c>
      <c r="AF2796">
        <v>38</v>
      </c>
      <c r="AG2796">
        <v>3.2509999299999999</v>
      </c>
      <c r="AH2796">
        <v>4</v>
      </c>
      <c r="AI2796">
        <v>17</v>
      </c>
      <c r="AJ2796">
        <v>1</v>
      </c>
      <c r="AK2796">
        <v>26</v>
      </c>
      <c r="AL2796">
        <v>52</v>
      </c>
      <c r="AM2796" t="s">
        <v>43</v>
      </c>
      <c r="AN2796" t="s">
        <v>43</v>
      </c>
    </row>
    <row r="2797" spans="1:40" x14ac:dyDescent="0.3">
      <c r="A2797" s="1">
        <v>46210.675925925927</v>
      </c>
      <c r="B2797" t="s">
        <v>40</v>
      </c>
      <c r="C2797" t="s">
        <v>41</v>
      </c>
      <c r="D2797" s="1">
        <v>46210.678773148145</v>
      </c>
      <c r="E2797" t="s">
        <v>42</v>
      </c>
      <c r="F2797" t="s">
        <v>83</v>
      </c>
      <c r="G2797">
        <v>41</v>
      </c>
      <c r="H2797" t="s">
        <v>43</v>
      </c>
      <c r="I2797" t="s">
        <v>1523</v>
      </c>
      <c r="J2797">
        <v>66</v>
      </c>
      <c r="K2797">
        <v>117</v>
      </c>
      <c r="L2797">
        <v>98</v>
      </c>
      <c r="M2797">
        <v>626.5</v>
      </c>
      <c r="N2797" t="s">
        <v>87</v>
      </c>
      <c r="O2797" t="s">
        <v>86</v>
      </c>
      <c r="P2797">
        <v>131</v>
      </c>
      <c r="Q2797">
        <v>6</v>
      </c>
      <c r="R2797">
        <v>66</v>
      </c>
      <c r="S2797">
        <v>1167</v>
      </c>
      <c r="T2797">
        <v>-40</v>
      </c>
      <c r="U2797">
        <v>53</v>
      </c>
      <c r="V2797">
        <v>590</v>
      </c>
      <c r="W2797">
        <v>32</v>
      </c>
      <c r="X2797">
        <v>32</v>
      </c>
      <c r="Y2797">
        <v>1</v>
      </c>
      <c r="Z2797">
        <v>8</v>
      </c>
      <c r="AA2797">
        <v>27</v>
      </c>
      <c r="AB2797">
        <v>2</v>
      </c>
      <c r="AC2797">
        <v>3</v>
      </c>
      <c r="AD2797" t="s">
        <v>43</v>
      </c>
      <c r="AE2797" t="s">
        <v>43</v>
      </c>
      <c r="AF2797" t="s">
        <v>43</v>
      </c>
      <c r="AG2797" t="s">
        <v>43</v>
      </c>
      <c r="AH2797" t="s">
        <v>43</v>
      </c>
      <c r="AI2797" t="s">
        <v>43</v>
      </c>
      <c r="AJ2797" t="s">
        <v>43</v>
      </c>
      <c r="AK2797" t="s">
        <v>43</v>
      </c>
      <c r="AL2797" t="s">
        <v>43</v>
      </c>
      <c r="AM2797" t="s">
        <v>43</v>
      </c>
      <c r="AN2797" t="str">
        <f>HYPERLINK("https://www.google.com/maps?q=10.77816772,79.24250031","Open Location")</f>
        <v>Open Location</v>
      </c>
    </row>
    <row r="2798" spans="1:40" x14ac:dyDescent="0.3">
      <c r="A2798" s="1">
        <v>46210.675810185188</v>
      </c>
      <c r="B2798" t="s">
        <v>40</v>
      </c>
      <c r="C2798" t="s">
        <v>41</v>
      </c>
      <c r="D2798" s="1">
        <v>46210.678414351853</v>
      </c>
      <c r="E2798" t="s">
        <v>42</v>
      </c>
      <c r="F2798" t="s">
        <v>83</v>
      </c>
      <c r="G2798">
        <v>42</v>
      </c>
      <c r="H2798">
        <v>33160</v>
      </c>
      <c r="I2798" t="s">
        <v>1524</v>
      </c>
      <c r="J2798">
        <v>66</v>
      </c>
      <c r="K2798">
        <v>133</v>
      </c>
      <c r="L2798">
        <v>98</v>
      </c>
      <c r="M2798">
        <v>624.70001220999995</v>
      </c>
      <c r="N2798" t="s">
        <v>87</v>
      </c>
      <c r="O2798" t="s">
        <v>86</v>
      </c>
      <c r="P2798">
        <v>131</v>
      </c>
      <c r="Q2798">
        <v>6</v>
      </c>
      <c r="R2798">
        <v>66</v>
      </c>
      <c r="S2798">
        <v>1184</v>
      </c>
      <c r="T2798">
        <v>-40</v>
      </c>
      <c r="U2798">
        <v>54</v>
      </c>
      <c r="V2798">
        <v>620</v>
      </c>
      <c r="W2798">
        <v>32</v>
      </c>
      <c r="X2798">
        <v>32</v>
      </c>
      <c r="Y2798">
        <v>1</v>
      </c>
      <c r="Z2798">
        <v>8</v>
      </c>
      <c r="AA2798">
        <v>27</v>
      </c>
      <c r="AB2798">
        <v>2</v>
      </c>
      <c r="AC2798">
        <v>3</v>
      </c>
      <c r="AD2798">
        <v>3.2669999600000001</v>
      </c>
      <c r="AE2798">
        <v>1</v>
      </c>
      <c r="AF2798">
        <v>44</v>
      </c>
      <c r="AG2798">
        <v>3.25</v>
      </c>
      <c r="AH2798">
        <v>4</v>
      </c>
      <c r="AI2798">
        <v>17</v>
      </c>
      <c r="AJ2798">
        <v>1</v>
      </c>
      <c r="AK2798">
        <v>25</v>
      </c>
      <c r="AL2798">
        <v>52</v>
      </c>
      <c r="AM2798" t="s">
        <v>43</v>
      </c>
      <c r="AN2798" t="str">
        <f>HYPERLINK("https://www.google.com/maps?q=10.77805138,79.24378204","Open Location")</f>
        <v>Open Location</v>
      </c>
    </row>
    <row r="2799" spans="1:40" x14ac:dyDescent="0.3">
      <c r="A2799" s="1">
        <v>46210.675694444442</v>
      </c>
      <c r="B2799" t="s">
        <v>40</v>
      </c>
      <c r="C2799" t="s">
        <v>41</v>
      </c>
      <c r="D2799" s="1">
        <v>46210.678680555553</v>
      </c>
      <c r="E2799" t="s">
        <v>42</v>
      </c>
      <c r="F2799" t="s">
        <v>83</v>
      </c>
      <c r="G2799">
        <v>42</v>
      </c>
      <c r="H2799">
        <v>33160</v>
      </c>
      <c r="I2799" t="s">
        <v>1525</v>
      </c>
      <c r="J2799">
        <v>67</v>
      </c>
      <c r="K2799">
        <v>108</v>
      </c>
      <c r="L2799">
        <v>98</v>
      </c>
      <c r="M2799">
        <v>627.09997558999999</v>
      </c>
      <c r="N2799" t="s">
        <v>87</v>
      </c>
      <c r="O2799" t="s">
        <v>86</v>
      </c>
      <c r="P2799">
        <v>131</v>
      </c>
      <c r="Q2799">
        <v>6</v>
      </c>
      <c r="R2799">
        <v>90</v>
      </c>
      <c r="S2799">
        <v>1177</v>
      </c>
      <c r="T2799">
        <v>-40</v>
      </c>
      <c r="U2799">
        <v>53</v>
      </c>
      <c r="V2799">
        <v>540</v>
      </c>
      <c r="W2799">
        <v>32</v>
      </c>
      <c r="X2799">
        <v>32</v>
      </c>
      <c r="Y2799">
        <v>1</v>
      </c>
      <c r="Z2799">
        <v>8</v>
      </c>
      <c r="AA2799">
        <v>27</v>
      </c>
      <c r="AB2799">
        <v>2</v>
      </c>
      <c r="AC2799">
        <v>3</v>
      </c>
      <c r="AD2799">
        <v>3.2720000699999998</v>
      </c>
      <c r="AE2799">
        <v>5</v>
      </c>
      <c r="AF2799">
        <v>38</v>
      </c>
      <c r="AG2799">
        <v>3.2550001100000001</v>
      </c>
      <c r="AH2799">
        <v>4</v>
      </c>
      <c r="AI2799">
        <v>17</v>
      </c>
      <c r="AJ2799">
        <v>1</v>
      </c>
      <c r="AK2799">
        <v>26</v>
      </c>
      <c r="AL2799">
        <v>52</v>
      </c>
      <c r="AM2799" t="s">
        <v>43</v>
      </c>
      <c r="AN2799" t="str">
        <f>HYPERLINK("https://www.google.com/maps?q=10.77802467,79.24507141","Open Location")</f>
        <v>Open Location</v>
      </c>
    </row>
    <row r="2800" spans="1:40" x14ac:dyDescent="0.3">
      <c r="A2800" s="1">
        <v>46210.675578703704</v>
      </c>
      <c r="B2800" t="s">
        <v>40</v>
      </c>
      <c r="C2800" t="s">
        <v>41</v>
      </c>
      <c r="D2800" s="1">
        <v>46210.678263888891</v>
      </c>
      <c r="E2800" t="s">
        <v>42</v>
      </c>
      <c r="F2800" t="s">
        <v>83</v>
      </c>
      <c r="G2800">
        <v>42</v>
      </c>
      <c r="H2800">
        <v>33160</v>
      </c>
      <c r="I2800" t="s">
        <v>1526</v>
      </c>
      <c r="J2800">
        <v>67</v>
      </c>
      <c r="K2800">
        <v>112</v>
      </c>
      <c r="L2800">
        <v>98</v>
      </c>
      <c r="M2800">
        <v>628.20001220999995</v>
      </c>
      <c r="N2800" t="s">
        <v>87</v>
      </c>
      <c r="O2800" t="s">
        <v>86</v>
      </c>
      <c r="P2800">
        <v>131</v>
      </c>
      <c r="Q2800">
        <v>6</v>
      </c>
      <c r="R2800">
        <v>88</v>
      </c>
      <c r="S2800">
        <v>1192</v>
      </c>
      <c r="T2800">
        <v>-40</v>
      </c>
      <c r="U2800">
        <v>52</v>
      </c>
      <c r="V2800">
        <v>560</v>
      </c>
      <c r="W2800">
        <v>32</v>
      </c>
      <c r="X2800">
        <v>32</v>
      </c>
      <c r="Y2800">
        <v>1</v>
      </c>
      <c r="Z2800">
        <v>8</v>
      </c>
      <c r="AA2800">
        <v>27</v>
      </c>
      <c r="AB2800">
        <v>2</v>
      </c>
      <c r="AC2800">
        <v>3</v>
      </c>
      <c r="AD2800">
        <v>3.2750001000000002</v>
      </c>
      <c r="AE2800">
        <v>5</v>
      </c>
      <c r="AF2800">
        <v>38</v>
      </c>
      <c r="AG2800">
        <v>3.25900006</v>
      </c>
      <c r="AH2800">
        <v>4</v>
      </c>
      <c r="AI2800">
        <v>17</v>
      </c>
      <c r="AJ2800">
        <v>1</v>
      </c>
      <c r="AK2800">
        <v>26</v>
      </c>
      <c r="AL2800">
        <v>52</v>
      </c>
      <c r="AM2800" t="s">
        <v>43</v>
      </c>
      <c r="AN2800" t="str">
        <f>HYPERLINK("https://www.google.com/maps?q=10.77798176,79.24636078","Open Location")</f>
        <v>Open Location</v>
      </c>
    </row>
    <row r="2801" spans="1:40" x14ac:dyDescent="0.3">
      <c r="A2801" s="1">
        <v>46210.675462962965</v>
      </c>
      <c r="B2801" t="s">
        <v>40</v>
      </c>
      <c r="C2801" t="s">
        <v>41</v>
      </c>
      <c r="D2801" s="1">
        <v>46210.678206018521</v>
      </c>
      <c r="E2801" t="s">
        <v>42</v>
      </c>
      <c r="F2801" t="s">
        <v>83</v>
      </c>
      <c r="G2801">
        <v>43</v>
      </c>
      <c r="H2801">
        <v>33160</v>
      </c>
      <c r="I2801" t="s">
        <v>1527</v>
      </c>
      <c r="J2801">
        <v>67</v>
      </c>
      <c r="K2801">
        <v>88</v>
      </c>
      <c r="L2801">
        <v>98</v>
      </c>
      <c r="M2801">
        <v>628.09997558999999</v>
      </c>
      <c r="N2801" t="s">
        <v>87</v>
      </c>
      <c r="O2801" t="s">
        <v>86</v>
      </c>
      <c r="P2801">
        <v>131</v>
      </c>
      <c r="Q2801">
        <v>6</v>
      </c>
      <c r="R2801">
        <v>67</v>
      </c>
      <c r="S2801">
        <v>1205</v>
      </c>
      <c r="T2801">
        <v>-40</v>
      </c>
      <c r="U2801">
        <v>52</v>
      </c>
      <c r="V2801">
        <v>400</v>
      </c>
      <c r="W2801">
        <v>32</v>
      </c>
      <c r="X2801">
        <v>32</v>
      </c>
      <c r="Y2801">
        <v>1</v>
      </c>
      <c r="Z2801">
        <v>8</v>
      </c>
      <c r="AA2801">
        <v>27</v>
      </c>
      <c r="AB2801">
        <v>2</v>
      </c>
      <c r="AC2801">
        <v>3</v>
      </c>
      <c r="AD2801">
        <v>3.28299999</v>
      </c>
      <c r="AE2801">
        <v>5</v>
      </c>
      <c r="AF2801">
        <v>38</v>
      </c>
      <c r="AG2801">
        <v>3.2699999800000001</v>
      </c>
      <c r="AH2801">
        <v>4</v>
      </c>
      <c r="AI2801">
        <v>17</v>
      </c>
      <c r="AJ2801">
        <v>1</v>
      </c>
      <c r="AK2801">
        <v>26</v>
      </c>
      <c r="AL2801">
        <v>52</v>
      </c>
      <c r="AM2801" t="s">
        <v>43</v>
      </c>
      <c r="AN2801" t="str">
        <f>HYPERLINK("https://www.google.com/maps?q=10.77788925,79.24768829","Open Location")</f>
        <v>Open Location</v>
      </c>
    </row>
    <row r="2802" spans="1:40" x14ac:dyDescent="0.3">
      <c r="A2802" s="1">
        <v>46210.675347222219</v>
      </c>
      <c r="B2802" t="s">
        <v>40</v>
      </c>
      <c r="C2802" t="s">
        <v>41</v>
      </c>
      <c r="D2802" s="1">
        <v>46210.678206018521</v>
      </c>
      <c r="E2802" t="s">
        <v>42</v>
      </c>
      <c r="F2802" t="s">
        <v>83</v>
      </c>
      <c r="G2802">
        <v>43</v>
      </c>
      <c r="H2802">
        <v>33160</v>
      </c>
      <c r="I2802" t="s">
        <v>43</v>
      </c>
      <c r="J2802">
        <v>67</v>
      </c>
      <c r="K2802">
        <v>-46</v>
      </c>
      <c r="L2802">
        <v>98</v>
      </c>
      <c r="M2802">
        <v>634.5</v>
      </c>
      <c r="N2802" t="s">
        <v>87</v>
      </c>
      <c r="O2802" t="s">
        <v>86</v>
      </c>
      <c r="P2802">
        <v>131</v>
      </c>
      <c r="Q2802">
        <v>6</v>
      </c>
      <c r="R2802">
        <v>49</v>
      </c>
      <c r="S2802">
        <v>1151</v>
      </c>
      <c r="T2802">
        <v>-40</v>
      </c>
      <c r="U2802">
        <v>51</v>
      </c>
      <c r="V2802">
        <v>-300</v>
      </c>
      <c r="W2802">
        <v>32</v>
      </c>
      <c r="X2802">
        <v>32</v>
      </c>
      <c r="Y2802">
        <v>1</v>
      </c>
      <c r="Z2802">
        <v>8</v>
      </c>
      <c r="AA2802">
        <v>27</v>
      </c>
      <c r="AB2802">
        <v>2</v>
      </c>
      <c r="AC2802">
        <v>4</v>
      </c>
      <c r="AD2802">
        <v>3.2929999799999998</v>
      </c>
      <c r="AE2802">
        <v>5</v>
      </c>
      <c r="AF2802">
        <v>38</v>
      </c>
      <c r="AG2802">
        <v>3.2820000600000001</v>
      </c>
      <c r="AH2802">
        <v>4</v>
      </c>
      <c r="AI2802">
        <v>17</v>
      </c>
      <c r="AJ2802">
        <v>1</v>
      </c>
      <c r="AK2802">
        <v>25</v>
      </c>
      <c r="AL2802">
        <v>52</v>
      </c>
      <c r="AM2802" t="s">
        <v>43</v>
      </c>
      <c r="AN2802" t="s">
        <v>43</v>
      </c>
    </row>
    <row r="2803" spans="1:40" x14ac:dyDescent="0.3">
      <c r="A2803" s="1">
        <v>46210.67523148148</v>
      </c>
      <c r="B2803" t="s">
        <v>40</v>
      </c>
      <c r="C2803" t="s">
        <v>41</v>
      </c>
      <c r="D2803" s="1">
        <v>46210.67796296296</v>
      </c>
      <c r="E2803" t="s">
        <v>42</v>
      </c>
      <c r="F2803" t="s">
        <v>83</v>
      </c>
      <c r="G2803">
        <v>41</v>
      </c>
      <c r="H2803">
        <v>33160</v>
      </c>
      <c r="I2803" t="s">
        <v>1528</v>
      </c>
      <c r="J2803">
        <v>67</v>
      </c>
      <c r="K2803">
        <v>-46</v>
      </c>
      <c r="L2803">
        <v>98</v>
      </c>
      <c r="M2803">
        <v>633.09997558999999</v>
      </c>
      <c r="N2803" t="s">
        <v>87</v>
      </c>
      <c r="O2803" t="s">
        <v>86</v>
      </c>
      <c r="P2803">
        <v>131</v>
      </c>
      <c r="Q2803">
        <v>6</v>
      </c>
      <c r="R2803">
        <v>-37</v>
      </c>
      <c r="S2803">
        <v>1168</v>
      </c>
      <c r="T2803">
        <v>-40</v>
      </c>
      <c r="U2803">
        <v>51</v>
      </c>
      <c r="V2803">
        <v>-300</v>
      </c>
      <c r="W2803">
        <v>32</v>
      </c>
      <c r="X2803">
        <v>32</v>
      </c>
      <c r="Y2803">
        <v>1</v>
      </c>
      <c r="Z2803">
        <v>8</v>
      </c>
      <c r="AA2803">
        <v>27</v>
      </c>
      <c r="AB2803">
        <v>2</v>
      </c>
      <c r="AC2803">
        <v>4</v>
      </c>
      <c r="AD2803">
        <v>3.3039999</v>
      </c>
      <c r="AE2803">
        <v>1</v>
      </c>
      <c r="AF2803">
        <v>36</v>
      </c>
      <c r="AG2803">
        <v>3.2959999999999998</v>
      </c>
      <c r="AH2803">
        <v>8</v>
      </c>
      <c r="AI2803">
        <v>48</v>
      </c>
      <c r="AJ2803">
        <v>1</v>
      </c>
      <c r="AK2803">
        <v>26</v>
      </c>
      <c r="AL2803">
        <v>52</v>
      </c>
      <c r="AM2803" t="s">
        <v>43</v>
      </c>
      <c r="AN2803" t="str">
        <f>HYPERLINK("https://www.google.com/maps?q=10.77779293,79.24897003","Open Location")</f>
        <v>Open Location</v>
      </c>
    </row>
    <row r="2804" spans="1:40" x14ac:dyDescent="0.3">
      <c r="A2804" s="1">
        <v>46210.675115740742</v>
      </c>
      <c r="B2804" t="s">
        <v>40</v>
      </c>
      <c r="C2804" t="s">
        <v>41</v>
      </c>
      <c r="D2804" s="1">
        <v>46210.677824074075</v>
      </c>
      <c r="E2804" t="s">
        <v>42</v>
      </c>
      <c r="F2804" t="s">
        <v>83</v>
      </c>
      <c r="G2804">
        <v>42</v>
      </c>
      <c r="H2804">
        <v>33159</v>
      </c>
      <c r="I2804" t="s">
        <v>1529</v>
      </c>
      <c r="J2804">
        <v>67</v>
      </c>
      <c r="K2804">
        <v>114</v>
      </c>
      <c r="L2804">
        <v>98</v>
      </c>
      <c r="M2804">
        <v>625.70001220999995</v>
      </c>
      <c r="N2804" t="s">
        <v>87</v>
      </c>
      <c r="O2804" t="s">
        <v>86</v>
      </c>
      <c r="P2804">
        <v>131</v>
      </c>
      <c r="Q2804">
        <v>6</v>
      </c>
      <c r="R2804">
        <v>-37</v>
      </c>
      <c r="S2804">
        <v>1149</v>
      </c>
      <c r="T2804">
        <v>-40</v>
      </c>
      <c r="U2804">
        <v>52</v>
      </c>
      <c r="V2804">
        <v>540</v>
      </c>
      <c r="W2804">
        <v>32</v>
      </c>
      <c r="X2804">
        <v>32</v>
      </c>
      <c r="Y2804">
        <v>1</v>
      </c>
      <c r="Z2804">
        <v>8</v>
      </c>
      <c r="AA2804">
        <v>27</v>
      </c>
      <c r="AB2804">
        <v>2</v>
      </c>
      <c r="AC2804">
        <v>4</v>
      </c>
      <c r="AD2804">
        <v>3.27099991</v>
      </c>
      <c r="AE2804">
        <v>1</v>
      </c>
      <c r="AF2804">
        <v>42</v>
      </c>
      <c r="AG2804">
        <v>3.25600004</v>
      </c>
      <c r="AH2804">
        <v>4</v>
      </c>
      <c r="AI2804">
        <v>17</v>
      </c>
      <c r="AJ2804">
        <v>1</v>
      </c>
      <c r="AK2804">
        <v>26</v>
      </c>
      <c r="AL2804">
        <v>52</v>
      </c>
      <c r="AM2804" t="s">
        <v>43</v>
      </c>
      <c r="AN2804" t="str">
        <f>HYPERLINK("https://www.google.com/maps?q=10.77768612,79.25036621","Open Location")</f>
        <v>Open Location</v>
      </c>
    </row>
    <row r="2805" spans="1:40" x14ac:dyDescent="0.3">
      <c r="A2805" s="1">
        <v>46210.675000000003</v>
      </c>
      <c r="B2805" t="s">
        <v>40</v>
      </c>
      <c r="C2805" t="s">
        <v>41</v>
      </c>
      <c r="D2805" s="1">
        <v>46210.678182870368</v>
      </c>
      <c r="E2805" t="s">
        <v>42</v>
      </c>
      <c r="F2805" t="s">
        <v>83</v>
      </c>
      <c r="G2805">
        <v>40</v>
      </c>
      <c r="H2805">
        <v>33159</v>
      </c>
      <c r="I2805" t="s">
        <v>1530</v>
      </c>
      <c r="J2805">
        <v>67</v>
      </c>
      <c r="K2805">
        <v>87</v>
      </c>
      <c r="L2805">
        <v>98</v>
      </c>
      <c r="M2805">
        <v>626.79998779000005</v>
      </c>
      <c r="N2805" t="s">
        <v>87</v>
      </c>
      <c r="O2805" t="s">
        <v>86</v>
      </c>
      <c r="P2805">
        <v>131</v>
      </c>
      <c r="Q2805">
        <v>6</v>
      </c>
      <c r="R2805">
        <v>81</v>
      </c>
      <c r="S2805">
        <v>1074</v>
      </c>
      <c r="T2805">
        <v>-40</v>
      </c>
      <c r="U2805">
        <v>53</v>
      </c>
      <c r="V2805">
        <v>400</v>
      </c>
      <c r="W2805">
        <v>32</v>
      </c>
      <c r="X2805">
        <v>32</v>
      </c>
      <c r="Y2805">
        <v>1</v>
      </c>
      <c r="Z2805">
        <v>8</v>
      </c>
      <c r="AA2805">
        <v>27</v>
      </c>
      <c r="AB2805">
        <v>2</v>
      </c>
      <c r="AC2805">
        <v>4</v>
      </c>
      <c r="AD2805">
        <v>3.2750001000000002</v>
      </c>
      <c r="AE2805">
        <v>1</v>
      </c>
      <c r="AF2805">
        <v>42</v>
      </c>
      <c r="AG2805">
        <v>3.2609999200000002</v>
      </c>
      <c r="AH2805">
        <v>4</v>
      </c>
      <c r="AI2805">
        <v>17</v>
      </c>
      <c r="AJ2805">
        <v>1</v>
      </c>
      <c r="AK2805">
        <v>26</v>
      </c>
      <c r="AL2805">
        <v>52</v>
      </c>
      <c r="AM2805" t="s">
        <v>43</v>
      </c>
      <c r="AN2805" t="str">
        <f>HYPERLINK("https://www.google.com/maps?q=10.7776413,79.25161743","Open Location")</f>
        <v>Open Location</v>
      </c>
    </row>
    <row r="2806" spans="1:40" x14ac:dyDescent="0.3">
      <c r="A2806" s="1">
        <v>46210.674884259257</v>
      </c>
      <c r="B2806" t="s">
        <v>40</v>
      </c>
      <c r="C2806" t="s">
        <v>41</v>
      </c>
      <c r="D2806" s="1">
        <v>46210.677754629629</v>
      </c>
      <c r="E2806" t="s">
        <v>42</v>
      </c>
      <c r="F2806" t="s">
        <v>83</v>
      </c>
      <c r="G2806">
        <v>38</v>
      </c>
      <c r="H2806">
        <v>33159</v>
      </c>
      <c r="I2806" t="s">
        <v>1531</v>
      </c>
      <c r="J2806">
        <v>67</v>
      </c>
      <c r="K2806">
        <v>129</v>
      </c>
      <c r="L2806">
        <v>98</v>
      </c>
      <c r="M2806">
        <v>625.40002441000001</v>
      </c>
      <c r="N2806" t="s">
        <v>87</v>
      </c>
      <c r="O2806" t="s">
        <v>86</v>
      </c>
      <c r="P2806">
        <v>131</v>
      </c>
      <c r="Q2806">
        <v>6</v>
      </c>
      <c r="R2806">
        <v>55</v>
      </c>
      <c r="S2806">
        <v>1042</v>
      </c>
      <c r="T2806">
        <v>-40</v>
      </c>
      <c r="U2806">
        <v>54</v>
      </c>
      <c r="V2806">
        <v>700</v>
      </c>
      <c r="W2806">
        <v>32</v>
      </c>
      <c r="X2806">
        <v>32</v>
      </c>
      <c r="Y2806">
        <v>1</v>
      </c>
      <c r="Z2806">
        <v>8</v>
      </c>
      <c r="AA2806">
        <v>27</v>
      </c>
      <c r="AB2806">
        <v>2</v>
      </c>
      <c r="AC2806">
        <v>4</v>
      </c>
      <c r="AD2806">
        <v>3.2690000499999998</v>
      </c>
      <c r="AE2806">
        <v>1</v>
      </c>
      <c r="AF2806">
        <v>42</v>
      </c>
      <c r="AG2806">
        <v>3.2539999499999999</v>
      </c>
      <c r="AH2806">
        <v>4</v>
      </c>
      <c r="AI2806">
        <v>17</v>
      </c>
      <c r="AJ2806">
        <v>1</v>
      </c>
      <c r="AK2806">
        <v>25</v>
      </c>
      <c r="AL2806">
        <v>52</v>
      </c>
      <c r="AM2806" t="s">
        <v>43</v>
      </c>
      <c r="AN2806" t="str">
        <f>HYPERLINK("https://www.google.com/maps?q=10.77763939,79.25279236","Open Location")</f>
        <v>Open Location</v>
      </c>
    </row>
    <row r="2807" spans="1:40" x14ac:dyDescent="0.3">
      <c r="A2807" s="1">
        <v>46210.674768518518</v>
      </c>
      <c r="B2807" t="s">
        <v>40</v>
      </c>
      <c r="C2807" t="s">
        <v>41</v>
      </c>
      <c r="D2807" s="1">
        <v>46210.677754629629</v>
      </c>
      <c r="E2807" t="s">
        <v>42</v>
      </c>
      <c r="F2807" t="s">
        <v>83</v>
      </c>
      <c r="G2807">
        <v>37</v>
      </c>
      <c r="H2807">
        <v>33159</v>
      </c>
      <c r="I2807" t="s">
        <v>43</v>
      </c>
      <c r="J2807">
        <v>67</v>
      </c>
      <c r="K2807">
        <v>128</v>
      </c>
      <c r="L2807">
        <v>98</v>
      </c>
      <c r="M2807">
        <v>625.40002441000001</v>
      </c>
      <c r="N2807" t="s">
        <v>87</v>
      </c>
      <c r="O2807" t="s">
        <v>86</v>
      </c>
      <c r="P2807">
        <v>131</v>
      </c>
      <c r="Q2807">
        <v>6</v>
      </c>
      <c r="R2807">
        <v>83</v>
      </c>
      <c r="S2807">
        <v>1018</v>
      </c>
      <c r="T2807">
        <v>-40</v>
      </c>
      <c r="U2807">
        <v>53</v>
      </c>
      <c r="V2807">
        <v>660</v>
      </c>
      <c r="W2807">
        <v>32</v>
      </c>
      <c r="X2807">
        <v>32</v>
      </c>
      <c r="Y2807">
        <v>1</v>
      </c>
      <c r="Z2807">
        <v>8</v>
      </c>
      <c r="AA2807">
        <v>27</v>
      </c>
      <c r="AB2807">
        <v>2</v>
      </c>
      <c r="AC2807">
        <v>4</v>
      </c>
      <c r="AD2807">
        <v>3.2720000699999998</v>
      </c>
      <c r="AE2807">
        <v>5</v>
      </c>
      <c r="AF2807">
        <v>38</v>
      </c>
      <c r="AG2807">
        <v>3.2569999699999999</v>
      </c>
      <c r="AH2807">
        <v>4</v>
      </c>
      <c r="AI2807">
        <v>17</v>
      </c>
      <c r="AJ2807">
        <v>1</v>
      </c>
      <c r="AK2807">
        <v>25</v>
      </c>
      <c r="AL2807">
        <v>52</v>
      </c>
      <c r="AM2807" t="s">
        <v>43</v>
      </c>
      <c r="AN2807" t="s">
        <v>43</v>
      </c>
    </row>
    <row r="2808" spans="1:40" x14ac:dyDescent="0.3">
      <c r="A2808" s="1">
        <v>46210.67465277778</v>
      </c>
      <c r="B2808" t="s">
        <v>40</v>
      </c>
      <c r="C2808" t="s">
        <v>41</v>
      </c>
      <c r="D2808" s="1">
        <v>46210.677256944444</v>
      </c>
      <c r="E2808" t="s">
        <v>42</v>
      </c>
      <c r="F2808" t="s">
        <v>83</v>
      </c>
      <c r="G2808">
        <v>37</v>
      </c>
      <c r="H2808">
        <v>33159</v>
      </c>
      <c r="I2808" t="s">
        <v>1532</v>
      </c>
      <c r="J2808">
        <v>67</v>
      </c>
      <c r="K2808">
        <v>110</v>
      </c>
      <c r="L2808">
        <v>98</v>
      </c>
      <c r="M2808">
        <v>626.20001220999995</v>
      </c>
      <c r="N2808" t="s">
        <v>87</v>
      </c>
      <c r="O2808" t="s">
        <v>86</v>
      </c>
      <c r="P2808">
        <v>131</v>
      </c>
      <c r="Q2808">
        <v>6</v>
      </c>
      <c r="R2808">
        <v>66</v>
      </c>
      <c r="S2808">
        <v>1043</v>
      </c>
      <c r="T2808">
        <v>-40</v>
      </c>
      <c r="U2808">
        <v>53</v>
      </c>
      <c r="V2808">
        <v>580</v>
      </c>
      <c r="W2808">
        <v>32</v>
      </c>
      <c r="X2808">
        <v>32</v>
      </c>
      <c r="Y2808">
        <v>1</v>
      </c>
      <c r="Z2808">
        <v>8</v>
      </c>
      <c r="AA2808">
        <v>27</v>
      </c>
      <c r="AB2808">
        <v>2</v>
      </c>
      <c r="AC2808">
        <v>4</v>
      </c>
      <c r="AD2808">
        <v>3.2730000000000001</v>
      </c>
      <c r="AE2808">
        <v>1</v>
      </c>
      <c r="AF2808">
        <v>42</v>
      </c>
      <c r="AG2808">
        <v>3.25900006</v>
      </c>
      <c r="AH2808">
        <v>4</v>
      </c>
      <c r="AI2808">
        <v>17</v>
      </c>
      <c r="AJ2808">
        <v>1</v>
      </c>
      <c r="AK2808">
        <v>25</v>
      </c>
      <c r="AL2808">
        <v>52</v>
      </c>
      <c r="AM2808" t="s">
        <v>43</v>
      </c>
      <c r="AN2808" t="str">
        <f>HYPERLINK("https://www.google.com/maps?q=10.77775002,79.25392151","Open Location")</f>
        <v>Open Location</v>
      </c>
    </row>
    <row r="2809" spans="1:40" x14ac:dyDescent="0.3">
      <c r="A2809" s="1">
        <v>46210.674537037034</v>
      </c>
      <c r="B2809" t="s">
        <v>40</v>
      </c>
      <c r="C2809" t="s">
        <v>41</v>
      </c>
      <c r="D2809" s="1">
        <v>46210.677291666667</v>
      </c>
      <c r="E2809" t="s">
        <v>42</v>
      </c>
      <c r="F2809" t="s">
        <v>83</v>
      </c>
      <c r="G2809">
        <v>38</v>
      </c>
      <c r="H2809">
        <v>33159</v>
      </c>
      <c r="I2809" t="s">
        <v>1533</v>
      </c>
      <c r="J2809">
        <v>67</v>
      </c>
      <c r="K2809">
        <v>142</v>
      </c>
      <c r="L2809">
        <v>98</v>
      </c>
      <c r="M2809">
        <v>625</v>
      </c>
      <c r="N2809" t="s">
        <v>87</v>
      </c>
      <c r="O2809" t="s">
        <v>86</v>
      </c>
      <c r="P2809">
        <v>131</v>
      </c>
      <c r="Q2809">
        <v>6</v>
      </c>
      <c r="R2809">
        <v>66</v>
      </c>
      <c r="S2809">
        <v>1078</v>
      </c>
      <c r="T2809">
        <v>-40</v>
      </c>
      <c r="U2809">
        <v>53</v>
      </c>
      <c r="V2809">
        <v>720</v>
      </c>
      <c r="W2809">
        <v>32</v>
      </c>
      <c r="X2809">
        <v>32</v>
      </c>
      <c r="Y2809">
        <v>1</v>
      </c>
      <c r="Z2809">
        <v>8</v>
      </c>
      <c r="AA2809">
        <v>27</v>
      </c>
      <c r="AB2809">
        <v>2</v>
      </c>
      <c r="AC2809">
        <v>4</v>
      </c>
      <c r="AD2809">
        <v>3.2720000699999998</v>
      </c>
      <c r="AE2809">
        <v>5</v>
      </c>
      <c r="AF2809">
        <v>38</v>
      </c>
      <c r="AG2809">
        <v>3.25600004</v>
      </c>
      <c r="AH2809">
        <v>4</v>
      </c>
      <c r="AI2809">
        <v>17</v>
      </c>
      <c r="AJ2809">
        <v>1</v>
      </c>
      <c r="AK2809">
        <v>26</v>
      </c>
      <c r="AL2809">
        <v>52</v>
      </c>
      <c r="AM2809" t="s">
        <v>43</v>
      </c>
      <c r="AN2809" t="str">
        <f>HYPERLINK("https://www.google.com/maps?q=10.77803516,79.25501251","Open Location")</f>
        <v>Open Location</v>
      </c>
    </row>
    <row r="2810" spans="1:40" x14ac:dyDescent="0.3">
      <c r="A2810" s="1">
        <v>46210.674421296295</v>
      </c>
      <c r="B2810" t="s">
        <v>40</v>
      </c>
      <c r="C2810" t="s">
        <v>41</v>
      </c>
      <c r="D2810" s="1">
        <v>46210.677199074074</v>
      </c>
      <c r="E2810" t="s">
        <v>42</v>
      </c>
      <c r="F2810" t="s">
        <v>83</v>
      </c>
      <c r="G2810">
        <v>39</v>
      </c>
      <c r="H2810">
        <v>33159</v>
      </c>
      <c r="I2810" t="s">
        <v>1534</v>
      </c>
      <c r="J2810">
        <v>67</v>
      </c>
      <c r="K2810">
        <v>86</v>
      </c>
      <c r="L2810">
        <v>98</v>
      </c>
      <c r="M2810">
        <v>627.79998779000005</v>
      </c>
      <c r="N2810" t="s">
        <v>87</v>
      </c>
      <c r="O2810" t="s">
        <v>86</v>
      </c>
      <c r="P2810">
        <v>131</v>
      </c>
      <c r="Q2810">
        <v>6</v>
      </c>
      <c r="R2810">
        <v>84</v>
      </c>
      <c r="S2810">
        <v>1118</v>
      </c>
      <c r="T2810">
        <v>-40</v>
      </c>
      <c r="U2810">
        <v>52</v>
      </c>
      <c r="V2810">
        <v>440</v>
      </c>
      <c r="W2810">
        <v>32</v>
      </c>
      <c r="X2810">
        <v>32</v>
      </c>
      <c r="Y2810">
        <v>1</v>
      </c>
      <c r="Z2810">
        <v>8</v>
      </c>
      <c r="AA2810">
        <v>27</v>
      </c>
      <c r="AB2810">
        <v>2</v>
      </c>
      <c r="AC2810">
        <v>4</v>
      </c>
      <c r="AD2810">
        <v>3.2780001200000002</v>
      </c>
      <c r="AE2810">
        <v>5</v>
      </c>
      <c r="AF2810">
        <v>38</v>
      </c>
      <c r="AG2810">
        <v>3.2639999400000002</v>
      </c>
      <c r="AH2810">
        <v>4</v>
      </c>
      <c r="AI2810">
        <v>17</v>
      </c>
      <c r="AJ2810">
        <v>1</v>
      </c>
      <c r="AK2810">
        <v>26</v>
      </c>
      <c r="AL2810">
        <v>52</v>
      </c>
      <c r="AM2810" t="s">
        <v>43</v>
      </c>
      <c r="AN2810" t="str">
        <f>HYPERLINK("https://www.google.com/maps?q=10.77849865,79.25609589","Open Location")</f>
        <v>Open Location</v>
      </c>
    </row>
    <row r="2811" spans="1:40" x14ac:dyDescent="0.3">
      <c r="A2811" s="1">
        <v>46210.674305555556</v>
      </c>
      <c r="B2811" t="s">
        <v>40</v>
      </c>
      <c r="C2811" t="s">
        <v>41</v>
      </c>
      <c r="D2811" s="1">
        <v>46210.677060185182</v>
      </c>
      <c r="E2811" t="s">
        <v>42</v>
      </c>
      <c r="F2811" t="s">
        <v>83</v>
      </c>
      <c r="G2811">
        <v>42</v>
      </c>
      <c r="H2811">
        <v>33159</v>
      </c>
      <c r="I2811" t="s">
        <v>1535</v>
      </c>
      <c r="J2811">
        <v>67</v>
      </c>
      <c r="K2811">
        <v>62</v>
      </c>
      <c r="L2811">
        <v>98</v>
      </c>
      <c r="M2811">
        <v>628.70001220999995</v>
      </c>
      <c r="N2811" t="s">
        <v>87</v>
      </c>
      <c r="O2811" t="s">
        <v>86</v>
      </c>
      <c r="P2811">
        <v>131</v>
      </c>
      <c r="Q2811">
        <v>6</v>
      </c>
      <c r="R2811">
        <v>33</v>
      </c>
      <c r="S2811">
        <v>1291</v>
      </c>
      <c r="T2811">
        <v>-40</v>
      </c>
      <c r="U2811">
        <v>50</v>
      </c>
      <c r="V2811">
        <v>260</v>
      </c>
      <c r="W2811">
        <v>32</v>
      </c>
      <c r="X2811">
        <v>32</v>
      </c>
      <c r="Y2811">
        <v>1</v>
      </c>
      <c r="Z2811">
        <v>8</v>
      </c>
      <c r="AA2811">
        <v>28</v>
      </c>
      <c r="AB2811">
        <v>1</v>
      </c>
      <c r="AC2811">
        <v>3</v>
      </c>
      <c r="AD2811">
        <v>3.28299999</v>
      </c>
      <c r="AE2811">
        <v>1</v>
      </c>
      <c r="AF2811">
        <v>42</v>
      </c>
      <c r="AG2811">
        <v>3.27099991</v>
      </c>
      <c r="AH2811">
        <v>4</v>
      </c>
      <c r="AI2811">
        <v>17</v>
      </c>
      <c r="AJ2811">
        <v>1</v>
      </c>
      <c r="AK2811">
        <v>26</v>
      </c>
      <c r="AL2811">
        <v>52</v>
      </c>
      <c r="AM2811" t="s">
        <v>43</v>
      </c>
      <c r="AN2811" t="str">
        <f>HYPERLINK("https://www.google.com/maps?q=10.77920914,79.25717926","Open Location")</f>
        <v>Open Location</v>
      </c>
    </row>
    <row r="2812" spans="1:40" x14ac:dyDescent="0.3">
      <c r="A2812" s="1">
        <v>46210.674189814818</v>
      </c>
      <c r="B2812" t="s">
        <v>40</v>
      </c>
      <c r="C2812" t="s">
        <v>41</v>
      </c>
      <c r="D2812" s="1">
        <v>46210.677002314813</v>
      </c>
      <c r="E2812" t="s">
        <v>42</v>
      </c>
      <c r="F2812" t="s">
        <v>83</v>
      </c>
      <c r="G2812">
        <v>47</v>
      </c>
      <c r="H2812" t="s">
        <v>43</v>
      </c>
      <c r="I2812" t="s">
        <v>1536</v>
      </c>
      <c r="J2812">
        <v>67</v>
      </c>
      <c r="K2812">
        <v>29</v>
      </c>
      <c r="L2812">
        <v>98</v>
      </c>
      <c r="M2812">
        <v>629.70001220999995</v>
      </c>
      <c r="N2812" t="s">
        <v>87</v>
      </c>
      <c r="O2812" t="s">
        <v>86</v>
      </c>
      <c r="P2812">
        <v>131</v>
      </c>
      <c r="Q2812">
        <v>6</v>
      </c>
      <c r="R2812">
        <v>41</v>
      </c>
      <c r="S2812">
        <v>1327</v>
      </c>
      <c r="T2812">
        <v>-40</v>
      </c>
      <c r="U2812">
        <v>51</v>
      </c>
      <c r="V2812">
        <v>84</v>
      </c>
      <c r="W2812">
        <v>32</v>
      </c>
      <c r="X2812">
        <v>32</v>
      </c>
      <c r="Y2812">
        <v>1</v>
      </c>
      <c r="Z2812">
        <v>8</v>
      </c>
      <c r="AA2812">
        <v>28</v>
      </c>
      <c r="AB2812">
        <v>1</v>
      </c>
      <c r="AC2812">
        <v>3</v>
      </c>
      <c r="AD2812">
        <v>3.2839999199999999</v>
      </c>
      <c r="AE2812">
        <v>1</v>
      </c>
      <c r="AF2812">
        <v>42</v>
      </c>
      <c r="AG2812">
        <v>3.2720000699999998</v>
      </c>
      <c r="AH2812">
        <v>4</v>
      </c>
      <c r="AI2812">
        <v>17</v>
      </c>
      <c r="AJ2812">
        <v>1</v>
      </c>
      <c r="AK2812">
        <v>26</v>
      </c>
      <c r="AL2812">
        <v>52</v>
      </c>
      <c r="AM2812" t="s">
        <v>43</v>
      </c>
      <c r="AN2812" t="str">
        <f>HYPERLINK("https://www.google.com/maps?q=10.7800951,79.258461","Open Location")</f>
        <v>Open Location</v>
      </c>
    </row>
    <row r="2813" spans="1:40" x14ac:dyDescent="0.3">
      <c r="A2813" s="1">
        <v>46210.674074074072</v>
      </c>
      <c r="B2813" t="s">
        <v>40</v>
      </c>
      <c r="C2813" t="s">
        <v>41</v>
      </c>
      <c r="D2813" s="1">
        <v>46210.676782407405</v>
      </c>
      <c r="E2813" t="s">
        <v>42</v>
      </c>
      <c r="F2813" t="s">
        <v>83</v>
      </c>
      <c r="G2813">
        <v>48</v>
      </c>
      <c r="H2813">
        <v>33158</v>
      </c>
      <c r="I2813" t="s">
        <v>43</v>
      </c>
      <c r="J2813">
        <v>67</v>
      </c>
      <c r="K2813">
        <v>115</v>
      </c>
      <c r="L2813">
        <v>98</v>
      </c>
      <c r="M2813">
        <v>625.29998779000005</v>
      </c>
      <c r="N2813" t="s">
        <v>87</v>
      </c>
      <c r="O2813" t="s">
        <v>86</v>
      </c>
      <c r="P2813">
        <v>131</v>
      </c>
      <c r="Q2813">
        <v>6</v>
      </c>
      <c r="R2813">
        <v>58</v>
      </c>
      <c r="S2813">
        <v>1311</v>
      </c>
      <c r="T2813">
        <v>-40</v>
      </c>
      <c r="U2813">
        <v>52</v>
      </c>
      <c r="V2813">
        <v>480</v>
      </c>
      <c r="W2813">
        <v>32</v>
      </c>
      <c r="X2813">
        <v>32</v>
      </c>
      <c r="Y2813">
        <v>1</v>
      </c>
      <c r="Z2813">
        <v>8</v>
      </c>
      <c r="AA2813">
        <v>28</v>
      </c>
      <c r="AB2813">
        <v>1</v>
      </c>
      <c r="AC2813">
        <v>3</v>
      </c>
      <c r="AD2813">
        <v>3.2720000699999998</v>
      </c>
      <c r="AE2813">
        <v>1</v>
      </c>
      <c r="AF2813">
        <v>42</v>
      </c>
      <c r="AG2813">
        <v>3.2579999000000002</v>
      </c>
      <c r="AH2813">
        <v>4</v>
      </c>
      <c r="AI2813">
        <v>17</v>
      </c>
      <c r="AJ2813">
        <v>1</v>
      </c>
      <c r="AK2813">
        <v>26</v>
      </c>
      <c r="AL2813">
        <v>52</v>
      </c>
      <c r="AM2813" t="s">
        <v>43</v>
      </c>
      <c r="AN2813" t="s">
        <v>43</v>
      </c>
    </row>
    <row r="2814" spans="1:40" x14ac:dyDescent="0.3">
      <c r="A2814" s="1">
        <v>46210.673958333333</v>
      </c>
      <c r="B2814" t="s">
        <v>40</v>
      </c>
      <c r="C2814" t="s">
        <v>41</v>
      </c>
      <c r="D2814" s="1">
        <v>46210.676874999997</v>
      </c>
      <c r="E2814" t="s">
        <v>42</v>
      </c>
      <c r="F2814" t="s">
        <v>83</v>
      </c>
      <c r="G2814">
        <v>47</v>
      </c>
      <c r="H2814">
        <v>33158</v>
      </c>
      <c r="I2814" t="s">
        <v>1537</v>
      </c>
      <c r="J2814">
        <v>67</v>
      </c>
      <c r="K2814">
        <v>101</v>
      </c>
      <c r="L2814">
        <v>98</v>
      </c>
      <c r="M2814">
        <v>626.20001220999995</v>
      </c>
      <c r="N2814" t="s">
        <v>87</v>
      </c>
      <c r="O2814" t="s">
        <v>86</v>
      </c>
      <c r="P2814">
        <v>131</v>
      </c>
      <c r="Q2814">
        <v>6</v>
      </c>
      <c r="R2814">
        <v>49</v>
      </c>
      <c r="S2814">
        <v>1319</v>
      </c>
      <c r="T2814">
        <v>-40</v>
      </c>
      <c r="U2814">
        <v>52</v>
      </c>
      <c r="V2814">
        <v>420</v>
      </c>
      <c r="W2814">
        <v>32</v>
      </c>
      <c r="X2814">
        <v>32</v>
      </c>
      <c r="Y2814">
        <v>1</v>
      </c>
      <c r="Z2814">
        <v>8</v>
      </c>
      <c r="AA2814">
        <v>28</v>
      </c>
      <c r="AB2814">
        <v>1</v>
      </c>
      <c r="AC2814">
        <v>3</v>
      </c>
      <c r="AD2814">
        <v>3.27399993</v>
      </c>
      <c r="AE2814">
        <v>1</v>
      </c>
      <c r="AF2814">
        <v>42</v>
      </c>
      <c r="AG2814">
        <v>3.2599999899999998</v>
      </c>
      <c r="AH2814">
        <v>4</v>
      </c>
      <c r="AI2814">
        <v>17</v>
      </c>
      <c r="AJ2814">
        <v>1</v>
      </c>
      <c r="AK2814">
        <v>26</v>
      </c>
      <c r="AL2814">
        <v>52</v>
      </c>
      <c r="AM2814" t="s">
        <v>43</v>
      </c>
      <c r="AN2814" t="str">
        <f>HYPERLINK("https://www.google.com/maps?q=10.78046227,79.25987244","Open Location")</f>
        <v>Open Location</v>
      </c>
    </row>
    <row r="2815" spans="1:40" x14ac:dyDescent="0.3">
      <c r="A2815" s="1">
        <v>46210.673842592594</v>
      </c>
      <c r="B2815" t="s">
        <v>40</v>
      </c>
      <c r="C2815" t="s">
        <v>41</v>
      </c>
      <c r="D2815" s="1">
        <v>46210.676817129628</v>
      </c>
      <c r="E2815" t="s">
        <v>42</v>
      </c>
      <c r="F2815" t="s">
        <v>83</v>
      </c>
      <c r="G2815">
        <v>48</v>
      </c>
      <c r="H2815">
        <v>33158</v>
      </c>
      <c r="I2815" t="s">
        <v>1538</v>
      </c>
      <c r="J2815">
        <v>67</v>
      </c>
      <c r="K2815">
        <v>92</v>
      </c>
      <c r="L2815">
        <v>98</v>
      </c>
      <c r="M2815">
        <v>626.90002441000001</v>
      </c>
      <c r="N2815" t="s">
        <v>87</v>
      </c>
      <c r="O2815" t="s">
        <v>86</v>
      </c>
      <c r="P2815">
        <v>131</v>
      </c>
      <c r="Q2815">
        <v>6</v>
      </c>
      <c r="R2815">
        <v>52</v>
      </c>
      <c r="S2815">
        <v>1336</v>
      </c>
      <c r="T2815">
        <v>-40</v>
      </c>
      <c r="U2815">
        <v>52</v>
      </c>
      <c r="V2815">
        <v>400</v>
      </c>
      <c r="W2815">
        <v>32</v>
      </c>
      <c r="X2815">
        <v>32</v>
      </c>
      <c r="Y2815">
        <v>1</v>
      </c>
      <c r="Z2815">
        <v>8</v>
      </c>
      <c r="AA2815">
        <v>28</v>
      </c>
      <c r="AB2815">
        <v>1</v>
      </c>
      <c r="AC2815">
        <v>3</v>
      </c>
      <c r="AD2815">
        <v>3.2750001000000002</v>
      </c>
      <c r="AE2815">
        <v>5</v>
      </c>
      <c r="AF2815">
        <v>38</v>
      </c>
      <c r="AG2815">
        <v>3.2609999200000002</v>
      </c>
      <c r="AH2815">
        <v>4</v>
      </c>
      <c r="AI2815">
        <v>17</v>
      </c>
      <c r="AJ2815">
        <v>1</v>
      </c>
      <c r="AK2815">
        <v>26</v>
      </c>
      <c r="AL2815">
        <v>52</v>
      </c>
      <c r="AM2815" t="s">
        <v>43</v>
      </c>
      <c r="AN2815" t="str">
        <f>HYPERLINK("https://www.google.com/maps?q=10.78046703,79.26132965","Open Location")</f>
        <v>Open Location</v>
      </c>
    </row>
    <row r="2816" spans="1:40" x14ac:dyDescent="0.3">
      <c r="A2816" s="1">
        <v>46210.673726851855</v>
      </c>
      <c r="B2816" t="s">
        <v>40</v>
      </c>
      <c r="C2816" t="s">
        <v>41</v>
      </c>
      <c r="D2816" s="1">
        <v>46210.676527777781</v>
      </c>
      <c r="E2816" t="s">
        <v>42</v>
      </c>
      <c r="F2816" t="s">
        <v>83</v>
      </c>
      <c r="G2816">
        <v>48</v>
      </c>
      <c r="H2816">
        <v>33158</v>
      </c>
      <c r="I2816" t="s">
        <v>1539</v>
      </c>
      <c r="J2816">
        <v>68</v>
      </c>
      <c r="K2816">
        <v>175</v>
      </c>
      <c r="L2816">
        <v>98</v>
      </c>
      <c r="M2816">
        <v>622.20001220999995</v>
      </c>
      <c r="N2816" t="s">
        <v>87</v>
      </c>
      <c r="O2816" t="s">
        <v>86</v>
      </c>
      <c r="P2816">
        <v>131</v>
      </c>
      <c r="Q2816">
        <v>6</v>
      </c>
      <c r="R2816">
        <v>78</v>
      </c>
      <c r="S2816">
        <v>1304</v>
      </c>
      <c r="T2816">
        <v>-40</v>
      </c>
      <c r="U2816">
        <v>54</v>
      </c>
      <c r="V2816">
        <v>740</v>
      </c>
      <c r="W2816">
        <v>32</v>
      </c>
      <c r="X2816">
        <v>32</v>
      </c>
      <c r="Y2816">
        <v>1</v>
      </c>
      <c r="Z2816">
        <v>8</v>
      </c>
      <c r="AA2816">
        <v>28</v>
      </c>
      <c r="AB2816">
        <v>1</v>
      </c>
      <c r="AC2816">
        <v>3</v>
      </c>
      <c r="AD2816">
        <v>3.25600004</v>
      </c>
      <c r="AE2816">
        <v>1</v>
      </c>
      <c r="AF2816">
        <v>42</v>
      </c>
      <c r="AG2816">
        <v>3.2360000599999998</v>
      </c>
      <c r="AH2816">
        <v>4</v>
      </c>
      <c r="AI2816">
        <v>17</v>
      </c>
      <c r="AJ2816">
        <v>1</v>
      </c>
      <c r="AK2816">
        <v>26</v>
      </c>
      <c r="AL2816">
        <v>52</v>
      </c>
      <c r="AM2816" t="s">
        <v>43</v>
      </c>
      <c r="AN2816" t="str">
        <f>HYPERLINK("https://www.google.com/maps?q=10.78044033,79.26280212","Open Location")</f>
        <v>Open Location</v>
      </c>
    </row>
    <row r="2817" spans="1:40" x14ac:dyDescent="0.3">
      <c r="A2817" s="1">
        <v>46210.673611111109</v>
      </c>
      <c r="B2817" t="s">
        <v>40</v>
      </c>
      <c r="C2817" t="s">
        <v>41</v>
      </c>
      <c r="D2817" s="1">
        <v>46210.676435185182</v>
      </c>
      <c r="E2817" t="s">
        <v>42</v>
      </c>
      <c r="F2817" t="s">
        <v>83</v>
      </c>
      <c r="G2817">
        <v>46</v>
      </c>
      <c r="H2817">
        <v>33158</v>
      </c>
      <c r="I2817" t="s">
        <v>1540</v>
      </c>
      <c r="J2817">
        <v>68</v>
      </c>
      <c r="K2817">
        <v>183</v>
      </c>
      <c r="L2817">
        <v>98</v>
      </c>
      <c r="M2817">
        <v>622.40002441000001</v>
      </c>
      <c r="N2817" t="s">
        <v>87</v>
      </c>
      <c r="O2817" t="s">
        <v>86</v>
      </c>
      <c r="P2817">
        <v>131</v>
      </c>
      <c r="Q2817">
        <v>6</v>
      </c>
      <c r="R2817">
        <v>94</v>
      </c>
      <c r="S2817">
        <v>1246</v>
      </c>
      <c r="T2817">
        <v>-40</v>
      </c>
      <c r="U2817">
        <v>55</v>
      </c>
      <c r="V2817">
        <v>800</v>
      </c>
      <c r="W2817">
        <v>32</v>
      </c>
      <c r="X2817">
        <v>32</v>
      </c>
      <c r="Y2817">
        <v>1</v>
      </c>
      <c r="Z2817">
        <v>8</v>
      </c>
      <c r="AA2817">
        <v>28</v>
      </c>
      <c r="AB2817">
        <v>1</v>
      </c>
      <c r="AC2817">
        <v>3</v>
      </c>
      <c r="AD2817">
        <v>3.2609999200000002</v>
      </c>
      <c r="AE2817">
        <v>1</v>
      </c>
      <c r="AF2817">
        <v>44</v>
      </c>
      <c r="AG2817">
        <v>3.2430000300000001</v>
      </c>
      <c r="AH2817">
        <v>4</v>
      </c>
      <c r="AI2817">
        <v>17</v>
      </c>
      <c r="AJ2817">
        <v>1</v>
      </c>
      <c r="AK2817">
        <v>26</v>
      </c>
      <c r="AL2817">
        <v>52</v>
      </c>
      <c r="AM2817" t="s">
        <v>43</v>
      </c>
      <c r="AN2817" t="str">
        <f>HYPERLINK("https://www.google.com/maps?q=10.78040028,79.26421356","Open Location")</f>
        <v>Open Location</v>
      </c>
    </row>
    <row r="2818" spans="1:40" x14ac:dyDescent="0.3">
      <c r="A2818" s="1">
        <v>46210.673495370371</v>
      </c>
      <c r="B2818" t="s">
        <v>40</v>
      </c>
      <c r="C2818" t="s">
        <v>41</v>
      </c>
      <c r="D2818" s="1">
        <v>46210.676122685189</v>
      </c>
      <c r="E2818" t="s">
        <v>42</v>
      </c>
      <c r="F2818" t="s">
        <v>83</v>
      </c>
      <c r="G2818">
        <v>44</v>
      </c>
      <c r="H2818">
        <v>33158</v>
      </c>
      <c r="I2818" t="s">
        <v>1541</v>
      </c>
      <c r="J2818">
        <v>68</v>
      </c>
      <c r="K2818">
        <v>206</v>
      </c>
      <c r="L2818">
        <v>98</v>
      </c>
      <c r="M2818">
        <v>621.79998779000005</v>
      </c>
      <c r="N2818" t="s">
        <v>87</v>
      </c>
      <c r="O2818" t="s">
        <v>86</v>
      </c>
      <c r="P2818">
        <v>131</v>
      </c>
      <c r="Q2818">
        <v>6</v>
      </c>
      <c r="R2818">
        <v>100</v>
      </c>
      <c r="S2818">
        <v>1206</v>
      </c>
      <c r="T2818">
        <v>-40</v>
      </c>
      <c r="U2818">
        <v>55</v>
      </c>
      <c r="V2818">
        <v>960</v>
      </c>
      <c r="W2818">
        <v>32</v>
      </c>
      <c r="X2818">
        <v>32</v>
      </c>
      <c r="Y2818">
        <v>1</v>
      </c>
      <c r="Z2818">
        <v>8</v>
      </c>
      <c r="AA2818">
        <v>28</v>
      </c>
      <c r="AB2818">
        <v>1</v>
      </c>
      <c r="AC2818">
        <v>3</v>
      </c>
      <c r="AD2818">
        <v>3.2550001100000001</v>
      </c>
      <c r="AE2818">
        <v>1</v>
      </c>
      <c r="AF2818">
        <v>42</v>
      </c>
      <c r="AG2818">
        <v>3.2360000599999998</v>
      </c>
      <c r="AH2818">
        <v>4</v>
      </c>
      <c r="AI2818">
        <v>17</v>
      </c>
      <c r="AJ2818">
        <v>1</v>
      </c>
      <c r="AK2818">
        <v>26</v>
      </c>
      <c r="AL2818">
        <v>52</v>
      </c>
      <c r="AM2818" t="s">
        <v>43</v>
      </c>
      <c r="AN2818" t="str">
        <f>HYPERLINK("https://www.google.com/maps?q=10.78055763,79.26554108","Open Location")</f>
        <v>Open Location</v>
      </c>
    </row>
    <row r="2819" spans="1:40" x14ac:dyDescent="0.3">
      <c r="A2819" s="1">
        <v>46210.673379629632</v>
      </c>
      <c r="B2819" t="s">
        <v>40</v>
      </c>
      <c r="C2819" t="s">
        <v>41</v>
      </c>
      <c r="D2819" s="1">
        <v>46210.676354166666</v>
      </c>
      <c r="E2819" t="s">
        <v>42</v>
      </c>
      <c r="F2819" t="s">
        <v>83</v>
      </c>
      <c r="G2819">
        <v>43</v>
      </c>
      <c r="H2819">
        <v>33158</v>
      </c>
      <c r="I2819" t="s">
        <v>43</v>
      </c>
      <c r="J2819">
        <v>68</v>
      </c>
      <c r="K2819">
        <v>300</v>
      </c>
      <c r="L2819">
        <v>98</v>
      </c>
      <c r="M2819">
        <v>619</v>
      </c>
      <c r="N2819" t="s">
        <v>87</v>
      </c>
      <c r="O2819" t="s">
        <v>86</v>
      </c>
      <c r="P2819">
        <v>131</v>
      </c>
      <c r="Q2819">
        <v>6</v>
      </c>
      <c r="R2819">
        <v>113</v>
      </c>
      <c r="S2819">
        <v>1151</v>
      </c>
      <c r="T2819">
        <v>-40</v>
      </c>
      <c r="U2819">
        <v>58</v>
      </c>
      <c r="V2819">
        <v>1505</v>
      </c>
      <c r="W2819">
        <v>32</v>
      </c>
      <c r="X2819">
        <v>32</v>
      </c>
      <c r="Y2819">
        <v>1</v>
      </c>
      <c r="Z2819">
        <v>8</v>
      </c>
      <c r="AA2819">
        <v>27</v>
      </c>
      <c r="AB2819">
        <v>2</v>
      </c>
      <c r="AC2819">
        <v>4</v>
      </c>
      <c r="AD2819">
        <v>3.2430000300000001</v>
      </c>
      <c r="AE2819">
        <v>1</v>
      </c>
      <c r="AF2819">
        <v>42</v>
      </c>
      <c r="AG2819">
        <v>3.22000003</v>
      </c>
      <c r="AH2819">
        <v>4</v>
      </c>
      <c r="AI2819">
        <v>17</v>
      </c>
      <c r="AJ2819">
        <v>1</v>
      </c>
      <c r="AK2819">
        <v>26</v>
      </c>
      <c r="AL2819">
        <v>52</v>
      </c>
      <c r="AM2819" t="s">
        <v>43</v>
      </c>
      <c r="AN2819" t="s">
        <v>43</v>
      </c>
    </row>
    <row r="2820" spans="1:40" x14ac:dyDescent="0.3">
      <c r="A2820" s="1">
        <v>46210.673263888886</v>
      </c>
      <c r="B2820" t="s">
        <v>40</v>
      </c>
      <c r="C2820" t="s">
        <v>41</v>
      </c>
      <c r="D2820" s="1">
        <v>46210.675925925927</v>
      </c>
      <c r="E2820" t="s">
        <v>42</v>
      </c>
      <c r="F2820" t="s">
        <v>83</v>
      </c>
      <c r="G2820">
        <v>40</v>
      </c>
      <c r="H2820">
        <v>33158</v>
      </c>
      <c r="I2820" t="s">
        <v>1542</v>
      </c>
      <c r="J2820">
        <v>68</v>
      </c>
      <c r="K2820">
        <v>279</v>
      </c>
      <c r="L2820">
        <v>98</v>
      </c>
      <c r="M2820">
        <v>620.79998779000005</v>
      </c>
      <c r="N2820" t="s">
        <v>87</v>
      </c>
      <c r="O2820" t="s">
        <v>86</v>
      </c>
      <c r="P2820">
        <v>131</v>
      </c>
      <c r="Q2820">
        <v>6</v>
      </c>
      <c r="R2820">
        <v>169</v>
      </c>
      <c r="S2820">
        <v>1038</v>
      </c>
      <c r="T2820">
        <v>-40</v>
      </c>
      <c r="U2820">
        <v>58</v>
      </c>
      <c r="V2820">
        <v>1460</v>
      </c>
      <c r="W2820">
        <v>32</v>
      </c>
      <c r="X2820">
        <v>32</v>
      </c>
      <c r="Y2820">
        <v>1</v>
      </c>
      <c r="Z2820">
        <v>8</v>
      </c>
      <c r="AA2820">
        <v>27</v>
      </c>
      <c r="AB2820">
        <v>2</v>
      </c>
      <c r="AC2820">
        <v>4</v>
      </c>
      <c r="AD2820">
        <v>3.24699998</v>
      </c>
      <c r="AE2820">
        <v>5</v>
      </c>
      <c r="AF2820">
        <v>38</v>
      </c>
      <c r="AG2820">
        <v>3.2219998799999998</v>
      </c>
      <c r="AH2820">
        <v>4</v>
      </c>
      <c r="AI2820">
        <v>17</v>
      </c>
      <c r="AJ2820">
        <v>1</v>
      </c>
      <c r="AK2820">
        <v>26</v>
      </c>
      <c r="AL2820">
        <v>52</v>
      </c>
      <c r="AM2820" t="s">
        <v>43</v>
      </c>
      <c r="AN2820" t="str">
        <f>HYPERLINK("https://www.google.com/maps?q=10.78112888,79.26668549","Open Location")</f>
        <v>Open Location</v>
      </c>
    </row>
    <row r="2821" spans="1:40" x14ac:dyDescent="0.3">
      <c r="A2821" s="1">
        <v>46210.673148148147</v>
      </c>
      <c r="B2821" t="s">
        <v>40</v>
      </c>
      <c r="C2821" t="s">
        <v>41</v>
      </c>
      <c r="D2821" s="1">
        <v>46210.676030092596</v>
      </c>
      <c r="E2821" t="s">
        <v>42</v>
      </c>
      <c r="F2821" t="s">
        <v>83</v>
      </c>
      <c r="G2821">
        <v>37</v>
      </c>
      <c r="H2821">
        <v>33157</v>
      </c>
      <c r="I2821" t="s">
        <v>1543</v>
      </c>
      <c r="J2821">
        <v>68</v>
      </c>
      <c r="K2821">
        <v>-44</v>
      </c>
      <c r="L2821">
        <v>98</v>
      </c>
      <c r="M2821">
        <v>632.79998779000005</v>
      </c>
      <c r="N2821" t="s">
        <v>87</v>
      </c>
      <c r="O2821" t="s">
        <v>86</v>
      </c>
      <c r="P2821">
        <v>131</v>
      </c>
      <c r="Q2821">
        <v>6</v>
      </c>
      <c r="R2821">
        <v>109</v>
      </c>
      <c r="S2821">
        <v>1106</v>
      </c>
      <c r="T2821">
        <v>-40</v>
      </c>
      <c r="U2821">
        <v>52</v>
      </c>
      <c r="V2821">
        <v>-300</v>
      </c>
      <c r="W2821">
        <v>32</v>
      </c>
      <c r="X2821">
        <v>32</v>
      </c>
      <c r="Y2821">
        <v>1</v>
      </c>
      <c r="Z2821">
        <v>8</v>
      </c>
      <c r="AA2821">
        <v>27</v>
      </c>
      <c r="AB2821">
        <v>2</v>
      </c>
      <c r="AC2821">
        <v>4</v>
      </c>
      <c r="AD2821">
        <v>3.3029999700000001</v>
      </c>
      <c r="AE2821">
        <v>1</v>
      </c>
      <c r="AF2821">
        <v>25</v>
      </c>
      <c r="AG2821">
        <v>3.2959999999999998</v>
      </c>
      <c r="AH2821">
        <v>8</v>
      </c>
      <c r="AI2821">
        <v>48</v>
      </c>
      <c r="AJ2821">
        <v>1</v>
      </c>
      <c r="AK2821">
        <v>26</v>
      </c>
      <c r="AL2821">
        <v>52</v>
      </c>
      <c r="AM2821" t="s">
        <v>43</v>
      </c>
      <c r="AN2821" t="str">
        <f>HYPERLINK("https://www.google.com/maps?q=10.7820406,79.26753235","Open Location")</f>
        <v>Open Location</v>
      </c>
    </row>
    <row r="2822" spans="1:40" x14ac:dyDescent="0.3">
      <c r="A2822" s="1">
        <v>46210.673032407409</v>
      </c>
      <c r="B2822" t="s">
        <v>40</v>
      </c>
      <c r="C2822" t="s">
        <v>41</v>
      </c>
      <c r="D2822" s="1">
        <v>46210.675856481481</v>
      </c>
      <c r="E2822" t="s">
        <v>42</v>
      </c>
      <c r="F2822" t="s">
        <v>83</v>
      </c>
      <c r="G2822">
        <v>42</v>
      </c>
      <c r="H2822">
        <v>33157</v>
      </c>
      <c r="I2822" t="s">
        <v>1544</v>
      </c>
      <c r="J2822">
        <v>68</v>
      </c>
      <c r="K2822">
        <v>318</v>
      </c>
      <c r="L2822">
        <v>98</v>
      </c>
      <c r="M2822">
        <v>619</v>
      </c>
      <c r="N2822" t="s">
        <v>87</v>
      </c>
      <c r="O2822" t="s">
        <v>86</v>
      </c>
      <c r="P2822">
        <v>131</v>
      </c>
      <c r="Q2822">
        <v>6</v>
      </c>
      <c r="R2822">
        <v>-3</v>
      </c>
      <c r="S2822">
        <v>1122</v>
      </c>
      <c r="T2822">
        <v>-40</v>
      </c>
      <c r="U2822">
        <v>59</v>
      </c>
      <c r="V2822">
        <v>1565</v>
      </c>
      <c r="W2822">
        <v>32</v>
      </c>
      <c r="X2822">
        <v>32</v>
      </c>
      <c r="Y2822">
        <v>1</v>
      </c>
      <c r="Z2822">
        <v>8</v>
      </c>
      <c r="AA2822">
        <v>27</v>
      </c>
      <c r="AB2822">
        <v>2</v>
      </c>
      <c r="AC2822">
        <v>3</v>
      </c>
      <c r="AD2822">
        <v>3.23799992</v>
      </c>
      <c r="AE2822">
        <v>1</v>
      </c>
      <c r="AF2822">
        <v>42</v>
      </c>
      <c r="AG2822">
        <v>3.21099997</v>
      </c>
      <c r="AH2822">
        <v>4</v>
      </c>
      <c r="AI2822">
        <v>17</v>
      </c>
      <c r="AJ2822">
        <v>1</v>
      </c>
      <c r="AK2822">
        <v>26</v>
      </c>
      <c r="AL2822">
        <v>52</v>
      </c>
      <c r="AM2822" t="s">
        <v>43</v>
      </c>
      <c r="AN2822" t="str">
        <f>HYPERLINK("https://www.google.com/maps?q=10.78315258,79.26806641","Open Location")</f>
        <v>Open Location</v>
      </c>
    </row>
    <row r="2823" spans="1:40" x14ac:dyDescent="0.3">
      <c r="A2823" s="1">
        <v>46210.67291666667</v>
      </c>
      <c r="B2823" t="s">
        <v>40</v>
      </c>
      <c r="C2823" t="s">
        <v>41</v>
      </c>
      <c r="D2823" s="1">
        <v>46210.675729166665</v>
      </c>
      <c r="E2823" t="s">
        <v>42</v>
      </c>
      <c r="F2823" t="s">
        <v>83</v>
      </c>
      <c r="G2823">
        <v>38</v>
      </c>
      <c r="H2823">
        <v>33157</v>
      </c>
      <c r="I2823" t="s">
        <v>1545</v>
      </c>
      <c r="J2823">
        <v>68</v>
      </c>
      <c r="K2823">
        <v>131</v>
      </c>
      <c r="L2823">
        <v>98</v>
      </c>
      <c r="M2823">
        <v>628</v>
      </c>
      <c r="N2823" t="s">
        <v>87</v>
      </c>
      <c r="O2823" t="s">
        <v>86</v>
      </c>
      <c r="P2823">
        <v>131</v>
      </c>
      <c r="Q2823">
        <v>6</v>
      </c>
      <c r="R2823">
        <v>153</v>
      </c>
      <c r="S2823">
        <v>1036</v>
      </c>
      <c r="T2823">
        <v>-40</v>
      </c>
      <c r="U2823">
        <v>53</v>
      </c>
      <c r="V2823">
        <v>700</v>
      </c>
      <c r="W2823">
        <v>32</v>
      </c>
      <c r="X2823">
        <v>32</v>
      </c>
      <c r="Y2823">
        <v>1</v>
      </c>
      <c r="Z2823">
        <v>8</v>
      </c>
      <c r="AA2823">
        <v>27</v>
      </c>
      <c r="AB2823">
        <v>2</v>
      </c>
      <c r="AC2823">
        <v>4</v>
      </c>
      <c r="AD2823">
        <v>3.2820000600000001</v>
      </c>
      <c r="AE2823">
        <v>1</v>
      </c>
      <c r="AF2823">
        <v>42</v>
      </c>
      <c r="AG2823">
        <v>3.2669999600000001</v>
      </c>
      <c r="AH2823">
        <v>4</v>
      </c>
      <c r="AI2823">
        <v>17</v>
      </c>
      <c r="AJ2823">
        <v>1</v>
      </c>
      <c r="AK2823">
        <v>26</v>
      </c>
      <c r="AL2823">
        <v>52</v>
      </c>
      <c r="AM2823" t="s">
        <v>43</v>
      </c>
      <c r="AN2823" t="str">
        <f>HYPERLINK("https://www.google.com/maps?q=10.78421783,79.2685318","Open Location")</f>
        <v>Open Location</v>
      </c>
    </row>
    <row r="2824" spans="1:40" x14ac:dyDescent="0.3">
      <c r="A2824" s="1">
        <v>46210.672800925924</v>
      </c>
      <c r="B2824" t="s">
        <v>40</v>
      </c>
      <c r="C2824" t="s">
        <v>41</v>
      </c>
      <c r="D2824" s="1">
        <v>46210.675532407404</v>
      </c>
      <c r="E2824" t="s">
        <v>42</v>
      </c>
      <c r="F2824" t="s">
        <v>83</v>
      </c>
      <c r="G2824">
        <v>37</v>
      </c>
      <c r="H2824" t="s">
        <v>43</v>
      </c>
      <c r="I2824" t="s">
        <v>43</v>
      </c>
      <c r="J2824">
        <v>68</v>
      </c>
      <c r="K2824">
        <v>-42</v>
      </c>
      <c r="L2824">
        <v>98</v>
      </c>
      <c r="M2824">
        <v>634.29998779000005</v>
      </c>
      <c r="N2824" t="s">
        <v>87</v>
      </c>
      <c r="O2824" t="s">
        <v>86</v>
      </c>
      <c r="P2824">
        <v>131</v>
      </c>
      <c r="Q2824">
        <v>6</v>
      </c>
      <c r="R2824">
        <v>75</v>
      </c>
      <c r="S2824">
        <v>1076</v>
      </c>
      <c r="T2824">
        <v>-40</v>
      </c>
      <c r="U2824">
        <v>51</v>
      </c>
      <c r="V2824">
        <v>-300</v>
      </c>
      <c r="W2824">
        <v>32</v>
      </c>
      <c r="X2824">
        <v>32</v>
      </c>
      <c r="Y2824">
        <v>1</v>
      </c>
      <c r="Z2824">
        <v>8</v>
      </c>
      <c r="AA2824">
        <v>27</v>
      </c>
      <c r="AB2824">
        <v>2</v>
      </c>
      <c r="AC2824">
        <v>4</v>
      </c>
      <c r="AD2824">
        <v>3.3110001100000002</v>
      </c>
      <c r="AE2824">
        <v>1</v>
      </c>
      <c r="AF2824">
        <v>25</v>
      </c>
      <c r="AG2824">
        <v>3.3039999</v>
      </c>
      <c r="AH2824">
        <v>8</v>
      </c>
      <c r="AI2824">
        <v>48</v>
      </c>
      <c r="AJ2824">
        <v>1</v>
      </c>
      <c r="AK2824">
        <v>26</v>
      </c>
      <c r="AL2824">
        <v>52</v>
      </c>
      <c r="AM2824" t="s">
        <v>43</v>
      </c>
      <c r="AN2824" t="s">
        <v>43</v>
      </c>
    </row>
    <row r="2825" spans="1:40" x14ac:dyDescent="0.3">
      <c r="A2825" s="1">
        <v>46210.672685185185</v>
      </c>
      <c r="B2825" t="s">
        <v>40</v>
      </c>
      <c r="C2825" t="s">
        <v>41</v>
      </c>
      <c r="D2825" s="1">
        <v>46210.675625000003</v>
      </c>
      <c r="E2825" t="s">
        <v>42</v>
      </c>
      <c r="F2825" t="s">
        <v>83</v>
      </c>
      <c r="G2825">
        <v>40</v>
      </c>
      <c r="H2825">
        <v>33157</v>
      </c>
      <c r="I2825" t="s">
        <v>1546</v>
      </c>
      <c r="J2825">
        <v>68</v>
      </c>
      <c r="K2825">
        <v>104</v>
      </c>
      <c r="L2825">
        <v>98</v>
      </c>
      <c r="M2825">
        <v>627.09997558999999</v>
      </c>
      <c r="N2825" t="s">
        <v>87</v>
      </c>
      <c r="O2825" t="s">
        <v>86</v>
      </c>
      <c r="P2825">
        <v>131</v>
      </c>
      <c r="Q2825">
        <v>6</v>
      </c>
      <c r="R2825">
        <v>-36</v>
      </c>
      <c r="S2825">
        <v>1176</v>
      </c>
      <c r="T2825">
        <v>-40</v>
      </c>
      <c r="U2825">
        <v>51</v>
      </c>
      <c r="V2825">
        <v>480</v>
      </c>
      <c r="W2825">
        <v>32</v>
      </c>
      <c r="X2825">
        <v>32</v>
      </c>
      <c r="Y2825">
        <v>1</v>
      </c>
      <c r="Z2825">
        <v>8</v>
      </c>
      <c r="AA2825">
        <v>27</v>
      </c>
      <c r="AB2825">
        <v>2</v>
      </c>
      <c r="AC2825">
        <v>4</v>
      </c>
      <c r="AD2825">
        <v>3.28299999</v>
      </c>
      <c r="AE2825">
        <v>5</v>
      </c>
      <c r="AF2825">
        <v>38</v>
      </c>
      <c r="AG2825">
        <v>3.26799989</v>
      </c>
      <c r="AH2825">
        <v>4</v>
      </c>
      <c r="AI2825">
        <v>17</v>
      </c>
      <c r="AJ2825">
        <v>1</v>
      </c>
      <c r="AK2825">
        <v>26</v>
      </c>
      <c r="AL2825">
        <v>52</v>
      </c>
      <c r="AM2825" t="s">
        <v>43</v>
      </c>
      <c r="AN2825" t="str">
        <f>HYPERLINK("https://www.google.com/maps?q=10.78521633,79.269104","Open Location")</f>
        <v>Open Location</v>
      </c>
    </row>
    <row r="2826" spans="1:40" x14ac:dyDescent="0.3">
      <c r="A2826" s="1">
        <v>46210.672569444447</v>
      </c>
      <c r="B2826" t="s">
        <v>40</v>
      </c>
      <c r="C2826" t="s">
        <v>41</v>
      </c>
      <c r="D2826" s="1">
        <v>46210.675416666665</v>
      </c>
      <c r="E2826" t="s">
        <v>42</v>
      </c>
      <c r="F2826" t="s">
        <v>83</v>
      </c>
      <c r="G2826">
        <v>42</v>
      </c>
      <c r="H2826">
        <v>33157</v>
      </c>
      <c r="I2826" t="s">
        <v>1547</v>
      </c>
      <c r="J2826">
        <v>68</v>
      </c>
      <c r="K2826">
        <v>103</v>
      </c>
      <c r="L2826">
        <v>98</v>
      </c>
      <c r="M2826">
        <v>627.79998779000005</v>
      </c>
      <c r="N2826" t="s">
        <v>87</v>
      </c>
      <c r="O2826" t="s">
        <v>86</v>
      </c>
      <c r="P2826">
        <v>131</v>
      </c>
      <c r="Q2826">
        <v>6</v>
      </c>
      <c r="R2826">
        <v>56</v>
      </c>
      <c r="S2826">
        <v>1182</v>
      </c>
      <c r="T2826">
        <v>-40</v>
      </c>
      <c r="U2826">
        <v>52</v>
      </c>
      <c r="V2826">
        <v>460</v>
      </c>
      <c r="W2826">
        <v>32</v>
      </c>
      <c r="X2826">
        <v>32</v>
      </c>
      <c r="Y2826">
        <v>1</v>
      </c>
      <c r="Z2826">
        <v>8</v>
      </c>
      <c r="AA2826">
        <v>27</v>
      </c>
      <c r="AB2826">
        <v>2</v>
      </c>
      <c r="AC2826">
        <v>4</v>
      </c>
      <c r="AD2826">
        <v>3.27999997</v>
      </c>
      <c r="AE2826">
        <v>1</v>
      </c>
      <c r="AF2826">
        <v>40</v>
      </c>
      <c r="AG2826">
        <v>3.2650001</v>
      </c>
      <c r="AH2826">
        <v>4</v>
      </c>
      <c r="AI2826">
        <v>17</v>
      </c>
      <c r="AJ2826">
        <v>1</v>
      </c>
      <c r="AK2826">
        <v>26</v>
      </c>
      <c r="AL2826">
        <v>52</v>
      </c>
      <c r="AM2826" t="s">
        <v>43</v>
      </c>
      <c r="AN2826" t="str">
        <f>HYPERLINK("https://www.google.com/maps?q=10.78622723,79.2698822","Open Location")</f>
        <v>Open Location</v>
      </c>
    </row>
    <row r="2827" spans="1:40" x14ac:dyDescent="0.3">
      <c r="A2827" s="1">
        <v>46210.672453703701</v>
      </c>
      <c r="B2827" t="s">
        <v>40</v>
      </c>
      <c r="C2827" t="s">
        <v>41</v>
      </c>
      <c r="D2827" s="1">
        <v>46210.675405092596</v>
      </c>
      <c r="E2827" t="s">
        <v>42</v>
      </c>
      <c r="F2827" t="s">
        <v>83</v>
      </c>
      <c r="G2827">
        <v>43</v>
      </c>
      <c r="H2827">
        <v>33157</v>
      </c>
      <c r="I2827" t="s">
        <v>1548</v>
      </c>
      <c r="J2827">
        <v>68</v>
      </c>
      <c r="K2827">
        <v>105</v>
      </c>
      <c r="L2827">
        <v>98</v>
      </c>
      <c r="M2827">
        <v>627.5</v>
      </c>
      <c r="N2827" t="s">
        <v>87</v>
      </c>
      <c r="O2827" t="s">
        <v>86</v>
      </c>
      <c r="P2827">
        <v>131</v>
      </c>
      <c r="Q2827">
        <v>6</v>
      </c>
      <c r="R2827">
        <v>74</v>
      </c>
      <c r="S2827">
        <v>1189</v>
      </c>
      <c r="T2827">
        <v>-40</v>
      </c>
      <c r="U2827">
        <v>52</v>
      </c>
      <c r="V2827">
        <v>480</v>
      </c>
      <c r="W2827">
        <v>32</v>
      </c>
      <c r="X2827">
        <v>32</v>
      </c>
      <c r="Y2827">
        <v>1</v>
      </c>
      <c r="Z2827">
        <v>8</v>
      </c>
      <c r="AA2827">
        <v>27</v>
      </c>
      <c r="AB2827">
        <v>2</v>
      </c>
      <c r="AC2827">
        <v>4</v>
      </c>
      <c r="AD2827">
        <v>3.2790000400000001</v>
      </c>
      <c r="AE2827">
        <v>1</v>
      </c>
      <c r="AF2827">
        <v>42</v>
      </c>
      <c r="AG2827">
        <v>3.2639999400000002</v>
      </c>
      <c r="AH2827">
        <v>4</v>
      </c>
      <c r="AI2827">
        <v>17</v>
      </c>
      <c r="AJ2827">
        <v>1</v>
      </c>
      <c r="AK2827">
        <v>26</v>
      </c>
      <c r="AL2827">
        <v>52</v>
      </c>
      <c r="AM2827" t="s">
        <v>43</v>
      </c>
      <c r="AN2827" t="str">
        <f>HYPERLINK("https://www.google.com/maps?q=10.78712845,79.27080536","Open Location")</f>
        <v>Open Location</v>
      </c>
    </row>
    <row r="2828" spans="1:40" x14ac:dyDescent="0.3">
      <c r="A2828" s="1">
        <v>46210.672337962962</v>
      </c>
      <c r="B2828" t="s">
        <v>40</v>
      </c>
      <c r="C2828" t="s">
        <v>41</v>
      </c>
      <c r="D2828" s="1">
        <v>46210.675011574072</v>
      </c>
      <c r="E2828" t="s">
        <v>42</v>
      </c>
      <c r="F2828" t="s">
        <v>83</v>
      </c>
      <c r="G2828">
        <v>43</v>
      </c>
      <c r="H2828">
        <v>33157</v>
      </c>
      <c r="I2828" t="s">
        <v>1549</v>
      </c>
      <c r="J2828">
        <v>69</v>
      </c>
      <c r="K2828">
        <v>118</v>
      </c>
      <c r="L2828">
        <v>98</v>
      </c>
      <c r="M2828">
        <v>627.40002441000001</v>
      </c>
      <c r="N2828" t="s">
        <v>87</v>
      </c>
      <c r="O2828" t="s">
        <v>86</v>
      </c>
      <c r="P2828">
        <v>131</v>
      </c>
      <c r="Q2828">
        <v>6</v>
      </c>
      <c r="R2828">
        <v>45</v>
      </c>
      <c r="S2828">
        <v>1211</v>
      </c>
      <c r="T2828">
        <v>-40</v>
      </c>
      <c r="U2828">
        <v>52</v>
      </c>
      <c r="V2828">
        <v>560</v>
      </c>
      <c r="W2828">
        <v>32</v>
      </c>
      <c r="X2828">
        <v>32</v>
      </c>
      <c r="Y2828">
        <v>1</v>
      </c>
      <c r="Z2828">
        <v>8</v>
      </c>
      <c r="AA2828">
        <v>27</v>
      </c>
      <c r="AB2828">
        <v>2</v>
      </c>
      <c r="AC2828">
        <v>4</v>
      </c>
      <c r="AD2828">
        <v>3.27999997</v>
      </c>
      <c r="AE2828">
        <v>5</v>
      </c>
      <c r="AF2828">
        <v>38</v>
      </c>
      <c r="AG2828">
        <v>3.2639999400000002</v>
      </c>
      <c r="AH2828">
        <v>4</v>
      </c>
      <c r="AI2828">
        <v>17</v>
      </c>
      <c r="AJ2828">
        <v>1</v>
      </c>
      <c r="AK2828">
        <v>26</v>
      </c>
      <c r="AL2828">
        <v>52</v>
      </c>
      <c r="AM2828" t="s">
        <v>43</v>
      </c>
      <c r="AN2828" t="str">
        <f>HYPERLINK("https://www.google.com/maps?q=10.78795719,79.27196503","Open Location")</f>
        <v>Open Location</v>
      </c>
    </row>
    <row r="2829" spans="1:40" x14ac:dyDescent="0.3">
      <c r="A2829" s="1">
        <v>46210.672222222223</v>
      </c>
      <c r="B2829" t="s">
        <v>40</v>
      </c>
      <c r="C2829" t="s">
        <v>41</v>
      </c>
      <c r="D2829" s="1">
        <v>46210.675023148149</v>
      </c>
      <c r="E2829" t="s">
        <v>42</v>
      </c>
      <c r="F2829" t="s">
        <v>83</v>
      </c>
      <c r="G2829">
        <v>43</v>
      </c>
      <c r="H2829">
        <v>33157</v>
      </c>
      <c r="I2829" t="s">
        <v>1550</v>
      </c>
      <c r="J2829">
        <v>69</v>
      </c>
      <c r="K2829">
        <v>144</v>
      </c>
      <c r="L2829">
        <v>98</v>
      </c>
      <c r="M2829">
        <v>626.90002441000001</v>
      </c>
      <c r="N2829" t="s">
        <v>87</v>
      </c>
      <c r="O2829" t="s">
        <v>86</v>
      </c>
      <c r="P2829">
        <v>131</v>
      </c>
      <c r="Q2829">
        <v>6</v>
      </c>
      <c r="R2829">
        <v>90</v>
      </c>
      <c r="S2829">
        <v>1203</v>
      </c>
      <c r="T2829">
        <v>-40</v>
      </c>
      <c r="U2829">
        <v>53</v>
      </c>
      <c r="V2829">
        <v>640</v>
      </c>
      <c r="W2829">
        <v>32</v>
      </c>
      <c r="X2829">
        <v>32</v>
      </c>
      <c r="Y2829">
        <v>1</v>
      </c>
      <c r="Z2829">
        <v>8</v>
      </c>
      <c r="AA2829">
        <v>27</v>
      </c>
      <c r="AB2829">
        <v>2</v>
      </c>
      <c r="AC2829">
        <v>4</v>
      </c>
      <c r="AD2829">
        <v>3.2790000400000001</v>
      </c>
      <c r="AE2829">
        <v>5</v>
      </c>
      <c r="AF2829">
        <v>38</v>
      </c>
      <c r="AG2829">
        <v>3.26200008</v>
      </c>
      <c r="AH2829">
        <v>4</v>
      </c>
      <c r="AI2829">
        <v>17</v>
      </c>
      <c r="AJ2829">
        <v>1</v>
      </c>
      <c r="AK2829">
        <v>26</v>
      </c>
      <c r="AL2829">
        <v>52</v>
      </c>
      <c r="AM2829" t="s">
        <v>43</v>
      </c>
      <c r="AN2829" t="str">
        <f>HYPERLINK("https://www.google.com/maps?q=10.78855038,79.27314758","Open Location")</f>
        <v>Open Location</v>
      </c>
    </row>
    <row r="2830" spans="1:40" x14ac:dyDescent="0.3">
      <c r="A2830" s="1">
        <v>46210.672106481485</v>
      </c>
      <c r="B2830" t="s">
        <v>40</v>
      </c>
      <c r="C2830" t="s">
        <v>41</v>
      </c>
      <c r="D2830" s="1">
        <v>46210.674780092595</v>
      </c>
      <c r="E2830" t="s">
        <v>42</v>
      </c>
      <c r="F2830" t="s">
        <v>83</v>
      </c>
      <c r="G2830">
        <v>43</v>
      </c>
      <c r="H2830">
        <v>33156</v>
      </c>
      <c r="I2830" t="s">
        <v>43</v>
      </c>
      <c r="J2830">
        <v>69</v>
      </c>
      <c r="K2830">
        <v>-50</v>
      </c>
      <c r="L2830">
        <v>98</v>
      </c>
      <c r="M2830">
        <v>634.59997558999999</v>
      </c>
      <c r="N2830" t="s">
        <v>87</v>
      </c>
      <c r="O2830" t="s">
        <v>86</v>
      </c>
      <c r="P2830">
        <v>131</v>
      </c>
      <c r="Q2830">
        <v>6</v>
      </c>
      <c r="R2830">
        <v>73</v>
      </c>
      <c r="S2830">
        <v>1243</v>
      </c>
      <c r="T2830">
        <v>-40</v>
      </c>
      <c r="U2830">
        <v>51</v>
      </c>
      <c r="V2830">
        <v>-300</v>
      </c>
      <c r="W2830">
        <v>32</v>
      </c>
      <c r="X2830">
        <v>32</v>
      </c>
      <c r="Y2830">
        <v>1</v>
      </c>
      <c r="Z2830">
        <v>8</v>
      </c>
      <c r="AA2830">
        <v>27</v>
      </c>
      <c r="AB2830">
        <v>2</v>
      </c>
      <c r="AC2830">
        <v>4</v>
      </c>
      <c r="AD2830">
        <v>3.31200004</v>
      </c>
      <c r="AE2830">
        <v>1</v>
      </c>
      <c r="AF2830">
        <v>36</v>
      </c>
      <c r="AG2830">
        <v>3.3050000700000002</v>
      </c>
      <c r="AH2830">
        <v>8</v>
      </c>
      <c r="AI2830">
        <v>48</v>
      </c>
      <c r="AJ2830">
        <v>1</v>
      </c>
      <c r="AK2830">
        <v>26</v>
      </c>
      <c r="AL2830">
        <v>52</v>
      </c>
      <c r="AM2830" t="s">
        <v>43</v>
      </c>
      <c r="AN2830" t="s">
        <v>43</v>
      </c>
    </row>
    <row r="2831" spans="1:40" x14ac:dyDescent="0.3">
      <c r="A2831" s="1">
        <v>46210.671990740739</v>
      </c>
      <c r="B2831" t="s">
        <v>40</v>
      </c>
      <c r="C2831" t="s">
        <v>41</v>
      </c>
      <c r="D2831" s="1">
        <v>46210.674907407411</v>
      </c>
      <c r="E2831" t="s">
        <v>42</v>
      </c>
      <c r="F2831" t="s">
        <v>83</v>
      </c>
      <c r="G2831">
        <v>47</v>
      </c>
      <c r="H2831">
        <v>33156</v>
      </c>
      <c r="I2831" t="s">
        <v>1551</v>
      </c>
      <c r="J2831">
        <v>69</v>
      </c>
      <c r="K2831">
        <v>62</v>
      </c>
      <c r="L2831">
        <v>98</v>
      </c>
      <c r="M2831">
        <v>629.5</v>
      </c>
      <c r="N2831" t="s">
        <v>87</v>
      </c>
      <c r="O2831" t="s">
        <v>86</v>
      </c>
      <c r="P2831">
        <v>131</v>
      </c>
      <c r="Q2831">
        <v>6</v>
      </c>
      <c r="R2831">
        <v>40</v>
      </c>
      <c r="S2831">
        <v>1323</v>
      </c>
      <c r="T2831">
        <v>-40</v>
      </c>
      <c r="U2831">
        <v>50</v>
      </c>
      <c r="V2831">
        <v>276</v>
      </c>
      <c r="W2831">
        <v>32</v>
      </c>
      <c r="X2831">
        <v>32</v>
      </c>
      <c r="Y2831">
        <v>1</v>
      </c>
      <c r="Z2831">
        <v>8</v>
      </c>
      <c r="AA2831">
        <v>27</v>
      </c>
      <c r="AB2831">
        <v>2</v>
      </c>
      <c r="AC2831">
        <v>4</v>
      </c>
      <c r="AD2831">
        <v>3.28900003</v>
      </c>
      <c r="AE2831">
        <v>5</v>
      </c>
      <c r="AF2831">
        <v>38</v>
      </c>
      <c r="AG2831">
        <v>3.27699995</v>
      </c>
      <c r="AH2831">
        <v>4</v>
      </c>
      <c r="AI2831">
        <v>17</v>
      </c>
      <c r="AJ2831">
        <v>1</v>
      </c>
      <c r="AK2831">
        <v>25</v>
      </c>
      <c r="AL2831">
        <v>52</v>
      </c>
      <c r="AM2831" t="s">
        <v>43</v>
      </c>
      <c r="AN2831" t="str">
        <f>HYPERLINK("https://www.google.com/maps?q=10.78899193,79.27442169","Open Location")</f>
        <v>Open Location</v>
      </c>
    </row>
    <row r="2832" spans="1:40" x14ac:dyDescent="0.3">
      <c r="A2832" s="1">
        <v>46210.671875</v>
      </c>
      <c r="B2832" t="s">
        <v>40</v>
      </c>
      <c r="C2832" t="s">
        <v>41</v>
      </c>
      <c r="D2832" s="1">
        <v>46210.674479166664</v>
      </c>
      <c r="E2832" t="s">
        <v>42</v>
      </c>
      <c r="F2832" t="s">
        <v>83</v>
      </c>
      <c r="G2832">
        <v>48</v>
      </c>
      <c r="H2832">
        <v>33156</v>
      </c>
      <c r="I2832" t="s">
        <v>1552</v>
      </c>
      <c r="J2832">
        <v>69</v>
      </c>
      <c r="K2832">
        <v>89</v>
      </c>
      <c r="L2832">
        <v>98</v>
      </c>
      <c r="M2832">
        <v>628.29998779000005</v>
      </c>
      <c r="N2832" t="s">
        <v>87</v>
      </c>
      <c r="O2832" t="s">
        <v>86</v>
      </c>
      <c r="P2832">
        <v>131</v>
      </c>
      <c r="Q2832">
        <v>6</v>
      </c>
      <c r="R2832">
        <v>27</v>
      </c>
      <c r="S2832">
        <v>1357</v>
      </c>
      <c r="T2832">
        <v>-40</v>
      </c>
      <c r="U2832">
        <v>50</v>
      </c>
      <c r="V2832">
        <v>360</v>
      </c>
      <c r="W2832">
        <v>32</v>
      </c>
      <c r="X2832">
        <v>32</v>
      </c>
      <c r="Y2832">
        <v>1</v>
      </c>
      <c r="Z2832">
        <v>8</v>
      </c>
      <c r="AA2832">
        <v>27</v>
      </c>
      <c r="AB2832">
        <v>2</v>
      </c>
      <c r="AC2832">
        <v>4</v>
      </c>
      <c r="AD2832">
        <v>3.2869999399999998</v>
      </c>
      <c r="AE2832">
        <v>1</v>
      </c>
      <c r="AF2832">
        <v>42</v>
      </c>
      <c r="AG2832">
        <v>3.2750001000000002</v>
      </c>
      <c r="AH2832">
        <v>4</v>
      </c>
      <c r="AI2832">
        <v>17</v>
      </c>
      <c r="AJ2832">
        <v>1</v>
      </c>
      <c r="AK2832">
        <v>26</v>
      </c>
      <c r="AL2832">
        <v>52</v>
      </c>
      <c r="AM2832" t="s">
        <v>43</v>
      </c>
      <c r="AN2832" t="str">
        <f>HYPERLINK("https://www.google.com/maps?q=10.78944397,79.27581024","Open Location")</f>
        <v>Open Location</v>
      </c>
    </row>
    <row r="2833" spans="1:40" x14ac:dyDescent="0.3">
      <c r="A2833" s="1">
        <v>46210.671759259261</v>
      </c>
      <c r="B2833" t="s">
        <v>40</v>
      </c>
      <c r="C2833" t="s">
        <v>41</v>
      </c>
      <c r="D2833" s="1">
        <v>46210.674907407411</v>
      </c>
      <c r="E2833" t="s">
        <v>42</v>
      </c>
      <c r="F2833" t="s">
        <v>83</v>
      </c>
      <c r="G2833">
        <v>49</v>
      </c>
      <c r="H2833" t="s">
        <v>43</v>
      </c>
      <c r="I2833" t="s">
        <v>1553</v>
      </c>
      <c r="J2833">
        <v>69</v>
      </c>
      <c r="K2833">
        <v>93</v>
      </c>
      <c r="L2833">
        <v>98</v>
      </c>
      <c r="M2833">
        <v>627.5</v>
      </c>
      <c r="N2833" t="s">
        <v>87</v>
      </c>
      <c r="O2833" t="s">
        <v>86</v>
      </c>
      <c r="P2833">
        <v>131</v>
      </c>
      <c r="Q2833">
        <v>6</v>
      </c>
      <c r="R2833">
        <v>54</v>
      </c>
      <c r="S2833">
        <v>1366</v>
      </c>
      <c r="T2833">
        <v>-40</v>
      </c>
      <c r="U2833">
        <v>52</v>
      </c>
      <c r="V2833">
        <v>380</v>
      </c>
      <c r="W2833">
        <v>32</v>
      </c>
      <c r="X2833">
        <v>32</v>
      </c>
      <c r="Y2833">
        <v>1</v>
      </c>
      <c r="Z2833">
        <v>8</v>
      </c>
      <c r="AA2833">
        <v>27</v>
      </c>
      <c r="AB2833">
        <v>2</v>
      </c>
      <c r="AC2833">
        <v>4</v>
      </c>
      <c r="AD2833">
        <v>3.2790000400000001</v>
      </c>
      <c r="AE2833">
        <v>1</v>
      </c>
      <c r="AF2833">
        <v>42</v>
      </c>
      <c r="AG2833">
        <v>3.2650001</v>
      </c>
      <c r="AH2833">
        <v>4</v>
      </c>
      <c r="AI2833">
        <v>17</v>
      </c>
      <c r="AJ2833">
        <v>1</v>
      </c>
      <c r="AK2833">
        <v>26</v>
      </c>
      <c r="AL2833">
        <v>52</v>
      </c>
      <c r="AM2833" t="s">
        <v>43</v>
      </c>
      <c r="AN2833" t="str">
        <f>HYPERLINK("https://www.google.com/maps?q=10.78993607,79.27722931","Open Location")</f>
        <v>Open Location</v>
      </c>
    </row>
    <row r="2834" spans="1:40" x14ac:dyDescent="0.3">
      <c r="A2834" s="1">
        <v>46210.671643518515</v>
      </c>
      <c r="B2834" t="s">
        <v>40</v>
      </c>
      <c r="C2834" t="s">
        <v>41</v>
      </c>
      <c r="D2834" s="1">
        <v>46210.674305555556</v>
      </c>
      <c r="E2834" t="s">
        <v>42</v>
      </c>
      <c r="F2834" t="s">
        <v>83</v>
      </c>
      <c r="G2834">
        <v>49</v>
      </c>
      <c r="H2834">
        <v>33156</v>
      </c>
      <c r="I2834" t="s">
        <v>1554</v>
      </c>
      <c r="J2834">
        <v>69</v>
      </c>
      <c r="K2834">
        <v>116</v>
      </c>
      <c r="L2834">
        <v>98</v>
      </c>
      <c r="M2834">
        <v>626.70001220999995</v>
      </c>
      <c r="N2834" t="s">
        <v>87</v>
      </c>
      <c r="O2834" t="s">
        <v>86</v>
      </c>
      <c r="P2834">
        <v>131</v>
      </c>
      <c r="Q2834">
        <v>6</v>
      </c>
      <c r="R2834">
        <v>59</v>
      </c>
      <c r="S2834">
        <v>1360</v>
      </c>
      <c r="T2834">
        <v>-40</v>
      </c>
      <c r="U2834">
        <v>52</v>
      </c>
      <c r="V2834">
        <v>460</v>
      </c>
      <c r="W2834">
        <v>32</v>
      </c>
      <c r="X2834">
        <v>32</v>
      </c>
      <c r="Y2834">
        <v>1</v>
      </c>
      <c r="Z2834">
        <v>8</v>
      </c>
      <c r="AA2834">
        <v>27</v>
      </c>
      <c r="AB2834">
        <v>2</v>
      </c>
      <c r="AC2834">
        <v>4</v>
      </c>
      <c r="AD2834">
        <v>3.2809998999999999</v>
      </c>
      <c r="AE2834">
        <v>5</v>
      </c>
      <c r="AF2834">
        <v>38</v>
      </c>
      <c r="AG2834">
        <v>3.2669999600000001</v>
      </c>
      <c r="AH2834">
        <v>4</v>
      </c>
      <c r="AI2834">
        <v>17</v>
      </c>
      <c r="AJ2834">
        <v>1</v>
      </c>
      <c r="AK2834">
        <v>26</v>
      </c>
      <c r="AL2834">
        <v>52</v>
      </c>
      <c r="AM2834" t="s">
        <v>43</v>
      </c>
      <c r="AN2834" t="str">
        <f>HYPERLINK("https://www.google.com/maps?q=10.7904253,79.27864838","Open Location")</f>
        <v>Open Location</v>
      </c>
    </row>
    <row r="2835" spans="1:40" x14ac:dyDescent="0.3">
      <c r="A2835" s="1">
        <v>46210.671527777777</v>
      </c>
      <c r="B2835" t="s">
        <v>40</v>
      </c>
      <c r="C2835" t="s">
        <v>41</v>
      </c>
      <c r="D2835" s="1">
        <v>46210.674432870372</v>
      </c>
      <c r="E2835" t="s">
        <v>42</v>
      </c>
      <c r="F2835" t="s">
        <v>83</v>
      </c>
      <c r="G2835">
        <v>49</v>
      </c>
      <c r="H2835">
        <v>33156</v>
      </c>
      <c r="I2835" t="s">
        <v>1555</v>
      </c>
      <c r="J2835">
        <v>69</v>
      </c>
      <c r="K2835">
        <v>141</v>
      </c>
      <c r="L2835">
        <v>98</v>
      </c>
      <c r="M2835">
        <v>626</v>
      </c>
      <c r="N2835" t="s">
        <v>87</v>
      </c>
      <c r="O2835" t="s">
        <v>86</v>
      </c>
      <c r="P2835">
        <v>131</v>
      </c>
      <c r="Q2835">
        <v>6</v>
      </c>
      <c r="R2835">
        <v>54</v>
      </c>
      <c r="S2835">
        <v>1346</v>
      </c>
      <c r="T2835">
        <v>-40</v>
      </c>
      <c r="U2835">
        <v>53</v>
      </c>
      <c r="V2835">
        <v>580</v>
      </c>
      <c r="W2835">
        <v>32</v>
      </c>
      <c r="X2835">
        <v>32</v>
      </c>
      <c r="Y2835">
        <v>1</v>
      </c>
      <c r="Z2835">
        <v>8</v>
      </c>
      <c r="AA2835">
        <v>27</v>
      </c>
      <c r="AB2835">
        <v>2</v>
      </c>
      <c r="AC2835">
        <v>4</v>
      </c>
      <c r="AD2835">
        <v>3.2730000000000001</v>
      </c>
      <c r="AE2835">
        <v>1</v>
      </c>
      <c r="AF2835">
        <v>42</v>
      </c>
      <c r="AG2835">
        <v>3.25600004</v>
      </c>
      <c r="AH2835">
        <v>4</v>
      </c>
      <c r="AI2835">
        <v>17</v>
      </c>
      <c r="AJ2835">
        <v>1</v>
      </c>
      <c r="AK2835">
        <v>26</v>
      </c>
      <c r="AL2835">
        <v>52</v>
      </c>
      <c r="AM2835" t="s">
        <v>43</v>
      </c>
      <c r="AN2835" t="str">
        <f>HYPERLINK("https://www.google.com/maps?q=10.79071331,79.28012085","Open Location")</f>
        <v>Open Location</v>
      </c>
    </row>
    <row r="2836" spans="1:40" x14ac:dyDescent="0.3">
      <c r="A2836" s="1">
        <v>46210.671412037038</v>
      </c>
      <c r="B2836" t="s">
        <v>40</v>
      </c>
      <c r="C2836" t="s">
        <v>41</v>
      </c>
      <c r="D2836" s="1">
        <v>46210.674259259256</v>
      </c>
      <c r="E2836" t="s">
        <v>42</v>
      </c>
      <c r="F2836" t="s">
        <v>83</v>
      </c>
      <c r="G2836">
        <v>48</v>
      </c>
      <c r="H2836">
        <v>33156</v>
      </c>
      <c r="I2836" t="s">
        <v>43</v>
      </c>
      <c r="J2836">
        <v>69</v>
      </c>
      <c r="K2836">
        <v>159</v>
      </c>
      <c r="L2836">
        <v>98</v>
      </c>
      <c r="M2836">
        <v>625.09997558999999</v>
      </c>
      <c r="N2836" t="s">
        <v>87</v>
      </c>
      <c r="O2836" t="s">
        <v>86</v>
      </c>
      <c r="P2836">
        <v>131</v>
      </c>
      <c r="Q2836">
        <v>6</v>
      </c>
      <c r="R2836">
        <v>84</v>
      </c>
      <c r="S2836">
        <v>1333</v>
      </c>
      <c r="T2836">
        <v>-40</v>
      </c>
      <c r="U2836">
        <v>53</v>
      </c>
      <c r="V2836">
        <v>660</v>
      </c>
      <c r="W2836">
        <v>32</v>
      </c>
      <c r="X2836">
        <v>32</v>
      </c>
      <c r="Y2836">
        <v>1</v>
      </c>
      <c r="Z2836">
        <v>8</v>
      </c>
      <c r="AA2836">
        <v>27</v>
      </c>
      <c r="AB2836">
        <v>2</v>
      </c>
      <c r="AC2836">
        <v>4</v>
      </c>
      <c r="AD2836">
        <v>3.2699999800000001</v>
      </c>
      <c r="AE2836">
        <v>5</v>
      </c>
      <c r="AF2836">
        <v>38</v>
      </c>
      <c r="AG2836">
        <v>3.2520000900000001</v>
      </c>
      <c r="AH2836">
        <v>4</v>
      </c>
      <c r="AI2836">
        <v>17</v>
      </c>
      <c r="AJ2836">
        <v>1</v>
      </c>
      <c r="AK2836">
        <v>26</v>
      </c>
      <c r="AL2836">
        <v>52</v>
      </c>
      <c r="AM2836" t="s">
        <v>43</v>
      </c>
      <c r="AN2836" t="s">
        <v>43</v>
      </c>
    </row>
    <row r="2837" spans="1:40" x14ac:dyDescent="0.3">
      <c r="A2837" s="1">
        <v>46210.671296296299</v>
      </c>
      <c r="B2837" t="s">
        <v>40</v>
      </c>
      <c r="C2837" t="s">
        <v>41</v>
      </c>
      <c r="D2837" s="1">
        <v>46210.674305555556</v>
      </c>
      <c r="E2837" t="s">
        <v>42</v>
      </c>
      <c r="F2837" t="s">
        <v>83</v>
      </c>
      <c r="G2837">
        <v>47</v>
      </c>
      <c r="H2837" t="s">
        <v>43</v>
      </c>
      <c r="I2837" t="s">
        <v>1556</v>
      </c>
      <c r="J2837">
        <v>69</v>
      </c>
      <c r="K2837">
        <v>149</v>
      </c>
      <c r="L2837">
        <v>98</v>
      </c>
      <c r="M2837">
        <v>625.90002441000001</v>
      </c>
      <c r="N2837" t="s">
        <v>87</v>
      </c>
      <c r="O2837" t="s">
        <v>86</v>
      </c>
      <c r="P2837">
        <v>131</v>
      </c>
      <c r="Q2837">
        <v>6</v>
      </c>
      <c r="R2837">
        <v>82</v>
      </c>
      <c r="S2837">
        <v>1305</v>
      </c>
      <c r="T2837">
        <v>-40</v>
      </c>
      <c r="U2837">
        <v>53</v>
      </c>
      <c r="V2837">
        <v>620</v>
      </c>
      <c r="W2837">
        <v>32</v>
      </c>
      <c r="X2837">
        <v>32</v>
      </c>
      <c r="Y2837">
        <v>1</v>
      </c>
      <c r="Z2837">
        <v>8</v>
      </c>
      <c r="AA2837">
        <v>27</v>
      </c>
      <c r="AB2837">
        <v>2</v>
      </c>
      <c r="AC2837">
        <v>4</v>
      </c>
      <c r="AD2837">
        <v>3.2730000000000001</v>
      </c>
      <c r="AE2837">
        <v>1</v>
      </c>
      <c r="AF2837">
        <v>42</v>
      </c>
      <c r="AG2837">
        <v>3.25600004</v>
      </c>
      <c r="AH2837">
        <v>4</v>
      </c>
      <c r="AI2837">
        <v>17</v>
      </c>
      <c r="AJ2837">
        <v>1</v>
      </c>
      <c r="AK2837">
        <v>26</v>
      </c>
      <c r="AL2837">
        <v>52</v>
      </c>
      <c r="AM2837" t="s">
        <v>43</v>
      </c>
      <c r="AN2837" t="str">
        <f>HYPERLINK("https://www.google.com/maps?q=10.79065609,79.28159332","Open Location")</f>
        <v>Open Location</v>
      </c>
    </row>
    <row r="2838" spans="1:40" x14ac:dyDescent="0.3">
      <c r="A2838" s="1">
        <v>46210.671180555553</v>
      </c>
      <c r="B2838" t="s">
        <v>40</v>
      </c>
      <c r="C2838" t="s">
        <v>41</v>
      </c>
      <c r="D2838" s="1">
        <v>46210.674074074072</v>
      </c>
      <c r="E2838" t="s">
        <v>42</v>
      </c>
      <c r="F2838" t="s">
        <v>83</v>
      </c>
      <c r="G2838">
        <v>46</v>
      </c>
      <c r="H2838">
        <v>33155</v>
      </c>
      <c r="I2838" t="s">
        <v>1557</v>
      </c>
      <c r="J2838">
        <v>69</v>
      </c>
      <c r="K2838">
        <v>129</v>
      </c>
      <c r="L2838">
        <v>98</v>
      </c>
      <c r="M2838">
        <v>626.59997558999999</v>
      </c>
      <c r="N2838" t="s">
        <v>87</v>
      </c>
      <c r="O2838" t="s">
        <v>86</v>
      </c>
      <c r="P2838">
        <v>131</v>
      </c>
      <c r="Q2838">
        <v>6</v>
      </c>
      <c r="R2838">
        <v>80</v>
      </c>
      <c r="S2838">
        <v>1270</v>
      </c>
      <c r="T2838">
        <v>-40</v>
      </c>
      <c r="U2838">
        <v>53</v>
      </c>
      <c r="V2838">
        <v>560</v>
      </c>
      <c r="W2838">
        <v>32</v>
      </c>
      <c r="X2838">
        <v>32</v>
      </c>
      <c r="Y2838">
        <v>1</v>
      </c>
      <c r="Z2838">
        <v>8</v>
      </c>
      <c r="AA2838">
        <v>27</v>
      </c>
      <c r="AB2838">
        <v>2</v>
      </c>
      <c r="AC2838">
        <v>4</v>
      </c>
      <c r="AD2838">
        <v>3.27699995</v>
      </c>
      <c r="AE2838">
        <v>1</v>
      </c>
      <c r="AF2838">
        <v>44</v>
      </c>
      <c r="AG2838">
        <v>3.2609999200000002</v>
      </c>
      <c r="AH2838">
        <v>4</v>
      </c>
      <c r="AI2838">
        <v>17</v>
      </c>
      <c r="AJ2838">
        <v>1</v>
      </c>
      <c r="AK2838">
        <v>26</v>
      </c>
      <c r="AL2838">
        <v>52</v>
      </c>
      <c r="AM2838" t="s">
        <v>43</v>
      </c>
      <c r="AN2838" t="str">
        <f>HYPERLINK("https://www.google.com/maps?q=10.79026699,79.28308105","Open Location")</f>
        <v>Open Location</v>
      </c>
    </row>
    <row r="2839" spans="1:40" x14ac:dyDescent="0.3">
      <c r="A2839" s="1">
        <v>46210.671064814815</v>
      </c>
      <c r="B2839" t="s">
        <v>40</v>
      </c>
      <c r="C2839" t="s">
        <v>41</v>
      </c>
      <c r="D2839" s="1">
        <v>46210.673842592594</v>
      </c>
      <c r="E2839" t="s">
        <v>42</v>
      </c>
      <c r="F2839" t="s">
        <v>83</v>
      </c>
      <c r="G2839">
        <v>46</v>
      </c>
      <c r="H2839">
        <v>33155</v>
      </c>
      <c r="I2839" t="s">
        <v>1558</v>
      </c>
      <c r="J2839">
        <v>69</v>
      </c>
      <c r="K2839">
        <v>120</v>
      </c>
      <c r="L2839">
        <v>98</v>
      </c>
      <c r="M2839">
        <v>627.40002441000001</v>
      </c>
      <c r="N2839" t="s">
        <v>87</v>
      </c>
      <c r="O2839" t="s">
        <v>86</v>
      </c>
      <c r="P2839">
        <v>131</v>
      </c>
      <c r="Q2839">
        <v>6</v>
      </c>
      <c r="R2839">
        <v>66</v>
      </c>
      <c r="S2839">
        <v>1253</v>
      </c>
      <c r="T2839">
        <v>-40</v>
      </c>
      <c r="U2839">
        <v>52</v>
      </c>
      <c r="V2839">
        <v>520</v>
      </c>
      <c r="W2839">
        <v>32</v>
      </c>
      <c r="X2839">
        <v>32</v>
      </c>
      <c r="Y2839">
        <v>1</v>
      </c>
      <c r="Z2839">
        <v>8</v>
      </c>
      <c r="AA2839">
        <v>27</v>
      </c>
      <c r="AB2839">
        <v>2</v>
      </c>
      <c r="AC2839">
        <v>4</v>
      </c>
      <c r="AD2839">
        <v>3.2790000400000001</v>
      </c>
      <c r="AE2839">
        <v>1</v>
      </c>
      <c r="AF2839">
        <v>42</v>
      </c>
      <c r="AG2839">
        <v>3.2639999400000002</v>
      </c>
      <c r="AH2839">
        <v>4</v>
      </c>
      <c r="AI2839">
        <v>17</v>
      </c>
      <c r="AJ2839">
        <v>1</v>
      </c>
      <c r="AK2839">
        <v>26</v>
      </c>
      <c r="AL2839">
        <v>52</v>
      </c>
      <c r="AM2839" t="s">
        <v>43</v>
      </c>
      <c r="AN2839" t="str">
        <f>HYPERLINK("https://www.google.com/maps?q=10.78972244,79.28437805","Open Location")</f>
        <v>Open Location</v>
      </c>
    </row>
    <row r="2840" spans="1:40" x14ac:dyDescent="0.3">
      <c r="A2840" s="1">
        <v>46210.670949074076</v>
      </c>
      <c r="B2840" t="s">
        <v>40</v>
      </c>
      <c r="C2840" t="s">
        <v>41</v>
      </c>
      <c r="D2840" s="1">
        <v>46210.673657407409</v>
      </c>
      <c r="E2840" t="s">
        <v>42</v>
      </c>
      <c r="F2840" t="s">
        <v>83</v>
      </c>
      <c r="G2840">
        <v>44</v>
      </c>
      <c r="H2840">
        <v>33155</v>
      </c>
      <c r="I2840" t="s">
        <v>1559</v>
      </c>
      <c r="J2840">
        <v>69</v>
      </c>
      <c r="K2840">
        <v>123</v>
      </c>
      <c r="L2840">
        <v>98</v>
      </c>
      <c r="M2840">
        <v>626.90002441000001</v>
      </c>
      <c r="N2840" t="s">
        <v>87</v>
      </c>
      <c r="O2840" t="s">
        <v>86</v>
      </c>
      <c r="P2840">
        <v>131</v>
      </c>
      <c r="Q2840">
        <v>6</v>
      </c>
      <c r="R2840">
        <v>62</v>
      </c>
      <c r="S2840">
        <v>1209</v>
      </c>
      <c r="T2840">
        <v>-40</v>
      </c>
      <c r="U2840">
        <v>52</v>
      </c>
      <c r="V2840">
        <v>560</v>
      </c>
      <c r="W2840">
        <v>32</v>
      </c>
      <c r="X2840">
        <v>32</v>
      </c>
      <c r="Y2840">
        <v>1</v>
      </c>
      <c r="Z2840">
        <v>8</v>
      </c>
      <c r="AA2840">
        <v>27</v>
      </c>
      <c r="AB2840">
        <v>2</v>
      </c>
      <c r="AC2840">
        <v>4</v>
      </c>
      <c r="AD2840">
        <v>3.27999997</v>
      </c>
      <c r="AE2840">
        <v>1</v>
      </c>
      <c r="AF2840">
        <v>42</v>
      </c>
      <c r="AG2840">
        <v>3.2650001</v>
      </c>
      <c r="AH2840">
        <v>4</v>
      </c>
      <c r="AI2840">
        <v>17</v>
      </c>
      <c r="AJ2840">
        <v>1</v>
      </c>
      <c r="AK2840">
        <v>26</v>
      </c>
      <c r="AL2840">
        <v>52</v>
      </c>
      <c r="AM2840" t="s">
        <v>43</v>
      </c>
      <c r="AN2840" t="str">
        <f>HYPERLINK("https://www.google.com/maps?q=10.78918839,79.28562927","Open Location")</f>
        <v>Open Location</v>
      </c>
    </row>
    <row r="2841" spans="1:40" x14ac:dyDescent="0.3">
      <c r="A2841" s="1">
        <v>46210.67083333333</v>
      </c>
      <c r="B2841" t="s">
        <v>40</v>
      </c>
      <c r="C2841" t="s">
        <v>41</v>
      </c>
      <c r="D2841" s="1">
        <v>46210.67392361111</v>
      </c>
      <c r="E2841" t="s">
        <v>42</v>
      </c>
      <c r="F2841" t="s">
        <v>83</v>
      </c>
      <c r="G2841">
        <v>43</v>
      </c>
      <c r="H2841">
        <v>33155</v>
      </c>
      <c r="I2841" t="s">
        <v>43</v>
      </c>
      <c r="J2841">
        <v>69</v>
      </c>
      <c r="K2841">
        <v>130</v>
      </c>
      <c r="L2841">
        <v>98</v>
      </c>
      <c r="M2841">
        <v>626.5</v>
      </c>
      <c r="N2841" t="s">
        <v>87</v>
      </c>
      <c r="O2841" t="s">
        <v>86</v>
      </c>
      <c r="P2841">
        <v>131</v>
      </c>
      <c r="Q2841">
        <v>6</v>
      </c>
      <c r="R2841">
        <v>70</v>
      </c>
      <c r="S2841">
        <v>1199</v>
      </c>
      <c r="T2841">
        <v>-40</v>
      </c>
      <c r="U2841">
        <v>53</v>
      </c>
      <c r="V2841">
        <v>600</v>
      </c>
      <c r="W2841">
        <v>32</v>
      </c>
      <c r="X2841">
        <v>32</v>
      </c>
      <c r="Y2841">
        <v>1</v>
      </c>
      <c r="Z2841">
        <v>8</v>
      </c>
      <c r="AA2841">
        <v>27</v>
      </c>
      <c r="AB2841">
        <v>2</v>
      </c>
      <c r="AC2841">
        <v>4</v>
      </c>
      <c r="AD2841">
        <v>3.2809998999999999</v>
      </c>
      <c r="AE2841">
        <v>1</v>
      </c>
      <c r="AF2841">
        <v>38</v>
      </c>
      <c r="AG2841">
        <v>3.2669999600000001</v>
      </c>
      <c r="AH2841">
        <v>4</v>
      </c>
      <c r="AI2841">
        <v>17</v>
      </c>
      <c r="AJ2841">
        <v>1</v>
      </c>
      <c r="AK2841">
        <v>26</v>
      </c>
      <c r="AL2841">
        <v>52</v>
      </c>
      <c r="AM2841" t="s">
        <v>43</v>
      </c>
      <c r="AN2841" t="s">
        <v>43</v>
      </c>
    </row>
    <row r="2842" spans="1:40" x14ac:dyDescent="0.3">
      <c r="A2842" s="1">
        <v>46210.670717592591</v>
      </c>
      <c r="B2842" t="s">
        <v>40</v>
      </c>
      <c r="C2842" t="s">
        <v>41</v>
      </c>
      <c r="D2842" s="1">
        <v>46210.673530092594</v>
      </c>
      <c r="E2842" t="s">
        <v>42</v>
      </c>
      <c r="F2842" t="s">
        <v>83</v>
      </c>
      <c r="G2842">
        <v>43</v>
      </c>
      <c r="H2842">
        <v>33155</v>
      </c>
      <c r="I2842" t="s">
        <v>1560</v>
      </c>
      <c r="J2842">
        <v>69</v>
      </c>
      <c r="K2842">
        <v>124</v>
      </c>
      <c r="L2842">
        <v>98</v>
      </c>
      <c r="M2842">
        <v>628</v>
      </c>
      <c r="N2842" t="s">
        <v>87</v>
      </c>
      <c r="O2842" t="s">
        <v>86</v>
      </c>
      <c r="P2842">
        <v>131</v>
      </c>
      <c r="Q2842">
        <v>6</v>
      </c>
      <c r="R2842">
        <v>76</v>
      </c>
      <c r="S2842">
        <v>1227</v>
      </c>
      <c r="T2842">
        <v>-40</v>
      </c>
      <c r="U2842">
        <v>52</v>
      </c>
      <c r="V2842">
        <v>560</v>
      </c>
      <c r="W2842">
        <v>32</v>
      </c>
      <c r="X2842">
        <v>32</v>
      </c>
      <c r="Y2842">
        <v>1</v>
      </c>
      <c r="Z2842">
        <v>8</v>
      </c>
      <c r="AA2842">
        <v>27</v>
      </c>
      <c r="AB2842">
        <v>2</v>
      </c>
      <c r="AC2842">
        <v>4</v>
      </c>
      <c r="AD2842">
        <v>3.27999997</v>
      </c>
      <c r="AE2842">
        <v>1</v>
      </c>
      <c r="AF2842">
        <v>42</v>
      </c>
      <c r="AG2842">
        <v>3.2650001</v>
      </c>
      <c r="AH2842">
        <v>4</v>
      </c>
      <c r="AI2842">
        <v>17</v>
      </c>
      <c r="AJ2842">
        <v>1</v>
      </c>
      <c r="AK2842">
        <v>26</v>
      </c>
      <c r="AL2842">
        <v>52</v>
      </c>
      <c r="AM2842" t="s">
        <v>43</v>
      </c>
      <c r="AN2842" t="str">
        <f>HYPERLINK("https://www.google.com/maps?q=10.78869057,79.28686523","Open Location")</f>
        <v>Open Location</v>
      </c>
    </row>
    <row r="2843" spans="1:40" x14ac:dyDescent="0.3">
      <c r="A2843" s="1">
        <v>46210.670601851853</v>
      </c>
      <c r="B2843" t="s">
        <v>40</v>
      </c>
      <c r="C2843" t="s">
        <v>41</v>
      </c>
      <c r="D2843" s="1">
        <v>46210.673414351855</v>
      </c>
      <c r="E2843" t="s">
        <v>42</v>
      </c>
      <c r="F2843" t="s">
        <v>83</v>
      </c>
      <c r="G2843">
        <v>44</v>
      </c>
      <c r="H2843">
        <v>33155</v>
      </c>
      <c r="I2843" t="s">
        <v>1561</v>
      </c>
      <c r="J2843">
        <v>70</v>
      </c>
      <c r="K2843">
        <v>99</v>
      </c>
      <c r="L2843">
        <v>98</v>
      </c>
      <c r="M2843">
        <v>628.90002441000001</v>
      </c>
      <c r="N2843" t="s">
        <v>87</v>
      </c>
      <c r="O2843" t="s">
        <v>86</v>
      </c>
      <c r="P2843">
        <v>131</v>
      </c>
      <c r="Q2843">
        <v>6</v>
      </c>
      <c r="R2843">
        <v>56</v>
      </c>
      <c r="S2843">
        <v>1228</v>
      </c>
      <c r="T2843">
        <v>-40</v>
      </c>
      <c r="U2843">
        <v>52</v>
      </c>
      <c r="V2843">
        <v>440</v>
      </c>
      <c r="W2843">
        <v>32</v>
      </c>
      <c r="X2843">
        <v>32</v>
      </c>
      <c r="Y2843">
        <v>1</v>
      </c>
      <c r="Z2843">
        <v>8</v>
      </c>
      <c r="AA2843">
        <v>27</v>
      </c>
      <c r="AB2843">
        <v>2</v>
      </c>
      <c r="AC2843">
        <v>4</v>
      </c>
      <c r="AD2843">
        <v>3.28500009</v>
      </c>
      <c r="AE2843">
        <v>1</v>
      </c>
      <c r="AF2843">
        <v>44</v>
      </c>
      <c r="AG2843">
        <v>3.2699999800000001</v>
      </c>
      <c r="AH2843">
        <v>4</v>
      </c>
      <c r="AI2843">
        <v>17</v>
      </c>
      <c r="AJ2843">
        <v>1</v>
      </c>
      <c r="AK2843">
        <v>26</v>
      </c>
      <c r="AL2843">
        <v>52</v>
      </c>
      <c r="AM2843" t="s">
        <v>43</v>
      </c>
      <c r="AN2843" t="str">
        <f>HYPERLINK("https://www.google.com/maps?q=10.78842831,79.28817749","Open Location")</f>
        <v>Open Location</v>
      </c>
    </row>
    <row r="2844" spans="1:40" x14ac:dyDescent="0.3">
      <c r="A2844" s="1">
        <v>46210.670486111114</v>
      </c>
      <c r="B2844" t="s">
        <v>40</v>
      </c>
      <c r="C2844" t="s">
        <v>41</v>
      </c>
      <c r="D2844" s="1">
        <v>46210.673229166663</v>
      </c>
      <c r="E2844" t="s">
        <v>42</v>
      </c>
      <c r="F2844" t="s">
        <v>83</v>
      </c>
      <c r="G2844">
        <v>44</v>
      </c>
      <c r="H2844">
        <v>33155</v>
      </c>
      <c r="I2844" t="s">
        <v>1562</v>
      </c>
      <c r="J2844">
        <v>70</v>
      </c>
      <c r="K2844">
        <v>109</v>
      </c>
      <c r="L2844">
        <v>98</v>
      </c>
      <c r="M2844">
        <v>628.5</v>
      </c>
      <c r="N2844" t="s">
        <v>87</v>
      </c>
      <c r="O2844" t="s">
        <v>86</v>
      </c>
      <c r="P2844">
        <v>131</v>
      </c>
      <c r="Q2844">
        <v>6</v>
      </c>
      <c r="R2844">
        <v>53</v>
      </c>
      <c r="S2844">
        <v>1231</v>
      </c>
      <c r="T2844">
        <v>-40</v>
      </c>
      <c r="U2844">
        <v>52</v>
      </c>
      <c r="V2844">
        <v>480</v>
      </c>
      <c r="W2844">
        <v>32</v>
      </c>
      <c r="X2844">
        <v>32</v>
      </c>
      <c r="Y2844">
        <v>1</v>
      </c>
      <c r="Z2844">
        <v>8</v>
      </c>
      <c r="AA2844">
        <v>27</v>
      </c>
      <c r="AB2844">
        <v>2</v>
      </c>
      <c r="AC2844">
        <v>4</v>
      </c>
      <c r="AD2844">
        <v>3.2839999199999999</v>
      </c>
      <c r="AE2844">
        <v>1</v>
      </c>
      <c r="AF2844">
        <v>42</v>
      </c>
      <c r="AG2844">
        <v>3.2699999800000001</v>
      </c>
      <c r="AH2844">
        <v>4</v>
      </c>
      <c r="AI2844">
        <v>17</v>
      </c>
      <c r="AJ2844">
        <v>1</v>
      </c>
      <c r="AK2844">
        <v>26</v>
      </c>
      <c r="AL2844">
        <v>52</v>
      </c>
      <c r="AM2844" t="s">
        <v>43</v>
      </c>
      <c r="AN2844" t="str">
        <f>HYPERLINK("https://www.google.com/maps?q=10.78855515,79.28951263","Open Location")</f>
        <v>Open Location</v>
      </c>
    </row>
    <row r="2845" spans="1:40" x14ac:dyDescent="0.3">
      <c r="A2845" s="1">
        <v>46210.670370370368</v>
      </c>
      <c r="B2845" t="s">
        <v>40</v>
      </c>
      <c r="C2845" t="s">
        <v>41</v>
      </c>
      <c r="D2845" s="1">
        <v>46210.673449074071</v>
      </c>
      <c r="E2845" t="s">
        <v>42</v>
      </c>
      <c r="F2845" t="s">
        <v>83</v>
      </c>
      <c r="G2845">
        <v>44</v>
      </c>
      <c r="H2845">
        <v>33154</v>
      </c>
      <c r="I2845" t="s">
        <v>1563</v>
      </c>
      <c r="J2845" t="s">
        <v>43</v>
      </c>
      <c r="K2845" t="s">
        <v>43</v>
      </c>
      <c r="L2845" t="s">
        <v>43</v>
      </c>
      <c r="M2845" t="s">
        <v>43</v>
      </c>
      <c r="N2845" t="s">
        <v>87</v>
      </c>
      <c r="O2845" t="s">
        <v>86</v>
      </c>
      <c r="P2845">
        <v>131</v>
      </c>
      <c r="Q2845">
        <v>6</v>
      </c>
      <c r="R2845">
        <v>64</v>
      </c>
      <c r="S2845">
        <v>1221</v>
      </c>
      <c r="T2845">
        <v>-40</v>
      </c>
      <c r="U2845">
        <v>52</v>
      </c>
      <c r="V2845">
        <v>480</v>
      </c>
      <c r="W2845">
        <v>32</v>
      </c>
      <c r="X2845">
        <v>32</v>
      </c>
      <c r="Y2845">
        <v>1</v>
      </c>
      <c r="Z2845">
        <v>8</v>
      </c>
      <c r="AA2845">
        <v>27</v>
      </c>
      <c r="AB2845">
        <v>2</v>
      </c>
      <c r="AC2845">
        <v>4</v>
      </c>
      <c r="AD2845">
        <v>3.27999997</v>
      </c>
      <c r="AE2845">
        <v>1</v>
      </c>
      <c r="AF2845">
        <v>42</v>
      </c>
      <c r="AG2845">
        <v>3.2639999400000002</v>
      </c>
      <c r="AH2845">
        <v>4</v>
      </c>
      <c r="AI2845">
        <v>17</v>
      </c>
      <c r="AJ2845">
        <v>1</v>
      </c>
      <c r="AK2845">
        <v>26</v>
      </c>
      <c r="AL2845">
        <v>52</v>
      </c>
      <c r="AM2845" t="s">
        <v>43</v>
      </c>
      <c r="AN2845" t="str">
        <f>HYPERLINK("https://www.google.com/maps?q=10.78884506,79.29084015","Open Location")</f>
        <v>Open Location</v>
      </c>
    </row>
    <row r="2846" spans="1:40" x14ac:dyDescent="0.3">
      <c r="A2846" s="1">
        <v>46210.670254629629</v>
      </c>
      <c r="B2846" t="s">
        <v>40</v>
      </c>
      <c r="C2846" t="s">
        <v>41</v>
      </c>
      <c r="D2846" s="1">
        <v>46210.673055555555</v>
      </c>
      <c r="E2846" t="s">
        <v>42</v>
      </c>
      <c r="F2846" t="s">
        <v>83</v>
      </c>
      <c r="G2846">
        <v>44</v>
      </c>
      <c r="H2846">
        <v>33154</v>
      </c>
      <c r="I2846" t="s">
        <v>1564</v>
      </c>
      <c r="J2846">
        <v>70</v>
      </c>
      <c r="K2846">
        <v>113</v>
      </c>
      <c r="L2846">
        <v>98</v>
      </c>
      <c r="M2846">
        <v>628.09997558999999</v>
      </c>
      <c r="N2846" t="s">
        <v>87</v>
      </c>
      <c r="O2846" t="s">
        <v>86</v>
      </c>
      <c r="P2846">
        <v>131</v>
      </c>
      <c r="Q2846">
        <v>6</v>
      </c>
      <c r="R2846">
        <v>58</v>
      </c>
      <c r="S2846">
        <v>1204</v>
      </c>
      <c r="T2846">
        <v>-40</v>
      </c>
      <c r="U2846">
        <v>52</v>
      </c>
      <c r="V2846">
        <v>520</v>
      </c>
      <c r="W2846">
        <v>32</v>
      </c>
      <c r="X2846">
        <v>32</v>
      </c>
      <c r="Y2846">
        <v>1</v>
      </c>
      <c r="Z2846">
        <v>8</v>
      </c>
      <c r="AA2846">
        <v>27</v>
      </c>
      <c r="AB2846">
        <v>2</v>
      </c>
      <c r="AC2846">
        <v>4</v>
      </c>
      <c r="AD2846">
        <v>3.28299999</v>
      </c>
      <c r="AE2846">
        <v>1</v>
      </c>
      <c r="AF2846">
        <v>38</v>
      </c>
      <c r="AG2846">
        <v>3.2699999800000001</v>
      </c>
      <c r="AH2846">
        <v>4</v>
      </c>
      <c r="AI2846">
        <v>17</v>
      </c>
      <c r="AJ2846">
        <v>1</v>
      </c>
      <c r="AK2846">
        <v>26</v>
      </c>
      <c r="AL2846">
        <v>52</v>
      </c>
      <c r="AM2846" t="s">
        <v>43</v>
      </c>
      <c r="AN2846" t="str">
        <f>HYPERLINK("https://www.google.com/maps?q=10.78922653,79.2922287","Open Location")</f>
        <v>Open Location</v>
      </c>
    </row>
    <row r="2847" spans="1:40" x14ac:dyDescent="0.3">
      <c r="A2847" s="1">
        <v>46210.670138888891</v>
      </c>
      <c r="B2847" t="s">
        <v>40</v>
      </c>
      <c r="C2847" t="s">
        <v>41</v>
      </c>
      <c r="D2847" s="1">
        <v>46210.67292824074</v>
      </c>
      <c r="E2847" t="s">
        <v>42</v>
      </c>
      <c r="F2847" t="s">
        <v>83</v>
      </c>
      <c r="G2847">
        <v>43</v>
      </c>
      <c r="H2847" t="s">
        <v>43</v>
      </c>
      <c r="I2847" t="s">
        <v>43</v>
      </c>
      <c r="J2847">
        <v>70</v>
      </c>
      <c r="K2847">
        <v>89</v>
      </c>
      <c r="L2847">
        <v>98</v>
      </c>
      <c r="M2847">
        <v>628.5</v>
      </c>
      <c r="N2847" t="s">
        <v>87</v>
      </c>
      <c r="O2847" t="s">
        <v>86</v>
      </c>
      <c r="P2847">
        <v>131</v>
      </c>
      <c r="Q2847">
        <v>6</v>
      </c>
      <c r="R2847">
        <v>60</v>
      </c>
      <c r="S2847">
        <v>1223</v>
      </c>
      <c r="T2847">
        <v>-40</v>
      </c>
      <c r="U2847">
        <v>52</v>
      </c>
      <c r="V2847">
        <v>400</v>
      </c>
      <c r="W2847">
        <v>32</v>
      </c>
      <c r="X2847">
        <v>32</v>
      </c>
      <c r="Y2847">
        <v>1</v>
      </c>
      <c r="Z2847">
        <v>8</v>
      </c>
      <c r="AA2847">
        <v>27</v>
      </c>
      <c r="AB2847">
        <v>2</v>
      </c>
      <c r="AC2847">
        <v>4</v>
      </c>
      <c r="AD2847">
        <v>3.2869999399999998</v>
      </c>
      <c r="AE2847">
        <v>1</v>
      </c>
      <c r="AF2847">
        <v>42</v>
      </c>
      <c r="AG2847">
        <v>3.27399993</v>
      </c>
      <c r="AH2847">
        <v>4</v>
      </c>
      <c r="AI2847">
        <v>17</v>
      </c>
      <c r="AJ2847">
        <v>1</v>
      </c>
      <c r="AK2847">
        <v>26</v>
      </c>
      <c r="AL2847">
        <v>52</v>
      </c>
      <c r="AM2847" t="s">
        <v>43</v>
      </c>
      <c r="AN2847" t="s">
        <v>43</v>
      </c>
    </row>
    <row r="2848" spans="1:40" x14ac:dyDescent="0.3">
      <c r="A2848" s="1">
        <v>46210.670023148145</v>
      </c>
      <c r="B2848" t="s">
        <v>40</v>
      </c>
      <c r="C2848" t="s">
        <v>41</v>
      </c>
      <c r="D2848" s="1">
        <v>46210.672743055555</v>
      </c>
      <c r="E2848" t="s">
        <v>42</v>
      </c>
      <c r="F2848" t="s">
        <v>83</v>
      </c>
      <c r="G2848">
        <v>44</v>
      </c>
      <c r="H2848">
        <v>33154</v>
      </c>
      <c r="I2848" t="s">
        <v>1565</v>
      </c>
      <c r="J2848">
        <v>70</v>
      </c>
      <c r="K2848">
        <v>113</v>
      </c>
      <c r="L2848">
        <v>98</v>
      </c>
      <c r="M2848">
        <v>628.40002441000001</v>
      </c>
      <c r="N2848" t="s">
        <v>87</v>
      </c>
      <c r="O2848" t="s">
        <v>86</v>
      </c>
      <c r="P2848">
        <v>131</v>
      </c>
      <c r="Q2848">
        <v>6</v>
      </c>
      <c r="R2848">
        <v>54</v>
      </c>
      <c r="S2848">
        <v>1242</v>
      </c>
      <c r="T2848">
        <v>-40</v>
      </c>
      <c r="U2848">
        <v>52</v>
      </c>
      <c r="V2848">
        <v>500</v>
      </c>
      <c r="W2848">
        <v>32</v>
      </c>
      <c r="X2848">
        <v>32</v>
      </c>
      <c r="Y2848">
        <v>1</v>
      </c>
      <c r="Z2848">
        <v>8</v>
      </c>
      <c r="AA2848">
        <v>27</v>
      </c>
      <c r="AB2848">
        <v>2</v>
      </c>
      <c r="AC2848">
        <v>4</v>
      </c>
      <c r="AD2848">
        <v>3.2820000600000001</v>
      </c>
      <c r="AE2848">
        <v>1</v>
      </c>
      <c r="AF2848">
        <v>38</v>
      </c>
      <c r="AG2848">
        <v>3.26799989</v>
      </c>
      <c r="AH2848">
        <v>4</v>
      </c>
      <c r="AI2848">
        <v>17</v>
      </c>
      <c r="AJ2848">
        <v>1</v>
      </c>
      <c r="AK2848">
        <v>26</v>
      </c>
      <c r="AL2848">
        <v>52</v>
      </c>
      <c r="AM2848" t="s">
        <v>43</v>
      </c>
      <c r="AN2848" t="str">
        <f>HYPERLINK("https://www.google.com/maps?q=10.7898283,79.29341888","Open Location")</f>
        <v>Open Location</v>
      </c>
    </row>
    <row r="2849" spans="1:40" x14ac:dyDescent="0.3">
      <c r="A2849" s="1">
        <v>46210.669907407406</v>
      </c>
      <c r="B2849" t="s">
        <v>40</v>
      </c>
      <c r="C2849" t="s">
        <v>41</v>
      </c>
      <c r="D2849" s="1">
        <v>46210.67287037037</v>
      </c>
      <c r="E2849" t="s">
        <v>42</v>
      </c>
      <c r="F2849" t="s">
        <v>83</v>
      </c>
      <c r="G2849">
        <v>45</v>
      </c>
      <c r="H2849">
        <v>33154</v>
      </c>
      <c r="I2849" t="s">
        <v>1566</v>
      </c>
      <c r="J2849">
        <v>70</v>
      </c>
      <c r="K2849">
        <v>92</v>
      </c>
      <c r="L2849">
        <v>98</v>
      </c>
      <c r="M2849">
        <v>629.29998779000005</v>
      </c>
      <c r="N2849" t="s">
        <v>87</v>
      </c>
      <c r="O2849" t="s">
        <v>86</v>
      </c>
      <c r="P2849">
        <v>131</v>
      </c>
      <c r="Q2849">
        <v>6</v>
      </c>
      <c r="R2849">
        <v>67</v>
      </c>
      <c r="S2849">
        <v>1215</v>
      </c>
      <c r="T2849">
        <v>-40</v>
      </c>
      <c r="U2849">
        <v>52</v>
      </c>
      <c r="V2849">
        <v>420</v>
      </c>
      <c r="W2849">
        <v>32</v>
      </c>
      <c r="X2849">
        <v>32</v>
      </c>
      <c r="Y2849">
        <v>1</v>
      </c>
      <c r="Z2849">
        <v>8</v>
      </c>
      <c r="AA2849">
        <v>27</v>
      </c>
      <c r="AB2849">
        <v>2</v>
      </c>
      <c r="AC2849">
        <v>4</v>
      </c>
      <c r="AD2849">
        <v>3.2839999199999999</v>
      </c>
      <c r="AE2849">
        <v>1</v>
      </c>
      <c r="AF2849">
        <v>42</v>
      </c>
      <c r="AG2849">
        <v>3.2690000499999998</v>
      </c>
      <c r="AH2849">
        <v>4</v>
      </c>
      <c r="AI2849">
        <v>17</v>
      </c>
      <c r="AJ2849">
        <v>1</v>
      </c>
      <c r="AK2849">
        <v>26</v>
      </c>
      <c r="AL2849">
        <v>52</v>
      </c>
      <c r="AM2849" t="s">
        <v>43</v>
      </c>
      <c r="AN2849" t="str">
        <f>HYPERLINK("https://www.google.com/maps?q=10.79044819,79.2946167","Open Location")</f>
        <v>Open Location</v>
      </c>
    </row>
    <row r="2850" spans="1:40" x14ac:dyDescent="0.3">
      <c r="A2850" s="1">
        <v>46210.669791666667</v>
      </c>
      <c r="B2850" t="s">
        <v>40</v>
      </c>
      <c r="C2850" t="s">
        <v>41</v>
      </c>
      <c r="D2850" s="1">
        <v>46210.672546296293</v>
      </c>
      <c r="E2850" t="s">
        <v>42</v>
      </c>
      <c r="F2850" t="s">
        <v>83</v>
      </c>
      <c r="G2850">
        <v>43</v>
      </c>
      <c r="H2850">
        <v>33154</v>
      </c>
      <c r="I2850" t="s">
        <v>1567</v>
      </c>
      <c r="J2850">
        <v>70</v>
      </c>
      <c r="K2850">
        <v>96</v>
      </c>
      <c r="L2850">
        <v>98</v>
      </c>
      <c r="M2850">
        <v>628.29998779000005</v>
      </c>
      <c r="N2850" t="s">
        <v>87</v>
      </c>
      <c r="O2850" t="s">
        <v>86</v>
      </c>
      <c r="P2850">
        <v>131</v>
      </c>
      <c r="Q2850">
        <v>6</v>
      </c>
      <c r="R2850">
        <v>55</v>
      </c>
      <c r="S2850">
        <v>1187</v>
      </c>
      <c r="T2850">
        <v>-40</v>
      </c>
      <c r="U2850">
        <v>52</v>
      </c>
      <c r="V2850">
        <v>440</v>
      </c>
      <c r="W2850">
        <v>32</v>
      </c>
      <c r="X2850">
        <v>32</v>
      </c>
      <c r="Y2850">
        <v>1</v>
      </c>
      <c r="Z2850">
        <v>8</v>
      </c>
      <c r="AA2850">
        <v>27</v>
      </c>
      <c r="AB2850">
        <v>2</v>
      </c>
      <c r="AC2850">
        <v>4</v>
      </c>
      <c r="AD2850">
        <v>3.28600001</v>
      </c>
      <c r="AE2850">
        <v>1</v>
      </c>
      <c r="AF2850">
        <v>42</v>
      </c>
      <c r="AG2850">
        <v>3.2720000699999998</v>
      </c>
      <c r="AH2850">
        <v>4</v>
      </c>
      <c r="AI2850">
        <v>17</v>
      </c>
      <c r="AJ2850">
        <v>1</v>
      </c>
      <c r="AK2850">
        <v>26</v>
      </c>
      <c r="AL2850">
        <v>52</v>
      </c>
      <c r="AM2850" t="s">
        <v>43</v>
      </c>
      <c r="AN2850" t="str">
        <f>HYPERLINK("https://www.google.com/maps?q=10.79083824,79.29589081","Open Location")</f>
        <v>Open Location</v>
      </c>
    </row>
    <row r="2851" spans="1:40" x14ac:dyDescent="0.3">
      <c r="A2851" s="1">
        <v>46210.669675925928</v>
      </c>
      <c r="B2851" t="s">
        <v>40</v>
      </c>
      <c r="C2851" t="s">
        <v>41</v>
      </c>
      <c r="D2851" s="1">
        <v>46210.672546296293</v>
      </c>
      <c r="E2851" t="s">
        <v>42</v>
      </c>
      <c r="F2851" t="s">
        <v>83</v>
      </c>
      <c r="G2851">
        <v>42</v>
      </c>
      <c r="H2851" t="s">
        <v>43</v>
      </c>
      <c r="I2851" t="s">
        <v>1568</v>
      </c>
      <c r="J2851" t="s">
        <v>43</v>
      </c>
      <c r="K2851" t="s">
        <v>43</v>
      </c>
      <c r="L2851" t="s">
        <v>43</v>
      </c>
      <c r="M2851" t="s">
        <v>43</v>
      </c>
      <c r="N2851" t="s">
        <v>87</v>
      </c>
      <c r="O2851" t="s">
        <v>86</v>
      </c>
      <c r="P2851">
        <v>131</v>
      </c>
      <c r="Q2851">
        <v>6</v>
      </c>
      <c r="R2851">
        <v>44</v>
      </c>
      <c r="S2851">
        <v>1190</v>
      </c>
      <c r="T2851">
        <v>-40</v>
      </c>
      <c r="U2851">
        <v>52</v>
      </c>
      <c r="V2851">
        <v>520</v>
      </c>
      <c r="W2851">
        <v>32</v>
      </c>
      <c r="X2851">
        <v>32</v>
      </c>
      <c r="Y2851">
        <v>1</v>
      </c>
      <c r="Z2851">
        <v>8</v>
      </c>
      <c r="AA2851">
        <v>27</v>
      </c>
      <c r="AB2851">
        <v>2</v>
      </c>
      <c r="AC2851">
        <v>4</v>
      </c>
      <c r="AD2851">
        <v>3.2839999199999999</v>
      </c>
      <c r="AE2851">
        <v>1</v>
      </c>
      <c r="AF2851">
        <v>42</v>
      </c>
      <c r="AG2851">
        <v>3.2699999800000001</v>
      </c>
      <c r="AH2851">
        <v>4</v>
      </c>
      <c r="AI2851">
        <v>17</v>
      </c>
      <c r="AJ2851">
        <v>1</v>
      </c>
      <c r="AK2851">
        <v>26</v>
      </c>
      <c r="AL2851">
        <v>52</v>
      </c>
      <c r="AM2851" t="s">
        <v>43</v>
      </c>
      <c r="AN2851" t="str">
        <f>HYPERLINK("https://www.google.com/maps?q=10.79119205,79.29714966","Open Location")</f>
        <v>Open Location</v>
      </c>
    </row>
    <row r="2852" spans="1:40" x14ac:dyDescent="0.3">
      <c r="A2852" s="1">
        <v>46210.669560185182</v>
      </c>
      <c r="B2852" t="s">
        <v>40</v>
      </c>
      <c r="C2852" t="s">
        <v>41</v>
      </c>
      <c r="D2852" s="1">
        <v>46210.672500000001</v>
      </c>
      <c r="E2852" t="s">
        <v>42</v>
      </c>
      <c r="F2852" t="s">
        <v>83</v>
      </c>
      <c r="G2852">
        <v>44</v>
      </c>
      <c r="H2852">
        <v>33154</v>
      </c>
      <c r="I2852" t="s">
        <v>1569</v>
      </c>
      <c r="J2852">
        <v>70</v>
      </c>
      <c r="K2852">
        <v>97</v>
      </c>
      <c r="L2852">
        <v>98</v>
      </c>
      <c r="M2852">
        <v>628.59997558999999</v>
      </c>
      <c r="N2852" t="s">
        <v>87</v>
      </c>
      <c r="O2852" t="s">
        <v>86</v>
      </c>
      <c r="P2852">
        <v>131</v>
      </c>
      <c r="Q2852">
        <v>6</v>
      </c>
      <c r="R2852">
        <v>58</v>
      </c>
      <c r="S2852">
        <v>1259</v>
      </c>
      <c r="T2852">
        <v>-40</v>
      </c>
      <c r="U2852">
        <v>52</v>
      </c>
      <c r="V2852">
        <v>420</v>
      </c>
      <c r="W2852">
        <v>32</v>
      </c>
      <c r="X2852">
        <v>32</v>
      </c>
      <c r="Y2852">
        <v>1</v>
      </c>
      <c r="Z2852">
        <v>8</v>
      </c>
      <c r="AA2852">
        <v>28</v>
      </c>
      <c r="AB2852">
        <v>1</v>
      </c>
      <c r="AC2852">
        <v>3</v>
      </c>
      <c r="AD2852">
        <v>3.28600001</v>
      </c>
      <c r="AE2852">
        <v>1</v>
      </c>
      <c r="AF2852">
        <v>42</v>
      </c>
      <c r="AG2852">
        <v>3.2730000000000001</v>
      </c>
      <c r="AH2852">
        <v>4</v>
      </c>
      <c r="AI2852">
        <v>17</v>
      </c>
      <c r="AJ2852">
        <v>1</v>
      </c>
      <c r="AK2852">
        <v>26</v>
      </c>
      <c r="AL2852">
        <v>52</v>
      </c>
      <c r="AM2852" t="s">
        <v>43</v>
      </c>
      <c r="AN2852" t="str">
        <f>HYPERLINK("https://www.google.com/maps?q=10.79155159,79.29845428","Open Location")</f>
        <v>Open Location</v>
      </c>
    </row>
    <row r="2853" spans="1:40" x14ac:dyDescent="0.3">
      <c r="A2853" s="1">
        <v>46210.669444444444</v>
      </c>
      <c r="B2853" t="s">
        <v>40</v>
      </c>
      <c r="C2853" t="s">
        <v>41</v>
      </c>
      <c r="D2853" s="1">
        <v>46210.67255787037</v>
      </c>
      <c r="E2853" t="s">
        <v>42</v>
      </c>
      <c r="F2853" t="s">
        <v>83</v>
      </c>
      <c r="G2853">
        <v>46</v>
      </c>
      <c r="H2853">
        <v>33154</v>
      </c>
      <c r="I2853" t="s">
        <v>43</v>
      </c>
      <c r="J2853" t="s">
        <v>43</v>
      </c>
      <c r="K2853" t="s">
        <v>43</v>
      </c>
      <c r="L2853" t="s">
        <v>43</v>
      </c>
      <c r="M2853" t="s">
        <v>43</v>
      </c>
      <c r="N2853" t="s">
        <v>87</v>
      </c>
      <c r="O2853" t="s">
        <v>86</v>
      </c>
      <c r="P2853">
        <v>131</v>
      </c>
      <c r="Q2853">
        <v>6</v>
      </c>
      <c r="R2853">
        <v>54</v>
      </c>
      <c r="S2853">
        <v>1323</v>
      </c>
      <c r="T2853">
        <v>-40</v>
      </c>
      <c r="U2853">
        <v>52</v>
      </c>
      <c r="V2853">
        <v>360</v>
      </c>
      <c r="W2853">
        <v>32</v>
      </c>
      <c r="X2853">
        <v>32</v>
      </c>
      <c r="Y2853">
        <v>1</v>
      </c>
      <c r="Z2853">
        <v>8</v>
      </c>
      <c r="AA2853">
        <v>28</v>
      </c>
      <c r="AB2853">
        <v>1</v>
      </c>
      <c r="AC2853">
        <v>3</v>
      </c>
      <c r="AD2853">
        <v>3.28299999</v>
      </c>
      <c r="AE2853">
        <v>1</v>
      </c>
      <c r="AF2853">
        <v>42</v>
      </c>
      <c r="AG2853">
        <v>3.2690000499999998</v>
      </c>
      <c r="AH2853">
        <v>4</v>
      </c>
      <c r="AI2853">
        <v>17</v>
      </c>
      <c r="AJ2853">
        <v>1</v>
      </c>
      <c r="AK2853">
        <v>26</v>
      </c>
      <c r="AL2853">
        <v>52</v>
      </c>
      <c r="AM2853" t="s">
        <v>43</v>
      </c>
      <c r="AN2853" t="s">
        <v>43</v>
      </c>
    </row>
    <row r="2854" spans="1:40" x14ac:dyDescent="0.3">
      <c r="A2854" s="1">
        <v>46210.669328703705</v>
      </c>
      <c r="B2854" t="s">
        <v>40</v>
      </c>
      <c r="C2854" t="s">
        <v>41</v>
      </c>
      <c r="D2854" s="1">
        <v>46210.672025462962</v>
      </c>
      <c r="E2854" t="s">
        <v>42</v>
      </c>
      <c r="F2854" t="s">
        <v>83</v>
      </c>
      <c r="G2854">
        <v>48</v>
      </c>
      <c r="H2854">
        <v>33153</v>
      </c>
      <c r="I2854" t="s">
        <v>1570</v>
      </c>
      <c r="J2854">
        <v>70</v>
      </c>
      <c r="K2854">
        <v>115</v>
      </c>
      <c r="L2854">
        <v>98</v>
      </c>
      <c r="M2854">
        <v>628</v>
      </c>
      <c r="N2854" t="s">
        <v>87</v>
      </c>
      <c r="O2854" t="s">
        <v>86</v>
      </c>
      <c r="P2854">
        <v>131</v>
      </c>
      <c r="Q2854">
        <v>6</v>
      </c>
      <c r="R2854">
        <v>61</v>
      </c>
      <c r="S2854">
        <v>1319</v>
      </c>
      <c r="T2854">
        <v>-40</v>
      </c>
      <c r="U2854">
        <v>52</v>
      </c>
      <c r="V2854">
        <v>480</v>
      </c>
      <c r="W2854">
        <v>32</v>
      </c>
      <c r="X2854">
        <v>32</v>
      </c>
      <c r="Y2854">
        <v>1</v>
      </c>
      <c r="Z2854">
        <v>8</v>
      </c>
      <c r="AA2854">
        <v>28</v>
      </c>
      <c r="AB2854">
        <v>1</v>
      </c>
      <c r="AC2854">
        <v>3</v>
      </c>
      <c r="AD2854">
        <v>3.2820000600000001</v>
      </c>
      <c r="AE2854">
        <v>1</v>
      </c>
      <c r="AF2854">
        <v>42</v>
      </c>
      <c r="AG2854">
        <v>3.2669999600000001</v>
      </c>
      <c r="AH2854">
        <v>4</v>
      </c>
      <c r="AI2854">
        <v>17</v>
      </c>
      <c r="AJ2854">
        <v>1</v>
      </c>
      <c r="AK2854">
        <v>26</v>
      </c>
      <c r="AL2854">
        <v>52</v>
      </c>
      <c r="AM2854" t="s">
        <v>43</v>
      </c>
      <c r="AN2854" t="str">
        <f>HYPERLINK("https://www.google.com/maps?q=10.79180717,79.29988861","Open Location")</f>
        <v>Open Location</v>
      </c>
    </row>
    <row r="2855" spans="1:40" x14ac:dyDescent="0.3">
      <c r="A2855" s="1">
        <v>46210.669212962966</v>
      </c>
      <c r="B2855" t="s">
        <v>40</v>
      </c>
      <c r="C2855" t="s">
        <v>41</v>
      </c>
      <c r="D2855" s="1">
        <v>46210.672013888892</v>
      </c>
      <c r="E2855" t="s">
        <v>42</v>
      </c>
      <c r="F2855" t="s">
        <v>83</v>
      </c>
      <c r="G2855">
        <v>47</v>
      </c>
      <c r="H2855">
        <v>33153</v>
      </c>
      <c r="I2855" t="s">
        <v>1571</v>
      </c>
      <c r="J2855">
        <v>70</v>
      </c>
      <c r="K2855">
        <v>112</v>
      </c>
      <c r="L2855">
        <v>98</v>
      </c>
      <c r="M2855">
        <v>628</v>
      </c>
      <c r="N2855" t="s">
        <v>87</v>
      </c>
      <c r="O2855" t="s">
        <v>86</v>
      </c>
      <c r="P2855">
        <v>131</v>
      </c>
      <c r="Q2855">
        <v>6</v>
      </c>
      <c r="R2855">
        <v>73</v>
      </c>
      <c r="S2855">
        <v>1280</v>
      </c>
      <c r="T2855">
        <v>-40</v>
      </c>
      <c r="U2855">
        <v>52</v>
      </c>
      <c r="V2855">
        <v>480</v>
      </c>
      <c r="W2855">
        <v>32</v>
      </c>
      <c r="X2855">
        <v>32</v>
      </c>
      <c r="Y2855">
        <v>1</v>
      </c>
      <c r="Z2855">
        <v>8</v>
      </c>
      <c r="AA2855">
        <v>28</v>
      </c>
      <c r="AB2855">
        <v>1</v>
      </c>
      <c r="AC2855">
        <v>3</v>
      </c>
      <c r="AD2855">
        <v>3.2820000600000001</v>
      </c>
      <c r="AE2855">
        <v>1</v>
      </c>
      <c r="AF2855">
        <v>42</v>
      </c>
      <c r="AG2855">
        <v>3.2669999600000001</v>
      </c>
      <c r="AH2855">
        <v>4</v>
      </c>
      <c r="AI2855">
        <v>17</v>
      </c>
      <c r="AJ2855">
        <v>1</v>
      </c>
      <c r="AK2855">
        <v>26</v>
      </c>
      <c r="AL2855">
        <v>52</v>
      </c>
      <c r="AM2855" t="s">
        <v>43</v>
      </c>
      <c r="AN2855" t="str">
        <f>HYPERLINK("https://www.google.com/maps?q=10.79184437,79.30134583","Open Location")</f>
        <v>Open Location</v>
      </c>
    </row>
    <row r="2856" spans="1:40" x14ac:dyDescent="0.3">
      <c r="A2856" s="1">
        <v>46210.66909722222</v>
      </c>
      <c r="B2856" t="s">
        <v>40</v>
      </c>
      <c r="C2856" t="s">
        <v>41</v>
      </c>
      <c r="D2856" s="1">
        <v>46210.6721412037</v>
      </c>
      <c r="E2856" t="s">
        <v>42</v>
      </c>
      <c r="F2856" t="s">
        <v>83</v>
      </c>
      <c r="G2856">
        <v>45</v>
      </c>
      <c r="H2856">
        <v>33153</v>
      </c>
      <c r="I2856" t="s">
        <v>1572</v>
      </c>
      <c r="J2856">
        <v>70</v>
      </c>
      <c r="K2856">
        <v>103</v>
      </c>
      <c r="L2856">
        <v>98</v>
      </c>
      <c r="M2856">
        <v>628.29998779000005</v>
      </c>
      <c r="N2856" t="s">
        <v>87</v>
      </c>
      <c r="O2856" t="s">
        <v>86</v>
      </c>
      <c r="P2856">
        <v>131</v>
      </c>
      <c r="Q2856">
        <v>6</v>
      </c>
      <c r="R2856">
        <v>67</v>
      </c>
      <c r="S2856">
        <v>1204</v>
      </c>
      <c r="T2856">
        <v>-40</v>
      </c>
      <c r="U2856">
        <v>53</v>
      </c>
      <c r="V2856">
        <v>460</v>
      </c>
      <c r="W2856">
        <v>32</v>
      </c>
      <c r="X2856">
        <v>32</v>
      </c>
      <c r="Y2856">
        <v>1</v>
      </c>
      <c r="Z2856">
        <v>8</v>
      </c>
      <c r="AA2856">
        <v>28</v>
      </c>
      <c r="AB2856">
        <v>1</v>
      </c>
      <c r="AC2856">
        <v>3</v>
      </c>
      <c r="AD2856">
        <v>3.2790000400000001</v>
      </c>
      <c r="AE2856">
        <v>1</v>
      </c>
      <c r="AF2856">
        <v>38</v>
      </c>
      <c r="AG2856">
        <v>3.2639999400000002</v>
      </c>
      <c r="AH2856">
        <v>4</v>
      </c>
      <c r="AI2856">
        <v>17</v>
      </c>
      <c r="AJ2856">
        <v>1</v>
      </c>
      <c r="AK2856">
        <v>26</v>
      </c>
      <c r="AL2856">
        <v>52</v>
      </c>
      <c r="AM2856" t="s">
        <v>43</v>
      </c>
      <c r="AN2856" t="str">
        <f>HYPERLINK("https://www.google.com/maps?q=10.79185677,79.30284119","Open Location")</f>
        <v>Open Location</v>
      </c>
    </row>
    <row r="2857" spans="1:40" x14ac:dyDescent="0.3">
      <c r="A2857" s="1">
        <v>46210.668981481482</v>
      </c>
      <c r="B2857" t="s">
        <v>40</v>
      </c>
      <c r="C2857" t="s">
        <v>41</v>
      </c>
      <c r="D2857" s="1">
        <v>46210.671747685185</v>
      </c>
      <c r="E2857" t="s">
        <v>42</v>
      </c>
      <c r="F2857" t="s">
        <v>83</v>
      </c>
      <c r="G2857">
        <v>42</v>
      </c>
      <c r="H2857">
        <v>33153</v>
      </c>
      <c r="I2857" t="s">
        <v>1573</v>
      </c>
      <c r="J2857" t="s">
        <v>43</v>
      </c>
      <c r="K2857" t="s">
        <v>43</v>
      </c>
      <c r="L2857" t="s">
        <v>43</v>
      </c>
      <c r="M2857" t="s">
        <v>43</v>
      </c>
      <c r="N2857" t="s">
        <v>87</v>
      </c>
      <c r="O2857" t="s">
        <v>86</v>
      </c>
      <c r="P2857">
        <v>131</v>
      </c>
      <c r="Q2857">
        <v>6</v>
      </c>
      <c r="R2857">
        <v>68</v>
      </c>
      <c r="S2857">
        <v>1166</v>
      </c>
      <c r="T2857">
        <v>-40</v>
      </c>
      <c r="U2857">
        <v>54</v>
      </c>
      <c r="V2857">
        <v>765</v>
      </c>
      <c r="W2857">
        <v>32</v>
      </c>
      <c r="X2857">
        <v>32</v>
      </c>
      <c r="Y2857">
        <v>1</v>
      </c>
      <c r="Z2857">
        <v>8</v>
      </c>
      <c r="AA2857">
        <v>28</v>
      </c>
      <c r="AB2857">
        <v>1</v>
      </c>
      <c r="AC2857">
        <v>3</v>
      </c>
      <c r="AD2857">
        <v>3.2760000200000001</v>
      </c>
      <c r="AE2857">
        <v>1</v>
      </c>
      <c r="AF2857">
        <v>42</v>
      </c>
      <c r="AG2857">
        <v>3.25900006</v>
      </c>
      <c r="AH2857">
        <v>4</v>
      </c>
      <c r="AI2857">
        <v>17</v>
      </c>
      <c r="AJ2857">
        <v>1</v>
      </c>
      <c r="AK2857">
        <v>26</v>
      </c>
      <c r="AL2857">
        <v>52</v>
      </c>
      <c r="AM2857" t="s">
        <v>43</v>
      </c>
      <c r="AN2857" t="str">
        <f>HYPERLINK("https://www.google.com/maps?q=10.79204369,79.30413055","Open Location")</f>
        <v>Open Location</v>
      </c>
    </row>
    <row r="2858" spans="1:40" x14ac:dyDescent="0.3">
      <c r="A2858" s="1">
        <v>46210.668865740743</v>
      </c>
      <c r="B2858" t="s">
        <v>40</v>
      </c>
      <c r="C2858" t="s">
        <v>41</v>
      </c>
      <c r="D2858" s="1">
        <v>46210.671678240738</v>
      </c>
      <c r="E2858" t="s">
        <v>42</v>
      </c>
      <c r="F2858" t="s">
        <v>83</v>
      </c>
      <c r="G2858">
        <v>41</v>
      </c>
      <c r="H2858" t="s">
        <v>43</v>
      </c>
      <c r="I2858" t="s">
        <v>1574</v>
      </c>
      <c r="J2858">
        <v>71</v>
      </c>
      <c r="K2858">
        <v>109</v>
      </c>
      <c r="L2858">
        <v>98</v>
      </c>
      <c r="M2858">
        <v>628.20001220999995</v>
      </c>
      <c r="N2858" t="s">
        <v>87</v>
      </c>
      <c r="O2858" t="s">
        <v>86</v>
      </c>
      <c r="P2858">
        <v>131</v>
      </c>
      <c r="Q2858">
        <v>6</v>
      </c>
      <c r="R2858">
        <v>63</v>
      </c>
      <c r="S2858">
        <v>1156</v>
      </c>
      <c r="T2858">
        <v>-40</v>
      </c>
      <c r="U2858">
        <v>53</v>
      </c>
      <c r="V2858">
        <v>500</v>
      </c>
      <c r="W2858">
        <v>32</v>
      </c>
      <c r="X2858">
        <v>32</v>
      </c>
      <c r="Y2858">
        <v>1</v>
      </c>
      <c r="Z2858">
        <v>8</v>
      </c>
      <c r="AA2858">
        <v>28</v>
      </c>
      <c r="AB2858">
        <v>1</v>
      </c>
      <c r="AC2858">
        <v>3</v>
      </c>
      <c r="AD2858">
        <v>3.28299999</v>
      </c>
      <c r="AE2858">
        <v>1</v>
      </c>
      <c r="AF2858">
        <v>44</v>
      </c>
      <c r="AG2858">
        <v>3.26799989</v>
      </c>
      <c r="AH2858">
        <v>4</v>
      </c>
      <c r="AI2858">
        <v>17</v>
      </c>
      <c r="AJ2858">
        <v>1</v>
      </c>
      <c r="AK2858">
        <v>26</v>
      </c>
      <c r="AL2858">
        <v>52</v>
      </c>
      <c r="AM2858" t="s">
        <v>43</v>
      </c>
      <c r="AN2858" t="str">
        <f>HYPERLINK("https://www.google.com/maps?q=10.79222107,79.30538177","Open Location")</f>
        <v>Open Location</v>
      </c>
    </row>
    <row r="2859" spans="1:40" x14ac:dyDescent="0.3">
      <c r="A2859" s="1">
        <v>46210.668749999997</v>
      </c>
      <c r="B2859" t="s">
        <v>40</v>
      </c>
      <c r="C2859" t="s">
        <v>41</v>
      </c>
      <c r="D2859" s="1">
        <v>46210.671516203707</v>
      </c>
      <c r="E2859" t="s">
        <v>42</v>
      </c>
      <c r="F2859" t="s">
        <v>83</v>
      </c>
      <c r="G2859">
        <v>42</v>
      </c>
      <c r="H2859">
        <v>33153</v>
      </c>
      <c r="I2859" t="s">
        <v>43</v>
      </c>
      <c r="J2859" t="s">
        <v>43</v>
      </c>
      <c r="K2859" t="s">
        <v>43</v>
      </c>
      <c r="L2859" t="s">
        <v>43</v>
      </c>
      <c r="M2859" t="s">
        <v>43</v>
      </c>
      <c r="N2859" t="s">
        <v>87</v>
      </c>
      <c r="O2859" t="s">
        <v>86</v>
      </c>
      <c r="P2859">
        <v>131</v>
      </c>
      <c r="Q2859">
        <v>6</v>
      </c>
      <c r="R2859">
        <v>61</v>
      </c>
      <c r="S2859">
        <v>1212</v>
      </c>
      <c r="T2859">
        <v>-40</v>
      </c>
      <c r="U2859">
        <v>53</v>
      </c>
      <c r="V2859">
        <v>500</v>
      </c>
      <c r="W2859">
        <v>32</v>
      </c>
      <c r="X2859">
        <v>32</v>
      </c>
      <c r="Y2859">
        <v>1</v>
      </c>
      <c r="Z2859">
        <v>8</v>
      </c>
      <c r="AA2859">
        <v>28</v>
      </c>
      <c r="AB2859">
        <v>1</v>
      </c>
      <c r="AC2859">
        <v>3</v>
      </c>
      <c r="AD2859">
        <v>3.2839999199999999</v>
      </c>
      <c r="AE2859">
        <v>5</v>
      </c>
      <c r="AF2859">
        <v>38</v>
      </c>
      <c r="AG2859">
        <v>3.2690000499999998</v>
      </c>
      <c r="AH2859">
        <v>4</v>
      </c>
      <c r="AI2859">
        <v>17</v>
      </c>
      <c r="AJ2859">
        <v>1</v>
      </c>
      <c r="AK2859">
        <v>26</v>
      </c>
      <c r="AL2859">
        <v>52</v>
      </c>
      <c r="AM2859" t="s">
        <v>43</v>
      </c>
      <c r="AN2859" t="s">
        <v>43</v>
      </c>
    </row>
    <row r="2860" spans="1:40" x14ac:dyDescent="0.3">
      <c r="A2860" s="1">
        <v>46210.668634259258</v>
      </c>
      <c r="B2860" t="s">
        <v>40</v>
      </c>
      <c r="C2860" t="s">
        <v>41</v>
      </c>
      <c r="D2860" s="1">
        <v>46210.671377314815</v>
      </c>
      <c r="E2860" t="s">
        <v>42</v>
      </c>
      <c r="F2860" t="s">
        <v>83</v>
      </c>
      <c r="G2860">
        <v>44</v>
      </c>
      <c r="H2860">
        <v>33153</v>
      </c>
      <c r="I2860" t="s">
        <v>1575</v>
      </c>
      <c r="J2860">
        <v>71</v>
      </c>
      <c r="K2860">
        <v>101</v>
      </c>
      <c r="L2860">
        <v>98</v>
      </c>
      <c r="M2860">
        <v>629</v>
      </c>
      <c r="N2860" t="s">
        <v>87</v>
      </c>
      <c r="O2860" t="s">
        <v>86</v>
      </c>
      <c r="P2860">
        <v>131</v>
      </c>
      <c r="Q2860">
        <v>6</v>
      </c>
      <c r="R2860">
        <v>69</v>
      </c>
      <c r="S2860">
        <v>1205</v>
      </c>
      <c r="T2860">
        <v>-40</v>
      </c>
      <c r="U2860">
        <v>52</v>
      </c>
      <c r="V2860">
        <v>460</v>
      </c>
      <c r="W2860">
        <v>32</v>
      </c>
      <c r="X2860">
        <v>32</v>
      </c>
      <c r="Y2860">
        <v>1</v>
      </c>
      <c r="Z2860">
        <v>8</v>
      </c>
      <c r="AA2860">
        <v>28</v>
      </c>
      <c r="AB2860">
        <v>1</v>
      </c>
      <c r="AC2860">
        <v>3</v>
      </c>
      <c r="AD2860">
        <v>3.28600001</v>
      </c>
      <c r="AE2860">
        <v>1</v>
      </c>
      <c r="AF2860">
        <v>42</v>
      </c>
      <c r="AG2860">
        <v>3.2720000699999998</v>
      </c>
      <c r="AH2860">
        <v>4</v>
      </c>
      <c r="AI2860">
        <v>17</v>
      </c>
      <c r="AJ2860">
        <v>1</v>
      </c>
      <c r="AK2860">
        <v>26</v>
      </c>
      <c r="AL2860">
        <v>52</v>
      </c>
      <c r="AM2860" t="s">
        <v>43</v>
      </c>
      <c r="AN2860" t="str">
        <f>HYPERLINK("https://www.google.com/maps?q=10.79226685,79.30670166","Open Location")</f>
        <v>Open Location</v>
      </c>
    </row>
    <row r="2861" spans="1:40" x14ac:dyDescent="0.3">
      <c r="A2861" s="1">
        <v>46210.66851851852</v>
      </c>
      <c r="B2861" t="s">
        <v>40</v>
      </c>
      <c r="C2861" t="s">
        <v>41</v>
      </c>
      <c r="D2861" s="1">
        <v>46210.671377314815</v>
      </c>
      <c r="E2861" t="s">
        <v>42</v>
      </c>
      <c r="F2861" t="s">
        <v>83</v>
      </c>
      <c r="G2861">
        <v>43</v>
      </c>
      <c r="H2861">
        <v>33153</v>
      </c>
      <c r="I2861" t="s">
        <v>1576</v>
      </c>
      <c r="J2861">
        <v>71</v>
      </c>
      <c r="K2861">
        <v>78</v>
      </c>
      <c r="L2861">
        <v>98</v>
      </c>
      <c r="M2861">
        <v>629.90002441000001</v>
      </c>
      <c r="N2861" t="s">
        <v>87</v>
      </c>
      <c r="O2861" t="s">
        <v>86</v>
      </c>
      <c r="P2861">
        <v>131</v>
      </c>
      <c r="Q2861">
        <v>6</v>
      </c>
      <c r="R2861">
        <v>26</v>
      </c>
      <c r="S2861">
        <v>1124</v>
      </c>
      <c r="T2861">
        <v>-40</v>
      </c>
      <c r="U2861">
        <v>52</v>
      </c>
      <c r="V2861">
        <v>360</v>
      </c>
      <c r="W2861">
        <v>32</v>
      </c>
      <c r="X2861">
        <v>32</v>
      </c>
      <c r="Y2861">
        <v>1</v>
      </c>
      <c r="Z2861">
        <v>8</v>
      </c>
      <c r="AA2861">
        <v>28</v>
      </c>
      <c r="AB2861">
        <v>1</v>
      </c>
      <c r="AC2861">
        <v>3</v>
      </c>
      <c r="AD2861">
        <v>3.28900003</v>
      </c>
      <c r="AE2861">
        <v>1</v>
      </c>
      <c r="AF2861">
        <v>42</v>
      </c>
      <c r="AG2861">
        <v>3.27699995</v>
      </c>
      <c r="AH2861">
        <v>4</v>
      </c>
      <c r="AI2861">
        <v>17</v>
      </c>
      <c r="AJ2861">
        <v>1</v>
      </c>
      <c r="AK2861">
        <v>26</v>
      </c>
      <c r="AL2861">
        <v>52</v>
      </c>
      <c r="AM2861" t="s">
        <v>43</v>
      </c>
      <c r="AN2861" t="str">
        <f>HYPERLINK("https://www.google.com/maps?q=10.79231739,79.30802917","Open Location")</f>
        <v>Open Location</v>
      </c>
    </row>
    <row r="2862" spans="1:40" x14ac:dyDescent="0.3">
      <c r="A2862" s="1">
        <v>46210.668402777781</v>
      </c>
      <c r="B2862" t="s">
        <v>40</v>
      </c>
      <c r="C2862" t="s">
        <v>41</v>
      </c>
      <c r="D2862" s="1">
        <v>46210.671134259261</v>
      </c>
      <c r="E2862" t="s">
        <v>42</v>
      </c>
      <c r="F2862" t="s">
        <v>83</v>
      </c>
      <c r="G2862">
        <v>37</v>
      </c>
      <c r="H2862">
        <v>33152</v>
      </c>
      <c r="I2862" t="s">
        <v>1577</v>
      </c>
      <c r="J2862">
        <v>71</v>
      </c>
      <c r="K2862">
        <v>98</v>
      </c>
      <c r="L2862">
        <v>98</v>
      </c>
      <c r="M2862">
        <v>628.5</v>
      </c>
      <c r="N2862" t="s">
        <v>87</v>
      </c>
      <c r="O2862" t="s">
        <v>86</v>
      </c>
      <c r="P2862">
        <v>131</v>
      </c>
      <c r="Q2862">
        <v>6</v>
      </c>
      <c r="R2862">
        <v>47</v>
      </c>
      <c r="S2862">
        <v>979</v>
      </c>
      <c r="T2862">
        <v>-40</v>
      </c>
      <c r="U2862">
        <v>53</v>
      </c>
      <c r="V2862">
        <v>540</v>
      </c>
      <c r="W2862">
        <v>32</v>
      </c>
      <c r="X2862">
        <v>32</v>
      </c>
      <c r="Y2862">
        <v>1</v>
      </c>
      <c r="Z2862">
        <v>8</v>
      </c>
      <c r="AA2862">
        <v>28</v>
      </c>
      <c r="AB2862">
        <v>1</v>
      </c>
      <c r="AC2862">
        <v>3</v>
      </c>
      <c r="AD2862">
        <v>3.2839999199999999</v>
      </c>
      <c r="AE2862">
        <v>1</v>
      </c>
      <c r="AF2862">
        <v>42</v>
      </c>
      <c r="AG2862">
        <v>3.2699999800000001</v>
      </c>
      <c r="AH2862">
        <v>4</v>
      </c>
      <c r="AI2862">
        <v>17</v>
      </c>
      <c r="AJ2862">
        <v>1</v>
      </c>
      <c r="AK2862">
        <v>26</v>
      </c>
      <c r="AL2862">
        <v>52</v>
      </c>
      <c r="AM2862" t="s">
        <v>43</v>
      </c>
      <c r="AN2862" t="str">
        <f>HYPERLINK("https://www.google.com/maps?q=10.79226494,79.30921173","Open Location")</f>
        <v>Open Location</v>
      </c>
    </row>
    <row r="2863" spans="1:40" x14ac:dyDescent="0.3">
      <c r="A2863" s="1">
        <v>46210.668287037035</v>
      </c>
      <c r="B2863" t="s">
        <v>40</v>
      </c>
      <c r="C2863" t="s">
        <v>41</v>
      </c>
      <c r="D2863" s="1">
        <v>46210.670914351853</v>
      </c>
      <c r="E2863" t="s">
        <v>42</v>
      </c>
      <c r="F2863" t="s">
        <v>83</v>
      </c>
      <c r="G2863">
        <v>37</v>
      </c>
      <c r="H2863" t="s">
        <v>43</v>
      </c>
      <c r="I2863" t="s">
        <v>1578</v>
      </c>
      <c r="J2863" t="s">
        <v>43</v>
      </c>
      <c r="K2863" t="s">
        <v>43</v>
      </c>
      <c r="L2863" t="s">
        <v>43</v>
      </c>
      <c r="M2863" t="s">
        <v>43</v>
      </c>
      <c r="N2863" t="s">
        <v>87</v>
      </c>
      <c r="O2863" t="s">
        <v>86</v>
      </c>
      <c r="P2863">
        <v>131</v>
      </c>
      <c r="Q2863">
        <v>6</v>
      </c>
      <c r="R2863">
        <v>82</v>
      </c>
      <c r="S2863">
        <v>1085</v>
      </c>
      <c r="T2863">
        <v>-40</v>
      </c>
      <c r="U2863">
        <v>54</v>
      </c>
      <c r="V2863">
        <v>590</v>
      </c>
      <c r="W2863">
        <v>32</v>
      </c>
      <c r="X2863">
        <v>32</v>
      </c>
      <c r="Y2863">
        <v>1</v>
      </c>
      <c r="Z2863">
        <v>8</v>
      </c>
      <c r="AA2863">
        <v>28</v>
      </c>
      <c r="AB2863">
        <v>1</v>
      </c>
      <c r="AC2863">
        <v>3</v>
      </c>
      <c r="AD2863">
        <v>3.2809998999999999</v>
      </c>
      <c r="AE2863">
        <v>1</v>
      </c>
      <c r="AF2863">
        <v>42</v>
      </c>
      <c r="AG2863">
        <v>3.2650001</v>
      </c>
      <c r="AH2863">
        <v>4</v>
      </c>
      <c r="AI2863">
        <v>17</v>
      </c>
      <c r="AJ2863">
        <v>1</v>
      </c>
      <c r="AK2863">
        <v>26</v>
      </c>
      <c r="AL2863">
        <v>52</v>
      </c>
      <c r="AM2863" t="s">
        <v>43</v>
      </c>
      <c r="AN2863" t="str">
        <f>HYPERLINK("https://www.google.com/maps?q=10.79179955,79.31023407","Open Location")</f>
        <v>Open Location</v>
      </c>
    </row>
    <row r="2864" spans="1:40" x14ac:dyDescent="0.3">
      <c r="A2864" s="1">
        <v>46210.668171296296</v>
      </c>
      <c r="B2864" t="s">
        <v>40</v>
      </c>
      <c r="C2864" t="s">
        <v>41</v>
      </c>
      <c r="D2864" s="1">
        <v>46210.671122685184</v>
      </c>
      <c r="E2864" t="s">
        <v>42</v>
      </c>
      <c r="F2864" t="s">
        <v>83</v>
      </c>
      <c r="G2864">
        <v>38</v>
      </c>
      <c r="H2864">
        <v>33152</v>
      </c>
      <c r="I2864" t="s">
        <v>43</v>
      </c>
      <c r="J2864">
        <v>71</v>
      </c>
      <c r="K2864">
        <v>115</v>
      </c>
      <c r="L2864">
        <v>98</v>
      </c>
      <c r="M2864">
        <v>628</v>
      </c>
      <c r="N2864" t="s">
        <v>87</v>
      </c>
      <c r="O2864" t="s">
        <v>86</v>
      </c>
      <c r="P2864">
        <v>131</v>
      </c>
      <c r="Q2864">
        <v>6</v>
      </c>
      <c r="R2864">
        <v>57</v>
      </c>
      <c r="S2864">
        <v>1092</v>
      </c>
      <c r="T2864">
        <v>-40</v>
      </c>
      <c r="U2864">
        <v>53</v>
      </c>
      <c r="V2864">
        <v>580</v>
      </c>
      <c r="W2864">
        <v>32</v>
      </c>
      <c r="X2864">
        <v>32</v>
      </c>
      <c r="Y2864">
        <v>1</v>
      </c>
      <c r="Z2864">
        <v>8</v>
      </c>
      <c r="AA2864">
        <v>28</v>
      </c>
      <c r="AB2864">
        <v>1</v>
      </c>
      <c r="AC2864">
        <v>3</v>
      </c>
      <c r="AD2864">
        <v>3.2820000600000001</v>
      </c>
      <c r="AE2864">
        <v>1</v>
      </c>
      <c r="AF2864">
        <v>41</v>
      </c>
      <c r="AG2864">
        <v>3.26799989</v>
      </c>
      <c r="AH2864">
        <v>4</v>
      </c>
      <c r="AI2864">
        <v>17</v>
      </c>
      <c r="AJ2864">
        <v>1</v>
      </c>
      <c r="AK2864">
        <v>26</v>
      </c>
      <c r="AL2864">
        <v>52</v>
      </c>
      <c r="AM2864" t="s">
        <v>43</v>
      </c>
      <c r="AN2864" t="s">
        <v>43</v>
      </c>
    </row>
    <row r="2865" spans="1:40" x14ac:dyDescent="0.3">
      <c r="A2865" s="1">
        <v>46210.668055555558</v>
      </c>
      <c r="B2865" t="s">
        <v>40</v>
      </c>
      <c r="C2865" t="s">
        <v>41</v>
      </c>
      <c r="D2865" s="1">
        <v>46210.67083333333</v>
      </c>
      <c r="E2865" t="s">
        <v>42</v>
      </c>
      <c r="F2865" t="s">
        <v>83</v>
      </c>
      <c r="G2865">
        <v>40</v>
      </c>
      <c r="H2865">
        <v>33152</v>
      </c>
      <c r="I2865" t="s">
        <v>1579</v>
      </c>
      <c r="J2865">
        <v>71</v>
      </c>
      <c r="K2865">
        <v>140</v>
      </c>
      <c r="L2865">
        <v>98</v>
      </c>
      <c r="M2865">
        <v>627.90002441000001</v>
      </c>
      <c r="N2865" t="s">
        <v>87</v>
      </c>
      <c r="O2865" t="s">
        <v>86</v>
      </c>
      <c r="P2865">
        <v>131</v>
      </c>
      <c r="Q2865">
        <v>6</v>
      </c>
      <c r="R2865">
        <v>68</v>
      </c>
      <c r="S2865">
        <v>1134</v>
      </c>
      <c r="T2865">
        <v>-40</v>
      </c>
      <c r="U2865">
        <v>54</v>
      </c>
      <c r="V2865">
        <v>750</v>
      </c>
      <c r="W2865">
        <v>32</v>
      </c>
      <c r="X2865">
        <v>32</v>
      </c>
      <c r="Y2865">
        <v>1</v>
      </c>
      <c r="Z2865">
        <v>8</v>
      </c>
      <c r="AA2865">
        <v>28</v>
      </c>
      <c r="AB2865">
        <v>1</v>
      </c>
      <c r="AC2865">
        <v>3</v>
      </c>
      <c r="AD2865">
        <v>3.2809998999999999</v>
      </c>
      <c r="AE2865">
        <v>1</v>
      </c>
      <c r="AF2865">
        <v>42</v>
      </c>
      <c r="AG2865">
        <v>3.2660000299999998</v>
      </c>
      <c r="AH2865">
        <v>4</v>
      </c>
      <c r="AI2865">
        <v>17</v>
      </c>
      <c r="AJ2865">
        <v>1</v>
      </c>
      <c r="AK2865">
        <v>26</v>
      </c>
      <c r="AL2865">
        <v>52</v>
      </c>
      <c r="AM2865" t="s">
        <v>43</v>
      </c>
      <c r="AN2865" t="str">
        <f>HYPERLINK("https://www.google.com/maps?q=10.79088306,79.31112671","Open Location")</f>
        <v>Open Location</v>
      </c>
    </row>
    <row r="2866" spans="1:40" x14ac:dyDescent="0.3">
      <c r="A2866" s="1">
        <v>46210.667939814812</v>
      </c>
      <c r="B2866" t="s">
        <v>40</v>
      </c>
      <c r="C2866" t="s">
        <v>41</v>
      </c>
      <c r="D2866" s="1">
        <v>46210.670752314814</v>
      </c>
      <c r="E2866" t="s">
        <v>42</v>
      </c>
      <c r="F2866" t="s">
        <v>83</v>
      </c>
      <c r="G2866">
        <v>42</v>
      </c>
      <c r="H2866">
        <v>33152</v>
      </c>
      <c r="I2866" t="s">
        <v>1580</v>
      </c>
      <c r="J2866">
        <v>71</v>
      </c>
      <c r="K2866">
        <v>101</v>
      </c>
      <c r="L2866">
        <v>98</v>
      </c>
      <c r="M2866">
        <v>628.79998779000005</v>
      </c>
      <c r="N2866" t="s">
        <v>87</v>
      </c>
      <c r="O2866" t="s">
        <v>86</v>
      </c>
      <c r="P2866">
        <v>131</v>
      </c>
      <c r="Q2866">
        <v>6</v>
      </c>
      <c r="R2866">
        <v>61</v>
      </c>
      <c r="S2866">
        <v>1194</v>
      </c>
      <c r="T2866">
        <v>-40</v>
      </c>
      <c r="U2866">
        <v>53</v>
      </c>
      <c r="V2866">
        <v>460</v>
      </c>
      <c r="W2866">
        <v>32</v>
      </c>
      <c r="X2866">
        <v>32</v>
      </c>
      <c r="Y2866">
        <v>1</v>
      </c>
      <c r="Z2866">
        <v>8</v>
      </c>
      <c r="AA2866">
        <v>28</v>
      </c>
      <c r="AB2866">
        <v>1</v>
      </c>
      <c r="AC2866">
        <v>3</v>
      </c>
      <c r="AD2866">
        <v>3.2839999199999999</v>
      </c>
      <c r="AE2866">
        <v>1</v>
      </c>
      <c r="AF2866">
        <v>38</v>
      </c>
      <c r="AG2866">
        <v>3.27099991</v>
      </c>
      <c r="AH2866">
        <v>4</v>
      </c>
      <c r="AI2866">
        <v>17</v>
      </c>
      <c r="AJ2866">
        <v>1</v>
      </c>
      <c r="AK2866">
        <v>26</v>
      </c>
      <c r="AL2866">
        <v>52</v>
      </c>
      <c r="AM2866" t="s">
        <v>43</v>
      </c>
      <c r="AN2866" t="str">
        <f>HYPERLINK("https://www.google.com/maps?q=10.789958,79.31194305","Open Location")</f>
        <v>Open Location</v>
      </c>
    </row>
    <row r="2867" spans="1:40" x14ac:dyDescent="0.3">
      <c r="A2867" s="1">
        <v>46210.667824074073</v>
      </c>
      <c r="B2867" t="s">
        <v>40</v>
      </c>
      <c r="C2867" t="s">
        <v>41</v>
      </c>
      <c r="D2867" s="1">
        <v>46210.670659722222</v>
      </c>
      <c r="E2867" t="s">
        <v>42</v>
      </c>
      <c r="F2867" t="s">
        <v>83</v>
      </c>
      <c r="G2867">
        <v>43</v>
      </c>
      <c r="H2867">
        <v>33152</v>
      </c>
      <c r="I2867" t="s">
        <v>1581</v>
      </c>
      <c r="J2867">
        <v>71</v>
      </c>
      <c r="K2867">
        <v>111</v>
      </c>
      <c r="L2867">
        <v>98</v>
      </c>
      <c r="M2867">
        <v>627.90002441000001</v>
      </c>
      <c r="N2867" t="s">
        <v>87</v>
      </c>
      <c r="O2867" t="s">
        <v>86</v>
      </c>
      <c r="P2867">
        <v>131</v>
      </c>
      <c r="Q2867">
        <v>6</v>
      </c>
      <c r="R2867">
        <v>68</v>
      </c>
      <c r="S2867">
        <v>1215</v>
      </c>
      <c r="T2867">
        <v>-40</v>
      </c>
      <c r="U2867">
        <v>52</v>
      </c>
      <c r="V2867">
        <v>500</v>
      </c>
      <c r="W2867">
        <v>32</v>
      </c>
      <c r="X2867">
        <v>32</v>
      </c>
      <c r="Y2867">
        <v>1</v>
      </c>
      <c r="Z2867">
        <v>8</v>
      </c>
      <c r="AA2867">
        <v>28</v>
      </c>
      <c r="AB2867">
        <v>1</v>
      </c>
      <c r="AC2867">
        <v>3</v>
      </c>
      <c r="AD2867">
        <v>3.28500009</v>
      </c>
      <c r="AE2867">
        <v>1</v>
      </c>
      <c r="AF2867">
        <v>42</v>
      </c>
      <c r="AG2867">
        <v>3.27099991</v>
      </c>
      <c r="AH2867">
        <v>4</v>
      </c>
      <c r="AI2867">
        <v>17</v>
      </c>
      <c r="AJ2867">
        <v>1</v>
      </c>
      <c r="AK2867">
        <v>26</v>
      </c>
      <c r="AL2867">
        <v>52</v>
      </c>
      <c r="AM2867" t="s">
        <v>43</v>
      </c>
      <c r="AN2867" t="str">
        <f>HYPERLINK("https://www.google.com/maps?q=10.78907585,79.31291962","Open Location")</f>
        <v>Open Location</v>
      </c>
    </row>
    <row r="2868" spans="1:40" x14ac:dyDescent="0.3">
      <c r="A2868" s="1">
        <v>46210.667708333334</v>
      </c>
      <c r="B2868" t="s">
        <v>40</v>
      </c>
      <c r="C2868" t="s">
        <v>41</v>
      </c>
      <c r="D2868" s="1">
        <v>46210.670659722222</v>
      </c>
      <c r="E2868" t="s">
        <v>42</v>
      </c>
      <c r="F2868" t="s">
        <v>83</v>
      </c>
      <c r="G2868">
        <v>44</v>
      </c>
      <c r="H2868" t="s">
        <v>43</v>
      </c>
      <c r="I2868" t="s">
        <v>1582</v>
      </c>
      <c r="J2868">
        <v>71</v>
      </c>
      <c r="K2868">
        <v>81</v>
      </c>
      <c r="L2868">
        <v>98</v>
      </c>
      <c r="M2868">
        <v>629.20001220999995</v>
      </c>
      <c r="N2868" t="s">
        <v>87</v>
      </c>
      <c r="O2868" t="s">
        <v>86</v>
      </c>
      <c r="P2868">
        <v>131</v>
      </c>
      <c r="Q2868">
        <v>6</v>
      </c>
      <c r="R2868">
        <v>61</v>
      </c>
      <c r="S2868">
        <v>1239</v>
      </c>
      <c r="T2868">
        <v>-40</v>
      </c>
      <c r="U2868">
        <v>52</v>
      </c>
      <c r="V2868">
        <v>360</v>
      </c>
      <c r="W2868">
        <v>32</v>
      </c>
      <c r="X2868">
        <v>32</v>
      </c>
      <c r="Y2868">
        <v>1</v>
      </c>
      <c r="Z2868">
        <v>8</v>
      </c>
      <c r="AA2868">
        <v>28</v>
      </c>
      <c r="AB2868">
        <v>1</v>
      </c>
      <c r="AC2868">
        <v>3</v>
      </c>
      <c r="AD2868">
        <v>3.2899999599999998</v>
      </c>
      <c r="AE2868">
        <v>1</v>
      </c>
      <c r="AF2868">
        <v>42</v>
      </c>
      <c r="AG2868">
        <v>3.27699995</v>
      </c>
      <c r="AH2868">
        <v>4</v>
      </c>
      <c r="AI2868">
        <v>17</v>
      </c>
      <c r="AJ2868">
        <v>1</v>
      </c>
      <c r="AK2868">
        <v>26</v>
      </c>
      <c r="AL2868">
        <v>52</v>
      </c>
      <c r="AM2868" t="s">
        <v>43</v>
      </c>
      <c r="AN2868" t="str">
        <f>HYPERLINK("https://www.google.com/maps?q=10.78858185,79.31417084","Open Location")</f>
        <v>Open Location</v>
      </c>
    </row>
    <row r="2869" spans="1:40" x14ac:dyDescent="0.3">
      <c r="A2869" s="1">
        <v>46210.667592592596</v>
      </c>
      <c r="B2869" t="s">
        <v>40</v>
      </c>
      <c r="C2869" t="s">
        <v>41</v>
      </c>
      <c r="D2869" s="1">
        <v>46210.670451388891</v>
      </c>
      <c r="E2869" t="s">
        <v>42</v>
      </c>
      <c r="F2869" t="s">
        <v>83</v>
      </c>
      <c r="G2869">
        <v>45</v>
      </c>
      <c r="H2869">
        <v>33152</v>
      </c>
      <c r="I2869" t="s">
        <v>1583</v>
      </c>
      <c r="J2869">
        <v>71</v>
      </c>
      <c r="K2869">
        <v>95</v>
      </c>
      <c r="L2869">
        <v>98</v>
      </c>
      <c r="M2869">
        <v>629</v>
      </c>
      <c r="N2869" t="s">
        <v>87</v>
      </c>
      <c r="O2869" t="s">
        <v>86</v>
      </c>
      <c r="P2869">
        <v>131</v>
      </c>
      <c r="Q2869">
        <v>6</v>
      </c>
      <c r="R2869">
        <v>42</v>
      </c>
      <c r="S2869">
        <v>1277</v>
      </c>
      <c r="T2869">
        <v>-40</v>
      </c>
      <c r="U2869">
        <v>52</v>
      </c>
      <c r="V2869">
        <v>420</v>
      </c>
      <c r="W2869">
        <v>32</v>
      </c>
      <c r="X2869">
        <v>32</v>
      </c>
      <c r="Y2869">
        <v>1</v>
      </c>
      <c r="Z2869">
        <v>8</v>
      </c>
      <c r="AA2869">
        <v>28</v>
      </c>
      <c r="AB2869">
        <v>2</v>
      </c>
      <c r="AC2869">
        <v>1</v>
      </c>
      <c r="AD2869">
        <v>3.28800011</v>
      </c>
      <c r="AE2869">
        <v>1</v>
      </c>
      <c r="AF2869">
        <v>42</v>
      </c>
      <c r="AG2869">
        <v>3.2750001000000002</v>
      </c>
      <c r="AH2869">
        <v>4</v>
      </c>
      <c r="AI2869">
        <v>17</v>
      </c>
      <c r="AJ2869">
        <v>1</v>
      </c>
      <c r="AK2869">
        <v>26</v>
      </c>
      <c r="AL2869">
        <v>52</v>
      </c>
      <c r="AM2869" t="s">
        <v>43</v>
      </c>
      <c r="AN2869" t="str">
        <f>HYPERLINK("https://www.google.com/maps?q=10.78846359,79.3155365","Open Location")</f>
        <v>Open Location</v>
      </c>
    </row>
    <row r="2870" spans="1:40" x14ac:dyDescent="0.3">
      <c r="A2870" s="1">
        <v>46210.66747685185</v>
      </c>
      <c r="B2870" t="s">
        <v>40</v>
      </c>
      <c r="C2870" t="s">
        <v>41</v>
      </c>
      <c r="D2870" s="1">
        <v>46210.670324074075</v>
      </c>
      <c r="E2870" t="s">
        <v>42</v>
      </c>
      <c r="F2870" t="s">
        <v>83</v>
      </c>
      <c r="G2870">
        <v>46</v>
      </c>
      <c r="H2870">
        <v>33152</v>
      </c>
      <c r="I2870" t="s">
        <v>43</v>
      </c>
      <c r="J2870">
        <v>71</v>
      </c>
      <c r="K2870">
        <v>107</v>
      </c>
      <c r="L2870">
        <v>98</v>
      </c>
      <c r="M2870">
        <v>628.5</v>
      </c>
      <c r="N2870" t="s">
        <v>87</v>
      </c>
      <c r="O2870" t="s">
        <v>86</v>
      </c>
      <c r="P2870">
        <v>131</v>
      </c>
      <c r="Q2870">
        <v>6</v>
      </c>
      <c r="R2870">
        <v>56</v>
      </c>
      <c r="S2870">
        <v>1278</v>
      </c>
      <c r="T2870">
        <v>-40</v>
      </c>
      <c r="U2870">
        <v>53</v>
      </c>
      <c r="V2870">
        <v>460</v>
      </c>
      <c r="W2870">
        <v>32</v>
      </c>
      <c r="X2870">
        <v>32</v>
      </c>
      <c r="Y2870">
        <v>1</v>
      </c>
      <c r="Z2870">
        <v>8</v>
      </c>
      <c r="AA2870">
        <v>28</v>
      </c>
      <c r="AB2870">
        <v>2</v>
      </c>
      <c r="AC2870">
        <v>1</v>
      </c>
      <c r="AD2870">
        <v>3.28299999</v>
      </c>
      <c r="AE2870">
        <v>1</v>
      </c>
      <c r="AF2870">
        <v>42</v>
      </c>
      <c r="AG2870">
        <v>3.2690000499999998</v>
      </c>
      <c r="AH2870">
        <v>4</v>
      </c>
      <c r="AI2870">
        <v>17</v>
      </c>
      <c r="AJ2870">
        <v>1</v>
      </c>
      <c r="AK2870">
        <v>26</v>
      </c>
      <c r="AL2870">
        <v>52</v>
      </c>
      <c r="AM2870" t="s">
        <v>43</v>
      </c>
      <c r="AN2870" t="s">
        <v>43</v>
      </c>
    </row>
    <row r="2871" spans="1:40" x14ac:dyDescent="0.3">
      <c r="A2871" s="1">
        <v>46210.667361111111</v>
      </c>
      <c r="B2871" t="s">
        <v>40</v>
      </c>
      <c r="C2871" t="s">
        <v>41</v>
      </c>
      <c r="D2871" s="1">
        <v>46210.670081018521</v>
      </c>
      <c r="E2871" t="s">
        <v>42</v>
      </c>
      <c r="F2871" t="s">
        <v>83</v>
      </c>
      <c r="G2871">
        <v>46</v>
      </c>
      <c r="H2871">
        <v>33151</v>
      </c>
      <c r="I2871" t="s">
        <v>1584</v>
      </c>
      <c r="J2871">
        <v>71</v>
      </c>
      <c r="K2871">
        <v>146</v>
      </c>
      <c r="L2871">
        <v>98</v>
      </c>
      <c r="M2871">
        <v>626.70001220999995</v>
      </c>
      <c r="N2871" t="s">
        <v>87</v>
      </c>
      <c r="O2871" t="s">
        <v>86</v>
      </c>
      <c r="P2871">
        <v>131</v>
      </c>
      <c r="Q2871">
        <v>6</v>
      </c>
      <c r="R2871">
        <v>84</v>
      </c>
      <c r="S2871">
        <v>1252</v>
      </c>
      <c r="T2871">
        <v>-40</v>
      </c>
      <c r="U2871">
        <v>54</v>
      </c>
      <c r="V2871">
        <v>660</v>
      </c>
      <c r="W2871">
        <v>32</v>
      </c>
      <c r="X2871">
        <v>32</v>
      </c>
      <c r="Y2871">
        <v>1</v>
      </c>
      <c r="Z2871">
        <v>8</v>
      </c>
      <c r="AA2871">
        <v>28</v>
      </c>
      <c r="AB2871">
        <v>2</v>
      </c>
      <c r="AC2871">
        <v>1</v>
      </c>
      <c r="AD2871">
        <v>3.27699995</v>
      </c>
      <c r="AE2871">
        <v>1</v>
      </c>
      <c r="AF2871">
        <v>42</v>
      </c>
      <c r="AG2871">
        <v>3.26200008</v>
      </c>
      <c r="AH2871">
        <v>4</v>
      </c>
      <c r="AI2871">
        <v>17</v>
      </c>
      <c r="AJ2871">
        <v>1</v>
      </c>
      <c r="AK2871">
        <v>26</v>
      </c>
      <c r="AL2871">
        <v>52</v>
      </c>
      <c r="AM2871" t="s">
        <v>43</v>
      </c>
      <c r="AN2871" t="str">
        <f>HYPERLINK("https://www.google.com/maps?q=10.78838062,79.31695557","Open Location")</f>
        <v>Open Location</v>
      </c>
    </row>
    <row r="2872" spans="1:40" x14ac:dyDescent="0.3">
      <c r="A2872" s="1">
        <v>46210.667245370372</v>
      </c>
      <c r="B2872" t="s">
        <v>40</v>
      </c>
      <c r="C2872" t="s">
        <v>41</v>
      </c>
      <c r="D2872" s="1">
        <v>46210.669988425929</v>
      </c>
      <c r="E2872" t="s">
        <v>42</v>
      </c>
      <c r="F2872" t="s">
        <v>83</v>
      </c>
      <c r="G2872">
        <v>44</v>
      </c>
      <c r="H2872">
        <v>33151</v>
      </c>
      <c r="I2872" t="s">
        <v>1585</v>
      </c>
      <c r="J2872">
        <v>71</v>
      </c>
      <c r="K2872">
        <v>121</v>
      </c>
      <c r="L2872">
        <v>98</v>
      </c>
      <c r="M2872">
        <v>627.79998779000005</v>
      </c>
      <c r="N2872" t="s">
        <v>87</v>
      </c>
      <c r="O2872" t="s">
        <v>86</v>
      </c>
      <c r="P2872">
        <v>131</v>
      </c>
      <c r="Q2872">
        <v>6</v>
      </c>
      <c r="R2872">
        <v>84</v>
      </c>
      <c r="S2872">
        <v>1184</v>
      </c>
      <c r="T2872">
        <v>-40</v>
      </c>
      <c r="U2872">
        <v>54</v>
      </c>
      <c r="V2872">
        <v>560</v>
      </c>
      <c r="W2872">
        <v>32</v>
      </c>
      <c r="X2872">
        <v>32</v>
      </c>
      <c r="Y2872">
        <v>1</v>
      </c>
      <c r="Z2872">
        <v>8</v>
      </c>
      <c r="AA2872">
        <v>28</v>
      </c>
      <c r="AB2872">
        <v>2</v>
      </c>
      <c r="AC2872">
        <v>1</v>
      </c>
      <c r="AD2872">
        <v>3.2809998999999999</v>
      </c>
      <c r="AE2872">
        <v>1</v>
      </c>
      <c r="AF2872">
        <v>42</v>
      </c>
      <c r="AG2872">
        <v>3.2660000299999998</v>
      </c>
      <c r="AH2872">
        <v>4</v>
      </c>
      <c r="AI2872">
        <v>17</v>
      </c>
      <c r="AJ2872">
        <v>1</v>
      </c>
      <c r="AK2872">
        <v>26</v>
      </c>
      <c r="AL2872">
        <v>52</v>
      </c>
      <c r="AM2872" t="s">
        <v>43</v>
      </c>
      <c r="AN2872" t="str">
        <f>HYPERLINK("https://www.google.com/maps?q=10.78827095,79.3184433","Open Location")</f>
        <v>Open Location</v>
      </c>
    </row>
    <row r="2873" spans="1:40" x14ac:dyDescent="0.3">
      <c r="A2873" s="1">
        <v>46210.667129629626</v>
      </c>
      <c r="B2873" t="s">
        <v>40</v>
      </c>
      <c r="C2873" t="s">
        <v>41</v>
      </c>
      <c r="D2873" s="1">
        <v>46210.670324074075</v>
      </c>
      <c r="E2873" t="s">
        <v>42</v>
      </c>
      <c r="F2873" t="s">
        <v>83</v>
      </c>
      <c r="G2873">
        <v>42</v>
      </c>
      <c r="H2873">
        <v>33151</v>
      </c>
      <c r="I2873" t="s">
        <v>1586</v>
      </c>
      <c r="J2873">
        <v>72</v>
      </c>
      <c r="K2873">
        <v>129</v>
      </c>
      <c r="L2873">
        <v>98</v>
      </c>
      <c r="M2873">
        <v>627.40002441000001</v>
      </c>
      <c r="N2873" t="s">
        <v>87</v>
      </c>
      <c r="O2873" t="s">
        <v>86</v>
      </c>
      <c r="P2873">
        <v>131</v>
      </c>
      <c r="Q2873">
        <v>6</v>
      </c>
      <c r="R2873">
        <v>73</v>
      </c>
      <c r="S2873">
        <v>1145</v>
      </c>
      <c r="T2873">
        <v>-40</v>
      </c>
      <c r="U2873">
        <v>54</v>
      </c>
      <c r="V2873">
        <v>620</v>
      </c>
      <c r="W2873">
        <v>32</v>
      </c>
      <c r="X2873">
        <v>32</v>
      </c>
      <c r="Y2873">
        <v>1</v>
      </c>
      <c r="Z2873">
        <v>8</v>
      </c>
      <c r="AA2873">
        <v>28</v>
      </c>
      <c r="AB2873">
        <v>2</v>
      </c>
      <c r="AC2873">
        <v>1</v>
      </c>
      <c r="AD2873">
        <v>3.2809998999999999</v>
      </c>
      <c r="AE2873">
        <v>1</v>
      </c>
      <c r="AF2873">
        <v>42</v>
      </c>
      <c r="AG2873">
        <v>3.2660000299999998</v>
      </c>
      <c r="AH2873">
        <v>4</v>
      </c>
      <c r="AI2873">
        <v>17</v>
      </c>
      <c r="AJ2873">
        <v>1</v>
      </c>
      <c r="AK2873">
        <v>26</v>
      </c>
      <c r="AL2873">
        <v>52</v>
      </c>
      <c r="AM2873" t="s">
        <v>43</v>
      </c>
      <c r="AN2873" t="str">
        <f>HYPERLINK("https://www.google.com/maps?q=10.78833675,79.31972504","Open Location")</f>
        <v>Open Location</v>
      </c>
    </row>
    <row r="2874" spans="1:40" x14ac:dyDescent="0.3">
      <c r="A2874" s="1">
        <v>46210.667013888888</v>
      </c>
      <c r="B2874" t="s">
        <v>40</v>
      </c>
      <c r="C2874" t="s">
        <v>41</v>
      </c>
      <c r="D2874" s="1">
        <v>46210.669756944444</v>
      </c>
      <c r="E2874" t="s">
        <v>42</v>
      </c>
      <c r="F2874" t="s">
        <v>83</v>
      </c>
      <c r="G2874">
        <v>40</v>
      </c>
      <c r="H2874">
        <v>33151</v>
      </c>
      <c r="I2874" t="s">
        <v>1587</v>
      </c>
      <c r="J2874">
        <v>72</v>
      </c>
      <c r="K2874">
        <v>135</v>
      </c>
      <c r="L2874">
        <v>98</v>
      </c>
      <c r="M2874">
        <v>627.79998779000005</v>
      </c>
      <c r="N2874" t="s">
        <v>87</v>
      </c>
      <c r="O2874" t="s">
        <v>86</v>
      </c>
      <c r="P2874">
        <v>131</v>
      </c>
      <c r="Q2874">
        <v>6</v>
      </c>
      <c r="R2874">
        <v>86</v>
      </c>
      <c r="S2874">
        <v>1103</v>
      </c>
      <c r="T2874">
        <v>-40</v>
      </c>
      <c r="U2874">
        <v>55</v>
      </c>
      <c r="V2874">
        <v>680</v>
      </c>
      <c r="W2874">
        <v>32</v>
      </c>
      <c r="X2874">
        <v>32</v>
      </c>
      <c r="Y2874">
        <v>1</v>
      </c>
      <c r="Z2874">
        <v>8</v>
      </c>
      <c r="AA2874">
        <v>28</v>
      </c>
      <c r="AB2874">
        <v>2</v>
      </c>
      <c r="AC2874">
        <v>1</v>
      </c>
      <c r="AD2874">
        <v>3.27699995</v>
      </c>
      <c r="AE2874">
        <v>1</v>
      </c>
      <c r="AF2874">
        <v>38</v>
      </c>
      <c r="AG2874">
        <v>3.26200008</v>
      </c>
      <c r="AH2874">
        <v>4</v>
      </c>
      <c r="AI2874">
        <v>17</v>
      </c>
      <c r="AJ2874">
        <v>1</v>
      </c>
      <c r="AK2874">
        <v>26</v>
      </c>
      <c r="AL2874">
        <v>52</v>
      </c>
      <c r="AM2874" t="s">
        <v>43</v>
      </c>
      <c r="AN2874" t="str">
        <f>HYPERLINK("https://www.google.com/maps?q=10.78867245,79.32091522","Open Location")</f>
        <v>Open Location</v>
      </c>
    </row>
    <row r="2875" spans="1:40" x14ac:dyDescent="0.3">
      <c r="A2875" s="1">
        <v>46210.666898148149</v>
      </c>
      <c r="B2875" t="s">
        <v>40</v>
      </c>
      <c r="C2875" t="s">
        <v>41</v>
      </c>
      <c r="D2875" s="1">
        <v>46210.669872685183</v>
      </c>
      <c r="E2875" t="s">
        <v>42</v>
      </c>
      <c r="F2875" t="s">
        <v>83</v>
      </c>
      <c r="G2875">
        <v>40</v>
      </c>
      <c r="H2875">
        <v>33151</v>
      </c>
      <c r="I2875" t="s">
        <v>43</v>
      </c>
      <c r="J2875">
        <v>72</v>
      </c>
      <c r="K2875">
        <v>113</v>
      </c>
      <c r="L2875">
        <v>98</v>
      </c>
      <c r="M2875">
        <v>627.59997558999999</v>
      </c>
      <c r="N2875" t="s">
        <v>87</v>
      </c>
      <c r="O2875" t="s">
        <v>86</v>
      </c>
      <c r="P2875">
        <v>131</v>
      </c>
      <c r="Q2875">
        <v>6</v>
      </c>
      <c r="R2875">
        <v>88</v>
      </c>
      <c r="S2875">
        <v>1095</v>
      </c>
      <c r="T2875">
        <v>-40</v>
      </c>
      <c r="U2875">
        <v>55</v>
      </c>
      <c r="V2875">
        <v>560</v>
      </c>
      <c r="W2875">
        <v>32</v>
      </c>
      <c r="X2875">
        <v>32</v>
      </c>
      <c r="Y2875">
        <v>1</v>
      </c>
      <c r="Z2875">
        <v>8</v>
      </c>
      <c r="AA2875">
        <v>28</v>
      </c>
      <c r="AB2875">
        <v>2</v>
      </c>
      <c r="AC2875">
        <v>1</v>
      </c>
      <c r="AD2875">
        <v>3.2820000600000001</v>
      </c>
      <c r="AE2875">
        <v>1</v>
      </c>
      <c r="AF2875">
        <v>38</v>
      </c>
      <c r="AG2875">
        <v>3.26799989</v>
      </c>
      <c r="AH2875">
        <v>4</v>
      </c>
      <c r="AI2875">
        <v>17</v>
      </c>
      <c r="AJ2875">
        <v>1</v>
      </c>
      <c r="AK2875">
        <v>26</v>
      </c>
      <c r="AL2875">
        <v>52</v>
      </c>
      <c r="AM2875" t="s">
        <v>43</v>
      </c>
      <c r="AN2875" t="s">
        <v>43</v>
      </c>
    </row>
    <row r="2876" spans="1:40" x14ac:dyDescent="0.3">
      <c r="A2876" s="1">
        <v>46210.66678240741</v>
      </c>
      <c r="B2876" t="s">
        <v>40</v>
      </c>
      <c r="C2876" t="s">
        <v>41</v>
      </c>
      <c r="D2876" s="1">
        <v>46210.669814814813</v>
      </c>
      <c r="E2876" t="s">
        <v>42</v>
      </c>
      <c r="F2876" t="s">
        <v>83</v>
      </c>
      <c r="G2876">
        <v>40</v>
      </c>
      <c r="H2876">
        <v>33151</v>
      </c>
      <c r="I2876" t="s">
        <v>1588</v>
      </c>
      <c r="J2876">
        <v>72</v>
      </c>
      <c r="K2876">
        <v>122</v>
      </c>
      <c r="L2876">
        <v>98</v>
      </c>
      <c r="M2876">
        <v>628.5</v>
      </c>
      <c r="N2876" t="s">
        <v>87</v>
      </c>
      <c r="O2876" t="s">
        <v>86</v>
      </c>
      <c r="P2876">
        <v>131</v>
      </c>
      <c r="Q2876">
        <v>6</v>
      </c>
      <c r="R2876">
        <v>83</v>
      </c>
      <c r="S2876">
        <v>1113</v>
      </c>
      <c r="T2876">
        <v>-40</v>
      </c>
      <c r="U2876">
        <v>54</v>
      </c>
      <c r="V2876">
        <v>627</v>
      </c>
      <c r="W2876">
        <v>32</v>
      </c>
      <c r="X2876">
        <v>32</v>
      </c>
      <c r="Y2876">
        <v>1</v>
      </c>
      <c r="Z2876">
        <v>8</v>
      </c>
      <c r="AA2876">
        <v>28</v>
      </c>
      <c r="AB2876">
        <v>2</v>
      </c>
      <c r="AC2876">
        <v>1</v>
      </c>
      <c r="AD2876">
        <v>3.2820000600000001</v>
      </c>
      <c r="AE2876">
        <v>1</v>
      </c>
      <c r="AF2876">
        <v>38</v>
      </c>
      <c r="AG2876">
        <v>3.26799989</v>
      </c>
      <c r="AH2876">
        <v>4</v>
      </c>
      <c r="AI2876">
        <v>17</v>
      </c>
      <c r="AJ2876">
        <v>1</v>
      </c>
      <c r="AK2876">
        <v>26</v>
      </c>
      <c r="AL2876">
        <v>52</v>
      </c>
      <c r="AM2876" t="s">
        <v>43</v>
      </c>
      <c r="AN2876" t="str">
        <f>HYPERLINK("https://www.google.com/maps?q=10.78921604,79.32199097","Open Location")</f>
        <v>Open Location</v>
      </c>
    </row>
    <row r="2877" spans="1:40" x14ac:dyDescent="0.3">
      <c r="A2877" s="1">
        <v>46210.666666666664</v>
      </c>
      <c r="B2877" t="s">
        <v>40</v>
      </c>
      <c r="C2877" t="s">
        <v>41</v>
      </c>
      <c r="D2877" s="1">
        <v>46210.669652777775</v>
      </c>
      <c r="E2877" t="s">
        <v>42</v>
      </c>
      <c r="F2877" t="s">
        <v>83</v>
      </c>
      <c r="G2877">
        <v>41</v>
      </c>
      <c r="H2877">
        <v>33151</v>
      </c>
      <c r="I2877" t="s">
        <v>1589</v>
      </c>
      <c r="J2877" t="s">
        <v>43</v>
      </c>
      <c r="K2877" t="s">
        <v>43</v>
      </c>
      <c r="L2877" t="s">
        <v>43</v>
      </c>
      <c r="M2877" t="s">
        <v>43</v>
      </c>
      <c r="N2877" t="s">
        <v>87</v>
      </c>
      <c r="O2877" t="s">
        <v>86</v>
      </c>
      <c r="P2877">
        <v>131</v>
      </c>
      <c r="Q2877">
        <v>6</v>
      </c>
      <c r="R2877">
        <v>52</v>
      </c>
      <c r="S2877">
        <v>1150</v>
      </c>
      <c r="T2877">
        <v>-40</v>
      </c>
      <c r="U2877">
        <v>54</v>
      </c>
      <c r="V2877">
        <v>600</v>
      </c>
      <c r="W2877">
        <v>32</v>
      </c>
      <c r="X2877">
        <v>32</v>
      </c>
      <c r="Y2877">
        <v>1</v>
      </c>
      <c r="Z2877">
        <v>8</v>
      </c>
      <c r="AA2877">
        <v>28</v>
      </c>
      <c r="AB2877">
        <v>2</v>
      </c>
      <c r="AC2877">
        <v>1</v>
      </c>
      <c r="AD2877">
        <v>3.2820000600000001</v>
      </c>
      <c r="AE2877">
        <v>1</v>
      </c>
      <c r="AF2877">
        <v>42</v>
      </c>
      <c r="AG2877">
        <v>3.2669999600000001</v>
      </c>
      <c r="AH2877">
        <v>4</v>
      </c>
      <c r="AI2877">
        <v>17</v>
      </c>
      <c r="AJ2877">
        <v>1</v>
      </c>
      <c r="AK2877">
        <v>26</v>
      </c>
      <c r="AL2877">
        <v>52</v>
      </c>
      <c r="AM2877" t="s">
        <v>43</v>
      </c>
      <c r="AN2877" t="str">
        <f>HYPERLINK("https://www.google.com/maps?q=10.78996944,79.32296753","Open Location")</f>
        <v>Open Location</v>
      </c>
    </row>
    <row r="2878" spans="1:40" x14ac:dyDescent="0.3">
      <c r="A2878" s="1">
        <v>46210.666550925926</v>
      </c>
      <c r="B2878" t="s">
        <v>40</v>
      </c>
      <c r="C2878" t="s">
        <v>41</v>
      </c>
      <c r="D2878" s="1">
        <v>46210.669236111113</v>
      </c>
      <c r="E2878" t="s">
        <v>42</v>
      </c>
      <c r="F2878" t="s">
        <v>83</v>
      </c>
      <c r="G2878">
        <v>41</v>
      </c>
      <c r="H2878">
        <v>33151</v>
      </c>
      <c r="I2878" t="s">
        <v>1590</v>
      </c>
      <c r="J2878">
        <v>72</v>
      </c>
      <c r="K2878">
        <v>134</v>
      </c>
      <c r="L2878">
        <v>98</v>
      </c>
      <c r="M2878">
        <v>628.70001220999995</v>
      </c>
      <c r="N2878" t="s">
        <v>87</v>
      </c>
      <c r="O2878" t="s">
        <v>86</v>
      </c>
      <c r="P2878">
        <v>131</v>
      </c>
      <c r="Q2878">
        <v>6</v>
      </c>
      <c r="R2878">
        <v>72</v>
      </c>
      <c r="S2878">
        <v>1157</v>
      </c>
      <c r="T2878">
        <v>-40</v>
      </c>
      <c r="U2878">
        <v>53</v>
      </c>
      <c r="V2878">
        <v>640</v>
      </c>
      <c r="W2878">
        <v>32</v>
      </c>
      <c r="X2878">
        <v>32</v>
      </c>
      <c r="Y2878">
        <v>1</v>
      </c>
      <c r="Z2878">
        <v>8</v>
      </c>
      <c r="AA2878">
        <v>28</v>
      </c>
      <c r="AB2878">
        <v>2</v>
      </c>
      <c r="AC2878">
        <v>1</v>
      </c>
      <c r="AD2878">
        <v>3.27999997</v>
      </c>
      <c r="AE2878">
        <v>1</v>
      </c>
      <c r="AF2878">
        <v>44</v>
      </c>
      <c r="AG2878">
        <v>3.2650001</v>
      </c>
      <c r="AH2878">
        <v>4</v>
      </c>
      <c r="AI2878">
        <v>17</v>
      </c>
      <c r="AJ2878">
        <v>1</v>
      </c>
      <c r="AK2878">
        <v>26</v>
      </c>
      <c r="AL2878">
        <v>52</v>
      </c>
      <c r="AM2878" t="s">
        <v>43</v>
      </c>
      <c r="AN2878" t="str">
        <f>HYPERLINK("https://www.google.com/maps?q=10.79079056,79.32392883","Open Location")</f>
        <v>Open Location</v>
      </c>
    </row>
    <row r="2879" spans="1:40" x14ac:dyDescent="0.3">
      <c r="A2879" s="1">
        <v>46210.666435185187</v>
      </c>
      <c r="B2879" t="s">
        <v>40</v>
      </c>
      <c r="C2879" t="s">
        <v>41</v>
      </c>
      <c r="D2879" s="1">
        <v>46210.669444444444</v>
      </c>
      <c r="E2879" t="s">
        <v>42</v>
      </c>
      <c r="F2879" t="s">
        <v>83</v>
      </c>
      <c r="G2879">
        <v>42</v>
      </c>
      <c r="H2879" t="s">
        <v>43</v>
      </c>
      <c r="I2879" t="s">
        <v>1591</v>
      </c>
      <c r="J2879">
        <v>72</v>
      </c>
      <c r="K2879">
        <v>125</v>
      </c>
      <c r="L2879">
        <v>98</v>
      </c>
      <c r="M2879">
        <v>627.59997558999999</v>
      </c>
      <c r="N2879" t="s">
        <v>87</v>
      </c>
      <c r="O2879" t="s">
        <v>86</v>
      </c>
      <c r="P2879">
        <v>131</v>
      </c>
      <c r="Q2879">
        <v>6</v>
      </c>
      <c r="R2879">
        <v>74</v>
      </c>
      <c r="S2879">
        <v>1152</v>
      </c>
      <c r="T2879">
        <v>-40</v>
      </c>
      <c r="U2879">
        <v>54</v>
      </c>
      <c r="V2879">
        <v>600</v>
      </c>
      <c r="W2879">
        <v>32</v>
      </c>
      <c r="X2879">
        <v>32</v>
      </c>
      <c r="Y2879">
        <v>1</v>
      </c>
      <c r="Z2879">
        <v>8</v>
      </c>
      <c r="AA2879">
        <v>28</v>
      </c>
      <c r="AB2879">
        <v>2</v>
      </c>
      <c r="AC2879">
        <v>1</v>
      </c>
      <c r="AD2879">
        <v>3.2820000600000001</v>
      </c>
      <c r="AE2879">
        <v>1</v>
      </c>
      <c r="AF2879">
        <v>38</v>
      </c>
      <c r="AG2879">
        <v>3.26799989</v>
      </c>
      <c r="AH2879">
        <v>4</v>
      </c>
      <c r="AI2879">
        <v>17</v>
      </c>
      <c r="AJ2879">
        <v>1</v>
      </c>
      <c r="AK2879">
        <v>26</v>
      </c>
      <c r="AL2879">
        <v>52</v>
      </c>
      <c r="AM2879" t="s">
        <v>43</v>
      </c>
      <c r="AN2879" t="str">
        <f>HYPERLINK("https://www.google.com/maps?q=10.79158974,79.32489777","Open Location")</f>
        <v>Open Location</v>
      </c>
    </row>
    <row r="2880" spans="1:40" x14ac:dyDescent="0.3">
      <c r="A2880" s="1">
        <v>46210.666319444441</v>
      </c>
      <c r="B2880" t="s">
        <v>40</v>
      </c>
      <c r="C2880" t="s">
        <v>41</v>
      </c>
      <c r="D2880" s="1">
        <v>46210.669236111113</v>
      </c>
      <c r="E2880" t="s">
        <v>42</v>
      </c>
      <c r="F2880" t="s">
        <v>83</v>
      </c>
      <c r="G2880">
        <v>41</v>
      </c>
      <c r="H2880">
        <v>33150</v>
      </c>
      <c r="I2880" t="s">
        <v>1592</v>
      </c>
      <c r="J2880">
        <v>72</v>
      </c>
      <c r="K2880">
        <v>143</v>
      </c>
      <c r="L2880">
        <v>98</v>
      </c>
      <c r="M2880">
        <v>627.20001220999995</v>
      </c>
      <c r="N2880" t="s">
        <v>87</v>
      </c>
      <c r="O2880" t="s">
        <v>86</v>
      </c>
      <c r="P2880">
        <v>131</v>
      </c>
      <c r="Q2880">
        <v>6</v>
      </c>
      <c r="R2880">
        <v>72</v>
      </c>
      <c r="S2880">
        <v>1142</v>
      </c>
      <c r="T2880">
        <v>-40</v>
      </c>
      <c r="U2880">
        <v>54</v>
      </c>
      <c r="V2880">
        <v>680</v>
      </c>
      <c r="W2880">
        <v>32</v>
      </c>
      <c r="X2880">
        <v>32</v>
      </c>
      <c r="Y2880">
        <v>1</v>
      </c>
      <c r="Z2880">
        <v>8</v>
      </c>
      <c r="AA2880">
        <v>28</v>
      </c>
      <c r="AB2880">
        <v>2</v>
      </c>
      <c r="AC2880">
        <v>1</v>
      </c>
      <c r="AD2880">
        <v>3.2820000600000001</v>
      </c>
      <c r="AE2880">
        <v>5</v>
      </c>
      <c r="AF2880">
        <v>38</v>
      </c>
      <c r="AG2880">
        <v>3.2669999600000001</v>
      </c>
      <c r="AH2880">
        <v>4</v>
      </c>
      <c r="AI2880">
        <v>17</v>
      </c>
      <c r="AJ2880">
        <v>1</v>
      </c>
      <c r="AK2880">
        <v>26</v>
      </c>
      <c r="AL2880">
        <v>52</v>
      </c>
      <c r="AM2880" t="s">
        <v>43</v>
      </c>
      <c r="AN2880" t="str">
        <f>HYPERLINK("https://www.google.com/maps?q=10.79225063,79.32609558","Open Location")</f>
        <v>Open Location</v>
      </c>
    </row>
    <row r="2881" spans="1:40" x14ac:dyDescent="0.3">
      <c r="A2881" s="1">
        <v>46210.666203703702</v>
      </c>
      <c r="B2881" t="s">
        <v>40</v>
      </c>
      <c r="C2881" t="s">
        <v>41</v>
      </c>
      <c r="D2881" s="1">
        <v>46210.668981481482</v>
      </c>
      <c r="E2881" t="s">
        <v>42</v>
      </c>
      <c r="F2881" t="s">
        <v>83</v>
      </c>
      <c r="G2881">
        <v>41</v>
      </c>
      <c r="H2881">
        <v>33150</v>
      </c>
      <c r="I2881" t="s">
        <v>43</v>
      </c>
      <c r="J2881">
        <v>72</v>
      </c>
      <c r="K2881">
        <v>104</v>
      </c>
      <c r="L2881">
        <v>98</v>
      </c>
      <c r="M2881">
        <v>628.09997558999999</v>
      </c>
      <c r="N2881" t="s">
        <v>87</v>
      </c>
      <c r="O2881" t="s">
        <v>86</v>
      </c>
      <c r="P2881">
        <v>131</v>
      </c>
      <c r="Q2881">
        <v>6</v>
      </c>
      <c r="R2881">
        <v>71</v>
      </c>
      <c r="S2881">
        <v>1125</v>
      </c>
      <c r="T2881">
        <v>-40</v>
      </c>
      <c r="U2881">
        <v>54</v>
      </c>
      <c r="V2881">
        <v>500</v>
      </c>
      <c r="W2881">
        <v>32</v>
      </c>
      <c r="X2881">
        <v>32</v>
      </c>
      <c r="Y2881">
        <v>1</v>
      </c>
      <c r="Z2881">
        <v>8</v>
      </c>
      <c r="AA2881">
        <v>28</v>
      </c>
      <c r="AB2881">
        <v>2</v>
      </c>
      <c r="AC2881">
        <v>1</v>
      </c>
      <c r="AD2881">
        <v>3.2869999399999998</v>
      </c>
      <c r="AE2881">
        <v>1</v>
      </c>
      <c r="AF2881">
        <v>42</v>
      </c>
      <c r="AG2881">
        <v>3.27399993</v>
      </c>
      <c r="AH2881">
        <v>4</v>
      </c>
      <c r="AI2881">
        <v>17</v>
      </c>
      <c r="AJ2881">
        <v>1</v>
      </c>
      <c r="AK2881">
        <v>26</v>
      </c>
      <c r="AL2881">
        <v>52</v>
      </c>
      <c r="AM2881" t="s">
        <v>43</v>
      </c>
      <c r="AN2881" t="s">
        <v>43</v>
      </c>
    </row>
    <row r="2882" spans="1:40" x14ac:dyDescent="0.3">
      <c r="A2882" s="1">
        <v>46210.666087962964</v>
      </c>
      <c r="B2882" t="s">
        <v>40</v>
      </c>
      <c r="C2882" t="s">
        <v>41</v>
      </c>
      <c r="D2882" s="1">
        <v>46210.668703703705</v>
      </c>
      <c r="E2882" t="s">
        <v>42</v>
      </c>
      <c r="F2882" t="s">
        <v>83</v>
      </c>
      <c r="G2882">
        <v>40</v>
      </c>
      <c r="H2882">
        <v>33150</v>
      </c>
      <c r="I2882" t="s">
        <v>1593</v>
      </c>
      <c r="J2882">
        <v>72</v>
      </c>
      <c r="K2882">
        <v>100</v>
      </c>
      <c r="L2882">
        <v>98</v>
      </c>
      <c r="M2882">
        <v>629.70001220999995</v>
      </c>
      <c r="N2882" t="s">
        <v>87</v>
      </c>
      <c r="O2882" t="s">
        <v>86</v>
      </c>
      <c r="P2882">
        <v>131</v>
      </c>
      <c r="Q2882">
        <v>6</v>
      </c>
      <c r="R2882">
        <v>77</v>
      </c>
      <c r="S2882">
        <v>1110</v>
      </c>
      <c r="T2882">
        <v>-40</v>
      </c>
      <c r="U2882">
        <v>53</v>
      </c>
      <c r="V2882">
        <v>480</v>
      </c>
      <c r="W2882">
        <v>32</v>
      </c>
      <c r="X2882">
        <v>32</v>
      </c>
      <c r="Y2882">
        <v>1</v>
      </c>
      <c r="Z2882">
        <v>8</v>
      </c>
      <c r="AA2882">
        <v>28</v>
      </c>
      <c r="AB2882">
        <v>2</v>
      </c>
      <c r="AC2882">
        <v>1</v>
      </c>
      <c r="AD2882">
        <v>3.28900003</v>
      </c>
      <c r="AE2882">
        <v>1</v>
      </c>
      <c r="AF2882">
        <v>44</v>
      </c>
      <c r="AG2882">
        <v>3.2760000200000001</v>
      </c>
      <c r="AH2882">
        <v>4</v>
      </c>
      <c r="AI2882">
        <v>17</v>
      </c>
      <c r="AJ2882">
        <v>1</v>
      </c>
      <c r="AK2882">
        <v>26</v>
      </c>
      <c r="AL2882">
        <v>52</v>
      </c>
      <c r="AM2882" t="s">
        <v>43</v>
      </c>
      <c r="AN2882" t="str">
        <f>HYPERLINK("https://www.google.com/maps?q=10.79258442,79.3272934","Open Location")</f>
        <v>Open Location</v>
      </c>
    </row>
    <row r="2883" spans="1:40" x14ac:dyDescent="0.3">
      <c r="A2883" s="1">
        <v>46210.665972222225</v>
      </c>
      <c r="B2883" t="s">
        <v>40</v>
      </c>
      <c r="C2883" t="s">
        <v>41</v>
      </c>
      <c r="D2883" s="1">
        <v>46210.668842592589</v>
      </c>
      <c r="E2883" t="s">
        <v>42</v>
      </c>
      <c r="F2883" t="s">
        <v>83</v>
      </c>
      <c r="G2883">
        <v>40</v>
      </c>
      <c r="H2883">
        <v>33150</v>
      </c>
      <c r="I2883" t="s">
        <v>1594</v>
      </c>
      <c r="J2883">
        <v>72</v>
      </c>
      <c r="K2883">
        <v>89</v>
      </c>
      <c r="L2883">
        <v>98</v>
      </c>
      <c r="M2883">
        <v>629.90002441000001</v>
      </c>
      <c r="N2883" t="s">
        <v>87</v>
      </c>
      <c r="O2883" t="s">
        <v>86</v>
      </c>
      <c r="P2883">
        <v>131</v>
      </c>
      <c r="Q2883">
        <v>6</v>
      </c>
      <c r="R2883">
        <v>56</v>
      </c>
      <c r="S2883">
        <v>1137</v>
      </c>
      <c r="T2883">
        <v>-40</v>
      </c>
      <c r="U2883">
        <v>53</v>
      </c>
      <c r="V2883">
        <v>420</v>
      </c>
      <c r="W2883">
        <v>32</v>
      </c>
      <c r="X2883">
        <v>32</v>
      </c>
      <c r="Y2883">
        <v>1</v>
      </c>
      <c r="Z2883">
        <v>8</v>
      </c>
      <c r="AA2883">
        <v>28</v>
      </c>
      <c r="AB2883">
        <v>2</v>
      </c>
      <c r="AC2883">
        <v>3</v>
      </c>
      <c r="AD2883">
        <v>3.2909998900000001</v>
      </c>
      <c r="AE2883">
        <v>1</v>
      </c>
      <c r="AF2883">
        <v>42</v>
      </c>
      <c r="AG2883">
        <v>3.2790000400000001</v>
      </c>
      <c r="AH2883">
        <v>4</v>
      </c>
      <c r="AI2883">
        <v>17</v>
      </c>
      <c r="AJ2883">
        <v>1</v>
      </c>
      <c r="AK2883">
        <v>26</v>
      </c>
      <c r="AL2883">
        <v>52</v>
      </c>
      <c r="AM2883" t="s">
        <v>43</v>
      </c>
      <c r="AN2883" t="str">
        <f>HYPERLINK("https://www.google.com/maps?q=10.79266262,79.32852936","Open Location")</f>
        <v>Open Location</v>
      </c>
    </row>
    <row r="2884" spans="1:40" x14ac:dyDescent="0.3">
      <c r="A2884" s="1">
        <v>46210.665856481479</v>
      </c>
      <c r="B2884" t="s">
        <v>40</v>
      </c>
      <c r="C2884" t="s">
        <v>41</v>
      </c>
      <c r="D2884" s="1">
        <v>46210.668564814812</v>
      </c>
      <c r="E2884" t="s">
        <v>42</v>
      </c>
      <c r="F2884" t="s">
        <v>83</v>
      </c>
      <c r="G2884">
        <v>41</v>
      </c>
      <c r="H2884">
        <v>33150</v>
      </c>
      <c r="I2884" t="s">
        <v>1595</v>
      </c>
      <c r="J2884">
        <v>72</v>
      </c>
      <c r="K2884">
        <v>114</v>
      </c>
      <c r="L2884">
        <v>98</v>
      </c>
      <c r="M2884">
        <v>628.5</v>
      </c>
      <c r="N2884" t="s">
        <v>87</v>
      </c>
      <c r="O2884" t="s">
        <v>86</v>
      </c>
      <c r="P2884">
        <v>131</v>
      </c>
      <c r="Q2884">
        <v>6</v>
      </c>
      <c r="R2884">
        <v>53</v>
      </c>
      <c r="S2884">
        <v>1163</v>
      </c>
      <c r="T2884">
        <v>-40</v>
      </c>
      <c r="U2884">
        <v>53</v>
      </c>
      <c r="V2884">
        <v>540</v>
      </c>
      <c r="W2884">
        <v>32</v>
      </c>
      <c r="X2884">
        <v>32</v>
      </c>
      <c r="Y2884">
        <v>1</v>
      </c>
      <c r="Z2884">
        <v>8</v>
      </c>
      <c r="AA2884">
        <v>28</v>
      </c>
      <c r="AB2884">
        <v>2</v>
      </c>
      <c r="AC2884">
        <v>3</v>
      </c>
      <c r="AD2884">
        <v>3.2869999399999998</v>
      </c>
      <c r="AE2884">
        <v>5</v>
      </c>
      <c r="AF2884">
        <v>38</v>
      </c>
      <c r="AG2884">
        <v>3.2730000000000001</v>
      </c>
      <c r="AH2884">
        <v>4</v>
      </c>
      <c r="AI2884">
        <v>17</v>
      </c>
      <c r="AJ2884">
        <v>1</v>
      </c>
      <c r="AK2884">
        <v>26</v>
      </c>
      <c r="AL2884">
        <v>52</v>
      </c>
      <c r="AM2884" t="s">
        <v>43</v>
      </c>
      <c r="AN2884" t="str">
        <f>HYPERLINK("https://www.google.com/maps?q=10.79250717,79.32978058","Open Location")</f>
        <v>Open Location</v>
      </c>
    </row>
    <row r="2885" spans="1:40" x14ac:dyDescent="0.3">
      <c r="A2885" s="1">
        <v>46210.66574074074</v>
      </c>
      <c r="B2885" t="s">
        <v>40</v>
      </c>
      <c r="C2885" t="s">
        <v>41</v>
      </c>
      <c r="D2885" s="1">
        <v>46210.668738425928</v>
      </c>
      <c r="E2885" t="s">
        <v>42</v>
      </c>
      <c r="F2885" t="s">
        <v>83</v>
      </c>
      <c r="G2885">
        <v>42</v>
      </c>
      <c r="H2885" t="s">
        <v>43</v>
      </c>
      <c r="I2885" t="s">
        <v>1596</v>
      </c>
      <c r="J2885">
        <v>72</v>
      </c>
      <c r="K2885">
        <v>108</v>
      </c>
      <c r="L2885">
        <v>98</v>
      </c>
      <c r="M2885">
        <v>628.40002441000001</v>
      </c>
      <c r="N2885" t="s">
        <v>87</v>
      </c>
      <c r="O2885" t="s">
        <v>86</v>
      </c>
      <c r="P2885">
        <v>131</v>
      </c>
      <c r="Q2885">
        <v>6</v>
      </c>
      <c r="R2885">
        <v>61</v>
      </c>
      <c r="S2885">
        <v>1183</v>
      </c>
      <c r="T2885">
        <v>-40</v>
      </c>
      <c r="U2885">
        <v>53</v>
      </c>
      <c r="V2885">
        <v>500</v>
      </c>
      <c r="W2885">
        <v>32</v>
      </c>
      <c r="X2885">
        <v>32</v>
      </c>
      <c r="Y2885">
        <v>1</v>
      </c>
      <c r="Z2885">
        <v>8</v>
      </c>
      <c r="AA2885">
        <v>28</v>
      </c>
      <c r="AB2885">
        <v>2</v>
      </c>
      <c r="AC2885">
        <v>3</v>
      </c>
      <c r="AD2885">
        <v>3.2869999399999998</v>
      </c>
      <c r="AE2885">
        <v>1</v>
      </c>
      <c r="AF2885">
        <v>42</v>
      </c>
      <c r="AG2885">
        <v>3.27399993</v>
      </c>
      <c r="AH2885">
        <v>4</v>
      </c>
      <c r="AI2885">
        <v>17</v>
      </c>
      <c r="AJ2885">
        <v>1</v>
      </c>
      <c r="AK2885">
        <v>26</v>
      </c>
      <c r="AL2885">
        <v>52</v>
      </c>
      <c r="AM2885" t="s">
        <v>43</v>
      </c>
      <c r="AN2885" t="str">
        <f>HYPERLINK("https://www.google.com/maps?q=10.79227066,79.33104706","Open Location")</f>
        <v>Open Location</v>
      </c>
    </row>
    <row r="2886" spans="1:40" x14ac:dyDescent="0.3">
      <c r="A2886" s="1">
        <v>46210.665625000001</v>
      </c>
      <c r="B2886" t="s">
        <v>40</v>
      </c>
      <c r="C2886" t="s">
        <v>41</v>
      </c>
      <c r="D2886" s="1">
        <v>46210.668391203704</v>
      </c>
      <c r="E2886" t="s">
        <v>42</v>
      </c>
      <c r="F2886" t="s">
        <v>83</v>
      </c>
      <c r="G2886">
        <v>42</v>
      </c>
      <c r="H2886">
        <v>33150</v>
      </c>
      <c r="I2886" t="s">
        <v>1597</v>
      </c>
      <c r="J2886">
        <v>72</v>
      </c>
      <c r="K2886">
        <v>104</v>
      </c>
      <c r="L2886">
        <v>98</v>
      </c>
      <c r="M2886">
        <v>629</v>
      </c>
      <c r="N2886" t="s">
        <v>87</v>
      </c>
      <c r="O2886" t="s">
        <v>86</v>
      </c>
      <c r="P2886">
        <v>131</v>
      </c>
      <c r="Q2886">
        <v>6</v>
      </c>
      <c r="R2886">
        <v>59</v>
      </c>
      <c r="S2886">
        <v>1185</v>
      </c>
      <c r="T2886">
        <v>-40</v>
      </c>
      <c r="U2886">
        <v>53</v>
      </c>
      <c r="V2886">
        <v>480</v>
      </c>
      <c r="W2886">
        <v>32</v>
      </c>
      <c r="X2886">
        <v>32</v>
      </c>
      <c r="Y2886">
        <v>1</v>
      </c>
      <c r="Z2886">
        <v>8</v>
      </c>
      <c r="AA2886">
        <v>28</v>
      </c>
      <c r="AB2886">
        <v>2</v>
      </c>
      <c r="AC2886">
        <v>3</v>
      </c>
      <c r="AD2886">
        <v>3.28800011</v>
      </c>
      <c r="AE2886">
        <v>1</v>
      </c>
      <c r="AF2886">
        <v>42</v>
      </c>
      <c r="AG2886">
        <v>3.2750001000000002</v>
      </c>
      <c r="AH2886">
        <v>4</v>
      </c>
      <c r="AI2886">
        <v>17</v>
      </c>
      <c r="AJ2886">
        <v>1</v>
      </c>
      <c r="AK2886">
        <v>26</v>
      </c>
      <c r="AL2886">
        <v>52</v>
      </c>
      <c r="AM2886" t="s">
        <v>43</v>
      </c>
      <c r="AN2886" t="str">
        <f>HYPERLINK("https://www.google.com/maps?q=10.79201889,79.3323288","Open Location")</f>
        <v>Open Location</v>
      </c>
    </row>
    <row r="2887" spans="1:40" x14ac:dyDescent="0.3">
      <c r="A2887" s="1">
        <v>46210.665509259263</v>
      </c>
      <c r="B2887" t="s">
        <v>40</v>
      </c>
      <c r="C2887" t="s">
        <v>41</v>
      </c>
      <c r="D2887" s="1">
        <v>46210.668194444443</v>
      </c>
      <c r="E2887" t="s">
        <v>42</v>
      </c>
      <c r="F2887" t="s">
        <v>83</v>
      </c>
      <c r="G2887">
        <v>43</v>
      </c>
      <c r="H2887">
        <v>33150</v>
      </c>
      <c r="I2887" t="s">
        <v>43</v>
      </c>
      <c r="J2887">
        <v>73</v>
      </c>
      <c r="K2887">
        <v>121</v>
      </c>
      <c r="L2887">
        <v>98</v>
      </c>
      <c r="M2887">
        <v>628.59997558999999</v>
      </c>
      <c r="N2887" t="s">
        <v>87</v>
      </c>
      <c r="O2887" t="s">
        <v>86</v>
      </c>
      <c r="P2887">
        <v>131</v>
      </c>
      <c r="Q2887">
        <v>6</v>
      </c>
      <c r="R2887">
        <v>59</v>
      </c>
      <c r="S2887">
        <v>1195</v>
      </c>
      <c r="T2887">
        <v>-40</v>
      </c>
      <c r="U2887">
        <v>53</v>
      </c>
      <c r="V2887">
        <v>560</v>
      </c>
      <c r="W2887">
        <v>32</v>
      </c>
      <c r="X2887">
        <v>32</v>
      </c>
      <c r="Y2887">
        <v>1</v>
      </c>
      <c r="Z2887">
        <v>8</v>
      </c>
      <c r="AA2887">
        <v>28</v>
      </c>
      <c r="AB2887">
        <v>2</v>
      </c>
      <c r="AC2887">
        <v>3</v>
      </c>
      <c r="AD2887">
        <v>3.28500009</v>
      </c>
      <c r="AE2887">
        <v>1</v>
      </c>
      <c r="AF2887">
        <v>42</v>
      </c>
      <c r="AG2887">
        <v>3.27099991</v>
      </c>
      <c r="AH2887">
        <v>4</v>
      </c>
      <c r="AI2887">
        <v>17</v>
      </c>
      <c r="AJ2887">
        <v>1</v>
      </c>
      <c r="AK2887">
        <v>26</v>
      </c>
      <c r="AL2887">
        <v>52</v>
      </c>
      <c r="AM2887" t="s">
        <v>43</v>
      </c>
      <c r="AN2887" t="s">
        <v>43</v>
      </c>
    </row>
    <row r="2888" spans="1:40" x14ac:dyDescent="0.3">
      <c r="A2888" s="1">
        <v>46210.665393518517</v>
      </c>
      <c r="B2888" t="s">
        <v>40</v>
      </c>
      <c r="C2888" t="s">
        <v>41</v>
      </c>
      <c r="D2888" s="1">
        <v>46210.668206018519</v>
      </c>
      <c r="E2888" t="s">
        <v>42</v>
      </c>
      <c r="F2888" t="s">
        <v>83</v>
      </c>
      <c r="G2888">
        <v>43</v>
      </c>
      <c r="H2888">
        <v>33150</v>
      </c>
      <c r="I2888" t="s">
        <v>1598</v>
      </c>
      <c r="J2888">
        <v>73</v>
      </c>
      <c r="K2888">
        <v>123</v>
      </c>
      <c r="L2888">
        <v>98</v>
      </c>
      <c r="M2888">
        <v>628.59997558999999</v>
      </c>
      <c r="N2888" t="s">
        <v>87</v>
      </c>
      <c r="O2888" t="s">
        <v>86</v>
      </c>
      <c r="P2888">
        <v>131</v>
      </c>
      <c r="Q2888">
        <v>6</v>
      </c>
      <c r="R2888">
        <v>60</v>
      </c>
      <c r="S2888">
        <v>1206</v>
      </c>
      <c r="T2888">
        <v>-40</v>
      </c>
      <c r="U2888">
        <v>53</v>
      </c>
      <c r="V2888">
        <v>560</v>
      </c>
      <c r="W2888">
        <v>32</v>
      </c>
      <c r="X2888">
        <v>32</v>
      </c>
      <c r="Y2888">
        <v>1</v>
      </c>
      <c r="Z2888">
        <v>8</v>
      </c>
      <c r="AA2888">
        <v>28</v>
      </c>
      <c r="AB2888">
        <v>2</v>
      </c>
      <c r="AC2888">
        <v>3</v>
      </c>
      <c r="AD2888">
        <v>3.28500009</v>
      </c>
      <c r="AE2888">
        <v>1</v>
      </c>
      <c r="AF2888">
        <v>42</v>
      </c>
      <c r="AG2888">
        <v>3.27099991</v>
      </c>
      <c r="AH2888">
        <v>4</v>
      </c>
      <c r="AI2888">
        <v>17</v>
      </c>
      <c r="AJ2888">
        <v>1</v>
      </c>
      <c r="AK2888">
        <v>26</v>
      </c>
      <c r="AL2888">
        <v>52</v>
      </c>
      <c r="AM2888" t="s">
        <v>43</v>
      </c>
      <c r="AN2888" t="str">
        <f>HYPERLINK("https://www.google.com/maps?q=10.79169655,79.33360291","Open Location")</f>
        <v>Open Location</v>
      </c>
    </row>
    <row r="2889" spans="1:40" x14ac:dyDescent="0.3">
      <c r="A2889" s="1">
        <v>46210.665277777778</v>
      </c>
      <c r="B2889" t="s">
        <v>40</v>
      </c>
      <c r="C2889" t="s">
        <v>41</v>
      </c>
      <c r="D2889" s="1">
        <v>46210.667997685188</v>
      </c>
      <c r="E2889" t="s">
        <v>42</v>
      </c>
      <c r="F2889" t="s">
        <v>83</v>
      </c>
      <c r="G2889">
        <v>44</v>
      </c>
      <c r="H2889">
        <v>33149</v>
      </c>
      <c r="I2889" t="s">
        <v>1599</v>
      </c>
      <c r="J2889">
        <v>73</v>
      </c>
      <c r="K2889">
        <v>107</v>
      </c>
      <c r="L2889">
        <v>98</v>
      </c>
      <c r="M2889">
        <v>629.40002441000001</v>
      </c>
      <c r="N2889" t="s">
        <v>87</v>
      </c>
      <c r="O2889" t="s">
        <v>86</v>
      </c>
      <c r="P2889">
        <v>131</v>
      </c>
      <c r="Q2889">
        <v>6</v>
      </c>
      <c r="R2889">
        <v>74</v>
      </c>
      <c r="S2889">
        <v>1222</v>
      </c>
      <c r="T2889">
        <v>-40</v>
      </c>
      <c r="U2889">
        <v>53</v>
      </c>
      <c r="V2889">
        <v>480</v>
      </c>
      <c r="W2889">
        <v>32</v>
      </c>
      <c r="X2889">
        <v>32</v>
      </c>
      <c r="Y2889">
        <v>1</v>
      </c>
      <c r="Z2889">
        <v>8</v>
      </c>
      <c r="AA2889">
        <v>28</v>
      </c>
      <c r="AB2889">
        <v>2</v>
      </c>
      <c r="AC2889">
        <v>3</v>
      </c>
      <c r="AD2889">
        <v>3.28800011</v>
      </c>
      <c r="AE2889">
        <v>1</v>
      </c>
      <c r="AF2889">
        <v>38</v>
      </c>
      <c r="AG2889">
        <v>3.2750001000000002</v>
      </c>
      <c r="AH2889">
        <v>4</v>
      </c>
      <c r="AI2889">
        <v>17</v>
      </c>
      <c r="AJ2889">
        <v>1</v>
      </c>
      <c r="AK2889">
        <v>26</v>
      </c>
      <c r="AL2889">
        <v>52</v>
      </c>
      <c r="AM2889" t="s">
        <v>43</v>
      </c>
      <c r="AN2889" t="str">
        <f>HYPERLINK("https://www.google.com/maps?q=10.79129601,79.33498383","Open Location")</f>
        <v>Open Location</v>
      </c>
    </row>
    <row r="2890" spans="1:40" x14ac:dyDescent="0.3">
      <c r="A2890" s="1">
        <v>46210.665162037039</v>
      </c>
      <c r="B2890" t="s">
        <v>40</v>
      </c>
      <c r="C2890" t="s">
        <v>41</v>
      </c>
      <c r="D2890" s="1">
        <v>46210.667800925927</v>
      </c>
      <c r="E2890" t="s">
        <v>42</v>
      </c>
      <c r="F2890" t="s">
        <v>83</v>
      </c>
      <c r="G2890">
        <v>44</v>
      </c>
      <c r="H2890">
        <v>33149</v>
      </c>
      <c r="I2890" t="s">
        <v>1600</v>
      </c>
      <c r="J2890">
        <v>73</v>
      </c>
      <c r="K2890">
        <v>94</v>
      </c>
      <c r="L2890">
        <v>98</v>
      </c>
      <c r="M2890">
        <v>629.90002441000001</v>
      </c>
      <c r="N2890" t="s">
        <v>87</v>
      </c>
      <c r="O2890" t="s">
        <v>86</v>
      </c>
      <c r="P2890">
        <v>131</v>
      </c>
      <c r="Q2890">
        <v>6</v>
      </c>
      <c r="R2890">
        <v>61</v>
      </c>
      <c r="S2890">
        <v>1232</v>
      </c>
      <c r="T2890">
        <v>-40</v>
      </c>
      <c r="U2890">
        <v>53</v>
      </c>
      <c r="V2890">
        <v>420</v>
      </c>
      <c r="W2890">
        <v>32</v>
      </c>
      <c r="X2890">
        <v>32</v>
      </c>
      <c r="Y2890">
        <v>1</v>
      </c>
      <c r="Z2890">
        <v>8</v>
      </c>
      <c r="AA2890">
        <v>28</v>
      </c>
      <c r="AB2890">
        <v>2</v>
      </c>
      <c r="AC2890">
        <v>3</v>
      </c>
      <c r="AD2890">
        <v>3.2909998900000001</v>
      </c>
      <c r="AE2890">
        <v>1</v>
      </c>
      <c r="AF2890">
        <v>42</v>
      </c>
      <c r="AG2890">
        <v>3.2790000400000001</v>
      </c>
      <c r="AH2890">
        <v>4</v>
      </c>
      <c r="AI2890">
        <v>17</v>
      </c>
      <c r="AJ2890">
        <v>1</v>
      </c>
      <c r="AK2890">
        <v>26</v>
      </c>
      <c r="AL2890">
        <v>52</v>
      </c>
      <c r="AM2890" t="s">
        <v>43</v>
      </c>
      <c r="AN2890" t="str">
        <f>HYPERLINK("https://www.google.com/maps?q=10.79092884,79.33628082","Open Location")</f>
        <v>Open Location</v>
      </c>
    </row>
    <row r="2891" spans="1:40" x14ac:dyDescent="0.3">
      <c r="A2891" s="1">
        <v>46210.665046296293</v>
      </c>
      <c r="B2891" t="s">
        <v>40</v>
      </c>
      <c r="C2891" t="s">
        <v>41</v>
      </c>
      <c r="D2891" s="1">
        <v>46210.66783564815</v>
      </c>
      <c r="E2891" t="s">
        <v>42</v>
      </c>
      <c r="F2891" t="s">
        <v>83</v>
      </c>
      <c r="G2891">
        <v>44</v>
      </c>
      <c r="H2891">
        <v>33149</v>
      </c>
      <c r="I2891" t="s">
        <v>1601</v>
      </c>
      <c r="J2891">
        <v>73</v>
      </c>
      <c r="K2891">
        <v>93</v>
      </c>
      <c r="L2891">
        <v>98</v>
      </c>
      <c r="M2891">
        <v>629.70001220999995</v>
      </c>
      <c r="N2891" t="s">
        <v>87</v>
      </c>
      <c r="O2891" t="s">
        <v>86</v>
      </c>
      <c r="P2891">
        <v>131</v>
      </c>
      <c r="Q2891">
        <v>6</v>
      </c>
      <c r="R2891">
        <v>51</v>
      </c>
      <c r="S2891">
        <v>1215</v>
      </c>
      <c r="T2891">
        <v>-40</v>
      </c>
      <c r="U2891">
        <v>52</v>
      </c>
      <c r="V2891">
        <v>420</v>
      </c>
      <c r="W2891">
        <v>32</v>
      </c>
      <c r="X2891">
        <v>32</v>
      </c>
      <c r="Y2891">
        <v>1</v>
      </c>
      <c r="Z2891">
        <v>8</v>
      </c>
      <c r="AA2891">
        <v>28</v>
      </c>
      <c r="AB2891">
        <v>2</v>
      </c>
      <c r="AC2891">
        <v>3</v>
      </c>
      <c r="AD2891">
        <v>3.2909998900000001</v>
      </c>
      <c r="AE2891">
        <v>1</v>
      </c>
      <c r="AF2891">
        <v>42</v>
      </c>
      <c r="AG2891">
        <v>3.2790000400000001</v>
      </c>
      <c r="AH2891">
        <v>4</v>
      </c>
      <c r="AI2891">
        <v>17</v>
      </c>
      <c r="AJ2891">
        <v>1</v>
      </c>
      <c r="AK2891">
        <v>25</v>
      </c>
      <c r="AL2891">
        <v>52</v>
      </c>
      <c r="AM2891" t="s">
        <v>43</v>
      </c>
      <c r="AN2891" t="str">
        <f>HYPERLINK("https://www.google.com/maps?q=10.79053974,79.33758545","Open Location")</f>
        <v>Open Location</v>
      </c>
    </row>
    <row r="2892" spans="1:40" x14ac:dyDescent="0.3">
      <c r="A2892" s="1">
        <v>46210.664930555555</v>
      </c>
      <c r="B2892" t="s">
        <v>40</v>
      </c>
      <c r="C2892" t="s">
        <v>41</v>
      </c>
      <c r="D2892" s="1">
        <v>46210.667800925927</v>
      </c>
      <c r="E2892" t="s">
        <v>42</v>
      </c>
      <c r="F2892" t="s">
        <v>83</v>
      </c>
      <c r="G2892">
        <v>44</v>
      </c>
      <c r="H2892">
        <v>33149</v>
      </c>
      <c r="I2892" t="s">
        <v>43</v>
      </c>
      <c r="J2892">
        <v>73</v>
      </c>
      <c r="K2892">
        <v>97</v>
      </c>
      <c r="L2892">
        <v>98</v>
      </c>
      <c r="M2892">
        <v>629.79998779000005</v>
      </c>
      <c r="N2892" t="s">
        <v>87</v>
      </c>
      <c r="O2892" t="s">
        <v>86</v>
      </c>
      <c r="P2892">
        <v>131</v>
      </c>
      <c r="Q2892">
        <v>6</v>
      </c>
      <c r="R2892">
        <v>48</v>
      </c>
      <c r="S2892">
        <v>1231</v>
      </c>
      <c r="T2892">
        <v>-40</v>
      </c>
      <c r="U2892">
        <v>52</v>
      </c>
      <c r="V2892">
        <v>420</v>
      </c>
      <c r="W2892">
        <v>32</v>
      </c>
      <c r="X2892">
        <v>32</v>
      </c>
      <c r="Y2892">
        <v>1</v>
      </c>
      <c r="Z2892">
        <v>8</v>
      </c>
      <c r="AA2892">
        <v>28</v>
      </c>
      <c r="AB2892">
        <v>2</v>
      </c>
      <c r="AC2892">
        <v>3</v>
      </c>
      <c r="AD2892">
        <v>3.2899999599999998</v>
      </c>
      <c r="AE2892">
        <v>1</v>
      </c>
      <c r="AF2892">
        <v>42</v>
      </c>
      <c r="AG2892">
        <v>3.27699995</v>
      </c>
      <c r="AH2892">
        <v>4</v>
      </c>
      <c r="AI2892">
        <v>17</v>
      </c>
      <c r="AJ2892">
        <v>1</v>
      </c>
      <c r="AK2892">
        <v>26</v>
      </c>
      <c r="AL2892">
        <v>52</v>
      </c>
      <c r="AM2892" t="s">
        <v>43</v>
      </c>
      <c r="AN2892" t="s">
        <v>43</v>
      </c>
    </row>
    <row r="2893" spans="1:40" x14ac:dyDescent="0.3">
      <c r="A2893" s="1">
        <v>46210.664814814816</v>
      </c>
      <c r="B2893" t="s">
        <v>40</v>
      </c>
      <c r="C2893" t="s">
        <v>41</v>
      </c>
      <c r="D2893" s="1">
        <v>46210.667569444442</v>
      </c>
      <c r="E2893" t="s">
        <v>42</v>
      </c>
      <c r="F2893" t="s">
        <v>83</v>
      </c>
      <c r="G2893">
        <v>44</v>
      </c>
      <c r="H2893">
        <v>33149</v>
      </c>
      <c r="I2893" t="s">
        <v>1602</v>
      </c>
      <c r="J2893">
        <v>73</v>
      </c>
      <c r="K2893">
        <v>87</v>
      </c>
      <c r="L2893">
        <v>98</v>
      </c>
      <c r="M2893">
        <v>629.59997558999999</v>
      </c>
      <c r="N2893" t="s">
        <v>87</v>
      </c>
      <c r="O2893" t="s">
        <v>86</v>
      </c>
      <c r="P2893">
        <v>131</v>
      </c>
      <c r="Q2893">
        <v>6</v>
      </c>
      <c r="R2893">
        <v>44</v>
      </c>
      <c r="S2893">
        <v>1245</v>
      </c>
      <c r="T2893">
        <v>-40</v>
      </c>
      <c r="U2893">
        <v>52</v>
      </c>
      <c r="V2893">
        <v>380</v>
      </c>
      <c r="W2893">
        <v>33</v>
      </c>
      <c r="X2893">
        <v>33</v>
      </c>
      <c r="Y2893">
        <v>1</v>
      </c>
      <c r="Z2893">
        <v>8</v>
      </c>
      <c r="AA2893">
        <v>28</v>
      </c>
      <c r="AB2893">
        <v>2</v>
      </c>
      <c r="AC2893">
        <v>3</v>
      </c>
      <c r="AD2893" t="s">
        <v>43</v>
      </c>
      <c r="AE2893" t="s">
        <v>43</v>
      </c>
      <c r="AF2893" t="s">
        <v>43</v>
      </c>
      <c r="AG2893" t="s">
        <v>43</v>
      </c>
      <c r="AH2893" t="s">
        <v>43</v>
      </c>
      <c r="AI2893" t="s">
        <v>43</v>
      </c>
      <c r="AJ2893">
        <v>1</v>
      </c>
      <c r="AK2893">
        <v>26</v>
      </c>
      <c r="AL2893">
        <v>52</v>
      </c>
      <c r="AM2893" t="s">
        <v>43</v>
      </c>
      <c r="AN2893" t="str">
        <f>HYPERLINK("https://www.google.com/maps?q=10.79016495,79.33888245","Open Location")</f>
        <v>Open Location</v>
      </c>
    </row>
    <row r="2894" spans="1:40" x14ac:dyDescent="0.3">
      <c r="A2894" s="1">
        <v>46210.664699074077</v>
      </c>
      <c r="B2894" t="s">
        <v>40</v>
      </c>
      <c r="C2894" t="s">
        <v>41</v>
      </c>
      <c r="D2894" s="1">
        <v>46210.667685185188</v>
      </c>
      <c r="E2894" t="s">
        <v>42</v>
      </c>
      <c r="F2894" t="s">
        <v>83</v>
      </c>
      <c r="G2894">
        <v>45</v>
      </c>
      <c r="H2894">
        <v>33149</v>
      </c>
      <c r="I2894" t="s">
        <v>1603</v>
      </c>
      <c r="J2894">
        <v>73</v>
      </c>
      <c r="K2894">
        <v>94</v>
      </c>
      <c r="L2894">
        <v>98</v>
      </c>
      <c r="M2894">
        <v>629.79998779000005</v>
      </c>
      <c r="N2894" t="s">
        <v>87</v>
      </c>
      <c r="O2894" t="s">
        <v>86</v>
      </c>
      <c r="P2894">
        <v>131</v>
      </c>
      <c r="Q2894">
        <v>6</v>
      </c>
      <c r="R2894">
        <v>60</v>
      </c>
      <c r="S2894">
        <v>1261</v>
      </c>
      <c r="T2894">
        <v>-40</v>
      </c>
      <c r="U2894">
        <v>53</v>
      </c>
      <c r="V2894">
        <v>400</v>
      </c>
      <c r="W2894">
        <v>33</v>
      </c>
      <c r="X2894">
        <v>33</v>
      </c>
      <c r="Y2894">
        <v>1</v>
      </c>
      <c r="Z2894">
        <v>8</v>
      </c>
      <c r="AA2894">
        <v>28</v>
      </c>
      <c r="AB2894">
        <v>2</v>
      </c>
      <c r="AC2894">
        <v>3</v>
      </c>
      <c r="AD2894">
        <v>3.2899999599999998</v>
      </c>
      <c r="AE2894">
        <v>1</v>
      </c>
      <c r="AF2894">
        <v>38</v>
      </c>
      <c r="AG2894">
        <v>3.2790000400000001</v>
      </c>
      <c r="AH2894">
        <v>4</v>
      </c>
      <c r="AI2894">
        <v>17</v>
      </c>
      <c r="AJ2894">
        <v>1</v>
      </c>
      <c r="AK2894">
        <v>26</v>
      </c>
      <c r="AL2894">
        <v>52</v>
      </c>
      <c r="AM2894" t="s">
        <v>43</v>
      </c>
      <c r="AN2894" t="str">
        <f>HYPERLINK("https://www.google.com/maps?q=10.78979588,79.34020996","Open Location")</f>
        <v>Open Location</v>
      </c>
    </row>
    <row r="2895" spans="1:40" x14ac:dyDescent="0.3">
      <c r="A2895" s="1">
        <v>46210.664583333331</v>
      </c>
      <c r="B2895" t="s">
        <v>40</v>
      </c>
      <c r="C2895" t="s">
        <v>41</v>
      </c>
      <c r="D2895" s="1">
        <v>46210.667372685188</v>
      </c>
      <c r="E2895" t="s">
        <v>42</v>
      </c>
      <c r="F2895" t="s">
        <v>83</v>
      </c>
      <c r="G2895">
        <v>45</v>
      </c>
      <c r="H2895">
        <v>33149</v>
      </c>
      <c r="I2895" t="s">
        <v>1604</v>
      </c>
      <c r="J2895">
        <v>73</v>
      </c>
      <c r="K2895">
        <v>102</v>
      </c>
      <c r="L2895">
        <v>98</v>
      </c>
      <c r="M2895">
        <v>628.59997558999999</v>
      </c>
      <c r="N2895" t="s">
        <v>87</v>
      </c>
      <c r="O2895" t="s">
        <v>86</v>
      </c>
      <c r="P2895">
        <v>131</v>
      </c>
      <c r="Q2895">
        <v>6</v>
      </c>
      <c r="R2895">
        <v>54</v>
      </c>
      <c r="S2895">
        <v>1242</v>
      </c>
      <c r="T2895">
        <v>-40</v>
      </c>
      <c r="U2895">
        <v>53</v>
      </c>
      <c r="V2895">
        <v>460</v>
      </c>
      <c r="W2895">
        <v>33</v>
      </c>
      <c r="X2895">
        <v>33</v>
      </c>
      <c r="Y2895">
        <v>1</v>
      </c>
      <c r="Z2895">
        <v>8</v>
      </c>
      <c r="AA2895">
        <v>28</v>
      </c>
      <c r="AB2895">
        <v>2</v>
      </c>
      <c r="AC2895">
        <v>3</v>
      </c>
      <c r="AD2895">
        <v>3.2869999399999998</v>
      </c>
      <c r="AE2895">
        <v>1</v>
      </c>
      <c r="AF2895">
        <v>41</v>
      </c>
      <c r="AG2895">
        <v>3.27399993</v>
      </c>
      <c r="AH2895">
        <v>4</v>
      </c>
      <c r="AI2895">
        <v>17</v>
      </c>
      <c r="AJ2895">
        <v>1</v>
      </c>
      <c r="AK2895">
        <v>26</v>
      </c>
      <c r="AL2895">
        <v>52</v>
      </c>
      <c r="AM2895" t="s">
        <v>43</v>
      </c>
      <c r="AN2895" t="str">
        <f>HYPERLINK("https://www.google.com/maps?q=10.7894268,79.3415451","Open Location")</f>
        <v>Open Location</v>
      </c>
    </row>
    <row r="2896" spans="1:40" x14ac:dyDescent="0.3">
      <c r="A2896" s="1">
        <v>46210.664467592593</v>
      </c>
      <c r="B2896" t="s">
        <v>40</v>
      </c>
      <c r="C2896" t="s">
        <v>41</v>
      </c>
      <c r="D2896" s="1">
        <v>46210.66715277778</v>
      </c>
      <c r="E2896" t="s">
        <v>42</v>
      </c>
      <c r="F2896" t="s">
        <v>83</v>
      </c>
      <c r="G2896">
        <v>45</v>
      </c>
      <c r="H2896">
        <v>33148</v>
      </c>
      <c r="I2896" t="s">
        <v>1605</v>
      </c>
      <c r="J2896">
        <v>73</v>
      </c>
      <c r="K2896">
        <v>93</v>
      </c>
      <c r="L2896">
        <v>98</v>
      </c>
      <c r="M2896">
        <v>629.40002441000001</v>
      </c>
      <c r="N2896" t="s">
        <v>87</v>
      </c>
      <c r="O2896" t="s">
        <v>86</v>
      </c>
      <c r="P2896">
        <v>131</v>
      </c>
      <c r="Q2896">
        <v>6</v>
      </c>
      <c r="R2896">
        <v>49</v>
      </c>
      <c r="S2896">
        <v>1267</v>
      </c>
      <c r="T2896">
        <v>-40</v>
      </c>
      <c r="U2896">
        <v>53</v>
      </c>
      <c r="V2896">
        <v>400</v>
      </c>
      <c r="W2896">
        <v>33</v>
      </c>
      <c r="X2896">
        <v>33</v>
      </c>
      <c r="Y2896">
        <v>1</v>
      </c>
      <c r="Z2896">
        <v>8</v>
      </c>
      <c r="AA2896">
        <v>28</v>
      </c>
      <c r="AB2896">
        <v>2</v>
      </c>
      <c r="AC2896">
        <v>3</v>
      </c>
      <c r="AD2896">
        <v>3.2909998900000001</v>
      </c>
      <c r="AE2896">
        <v>1</v>
      </c>
      <c r="AF2896">
        <v>42</v>
      </c>
      <c r="AG2896">
        <v>3.2790000400000001</v>
      </c>
      <c r="AH2896">
        <v>4</v>
      </c>
      <c r="AI2896">
        <v>17</v>
      </c>
      <c r="AJ2896">
        <v>1</v>
      </c>
      <c r="AK2896">
        <v>26</v>
      </c>
      <c r="AL2896">
        <v>52</v>
      </c>
      <c r="AM2896" t="s">
        <v>43</v>
      </c>
      <c r="AN2896" t="str">
        <f>HYPERLINK("https://www.google.com/maps?q=10.78906345,79.34286499","Open Location")</f>
        <v>Open Location</v>
      </c>
    </row>
    <row r="2897" spans="1:40" x14ac:dyDescent="0.3">
      <c r="A2897" s="1">
        <v>46210.664351851854</v>
      </c>
      <c r="B2897" t="s">
        <v>40</v>
      </c>
      <c r="C2897" t="s">
        <v>41</v>
      </c>
      <c r="D2897" s="1">
        <v>46210.667141203703</v>
      </c>
      <c r="E2897" t="s">
        <v>42</v>
      </c>
      <c r="F2897" t="s">
        <v>83</v>
      </c>
      <c r="G2897">
        <v>46</v>
      </c>
      <c r="H2897">
        <v>33148</v>
      </c>
      <c r="I2897" t="s">
        <v>1606</v>
      </c>
      <c r="J2897">
        <v>73</v>
      </c>
      <c r="K2897">
        <v>71</v>
      </c>
      <c r="L2897">
        <v>98</v>
      </c>
      <c r="M2897">
        <v>630</v>
      </c>
      <c r="N2897" t="s">
        <v>87</v>
      </c>
      <c r="O2897" t="s">
        <v>86</v>
      </c>
      <c r="P2897">
        <v>131</v>
      </c>
      <c r="Q2897">
        <v>6</v>
      </c>
      <c r="R2897">
        <v>45</v>
      </c>
      <c r="S2897">
        <v>1298</v>
      </c>
      <c r="T2897">
        <v>-40</v>
      </c>
      <c r="U2897">
        <v>52</v>
      </c>
      <c r="V2897">
        <v>300</v>
      </c>
      <c r="W2897">
        <v>33</v>
      </c>
      <c r="X2897">
        <v>33</v>
      </c>
      <c r="Y2897">
        <v>1</v>
      </c>
      <c r="Z2897">
        <v>8</v>
      </c>
      <c r="AA2897">
        <v>28</v>
      </c>
      <c r="AB2897">
        <v>2</v>
      </c>
      <c r="AC2897">
        <v>3</v>
      </c>
      <c r="AD2897">
        <v>3.2899999599999998</v>
      </c>
      <c r="AE2897">
        <v>1</v>
      </c>
      <c r="AF2897">
        <v>42</v>
      </c>
      <c r="AG2897">
        <v>3.2780001200000002</v>
      </c>
      <c r="AH2897">
        <v>4</v>
      </c>
      <c r="AI2897">
        <v>17</v>
      </c>
      <c r="AJ2897">
        <v>1</v>
      </c>
      <c r="AK2897">
        <v>26</v>
      </c>
      <c r="AL2897">
        <v>52</v>
      </c>
      <c r="AM2897" t="s">
        <v>43</v>
      </c>
      <c r="AN2897" t="str">
        <f>HYPERLINK("https://www.google.com/maps?q=10.78872395,79.34423065","Open Location")</f>
        <v>Open Location</v>
      </c>
    </row>
    <row r="2898" spans="1:40" x14ac:dyDescent="0.3">
      <c r="A2898" s="1">
        <v>46210.664236111108</v>
      </c>
      <c r="B2898" t="s">
        <v>40</v>
      </c>
      <c r="C2898" t="s">
        <v>41</v>
      </c>
      <c r="D2898" s="1">
        <v>46210.666979166665</v>
      </c>
      <c r="E2898" t="s">
        <v>42</v>
      </c>
      <c r="F2898" t="s">
        <v>83</v>
      </c>
      <c r="G2898">
        <v>46</v>
      </c>
      <c r="H2898" t="s">
        <v>43</v>
      </c>
      <c r="I2898" t="s">
        <v>43</v>
      </c>
      <c r="J2898">
        <v>73</v>
      </c>
      <c r="K2898">
        <v>151</v>
      </c>
      <c r="L2898">
        <v>98</v>
      </c>
      <c r="M2898">
        <v>625.79998779000005</v>
      </c>
      <c r="N2898" t="s">
        <v>87</v>
      </c>
      <c r="O2898" t="s">
        <v>86</v>
      </c>
      <c r="P2898">
        <v>131</v>
      </c>
      <c r="Q2898">
        <v>6</v>
      </c>
      <c r="R2898">
        <v>34</v>
      </c>
      <c r="S2898">
        <v>1264</v>
      </c>
      <c r="T2898">
        <v>-40</v>
      </c>
      <c r="U2898">
        <v>54</v>
      </c>
      <c r="V2898">
        <v>632</v>
      </c>
      <c r="W2898">
        <v>33</v>
      </c>
      <c r="X2898">
        <v>33</v>
      </c>
      <c r="Y2898">
        <v>1</v>
      </c>
      <c r="Z2898">
        <v>8</v>
      </c>
      <c r="AA2898">
        <v>28</v>
      </c>
      <c r="AB2898">
        <v>2</v>
      </c>
      <c r="AC2898">
        <v>3</v>
      </c>
      <c r="AD2898">
        <v>3.28900003</v>
      </c>
      <c r="AE2898">
        <v>1</v>
      </c>
      <c r="AF2898">
        <v>38</v>
      </c>
      <c r="AG2898">
        <v>3.2780001200000002</v>
      </c>
      <c r="AH2898">
        <v>4</v>
      </c>
      <c r="AI2898">
        <v>17</v>
      </c>
      <c r="AJ2898">
        <v>1</v>
      </c>
      <c r="AK2898">
        <v>26</v>
      </c>
      <c r="AL2898">
        <v>52</v>
      </c>
      <c r="AM2898" t="s">
        <v>43</v>
      </c>
      <c r="AN2898" t="s">
        <v>43</v>
      </c>
    </row>
    <row r="2899" spans="1:40" x14ac:dyDescent="0.3">
      <c r="A2899" s="1">
        <v>46210.664120370369</v>
      </c>
      <c r="B2899" t="s">
        <v>40</v>
      </c>
      <c r="C2899" t="s">
        <v>41</v>
      </c>
      <c r="D2899" s="1">
        <v>46210.666886574072</v>
      </c>
      <c r="E2899" t="s">
        <v>42</v>
      </c>
      <c r="F2899" t="s">
        <v>83</v>
      </c>
      <c r="G2899">
        <v>44</v>
      </c>
      <c r="H2899">
        <v>33148</v>
      </c>
      <c r="I2899" t="s">
        <v>1607</v>
      </c>
      <c r="J2899">
        <v>73</v>
      </c>
      <c r="K2899">
        <v>169</v>
      </c>
      <c r="L2899">
        <v>98</v>
      </c>
      <c r="M2899">
        <v>625.70001220999995</v>
      </c>
      <c r="N2899" t="s">
        <v>87</v>
      </c>
      <c r="O2899" t="s">
        <v>86</v>
      </c>
      <c r="P2899">
        <v>131</v>
      </c>
      <c r="Q2899">
        <v>6</v>
      </c>
      <c r="R2899">
        <v>95</v>
      </c>
      <c r="S2899">
        <v>1222</v>
      </c>
      <c r="T2899">
        <v>-40</v>
      </c>
      <c r="U2899">
        <v>55</v>
      </c>
      <c r="V2899">
        <v>740</v>
      </c>
      <c r="W2899">
        <v>33</v>
      </c>
      <c r="X2899">
        <v>33</v>
      </c>
      <c r="Y2899">
        <v>1</v>
      </c>
      <c r="Z2899">
        <v>8</v>
      </c>
      <c r="AA2899">
        <v>28</v>
      </c>
      <c r="AB2899">
        <v>2</v>
      </c>
      <c r="AC2899">
        <v>3</v>
      </c>
      <c r="AD2899">
        <v>3.2809998999999999</v>
      </c>
      <c r="AE2899">
        <v>1</v>
      </c>
      <c r="AF2899">
        <v>42</v>
      </c>
      <c r="AG2899">
        <v>3.2660000299999998</v>
      </c>
      <c r="AH2899">
        <v>4</v>
      </c>
      <c r="AI2899">
        <v>17</v>
      </c>
      <c r="AJ2899" t="s">
        <v>43</v>
      </c>
      <c r="AK2899" t="s">
        <v>43</v>
      </c>
      <c r="AL2899" t="s">
        <v>43</v>
      </c>
      <c r="AM2899" t="s">
        <v>43</v>
      </c>
      <c r="AN2899" t="str">
        <f>HYPERLINK("https://www.google.com/maps?q=10.78843403,79.34571838","Open Location")</f>
        <v>Open Location</v>
      </c>
    </row>
    <row r="2900" spans="1:40" x14ac:dyDescent="0.3">
      <c r="A2900" s="1">
        <v>46210.664004629631</v>
      </c>
      <c r="B2900" t="s">
        <v>40</v>
      </c>
      <c r="C2900" t="s">
        <v>41</v>
      </c>
      <c r="D2900" s="1">
        <v>46210.66679398148</v>
      </c>
      <c r="E2900" t="s">
        <v>42</v>
      </c>
      <c r="F2900" t="s">
        <v>83</v>
      </c>
      <c r="G2900">
        <v>43</v>
      </c>
      <c r="H2900">
        <v>33148</v>
      </c>
      <c r="I2900" t="s">
        <v>1608</v>
      </c>
      <c r="J2900">
        <v>73</v>
      </c>
      <c r="K2900">
        <v>145</v>
      </c>
      <c r="L2900">
        <v>98</v>
      </c>
      <c r="M2900">
        <v>626.70001220999995</v>
      </c>
      <c r="N2900" t="s">
        <v>87</v>
      </c>
      <c r="O2900" t="s">
        <v>86</v>
      </c>
      <c r="P2900">
        <v>131</v>
      </c>
      <c r="Q2900">
        <v>6</v>
      </c>
      <c r="R2900">
        <v>108</v>
      </c>
      <c r="S2900">
        <v>1193</v>
      </c>
      <c r="T2900">
        <v>-40</v>
      </c>
      <c r="U2900">
        <v>55</v>
      </c>
      <c r="V2900">
        <v>650</v>
      </c>
      <c r="W2900">
        <v>33</v>
      </c>
      <c r="X2900">
        <v>33</v>
      </c>
      <c r="Y2900">
        <v>1</v>
      </c>
      <c r="Z2900">
        <v>8</v>
      </c>
      <c r="AA2900">
        <v>28</v>
      </c>
      <c r="AB2900">
        <v>2</v>
      </c>
      <c r="AC2900">
        <v>3</v>
      </c>
      <c r="AD2900">
        <v>3.2750001000000002</v>
      </c>
      <c r="AE2900">
        <v>1</v>
      </c>
      <c r="AF2900">
        <v>42</v>
      </c>
      <c r="AG2900">
        <v>3.2569999699999999</v>
      </c>
      <c r="AH2900">
        <v>4</v>
      </c>
      <c r="AI2900">
        <v>17</v>
      </c>
      <c r="AJ2900">
        <v>1</v>
      </c>
      <c r="AK2900">
        <v>26</v>
      </c>
      <c r="AL2900">
        <v>52</v>
      </c>
      <c r="AM2900" t="s">
        <v>43</v>
      </c>
      <c r="AN2900" t="str">
        <f>HYPERLINK("https://www.google.com/maps?q=10.78811455,79.34702301","Open Location")</f>
        <v>Open Location</v>
      </c>
    </row>
    <row r="2901" spans="1:40" x14ac:dyDescent="0.3">
      <c r="A2901" s="1">
        <v>46210.663888888892</v>
      </c>
      <c r="B2901" t="s">
        <v>40</v>
      </c>
      <c r="C2901" t="s">
        <v>41</v>
      </c>
      <c r="D2901" s="1">
        <v>46210.666712962964</v>
      </c>
      <c r="E2901" t="s">
        <v>42</v>
      </c>
      <c r="F2901" t="s">
        <v>83</v>
      </c>
      <c r="G2901">
        <v>43</v>
      </c>
      <c r="H2901">
        <v>33148</v>
      </c>
      <c r="I2901" t="s">
        <v>1609</v>
      </c>
      <c r="J2901">
        <v>73</v>
      </c>
      <c r="K2901">
        <v>85</v>
      </c>
      <c r="L2901">
        <v>98</v>
      </c>
      <c r="M2901">
        <v>627.79998779000005</v>
      </c>
      <c r="N2901" t="s">
        <v>87</v>
      </c>
      <c r="O2901" t="s">
        <v>86</v>
      </c>
      <c r="P2901">
        <v>131</v>
      </c>
      <c r="Q2901">
        <v>6</v>
      </c>
      <c r="R2901">
        <v>67</v>
      </c>
      <c r="S2901">
        <v>1204</v>
      </c>
      <c r="T2901">
        <v>-40</v>
      </c>
      <c r="U2901">
        <v>54</v>
      </c>
      <c r="V2901">
        <v>360</v>
      </c>
      <c r="W2901">
        <v>33</v>
      </c>
      <c r="X2901">
        <v>33</v>
      </c>
      <c r="Y2901">
        <v>1</v>
      </c>
      <c r="Z2901">
        <v>8</v>
      </c>
      <c r="AA2901">
        <v>28</v>
      </c>
      <c r="AB2901">
        <v>2</v>
      </c>
      <c r="AC2901">
        <v>3</v>
      </c>
      <c r="AD2901">
        <v>3.2730000000000001</v>
      </c>
      <c r="AE2901">
        <v>1</v>
      </c>
      <c r="AF2901">
        <v>38</v>
      </c>
      <c r="AG2901">
        <v>3.25600004</v>
      </c>
      <c r="AH2901">
        <v>4</v>
      </c>
      <c r="AI2901">
        <v>17</v>
      </c>
      <c r="AJ2901">
        <v>1</v>
      </c>
      <c r="AK2901">
        <v>26</v>
      </c>
      <c r="AL2901">
        <v>52</v>
      </c>
      <c r="AM2901" t="s">
        <v>43</v>
      </c>
      <c r="AN2901" t="str">
        <f>HYPERLINK("https://www.google.com/maps?q=10.78772163,79.34829712","Open Location")</f>
        <v>Open Location</v>
      </c>
    </row>
    <row r="2902" spans="1:40" x14ac:dyDescent="0.3">
      <c r="A2902" s="1">
        <v>46210.663773148146</v>
      </c>
      <c r="B2902" t="s">
        <v>40</v>
      </c>
      <c r="C2902" t="s">
        <v>41</v>
      </c>
      <c r="D2902" s="1">
        <v>46210.666620370372</v>
      </c>
      <c r="E2902" t="s">
        <v>42</v>
      </c>
      <c r="F2902" t="s">
        <v>83</v>
      </c>
      <c r="G2902">
        <v>43</v>
      </c>
      <c r="H2902">
        <v>33148</v>
      </c>
      <c r="I2902" t="s">
        <v>1610</v>
      </c>
      <c r="J2902">
        <v>74</v>
      </c>
      <c r="K2902">
        <v>175</v>
      </c>
      <c r="L2902">
        <v>98</v>
      </c>
      <c r="M2902">
        <v>624.29998779000005</v>
      </c>
      <c r="N2902" t="s">
        <v>87</v>
      </c>
      <c r="O2902" t="s">
        <v>86</v>
      </c>
      <c r="P2902">
        <v>131</v>
      </c>
      <c r="Q2902">
        <v>6</v>
      </c>
      <c r="R2902">
        <v>82</v>
      </c>
      <c r="S2902">
        <v>1194</v>
      </c>
      <c r="T2902">
        <v>-40</v>
      </c>
      <c r="U2902">
        <v>56</v>
      </c>
      <c r="V2902">
        <v>856</v>
      </c>
      <c r="W2902">
        <v>33</v>
      </c>
      <c r="X2902">
        <v>33</v>
      </c>
      <c r="Y2902">
        <v>1</v>
      </c>
      <c r="Z2902">
        <v>8</v>
      </c>
      <c r="AA2902">
        <v>28</v>
      </c>
      <c r="AB2902">
        <v>2</v>
      </c>
      <c r="AC2902">
        <v>3</v>
      </c>
      <c r="AD2902">
        <v>3.2780001200000002</v>
      </c>
      <c r="AE2902">
        <v>1</v>
      </c>
      <c r="AF2902">
        <v>42</v>
      </c>
      <c r="AG2902">
        <v>3.2630000099999998</v>
      </c>
      <c r="AH2902">
        <v>4</v>
      </c>
      <c r="AI2902">
        <v>17</v>
      </c>
      <c r="AJ2902">
        <v>1</v>
      </c>
      <c r="AK2902">
        <v>26</v>
      </c>
      <c r="AL2902">
        <v>52</v>
      </c>
      <c r="AM2902" t="s">
        <v>43</v>
      </c>
      <c r="AN2902" t="str">
        <f>HYPERLINK("https://www.google.com/maps?q=10.78730392,79.34954834","Open Location")</f>
        <v>Open Location</v>
      </c>
    </row>
    <row r="2903" spans="1:40" x14ac:dyDescent="0.3">
      <c r="A2903" s="1">
        <v>46210.663657407407</v>
      </c>
      <c r="B2903" t="s">
        <v>40</v>
      </c>
      <c r="C2903" t="s">
        <v>41</v>
      </c>
      <c r="D2903" s="1">
        <v>46210.666724537034</v>
      </c>
      <c r="E2903" t="s">
        <v>42</v>
      </c>
      <c r="F2903" t="s">
        <v>83</v>
      </c>
      <c r="G2903">
        <v>42</v>
      </c>
      <c r="H2903">
        <v>33148</v>
      </c>
      <c r="I2903" t="s">
        <v>1611</v>
      </c>
      <c r="J2903">
        <v>74</v>
      </c>
      <c r="K2903">
        <v>107</v>
      </c>
      <c r="L2903">
        <v>98</v>
      </c>
      <c r="M2903">
        <v>626.59997558999999</v>
      </c>
      <c r="N2903" t="s">
        <v>87</v>
      </c>
      <c r="O2903" t="s">
        <v>86</v>
      </c>
      <c r="P2903">
        <v>131</v>
      </c>
      <c r="Q2903">
        <v>6</v>
      </c>
      <c r="R2903">
        <v>120</v>
      </c>
      <c r="S2903">
        <v>1134</v>
      </c>
      <c r="T2903">
        <v>-40</v>
      </c>
      <c r="U2903">
        <v>57</v>
      </c>
      <c r="V2903">
        <v>420</v>
      </c>
      <c r="W2903">
        <v>33</v>
      </c>
      <c r="X2903">
        <v>33</v>
      </c>
      <c r="Y2903">
        <v>1</v>
      </c>
      <c r="Z2903">
        <v>8</v>
      </c>
      <c r="AA2903">
        <v>28</v>
      </c>
      <c r="AB2903">
        <v>2</v>
      </c>
      <c r="AC2903">
        <v>3</v>
      </c>
      <c r="AD2903">
        <v>3.27099991</v>
      </c>
      <c r="AE2903">
        <v>1</v>
      </c>
      <c r="AF2903">
        <v>42</v>
      </c>
      <c r="AG2903">
        <v>3.2539999499999999</v>
      </c>
      <c r="AH2903">
        <v>4</v>
      </c>
      <c r="AI2903">
        <v>17</v>
      </c>
      <c r="AJ2903">
        <v>1</v>
      </c>
      <c r="AK2903">
        <v>26</v>
      </c>
      <c r="AL2903">
        <v>52</v>
      </c>
      <c r="AM2903" t="s">
        <v>43</v>
      </c>
      <c r="AN2903" t="str">
        <f>HYPERLINK("https://www.google.com/maps?q=10.78689671,79.35077667","Open Location")</f>
        <v>Open Location</v>
      </c>
    </row>
    <row r="2904" spans="1:40" x14ac:dyDescent="0.3">
      <c r="A2904" s="1">
        <v>46210.663541666669</v>
      </c>
      <c r="B2904" t="s">
        <v>40</v>
      </c>
      <c r="C2904" t="s">
        <v>41</v>
      </c>
      <c r="D2904" s="1">
        <v>46210.66615740741</v>
      </c>
      <c r="E2904" t="s">
        <v>42</v>
      </c>
      <c r="F2904" t="s">
        <v>83</v>
      </c>
      <c r="G2904">
        <v>39</v>
      </c>
      <c r="H2904">
        <v>33148</v>
      </c>
      <c r="I2904" t="s">
        <v>43</v>
      </c>
      <c r="J2904">
        <v>74</v>
      </c>
      <c r="K2904">
        <v>317</v>
      </c>
      <c r="L2904">
        <v>98</v>
      </c>
      <c r="M2904">
        <v>620.59997558999999</v>
      </c>
      <c r="N2904" t="s">
        <v>87</v>
      </c>
      <c r="O2904" t="s">
        <v>86</v>
      </c>
      <c r="P2904">
        <v>131</v>
      </c>
      <c r="Q2904">
        <v>6</v>
      </c>
      <c r="R2904">
        <v>0</v>
      </c>
      <c r="S2904">
        <v>1660</v>
      </c>
      <c r="T2904">
        <v>-40</v>
      </c>
      <c r="U2904">
        <v>56</v>
      </c>
      <c r="V2904">
        <v>1077</v>
      </c>
      <c r="W2904">
        <v>33</v>
      </c>
      <c r="X2904">
        <v>33</v>
      </c>
      <c r="Y2904">
        <v>1</v>
      </c>
      <c r="Z2904">
        <v>8</v>
      </c>
      <c r="AA2904">
        <v>28</v>
      </c>
      <c r="AB2904">
        <v>2</v>
      </c>
      <c r="AC2904">
        <v>3</v>
      </c>
      <c r="AD2904">
        <v>3.2639999400000002</v>
      </c>
      <c r="AE2904">
        <v>1</v>
      </c>
      <c r="AF2904">
        <v>42</v>
      </c>
      <c r="AG2904">
        <v>3.24399996</v>
      </c>
      <c r="AH2904">
        <v>4</v>
      </c>
      <c r="AI2904">
        <v>17</v>
      </c>
      <c r="AJ2904">
        <v>1</v>
      </c>
      <c r="AK2904">
        <v>26</v>
      </c>
      <c r="AL2904">
        <v>52</v>
      </c>
      <c r="AM2904" t="s">
        <v>43</v>
      </c>
      <c r="AN2904" t="s">
        <v>43</v>
      </c>
    </row>
    <row r="2905" spans="1:40" x14ac:dyDescent="0.3">
      <c r="A2905" s="1">
        <v>46210.663425925923</v>
      </c>
      <c r="B2905" t="s">
        <v>40</v>
      </c>
      <c r="C2905" t="s">
        <v>41</v>
      </c>
      <c r="D2905" s="1">
        <v>46210.666724537034</v>
      </c>
      <c r="E2905" t="s">
        <v>42</v>
      </c>
      <c r="F2905" t="s">
        <v>83</v>
      </c>
      <c r="G2905">
        <v>32</v>
      </c>
      <c r="H2905">
        <v>33147</v>
      </c>
      <c r="I2905" t="s">
        <v>1612</v>
      </c>
      <c r="J2905">
        <v>74</v>
      </c>
      <c r="K2905">
        <v>271</v>
      </c>
      <c r="L2905">
        <v>98</v>
      </c>
      <c r="M2905">
        <v>622.70001220999995</v>
      </c>
      <c r="N2905" t="s">
        <v>87</v>
      </c>
      <c r="O2905" t="s">
        <v>86</v>
      </c>
      <c r="P2905">
        <v>130</v>
      </c>
      <c r="Q2905">
        <v>5</v>
      </c>
      <c r="R2905">
        <v>191</v>
      </c>
      <c r="S2905">
        <v>1243</v>
      </c>
      <c r="T2905">
        <v>-40</v>
      </c>
      <c r="U2905">
        <v>58</v>
      </c>
      <c r="V2905">
        <v>1200</v>
      </c>
      <c r="W2905">
        <v>33</v>
      </c>
      <c r="X2905">
        <v>33</v>
      </c>
      <c r="Y2905">
        <v>1</v>
      </c>
      <c r="Z2905">
        <v>8</v>
      </c>
      <c r="AA2905">
        <v>28</v>
      </c>
      <c r="AB2905">
        <v>2</v>
      </c>
      <c r="AC2905">
        <v>3</v>
      </c>
      <c r="AD2905">
        <v>3.25300002</v>
      </c>
      <c r="AE2905">
        <v>1</v>
      </c>
      <c r="AF2905">
        <v>42</v>
      </c>
      <c r="AG2905">
        <v>3.22900009</v>
      </c>
      <c r="AH2905">
        <v>4</v>
      </c>
      <c r="AI2905">
        <v>17</v>
      </c>
      <c r="AJ2905">
        <v>1</v>
      </c>
      <c r="AK2905">
        <v>25</v>
      </c>
      <c r="AL2905">
        <v>52</v>
      </c>
      <c r="AM2905" t="s">
        <v>43</v>
      </c>
      <c r="AN2905" t="str">
        <f>HYPERLINK("https://www.google.com/maps?q=10.78653622,79.35187531","Open Location")</f>
        <v>Open Location</v>
      </c>
    </row>
    <row r="2906" spans="1:40" x14ac:dyDescent="0.3">
      <c r="A2906" s="1">
        <v>46210.663310185184</v>
      </c>
      <c r="B2906" t="s">
        <v>40</v>
      </c>
      <c r="C2906" t="s">
        <v>41</v>
      </c>
      <c r="D2906" s="1">
        <v>46210.666006944448</v>
      </c>
      <c r="E2906" t="s">
        <v>42</v>
      </c>
      <c r="F2906" t="s">
        <v>83</v>
      </c>
      <c r="G2906">
        <v>24</v>
      </c>
      <c r="H2906">
        <v>33147</v>
      </c>
      <c r="I2906" t="s">
        <v>1613</v>
      </c>
      <c r="J2906">
        <v>74</v>
      </c>
      <c r="K2906">
        <v>266</v>
      </c>
      <c r="L2906">
        <v>98</v>
      </c>
      <c r="M2906">
        <v>624.29998779000005</v>
      </c>
      <c r="N2906" t="s">
        <v>87</v>
      </c>
      <c r="O2906" t="s">
        <v>86</v>
      </c>
      <c r="P2906">
        <v>129</v>
      </c>
      <c r="Q2906">
        <v>5</v>
      </c>
      <c r="R2906">
        <v>192</v>
      </c>
      <c r="S2906">
        <v>1235</v>
      </c>
      <c r="T2906">
        <v>-40</v>
      </c>
      <c r="U2906">
        <v>55</v>
      </c>
      <c r="V2906">
        <v>1240</v>
      </c>
      <c r="W2906">
        <v>33</v>
      </c>
      <c r="X2906">
        <v>33</v>
      </c>
      <c r="Y2906">
        <v>1</v>
      </c>
      <c r="Z2906">
        <v>8</v>
      </c>
      <c r="AA2906">
        <v>28</v>
      </c>
      <c r="AB2906">
        <v>2</v>
      </c>
      <c r="AC2906">
        <v>3</v>
      </c>
      <c r="AD2906">
        <v>3.2699999800000001</v>
      </c>
      <c r="AE2906">
        <v>1</v>
      </c>
      <c r="AF2906">
        <v>42</v>
      </c>
      <c r="AG2906">
        <v>3.2509999299999999</v>
      </c>
      <c r="AH2906">
        <v>4</v>
      </c>
      <c r="AI2906">
        <v>17</v>
      </c>
      <c r="AJ2906">
        <v>1</v>
      </c>
      <c r="AK2906">
        <v>26</v>
      </c>
      <c r="AL2906">
        <v>52</v>
      </c>
      <c r="AM2906" t="s">
        <v>43</v>
      </c>
      <c r="AN2906" t="str">
        <f>HYPERLINK("https://www.google.com/maps?q=10.78624821,79.35269165","Open Location")</f>
        <v>Open Location</v>
      </c>
    </row>
    <row r="2907" spans="1:40" x14ac:dyDescent="0.3">
      <c r="A2907" s="1">
        <v>46210.663194444445</v>
      </c>
      <c r="B2907" t="s">
        <v>40</v>
      </c>
      <c r="C2907" t="s">
        <v>41</v>
      </c>
      <c r="D2907" s="1">
        <v>46210.665983796294</v>
      </c>
      <c r="E2907" t="s">
        <v>42</v>
      </c>
      <c r="F2907" t="s">
        <v>83</v>
      </c>
      <c r="G2907">
        <v>12</v>
      </c>
      <c r="H2907">
        <v>33147</v>
      </c>
      <c r="I2907" t="s">
        <v>1614</v>
      </c>
      <c r="J2907">
        <v>74</v>
      </c>
      <c r="K2907">
        <v>99</v>
      </c>
      <c r="L2907">
        <v>98</v>
      </c>
      <c r="M2907">
        <v>631.59997558999999</v>
      </c>
      <c r="N2907" t="s">
        <v>87</v>
      </c>
      <c r="O2907" t="s">
        <v>86</v>
      </c>
      <c r="P2907">
        <v>128</v>
      </c>
      <c r="Q2907">
        <v>3</v>
      </c>
      <c r="R2907">
        <v>111</v>
      </c>
      <c r="S2907">
        <v>1578</v>
      </c>
      <c r="T2907">
        <v>-40</v>
      </c>
      <c r="U2907">
        <v>52</v>
      </c>
      <c r="V2907">
        <v>340</v>
      </c>
      <c r="W2907">
        <v>33</v>
      </c>
      <c r="X2907">
        <v>33</v>
      </c>
      <c r="Y2907">
        <v>1</v>
      </c>
      <c r="Z2907">
        <v>8</v>
      </c>
      <c r="AA2907">
        <v>28</v>
      </c>
      <c r="AB2907">
        <v>2</v>
      </c>
      <c r="AC2907">
        <v>3</v>
      </c>
      <c r="AD2907">
        <v>3.30900002</v>
      </c>
      <c r="AE2907">
        <v>1</v>
      </c>
      <c r="AF2907">
        <v>41</v>
      </c>
      <c r="AG2907">
        <v>3.2999999500000001</v>
      </c>
      <c r="AH2907">
        <v>4</v>
      </c>
      <c r="AI2907">
        <v>17</v>
      </c>
      <c r="AJ2907">
        <v>1</v>
      </c>
      <c r="AK2907">
        <v>27</v>
      </c>
      <c r="AL2907">
        <v>52</v>
      </c>
      <c r="AM2907" t="s">
        <v>43</v>
      </c>
      <c r="AN2907" t="str">
        <f>HYPERLINK("https://www.google.com/maps?q=10.78601837,79.35314178","Open Location")</f>
        <v>Open Location</v>
      </c>
    </row>
    <row r="2908" spans="1:40" x14ac:dyDescent="0.3">
      <c r="A2908" s="1">
        <v>46210.663078703707</v>
      </c>
      <c r="B2908" t="s">
        <v>40</v>
      </c>
      <c r="C2908" t="s">
        <v>41</v>
      </c>
      <c r="D2908" s="1">
        <v>46210.665868055556</v>
      </c>
      <c r="E2908" t="s">
        <v>42</v>
      </c>
      <c r="F2908" t="s">
        <v>83</v>
      </c>
      <c r="G2908">
        <v>0</v>
      </c>
      <c r="H2908">
        <v>33147</v>
      </c>
      <c r="I2908" t="s">
        <v>1615</v>
      </c>
      <c r="J2908">
        <v>74</v>
      </c>
      <c r="K2908">
        <v>14</v>
      </c>
      <c r="L2908">
        <v>98</v>
      </c>
      <c r="M2908">
        <v>635.40002441000001</v>
      </c>
      <c r="N2908" t="s">
        <v>85</v>
      </c>
      <c r="O2908" t="s">
        <v>86</v>
      </c>
      <c r="P2908">
        <v>127</v>
      </c>
      <c r="Q2908">
        <v>2</v>
      </c>
      <c r="R2908">
        <v>0</v>
      </c>
      <c r="S2908">
        <v>518</v>
      </c>
      <c r="T2908">
        <v>-40</v>
      </c>
      <c r="U2908">
        <v>50</v>
      </c>
      <c r="V2908">
        <v>5</v>
      </c>
      <c r="W2908">
        <v>33</v>
      </c>
      <c r="X2908">
        <v>33</v>
      </c>
      <c r="Y2908">
        <v>1</v>
      </c>
      <c r="Z2908">
        <v>8</v>
      </c>
      <c r="AA2908">
        <v>28</v>
      </c>
      <c r="AB2908">
        <v>2</v>
      </c>
      <c r="AC2908">
        <v>3</v>
      </c>
      <c r="AD2908">
        <v>3.2990000199999998</v>
      </c>
      <c r="AE2908">
        <v>1</v>
      </c>
      <c r="AF2908">
        <v>41</v>
      </c>
      <c r="AG2908">
        <v>3.2869999399999998</v>
      </c>
      <c r="AH2908">
        <v>4</v>
      </c>
      <c r="AI2908">
        <v>17</v>
      </c>
      <c r="AJ2908">
        <v>1</v>
      </c>
      <c r="AK2908">
        <v>26</v>
      </c>
      <c r="AL2908">
        <v>52</v>
      </c>
      <c r="AM2908" t="s">
        <v>43</v>
      </c>
      <c r="AN2908" t="str">
        <f>HYPERLINK("https://www.google.com/maps?q=10.78596592,79.35325623","Open Location")</f>
        <v>Open Location</v>
      </c>
    </row>
    <row r="2909" spans="1:40" x14ac:dyDescent="0.3">
      <c r="A2909" s="1">
        <v>46210.662962962961</v>
      </c>
      <c r="B2909" t="s">
        <v>40</v>
      </c>
      <c r="C2909" t="s">
        <v>41</v>
      </c>
      <c r="D2909" s="1">
        <v>46210.665844907409</v>
      </c>
      <c r="E2909" t="s">
        <v>42</v>
      </c>
      <c r="F2909" t="s">
        <v>83</v>
      </c>
      <c r="G2909">
        <v>14</v>
      </c>
      <c r="H2909">
        <v>33147</v>
      </c>
      <c r="I2909" t="s">
        <v>43</v>
      </c>
      <c r="J2909">
        <v>74</v>
      </c>
      <c r="K2909">
        <v>14</v>
      </c>
      <c r="L2909">
        <v>98</v>
      </c>
      <c r="M2909">
        <v>633.79998779000005</v>
      </c>
      <c r="N2909" t="s">
        <v>87</v>
      </c>
      <c r="O2909" t="s">
        <v>86</v>
      </c>
      <c r="P2909">
        <v>129</v>
      </c>
      <c r="Q2909">
        <v>4</v>
      </c>
      <c r="R2909">
        <v>-84</v>
      </c>
      <c r="S2909">
        <v>1138</v>
      </c>
      <c r="T2909">
        <v>-40</v>
      </c>
      <c r="U2909">
        <v>51</v>
      </c>
      <c r="V2909">
        <v>0</v>
      </c>
      <c r="W2909">
        <v>33</v>
      </c>
      <c r="X2909">
        <v>33</v>
      </c>
      <c r="Y2909">
        <v>1</v>
      </c>
      <c r="Z2909">
        <v>8</v>
      </c>
      <c r="AA2909">
        <v>28</v>
      </c>
      <c r="AB2909">
        <v>2</v>
      </c>
      <c r="AC2909">
        <v>3</v>
      </c>
      <c r="AD2909">
        <v>3.31500006</v>
      </c>
      <c r="AE2909">
        <v>1</v>
      </c>
      <c r="AF2909">
        <v>23</v>
      </c>
      <c r="AG2909">
        <v>3.30699992</v>
      </c>
      <c r="AH2909">
        <v>4</v>
      </c>
      <c r="AI2909">
        <v>17</v>
      </c>
      <c r="AJ2909">
        <v>1</v>
      </c>
      <c r="AK2909">
        <v>27</v>
      </c>
      <c r="AL2909">
        <v>52</v>
      </c>
      <c r="AM2909" t="s">
        <v>43</v>
      </c>
      <c r="AN2909" t="s">
        <v>43</v>
      </c>
    </row>
    <row r="2910" spans="1:40" x14ac:dyDescent="0.3">
      <c r="A2910" s="1">
        <v>46210.662847222222</v>
      </c>
      <c r="B2910" t="s">
        <v>40</v>
      </c>
      <c r="C2910" t="s">
        <v>41</v>
      </c>
      <c r="D2910" s="1">
        <v>46210.665543981479</v>
      </c>
      <c r="E2910" t="s">
        <v>42</v>
      </c>
      <c r="F2910" t="s">
        <v>83</v>
      </c>
      <c r="G2910">
        <v>11</v>
      </c>
      <c r="H2910" t="s">
        <v>43</v>
      </c>
      <c r="I2910" t="s">
        <v>1616</v>
      </c>
      <c r="J2910">
        <v>74</v>
      </c>
      <c r="K2910">
        <v>85</v>
      </c>
      <c r="L2910">
        <v>98</v>
      </c>
      <c r="M2910">
        <v>632.70001220999995</v>
      </c>
      <c r="N2910" t="s">
        <v>87</v>
      </c>
      <c r="O2910" t="s">
        <v>86</v>
      </c>
      <c r="P2910">
        <v>128</v>
      </c>
      <c r="Q2910">
        <v>3</v>
      </c>
      <c r="R2910">
        <v>74</v>
      </c>
      <c r="S2910">
        <v>1845</v>
      </c>
      <c r="T2910">
        <v>-40</v>
      </c>
      <c r="U2910">
        <v>52</v>
      </c>
      <c r="V2910">
        <v>280</v>
      </c>
      <c r="W2910">
        <v>33</v>
      </c>
      <c r="X2910">
        <v>33</v>
      </c>
      <c r="Y2910">
        <v>1</v>
      </c>
      <c r="Z2910">
        <v>8</v>
      </c>
      <c r="AA2910">
        <v>28</v>
      </c>
      <c r="AB2910">
        <v>2</v>
      </c>
      <c r="AC2910">
        <v>3</v>
      </c>
      <c r="AD2910">
        <v>3.2909998900000001</v>
      </c>
      <c r="AE2910">
        <v>1</v>
      </c>
      <c r="AF2910">
        <v>42</v>
      </c>
      <c r="AG2910">
        <v>3.2760000200000001</v>
      </c>
      <c r="AH2910">
        <v>7</v>
      </c>
      <c r="AI2910">
        <v>1</v>
      </c>
      <c r="AJ2910">
        <v>1</v>
      </c>
      <c r="AK2910">
        <v>25</v>
      </c>
      <c r="AL2910">
        <v>52</v>
      </c>
      <c r="AM2910" t="s">
        <v>43</v>
      </c>
      <c r="AN2910" t="str">
        <f>HYPERLINK("https://www.google.com/maps?q=10.78579903,79.35362244","Open Location")</f>
        <v>Open Location</v>
      </c>
    </row>
    <row r="2911" spans="1:40" x14ac:dyDescent="0.3">
      <c r="A2911" s="1">
        <v>46210.662731481483</v>
      </c>
      <c r="B2911" t="s">
        <v>40</v>
      </c>
      <c r="C2911" t="s">
        <v>41</v>
      </c>
      <c r="D2911" s="1">
        <v>46210.665648148148</v>
      </c>
      <c r="E2911" t="s">
        <v>42</v>
      </c>
      <c r="F2911" t="s">
        <v>83</v>
      </c>
      <c r="G2911">
        <v>12</v>
      </c>
      <c r="H2911">
        <v>33147</v>
      </c>
      <c r="I2911" t="s">
        <v>1617</v>
      </c>
      <c r="J2911">
        <v>74</v>
      </c>
      <c r="K2911">
        <v>-114</v>
      </c>
      <c r="L2911">
        <v>98</v>
      </c>
      <c r="M2911">
        <v>640.29998779000005</v>
      </c>
      <c r="N2911" t="s">
        <v>87</v>
      </c>
      <c r="O2911" t="s">
        <v>86</v>
      </c>
      <c r="P2911">
        <v>131</v>
      </c>
      <c r="Q2911">
        <v>2</v>
      </c>
      <c r="R2911">
        <v>-25</v>
      </c>
      <c r="S2911">
        <v>871</v>
      </c>
      <c r="T2911">
        <v>-40</v>
      </c>
      <c r="U2911">
        <v>54</v>
      </c>
      <c r="V2911">
        <v>-920</v>
      </c>
      <c r="W2911">
        <v>33</v>
      </c>
      <c r="X2911">
        <v>33</v>
      </c>
      <c r="Y2911">
        <v>1</v>
      </c>
      <c r="Z2911">
        <v>8</v>
      </c>
      <c r="AA2911">
        <v>28</v>
      </c>
      <c r="AB2911">
        <v>2</v>
      </c>
      <c r="AC2911">
        <v>3</v>
      </c>
      <c r="AD2911">
        <v>3.3039999</v>
      </c>
      <c r="AE2911">
        <v>5</v>
      </c>
      <c r="AF2911">
        <v>38</v>
      </c>
      <c r="AG2911">
        <v>3.2950000799999999</v>
      </c>
      <c r="AH2911">
        <v>4</v>
      </c>
      <c r="AI2911">
        <v>17</v>
      </c>
      <c r="AJ2911">
        <v>1</v>
      </c>
      <c r="AK2911">
        <v>26</v>
      </c>
      <c r="AL2911">
        <v>52</v>
      </c>
      <c r="AM2911" t="s">
        <v>43</v>
      </c>
      <c r="AN2911" t="str">
        <f>HYPERLINK("https://www.google.com/maps?q=10.78570461,79.35390472","Open Location")</f>
        <v>Open Location</v>
      </c>
    </row>
    <row r="2912" spans="1:40" x14ac:dyDescent="0.3">
      <c r="A2912" s="1">
        <v>46210.662615740737</v>
      </c>
      <c r="B2912" t="s">
        <v>40</v>
      </c>
      <c r="C2912" t="s">
        <v>41</v>
      </c>
      <c r="D2912" s="1">
        <v>46210.665763888886</v>
      </c>
      <c r="E2912" t="s">
        <v>42</v>
      </c>
      <c r="F2912" t="s">
        <v>83</v>
      </c>
      <c r="G2912">
        <v>42</v>
      </c>
      <c r="H2912">
        <v>33147</v>
      </c>
      <c r="I2912" t="s">
        <v>1618</v>
      </c>
      <c r="J2912">
        <v>74</v>
      </c>
      <c r="K2912">
        <v>-48</v>
      </c>
      <c r="L2912">
        <v>98</v>
      </c>
      <c r="M2912">
        <v>637.29998779000005</v>
      </c>
      <c r="N2912" t="s">
        <v>87</v>
      </c>
      <c r="O2912" t="s">
        <v>86</v>
      </c>
      <c r="P2912">
        <v>131</v>
      </c>
      <c r="Q2912">
        <v>6</v>
      </c>
      <c r="R2912">
        <v>-37</v>
      </c>
      <c r="S2912">
        <v>1213</v>
      </c>
      <c r="T2912">
        <v>-40</v>
      </c>
      <c r="U2912">
        <v>51</v>
      </c>
      <c r="V2912">
        <v>-300</v>
      </c>
      <c r="W2912">
        <v>33</v>
      </c>
      <c r="X2912">
        <v>33</v>
      </c>
      <c r="Y2912">
        <v>1</v>
      </c>
      <c r="Z2912">
        <v>8</v>
      </c>
      <c r="AA2912">
        <v>28</v>
      </c>
      <c r="AB2912">
        <v>2</v>
      </c>
      <c r="AC2912">
        <v>4</v>
      </c>
      <c r="AD2912">
        <v>3.3429999399999999</v>
      </c>
      <c r="AE2912">
        <v>6</v>
      </c>
      <c r="AF2912">
        <v>24</v>
      </c>
      <c r="AG2912">
        <v>3.33599997</v>
      </c>
      <c r="AH2912">
        <v>8</v>
      </c>
      <c r="AI2912">
        <v>23</v>
      </c>
      <c r="AJ2912">
        <v>1</v>
      </c>
      <c r="AK2912">
        <v>27</v>
      </c>
      <c r="AL2912">
        <v>52</v>
      </c>
      <c r="AM2912" t="s">
        <v>43</v>
      </c>
      <c r="AN2912" t="str">
        <f>HYPERLINK("https://www.google.com/maps?q=10.78534794,79.35478973","Open Location")</f>
        <v>Open Location</v>
      </c>
    </row>
    <row r="2913" spans="1:40" x14ac:dyDescent="0.3">
      <c r="A2913" s="1">
        <v>46210.662499999999</v>
      </c>
      <c r="B2913" t="s">
        <v>40</v>
      </c>
      <c r="C2913" t="s">
        <v>41</v>
      </c>
      <c r="D2913" s="1">
        <v>46210.665763888886</v>
      </c>
      <c r="E2913" t="s">
        <v>42</v>
      </c>
      <c r="F2913" t="s">
        <v>83</v>
      </c>
      <c r="G2913">
        <v>45</v>
      </c>
      <c r="H2913">
        <v>33147</v>
      </c>
      <c r="I2913" t="s">
        <v>1619</v>
      </c>
      <c r="J2913">
        <v>74</v>
      </c>
      <c r="K2913">
        <v>-52</v>
      </c>
      <c r="L2913">
        <v>98</v>
      </c>
      <c r="M2913">
        <v>635.40002441000001</v>
      </c>
      <c r="N2913" t="s">
        <v>87</v>
      </c>
      <c r="O2913" t="s">
        <v>86</v>
      </c>
      <c r="P2913">
        <v>131</v>
      </c>
      <c r="Q2913">
        <v>6</v>
      </c>
      <c r="R2913">
        <v>-40</v>
      </c>
      <c r="S2913">
        <v>1297</v>
      </c>
      <c r="T2913">
        <v>-40</v>
      </c>
      <c r="U2913">
        <v>52</v>
      </c>
      <c r="V2913">
        <v>-300</v>
      </c>
      <c r="W2913">
        <v>33</v>
      </c>
      <c r="X2913">
        <v>33</v>
      </c>
      <c r="Y2913">
        <v>1</v>
      </c>
      <c r="Z2913">
        <v>8</v>
      </c>
      <c r="AA2913">
        <v>28</v>
      </c>
      <c r="AB2913">
        <v>2</v>
      </c>
      <c r="AC2913">
        <v>4</v>
      </c>
      <c r="AD2913">
        <v>3.3199999299999998</v>
      </c>
      <c r="AE2913">
        <v>1</v>
      </c>
      <c r="AF2913">
        <v>25</v>
      </c>
      <c r="AG2913">
        <v>3.3169999099999998</v>
      </c>
      <c r="AH2913">
        <v>2</v>
      </c>
      <c r="AI2913">
        <v>3</v>
      </c>
      <c r="AJ2913">
        <v>1</v>
      </c>
      <c r="AK2913">
        <v>26</v>
      </c>
      <c r="AL2913">
        <v>52</v>
      </c>
      <c r="AM2913" t="s">
        <v>43</v>
      </c>
      <c r="AN2913" t="str">
        <f>HYPERLINK("https://www.google.com/maps?q=10.78486443,79.35606384","Open Location")</f>
        <v>Open Location</v>
      </c>
    </row>
    <row r="2914" spans="1:40" x14ac:dyDescent="0.3">
      <c r="A2914" s="1">
        <v>46210.66238425926</v>
      </c>
      <c r="B2914" t="s">
        <v>40</v>
      </c>
      <c r="C2914" t="s">
        <v>41</v>
      </c>
      <c r="D2914" s="1">
        <v>46210.665381944447</v>
      </c>
      <c r="E2914" t="s">
        <v>42</v>
      </c>
      <c r="F2914" t="s">
        <v>83</v>
      </c>
      <c r="G2914">
        <v>47</v>
      </c>
      <c r="H2914">
        <v>33147</v>
      </c>
      <c r="I2914" t="s">
        <v>1620</v>
      </c>
      <c r="J2914">
        <v>74</v>
      </c>
      <c r="K2914">
        <v>187</v>
      </c>
      <c r="L2914">
        <v>98</v>
      </c>
      <c r="M2914">
        <v>627.5</v>
      </c>
      <c r="N2914" t="s">
        <v>87</v>
      </c>
      <c r="O2914" t="s">
        <v>86</v>
      </c>
      <c r="P2914">
        <v>131</v>
      </c>
      <c r="Q2914">
        <v>6</v>
      </c>
      <c r="R2914">
        <v>96</v>
      </c>
      <c r="S2914">
        <v>1291</v>
      </c>
      <c r="T2914">
        <v>-40</v>
      </c>
      <c r="U2914">
        <v>54</v>
      </c>
      <c r="V2914">
        <v>840</v>
      </c>
      <c r="W2914">
        <v>33</v>
      </c>
      <c r="X2914">
        <v>33</v>
      </c>
      <c r="Y2914">
        <v>1</v>
      </c>
      <c r="Z2914">
        <v>8</v>
      </c>
      <c r="AA2914">
        <v>28</v>
      </c>
      <c r="AB2914">
        <v>2</v>
      </c>
      <c r="AC2914">
        <v>4</v>
      </c>
      <c r="AD2914">
        <v>3.31299996</v>
      </c>
      <c r="AE2914">
        <v>1</v>
      </c>
      <c r="AF2914">
        <v>36</v>
      </c>
      <c r="AG2914">
        <v>3.30900002</v>
      </c>
      <c r="AH2914">
        <v>2</v>
      </c>
      <c r="AI2914">
        <v>6</v>
      </c>
      <c r="AJ2914">
        <v>1</v>
      </c>
      <c r="AK2914">
        <v>26</v>
      </c>
      <c r="AL2914">
        <v>52</v>
      </c>
      <c r="AM2914" t="s">
        <v>43</v>
      </c>
      <c r="AN2914" t="str">
        <f>HYPERLINK("https://www.google.com/maps?q=10.78441811,79.35756683","Open Location")</f>
        <v>Open Location</v>
      </c>
    </row>
    <row r="2915" spans="1:40" x14ac:dyDescent="0.3">
      <c r="A2915" s="1">
        <v>46210.662268518521</v>
      </c>
      <c r="B2915" t="s">
        <v>40</v>
      </c>
      <c r="C2915" t="s">
        <v>41</v>
      </c>
      <c r="D2915" s="1">
        <v>46210.664976851855</v>
      </c>
      <c r="E2915" t="s">
        <v>42</v>
      </c>
      <c r="F2915" t="s">
        <v>83</v>
      </c>
      <c r="G2915">
        <v>46</v>
      </c>
      <c r="H2915">
        <v>33147</v>
      </c>
      <c r="I2915" t="s">
        <v>43</v>
      </c>
      <c r="J2915">
        <v>74</v>
      </c>
      <c r="K2915">
        <v>49</v>
      </c>
      <c r="L2915">
        <v>98</v>
      </c>
      <c r="M2915">
        <v>631.70001220999995</v>
      </c>
      <c r="N2915" t="s">
        <v>87</v>
      </c>
      <c r="O2915" t="s">
        <v>86</v>
      </c>
      <c r="P2915">
        <v>131</v>
      </c>
      <c r="Q2915">
        <v>6</v>
      </c>
      <c r="R2915">
        <v>97</v>
      </c>
      <c r="S2915">
        <v>1318</v>
      </c>
      <c r="T2915">
        <v>-40</v>
      </c>
      <c r="U2915">
        <v>52</v>
      </c>
      <c r="V2915">
        <v>204</v>
      </c>
      <c r="W2915">
        <v>33</v>
      </c>
      <c r="X2915">
        <v>33</v>
      </c>
      <c r="Y2915">
        <v>1</v>
      </c>
      <c r="Z2915">
        <v>8</v>
      </c>
      <c r="AA2915">
        <v>28</v>
      </c>
      <c r="AB2915">
        <v>2</v>
      </c>
      <c r="AC2915">
        <v>4</v>
      </c>
      <c r="AD2915">
        <v>3.2780001200000002</v>
      </c>
      <c r="AE2915">
        <v>1</v>
      </c>
      <c r="AF2915">
        <v>42</v>
      </c>
      <c r="AG2915">
        <v>3.26200008</v>
      </c>
      <c r="AH2915">
        <v>4</v>
      </c>
      <c r="AI2915">
        <v>17</v>
      </c>
      <c r="AJ2915">
        <v>1</v>
      </c>
      <c r="AK2915">
        <v>26</v>
      </c>
      <c r="AL2915">
        <v>52</v>
      </c>
      <c r="AM2915" t="s">
        <v>43</v>
      </c>
      <c r="AN2915" t="s">
        <v>43</v>
      </c>
    </row>
    <row r="2916" spans="1:40" x14ac:dyDescent="0.3">
      <c r="A2916" s="1">
        <v>46210.662152777775</v>
      </c>
      <c r="B2916" t="s">
        <v>40</v>
      </c>
      <c r="C2916" t="s">
        <v>41</v>
      </c>
      <c r="D2916" s="1">
        <v>46210.664895833332</v>
      </c>
      <c r="E2916" t="s">
        <v>42</v>
      </c>
      <c r="F2916" t="s">
        <v>83</v>
      </c>
      <c r="G2916">
        <v>50</v>
      </c>
      <c r="H2916" t="s">
        <v>43</v>
      </c>
      <c r="I2916" t="s">
        <v>1621</v>
      </c>
      <c r="J2916">
        <v>74</v>
      </c>
      <c r="K2916">
        <v>-59</v>
      </c>
      <c r="L2916">
        <v>98</v>
      </c>
      <c r="M2916">
        <v>635.5</v>
      </c>
      <c r="N2916" t="s">
        <v>87</v>
      </c>
      <c r="O2916" t="s">
        <v>86</v>
      </c>
      <c r="P2916">
        <v>131</v>
      </c>
      <c r="Q2916">
        <v>6</v>
      </c>
      <c r="R2916">
        <v>-44</v>
      </c>
      <c r="S2916">
        <v>1450</v>
      </c>
      <c r="T2916">
        <v>-40</v>
      </c>
      <c r="U2916">
        <v>52</v>
      </c>
      <c r="V2916">
        <v>-300</v>
      </c>
      <c r="W2916">
        <v>33</v>
      </c>
      <c r="X2916">
        <v>33</v>
      </c>
      <c r="Y2916">
        <v>1</v>
      </c>
      <c r="Z2916">
        <v>8</v>
      </c>
      <c r="AA2916">
        <v>29</v>
      </c>
      <c r="AB2916">
        <v>1</v>
      </c>
      <c r="AC2916">
        <v>3</v>
      </c>
      <c r="AD2916">
        <v>3.31800008</v>
      </c>
      <c r="AE2916">
        <v>1</v>
      </c>
      <c r="AF2916">
        <v>25</v>
      </c>
      <c r="AG2916">
        <v>3.3139998899999998</v>
      </c>
      <c r="AH2916">
        <v>2</v>
      </c>
      <c r="AI2916">
        <v>12</v>
      </c>
      <c r="AJ2916">
        <v>1</v>
      </c>
      <c r="AK2916">
        <v>26</v>
      </c>
      <c r="AL2916">
        <v>52</v>
      </c>
      <c r="AM2916" t="s">
        <v>43</v>
      </c>
      <c r="AN2916" t="str">
        <f>HYPERLINK("https://www.google.com/maps?q=10.78388119,79.35889435","Open Location")</f>
        <v>Open Location</v>
      </c>
    </row>
    <row r="2917" spans="1:40" x14ac:dyDescent="0.3">
      <c r="A2917" s="1">
        <v>46210.662037037036</v>
      </c>
      <c r="B2917" t="s">
        <v>40</v>
      </c>
      <c r="C2917" t="s">
        <v>41</v>
      </c>
      <c r="D2917" s="1">
        <v>46210.664965277778</v>
      </c>
      <c r="E2917" t="s">
        <v>42</v>
      </c>
      <c r="F2917" t="s">
        <v>83</v>
      </c>
      <c r="G2917">
        <v>55</v>
      </c>
      <c r="H2917">
        <v>33147</v>
      </c>
      <c r="I2917" t="s">
        <v>1622</v>
      </c>
      <c r="J2917">
        <v>74</v>
      </c>
      <c r="K2917">
        <v>259</v>
      </c>
      <c r="L2917">
        <v>98</v>
      </c>
      <c r="M2917">
        <v>621.5</v>
      </c>
      <c r="N2917" t="s">
        <v>87</v>
      </c>
      <c r="O2917" t="s">
        <v>86</v>
      </c>
      <c r="P2917">
        <v>131</v>
      </c>
      <c r="Q2917">
        <v>6</v>
      </c>
      <c r="R2917">
        <v>-48</v>
      </c>
      <c r="S2917">
        <v>1583</v>
      </c>
      <c r="T2917">
        <v>-40</v>
      </c>
      <c r="U2917">
        <v>53</v>
      </c>
      <c r="V2917">
        <v>980</v>
      </c>
      <c r="W2917">
        <v>33</v>
      </c>
      <c r="X2917">
        <v>33</v>
      </c>
      <c r="Y2917">
        <v>1</v>
      </c>
      <c r="Z2917">
        <v>8</v>
      </c>
      <c r="AA2917">
        <v>28</v>
      </c>
      <c r="AB2917">
        <v>2</v>
      </c>
      <c r="AC2917">
        <v>4</v>
      </c>
      <c r="AD2917">
        <v>3.31200004</v>
      </c>
      <c r="AE2917">
        <v>1</v>
      </c>
      <c r="AF2917">
        <v>43</v>
      </c>
      <c r="AG2917">
        <v>3.30699992</v>
      </c>
      <c r="AH2917">
        <v>3</v>
      </c>
      <c r="AI2917">
        <v>1</v>
      </c>
      <c r="AJ2917">
        <v>1</v>
      </c>
      <c r="AK2917">
        <v>26</v>
      </c>
      <c r="AL2917">
        <v>52</v>
      </c>
      <c r="AM2917" t="s">
        <v>43</v>
      </c>
      <c r="AN2917" t="str">
        <f>HYPERLINK("https://www.google.com/maps?q=10.78306293,79.36025238","Open Location")</f>
        <v>Open Location</v>
      </c>
    </row>
    <row r="2918" spans="1:40" x14ac:dyDescent="0.3">
      <c r="A2918" s="1">
        <v>46210.661921296298</v>
      </c>
      <c r="B2918" t="s">
        <v>40</v>
      </c>
      <c r="C2918" t="s">
        <v>41</v>
      </c>
      <c r="D2918" s="1">
        <v>46210.664583333331</v>
      </c>
      <c r="E2918" t="s">
        <v>42</v>
      </c>
      <c r="F2918" t="s">
        <v>83</v>
      </c>
      <c r="G2918">
        <v>57</v>
      </c>
      <c r="H2918">
        <v>33146</v>
      </c>
      <c r="I2918" t="s">
        <v>1623</v>
      </c>
      <c r="J2918">
        <v>74</v>
      </c>
      <c r="K2918">
        <v>186</v>
      </c>
      <c r="L2918">
        <v>98</v>
      </c>
      <c r="M2918">
        <v>624.20001220999995</v>
      </c>
      <c r="N2918" t="s">
        <v>87</v>
      </c>
      <c r="O2918" t="s">
        <v>86</v>
      </c>
      <c r="P2918">
        <v>131</v>
      </c>
      <c r="Q2918">
        <v>6</v>
      </c>
      <c r="R2918">
        <v>127</v>
      </c>
      <c r="S2918">
        <v>1583</v>
      </c>
      <c r="T2918">
        <v>-40</v>
      </c>
      <c r="U2918">
        <v>56</v>
      </c>
      <c r="V2918">
        <v>680</v>
      </c>
      <c r="W2918">
        <v>33</v>
      </c>
      <c r="X2918">
        <v>33</v>
      </c>
      <c r="Y2918">
        <v>1</v>
      </c>
      <c r="Z2918">
        <v>8</v>
      </c>
      <c r="AA2918">
        <v>28</v>
      </c>
      <c r="AB2918">
        <v>2</v>
      </c>
      <c r="AC2918">
        <v>4</v>
      </c>
      <c r="AD2918">
        <v>3.2539999499999999</v>
      </c>
      <c r="AE2918">
        <v>1</v>
      </c>
      <c r="AF2918">
        <v>42</v>
      </c>
      <c r="AG2918">
        <v>3.2330000399999999</v>
      </c>
      <c r="AH2918">
        <v>4</v>
      </c>
      <c r="AI2918">
        <v>17</v>
      </c>
      <c r="AJ2918">
        <v>1</v>
      </c>
      <c r="AK2918">
        <v>26</v>
      </c>
      <c r="AL2918">
        <v>52</v>
      </c>
      <c r="AM2918" t="s">
        <v>43</v>
      </c>
      <c r="AN2918" t="str">
        <f>HYPERLINK("https://www.google.com/maps?q=10.7821703,79.36172485","Open Location")</f>
        <v>Open Location</v>
      </c>
    </row>
    <row r="2919" spans="1:40" x14ac:dyDescent="0.3">
      <c r="A2919" s="1">
        <v>46210.661805555559</v>
      </c>
      <c r="B2919" t="s">
        <v>40</v>
      </c>
      <c r="C2919" t="s">
        <v>41</v>
      </c>
      <c r="D2919" s="1">
        <v>46210.664571759262</v>
      </c>
      <c r="E2919" t="s">
        <v>42</v>
      </c>
      <c r="F2919" t="s">
        <v>83</v>
      </c>
      <c r="G2919">
        <v>56</v>
      </c>
      <c r="H2919" t="s">
        <v>43</v>
      </c>
      <c r="I2919" t="s">
        <v>1624</v>
      </c>
      <c r="J2919">
        <v>75</v>
      </c>
      <c r="K2919">
        <v>241</v>
      </c>
      <c r="L2919">
        <v>98</v>
      </c>
      <c r="M2919">
        <v>622.09997558999999</v>
      </c>
      <c r="N2919" t="s">
        <v>87</v>
      </c>
      <c r="O2919" t="s">
        <v>86</v>
      </c>
      <c r="P2919">
        <v>131</v>
      </c>
      <c r="Q2919">
        <v>6</v>
      </c>
      <c r="R2919">
        <v>194</v>
      </c>
      <c r="S2919">
        <v>1533</v>
      </c>
      <c r="T2919">
        <v>-40</v>
      </c>
      <c r="U2919">
        <v>56</v>
      </c>
      <c r="V2919">
        <v>880</v>
      </c>
      <c r="W2919">
        <v>33</v>
      </c>
      <c r="X2919">
        <v>33</v>
      </c>
      <c r="Y2919">
        <v>1</v>
      </c>
      <c r="Z2919">
        <v>8</v>
      </c>
      <c r="AA2919">
        <v>28</v>
      </c>
      <c r="AB2919">
        <v>2</v>
      </c>
      <c r="AC2919">
        <v>4</v>
      </c>
      <c r="AD2919">
        <v>3.25300002</v>
      </c>
      <c r="AE2919">
        <v>1</v>
      </c>
      <c r="AF2919">
        <v>42</v>
      </c>
      <c r="AG2919">
        <v>3.2309999500000002</v>
      </c>
      <c r="AH2919">
        <v>4</v>
      </c>
      <c r="AI2919">
        <v>17</v>
      </c>
      <c r="AJ2919">
        <v>1</v>
      </c>
      <c r="AK2919">
        <v>25</v>
      </c>
      <c r="AL2919">
        <v>52</v>
      </c>
      <c r="AM2919" t="s">
        <v>43</v>
      </c>
      <c r="AN2919" t="str">
        <f>HYPERLINK("https://www.google.com/maps?q=10.78137207,79.36325836","Open Location")</f>
        <v>Open Location</v>
      </c>
    </row>
    <row r="2920" spans="1:40" x14ac:dyDescent="0.3">
      <c r="A2920" s="1">
        <v>46210.661689814813</v>
      </c>
      <c r="B2920" t="s">
        <v>40</v>
      </c>
      <c r="C2920" t="s">
        <v>41</v>
      </c>
      <c r="D2920" s="1">
        <v>46210.664537037039</v>
      </c>
      <c r="E2920" t="s">
        <v>42</v>
      </c>
      <c r="F2920" t="s">
        <v>83</v>
      </c>
      <c r="G2920">
        <v>55</v>
      </c>
      <c r="H2920">
        <v>33146</v>
      </c>
      <c r="I2920" t="s">
        <v>1625</v>
      </c>
      <c r="J2920">
        <v>75</v>
      </c>
      <c r="K2920">
        <v>260</v>
      </c>
      <c r="L2920">
        <v>98</v>
      </c>
      <c r="M2920">
        <v>621.5</v>
      </c>
      <c r="N2920" t="s">
        <v>87</v>
      </c>
      <c r="O2920" t="s">
        <v>86</v>
      </c>
      <c r="P2920">
        <v>131</v>
      </c>
      <c r="Q2920">
        <v>6</v>
      </c>
      <c r="R2920">
        <v>153</v>
      </c>
      <c r="S2920">
        <v>1488</v>
      </c>
      <c r="T2920">
        <v>-40</v>
      </c>
      <c r="U2920">
        <v>56</v>
      </c>
      <c r="V2920">
        <v>1000</v>
      </c>
      <c r="W2920">
        <v>33</v>
      </c>
      <c r="X2920">
        <v>33</v>
      </c>
      <c r="Y2920">
        <v>1</v>
      </c>
      <c r="Z2920">
        <v>8</v>
      </c>
      <c r="AA2920">
        <v>28</v>
      </c>
      <c r="AB2920">
        <v>2</v>
      </c>
      <c r="AC2920">
        <v>4</v>
      </c>
      <c r="AD2920">
        <v>3.25900006</v>
      </c>
      <c r="AE2920">
        <v>1</v>
      </c>
      <c r="AF2920">
        <v>38</v>
      </c>
      <c r="AG2920">
        <v>3.2390000799999998</v>
      </c>
      <c r="AH2920">
        <v>4</v>
      </c>
      <c r="AI2920">
        <v>17</v>
      </c>
      <c r="AJ2920">
        <v>1</v>
      </c>
      <c r="AK2920">
        <v>26</v>
      </c>
      <c r="AL2920">
        <v>52</v>
      </c>
      <c r="AM2920" t="s">
        <v>43</v>
      </c>
      <c r="AN2920" t="str">
        <f>HYPERLINK("https://www.google.com/maps?q=10.78058147,79.36471558","Open Location")</f>
        <v>Open Location</v>
      </c>
    </row>
    <row r="2921" spans="1:40" x14ac:dyDescent="0.3">
      <c r="A2921" s="1">
        <v>46210.661574074074</v>
      </c>
      <c r="B2921" t="s">
        <v>40</v>
      </c>
      <c r="C2921" t="s">
        <v>41</v>
      </c>
      <c r="D2921" s="1">
        <v>46210.664583333331</v>
      </c>
      <c r="E2921" t="s">
        <v>42</v>
      </c>
      <c r="F2921" t="s">
        <v>83</v>
      </c>
      <c r="G2921">
        <v>52</v>
      </c>
      <c r="H2921">
        <v>33146</v>
      </c>
      <c r="I2921" t="s">
        <v>43</v>
      </c>
      <c r="J2921">
        <v>75</v>
      </c>
      <c r="K2921">
        <v>245</v>
      </c>
      <c r="L2921">
        <v>98</v>
      </c>
      <c r="M2921">
        <v>622.40002441000001</v>
      </c>
      <c r="N2921" t="s">
        <v>87</v>
      </c>
      <c r="O2921" t="s">
        <v>86</v>
      </c>
      <c r="P2921">
        <v>131</v>
      </c>
      <c r="Q2921">
        <v>6</v>
      </c>
      <c r="R2921">
        <v>151</v>
      </c>
      <c r="S2921">
        <v>1401</v>
      </c>
      <c r="T2921">
        <v>-40</v>
      </c>
      <c r="U2921">
        <v>55</v>
      </c>
      <c r="V2921">
        <v>1000</v>
      </c>
      <c r="W2921">
        <v>33</v>
      </c>
      <c r="X2921">
        <v>33</v>
      </c>
      <c r="Y2921">
        <v>1</v>
      </c>
      <c r="Z2921">
        <v>8</v>
      </c>
      <c r="AA2921">
        <v>28</v>
      </c>
      <c r="AB2921">
        <v>2</v>
      </c>
      <c r="AC2921">
        <v>4</v>
      </c>
      <c r="AD2921">
        <v>3.2579999000000002</v>
      </c>
      <c r="AE2921">
        <v>1</v>
      </c>
      <c r="AF2921">
        <v>42</v>
      </c>
      <c r="AG2921">
        <v>3.2369999900000002</v>
      </c>
      <c r="AH2921">
        <v>4</v>
      </c>
      <c r="AI2921">
        <v>17</v>
      </c>
      <c r="AJ2921">
        <v>1</v>
      </c>
      <c r="AK2921">
        <v>26</v>
      </c>
      <c r="AL2921">
        <v>52</v>
      </c>
      <c r="AM2921" t="s">
        <v>43</v>
      </c>
      <c r="AN2921" t="s">
        <v>43</v>
      </c>
    </row>
    <row r="2922" spans="1:40" x14ac:dyDescent="0.3">
      <c r="A2922" s="1">
        <v>46210.661458333336</v>
      </c>
      <c r="B2922" t="s">
        <v>40</v>
      </c>
      <c r="C2922" t="s">
        <v>41</v>
      </c>
      <c r="D2922" s="1">
        <v>46210.664178240739</v>
      </c>
      <c r="E2922" t="s">
        <v>42</v>
      </c>
      <c r="F2922" t="s">
        <v>83</v>
      </c>
      <c r="G2922">
        <v>49</v>
      </c>
      <c r="H2922">
        <v>33146</v>
      </c>
      <c r="I2922" t="s">
        <v>1626</v>
      </c>
      <c r="J2922">
        <v>75</v>
      </c>
      <c r="K2922">
        <v>184</v>
      </c>
      <c r="L2922">
        <v>98</v>
      </c>
      <c r="M2922">
        <v>626.5</v>
      </c>
      <c r="N2922" t="s">
        <v>87</v>
      </c>
      <c r="O2922" t="s">
        <v>86</v>
      </c>
      <c r="P2922">
        <v>131</v>
      </c>
      <c r="Q2922">
        <v>6</v>
      </c>
      <c r="R2922">
        <v>92</v>
      </c>
      <c r="S2922">
        <v>1365</v>
      </c>
      <c r="T2922">
        <v>-40</v>
      </c>
      <c r="U2922">
        <v>54</v>
      </c>
      <c r="V2922">
        <v>780</v>
      </c>
      <c r="W2922">
        <v>33</v>
      </c>
      <c r="X2922">
        <v>33</v>
      </c>
      <c r="Y2922">
        <v>1</v>
      </c>
      <c r="Z2922">
        <v>8</v>
      </c>
      <c r="AA2922">
        <v>29</v>
      </c>
      <c r="AB2922">
        <v>1</v>
      </c>
      <c r="AC2922">
        <v>3</v>
      </c>
      <c r="AD2922">
        <v>3.27399993</v>
      </c>
      <c r="AE2922">
        <v>1</v>
      </c>
      <c r="AF2922">
        <v>42</v>
      </c>
      <c r="AG2922">
        <v>3.2579999000000002</v>
      </c>
      <c r="AH2922">
        <v>4</v>
      </c>
      <c r="AI2922">
        <v>17</v>
      </c>
      <c r="AJ2922">
        <v>1</v>
      </c>
      <c r="AK2922">
        <v>26</v>
      </c>
      <c r="AL2922">
        <v>52</v>
      </c>
      <c r="AM2922" t="s">
        <v>43</v>
      </c>
      <c r="AN2922" t="str">
        <f>HYPERLINK("https://www.google.com/maps?q=10.7798357,79.3660965","Open Location")</f>
        <v>Open Location</v>
      </c>
    </row>
    <row r="2923" spans="1:40" x14ac:dyDescent="0.3">
      <c r="A2923" s="1">
        <v>46210.66134259259</v>
      </c>
      <c r="B2923" t="s">
        <v>40</v>
      </c>
      <c r="C2923" t="s">
        <v>41</v>
      </c>
      <c r="D2923" s="1">
        <v>46210.664189814815</v>
      </c>
      <c r="E2923" t="s">
        <v>42</v>
      </c>
      <c r="F2923" t="s">
        <v>83</v>
      </c>
      <c r="G2923">
        <v>49</v>
      </c>
      <c r="H2923" t="s">
        <v>43</v>
      </c>
      <c r="I2923" t="s">
        <v>1627</v>
      </c>
      <c r="J2923">
        <v>75</v>
      </c>
      <c r="K2923">
        <v>125</v>
      </c>
      <c r="L2923">
        <v>98</v>
      </c>
      <c r="M2923">
        <v>629</v>
      </c>
      <c r="N2923" t="s">
        <v>87</v>
      </c>
      <c r="O2923" t="s">
        <v>86</v>
      </c>
      <c r="P2923">
        <v>131</v>
      </c>
      <c r="Q2923">
        <v>6</v>
      </c>
      <c r="R2923">
        <v>84</v>
      </c>
      <c r="S2923">
        <v>1356</v>
      </c>
      <c r="T2923">
        <v>-40</v>
      </c>
      <c r="U2923">
        <v>53</v>
      </c>
      <c r="V2923">
        <v>516</v>
      </c>
      <c r="W2923">
        <v>33</v>
      </c>
      <c r="X2923">
        <v>33</v>
      </c>
      <c r="Y2923">
        <v>1</v>
      </c>
      <c r="Z2923">
        <v>8</v>
      </c>
      <c r="AA2923">
        <v>29</v>
      </c>
      <c r="AB2923">
        <v>1</v>
      </c>
      <c r="AC2923">
        <v>3</v>
      </c>
      <c r="AD2923">
        <v>3.2809998999999999</v>
      </c>
      <c r="AE2923">
        <v>1</v>
      </c>
      <c r="AF2923">
        <v>40</v>
      </c>
      <c r="AG2923">
        <v>3.2669999600000001</v>
      </c>
      <c r="AH2923">
        <v>4</v>
      </c>
      <c r="AI2923">
        <v>17</v>
      </c>
      <c r="AJ2923">
        <v>1</v>
      </c>
      <c r="AK2923">
        <v>26</v>
      </c>
      <c r="AL2923">
        <v>52</v>
      </c>
      <c r="AM2923" t="s">
        <v>43</v>
      </c>
      <c r="AN2923" t="str">
        <f>HYPERLINK("https://www.google.com/maps?q=10.77942085,79.36764526","Open Location")</f>
        <v>Open Location</v>
      </c>
    </row>
    <row r="2924" spans="1:40" x14ac:dyDescent="0.3">
      <c r="A2924" s="1">
        <v>46210.661226851851</v>
      </c>
      <c r="B2924" t="s">
        <v>40</v>
      </c>
      <c r="C2924" t="s">
        <v>41</v>
      </c>
      <c r="D2924" s="1">
        <v>46210.663946759261</v>
      </c>
      <c r="E2924" t="s">
        <v>42</v>
      </c>
      <c r="F2924" t="s">
        <v>83</v>
      </c>
      <c r="G2924">
        <v>49</v>
      </c>
      <c r="H2924">
        <v>33146</v>
      </c>
      <c r="I2924" t="s">
        <v>1628</v>
      </c>
      <c r="J2924">
        <v>75</v>
      </c>
      <c r="K2924">
        <v>110</v>
      </c>
      <c r="L2924">
        <v>98</v>
      </c>
      <c r="M2924">
        <v>629.40002441000001</v>
      </c>
      <c r="N2924" t="s">
        <v>87</v>
      </c>
      <c r="O2924" t="s">
        <v>86</v>
      </c>
      <c r="P2924">
        <v>131</v>
      </c>
      <c r="Q2924">
        <v>6</v>
      </c>
      <c r="R2924">
        <v>76</v>
      </c>
      <c r="S2924">
        <v>1357</v>
      </c>
      <c r="T2924">
        <v>-40</v>
      </c>
      <c r="U2924">
        <v>52</v>
      </c>
      <c r="V2924">
        <v>440</v>
      </c>
      <c r="W2924">
        <v>33</v>
      </c>
      <c r="X2924">
        <v>33</v>
      </c>
      <c r="Y2924">
        <v>1</v>
      </c>
      <c r="Z2924">
        <v>8</v>
      </c>
      <c r="AA2924">
        <v>29</v>
      </c>
      <c r="AB2924">
        <v>2</v>
      </c>
      <c r="AC2924">
        <v>1</v>
      </c>
      <c r="AD2924">
        <v>3.2899999599999998</v>
      </c>
      <c r="AE2924">
        <v>1</v>
      </c>
      <c r="AF2924">
        <v>38</v>
      </c>
      <c r="AG2924">
        <v>3.2790000400000001</v>
      </c>
      <c r="AH2924">
        <v>4</v>
      </c>
      <c r="AI2924">
        <v>17</v>
      </c>
      <c r="AJ2924">
        <v>1</v>
      </c>
      <c r="AK2924">
        <v>27</v>
      </c>
      <c r="AL2924">
        <v>52</v>
      </c>
      <c r="AM2924" t="s">
        <v>43</v>
      </c>
      <c r="AN2924" t="str">
        <f>HYPERLINK("https://www.google.com/maps?q=10.7796278,79.36910248","Open Location")</f>
        <v>Open Location</v>
      </c>
    </row>
    <row r="2925" spans="1:40" x14ac:dyDescent="0.3">
      <c r="A2925" s="1">
        <v>46210.661111111112</v>
      </c>
      <c r="B2925" t="s">
        <v>40</v>
      </c>
      <c r="C2925" t="s">
        <v>41</v>
      </c>
      <c r="D2925" s="1">
        <v>46210.663912037038</v>
      </c>
      <c r="E2925" t="s">
        <v>42</v>
      </c>
      <c r="F2925" t="s">
        <v>83</v>
      </c>
      <c r="G2925">
        <v>49</v>
      </c>
      <c r="H2925">
        <v>33145</v>
      </c>
      <c r="I2925" t="s">
        <v>1629</v>
      </c>
      <c r="J2925">
        <v>75</v>
      </c>
      <c r="K2925">
        <v>113</v>
      </c>
      <c r="L2925">
        <v>98</v>
      </c>
      <c r="M2925">
        <v>629.70001220999995</v>
      </c>
      <c r="N2925" t="s">
        <v>87</v>
      </c>
      <c r="O2925" t="s">
        <v>86</v>
      </c>
      <c r="P2925">
        <v>131</v>
      </c>
      <c r="Q2925">
        <v>6</v>
      </c>
      <c r="R2925">
        <v>85</v>
      </c>
      <c r="S2925">
        <v>1364</v>
      </c>
      <c r="T2925">
        <v>78</v>
      </c>
      <c r="U2925">
        <v>52</v>
      </c>
      <c r="V2925">
        <v>420</v>
      </c>
      <c r="W2925">
        <v>33</v>
      </c>
      <c r="X2925">
        <v>33</v>
      </c>
      <c r="Y2925">
        <v>1</v>
      </c>
      <c r="Z2925">
        <v>8</v>
      </c>
      <c r="AA2925">
        <v>29</v>
      </c>
      <c r="AB2925">
        <v>2</v>
      </c>
      <c r="AC2925">
        <v>3</v>
      </c>
      <c r="AD2925">
        <v>3.2899999599999998</v>
      </c>
      <c r="AE2925">
        <v>1</v>
      </c>
      <c r="AF2925">
        <v>44</v>
      </c>
      <c r="AG2925">
        <v>3.27699995</v>
      </c>
      <c r="AH2925">
        <v>4</v>
      </c>
      <c r="AI2925">
        <v>17</v>
      </c>
      <c r="AJ2925">
        <v>1</v>
      </c>
      <c r="AK2925">
        <v>26</v>
      </c>
      <c r="AL2925">
        <v>52</v>
      </c>
      <c r="AM2925" t="s">
        <v>43</v>
      </c>
      <c r="AN2925" t="str">
        <f>HYPERLINK("https://www.google.com/maps?q=10.78031826,79.37042999","Open Location")</f>
        <v>Open Location</v>
      </c>
    </row>
    <row r="2926" spans="1:40" x14ac:dyDescent="0.3">
      <c r="A2926" s="1">
        <v>46210.660995370374</v>
      </c>
      <c r="B2926" t="s">
        <v>40</v>
      </c>
      <c r="C2926" t="s">
        <v>41</v>
      </c>
      <c r="D2926" s="1">
        <v>46210.663726851853</v>
      </c>
      <c r="E2926" t="s">
        <v>42</v>
      </c>
      <c r="F2926" t="s">
        <v>83</v>
      </c>
      <c r="G2926">
        <v>49</v>
      </c>
      <c r="H2926">
        <v>33145</v>
      </c>
      <c r="I2926" t="s">
        <v>43</v>
      </c>
      <c r="J2926">
        <v>75</v>
      </c>
      <c r="K2926">
        <v>108</v>
      </c>
      <c r="L2926">
        <v>98</v>
      </c>
      <c r="M2926">
        <v>630.40002441000001</v>
      </c>
      <c r="N2926" t="s">
        <v>87</v>
      </c>
      <c r="O2926" t="s">
        <v>86</v>
      </c>
      <c r="P2926">
        <v>131</v>
      </c>
      <c r="Q2926">
        <v>6</v>
      </c>
      <c r="R2926">
        <v>57</v>
      </c>
      <c r="S2926">
        <v>1386</v>
      </c>
      <c r="T2926">
        <v>-40</v>
      </c>
      <c r="U2926">
        <v>52</v>
      </c>
      <c r="V2926">
        <v>400</v>
      </c>
      <c r="W2926">
        <v>33</v>
      </c>
      <c r="X2926">
        <v>33</v>
      </c>
      <c r="Y2926">
        <v>1</v>
      </c>
      <c r="Z2926">
        <v>8</v>
      </c>
      <c r="AA2926">
        <v>29</v>
      </c>
      <c r="AB2926">
        <v>2</v>
      </c>
      <c r="AC2926">
        <v>3</v>
      </c>
      <c r="AD2926">
        <v>3.2909998900000001</v>
      </c>
      <c r="AE2926">
        <v>1</v>
      </c>
      <c r="AF2926">
        <v>38</v>
      </c>
      <c r="AG2926">
        <v>3.2790000400000001</v>
      </c>
      <c r="AH2926">
        <v>4</v>
      </c>
      <c r="AI2926">
        <v>17</v>
      </c>
      <c r="AJ2926">
        <v>1</v>
      </c>
      <c r="AK2926">
        <v>26</v>
      </c>
      <c r="AL2926">
        <v>52</v>
      </c>
      <c r="AM2926" t="s">
        <v>43</v>
      </c>
      <c r="AN2926" t="s">
        <v>43</v>
      </c>
    </row>
    <row r="2927" spans="1:40" x14ac:dyDescent="0.3">
      <c r="A2927" s="1">
        <v>46210.660879629628</v>
      </c>
      <c r="B2927" t="s">
        <v>40</v>
      </c>
      <c r="C2927" t="s">
        <v>41</v>
      </c>
      <c r="D2927" s="1">
        <v>46210.663715277777</v>
      </c>
      <c r="E2927" t="s">
        <v>42</v>
      </c>
      <c r="F2927" t="s">
        <v>83</v>
      </c>
      <c r="G2927">
        <v>50</v>
      </c>
      <c r="H2927">
        <v>33145</v>
      </c>
      <c r="I2927" t="s">
        <v>1630</v>
      </c>
      <c r="J2927">
        <v>75</v>
      </c>
      <c r="K2927">
        <v>-60</v>
      </c>
      <c r="L2927">
        <v>98</v>
      </c>
      <c r="M2927">
        <v>636.90002441000001</v>
      </c>
      <c r="N2927" t="s">
        <v>87</v>
      </c>
      <c r="O2927" t="s">
        <v>86</v>
      </c>
      <c r="P2927">
        <v>131</v>
      </c>
      <c r="Q2927">
        <v>6</v>
      </c>
      <c r="R2927">
        <v>64</v>
      </c>
      <c r="S2927">
        <v>1460</v>
      </c>
      <c r="T2927">
        <v>-40</v>
      </c>
      <c r="U2927">
        <v>51</v>
      </c>
      <c r="V2927">
        <v>-300</v>
      </c>
      <c r="W2927">
        <v>33</v>
      </c>
      <c r="X2927">
        <v>33</v>
      </c>
      <c r="Y2927">
        <v>1</v>
      </c>
      <c r="Z2927">
        <v>8</v>
      </c>
      <c r="AA2927">
        <v>29</v>
      </c>
      <c r="AB2927">
        <v>2</v>
      </c>
      <c r="AC2927">
        <v>3</v>
      </c>
      <c r="AD2927">
        <v>3.2939999100000001</v>
      </c>
      <c r="AE2927">
        <v>1</v>
      </c>
      <c r="AF2927">
        <v>42</v>
      </c>
      <c r="AG2927">
        <v>3.2809998999999999</v>
      </c>
      <c r="AH2927">
        <v>4</v>
      </c>
      <c r="AI2927">
        <v>17</v>
      </c>
      <c r="AJ2927">
        <v>1</v>
      </c>
      <c r="AK2927">
        <v>26</v>
      </c>
      <c r="AL2927">
        <v>52</v>
      </c>
      <c r="AM2927" t="s">
        <v>43</v>
      </c>
      <c r="AN2927" t="str">
        <f>HYPERLINK("https://www.google.com/maps?q=10.78110218,79.37171936","Open Location")</f>
        <v>Open Location</v>
      </c>
    </row>
    <row r="2928" spans="1:40" x14ac:dyDescent="0.3">
      <c r="A2928" s="1">
        <v>46210.660763888889</v>
      </c>
      <c r="B2928" t="s">
        <v>40</v>
      </c>
      <c r="C2928" t="s">
        <v>41</v>
      </c>
      <c r="D2928" s="1">
        <v>46210.663368055553</v>
      </c>
      <c r="E2928" t="s">
        <v>42</v>
      </c>
      <c r="F2928" t="s">
        <v>83</v>
      </c>
      <c r="G2928">
        <v>55</v>
      </c>
      <c r="H2928">
        <v>33145</v>
      </c>
      <c r="I2928" t="s">
        <v>1631</v>
      </c>
      <c r="J2928">
        <v>75</v>
      </c>
      <c r="K2928">
        <v>-67</v>
      </c>
      <c r="L2928">
        <v>98</v>
      </c>
      <c r="M2928">
        <v>636.20001220999995</v>
      </c>
      <c r="N2928" t="s">
        <v>87</v>
      </c>
      <c r="O2928" t="s">
        <v>86</v>
      </c>
      <c r="P2928">
        <v>131</v>
      </c>
      <c r="Q2928">
        <v>6</v>
      </c>
      <c r="R2928">
        <v>-48</v>
      </c>
      <c r="S2928">
        <v>1608</v>
      </c>
      <c r="T2928">
        <v>-40</v>
      </c>
      <c r="U2928">
        <v>51</v>
      </c>
      <c r="V2928">
        <v>-300</v>
      </c>
      <c r="W2928">
        <v>33</v>
      </c>
      <c r="X2928">
        <v>33</v>
      </c>
      <c r="Y2928">
        <v>1</v>
      </c>
      <c r="Z2928">
        <v>8</v>
      </c>
      <c r="AA2928">
        <v>29</v>
      </c>
      <c r="AB2928">
        <v>2</v>
      </c>
      <c r="AC2928">
        <v>3</v>
      </c>
      <c r="AD2928">
        <v>3.3210001</v>
      </c>
      <c r="AE2928">
        <v>1</v>
      </c>
      <c r="AF2928">
        <v>36</v>
      </c>
      <c r="AG2928">
        <v>3.3169999099999998</v>
      </c>
      <c r="AH2928">
        <v>2</v>
      </c>
      <c r="AI2928">
        <v>12</v>
      </c>
      <c r="AJ2928">
        <v>1</v>
      </c>
      <c r="AK2928">
        <v>26</v>
      </c>
      <c r="AL2928">
        <v>52</v>
      </c>
      <c r="AM2928" t="s">
        <v>43</v>
      </c>
      <c r="AN2928" t="str">
        <f>HYPERLINK("https://www.google.com/maps?q=10.78192425,79.37308502","Open Location")</f>
        <v>Open Location</v>
      </c>
    </row>
    <row r="2929" spans="1:40" x14ac:dyDescent="0.3">
      <c r="A2929" s="1">
        <v>46210.66064814815</v>
      </c>
      <c r="B2929" t="s">
        <v>40</v>
      </c>
      <c r="C2929" t="s">
        <v>41</v>
      </c>
      <c r="D2929" s="1">
        <v>46210.663472222222</v>
      </c>
      <c r="E2929" t="s">
        <v>42</v>
      </c>
      <c r="F2929" t="s">
        <v>83</v>
      </c>
      <c r="G2929">
        <v>61</v>
      </c>
      <c r="H2929">
        <v>33145</v>
      </c>
      <c r="I2929" t="s">
        <v>1632</v>
      </c>
      <c r="J2929">
        <v>75</v>
      </c>
      <c r="K2929">
        <v>-75</v>
      </c>
      <c r="L2929">
        <v>98</v>
      </c>
      <c r="M2929">
        <v>634.79998779000005</v>
      </c>
      <c r="N2929" t="s">
        <v>87</v>
      </c>
      <c r="O2929" t="s">
        <v>86</v>
      </c>
      <c r="P2929">
        <v>131</v>
      </c>
      <c r="Q2929">
        <v>6</v>
      </c>
      <c r="R2929">
        <v>-53</v>
      </c>
      <c r="S2929">
        <v>1764</v>
      </c>
      <c r="T2929">
        <v>-40</v>
      </c>
      <c r="U2929">
        <v>52</v>
      </c>
      <c r="V2929">
        <v>-300</v>
      </c>
      <c r="W2929">
        <v>33</v>
      </c>
      <c r="X2929">
        <v>33</v>
      </c>
      <c r="Y2929">
        <v>1</v>
      </c>
      <c r="Z2929">
        <v>8</v>
      </c>
      <c r="AA2929">
        <v>29</v>
      </c>
      <c r="AB2929">
        <v>2</v>
      </c>
      <c r="AC2929">
        <v>3</v>
      </c>
      <c r="AD2929">
        <v>3.3169999099999998</v>
      </c>
      <c r="AE2929">
        <v>1</v>
      </c>
      <c r="AF2929">
        <v>43</v>
      </c>
      <c r="AG2929">
        <v>3.31200004</v>
      </c>
      <c r="AH2929">
        <v>2</v>
      </c>
      <c r="AI2929">
        <v>12</v>
      </c>
      <c r="AJ2929">
        <v>1</v>
      </c>
      <c r="AK2929">
        <v>26</v>
      </c>
      <c r="AL2929">
        <v>52</v>
      </c>
      <c r="AM2929" t="s">
        <v>43</v>
      </c>
      <c r="AN2929" t="str">
        <f>HYPERLINK("https://www.google.com/maps?q=10.78285122,79.37462616","Open Location")</f>
        <v>Open Location</v>
      </c>
    </row>
    <row r="2930" spans="1:40" x14ac:dyDescent="0.3">
      <c r="A2930" s="1">
        <v>46210.660532407404</v>
      </c>
      <c r="B2930" t="s">
        <v>40</v>
      </c>
      <c r="C2930" t="s">
        <v>41</v>
      </c>
      <c r="D2930" s="1">
        <v>46210.663263888891</v>
      </c>
      <c r="E2930" t="s">
        <v>42</v>
      </c>
      <c r="F2930" t="s">
        <v>83</v>
      </c>
      <c r="G2930">
        <v>67</v>
      </c>
      <c r="H2930">
        <v>33145</v>
      </c>
      <c r="I2930" t="s">
        <v>1633</v>
      </c>
      <c r="J2930">
        <v>75</v>
      </c>
      <c r="K2930">
        <v>72</v>
      </c>
      <c r="L2930">
        <v>98</v>
      </c>
      <c r="M2930">
        <v>627.29998779000005</v>
      </c>
      <c r="N2930" t="s">
        <v>87</v>
      </c>
      <c r="O2930" t="s">
        <v>86</v>
      </c>
      <c r="P2930">
        <v>131</v>
      </c>
      <c r="Q2930">
        <v>6</v>
      </c>
      <c r="R2930">
        <v>-58</v>
      </c>
      <c r="S2930">
        <v>1915</v>
      </c>
      <c r="T2930">
        <v>-40</v>
      </c>
      <c r="U2930">
        <v>53</v>
      </c>
      <c r="V2930">
        <v>160</v>
      </c>
      <c r="W2930">
        <v>33</v>
      </c>
      <c r="X2930">
        <v>33</v>
      </c>
      <c r="Y2930">
        <v>1</v>
      </c>
      <c r="Z2930">
        <v>8</v>
      </c>
      <c r="AA2930">
        <v>29</v>
      </c>
      <c r="AB2930">
        <v>2</v>
      </c>
      <c r="AC2930">
        <v>3</v>
      </c>
      <c r="AD2930">
        <v>3.30900002</v>
      </c>
      <c r="AE2930">
        <v>1</v>
      </c>
      <c r="AF2930">
        <v>43</v>
      </c>
      <c r="AG2930">
        <v>3.3039999</v>
      </c>
      <c r="AH2930">
        <v>2</v>
      </c>
      <c r="AI2930">
        <v>12</v>
      </c>
      <c r="AJ2930">
        <v>1</v>
      </c>
      <c r="AK2930">
        <v>26</v>
      </c>
      <c r="AL2930">
        <v>52</v>
      </c>
      <c r="AM2930" t="s">
        <v>43</v>
      </c>
      <c r="AN2930" t="str">
        <f>HYPERLINK("https://www.google.com/maps?q=10.78388882,79.37634277","Open Location")</f>
        <v>Open Location</v>
      </c>
    </row>
    <row r="2931" spans="1:40" x14ac:dyDescent="0.3">
      <c r="A2931" s="1">
        <v>46210.660416666666</v>
      </c>
      <c r="B2931" t="s">
        <v>40</v>
      </c>
      <c r="C2931" t="s">
        <v>41</v>
      </c>
      <c r="D2931" s="1">
        <v>46210.663090277776</v>
      </c>
      <c r="E2931" t="s">
        <v>42</v>
      </c>
      <c r="F2931" t="s">
        <v>83</v>
      </c>
      <c r="G2931">
        <v>69</v>
      </c>
      <c r="H2931">
        <v>33144</v>
      </c>
      <c r="I2931" t="s">
        <v>1634</v>
      </c>
      <c r="J2931">
        <v>75</v>
      </c>
      <c r="K2931">
        <v>330</v>
      </c>
      <c r="L2931">
        <v>98</v>
      </c>
      <c r="M2931">
        <v>619.29998779000005</v>
      </c>
      <c r="N2931" t="s">
        <v>87</v>
      </c>
      <c r="O2931" t="s">
        <v>86</v>
      </c>
      <c r="P2931">
        <v>131</v>
      </c>
      <c r="Q2931">
        <v>6</v>
      </c>
      <c r="R2931">
        <v>193</v>
      </c>
      <c r="S2931">
        <v>1876</v>
      </c>
      <c r="T2931">
        <v>-40</v>
      </c>
      <c r="U2931">
        <v>57</v>
      </c>
      <c r="V2931">
        <v>985</v>
      </c>
      <c r="W2931">
        <v>33</v>
      </c>
      <c r="X2931">
        <v>33</v>
      </c>
      <c r="Y2931">
        <v>1</v>
      </c>
      <c r="Z2931">
        <v>8</v>
      </c>
      <c r="AA2931">
        <v>29</v>
      </c>
      <c r="AB2931">
        <v>2</v>
      </c>
      <c r="AC2931">
        <v>1</v>
      </c>
      <c r="AD2931">
        <v>3.2339999700000002</v>
      </c>
      <c r="AE2931">
        <v>1</v>
      </c>
      <c r="AF2931">
        <v>41</v>
      </c>
      <c r="AG2931">
        <v>3.2070000200000002</v>
      </c>
      <c r="AH2931">
        <v>6</v>
      </c>
      <c r="AI2931">
        <v>24</v>
      </c>
      <c r="AJ2931">
        <v>1</v>
      </c>
      <c r="AK2931">
        <v>25</v>
      </c>
      <c r="AL2931">
        <v>52</v>
      </c>
      <c r="AM2931" t="s">
        <v>43</v>
      </c>
      <c r="AN2931" t="str">
        <f>HYPERLINK("https://www.google.com/maps?q=10.78506756,79.37828827","Open Location")</f>
        <v>Open Location</v>
      </c>
    </row>
    <row r="2932" spans="1:40" x14ac:dyDescent="0.3">
      <c r="A2932" s="1">
        <v>46210.660300925927</v>
      </c>
      <c r="B2932" t="s">
        <v>40</v>
      </c>
      <c r="C2932" t="s">
        <v>41</v>
      </c>
      <c r="D2932" s="1">
        <v>46210.663229166668</v>
      </c>
      <c r="E2932" t="s">
        <v>42</v>
      </c>
      <c r="F2932" t="s">
        <v>83</v>
      </c>
      <c r="G2932">
        <v>67</v>
      </c>
      <c r="H2932" t="s">
        <v>43</v>
      </c>
      <c r="I2932" t="s">
        <v>43</v>
      </c>
      <c r="J2932">
        <v>76</v>
      </c>
      <c r="K2932">
        <v>327</v>
      </c>
      <c r="L2932">
        <v>98</v>
      </c>
      <c r="M2932">
        <v>619</v>
      </c>
      <c r="N2932" t="s">
        <v>87</v>
      </c>
      <c r="O2932" t="s">
        <v>86</v>
      </c>
      <c r="P2932">
        <v>131</v>
      </c>
      <c r="Q2932">
        <v>6</v>
      </c>
      <c r="R2932">
        <v>193</v>
      </c>
      <c r="S2932">
        <v>1831</v>
      </c>
      <c r="T2932">
        <v>-40</v>
      </c>
      <c r="U2932">
        <v>57</v>
      </c>
      <c r="V2932">
        <v>1013</v>
      </c>
      <c r="W2932">
        <v>33</v>
      </c>
      <c r="X2932">
        <v>33</v>
      </c>
      <c r="Y2932">
        <v>1</v>
      </c>
      <c r="Z2932">
        <v>8</v>
      </c>
      <c r="AA2932">
        <v>29</v>
      </c>
      <c r="AB2932">
        <v>2</v>
      </c>
      <c r="AC2932">
        <v>1</v>
      </c>
      <c r="AD2932">
        <v>3.2360000599999998</v>
      </c>
      <c r="AE2932">
        <v>1</v>
      </c>
      <c r="AF2932">
        <v>44</v>
      </c>
      <c r="AG2932">
        <v>3.2049999200000001</v>
      </c>
      <c r="AH2932">
        <v>7</v>
      </c>
      <c r="AI2932">
        <v>1</v>
      </c>
      <c r="AJ2932">
        <v>1</v>
      </c>
      <c r="AK2932">
        <v>26</v>
      </c>
      <c r="AL2932">
        <v>52</v>
      </c>
      <c r="AM2932" t="s">
        <v>43</v>
      </c>
      <c r="AN2932" t="s">
        <v>43</v>
      </c>
    </row>
    <row r="2933" spans="1:40" x14ac:dyDescent="0.3">
      <c r="A2933" s="1">
        <v>46210.660185185188</v>
      </c>
      <c r="B2933" t="s">
        <v>40</v>
      </c>
      <c r="C2933" t="s">
        <v>41</v>
      </c>
      <c r="D2933" s="1">
        <v>46210.663263888891</v>
      </c>
      <c r="E2933" t="s">
        <v>42</v>
      </c>
      <c r="F2933" t="s">
        <v>83</v>
      </c>
      <c r="G2933">
        <v>65</v>
      </c>
      <c r="H2933">
        <v>33144</v>
      </c>
      <c r="I2933" t="s">
        <v>1635</v>
      </c>
      <c r="J2933">
        <v>76</v>
      </c>
      <c r="K2933">
        <v>317</v>
      </c>
      <c r="L2933">
        <v>98</v>
      </c>
      <c r="M2933">
        <v>619.70001220999995</v>
      </c>
      <c r="N2933" t="s">
        <v>87</v>
      </c>
      <c r="O2933" t="s">
        <v>86</v>
      </c>
      <c r="P2933">
        <v>131</v>
      </c>
      <c r="Q2933">
        <v>6</v>
      </c>
      <c r="R2933">
        <v>194</v>
      </c>
      <c r="S2933">
        <v>1767</v>
      </c>
      <c r="T2933">
        <v>-40</v>
      </c>
      <c r="U2933">
        <v>57</v>
      </c>
      <c r="V2933">
        <v>1039</v>
      </c>
      <c r="W2933">
        <v>33</v>
      </c>
      <c r="X2933">
        <v>33</v>
      </c>
      <c r="Y2933">
        <v>1</v>
      </c>
      <c r="Z2933">
        <v>8</v>
      </c>
      <c r="AA2933">
        <v>29</v>
      </c>
      <c r="AB2933">
        <v>1</v>
      </c>
      <c r="AC2933">
        <v>3</v>
      </c>
      <c r="AD2933">
        <v>3.2360000599999998</v>
      </c>
      <c r="AE2933">
        <v>1</v>
      </c>
      <c r="AF2933">
        <v>42</v>
      </c>
      <c r="AG2933">
        <v>3.2090001099999999</v>
      </c>
      <c r="AH2933">
        <v>4</v>
      </c>
      <c r="AI2933">
        <v>17</v>
      </c>
      <c r="AJ2933">
        <v>1</v>
      </c>
      <c r="AK2933">
        <v>26</v>
      </c>
      <c r="AL2933">
        <v>52</v>
      </c>
      <c r="AM2933" t="s">
        <v>43</v>
      </c>
      <c r="AN2933" t="str">
        <f>HYPERLINK("https://www.google.com/maps?q=10.78611469,79.38001251","Open Location")</f>
        <v>Open Location</v>
      </c>
    </row>
    <row r="2934" spans="1:40" x14ac:dyDescent="0.3">
      <c r="A2934" s="1">
        <v>46210.660069444442</v>
      </c>
      <c r="B2934" t="s">
        <v>40</v>
      </c>
      <c r="C2934" t="s">
        <v>41</v>
      </c>
      <c r="D2934" s="1">
        <v>46210.662777777776</v>
      </c>
      <c r="E2934" t="s">
        <v>42</v>
      </c>
      <c r="F2934" t="s">
        <v>83</v>
      </c>
      <c r="G2934">
        <v>62</v>
      </c>
      <c r="H2934">
        <v>33144</v>
      </c>
      <c r="I2934" t="s">
        <v>1636</v>
      </c>
      <c r="J2934">
        <v>76</v>
      </c>
      <c r="K2934">
        <v>329</v>
      </c>
      <c r="L2934">
        <v>98</v>
      </c>
      <c r="M2934">
        <v>619.20001220999995</v>
      </c>
      <c r="N2934" t="s">
        <v>87</v>
      </c>
      <c r="O2934" t="s">
        <v>86</v>
      </c>
      <c r="P2934">
        <v>131</v>
      </c>
      <c r="Q2934">
        <v>6</v>
      </c>
      <c r="R2934">
        <v>194</v>
      </c>
      <c r="S2934">
        <v>1678</v>
      </c>
      <c r="T2934">
        <v>-40</v>
      </c>
      <c r="U2934">
        <v>57</v>
      </c>
      <c r="V2934">
        <v>1101</v>
      </c>
      <c r="W2934">
        <v>33</v>
      </c>
      <c r="X2934">
        <v>33</v>
      </c>
      <c r="Y2934">
        <v>1</v>
      </c>
      <c r="Z2934">
        <v>8</v>
      </c>
      <c r="AA2934">
        <v>28</v>
      </c>
      <c r="AB2934">
        <v>2</v>
      </c>
      <c r="AC2934">
        <v>4</v>
      </c>
      <c r="AD2934">
        <v>3.23799992</v>
      </c>
      <c r="AE2934">
        <v>1</v>
      </c>
      <c r="AF2934">
        <v>43</v>
      </c>
      <c r="AG2934">
        <v>3.2070000200000002</v>
      </c>
      <c r="AH2934">
        <v>8</v>
      </c>
      <c r="AI2934">
        <v>35</v>
      </c>
      <c r="AJ2934">
        <v>1</v>
      </c>
      <c r="AK2934">
        <v>26</v>
      </c>
      <c r="AL2934">
        <v>52</v>
      </c>
      <c r="AM2934" t="s">
        <v>43</v>
      </c>
      <c r="AN2934" t="str">
        <f>HYPERLINK("https://www.google.com/maps?q=10.78712368,79.38168335","Open Location")</f>
        <v>Open Location</v>
      </c>
    </row>
    <row r="2935" spans="1:40" x14ac:dyDescent="0.3">
      <c r="A2935" s="1">
        <v>46210.659953703704</v>
      </c>
      <c r="B2935" t="s">
        <v>40</v>
      </c>
      <c r="C2935" t="s">
        <v>41</v>
      </c>
      <c r="D2935" s="1">
        <v>46210.662905092591</v>
      </c>
      <c r="E2935" t="s">
        <v>42</v>
      </c>
      <c r="F2935" t="s">
        <v>83</v>
      </c>
      <c r="G2935">
        <v>59</v>
      </c>
      <c r="H2935">
        <v>33144</v>
      </c>
      <c r="I2935" t="s">
        <v>1637</v>
      </c>
      <c r="J2935">
        <v>76</v>
      </c>
      <c r="K2935">
        <v>327</v>
      </c>
      <c r="L2935">
        <v>98</v>
      </c>
      <c r="M2935">
        <v>617.90002441000001</v>
      </c>
      <c r="N2935" t="s">
        <v>87</v>
      </c>
      <c r="O2935" t="s">
        <v>86</v>
      </c>
      <c r="P2935">
        <v>131</v>
      </c>
      <c r="Q2935">
        <v>6</v>
      </c>
      <c r="R2935">
        <v>194</v>
      </c>
      <c r="S2935">
        <v>1610</v>
      </c>
      <c r="T2935">
        <v>-40</v>
      </c>
      <c r="U2935">
        <v>58</v>
      </c>
      <c r="V2935">
        <v>1155</v>
      </c>
      <c r="W2935">
        <v>33</v>
      </c>
      <c r="X2935">
        <v>33</v>
      </c>
      <c r="Y2935">
        <v>1</v>
      </c>
      <c r="Z2935">
        <v>8</v>
      </c>
      <c r="AA2935">
        <v>28</v>
      </c>
      <c r="AB2935">
        <v>2</v>
      </c>
      <c r="AC2935">
        <v>3</v>
      </c>
      <c r="AD2935">
        <v>3.23799992</v>
      </c>
      <c r="AE2935">
        <v>1</v>
      </c>
      <c r="AF2935">
        <v>40</v>
      </c>
      <c r="AG2935">
        <v>3.21099997</v>
      </c>
      <c r="AH2935">
        <v>4</v>
      </c>
      <c r="AI2935">
        <v>17</v>
      </c>
      <c r="AJ2935">
        <v>1</v>
      </c>
      <c r="AK2935">
        <v>26</v>
      </c>
      <c r="AL2935">
        <v>52</v>
      </c>
      <c r="AM2935" t="s">
        <v>43</v>
      </c>
      <c r="AN2935" t="str">
        <f>HYPERLINK("https://www.google.com/maps?q=10.78806973,79.38324738","Open Location")</f>
        <v>Open Location</v>
      </c>
    </row>
    <row r="2936" spans="1:40" x14ac:dyDescent="0.3">
      <c r="A2936" s="1">
        <v>46210.659837962965</v>
      </c>
      <c r="B2936" t="s">
        <v>40</v>
      </c>
      <c r="C2936" t="s">
        <v>41</v>
      </c>
      <c r="D2936" s="1">
        <v>46210.662719907406</v>
      </c>
      <c r="E2936" t="s">
        <v>42</v>
      </c>
      <c r="F2936" t="s">
        <v>83</v>
      </c>
      <c r="G2936">
        <v>56</v>
      </c>
      <c r="H2936">
        <v>33144</v>
      </c>
      <c r="I2936" t="s">
        <v>1638</v>
      </c>
      <c r="J2936">
        <v>76</v>
      </c>
      <c r="K2936">
        <v>328</v>
      </c>
      <c r="L2936">
        <v>98</v>
      </c>
      <c r="M2936">
        <v>619</v>
      </c>
      <c r="N2936" t="s">
        <v>87</v>
      </c>
      <c r="O2936" t="s">
        <v>86</v>
      </c>
      <c r="P2936">
        <v>131</v>
      </c>
      <c r="Q2936">
        <v>6</v>
      </c>
      <c r="R2936">
        <v>193</v>
      </c>
      <c r="S2936">
        <v>1525</v>
      </c>
      <c r="T2936">
        <v>-40</v>
      </c>
      <c r="U2936">
        <v>57</v>
      </c>
      <c r="V2936">
        <v>1220</v>
      </c>
      <c r="W2936">
        <v>33</v>
      </c>
      <c r="X2936">
        <v>33</v>
      </c>
      <c r="Y2936">
        <v>1</v>
      </c>
      <c r="Z2936">
        <v>8</v>
      </c>
      <c r="AA2936">
        <v>28</v>
      </c>
      <c r="AB2936">
        <v>2</v>
      </c>
      <c r="AC2936">
        <v>3</v>
      </c>
      <c r="AD2936">
        <v>3.24099994</v>
      </c>
      <c r="AE2936">
        <v>1</v>
      </c>
      <c r="AF2936">
        <v>42</v>
      </c>
      <c r="AG2936">
        <v>3.2160000800000001</v>
      </c>
      <c r="AH2936">
        <v>4</v>
      </c>
      <c r="AI2936">
        <v>17</v>
      </c>
      <c r="AJ2936">
        <v>1</v>
      </c>
      <c r="AK2936">
        <v>26</v>
      </c>
      <c r="AL2936">
        <v>52</v>
      </c>
      <c r="AM2936" t="s">
        <v>43</v>
      </c>
      <c r="AN2936" t="str">
        <f>HYPERLINK("https://www.google.com/maps?q=10.78896904,79.38472748","Open Location")</f>
        <v>Open Location</v>
      </c>
    </row>
    <row r="2937" spans="1:40" x14ac:dyDescent="0.3">
      <c r="A2937" s="1">
        <v>46210.659722222219</v>
      </c>
      <c r="B2937" t="s">
        <v>40</v>
      </c>
      <c r="C2937" t="s">
        <v>41</v>
      </c>
      <c r="D2937" s="1">
        <v>46210.662453703706</v>
      </c>
      <c r="E2937" t="s">
        <v>42</v>
      </c>
      <c r="F2937" t="s">
        <v>83</v>
      </c>
      <c r="G2937">
        <v>54</v>
      </c>
      <c r="H2937" t="s">
        <v>43</v>
      </c>
      <c r="I2937" t="s">
        <v>1639</v>
      </c>
      <c r="J2937">
        <v>77</v>
      </c>
      <c r="K2937">
        <v>175</v>
      </c>
      <c r="L2937">
        <v>98</v>
      </c>
      <c r="M2937">
        <v>625.59997558999999</v>
      </c>
      <c r="N2937" t="s">
        <v>87</v>
      </c>
      <c r="O2937" t="s">
        <v>86</v>
      </c>
      <c r="P2937">
        <v>131</v>
      </c>
      <c r="Q2937">
        <v>6</v>
      </c>
      <c r="R2937">
        <v>46</v>
      </c>
      <c r="S2937">
        <v>1511</v>
      </c>
      <c r="T2937">
        <v>-40</v>
      </c>
      <c r="U2937">
        <v>54</v>
      </c>
      <c r="V2937">
        <v>625</v>
      </c>
      <c r="W2937">
        <v>33</v>
      </c>
      <c r="X2937">
        <v>33</v>
      </c>
      <c r="Y2937">
        <v>1</v>
      </c>
      <c r="Z2937">
        <v>8</v>
      </c>
      <c r="AA2937">
        <v>28</v>
      </c>
      <c r="AB2937">
        <v>2</v>
      </c>
      <c r="AC2937">
        <v>3</v>
      </c>
      <c r="AD2937">
        <v>3.24699998</v>
      </c>
      <c r="AE2937">
        <v>1</v>
      </c>
      <c r="AF2937">
        <v>42</v>
      </c>
      <c r="AG2937">
        <v>3.22300005</v>
      </c>
      <c r="AH2937">
        <v>4</v>
      </c>
      <c r="AI2937">
        <v>17</v>
      </c>
      <c r="AJ2937">
        <v>1</v>
      </c>
      <c r="AK2937">
        <v>26</v>
      </c>
      <c r="AL2937">
        <v>52</v>
      </c>
      <c r="AM2937" t="s">
        <v>43</v>
      </c>
      <c r="AN2937" t="str">
        <f>HYPERLINK("https://www.google.com/maps?q=10.78983307,79.38613892","Open Location")</f>
        <v>Open Location</v>
      </c>
    </row>
    <row r="2938" spans="1:40" x14ac:dyDescent="0.3">
      <c r="A2938" s="1">
        <v>46210.65960648148</v>
      </c>
      <c r="B2938" t="s">
        <v>40</v>
      </c>
      <c r="C2938" t="s">
        <v>41</v>
      </c>
      <c r="D2938" s="1">
        <v>46210.662164351852</v>
      </c>
      <c r="E2938" t="s">
        <v>42</v>
      </c>
      <c r="F2938" t="s">
        <v>83</v>
      </c>
      <c r="G2938">
        <v>54</v>
      </c>
      <c r="H2938">
        <v>33143</v>
      </c>
      <c r="I2938" t="s">
        <v>43</v>
      </c>
      <c r="J2938">
        <v>77</v>
      </c>
      <c r="K2938">
        <v>325</v>
      </c>
      <c r="L2938">
        <v>98</v>
      </c>
      <c r="M2938">
        <v>619.20001220999995</v>
      </c>
      <c r="N2938" t="s">
        <v>87</v>
      </c>
      <c r="O2938" t="s">
        <v>86</v>
      </c>
      <c r="P2938">
        <v>131</v>
      </c>
      <c r="Q2938">
        <v>6</v>
      </c>
      <c r="R2938">
        <v>174</v>
      </c>
      <c r="S2938">
        <v>1451</v>
      </c>
      <c r="T2938">
        <v>-40</v>
      </c>
      <c r="U2938">
        <v>57</v>
      </c>
      <c r="V2938">
        <v>1264</v>
      </c>
      <c r="W2938">
        <v>33</v>
      </c>
      <c r="X2938">
        <v>33</v>
      </c>
      <c r="Y2938">
        <v>1</v>
      </c>
      <c r="Z2938">
        <v>8</v>
      </c>
      <c r="AA2938">
        <v>28</v>
      </c>
      <c r="AB2938">
        <v>2</v>
      </c>
      <c r="AC2938">
        <v>3</v>
      </c>
      <c r="AD2938">
        <v>3.2579999000000002</v>
      </c>
      <c r="AE2938">
        <v>1</v>
      </c>
      <c r="AF2938">
        <v>42</v>
      </c>
      <c r="AG2938">
        <v>3.23799992</v>
      </c>
      <c r="AH2938">
        <v>4</v>
      </c>
      <c r="AI2938">
        <v>17</v>
      </c>
      <c r="AJ2938">
        <v>1</v>
      </c>
      <c r="AK2938">
        <v>26</v>
      </c>
      <c r="AL2938">
        <v>52</v>
      </c>
      <c r="AM2938" t="s">
        <v>43</v>
      </c>
      <c r="AN2938" t="s">
        <v>43</v>
      </c>
    </row>
    <row r="2939" spans="1:40" x14ac:dyDescent="0.3">
      <c r="A2939" s="1">
        <v>46210.659490740742</v>
      </c>
      <c r="B2939" t="s">
        <v>40</v>
      </c>
      <c r="C2939" t="s">
        <v>41</v>
      </c>
      <c r="D2939" s="1">
        <v>46210.662361111114</v>
      </c>
      <c r="E2939" t="s">
        <v>42</v>
      </c>
      <c r="F2939" t="s">
        <v>83</v>
      </c>
      <c r="G2939">
        <v>50</v>
      </c>
      <c r="H2939">
        <v>33143</v>
      </c>
      <c r="I2939" t="s">
        <v>1640</v>
      </c>
      <c r="J2939">
        <v>77</v>
      </c>
      <c r="K2939">
        <v>294</v>
      </c>
      <c r="L2939">
        <v>98</v>
      </c>
      <c r="M2939">
        <v>622.59997558999999</v>
      </c>
      <c r="N2939" t="s">
        <v>87</v>
      </c>
      <c r="O2939" t="s">
        <v>86</v>
      </c>
      <c r="P2939">
        <v>131</v>
      </c>
      <c r="Q2939">
        <v>6</v>
      </c>
      <c r="R2939">
        <v>145</v>
      </c>
      <c r="S2939">
        <v>1323</v>
      </c>
      <c r="T2939">
        <v>-40</v>
      </c>
      <c r="U2939">
        <v>55</v>
      </c>
      <c r="V2939">
        <v>1387</v>
      </c>
      <c r="W2939">
        <v>33</v>
      </c>
      <c r="X2939">
        <v>33</v>
      </c>
      <c r="Y2939">
        <v>1</v>
      </c>
      <c r="Z2939">
        <v>8</v>
      </c>
      <c r="AA2939">
        <v>28</v>
      </c>
      <c r="AB2939">
        <v>2</v>
      </c>
      <c r="AC2939">
        <v>3</v>
      </c>
      <c r="AD2939">
        <v>3.2609999200000002</v>
      </c>
      <c r="AE2939">
        <v>5</v>
      </c>
      <c r="AF2939">
        <v>38</v>
      </c>
      <c r="AG2939">
        <v>3.23799992</v>
      </c>
      <c r="AH2939">
        <v>4</v>
      </c>
      <c r="AI2939">
        <v>17</v>
      </c>
      <c r="AJ2939">
        <v>1</v>
      </c>
      <c r="AK2939">
        <v>26</v>
      </c>
      <c r="AL2939">
        <v>52</v>
      </c>
      <c r="AM2939" t="s">
        <v>43</v>
      </c>
      <c r="AN2939" t="str">
        <f>HYPERLINK("https://www.google.com/maps?q=10.79067039,79.38751221","Open Location")</f>
        <v>Open Location</v>
      </c>
    </row>
    <row r="2940" spans="1:40" x14ac:dyDescent="0.3">
      <c r="A2940" s="1">
        <v>46210.659375000003</v>
      </c>
      <c r="B2940" t="s">
        <v>40</v>
      </c>
      <c r="C2940" t="s">
        <v>41</v>
      </c>
      <c r="D2940" s="1">
        <v>46210.662141203706</v>
      </c>
      <c r="E2940" t="s">
        <v>42</v>
      </c>
      <c r="F2940" t="s">
        <v>83</v>
      </c>
      <c r="G2940">
        <v>46</v>
      </c>
      <c r="H2940">
        <v>33143</v>
      </c>
      <c r="I2940" t="s">
        <v>1641</v>
      </c>
      <c r="J2940">
        <v>77</v>
      </c>
      <c r="K2940">
        <v>88</v>
      </c>
      <c r="L2940">
        <v>98</v>
      </c>
      <c r="M2940">
        <v>629.5</v>
      </c>
      <c r="N2940" t="s">
        <v>87</v>
      </c>
      <c r="O2940" t="s">
        <v>86</v>
      </c>
      <c r="P2940">
        <v>131</v>
      </c>
      <c r="Q2940">
        <v>6</v>
      </c>
      <c r="R2940">
        <v>45</v>
      </c>
      <c r="S2940">
        <v>1253</v>
      </c>
      <c r="T2940">
        <v>-40</v>
      </c>
      <c r="U2940">
        <v>52</v>
      </c>
      <c r="V2940">
        <v>375</v>
      </c>
      <c r="W2940">
        <v>33</v>
      </c>
      <c r="X2940">
        <v>33</v>
      </c>
      <c r="Y2940">
        <v>1</v>
      </c>
      <c r="Z2940">
        <v>8</v>
      </c>
      <c r="AA2940">
        <v>28</v>
      </c>
      <c r="AB2940">
        <v>2</v>
      </c>
      <c r="AC2940">
        <v>4</v>
      </c>
      <c r="AD2940">
        <v>3.2939999100000001</v>
      </c>
      <c r="AE2940">
        <v>1</v>
      </c>
      <c r="AF2940">
        <v>41</v>
      </c>
      <c r="AG2940">
        <v>3.2839999199999999</v>
      </c>
      <c r="AH2940">
        <v>4</v>
      </c>
      <c r="AI2940">
        <v>17</v>
      </c>
      <c r="AJ2940">
        <v>1</v>
      </c>
      <c r="AK2940">
        <v>26</v>
      </c>
      <c r="AL2940">
        <v>52</v>
      </c>
      <c r="AM2940" t="s">
        <v>43</v>
      </c>
      <c r="AN2940" t="str">
        <f>HYPERLINK("https://www.google.com/maps?q=10.79148865,79.38887787","Open Location")</f>
        <v>Open Location</v>
      </c>
    </row>
    <row r="2941" spans="1:40" x14ac:dyDescent="0.3">
      <c r="A2941" s="1">
        <v>46210.659259259257</v>
      </c>
      <c r="B2941" t="s">
        <v>40</v>
      </c>
      <c r="C2941" t="s">
        <v>41</v>
      </c>
      <c r="D2941" s="1">
        <v>46210.661898148152</v>
      </c>
      <c r="E2941" t="s">
        <v>42</v>
      </c>
      <c r="F2941" t="s">
        <v>83</v>
      </c>
      <c r="G2941">
        <v>44</v>
      </c>
      <c r="H2941">
        <v>33143</v>
      </c>
      <c r="I2941" t="s">
        <v>1642</v>
      </c>
      <c r="J2941">
        <v>77</v>
      </c>
      <c r="K2941">
        <v>111</v>
      </c>
      <c r="L2941">
        <v>98</v>
      </c>
      <c r="M2941">
        <v>629.5</v>
      </c>
      <c r="N2941" t="s">
        <v>87</v>
      </c>
      <c r="O2941" t="s">
        <v>86</v>
      </c>
      <c r="P2941">
        <v>131</v>
      </c>
      <c r="Q2941">
        <v>6</v>
      </c>
      <c r="R2941">
        <v>45</v>
      </c>
      <c r="S2941">
        <v>1191</v>
      </c>
      <c r="T2941">
        <v>-40</v>
      </c>
      <c r="U2941">
        <v>53</v>
      </c>
      <c r="V2941">
        <v>520</v>
      </c>
      <c r="W2941" t="s">
        <v>43</v>
      </c>
      <c r="X2941" t="s">
        <v>43</v>
      </c>
      <c r="Y2941" t="s">
        <v>43</v>
      </c>
      <c r="Z2941" t="s">
        <v>43</v>
      </c>
      <c r="AA2941" t="s">
        <v>43</v>
      </c>
      <c r="AB2941" t="s">
        <v>43</v>
      </c>
      <c r="AC2941" t="s">
        <v>43</v>
      </c>
      <c r="AD2941">
        <v>3.28800011</v>
      </c>
      <c r="AE2941">
        <v>1</v>
      </c>
      <c r="AF2941">
        <v>38</v>
      </c>
      <c r="AG2941">
        <v>3.27699995</v>
      </c>
      <c r="AH2941">
        <v>4</v>
      </c>
      <c r="AI2941">
        <v>17</v>
      </c>
      <c r="AJ2941">
        <v>1</v>
      </c>
      <c r="AK2941">
        <v>26</v>
      </c>
      <c r="AL2941">
        <v>52</v>
      </c>
      <c r="AM2941" t="s">
        <v>43</v>
      </c>
      <c r="AN2941" t="str">
        <f>HYPERLINK("https://www.google.com/maps?q=10.792202,79.39003754","Open Location")</f>
        <v>Open Location</v>
      </c>
    </row>
    <row r="2942" spans="1:40" x14ac:dyDescent="0.3">
      <c r="A2942" s="1">
        <v>46210.659143518518</v>
      </c>
      <c r="B2942" t="s">
        <v>40</v>
      </c>
      <c r="C2942" t="s">
        <v>41</v>
      </c>
      <c r="D2942" s="1">
        <v>46210.662141203706</v>
      </c>
      <c r="E2942" t="s">
        <v>42</v>
      </c>
      <c r="F2942" t="s">
        <v>83</v>
      </c>
      <c r="G2942">
        <v>41</v>
      </c>
      <c r="H2942">
        <v>33143</v>
      </c>
      <c r="I2942" t="s">
        <v>1643</v>
      </c>
      <c r="J2942">
        <v>77</v>
      </c>
      <c r="K2942">
        <v>59</v>
      </c>
      <c r="L2942">
        <v>98</v>
      </c>
      <c r="M2942">
        <v>630.20001220999995</v>
      </c>
      <c r="N2942" t="s">
        <v>87</v>
      </c>
      <c r="O2942" t="s">
        <v>86</v>
      </c>
      <c r="P2942">
        <v>131</v>
      </c>
      <c r="Q2942">
        <v>6</v>
      </c>
      <c r="R2942">
        <v>83</v>
      </c>
      <c r="S2942">
        <v>1135</v>
      </c>
      <c r="T2942">
        <v>-40</v>
      </c>
      <c r="U2942">
        <v>53</v>
      </c>
      <c r="V2942">
        <v>282</v>
      </c>
      <c r="W2942">
        <v>33</v>
      </c>
      <c r="X2942">
        <v>33</v>
      </c>
      <c r="Y2942">
        <v>1</v>
      </c>
      <c r="Z2942">
        <v>8</v>
      </c>
      <c r="AA2942">
        <v>28</v>
      </c>
      <c r="AB2942">
        <v>2</v>
      </c>
      <c r="AC2942">
        <v>4</v>
      </c>
      <c r="AD2942">
        <v>3.28600001</v>
      </c>
      <c r="AE2942">
        <v>1</v>
      </c>
      <c r="AF2942">
        <v>38</v>
      </c>
      <c r="AG2942">
        <v>3.27399993</v>
      </c>
      <c r="AH2942">
        <v>4</v>
      </c>
      <c r="AI2942">
        <v>17</v>
      </c>
      <c r="AJ2942">
        <v>1</v>
      </c>
      <c r="AK2942">
        <v>25</v>
      </c>
      <c r="AL2942">
        <v>52</v>
      </c>
      <c r="AM2942" t="s">
        <v>43</v>
      </c>
      <c r="AN2942" t="str">
        <f>HYPERLINK("https://www.google.com/maps?q=10.79286766,79.39112091","Open Location")</f>
        <v>Open Location</v>
      </c>
    </row>
    <row r="2943" spans="1:40" x14ac:dyDescent="0.3">
      <c r="A2943" s="1">
        <v>46210.65902777778</v>
      </c>
      <c r="B2943" t="s">
        <v>40</v>
      </c>
      <c r="C2943" t="s">
        <v>41</v>
      </c>
      <c r="D2943" s="1">
        <v>46210.661759259259</v>
      </c>
      <c r="E2943" t="s">
        <v>42</v>
      </c>
      <c r="F2943" t="s">
        <v>83</v>
      </c>
      <c r="G2943">
        <v>41</v>
      </c>
      <c r="H2943" t="s">
        <v>43</v>
      </c>
      <c r="I2943" t="s">
        <v>43</v>
      </c>
      <c r="J2943">
        <v>77</v>
      </c>
      <c r="K2943">
        <v>97</v>
      </c>
      <c r="L2943">
        <v>98</v>
      </c>
      <c r="M2943">
        <v>629.59997558999999</v>
      </c>
      <c r="N2943" t="s">
        <v>87</v>
      </c>
      <c r="O2943" t="s">
        <v>86</v>
      </c>
      <c r="P2943">
        <v>131</v>
      </c>
      <c r="Q2943">
        <v>6</v>
      </c>
      <c r="R2943">
        <v>68</v>
      </c>
      <c r="S2943">
        <v>1114</v>
      </c>
      <c r="T2943">
        <v>-40</v>
      </c>
      <c r="U2943">
        <v>54</v>
      </c>
      <c r="V2943">
        <v>485</v>
      </c>
      <c r="W2943">
        <v>33</v>
      </c>
      <c r="X2943">
        <v>33</v>
      </c>
      <c r="Y2943">
        <v>1</v>
      </c>
      <c r="Z2943">
        <v>8</v>
      </c>
      <c r="AA2943">
        <v>29</v>
      </c>
      <c r="AB2943">
        <v>1</v>
      </c>
      <c r="AC2943">
        <v>3</v>
      </c>
      <c r="AD2943">
        <v>3.28800011</v>
      </c>
      <c r="AE2943">
        <v>1</v>
      </c>
      <c r="AF2943">
        <v>38</v>
      </c>
      <c r="AG2943">
        <v>3.2760000200000001</v>
      </c>
      <c r="AH2943">
        <v>4</v>
      </c>
      <c r="AI2943">
        <v>17</v>
      </c>
      <c r="AJ2943">
        <v>1</v>
      </c>
      <c r="AK2943">
        <v>25</v>
      </c>
      <c r="AL2943">
        <v>52</v>
      </c>
      <c r="AM2943" t="s">
        <v>43</v>
      </c>
      <c r="AN2943" t="s">
        <v>43</v>
      </c>
    </row>
    <row r="2944" spans="1:40" x14ac:dyDescent="0.3">
      <c r="A2944" s="1">
        <v>46210.658912037034</v>
      </c>
      <c r="B2944" t="s">
        <v>40</v>
      </c>
      <c r="C2944" t="s">
        <v>41</v>
      </c>
      <c r="D2944" s="1">
        <v>46210.661921296298</v>
      </c>
      <c r="E2944" t="s">
        <v>42</v>
      </c>
      <c r="F2944" t="s">
        <v>83</v>
      </c>
      <c r="G2944">
        <v>40</v>
      </c>
      <c r="H2944">
        <v>33143</v>
      </c>
      <c r="I2944" t="s">
        <v>1644</v>
      </c>
      <c r="J2944">
        <v>77</v>
      </c>
      <c r="K2944">
        <v>104</v>
      </c>
      <c r="L2944">
        <v>98</v>
      </c>
      <c r="M2944">
        <v>629.20001220999995</v>
      </c>
      <c r="N2944" t="s">
        <v>87</v>
      </c>
      <c r="O2944" t="s">
        <v>86</v>
      </c>
      <c r="P2944">
        <v>131</v>
      </c>
      <c r="Q2944">
        <v>6</v>
      </c>
      <c r="R2944">
        <v>32</v>
      </c>
      <c r="S2944">
        <v>1104</v>
      </c>
      <c r="T2944">
        <v>-40</v>
      </c>
      <c r="U2944">
        <v>53</v>
      </c>
      <c r="V2944">
        <v>548</v>
      </c>
      <c r="W2944">
        <v>33</v>
      </c>
      <c r="X2944">
        <v>33</v>
      </c>
      <c r="Y2944">
        <v>1</v>
      </c>
      <c r="Z2944">
        <v>8</v>
      </c>
      <c r="AA2944">
        <v>29</v>
      </c>
      <c r="AB2944">
        <v>1</v>
      </c>
      <c r="AC2944">
        <v>3</v>
      </c>
      <c r="AD2944">
        <v>3.2780001200000002</v>
      </c>
      <c r="AE2944">
        <v>1</v>
      </c>
      <c r="AF2944">
        <v>38</v>
      </c>
      <c r="AG2944">
        <v>3.2639999400000002</v>
      </c>
      <c r="AH2944">
        <v>4</v>
      </c>
      <c r="AI2944">
        <v>17</v>
      </c>
      <c r="AJ2944">
        <v>1</v>
      </c>
      <c r="AK2944">
        <v>26</v>
      </c>
      <c r="AL2944">
        <v>52</v>
      </c>
      <c r="AM2944" t="s">
        <v>43</v>
      </c>
      <c r="AN2944" t="str">
        <f>HYPERLINK("https://www.google.com/maps?q=10.79345608,79.39220428","Open Location")</f>
        <v>Open Location</v>
      </c>
    </row>
    <row r="2945" spans="1:40" x14ac:dyDescent="0.3">
      <c r="A2945" s="1">
        <v>46210.658796296295</v>
      </c>
      <c r="B2945" t="s">
        <v>40</v>
      </c>
      <c r="C2945" t="s">
        <v>41</v>
      </c>
      <c r="D2945" s="1">
        <v>46210.661493055559</v>
      </c>
      <c r="E2945" t="s">
        <v>42</v>
      </c>
      <c r="F2945" t="s">
        <v>83</v>
      </c>
      <c r="G2945">
        <v>39</v>
      </c>
      <c r="H2945">
        <v>33142</v>
      </c>
      <c r="I2945" t="s">
        <v>1645</v>
      </c>
      <c r="J2945">
        <v>77</v>
      </c>
      <c r="K2945">
        <v>273</v>
      </c>
      <c r="L2945">
        <v>98</v>
      </c>
      <c r="M2945">
        <v>623.40002441000001</v>
      </c>
      <c r="N2945" t="s">
        <v>87</v>
      </c>
      <c r="O2945" t="s">
        <v>86</v>
      </c>
      <c r="P2945">
        <v>130</v>
      </c>
      <c r="Q2945">
        <v>5</v>
      </c>
      <c r="R2945">
        <v>147</v>
      </c>
      <c r="S2945">
        <v>1654</v>
      </c>
      <c r="T2945">
        <v>-40</v>
      </c>
      <c r="U2945">
        <v>55</v>
      </c>
      <c r="V2945">
        <v>888</v>
      </c>
      <c r="W2945">
        <v>33</v>
      </c>
      <c r="X2945">
        <v>33</v>
      </c>
      <c r="Y2945">
        <v>1</v>
      </c>
      <c r="Z2945">
        <v>8</v>
      </c>
      <c r="AA2945">
        <v>29</v>
      </c>
      <c r="AB2945">
        <v>1</v>
      </c>
      <c r="AC2945">
        <v>3</v>
      </c>
      <c r="AD2945">
        <v>3.2980000999999999</v>
      </c>
      <c r="AE2945">
        <v>1</v>
      </c>
      <c r="AF2945">
        <v>36</v>
      </c>
      <c r="AG2945">
        <v>3.28900003</v>
      </c>
      <c r="AH2945">
        <v>4</v>
      </c>
      <c r="AI2945">
        <v>17</v>
      </c>
      <c r="AJ2945">
        <v>1</v>
      </c>
      <c r="AK2945">
        <v>26</v>
      </c>
      <c r="AL2945">
        <v>52</v>
      </c>
      <c r="AM2945" t="s">
        <v>43</v>
      </c>
      <c r="AN2945" t="str">
        <f>HYPERLINK("https://www.google.com/maps?q=10.79397011,79.39330292","Open Location")</f>
        <v>Open Location</v>
      </c>
    </row>
    <row r="2946" spans="1:40" x14ac:dyDescent="0.3">
      <c r="A2946" s="1">
        <v>46210.658680555556</v>
      </c>
      <c r="B2946" t="s">
        <v>40</v>
      </c>
      <c r="C2946" t="s">
        <v>41</v>
      </c>
      <c r="D2946" s="1">
        <v>46210.66134259259</v>
      </c>
      <c r="E2946" t="s">
        <v>42</v>
      </c>
      <c r="F2946" t="s">
        <v>83</v>
      </c>
      <c r="G2946">
        <v>33</v>
      </c>
      <c r="H2946">
        <v>33142</v>
      </c>
      <c r="I2946" t="s">
        <v>1646</v>
      </c>
      <c r="J2946">
        <v>77</v>
      </c>
      <c r="K2946">
        <v>-160</v>
      </c>
      <c r="L2946">
        <v>98</v>
      </c>
      <c r="M2946">
        <v>640</v>
      </c>
      <c r="N2946" t="s">
        <v>87</v>
      </c>
      <c r="O2946" t="s">
        <v>86</v>
      </c>
      <c r="P2946">
        <v>131</v>
      </c>
      <c r="Q2946">
        <v>5</v>
      </c>
      <c r="R2946">
        <v>1</v>
      </c>
      <c r="S2946">
        <v>1189</v>
      </c>
      <c r="T2946">
        <v>-40</v>
      </c>
      <c r="U2946">
        <v>54</v>
      </c>
      <c r="V2946">
        <v>-1000</v>
      </c>
      <c r="W2946">
        <v>33</v>
      </c>
      <c r="X2946">
        <v>33</v>
      </c>
      <c r="Y2946">
        <v>1</v>
      </c>
      <c r="Z2946">
        <v>8</v>
      </c>
      <c r="AA2946">
        <v>29</v>
      </c>
      <c r="AB2946">
        <v>1</v>
      </c>
      <c r="AC2946">
        <v>3</v>
      </c>
      <c r="AD2946">
        <v>3.2599999899999998</v>
      </c>
      <c r="AE2946">
        <v>1</v>
      </c>
      <c r="AF2946">
        <v>38</v>
      </c>
      <c r="AG2946">
        <v>3.23799992</v>
      </c>
      <c r="AH2946">
        <v>4</v>
      </c>
      <c r="AI2946">
        <v>17</v>
      </c>
      <c r="AJ2946">
        <v>1</v>
      </c>
      <c r="AK2946">
        <v>26</v>
      </c>
      <c r="AL2946">
        <v>52</v>
      </c>
      <c r="AM2946" t="s">
        <v>43</v>
      </c>
      <c r="AN2946" t="str">
        <f>HYPERLINK("https://www.google.com/maps?q=10.79438019,79.39431763","Open Location")</f>
        <v>Open Location</v>
      </c>
    </row>
    <row r="2947" spans="1:40" x14ac:dyDescent="0.3">
      <c r="A2947" s="1">
        <v>46210.658564814818</v>
      </c>
      <c r="B2947" t="s">
        <v>40</v>
      </c>
      <c r="C2947" t="s">
        <v>41</v>
      </c>
      <c r="D2947" s="1">
        <v>46210.66134259259</v>
      </c>
      <c r="E2947" t="s">
        <v>42</v>
      </c>
      <c r="F2947" t="s">
        <v>83</v>
      </c>
      <c r="G2947">
        <v>53</v>
      </c>
      <c r="H2947" t="s">
        <v>43</v>
      </c>
      <c r="I2947" t="s">
        <v>1647</v>
      </c>
      <c r="J2947" t="s">
        <v>43</v>
      </c>
      <c r="K2947" t="s">
        <v>43</v>
      </c>
      <c r="L2947" t="s">
        <v>43</v>
      </c>
      <c r="M2947" t="s">
        <v>43</v>
      </c>
      <c r="N2947" t="s">
        <v>87</v>
      </c>
      <c r="O2947" t="s">
        <v>86</v>
      </c>
      <c r="P2947">
        <v>131</v>
      </c>
      <c r="Q2947">
        <v>6</v>
      </c>
      <c r="R2947">
        <v>-47</v>
      </c>
      <c r="S2947">
        <v>1577</v>
      </c>
      <c r="T2947">
        <v>-40</v>
      </c>
      <c r="U2947">
        <v>52</v>
      </c>
      <c r="V2947">
        <v>-300</v>
      </c>
      <c r="W2947">
        <v>33</v>
      </c>
      <c r="X2947">
        <v>33</v>
      </c>
      <c r="Y2947">
        <v>1</v>
      </c>
      <c r="Z2947">
        <v>8</v>
      </c>
      <c r="AA2947">
        <v>29</v>
      </c>
      <c r="AB2947">
        <v>1</v>
      </c>
      <c r="AC2947">
        <v>3</v>
      </c>
      <c r="AD2947">
        <v>3.3380000600000002</v>
      </c>
      <c r="AE2947">
        <v>4</v>
      </c>
      <c r="AF2947">
        <v>24</v>
      </c>
      <c r="AG2947">
        <v>3.3280000699999999</v>
      </c>
      <c r="AH2947">
        <v>5</v>
      </c>
      <c r="AI2947">
        <v>10</v>
      </c>
      <c r="AJ2947">
        <v>1</v>
      </c>
      <c r="AK2947">
        <v>27</v>
      </c>
      <c r="AL2947">
        <v>52</v>
      </c>
      <c r="AM2947" t="s">
        <v>43</v>
      </c>
      <c r="AN2947" t="str">
        <f>HYPERLINK("https://www.google.com/maps?q=10.79482937,79.39568329","Open Location")</f>
        <v>Open Location</v>
      </c>
    </row>
    <row r="2948" spans="1:40" x14ac:dyDescent="0.3">
      <c r="A2948" s="1">
        <v>46210.658449074072</v>
      </c>
      <c r="B2948" t="s">
        <v>40</v>
      </c>
      <c r="C2948" t="s">
        <v>41</v>
      </c>
      <c r="D2948" s="1">
        <v>46210.661087962966</v>
      </c>
      <c r="E2948" t="s">
        <v>42</v>
      </c>
      <c r="F2948" t="s">
        <v>83</v>
      </c>
      <c r="G2948">
        <v>61</v>
      </c>
      <c r="H2948">
        <v>33142</v>
      </c>
      <c r="I2948" t="s">
        <v>1648</v>
      </c>
      <c r="J2948">
        <v>77</v>
      </c>
      <c r="K2948">
        <v>328</v>
      </c>
      <c r="L2948">
        <v>98</v>
      </c>
      <c r="M2948">
        <v>615.79998779000005</v>
      </c>
      <c r="N2948" t="s">
        <v>87</v>
      </c>
      <c r="O2948" t="s">
        <v>86</v>
      </c>
      <c r="P2948">
        <v>131</v>
      </c>
      <c r="Q2948">
        <v>6</v>
      </c>
      <c r="R2948">
        <v>1</v>
      </c>
      <c r="S2948">
        <v>1704</v>
      </c>
      <c r="T2948">
        <v>-40</v>
      </c>
      <c r="U2948">
        <v>57</v>
      </c>
      <c r="V2948">
        <v>1088</v>
      </c>
      <c r="W2948">
        <v>33</v>
      </c>
      <c r="X2948">
        <v>33</v>
      </c>
      <c r="Y2948">
        <v>1</v>
      </c>
      <c r="Z2948">
        <v>8</v>
      </c>
      <c r="AA2948">
        <v>29</v>
      </c>
      <c r="AB2948">
        <v>1</v>
      </c>
      <c r="AC2948">
        <v>3</v>
      </c>
      <c r="AD2948">
        <v>3.3020000500000002</v>
      </c>
      <c r="AE2948">
        <v>1</v>
      </c>
      <c r="AF2948">
        <v>36</v>
      </c>
      <c r="AG2948">
        <v>3.2969999300000001</v>
      </c>
      <c r="AH2948">
        <v>2</v>
      </c>
      <c r="AI2948">
        <v>12</v>
      </c>
      <c r="AJ2948">
        <v>1</v>
      </c>
      <c r="AK2948">
        <v>26</v>
      </c>
      <c r="AL2948">
        <v>52</v>
      </c>
      <c r="AM2948" t="s">
        <v>43</v>
      </c>
      <c r="AN2948" t="str">
        <f>HYPERLINK("https://www.google.com/maps?q=10.79530334,79.39761353","Open Location")</f>
        <v>Open Location</v>
      </c>
    </row>
    <row r="2949" spans="1:40" x14ac:dyDescent="0.3">
      <c r="A2949" s="1">
        <v>46210.658333333333</v>
      </c>
      <c r="B2949" t="s">
        <v>40</v>
      </c>
      <c r="C2949" t="s">
        <v>41</v>
      </c>
      <c r="D2949" s="1">
        <v>46210.661087962966</v>
      </c>
      <c r="E2949" t="s">
        <v>42</v>
      </c>
      <c r="F2949" t="s">
        <v>83</v>
      </c>
      <c r="G2949">
        <v>60</v>
      </c>
      <c r="H2949">
        <v>33142</v>
      </c>
      <c r="I2949" t="s">
        <v>43</v>
      </c>
      <c r="J2949">
        <v>78</v>
      </c>
      <c r="K2949">
        <v>272</v>
      </c>
      <c r="L2949">
        <v>98</v>
      </c>
      <c r="M2949">
        <v>620</v>
      </c>
      <c r="N2949" t="s">
        <v>87</v>
      </c>
      <c r="O2949" t="s">
        <v>86</v>
      </c>
      <c r="P2949">
        <v>131</v>
      </c>
      <c r="Q2949">
        <v>6</v>
      </c>
      <c r="R2949">
        <v>181</v>
      </c>
      <c r="S2949">
        <v>1639</v>
      </c>
      <c r="T2949">
        <v>-40</v>
      </c>
      <c r="U2949">
        <v>56</v>
      </c>
      <c r="V2949">
        <v>940</v>
      </c>
      <c r="W2949">
        <v>33</v>
      </c>
      <c r="X2949">
        <v>33</v>
      </c>
      <c r="Y2949">
        <v>1</v>
      </c>
      <c r="Z2949">
        <v>8</v>
      </c>
      <c r="AA2949">
        <v>28</v>
      </c>
      <c r="AB2949">
        <v>2</v>
      </c>
      <c r="AC2949">
        <v>3</v>
      </c>
      <c r="AD2949">
        <v>3.2390000799999998</v>
      </c>
      <c r="AE2949">
        <v>1</v>
      </c>
      <c r="AF2949">
        <v>42</v>
      </c>
      <c r="AG2949">
        <v>3.2130000600000002</v>
      </c>
      <c r="AH2949">
        <v>4</v>
      </c>
      <c r="AI2949">
        <v>17</v>
      </c>
      <c r="AJ2949">
        <v>1</v>
      </c>
      <c r="AK2949">
        <v>26</v>
      </c>
      <c r="AL2949">
        <v>52</v>
      </c>
      <c r="AM2949" t="s">
        <v>43</v>
      </c>
      <c r="AN2949" t="s">
        <v>43</v>
      </c>
    </row>
    <row r="2950" spans="1:40" x14ac:dyDescent="0.3">
      <c r="A2950" s="1">
        <v>46210.658217592594</v>
      </c>
      <c r="B2950" t="s">
        <v>40</v>
      </c>
      <c r="C2950" t="s">
        <v>41</v>
      </c>
      <c r="D2950" s="1">
        <v>46210.661111111112</v>
      </c>
      <c r="E2950" t="s">
        <v>42</v>
      </c>
      <c r="F2950" t="s">
        <v>83</v>
      </c>
      <c r="G2950">
        <v>58</v>
      </c>
      <c r="H2950" t="s">
        <v>43</v>
      </c>
      <c r="I2950" t="s">
        <v>1649</v>
      </c>
      <c r="J2950">
        <v>78</v>
      </c>
      <c r="K2950">
        <v>157</v>
      </c>
      <c r="L2950">
        <v>98</v>
      </c>
      <c r="M2950">
        <v>624.09997558999999</v>
      </c>
      <c r="N2950" t="s">
        <v>87</v>
      </c>
      <c r="O2950" t="s">
        <v>86</v>
      </c>
      <c r="P2950">
        <v>131</v>
      </c>
      <c r="Q2950">
        <v>6</v>
      </c>
      <c r="R2950">
        <v>158</v>
      </c>
      <c r="S2950">
        <v>1587</v>
      </c>
      <c r="T2950">
        <v>-40</v>
      </c>
      <c r="U2950">
        <v>56</v>
      </c>
      <c r="V2950">
        <v>485</v>
      </c>
      <c r="W2950">
        <v>33</v>
      </c>
      <c r="X2950">
        <v>33</v>
      </c>
      <c r="Y2950">
        <v>1</v>
      </c>
      <c r="Z2950">
        <v>8</v>
      </c>
      <c r="AA2950">
        <v>28</v>
      </c>
      <c r="AB2950">
        <v>2</v>
      </c>
      <c r="AC2950">
        <v>3</v>
      </c>
      <c r="AD2950">
        <v>3.2479999099999999</v>
      </c>
      <c r="AE2950">
        <v>1</v>
      </c>
      <c r="AF2950">
        <v>38</v>
      </c>
      <c r="AG2950">
        <v>3.22600007</v>
      </c>
      <c r="AH2950">
        <v>4</v>
      </c>
      <c r="AI2950">
        <v>17</v>
      </c>
      <c r="AJ2950">
        <v>1</v>
      </c>
      <c r="AK2950">
        <v>26</v>
      </c>
      <c r="AL2950">
        <v>52</v>
      </c>
      <c r="AM2950" t="s">
        <v>43</v>
      </c>
      <c r="AN2950" t="str">
        <f>HYPERLINK("https://www.google.com/maps?q=10.79559517,79.39942169","Open Location")</f>
        <v>Open Location</v>
      </c>
    </row>
    <row r="2951" spans="1:40" x14ac:dyDescent="0.3">
      <c r="A2951" s="1">
        <v>46210.658101851855</v>
      </c>
      <c r="B2951" t="s">
        <v>40</v>
      </c>
      <c r="C2951" t="s">
        <v>41</v>
      </c>
      <c r="D2951" s="1">
        <v>46210.660752314812</v>
      </c>
      <c r="E2951" t="s">
        <v>42</v>
      </c>
      <c r="F2951" t="s">
        <v>83</v>
      </c>
      <c r="G2951">
        <v>56</v>
      </c>
      <c r="H2951">
        <v>33142</v>
      </c>
      <c r="I2951" t="s">
        <v>1650</v>
      </c>
      <c r="J2951">
        <v>78</v>
      </c>
      <c r="K2951">
        <v>269</v>
      </c>
      <c r="L2951">
        <v>98</v>
      </c>
      <c r="M2951">
        <v>619.5</v>
      </c>
      <c r="N2951" t="s">
        <v>87</v>
      </c>
      <c r="O2951" t="s">
        <v>86</v>
      </c>
      <c r="P2951">
        <v>131</v>
      </c>
      <c r="Q2951">
        <v>6</v>
      </c>
      <c r="R2951">
        <v>194</v>
      </c>
      <c r="S2951">
        <v>1505</v>
      </c>
      <c r="T2951">
        <v>-40</v>
      </c>
      <c r="U2951">
        <v>58</v>
      </c>
      <c r="V2951">
        <v>940</v>
      </c>
      <c r="W2951">
        <v>33</v>
      </c>
      <c r="X2951">
        <v>33</v>
      </c>
      <c r="Y2951">
        <v>1</v>
      </c>
      <c r="Z2951">
        <v>8</v>
      </c>
      <c r="AA2951">
        <v>28</v>
      </c>
      <c r="AB2951">
        <v>2</v>
      </c>
      <c r="AC2951">
        <v>3</v>
      </c>
      <c r="AD2951">
        <v>3.2390000799999998</v>
      </c>
      <c r="AE2951">
        <v>1</v>
      </c>
      <c r="AF2951">
        <v>42</v>
      </c>
      <c r="AG2951">
        <v>3.21499991</v>
      </c>
      <c r="AH2951">
        <v>4</v>
      </c>
      <c r="AI2951">
        <v>17</v>
      </c>
      <c r="AJ2951">
        <v>1</v>
      </c>
      <c r="AK2951">
        <v>26</v>
      </c>
      <c r="AL2951">
        <v>52</v>
      </c>
      <c r="AM2951" t="s">
        <v>43</v>
      </c>
      <c r="AN2951" t="str">
        <f>HYPERLINK("https://www.google.com/maps?q=10.79581165,79.40116119","Open Location")</f>
        <v>Open Location</v>
      </c>
    </row>
    <row r="2952" spans="1:40" x14ac:dyDescent="0.3">
      <c r="A2952" s="1">
        <v>46210.657986111109</v>
      </c>
      <c r="B2952" t="s">
        <v>40</v>
      </c>
      <c r="C2952" t="s">
        <v>41</v>
      </c>
      <c r="D2952" s="1">
        <v>46210.661030092589</v>
      </c>
      <c r="E2952" t="s">
        <v>42</v>
      </c>
      <c r="F2952" t="s">
        <v>83</v>
      </c>
      <c r="G2952">
        <v>52</v>
      </c>
      <c r="H2952">
        <v>33141</v>
      </c>
      <c r="I2952" t="s">
        <v>1651</v>
      </c>
      <c r="J2952">
        <v>78</v>
      </c>
      <c r="K2952">
        <v>329</v>
      </c>
      <c r="L2952">
        <v>98</v>
      </c>
      <c r="M2952">
        <v>618.79998779000005</v>
      </c>
      <c r="N2952" t="s">
        <v>87</v>
      </c>
      <c r="O2952" t="s">
        <v>86</v>
      </c>
      <c r="P2952">
        <v>131</v>
      </c>
      <c r="Q2952">
        <v>6</v>
      </c>
      <c r="R2952">
        <v>192</v>
      </c>
      <c r="S2952">
        <v>1396</v>
      </c>
      <c r="T2952">
        <v>-40</v>
      </c>
      <c r="U2952">
        <v>59</v>
      </c>
      <c r="V2952">
        <v>1312</v>
      </c>
      <c r="W2952">
        <v>32</v>
      </c>
      <c r="X2952">
        <v>32</v>
      </c>
      <c r="Y2952">
        <v>1</v>
      </c>
      <c r="Z2952">
        <v>8</v>
      </c>
      <c r="AA2952">
        <v>28</v>
      </c>
      <c r="AB2952">
        <v>2</v>
      </c>
      <c r="AC2952">
        <v>3</v>
      </c>
      <c r="AD2952">
        <v>3.2400000100000002</v>
      </c>
      <c r="AE2952">
        <v>1</v>
      </c>
      <c r="AF2952">
        <v>42</v>
      </c>
      <c r="AG2952">
        <v>3.21499991</v>
      </c>
      <c r="AH2952">
        <v>4</v>
      </c>
      <c r="AI2952">
        <v>17</v>
      </c>
      <c r="AJ2952">
        <v>1</v>
      </c>
      <c r="AK2952">
        <v>26</v>
      </c>
      <c r="AL2952">
        <v>52</v>
      </c>
      <c r="AM2952" t="s">
        <v>43</v>
      </c>
      <c r="AN2952" t="str">
        <f>HYPERLINK("https://www.google.com/maps?q=10.79606247,79.40277863","Open Location")</f>
        <v>Open Location</v>
      </c>
    </row>
    <row r="2953" spans="1:40" x14ac:dyDescent="0.3">
      <c r="A2953" s="1">
        <v>46210.657870370371</v>
      </c>
      <c r="B2953" t="s">
        <v>40</v>
      </c>
      <c r="C2953" t="s">
        <v>41</v>
      </c>
      <c r="D2953" s="1">
        <v>46210.660844907405</v>
      </c>
      <c r="E2953" t="s">
        <v>42</v>
      </c>
      <c r="F2953" t="s">
        <v>83</v>
      </c>
      <c r="G2953">
        <v>48</v>
      </c>
      <c r="H2953" t="s">
        <v>43</v>
      </c>
      <c r="I2953" t="s">
        <v>1652</v>
      </c>
      <c r="J2953" t="s">
        <v>43</v>
      </c>
      <c r="K2953" t="s">
        <v>43</v>
      </c>
      <c r="L2953" t="s">
        <v>43</v>
      </c>
      <c r="M2953" t="s">
        <v>43</v>
      </c>
      <c r="N2953" t="s">
        <v>87</v>
      </c>
      <c r="O2953" t="s">
        <v>86</v>
      </c>
      <c r="P2953">
        <v>131</v>
      </c>
      <c r="Q2953">
        <v>6</v>
      </c>
      <c r="R2953">
        <v>192</v>
      </c>
      <c r="S2953">
        <v>1252</v>
      </c>
      <c r="T2953">
        <v>-40</v>
      </c>
      <c r="U2953">
        <v>60</v>
      </c>
      <c r="V2953">
        <v>1459</v>
      </c>
      <c r="W2953">
        <v>32</v>
      </c>
      <c r="X2953">
        <v>32</v>
      </c>
      <c r="Y2953">
        <v>1</v>
      </c>
      <c r="Z2953">
        <v>8</v>
      </c>
      <c r="AA2953">
        <v>28</v>
      </c>
      <c r="AB2953">
        <v>2</v>
      </c>
      <c r="AC2953">
        <v>3</v>
      </c>
      <c r="AD2953">
        <v>3.24099994</v>
      </c>
      <c r="AE2953">
        <v>1</v>
      </c>
      <c r="AF2953">
        <v>42</v>
      </c>
      <c r="AG2953">
        <v>3.21700001</v>
      </c>
      <c r="AH2953">
        <v>4</v>
      </c>
      <c r="AI2953">
        <v>17</v>
      </c>
      <c r="AJ2953">
        <v>1</v>
      </c>
      <c r="AK2953">
        <v>25</v>
      </c>
      <c r="AL2953">
        <v>52</v>
      </c>
      <c r="AM2953" t="s">
        <v>43</v>
      </c>
      <c r="AN2953" t="str">
        <f>HYPERLINK("https://www.google.com/maps?q=10.79625702,79.40424347","Open Location")</f>
        <v>Open Location</v>
      </c>
    </row>
    <row r="2954" spans="1:40" x14ac:dyDescent="0.3">
      <c r="A2954" s="1">
        <v>46210.657754629632</v>
      </c>
      <c r="B2954" t="s">
        <v>40</v>
      </c>
      <c r="C2954" t="s">
        <v>41</v>
      </c>
      <c r="D2954" s="1">
        <v>46210.660405092596</v>
      </c>
      <c r="E2954" t="s">
        <v>42</v>
      </c>
      <c r="F2954" t="s">
        <v>83</v>
      </c>
      <c r="G2954">
        <v>42</v>
      </c>
      <c r="H2954">
        <v>33141</v>
      </c>
      <c r="I2954" t="s">
        <v>1653</v>
      </c>
      <c r="J2954">
        <v>78</v>
      </c>
      <c r="K2954">
        <v>169</v>
      </c>
      <c r="L2954">
        <v>98</v>
      </c>
      <c r="M2954">
        <v>631.5</v>
      </c>
      <c r="N2954" t="s">
        <v>87</v>
      </c>
      <c r="O2954" t="s">
        <v>86</v>
      </c>
      <c r="P2954">
        <v>131</v>
      </c>
      <c r="Q2954">
        <v>6</v>
      </c>
      <c r="R2954">
        <v>192</v>
      </c>
      <c r="S2954">
        <v>1802</v>
      </c>
      <c r="T2954">
        <v>-40</v>
      </c>
      <c r="U2954">
        <v>57</v>
      </c>
      <c r="V2954">
        <v>461</v>
      </c>
      <c r="W2954">
        <v>32</v>
      </c>
      <c r="X2954">
        <v>32</v>
      </c>
      <c r="Y2954">
        <v>1</v>
      </c>
      <c r="Z2954">
        <v>8</v>
      </c>
      <c r="AA2954">
        <v>28</v>
      </c>
      <c r="AB2954">
        <v>2</v>
      </c>
      <c r="AC2954">
        <v>1</v>
      </c>
      <c r="AD2954">
        <v>3.2449998899999999</v>
      </c>
      <c r="AE2954">
        <v>1</v>
      </c>
      <c r="AF2954">
        <v>38</v>
      </c>
      <c r="AG2954">
        <v>3.2209999599999999</v>
      </c>
      <c r="AH2954">
        <v>4</v>
      </c>
      <c r="AI2954">
        <v>17</v>
      </c>
      <c r="AJ2954">
        <v>1</v>
      </c>
      <c r="AK2954">
        <v>26</v>
      </c>
      <c r="AL2954">
        <v>52</v>
      </c>
      <c r="AM2954" t="s">
        <v>43</v>
      </c>
      <c r="AN2954" t="str">
        <f>HYPERLINK("https://www.google.com/maps?q=10.79639721,79.40549469","Open Location")</f>
        <v>Open Location</v>
      </c>
    </row>
    <row r="2955" spans="1:40" x14ac:dyDescent="0.3">
      <c r="A2955" s="1">
        <v>46210.657638888886</v>
      </c>
      <c r="B2955" t="s">
        <v>40</v>
      </c>
      <c r="C2955" t="s">
        <v>41</v>
      </c>
      <c r="D2955" s="1">
        <v>46210.660474537035</v>
      </c>
      <c r="E2955" t="s">
        <v>42</v>
      </c>
      <c r="F2955" t="s">
        <v>83</v>
      </c>
      <c r="G2955">
        <v>36</v>
      </c>
      <c r="H2955" t="s">
        <v>43</v>
      </c>
      <c r="I2955" t="s">
        <v>43</v>
      </c>
      <c r="J2955">
        <v>79</v>
      </c>
      <c r="K2955">
        <v>153</v>
      </c>
      <c r="L2955">
        <v>98</v>
      </c>
      <c r="M2955">
        <v>627.29998779000005</v>
      </c>
      <c r="N2955" t="s">
        <v>87</v>
      </c>
      <c r="O2955" t="s">
        <v>86</v>
      </c>
      <c r="P2955">
        <v>130</v>
      </c>
      <c r="Q2955">
        <v>5</v>
      </c>
      <c r="R2955">
        <v>196</v>
      </c>
      <c r="S2955">
        <v>1555</v>
      </c>
      <c r="T2955">
        <v>-40</v>
      </c>
      <c r="U2955">
        <v>54</v>
      </c>
      <c r="V2955">
        <v>440</v>
      </c>
      <c r="W2955">
        <v>32</v>
      </c>
      <c r="X2955">
        <v>32</v>
      </c>
      <c r="Y2955">
        <v>1</v>
      </c>
      <c r="Z2955">
        <v>8</v>
      </c>
      <c r="AA2955">
        <v>28</v>
      </c>
      <c r="AB2955">
        <v>2</v>
      </c>
      <c r="AC2955">
        <v>1</v>
      </c>
      <c r="AD2955">
        <v>3.2550001100000001</v>
      </c>
      <c r="AE2955">
        <v>1</v>
      </c>
      <c r="AF2955">
        <v>42</v>
      </c>
      <c r="AG2955">
        <v>3.2269999999999999</v>
      </c>
      <c r="AH2955">
        <v>6</v>
      </c>
      <c r="AI2955">
        <v>24</v>
      </c>
      <c r="AJ2955">
        <v>1</v>
      </c>
      <c r="AK2955">
        <v>25</v>
      </c>
      <c r="AL2955">
        <v>52</v>
      </c>
      <c r="AM2955" t="s">
        <v>43</v>
      </c>
      <c r="AN2955" t="s">
        <v>43</v>
      </c>
    </row>
    <row r="2956" spans="1:40" x14ac:dyDescent="0.3">
      <c r="A2956" s="1">
        <v>46210.657523148147</v>
      </c>
      <c r="B2956" t="s">
        <v>40</v>
      </c>
      <c r="C2956" t="s">
        <v>41</v>
      </c>
      <c r="D2956" s="1">
        <v>46210.66034722222</v>
      </c>
      <c r="E2956" t="s">
        <v>42</v>
      </c>
      <c r="F2956" t="s">
        <v>83</v>
      </c>
      <c r="G2956">
        <v>32</v>
      </c>
      <c r="H2956" t="s">
        <v>43</v>
      </c>
      <c r="I2956" t="s">
        <v>1654</v>
      </c>
      <c r="J2956">
        <v>79</v>
      </c>
      <c r="K2956">
        <v>314</v>
      </c>
      <c r="L2956">
        <v>98</v>
      </c>
      <c r="M2956">
        <v>621.09997558999999</v>
      </c>
      <c r="N2956" t="s">
        <v>87</v>
      </c>
      <c r="O2956" t="s">
        <v>86</v>
      </c>
      <c r="P2956">
        <v>131</v>
      </c>
      <c r="Q2956">
        <v>5</v>
      </c>
      <c r="R2956">
        <v>0</v>
      </c>
      <c r="S2956">
        <v>1042</v>
      </c>
      <c r="T2956">
        <v>-40</v>
      </c>
      <c r="U2956">
        <v>54</v>
      </c>
      <c r="V2956">
        <v>1720</v>
      </c>
      <c r="W2956">
        <v>32</v>
      </c>
      <c r="X2956">
        <v>32</v>
      </c>
      <c r="Y2956">
        <v>1</v>
      </c>
      <c r="Z2956">
        <v>8</v>
      </c>
      <c r="AA2956">
        <v>28</v>
      </c>
      <c r="AB2956">
        <v>2</v>
      </c>
      <c r="AC2956">
        <v>1</v>
      </c>
      <c r="AD2956">
        <v>3.2630000099999998</v>
      </c>
      <c r="AE2956">
        <v>5</v>
      </c>
      <c r="AF2956">
        <v>38</v>
      </c>
      <c r="AG2956">
        <v>3.24099994</v>
      </c>
      <c r="AH2956">
        <v>4</v>
      </c>
      <c r="AI2956">
        <v>17</v>
      </c>
      <c r="AJ2956">
        <v>1</v>
      </c>
      <c r="AK2956">
        <v>26</v>
      </c>
      <c r="AL2956">
        <v>52</v>
      </c>
      <c r="AM2956" t="s">
        <v>43</v>
      </c>
      <c r="AN2956" t="str">
        <f>HYPERLINK("https://www.google.com/maps?q=10.79652023,79.40665436","Open Location")</f>
        <v>Open Location</v>
      </c>
    </row>
    <row r="2957" spans="1:40" x14ac:dyDescent="0.3">
      <c r="A2957" s="1">
        <v>46210.657407407409</v>
      </c>
      <c r="B2957" t="s">
        <v>40</v>
      </c>
      <c r="C2957" t="s">
        <v>41</v>
      </c>
      <c r="D2957" s="1">
        <v>46210.660381944443</v>
      </c>
      <c r="E2957" t="s">
        <v>42</v>
      </c>
      <c r="F2957" t="s">
        <v>83</v>
      </c>
      <c r="G2957">
        <v>37</v>
      </c>
      <c r="H2957">
        <v>33141</v>
      </c>
      <c r="I2957" t="s">
        <v>1655</v>
      </c>
      <c r="J2957" t="s">
        <v>43</v>
      </c>
      <c r="K2957" t="s">
        <v>43</v>
      </c>
      <c r="L2957" t="s">
        <v>43</v>
      </c>
      <c r="M2957" t="s">
        <v>43</v>
      </c>
      <c r="N2957" t="s">
        <v>87</v>
      </c>
      <c r="O2957" t="s">
        <v>86</v>
      </c>
      <c r="P2957">
        <v>131</v>
      </c>
      <c r="Q2957">
        <v>6</v>
      </c>
      <c r="R2957">
        <v>14</v>
      </c>
      <c r="S2957">
        <v>1041</v>
      </c>
      <c r="T2957">
        <v>-40</v>
      </c>
      <c r="U2957">
        <v>52</v>
      </c>
      <c r="V2957">
        <v>1040</v>
      </c>
      <c r="W2957">
        <v>32</v>
      </c>
      <c r="X2957">
        <v>32</v>
      </c>
      <c r="Y2957">
        <v>1</v>
      </c>
      <c r="Z2957">
        <v>8</v>
      </c>
      <c r="AA2957">
        <v>28</v>
      </c>
      <c r="AB2957">
        <v>2</v>
      </c>
      <c r="AC2957">
        <v>1</v>
      </c>
      <c r="AD2957">
        <v>3.2809998999999999</v>
      </c>
      <c r="AE2957">
        <v>5</v>
      </c>
      <c r="AF2957">
        <v>38</v>
      </c>
      <c r="AG2957">
        <v>3.2650001</v>
      </c>
      <c r="AH2957">
        <v>4</v>
      </c>
      <c r="AI2957">
        <v>17</v>
      </c>
      <c r="AJ2957">
        <v>1</v>
      </c>
      <c r="AK2957">
        <v>26</v>
      </c>
      <c r="AL2957">
        <v>52</v>
      </c>
      <c r="AM2957" t="s">
        <v>43</v>
      </c>
      <c r="AN2957" t="str">
        <f>HYPERLINK("https://www.google.com/maps?q=10.79660511,79.40776825","Open Location")</f>
        <v>Open Location</v>
      </c>
    </row>
    <row r="2958" spans="1:40" x14ac:dyDescent="0.3">
      <c r="A2958" s="1">
        <v>46210.65729166667</v>
      </c>
      <c r="B2958" t="s">
        <v>40</v>
      </c>
      <c r="C2958" t="s">
        <v>41</v>
      </c>
      <c r="D2958" s="1">
        <v>46210.660277777781</v>
      </c>
      <c r="E2958" t="s">
        <v>42</v>
      </c>
      <c r="F2958" t="s">
        <v>83</v>
      </c>
      <c r="G2958">
        <v>38</v>
      </c>
      <c r="H2958">
        <v>33141</v>
      </c>
      <c r="I2958" t="s">
        <v>1656</v>
      </c>
      <c r="J2958">
        <v>79</v>
      </c>
      <c r="K2958">
        <v>149</v>
      </c>
      <c r="L2958">
        <v>98</v>
      </c>
      <c r="M2958">
        <v>627.09997558999999</v>
      </c>
      <c r="N2958" t="s">
        <v>87</v>
      </c>
      <c r="O2958" t="s">
        <v>86</v>
      </c>
      <c r="P2958">
        <v>131</v>
      </c>
      <c r="Q2958">
        <v>6</v>
      </c>
      <c r="R2958">
        <v>-35</v>
      </c>
      <c r="S2958">
        <v>1267</v>
      </c>
      <c r="T2958">
        <v>-40</v>
      </c>
      <c r="U2958">
        <v>53</v>
      </c>
      <c r="V2958">
        <v>616</v>
      </c>
      <c r="W2958">
        <v>32</v>
      </c>
      <c r="X2958">
        <v>32</v>
      </c>
      <c r="Y2958">
        <v>1</v>
      </c>
      <c r="Z2958">
        <v>8</v>
      </c>
      <c r="AA2958">
        <v>28</v>
      </c>
      <c r="AB2958">
        <v>2</v>
      </c>
      <c r="AC2958">
        <v>1</v>
      </c>
      <c r="AD2958">
        <v>3.3029999700000001</v>
      </c>
      <c r="AE2958">
        <v>1</v>
      </c>
      <c r="AF2958">
        <v>41</v>
      </c>
      <c r="AG2958">
        <v>3.2959999999999998</v>
      </c>
      <c r="AH2958">
        <v>8</v>
      </c>
      <c r="AI2958">
        <v>17</v>
      </c>
      <c r="AJ2958">
        <v>1</v>
      </c>
      <c r="AK2958">
        <v>26</v>
      </c>
      <c r="AL2958">
        <v>52</v>
      </c>
      <c r="AM2958" t="s">
        <v>43</v>
      </c>
      <c r="AN2958" t="str">
        <f>HYPERLINK("https://www.google.com/maps?q=10.79668903,79.40895081","Open Location")</f>
        <v>Open Location</v>
      </c>
    </row>
    <row r="2959" spans="1:40" x14ac:dyDescent="0.3">
      <c r="A2959" s="1">
        <v>46210.657175925924</v>
      </c>
      <c r="B2959" t="s">
        <v>40</v>
      </c>
      <c r="C2959" t="s">
        <v>41</v>
      </c>
      <c r="D2959" s="1">
        <v>46210.659861111111</v>
      </c>
      <c r="E2959" t="s">
        <v>42</v>
      </c>
      <c r="F2959" t="s">
        <v>83</v>
      </c>
      <c r="G2959">
        <v>45</v>
      </c>
      <c r="H2959">
        <v>33141</v>
      </c>
      <c r="I2959" t="s">
        <v>1657</v>
      </c>
      <c r="J2959">
        <v>79</v>
      </c>
      <c r="K2959">
        <v>168</v>
      </c>
      <c r="L2959">
        <v>98</v>
      </c>
      <c r="M2959">
        <v>627.09997558999999</v>
      </c>
      <c r="N2959" t="s">
        <v>87</v>
      </c>
      <c r="O2959" t="s">
        <v>86</v>
      </c>
      <c r="P2959">
        <v>131</v>
      </c>
      <c r="Q2959">
        <v>6</v>
      </c>
      <c r="R2959">
        <v>114</v>
      </c>
      <c r="S2959">
        <v>1255</v>
      </c>
      <c r="T2959">
        <v>-40</v>
      </c>
      <c r="U2959">
        <v>54</v>
      </c>
      <c r="V2959">
        <v>760</v>
      </c>
      <c r="W2959">
        <v>32</v>
      </c>
      <c r="X2959">
        <v>32</v>
      </c>
      <c r="Y2959">
        <v>1</v>
      </c>
      <c r="Z2959">
        <v>8</v>
      </c>
      <c r="AA2959">
        <v>28</v>
      </c>
      <c r="AB2959">
        <v>2</v>
      </c>
      <c r="AC2959">
        <v>1</v>
      </c>
      <c r="AD2959">
        <v>3.2760000200000001</v>
      </c>
      <c r="AE2959">
        <v>5</v>
      </c>
      <c r="AF2959">
        <v>38</v>
      </c>
      <c r="AG2959">
        <v>3.2599999899999998</v>
      </c>
      <c r="AH2959">
        <v>4</v>
      </c>
      <c r="AI2959">
        <v>17</v>
      </c>
      <c r="AJ2959">
        <v>1</v>
      </c>
      <c r="AK2959">
        <v>27</v>
      </c>
      <c r="AL2959">
        <v>52</v>
      </c>
      <c r="AM2959" t="s">
        <v>43</v>
      </c>
      <c r="AN2959" t="str">
        <f>HYPERLINK("https://www.google.com/maps?q=10.79671001,79.41034698","Open Location")</f>
        <v>Open Location</v>
      </c>
    </row>
    <row r="2960" spans="1:40" x14ac:dyDescent="0.3">
      <c r="A2960" s="1">
        <v>46210.657060185185</v>
      </c>
      <c r="B2960" t="s">
        <v>40</v>
      </c>
      <c r="C2960" t="s">
        <v>41</v>
      </c>
      <c r="D2960" s="1">
        <v>46210.659675925926</v>
      </c>
      <c r="E2960" t="s">
        <v>42</v>
      </c>
      <c r="F2960" t="s">
        <v>83</v>
      </c>
      <c r="G2960">
        <v>45</v>
      </c>
      <c r="H2960">
        <v>33141</v>
      </c>
      <c r="I2960" t="s">
        <v>43</v>
      </c>
      <c r="J2960">
        <v>79</v>
      </c>
      <c r="K2960">
        <v>118</v>
      </c>
      <c r="L2960">
        <v>98</v>
      </c>
      <c r="M2960">
        <v>629.5</v>
      </c>
      <c r="N2960" t="s">
        <v>87</v>
      </c>
      <c r="O2960" t="s">
        <v>86</v>
      </c>
      <c r="P2960">
        <v>131</v>
      </c>
      <c r="Q2960">
        <v>6</v>
      </c>
      <c r="R2960">
        <v>73</v>
      </c>
      <c r="S2960">
        <v>1238</v>
      </c>
      <c r="T2960">
        <v>-40</v>
      </c>
      <c r="U2960">
        <v>52</v>
      </c>
      <c r="V2960">
        <v>505</v>
      </c>
      <c r="W2960">
        <v>32</v>
      </c>
      <c r="X2960">
        <v>32</v>
      </c>
      <c r="Y2960">
        <v>1</v>
      </c>
      <c r="Z2960">
        <v>8</v>
      </c>
      <c r="AA2960">
        <v>28</v>
      </c>
      <c r="AB2960">
        <v>2</v>
      </c>
      <c r="AC2960">
        <v>1</v>
      </c>
      <c r="AD2960">
        <v>3.27999997</v>
      </c>
      <c r="AE2960">
        <v>1</v>
      </c>
      <c r="AF2960">
        <v>38</v>
      </c>
      <c r="AG2960">
        <v>3.2660000299999998</v>
      </c>
      <c r="AH2960">
        <v>4</v>
      </c>
      <c r="AI2960">
        <v>17</v>
      </c>
      <c r="AJ2960">
        <v>1</v>
      </c>
      <c r="AK2960">
        <v>26</v>
      </c>
      <c r="AL2960">
        <v>52</v>
      </c>
      <c r="AM2960" t="s">
        <v>43</v>
      </c>
      <c r="AN2960" t="s">
        <v>43</v>
      </c>
    </row>
    <row r="2961" spans="1:40" x14ac:dyDescent="0.3">
      <c r="A2961" s="1">
        <v>46210.656944444447</v>
      </c>
      <c r="B2961" t="s">
        <v>40</v>
      </c>
      <c r="C2961" t="s">
        <v>41</v>
      </c>
      <c r="D2961" s="1">
        <v>46210.659814814811</v>
      </c>
      <c r="E2961" t="s">
        <v>42</v>
      </c>
      <c r="F2961" t="s">
        <v>83</v>
      </c>
      <c r="G2961">
        <v>45</v>
      </c>
      <c r="H2961">
        <v>33140</v>
      </c>
      <c r="I2961" t="s">
        <v>1658</v>
      </c>
      <c r="J2961">
        <v>79</v>
      </c>
      <c r="K2961">
        <v>119</v>
      </c>
      <c r="L2961">
        <v>98</v>
      </c>
      <c r="M2961">
        <v>629</v>
      </c>
      <c r="N2961" t="s">
        <v>87</v>
      </c>
      <c r="O2961" t="s">
        <v>86</v>
      </c>
      <c r="P2961">
        <v>131</v>
      </c>
      <c r="Q2961">
        <v>6</v>
      </c>
      <c r="R2961">
        <v>70</v>
      </c>
      <c r="S2961">
        <v>1241</v>
      </c>
      <c r="T2961">
        <v>-40</v>
      </c>
      <c r="U2961">
        <v>52</v>
      </c>
      <c r="V2961">
        <v>520</v>
      </c>
      <c r="W2961">
        <v>32</v>
      </c>
      <c r="X2961">
        <v>32</v>
      </c>
      <c r="Y2961">
        <v>1</v>
      </c>
      <c r="Z2961">
        <v>8</v>
      </c>
      <c r="AA2961">
        <v>28</v>
      </c>
      <c r="AB2961">
        <v>2</v>
      </c>
      <c r="AC2961">
        <v>1</v>
      </c>
      <c r="AD2961">
        <v>3.28900003</v>
      </c>
      <c r="AE2961">
        <v>1</v>
      </c>
      <c r="AF2961">
        <v>38</v>
      </c>
      <c r="AG2961">
        <v>3.2790000400000001</v>
      </c>
      <c r="AH2961">
        <v>4</v>
      </c>
      <c r="AI2961">
        <v>17</v>
      </c>
      <c r="AJ2961">
        <v>1</v>
      </c>
      <c r="AK2961">
        <v>26</v>
      </c>
      <c r="AL2961">
        <v>52</v>
      </c>
      <c r="AM2961" t="s">
        <v>43</v>
      </c>
      <c r="AN2961" t="str">
        <f>HYPERLINK("https://www.google.com/maps?q=10.79671288,79.41171265","Open Location")</f>
        <v>Open Location</v>
      </c>
    </row>
    <row r="2962" spans="1:40" x14ac:dyDescent="0.3">
      <c r="A2962" s="1">
        <v>46210.656828703701</v>
      </c>
      <c r="B2962" t="s">
        <v>40</v>
      </c>
      <c r="C2962" t="s">
        <v>41</v>
      </c>
      <c r="D2962" s="1">
        <v>46210.659537037034</v>
      </c>
      <c r="E2962" t="s">
        <v>42</v>
      </c>
      <c r="F2962" t="s">
        <v>83</v>
      </c>
      <c r="G2962">
        <v>45</v>
      </c>
      <c r="H2962">
        <v>33140</v>
      </c>
      <c r="I2962" t="s">
        <v>1659</v>
      </c>
      <c r="J2962">
        <v>79</v>
      </c>
      <c r="K2962">
        <v>110</v>
      </c>
      <c r="L2962">
        <v>98</v>
      </c>
      <c r="M2962">
        <v>629.40002441000001</v>
      </c>
      <c r="N2962" t="s">
        <v>87</v>
      </c>
      <c r="O2962" t="s">
        <v>86</v>
      </c>
      <c r="P2962">
        <v>131</v>
      </c>
      <c r="Q2962">
        <v>6</v>
      </c>
      <c r="R2962">
        <v>62</v>
      </c>
      <c r="S2962">
        <v>1248</v>
      </c>
      <c r="T2962">
        <v>-40</v>
      </c>
      <c r="U2962">
        <v>52</v>
      </c>
      <c r="V2962">
        <v>480</v>
      </c>
      <c r="W2962">
        <v>32</v>
      </c>
      <c r="X2962">
        <v>32</v>
      </c>
      <c r="Y2962">
        <v>1</v>
      </c>
      <c r="Z2962">
        <v>8</v>
      </c>
      <c r="AA2962">
        <v>28</v>
      </c>
      <c r="AB2962">
        <v>2</v>
      </c>
      <c r="AC2962">
        <v>1</v>
      </c>
      <c r="AD2962">
        <v>3.28900003</v>
      </c>
      <c r="AE2962">
        <v>1</v>
      </c>
      <c r="AF2962">
        <v>38</v>
      </c>
      <c r="AG2962">
        <v>3.2780001200000002</v>
      </c>
      <c r="AH2962">
        <v>4</v>
      </c>
      <c r="AI2962">
        <v>17</v>
      </c>
      <c r="AJ2962">
        <v>1</v>
      </c>
      <c r="AK2962">
        <v>26</v>
      </c>
      <c r="AL2962">
        <v>52</v>
      </c>
      <c r="AM2962" t="s">
        <v>43</v>
      </c>
      <c r="AN2962" t="str">
        <f>HYPERLINK("https://www.google.com/maps?q=10.79667091,79.41309357","Open Location")</f>
        <v>Open Location</v>
      </c>
    </row>
    <row r="2963" spans="1:40" x14ac:dyDescent="0.3">
      <c r="A2963" s="1">
        <v>46210.656712962962</v>
      </c>
      <c r="B2963" t="s">
        <v>40</v>
      </c>
      <c r="C2963" t="s">
        <v>41</v>
      </c>
      <c r="D2963" s="1">
        <v>46210.659363425926</v>
      </c>
      <c r="E2963" t="s">
        <v>42</v>
      </c>
      <c r="F2963" t="s">
        <v>83</v>
      </c>
      <c r="G2963">
        <v>45</v>
      </c>
      <c r="H2963">
        <v>33140</v>
      </c>
      <c r="I2963" t="s">
        <v>1660</v>
      </c>
      <c r="J2963">
        <v>79</v>
      </c>
      <c r="K2963">
        <v>112</v>
      </c>
      <c r="L2963">
        <v>98</v>
      </c>
      <c r="M2963">
        <v>628.70001220999995</v>
      </c>
      <c r="N2963" t="s">
        <v>87</v>
      </c>
      <c r="O2963" t="s">
        <v>86</v>
      </c>
      <c r="P2963">
        <v>131</v>
      </c>
      <c r="Q2963">
        <v>6</v>
      </c>
      <c r="R2963">
        <v>67</v>
      </c>
      <c r="S2963">
        <v>1257</v>
      </c>
      <c r="T2963">
        <v>-40</v>
      </c>
      <c r="U2963">
        <v>52</v>
      </c>
      <c r="V2963">
        <v>500</v>
      </c>
      <c r="W2963">
        <v>32</v>
      </c>
      <c r="X2963">
        <v>32</v>
      </c>
      <c r="Y2963">
        <v>1</v>
      </c>
      <c r="Z2963">
        <v>8</v>
      </c>
      <c r="AA2963">
        <v>28</v>
      </c>
      <c r="AB2963">
        <v>2</v>
      </c>
      <c r="AC2963">
        <v>1</v>
      </c>
      <c r="AD2963">
        <v>3.2869999399999998</v>
      </c>
      <c r="AE2963">
        <v>1</v>
      </c>
      <c r="AF2963">
        <v>38</v>
      </c>
      <c r="AG2963">
        <v>3.2760000200000001</v>
      </c>
      <c r="AH2963">
        <v>4</v>
      </c>
      <c r="AI2963">
        <v>17</v>
      </c>
      <c r="AJ2963">
        <v>1</v>
      </c>
      <c r="AK2963">
        <v>26</v>
      </c>
      <c r="AL2963">
        <v>52</v>
      </c>
      <c r="AM2963" t="s">
        <v>43</v>
      </c>
      <c r="AN2963" t="str">
        <f>HYPERLINK("https://www.google.com/maps?q=10.79661179,79.41447449","Open Location")</f>
        <v>Open Location</v>
      </c>
    </row>
    <row r="2964" spans="1:40" x14ac:dyDescent="0.3">
      <c r="A2964" s="1">
        <v>46210.656597222223</v>
      </c>
      <c r="B2964" t="s">
        <v>40</v>
      </c>
      <c r="C2964" t="s">
        <v>41</v>
      </c>
      <c r="D2964" s="1">
        <v>46210.659479166665</v>
      </c>
      <c r="E2964" t="s">
        <v>42</v>
      </c>
      <c r="F2964" t="s">
        <v>83</v>
      </c>
      <c r="G2964">
        <v>45</v>
      </c>
      <c r="H2964">
        <v>33140</v>
      </c>
      <c r="I2964" t="s">
        <v>1661</v>
      </c>
      <c r="J2964">
        <v>79</v>
      </c>
      <c r="K2964">
        <v>158</v>
      </c>
      <c r="L2964">
        <v>98</v>
      </c>
      <c r="M2964">
        <v>627.5</v>
      </c>
      <c r="N2964" t="s">
        <v>87</v>
      </c>
      <c r="O2964" t="s">
        <v>86</v>
      </c>
      <c r="P2964">
        <v>131</v>
      </c>
      <c r="Q2964">
        <v>6</v>
      </c>
      <c r="R2964">
        <v>73</v>
      </c>
      <c r="S2964">
        <v>1251</v>
      </c>
      <c r="T2964">
        <v>-40</v>
      </c>
      <c r="U2964">
        <v>53</v>
      </c>
      <c r="V2964">
        <v>700</v>
      </c>
      <c r="W2964">
        <v>32</v>
      </c>
      <c r="X2964">
        <v>32</v>
      </c>
      <c r="Y2964">
        <v>1</v>
      </c>
      <c r="Z2964">
        <v>8</v>
      </c>
      <c r="AA2964">
        <v>28</v>
      </c>
      <c r="AB2964">
        <v>2</v>
      </c>
      <c r="AC2964">
        <v>1</v>
      </c>
      <c r="AD2964">
        <v>3.28500009</v>
      </c>
      <c r="AE2964">
        <v>1</v>
      </c>
      <c r="AF2964">
        <v>41</v>
      </c>
      <c r="AG2964">
        <v>3.2730000000000001</v>
      </c>
      <c r="AH2964">
        <v>4</v>
      </c>
      <c r="AI2964">
        <v>17</v>
      </c>
      <c r="AJ2964">
        <v>1</v>
      </c>
      <c r="AK2964">
        <v>26</v>
      </c>
      <c r="AL2964">
        <v>52</v>
      </c>
      <c r="AM2964" t="s">
        <v>43</v>
      </c>
      <c r="AN2964" t="str">
        <f>HYPERLINK("https://www.google.com/maps?q=10.79657841,79.41597748","Open Location")</f>
        <v>Open Location</v>
      </c>
    </row>
    <row r="2965" spans="1:40" x14ac:dyDescent="0.3">
      <c r="A2965" s="1">
        <v>46210.656481481485</v>
      </c>
      <c r="B2965" t="s">
        <v>40</v>
      </c>
      <c r="C2965" t="s">
        <v>41</v>
      </c>
      <c r="D2965" s="1">
        <v>46210.659525462965</v>
      </c>
      <c r="E2965" t="s">
        <v>42</v>
      </c>
      <c r="F2965" t="s">
        <v>83</v>
      </c>
      <c r="G2965">
        <v>44</v>
      </c>
      <c r="H2965">
        <v>33140</v>
      </c>
      <c r="I2965" t="s">
        <v>43</v>
      </c>
      <c r="J2965">
        <v>79</v>
      </c>
      <c r="K2965">
        <v>125</v>
      </c>
      <c r="L2965">
        <v>98</v>
      </c>
      <c r="M2965">
        <v>629.20001220999995</v>
      </c>
      <c r="N2965" t="s">
        <v>87</v>
      </c>
      <c r="O2965" t="s">
        <v>86</v>
      </c>
      <c r="P2965">
        <v>131</v>
      </c>
      <c r="Q2965">
        <v>6</v>
      </c>
      <c r="R2965">
        <v>90</v>
      </c>
      <c r="S2965">
        <v>1234</v>
      </c>
      <c r="T2965">
        <v>-40</v>
      </c>
      <c r="U2965">
        <v>53</v>
      </c>
      <c r="V2965">
        <v>560</v>
      </c>
      <c r="W2965">
        <v>32</v>
      </c>
      <c r="X2965">
        <v>32</v>
      </c>
      <c r="Y2965">
        <v>1</v>
      </c>
      <c r="Z2965">
        <v>8</v>
      </c>
      <c r="AA2965">
        <v>28</v>
      </c>
      <c r="AB2965">
        <v>2</v>
      </c>
      <c r="AC2965">
        <v>1</v>
      </c>
      <c r="AD2965">
        <v>3.27999997</v>
      </c>
      <c r="AE2965">
        <v>1</v>
      </c>
      <c r="AF2965">
        <v>38</v>
      </c>
      <c r="AG2965">
        <v>3.2669999600000001</v>
      </c>
      <c r="AH2965">
        <v>4</v>
      </c>
      <c r="AI2965">
        <v>17</v>
      </c>
      <c r="AJ2965">
        <v>1</v>
      </c>
      <c r="AK2965">
        <v>26</v>
      </c>
      <c r="AL2965">
        <v>52</v>
      </c>
      <c r="AM2965" t="s">
        <v>43</v>
      </c>
      <c r="AN2965" t="s">
        <v>43</v>
      </c>
    </row>
    <row r="2966" spans="1:40" x14ac:dyDescent="0.3">
      <c r="A2966" s="1">
        <v>46210.656365740739</v>
      </c>
      <c r="B2966" t="s">
        <v>40</v>
      </c>
      <c r="C2966" t="s">
        <v>41</v>
      </c>
      <c r="D2966" s="1">
        <v>46210.659131944441</v>
      </c>
      <c r="E2966" t="s">
        <v>42</v>
      </c>
      <c r="F2966" t="s">
        <v>83</v>
      </c>
      <c r="G2966">
        <v>44</v>
      </c>
      <c r="H2966">
        <v>33140</v>
      </c>
      <c r="I2966" t="s">
        <v>43</v>
      </c>
      <c r="J2966">
        <v>79</v>
      </c>
      <c r="K2966">
        <v>89</v>
      </c>
      <c r="L2966">
        <v>98</v>
      </c>
      <c r="M2966">
        <v>630.40002441000001</v>
      </c>
      <c r="N2966" t="s">
        <v>87</v>
      </c>
      <c r="O2966" t="s">
        <v>86</v>
      </c>
      <c r="P2966">
        <v>131</v>
      </c>
      <c r="Q2966">
        <v>6</v>
      </c>
      <c r="R2966">
        <v>101</v>
      </c>
      <c r="S2966">
        <v>1223</v>
      </c>
      <c r="T2966">
        <v>-40</v>
      </c>
      <c r="U2966">
        <v>52</v>
      </c>
      <c r="V2966">
        <v>420</v>
      </c>
      <c r="W2966">
        <v>32</v>
      </c>
      <c r="X2966">
        <v>32</v>
      </c>
      <c r="Y2966">
        <v>1</v>
      </c>
      <c r="Z2966">
        <v>8</v>
      </c>
      <c r="AA2966">
        <v>28</v>
      </c>
      <c r="AB2966">
        <v>2</v>
      </c>
      <c r="AC2966">
        <v>1</v>
      </c>
      <c r="AD2966">
        <v>3.2869999399999998</v>
      </c>
      <c r="AE2966">
        <v>1</v>
      </c>
      <c r="AF2966">
        <v>38</v>
      </c>
      <c r="AG2966">
        <v>3.2750001000000002</v>
      </c>
      <c r="AH2966">
        <v>4</v>
      </c>
      <c r="AI2966">
        <v>17</v>
      </c>
      <c r="AJ2966">
        <v>1</v>
      </c>
      <c r="AK2966">
        <v>26</v>
      </c>
      <c r="AL2966">
        <v>52</v>
      </c>
      <c r="AM2966" t="s">
        <v>43</v>
      </c>
      <c r="AN2966" t="s">
        <v>43</v>
      </c>
    </row>
    <row r="2967" spans="1:40" x14ac:dyDescent="0.3">
      <c r="A2967" s="1">
        <v>46210.65625</v>
      </c>
      <c r="B2967" t="s">
        <v>40</v>
      </c>
      <c r="C2967" t="s">
        <v>41</v>
      </c>
      <c r="D2967" s="1">
        <v>46210.659039351849</v>
      </c>
      <c r="E2967" t="s">
        <v>42</v>
      </c>
      <c r="F2967" t="s">
        <v>83</v>
      </c>
      <c r="G2967">
        <v>44</v>
      </c>
      <c r="H2967">
        <v>33140</v>
      </c>
      <c r="I2967" t="s">
        <v>1662</v>
      </c>
      <c r="J2967">
        <v>79</v>
      </c>
      <c r="K2967">
        <v>120</v>
      </c>
      <c r="L2967">
        <v>98</v>
      </c>
      <c r="M2967">
        <v>629.70001220999995</v>
      </c>
      <c r="N2967" t="s">
        <v>87</v>
      </c>
      <c r="O2967" t="s">
        <v>86</v>
      </c>
      <c r="P2967">
        <v>131</v>
      </c>
      <c r="Q2967">
        <v>6</v>
      </c>
      <c r="R2967">
        <v>71</v>
      </c>
      <c r="S2967">
        <v>1227</v>
      </c>
      <c r="T2967">
        <v>-40</v>
      </c>
      <c r="U2967">
        <v>52</v>
      </c>
      <c r="V2967">
        <v>515</v>
      </c>
      <c r="W2967">
        <v>32</v>
      </c>
      <c r="X2967">
        <v>32</v>
      </c>
      <c r="Y2967">
        <v>1</v>
      </c>
      <c r="Z2967">
        <v>8</v>
      </c>
      <c r="AA2967">
        <v>28</v>
      </c>
      <c r="AB2967">
        <v>2</v>
      </c>
      <c r="AC2967">
        <v>1</v>
      </c>
      <c r="AD2967">
        <v>3.2869999399999998</v>
      </c>
      <c r="AE2967">
        <v>1</v>
      </c>
      <c r="AF2967">
        <v>38</v>
      </c>
      <c r="AG2967">
        <v>3.2760000200000001</v>
      </c>
      <c r="AH2967">
        <v>4</v>
      </c>
      <c r="AI2967">
        <v>17</v>
      </c>
      <c r="AJ2967">
        <v>1</v>
      </c>
      <c r="AK2967">
        <v>26</v>
      </c>
      <c r="AL2967">
        <v>52</v>
      </c>
      <c r="AM2967" t="s">
        <v>43</v>
      </c>
      <c r="AN2967" t="str">
        <f>HYPERLINK("https://www.google.com/maps?q=10.79652882,79.41868591","Open Location")</f>
        <v>Open Location</v>
      </c>
    </row>
    <row r="2968" spans="1:40" x14ac:dyDescent="0.3">
      <c r="A2968" s="1">
        <v>46210.656134259261</v>
      </c>
      <c r="B2968" t="s">
        <v>40</v>
      </c>
      <c r="C2968" t="s">
        <v>41</v>
      </c>
      <c r="D2968" s="1">
        <v>46210.658854166664</v>
      </c>
      <c r="E2968" t="s">
        <v>42</v>
      </c>
      <c r="F2968" t="s">
        <v>83</v>
      </c>
      <c r="G2968">
        <v>44</v>
      </c>
      <c r="H2968" t="s">
        <v>43</v>
      </c>
      <c r="I2968" t="s">
        <v>1663</v>
      </c>
      <c r="J2968">
        <v>80</v>
      </c>
      <c r="K2968">
        <v>113</v>
      </c>
      <c r="L2968">
        <v>98</v>
      </c>
      <c r="M2968">
        <v>629.59997558999999</v>
      </c>
      <c r="N2968" t="s">
        <v>87</v>
      </c>
      <c r="O2968" t="s">
        <v>86</v>
      </c>
      <c r="P2968">
        <v>131</v>
      </c>
      <c r="Q2968">
        <v>6</v>
      </c>
      <c r="R2968">
        <v>69</v>
      </c>
      <c r="S2968">
        <v>1226</v>
      </c>
      <c r="T2968">
        <v>-40</v>
      </c>
      <c r="U2968">
        <v>52</v>
      </c>
      <c r="V2968">
        <v>480</v>
      </c>
      <c r="W2968">
        <v>32</v>
      </c>
      <c r="X2968">
        <v>32</v>
      </c>
      <c r="Y2968">
        <v>1</v>
      </c>
      <c r="Z2968">
        <v>8</v>
      </c>
      <c r="AA2968">
        <v>28</v>
      </c>
      <c r="AB2968">
        <v>2</v>
      </c>
      <c r="AC2968">
        <v>1</v>
      </c>
      <c r="AD2968">
        <v>3.2869999399999998</v>
      </c>
      <c r="AE2968">
        <v>1</v>
      </c>
      <c r="AF2968">
        <v>44</v>
      </c>
      <c r="AG2968">
        <v>3.2750001000000002</v>
      </c>
      <c r="AH2968">
        <v>4</v>
      </c>
      <c r="AI2968">
        <v>17</v>
      </c>
      <c r="AJ2968">
        <v>1</v>
      </c>
      <c r="AK2968">
        <v>26</v>
      </c>
      <c r="AL2968">
        <v>52</v>
      </c>
      <c r="AM2968" t="s">
        <v>43</v>
      </c>
      <c r="AN2968" t="str">
        <f>HYPERLINK("https://www.google.com/maps?q=10.79650307,79.42003632","Open Location")</f>
        <v>Open Location</v>
      </c>
    </row>
    <row r="2969" spans="1:40" x14ac:dyDescent="0.3">
      <c r="A2969" s="1">
        <v>46210.656018518515</v>
      </c>
      <c r="B2969" t="s">
        <v>40</v>
      </c>
      <c r="C2969" t="s">
        <v>41</v>
      </c>
      <c r="D2969" s="1">
        <v>46210.658819444441</v>
      </c>
      <c r="E2969" t="s">
        <v>42</v>
      </c>
      <c r="F2969" t="s">
        <v>83</v>
      </c>
      <c r="G2969">
        <v>44</v>
      </c>
      <c r="H2969">
        <v>33139</v>
      </c>
      <c r="I2969" t="s">
        <v>1664</v>
      </c>
      <c r="J2969" t="s">
        <v>43</v>
      </c>
      <c r="K2969" t="s">
        <v>43</v>
      </c>
      <c r="L2969" t="s">
        <v>43</v>
      </c>
      <c r="M2969" t="s">
        <v>43</v>
      </c>
      <c r="N2969" t="s">
        <v>87</v>
      </c>
      <c r="O2969" t="s">
        <v>86</v>
      </c>
      <c r="P2969">
        <v>131</v>
      </c>
      <c r="Q2969">
        <v>6</v>
      </c>
      <c r="R2969">
        <v>54</v>
      </c>
      <c r="S2969">
        <v>1234</v>
      </c>
      <c r="T2969">
        <v>-40</v>
      </c>
      <c r="U2969">
        <v>52</v>
      </c>
      <c r="V2969">
        <v>500</v>
      </c>
      <c r="W2969">
        <v>32</v>
      </c>
      <c r="X2969">
        <v>32</v>
      </c>
      <c r="Y2969">
        <v>1</v>
      </c>
      <c r="Z2969">
        <v>8</v>
      </c>
      <c r="AA2969">
        <v>28</v>
      </c>
      <c r="AB2969">
        <v>2</v>
      </c>
      <c r="AC2969">
        <v>1</v>
      </c>
      <c r="AD2969">
        <v>3.28800011</v>
      </c>
      <c r="AE2969">
        <v>1</v>
      </c>
      <c r="AF2969">
        <v>41</v>
      </c>
      <c r="AG2969">
        <v>3.27699995</v>
      </c>
      <c r="AH2969">
        <v>4</v>
      </c>
      <c r="AI2969">
        <v>17</v>
      </c>
      <c r="AJ2969">
        <v>1</v>
      </c>
      <c r="AK2969">
        <v>26</v>
      </c>
      <c r="AL2969">
        <v>52</v>
      </c>
      <c r="AM2969" t="s">
        <v>43</v>
      </c>
      <c r="AN2969" t="str">
        <f>HYPERLINK("https://www.google.com/maps?q=10.79646778,79.42139435","Open Location")</f>
        <v>Open Location</v>
      </c>
    </row>
    <row r="2970" spans="1:40" x14ac:dyDescent="0.3">
      <c r="A2970" s="1">
        <v>46210.655902777777</v>
      </c>
      <c r="B2970" t="s">
        <v>40</v>
      </c>
      <c r="C2970" t="s">
        <v>41</v>
      </c>
      <c r="D2970" s="1">
        <v>46210.658622685187</v>
      </c>
      <c r="E2970" t="s">
        <v>42</v>
      </c>
      <c r="F2970" t="s">
        <v>83</v>
      </c>
      <c r="G2970">
        <v>44</v>
      </c>
      <c r="H2970">
        <v>33139</v>
      </c>
      <c r="I2970" t="s">
        <v>1665</v>
      </c>
      <c r="J2970">
        <v>80</v>
      </c>
      <c r="K2970">
        <v>118</v>
      </c>
      <c r="L2970">
        <v>98</v>
      </c>
      <c r="M2970">
        <v>629.20001220999995</v>
      </c>
      <c r="N2970" t="s">
        <v>87</v>
      </c>
      <c r="O2970" t="s">
        <v>86</v>
      </c>
      <c r="P2970">
        <v>131</v>
      </c>
      <c r="Q2970">
        <v>6</v>
      </c>
      <c r="R2970">
        <v>64</v>
      </c>
      <c r="S2970">
        <v>1230</v>
      </c>
      <c r="T2970">
        <v>-40</v>
      </c>
      <c r="U2970">
        <v>53</v>
      </c>
      <c r="V2970">
        <v>520</v>
      </c>
      <c r="W2970">
        <v>32</v>
      </c>
      <c r="X2970">
        <v>32</v>
      </c>
      <c r="Y2970">
        <v>1</v>
      </c>
      <c r="Z2970">
        <v>8</v>
      </c>
      <c r="AA2970">
        <v>28</v>
      </c>
      <c r="AB2970">
        <v>2</v>
      </c>
      <c r="AC2970">
        <v>1</v>
      </c>
      <c r="AD2970">
        <v>3.28900003</v>
      </c>
      <c r="AE2970">
        <v>1</v>
      </c>
      <c r="AF2970">
        <v>42</v>
      </c>
      <c r="AG2970">
        <v>3.2780001200000002</v>
      </c>
      <c r="AH2970">
        <v>4</v>
      </c>
      <c r="AI2970">
        <v>17</v>
      </c>
      <c r="AJ2970">
        <v>1</v>
      </c>
      <c r="AK2970">
        <v>26</v>
      </c>
      <c r="AL2970">
        <v>52</v>
      </c>
      <c r="AM2970" t="s">
        <v>43</v>
      </c>
      <c r="AN2970" t="str">
        <f>HYPERLINK("https://www.google.com/maps?q=10.79643917,79.42276001","Open Location")</f>
        <v>Open Location</v>
      </c>
    </row>
    <row r="2971" spans="1:40" x14ac:dyDescent="0.3">
      <c r="A2971" s="1">
        <v>46210.655787037038</v>
      </c>
      <c r="B2971" t="s">
        <v>40</v>
      </c>
      <c r="C2971" t="s">
        <v>41</v>
      </c>
      <c r="D2971" s="1">
        <v>46210.658587962964</v>
      </c>
      <c r="E2971" t="s">
        <v>42</v>
      </c>
      <c r="F2971" t="s">
        <v>83</v>
      </c>
      <c r="G2971">
        <v>44</v>
      </c>
      <c r="H2971" t="s">
        <v>43</v>
      </c>
      <c r="I2971" t="s">
        <v>1666</v>
      </c>
      <c r="J2971">
        <v>80</v>
      </c>
      <c r="K2971">
        <v>132</v>
      </c>
      <c r="L2971">
        <v>98</v>
      </c>
      <c r="M2971">
        <v>629.40002441000001</v>
      </c>
      <c r="N2971" t="s">
        <v>87</v>
      </c>
      <c r="O2971" t="s">
        <v>86</v>
      </c>
      <c r="P2971">
        <v>131</v>
      </c>
      <c r="Q2971">
        <v>6</v>
      </c>
      <c r="R2971">
        <v>86</v>
      </c>
      <c r="S2971">
        <v>1222</v>
      </c>
      <c r="T2971">
        <v>-40</v>
      </c>
      <c r="U2971">
        <v>53</v>
      </c>
      <c r="V2971">
        <v>600</v>
      </c>
      <c r="W2971">
        <v>32</v>
      </c>
      <c r="X2971">
        <v>32</v>
      </c>
      <c r="Y2971">
        <v>1</v>
      </c>
      <c r="Z2971">
        <v>8</v>
      </c>
      <c r="AA2971">
        <v>28</v>
      </c>
      <c r="AB2971">
        <v>2</v>
      </c>
      <c r="AC2971">
        <v>1</v>
      </c>
      <c r="AD2971">
        <v>3.2899999599999998</v>
      </c>
      <c r="AE2971">
        <v>1</v>
      </c>
      <c r="AF2971">
        <v>38</v>
      </c>
      <c r="AG2971">
        <v>3.2790000400000001</v>
      </c>
      <c r="AH2971">
        <v>4</v>
      </c>
      <c r="AI2971">
        <v>17</v>
      </c>
      <c r="AJ2971">
        <v>1</v>
      </c>
      <c r="AK2971">
        <v>26</v>
      </c>
      <c r="AL2971">
        <v>52</v>
      </c>
      <c r="AM2971" t="s">
        <v>43</v>
      </c>
      <c r="AN2971" t="str">
        <f>HYPERLINK("https://www.google.com/maps?q=10.79640388,79.42411041","Open Location")</f>
        <v>Open Location</v>
      </c>
    </row>
    <row r="2972" spans="1:40" x14ac:dyDescent="0.3">
      <c r="A2972" s="1">
        <v>46210.655671296299</v>
      </c>
      <c r="B2972" t="s">
        <v>40</v>
      </c>
      <c r="C2972" t="s">
        <v>41</v>
      </c>
      <c r="D2972" s="1">
        <v>46210.658356481479</v>
      </c>
      <c r="E2972" t="s">
        <v>42</v>
      </c>
      <c r="F2972" t="s">
        <v>83</v>
      </c>
      <c r="G2972">
        <v>44</v>
      </c>
      <c r="H2972">
        <v>33139</v>
      </c>
      <c r="I2972" t="s">
        <v>43</v>
      </c>
      <c r="J2972">
        <v>80</v>
      </c>
      <c r="K2972">
        <v>112</v>
      </c>
      <c r="L2972">
        <v>98</v>
      </c>
      <c r="M2972">
        <v>629.29998779000005</v>
      </c>
      <c r="N2972" t="s">
        <v>87</v>
      </c>
      <c r="O2972" t="s">
        <v>86</v>
      </c>
      <c r="P2972">
        <v>131</v>
      </c>
      <c r="Q2972">
        <v>6</v>
      </c>
      <c r="R2972">
        <v>55</v>
      </c>
      <c r="S2972">
        <v>1220</v>
      </c>
      <c r="T2972">
        <v>-40</v>
      </c>
      <c r="U2972">
        <v>52</v>
      </c>
      <c r="V2972">
        <v>500</v>
      </c>
      <c r="W2972">
        <v>32</v>
      </c>
      <c r="X2972">
        <v>32</v>
      </c>
      <c r="Y2972">
        <v>1</v>
      </c>
      <c r="Z2972">
        <v>8</v>
      </c>
      <c r="AA2972">
        <v>28</v>
      </c>
      <c r="AB2972">
        <v>2</v>
      </c>
      <c r="AC2972">
        <v>1</v>
      </c>
      <c r="AD2972">
        <v>3.28800011</v>
      </c>
      <c r="AE2972">
        <v>1</v>
      </c>
      <c r="AF2972">
        <v>38</v>
      </c>
      <c r="AG2972">
        <v>3.27699995</v>
      </c>
      <c r="AH2972">
        <v>4</v>
      </c>
      <c r="AI2972">
        <v>17</v>
      </c>
      <c r="AJ2972">
        <v>1</v>
      </c>
      <c r="AK2972">
        <v>26</v>
      </c>
      <c r="AL2972">
        <v>52</v>
      </c>
      <c r="AM2972" t="s">
        <v>43</v>
      </c>
      <c r="AN2972" t="s">
        <v>43</v>
      </c>
    </row>
    <row r="2973" spans="1:40" x14ac:dyDescent="0.3">
      <c r="A2973" s="1">
        <v>46210.655555555553</v>
      </c>
      <c r="B2973" t="s">
        <v>40</v>
      </c>
      <c r="C2973" t="s">
        <v>41</v>
      </c>
      <c r="D2973" s="1">
        <v>46210.658368055556</v>
      </c>
      <c r="E2973" t="s">
        <v>42</v>
      </c>
      <c r="F2973" t="s">
        <v>83</v>
      </c>
      <c r="G2973">
        <v>44</v>
      </c>
      <c r="H2973">
        <v>33139</v>
      </c>
      <c r="I2973" t="s">
        <v>1667</v>
      </c>
      <c r="J2973">
        <v>80</v>
      </c>
      <c r="K2973">
        <v>115</v>
      </c>
      <c r="L2973">
        <v>98</v>
      </c>
      <c r="M2973">
        <v>629.40002441000001</v>
      </c>
      <c r="N2973" t="s">
        <v>87</v>
      </c>
      <c r="O2973" t="s">
        <v>86</v>
      </c>
      <c r="P2973">
        <v>131</v>
      </c>
      <c r="Q2973">
        <v>6</v>
      </c>
      <c r="R2973">
        <v>61</v>
      </c>
      <c r="S2973">
        <v>1220</v>
      </c>
      <c r="T2973">
        <v>-40</v>
      </c>
      <c r="U2973">
        <v>52</v>
      </c>
      <c r="V2973">
        <v>520</v>
      </c>
      <c r="W2973">
        <v>32</v>
      </c>
      <c r="X2973">
        <v>32</v>
      </c>
      <c r="Y2973">
        <v>1</v>
      </c>
      <c r="Z2973">
        <v>8</v>
      </c>
      <c r="AA2973">
        <v>28</v>
      </c>
      <c r="AB2973">
        <v>2</v>
      </c>
      <c r="AC2973">
        <v>1</v>
      </c>
      <c r="AD2973">
        <v>3.28900003</v>
      </c>
      <c r="AE2973">
        <v>1</v>
      </c>
      <c r="AF2973">
        <v>42</v>
      </c>
      <c r="AG2973">
        <v>3.2780001200000002</v>
      </c>
      <c r="AH2973">
        <v>4</v>
      </c>
      <c r="AI2973">
        <v>17</v>
      </c>
      <c r="AJ2973">
        <v>1</v>
      </c>
      <c r="AK2973">
        <v>26</v>
      </c>
      <c r="AL2973">
        <v>52</v>
      </c>
      <c r="AM2973" t="s">
        <v>43</v>
      </c>
      <c r="AN2973" t="str">
        <f>HYPERLINK("https://www.google.com/maps?q=10.79638004,79.42556","Open Location")</f>
        <v>Open Location</v>
      </c>
    </row>
    <row r="2974" spans="1:40" x14ac:dyDescent="0.3">
      <c r="A2974" s="1">
        <v>46210.655439814815</v>
      </c>
      <c r="B2974" t="s">
        <v>40</v>
      </c>
      <c r="C2974" t="s">
        <v>41</v>
      </c>
      <c r="D2974" s="1">
        <v>46210.658171296294</v>
      </c>
      <c r="E2974" t="s">
        <v>42</v>
      </c>
      <c r="F2974" t="s">
        <v>83</v>
      </c>
      <c r="G2974">
        <v>44</v>
      </c>
      <c r="H2974">
        <v>33139</v>
      </c>
      <c r="I2974" t="s">
        <v>1668</v>
      </c>
      <c r="J2974">
        <v>80</v>
      </c>
      <c r="K2974">
        <v>137</v>
      </c>
      <c r="L2974">
        <v>98</v>
      </c>
      <c r="M2974">
        <v>628.79998779000005</v>
      </c>
      <c r="N2974" t="s">
        <v>87</v>
      </c>
      <c r="O2974" t="s">
        <v>86</v>
      </c>
      <c r="P2974">
        <v>131</v>
      </c>
      <c r="Q2974">
        <v>6</v>
      </c>
      <c r="R2974">
        <v>66</v>
      </c>
      <c r="S2974">
        <v>1224</v>
      </c>
      <c r="T2974">
        <v>-40</v>
      </c>
      <c r="U2974">
        <v>52</v>
      </c>
      <c r="V2974">
        <v>620</v>
      </c>
      <c r="W2974">
        <v>32</v>
      </c>
      <c r="X2974">
        <v>32</v>
      </c>
      <c r="Y2974">
        <v>1</v>
      </c>
      <c r="Z2974">
        <v>8</v>
      </c>
      <c r="AA2974">
        <v>28</v>
      </c>
      <c r="AB2974">
        <v>2</v>
      </c>
      <c r="AC2974">
        <v>1</v>
      </c>
      <c r="AD2974">
        <v>3.2869999399999998</v>
      </c>
      <c r="AE2974">
        <v>1</v>
      </c>
      <c r="AF2974">
        <v>38</v>
      </c>
      <c r="AG2974">
        <v>3.2760000200000001</v>
      </c>
      <c r="AH2974">
        <v>4</v>
      </c>
      <c r="AI2974">
        <v>17</v>
      </c>
      <c r="AJ2974">
        <v>1</v>
      </c>
      <c r="AK2974">
        <v>26</v>
      </c>
      <c r="AL2974">
        <v>52</v>
      </c>
      <c r="AM2974" t="s">
        <v>43</v>
      </c>
      <c r="AN2974" t="str">
        <f>HYPERLINK("https://www.google.com/maps?q=10.79635334,79.42690277","Open Location")</f>
        <v>Open Location</v>
      </c>
    </row>
    <row r="2975" spans="1:40" x14ac:dyDescent="0.3">
      <c r="A2975" s="1">
        <v>46210.655324074076</v>
      </c>
      <c r="B2975" t="s">
        <v>40</v>
      </c>
      <c r="C2975" t="s">
        <v>41</v>
      </c>
      <c r="D2975" s="1">
        <v>46210.658067129632</v>
      </c>
      <c r="E2975" t="s">
        <v>42</v>
      </c>
      <c r="F2975" t="s">
        <v>83</v>
      </c>
      <c r="G2975">
        <v>44</v>
      </c>
      <c r="H2975" t="s">
        <v>43</v>
      </c>
      <c r="I2975" t="s">
        <v>1669</v>
      </c>
      <c r="J2975">
        <v>80</v>
      </c>
      <c r="K2975">
        <v>116</v>
      </c>
      <c r="L2975">
        <v>98</v>
      </c>
      <c r="M2975">
        <v>629.20001220999995</v>
      </c>
      <c r="N2975" t="s">
        <v>87</v>
      </c>
      <c r="O2975" t="s">
        <v>86</v>
      </c>
      <c r="P2975">
        <v>131</v>
      </c>
      <c r="Q2975">
        <v>6</v>
      </c>
      <c r="R2975">
        <v>83</v>
      </c>
      <c r="S2975">
        <v>1213</v>
      </c>
      <c r="T2975">
        <v>-40</v>
      </c>
      <c r="U2975">
        <v>53</v>
      </c>
      <c r="V2975">
        <v>520</v>
      </c>
      <c r="W2975">
        <v>32</v>
      </c>
      <c r="X2975">
        <v>32</v>
      </c>
      <c r="Y2975">
        <v>1</v>
      </c>
      <c r="Z2975">
        <v>8</v>
      </c>
      <c r="AA2975">
        <v>28</v>
      </c>
      <c r="AB2975">
        <v>2</v>
      </c>
      <c r="AC2975">
        <v>1</v>
      </c>
      <c r="AD2975">
        <v>3.2869999399999998</v>
      </c>
      <c r="AE2975">
        <v>1</v>
      </c>
      <c r="AF2975">
        <v>39</v>
      </c>
      <c r="AG2975">
        <v>3.2760000200000001</v>
      </c>
      <c r="AH2975">
        <v>4</v>
      </c>
      <c r="AI2975">
        <v>17</v>
      </c>
      <c r="AJ2975">
        <v>1</v>
      </c>
      <c r="AK2975">
        <v>26</v>
      </c>
      <c r="AL2975">
        <v>52</v>
      </c>
      <c r="AM2975" t="s">
        <v>43</v>
      </c>
      <c r="AN2975" t="str">
        <f>HYPERLINK("https://www.google.com/maps?q=10.79632473,79.42824554","Open Location")</f>
        <v>Open Location</v>
      </c>
    </row>
    <row r="2976" spans="1:40" x14ac:dyDescent="0.3">
      <c r="A2976" s="1">
        <v>46210.65520833333</v>
      </c>
      <c r="B2976" t="s">
        <v>40</v>
      </c>
      <c r="C2976" t="s">
        <v>41</v>
      </c>
      <c r="D2976" s="1">
        <v>46210.65797453704</v>
      </c>
      <c r="E2976" t="s">
        <v>42</v>
      </c>
      <c r="F2976" t="s">
        <v>83</v>
      </c>
      <c r="G2976">
        <v>43</v>
      </c>
      <c r="H2976" t="s">
        <v>43</v>
      </c>
      <c r="I2976" t="s">
        <v>1670</v>
      </c>
      <c r="J2976">
        <v>80</v>
      </c>
      <c r="K2976">
        <v>107</v>
      </c>
      <c r="L2976">
        <v>98</v>
      </c>
      <c r="M2976">
        <v>629.79998779000005</v>
      </c>
      <c r="N2976" t="s">
        <v>87</v>
      </c>
      <c r="O2976" t="s">
        <v>86</v>
      </c>
      <c r="P2976">
        <v>131</v>
      </c>
      <c r="Q2976">
        <v>6</v>
      </c>
      <c r="R2976">
        <v>68</v>
      </c>
      <c r="S2976">
        <v>1214</v>
      </c>
      <c r="T2976">
        <v>-40</v>
      </c>
      <c r="U2976">
        <v>52</v>
      </c>
      <c r="V2976">
        <v>480</v>
      </c>
      <c r="W2976">
        <v>32</v>
      </c>
      <c r="X2976">
        <v>32</v>
      </c>
      <c r="Y2976">
        <v>1</v>
      </c>
      <c r="Z2976">
        <v>8</v>
      </c>
      <c r="AA2976">
        <v>28</v>
      </c>
      <c r="AB2976">
        <v>2</v>
      </c>
      <c r="AC2976">
        <v>1</v>
      </c>
      <c r="AD2976">
        <v>3.28500009</v>
      </c>
      <c r="AE2976">
        <v>1</v>
      </c>
      <c r="AF2976">
        <v>42</v>
      </c>
      <c r="AG2976">
        <v>3.2730000000000001</v>
      </c>
      <c r="AH2976">
        <v>4</v>
      </c>
      <c r="AI2976">
        <v>17</v>
      </c>
      <c r="AJ2976">
        <v>1</v>
      </c>
      <c r="AK2976">
        <v>26</v>
      </c>
      <c r="AL2976">
        <v>52</v>
      </c>
      <c r="AM2976" t="s">
        <v>43</v>
      </c>
      <c r="AN2976" t="str">
        <f>HYPERLINK("https://www.google.com/maps?q=10.79630089,79.42957306","Open Location")</f>
        <v>Open Location</v>
      </c>
    </row>
    <row r="2977" spans="1:40" x14ac:dyDescent="0.3">
      <c r="A2977" s="1">
        <v>46210.655092592591</v>
      </c>
      <c r="B2977" t="s">
        <v>40</v>
      </c>
      <c r="C2977" t="s">
        <v>41</v>
      </c>
      <c r="D2977" s="1">
        <v>46210.65797453704</v>
      </c>
      <c r="E2977" t="s">
        <v>42</v>
      </c>
      <c r="F2977" t="s">
        <v>83</v>
      </c>
      <c r="G2977">
        <v>43</v>
      </c>
      <c r="H2977">
        <v>33138</v>
      </c>
      <c r="I2977" t="s">
        <v>43</v>
      </c>
      <c r="J2977">
        <v>80</v>
      </c>
      <c r="K2977">
        <v>147</v>
      </c>
      <c r="L2977">
        <v>98</v>
      </c>
      <c r="M2977">
        <v>628.29998779000005</v>
      </c>
      <c r="N2977" t="s">
        <v>87</v>
      </c>
      <c r="O2977" t="s">
        <v>86</v>
      </c>
      <c r="P2977">
        <v>131</v>
      </c>
      <c r="Q2977">
        <v>6</v>
      </c>
      <c r="R2977">
        <v>75</v>
      </c>
      <c r="S2977">
        <v>1212</v>
      </c>
      <c r="T2977">
        <v>-40</v>
      </c>
      <c r="U2977">
        <v>52</v>
      </c>
      <c r="V2977">
        <v>700</v>
      </c>
      <c r="W2977">
        <v>32</v>
      </c>
      <c r="X2977">
        <v>32</v>
      </c>
      <c r="Y2977">
        <v>1</v>
      </c>
      <c r="Z2977">
        <v>8</v>
      </c>
      <c r="AA2977">
        <v>28</v>
      </c>
      <c r="AB2977">
        <v>2</v>
      </c>
      <c r="AC2977">
        <v>1</v>
      </c>
      <c r="AD2977">
        <v>3.28600001</v>
      </c>
      <c r="AE2977">
        <v>1</v>
      </c>
      <c r="AF2977">
        <v>42</v>
      </c>
      <c r="AG2977">
        <v>3.27399993</v>
      </c>
      <c r="AH2977">
        <v>4</v>
      </c>
      <c r="AI2977">
        <v>17</v>
      </c>
      <c r="AJ2977">
        <v>1</v>
      </c>
      <c r="AK2977">
        <v>26</v>
      </c>
      <c r="AL2977">
        <v>52</v>
      </c>
      <c r="AM2977" t="s">
        <v>43</v>
      </c>
      <c r="AN2977" t="s">
        <v>43</v>
      </c>
    </row>
    <row r="2978" spans="1:40" x14ac:dyDescent="0.3">
      <c r="A2978" s="1">
        <v>46210.654976851853</v>
      </c>
      <c r="B2978" t="s">
        <v>40</v>
      </c>
      <c r="C2978" t="s">
        <v>41</v>
      </c>
      <c r="D2978" s="1">
        <v>46210.657893518517</v>
      </c>
      <c r="E2978" t="s">
        <v>42</v>
      </c>
      <c r="F2978" t="s">
        <v>83</v>
      </c>
      <c r="G2978">
        <v>43</v>
      </c>
      <c r="H2978">
        <v>33138</v>
      </c>
      <c r="I2978" t="s">
        <v>1671</v>
      </c>
      <c r="J2978">
        <v>80</v>
      </c>
      <c r="K2978">
        <v>112</v>
      </c>
      <c r="L2978">
        <v>98</v>
      </c>
      <c r="M2978">
        <v>629.20001220999995</v>
      </c>
      <c r="N2978" t="s">
        <v>87</v>
      </c>
      <c r="O2978" t="s">
        <v>86</v>
      </c>
      <c r="P2978">
        <v>131</v>
      </c>
      <c r="Q2978">
        <v>6</v>
      </c>
      <c r="R2978">
        <v>55</v>
      </c>
      <c r="S2978">
        <v>1202</v>
      </c>
      <c r="T2978">
        <v>-40</v>
      </c>
      <c r="U2978">
        <v>53</v>
      </c>
      <c r="V2978">
        <v>460</v>
      </c>
      <c r="W2978">
        <v>32</v>
      </c>
      <c r="X2978">
        <v>32</v>
      </c>
      <c r="Y2978">
        <v>1</v>
      </c>
      <c r="Z2978">
        <v>8</v>
      </c>
      <c r="AA2978">
        <v>28</v>
      </c>
      <c r="AB2978">
        <v>2</v>
      </c>
      <c r="AC2978">
        <v>1</v>
      </c>
      <c r="AD2978">
        <v>3.2869999399999998</v>
      </c>
      <c r="AE2978">
        <v>1</v>
      </c>
      <c r="AF2978">
        <v>38</v>
      </c>
      <c r="AG2978">
        <v>3.2760000200000001</v>
      </c>
      <c r="AH2978">
        <v>4</v>
      </c>
      <c r="AI2978">
        <v>17</v>
      </c>
      <c r="AJ2978">
        <v>1</v>
      </c>
      <c r="AK2978">
        <v>26</v>
      </c>
      <c r="AL2978">
        <v>53</v>
      </c>
      <c r="AM2978" t="s">
        <v>43</v>
      </c>
      <c r="AN2978" t="str">
        <f>HYPERLINK("https://www.google.com/maps?q=10.796278,79.4309082","Open Location")</f>
        <v>Open Location</v>
      </c>
    </row>
    <row r="2979" spans="1:40" x14ac:dyDescent="0.3">
      <c r="A2979" s="1">
        <v>46210.654861111114</v>
      </c>
      <c r="B2979" t="s">
        <v>40</v>
      </c>
      <c r="C2979" t="s">
        <v>41</v>
      </c>
      <c r="D2979" s="1">
        <v>46210.657604166663</v>
      </c>
      <c r="E2979" t="s">
        <v>42</v>
      </c>
      <c r="F2979" t="s">
        <v>83</v>
      </c>
      <c r="G2979">
        <v>42</v>
      </c>
      <c r="H2979">
        <v>33138</v>
      </c>
      <c r="I2979" t="s">
        <v>1672</v>
      </c>
      <c r="J2979">
        <v>80</v>
      </c>
      <c r="K2979">
        <v>199</v>
      </c>
      <c r="L2979">
        <v>98</v>
      </c>
      <c r="M2979">
        <v>626.09997558999999</v>
      </c>
      <c r="N2979" t="s">
        <v>87</v>
      </c>
      <c r="O2979" t="s">
        <v>86</v>
      </c>
      <c r="P2979">
        <v>131</v>
      </c>
      <c r="Q2979">
        <v>6</v>
      </c>
      <c r="R2979">
        <v>49</v>
      </c>
      <c r="S2979">
        <v>1167</v>
      </c>
      <c r="T2979">
        <v>-40</v>
      </c>
      <c r="U2979">
        <v>54</v>
      </c>
      <c r="V2979">
        <v>940</v>
      </c>
      <c r="W2979">
        <v>32</v>
      </c>
      <c r="X2979">
        <v>32</v>
      </c>
      <c r="Y2979">
        <v>1</v>
      </c>
      <c r="Z2979">
        <v>8</v>
      </c>
      <c r="AA2979">
        <v>28</v>
      </c>
      <c r="AB2979">
        <v>2</v>
      </c>
      <c r="AC2979">
        <v>1</v>
      </c>
      <c r="AD2979">
        <v>3.27999997</v>
      </c>
      <c r="AE2979">
        <v>1</v>
      </c>
      <c r="AF2979">
        <v>38</v>
      </c>
      <c r="AG2979">
        <v>3.2660000299999998</v>
      </c>
      <c r="AH2979">
        <v>4</v>
      </c>
      <c r="AI2979">
        <v>17</v>
      </c>
      <c r="AJ2979">
        <v>1</v>
      </c>
      <c r="AK2979">
        <v>26</v>
      </c>
      <c r="AL2979">
        <v>53</v>
      </c>
      <c r="AM2979" t="s">
        <v>43</v>
      </c>
      <c r="AN2979" t="str">
        <f>HYPERLINK("https://www.google.com/maps?q=10.79625034,79.43223572","Open Location")</f>
        <v>Open Location</v>
      </c>
    </row>
    <row r="2980" spans="1:40" x14ac:dyDescent="0.3">
      <c r="A2980" s="1">
        <v>46210.654745370368</v>
      </c>
      <c r="B2980" t="s">
        <v>40</v>
      </c>
      <c r="C2980" t="s">
        <v>41</v>
      </c>
      <c r="D2980" s="1">
        <v>46210.657453703701</v>
      </c>
      <c r="E2980" t="s">
        <v>42</v>
      </c>
      <c r="F2980" t="s">
        <v>83</v>
      </c>
      <c r="G2980">
        <v>41</v>
      </c>
      <c r="H2980" t="s">
        <v>43</v>
      </c>
      <c r="I2980" t="s">
        <v>1673</v>
      </c>
      <c r="J2980">
        <v>80</v>
      </c>
      <c r="K2980">
        <v>159</v>
      </c>
      <c r="L2980">
        <v>98</v>
      </c>
      <c r="M2980">
        <v>628.5</v>
      </c>
      <c r="N2980" t="s">
        <v>87</v>
      </c>
      <c r="O2980" t="s">
        <v>86</v>
      </c>
      <c r="P2980">
        <v>131</v>
      </c>
      <c r="Q2980">
        <v>6</v>
      </c>
      <c r="R2980">
        <v>102</v>
      </c>
      <c r="S2980">
        <v>1120</v>
      </c>
      <c r="T2980">
        <v>-40</v>
      </c>
      <c r="U2980">
        <v>54</v>
      </c>
      <c r="V2980">
        <v>800</v>
      </c>
      <c r="W2980">
        <v>32</v>
      </c>
      <c r="X2980">
        <v>32</v>
      </c>
      <c r="Y2980">
        <v>1</v>
      </c>
      <c r="Z2980">
        <v>8</v>
      </c>
      <c r="AA2980">
        <v>28</v>
      </c>
      <c r="AB2980">
        <v>2</v>
      </c>
      <c r="AC2980">
        <v>1</v>
      </c>
      <c r="AD2980">
        <v>3.27999997</v>
      </c>
      <c r="AE2980">
        <v>1</v>
      </c>
      <c r="AF2980">
        <v>42</v>
      </c>
      <c r="AG2980">
        <v>3.2660000299999998</v>
      </c>
      <c r="AH2980">
        <v>4</v>
      </c>
      <c r="AI2980">
        <v>17</v>
      </c>
      <c r="AJ2980">
        <v>1</v>
      </c>
      <c r="AK2980">
        <v>26</v>
      </c>
      <c r="AL2980">
        <v>53</v>
      </c>
      <c r="AM2980" t="s">
        <v>43</v>
      </c>
      <c r="AN2980" t="str">
        <f>HYPERLINK("https://www.google.com/maps?q=10.79622269,79.43350983","Open Location")</f>
        <v>Open Location</v>
      </c>
    </row>
    <row r="2981" spans="1:40" x14ac:dyDescent="0.3">
      <c r="A2981" s="1">
        <v>46210.654629629629</v>
      </c>
      <c r="B2981" t="s">
        <v>40</v>
      </c>
      <c r="C2981" t="s">
        <v>41</v>
      </c>
      <c r="D2981" s="1">
        <v>46210.657418981478</v>
      </c>
      <c r="E2981" t="s">
        <v>42</v>
      </c>
      <c r="F2981" t="s">
        <v>83</v>
      </c>
      <c r="G2981">
        <v>40</v>
      </c>
      <c r="H2981">
        <v>33138</v>
      </c>
      <c r="I2981" t="s">
        <v>1674</v>
      </c>
      <c r="J2981">
        <v>81</v>
      </c>
      <c r="K2981">
        <v>165</v>
      </c>
      <c r="L2981">
        <v>98</v>
      </c>
      <c r="M2981">
        <v>628.59997558999999</v>
      </c>
      <c r="N2981" t="s">
        <v>87</v>
      </c>
      <c r="O2981" t="s">
        <v>86</v>
      </c>
      <c r="P2981">
        <v>131</v>
      </c>
      <c r="Q2981">
        <v>6</v>
      </c>
      <c r="R2981">
        <v>90</v>
      </c>
      <c r="S2981">
        <v>1088</v>
      </c>
      <c r="T2981">
        <v>-40</v>
      </c>
      <c r="U2981">
        <v>54</v>
      </c>
      <c r="V2981">
        <v>840</v>
      </c>
      <c r="W2981">
        <v>32</v>
      </c>
      <c r="X2981">
        <v>32</v>
      </c>
      <c r="Y2981">
        <v>1</v>
      </c>
      <c r="Z2981">
        <v>8</v>
      </c>
      <c r="AA2981">
        <v>28</v>
      </c>
      <c r="AB2981">
        <v>2</v>
      </c>
      <c r="AC2981">
        <v>1</v>
      </c>
      <c r="AD2981">
        <v>3.2939999100000001</v>
      </c>
      <c r="AE2981">
        <v>5</v>
      </c>
      <c r="AF2981">
        <v>38</v>
      </c>
      <c r="AG2981">
        <v>3.2839999199999999</v>
      </c>
      <c r="AH2981">
        <v>4</v>
      </c>
      <c r="AI2981">
        <v>17</v>
      </c>
      <c r="AJ2981">
        <v>1</v>
      </c>
      <c r="AK2981">
        <v>26</v>
      </c>
      <c r="AL2981">
        <v>53</v>
      </c>
      <c r="AM2981" t="s">
        <v>43</v>
      </c>
      <c r="AN2981" t="str">
        <f>HYPERLINK("https://www.google.com/maps?q=10.79619026,79.43483734","Open Location")</f>
        <v>Open Location</v>
      </c>
    </row>
    <row r="2982" spans="1:40" x14ac:dyDescent="0.3">
      <c r="A2982" s="1">
        <v>46210.654513888891</v>
      </c>
      <c r="B2982" t="s">
        <v>40</v>
      </c>
      <c r="C2982" t="s">
        <v>41</v>
      </c>
      <c r="D2982" s="1">
        <v>46210.657129629632</v>
      </c>
      <c r="E2982" t="s">
        <v>42</v>
      </c>
      <c r="F2982" t="s">
        <v>83</v>
      </c>
      <c r="G2982">
        <v>39</v>
      </c>
      <c r="H2982">
        <v>33138</v>
      </c>
      <c r="I2982" t="s">
        <v>1675</v>
      </c>
      <c r="J2982">
        <v>81</v>
      </c>
      <c r="K2982">
        <v>127</v>
      </c>
      <c r="L2982">
        <v>98</v>
      </c>
      <c r="M2982">
        <v>629.09997558999999</v>
      </c>
      <c r="N2982" t="s">
        <v>87</v>
      </c>
      <c r="O2982" t="s">
        <v>86</v>
      </c>
      <c r="P2982">
        <v>131</v>
      </c>
      <c r="Q2982">
        <v>6</v>
      </c>
      <c r="R2982">
        <v>84</v>
      </c>
      <c r="S2982">
        <v>1067</v>
      </c>
      <c r="T2982">
        <v>-40</v>
      </c>
      <c r="U2982">
        <v>53</v>
      </c>
      <c r="V2982">
        <v>660</v>
      </c>
      <c r="W2982">
        <v>32</v>
      </c>
      <c r="X2982">
        <v>32</v>
      </c>
      <c r="Y2982">
        <v>1</v>
      </c>
      <c r="Z2982">
        <v>8</v>
      </c>
      <c r="AA2982">
        <v>28</v>
      </c>
      <c r="AB2982">
        <v>2</v>
      </c>
      <c r="AC2982">
        <v>1</v>
      </c>
      <c r="AD2982">
        <v>3.2899999599999998</v>
      </c>
      <c r="AE2982">
        <v>1</v>
      </c>
      <c r="AF2982">
        <v>38</v>
      </c>
      <c r="AG2982">
        <v>3.2790000400000001</v>
      </c>
      <c r="AH2982">
        <v>4</v>
      </c>
      <c r="AI2982">
        <v>17</v>
      </c>
      <c r="AJ2982">
        <v>1</v>
      </c>
      <c r="AK2982">
        <v>26</v>
      </c>
      <c r="AL2982">
        <v>53</v>
      </c>
      <c r="AM2982" t="s">
        <v>43</v>
      </c>
      <c r="AN2982" t="str">
        <f>HYPERLINK("https://www.google.com/maps?q=10.79610062,79.43600464","Open Location")</f>
        <v>Open Location</v>
      </c>
    </row>
    <row r="2983" spans="1:40" x14ac:dyDescent="0.3">
      <c r="A2983" s="1">
        <v>46210.654398148145</v>
      </c>
      <c r="B2983" t="s">
        <v>40</v>
      </c>
      <c r="C2983" t="s">
        <v>41</v>
      </c>
      <c r="D2983" s="1">
        <v>46210.657141203701</v>
      </c>
      <c r="E2983" t="s">
        <v>42</v>
      </c>
      <c r="F2983" t="s">
        <v>83</v>
      </c>
      <c r="G2983">
        <v>38</v>
      </c>
      <c r="H2983">
        <v>33138</v>
      </c>
      <c r="I2983" t="s">
        <v>43</v>
      </c>
      <c r="J2983">
        <v>81</v>
      </c>
      <c r="K2983">
        <v>103</v>
      </c>
      <c r="L2983">
        <v>98</v>
      </c>
      <c r="M2983">
        <v>630.29998779000005</v>
      </c>
      <c r="N2983" t="s">
        <v>87</v>
      </c>
      <c r="O2983" t="s">
        <v>86</v>
      </c>
      <c r="P2983">
        <v>131</v>
      </c>
      <c r="Q2983">
        <v>6</v>
      </c>
      <c r="R2983">
        <v>57</v>
      </c>
      <c r="S2983">
        <v>1048</v>
      </c>
      <c r="T2983">
        <v>-40</v>
      </c>
      <c r="U2983">
        <v>52</v>
      </c>
      <c r="V2983">
        <v>500</v>
      </c>
      <c r="W2983">
        <v>32</v>
      </c>
      <c r="X2983">
        <v>32</v>
      </c>
      <c r="Y2983">
        <v>1</v>
      </c>
      <c r="Z2983">
        <v>8</v>
      </c>
      <c r="AA2983">
        <v>28</v>
      </c>
      <c r="AB2983">
        <v>2</v>
      </c>
      <c r="AC2983">
        <v>1</v>
      </c>
      <c r="AD2983">
        <v>3.2929999799999998</v>
      </c>
      <c r="AE2983">
        <v>1</v>
      </c>
      <c r="AF2983">
        <v>38</v>
      </c>
      <c r="AG2983">
        <v>3.2820000600000001</v>
      </c>
      <c r="AH2983">
        <v>4</v>
      </c>
      <c r="AI2983">
        <v>17</v>
      </c>
      <c r="AJ2983">
        <v>1</v>
      </c>
      <c r="AK2983">
        <v>26</v>
      </c>
      <c r="AL2983">
        <v>53</v>
      </c>
      <c r="AM2983" t="s">
        <v>43</v>
      </c>
      <c r="AN2983" t="s">
        <v>43</v>
      </c>
    </row>
    <row r="2984" spans="1:40" x14ac:dyDescent="0.3">
      <c r="A2984" s="1">
        <v>46210.654282407406</v>
      </c>
      <c r="B2984" t="s">
        <v>40</v>
      </c>
      <c r="C2984" t="s">
        <v>41</v>
      </c>
      <c r="D2984" s="1">
        <v>46210.657083333332</v>
      </c>
      <c r="E2984" t="s">
        <v>42</v>
      </c>
      <c r="F2984" t="s">
        <v>83</v>
      </c>
      <c r="G2984">
        <v>38</v>
      </c>
      <c r="H2984" t="s">
        <v>43</v>
      </c>
      <c r="I2984" t="s">
        <v>1676</v>
      </c>
      <c r="J2984">
        <v>81</v>
      </c>
      <c r="K2984">
        <v>71</v>
      </c>
      <c r="L2984">
        <v>98</v>
      </c>
      <c r="M2984">
        <v>634.20001220999995</v>
      </c>
      <c r="N2984" t="s">
        <v>87</v>
      </c>
      <c r="O2984" t="s">
        <v>86</v>
      </c>
      <c r="P2984">
        <v>131</v>
      </c>
      <c r="Q2984">
        <v>6</v>
      </c>
      <c r="R2984">
        <v>-34</v>
      </c>
      <c r="S2984">
        <v>1112</v>
      </c>
      <c r="T2984">
        <v>-40</v>
      </c>
      <c r="U2984">
        <v>51</v>
      </c>
      <c r="V2984">
        <v>420</v>
      </c>
      <c r="W2984">
        <v>32</v>
      </c>
      <c r="X2984">
        <v>32</v>
      </c>
      <c r="Y2984">
        <v>1</v>
      </c>
      <c r="Z2984">
        <v>8</v>
      </c>
      <c r="AA2984">
        <v>28</v>
      </c>
      <c r="AB2984">
        <v>2</v>
      </c>
      <c r="AC2984">
        <v>1</v>
      </c>
      <c r="AD2984">
        <v>3.30900002</v>
      </c>
      <c r="AE2984">
        <v>1</v>
      </c>
      <c r="AF2984">
        <v>36</v>
      </c>
      <c r="AG2984">
        <v>3.3039999</v>
      </c>
      <c r="AH2984">
        <v>4</v>
      </c>
      <c r="AI2984">
        <v>17</v>
      </c>
      <c r="AJ2984">
        <v>1</v>
      </c>
      <c r="AK2984">
        <v>26</v>
      </c>
      <c r="AL2984">
        <v>53</v>
      </c>
      <c r="AM2984" t="s">
        <v>43</v>
      </c>
      <c r="AN2984" t="str">
        <f>HYPERLINK("https://www.google.com/maps?q=10.79592514,79.43715668","Open Location")</f>
        <v>Open Location</v>
      </c>
    </row>
    <row r="2985" spans="1:40" x14ac:dyDescent="0.3">
      <c r="A2985" s="1">
        <v>46210.654166666667</v>
      </c>
      <c r="B2985" t="s">
        <v>40</v>
      </c>
      <c r="C2985" t="s">
        <v>41</v>
      </c>
      <c r="D2985" s="1">
        <v>46210.657152777778</v>
      </c>
      <c r="E2985" t="s">
        <v>42</v>
      </c>
      <c r="F2985" t="s">
        <v>83</v>
      </c>
      <c r="G2985">
        <v>40</v>
      </c>
      <c r="H2985">
        <v>33138</v>
      </c>
      <c r="I2985" t="s">
        <v>1677</v>
      </c>
      <c r="J2985">
        <v>81</v>
      </c>
      <c r="K2985">
        <v>100</v>
      </c>
      <c r="L2985">
        <v>98</v>
      </c>
      <c r="M2985">
        <v>630.79998779000005</v>
      </c>
      <c r="N2985" t="s">
        <v>87</v>
      </c>
      <c r="O2985" t="s">
        <v>86</v>
      </c>
      <c r="P2985">
        <v>131</v>
      </c>
      <c r="Q2985">
        <v>6</v>
      </c>
      <c r="R2985">
        <v>63</v>
      </c>
      <c r="S2985">
        <v>1125</v>
      </c>
      <c r="T2985">
        <v>-40</v>
      </c>
      <c r="U2985">
        <v>52</v>
      </c>
      <c r="V2985">
        <v>480</v>
      </c>
      <c r="W2985">
        <v>32</v>
      </c>
      <c r="X2985">
        <v>32</v>
      </c>
      <c r="Y2985">
        <v>1</v>
      </c>
      <c r="Z2985">
        <v>8</v>
      </c>
      <c r="AA2985">
        <v>28</v>
      </c>
      <c r="AB2985">
        <v>2</v>
      </c>
      <c r="AC2985">
        <v>1</v>
      </c>
      <c r="AD2985">
        <v>3.2920000599999999</v>
      </c>
      <c r="AE2985">
        <v>1</v>
      </c>
      <c r="AF2985">
        <v>38</v>
      </c>
      <c r="AG2985">
        <v>3.2820000600000001</v>
      </c>
      <c r="AH2985">
        <v>4</v>
      </c>
      <c r="AI2985">
        <v>17</v>
      </c>
      <c r="AJ2985">
        <v>1</v>
      </c>
      <c r="AK2985">
        <v>26</v>
      </c>
      <c r="AL2985">
        <v>53</v>
      </c>
      <c r="AM2985" t="s">
        <v>43</v>
      </c>
      <c r="AN2985" t="str">
        <f>HYPERLINK("https://www.google.com/maps?q=10.79568195,79.43834686","Open Location")</f>
        <v>Open Location</v>
      </c>
    </row>
    <row r="2986" spans="1:40" x14ac:dyDescent="0.3">
      <c r="A2986" s="1">
        <v>46210.654050925928</v>
      </c>
      <c r="B2986" t="s">
        <v>40</v>
      </c>
      <c r="C2986" t="s">
        <v>41</v>
      </c>
      <c r="D2986" s="1">
        <v>46210.656736111108</v>
      </c>
      <c r="E2986" t="s">
        <v>42</v>
      </c>
      <c r="F2986" t="s">
        <v>83</v>
      </c>
      <c r="G2986">
        <v>41</v>
      </c>
      <c r="H2986">
        <v>33137</v>
      </c>
      <c r="I2986" t="s">
        <v>1678</v>
      </c>
      <c r="J2986">
        <v>81</v>
      </c>
      <c r="K2986">
        <v>96</v>
      </c>
      <c r="L2986">
        <v>98</v>
      </c>
      <c r="M2986">
        <v>630.90002441000001</v>
      </c>
      <c r="N2986" t="s">
        <v>87</v>
      </c>
      <c r="O2986" t="s">
        <v>86</v>
      </c>
      <c r="P2986">
        <v>131</v>
      </c>
      <c r="Q2986">
        <v>6</v>
      </c>
      <c r="R2986">
        <v>56</v>
      </c>
      <c r="S2986">
        <v>1131</v>
      </c>
      <c r="T2986">
        <v>-40</v>
      </c>
      <c r="U2986">
        <v>52</v>
      </c>
      <c r="V2986">
        <v>460</v>
      </c>
      <c r="W2986">
        <v>32</v>
      </c>
      <c r="X2986">
        <v>32</v>
      </c>
      <c r="Y2986">
        <v>1</v>
      </c>
      <c r="Z2986">
        <v>8</v>
      </c>
      <c r="AA2986">
        <v>28</v>
      </c>
      <c r="AB2986">
        <v>2</v>
      </c>
      <c r="AC2986">
        <v>1</v>
      </c>
      <c r="AD2986">
        <v>3.2969999300000001</v>
      </c>
      <c r="AE2986">
        <v>1</v>
      </c>
      <c r="AF2986">
        <v>42</v>
      </c>
      <c r="AG2986">
        <v>3.28800011</v>
      </c>
      <c r="AH2986">
        <v>4</v>
      </c>
      <c r="AI2986">
        <v>17</v>
      </c>
      <c r="AJ2986">
        <v>1</v>
      </c>
      <c r="AK2986">
        <v>26</v>
      </c>
      <c r="AL2986">
        <v>53</v>
      </c>
      <c r="AM2986" t="s">
        <v>43</v>
      </c>
      <c r="AN2986" t="str">
        <f>HYPERLINK("https://www.google.com/maps?q=10.79543781,79.43955994","Open Location")</f>
        <v>Open Location</v>
      </c>
    </row>
    <row r="2987" spans="1:40" x14ac:dyDescent="0.3">
      <c r="A2987" s="1">
        <v>46210.653935185182</v>
      </c>
      <c r="B2987" t="s">
        <v>40</v>
      </c>
      <c r="C2987" t="s">
        <v>41</v>
      </c>
      <c r="D2987" s="1">
        <v>46210.656736111108</v>
      </c>
      <c r="E2987" t="s">
        <v>42</v>
      </c>
      <c r="F2987" t="s">
        <v>83</v>
      </c>
      <c r="G2987">
        <v>41</v>
      </c>
      <c r="H2987">
        <v>33137</v>
      </c>
      <c r="I2987" t="s">
        <v>1679</v>
      </c>
      <c r="J2987">
        <v>81</v>
      </c>
      <c r="K2987">
        <v>94</v>
      </c>
      <c r="L2987">
        <v>98</v>
      </c>
      <c r="M2987">
        <v>630.90002441000001</v>
      </c>
      <c r="N2987" t="s">
        <v>87</v>
      </c>
      <c r="O2987" t="s">
        <v>86</v>
      </c>
      <c r="P2987">
        <v>131</v>
      </c>
      <c r="Q2987">
        <v>6</v>
      </c>
      <c r="R2987">
        <v>52</v>
      </c>
      <c r="S2987">
        <v>1144</v>
      </c>
      <c r="T2987">
        <v>-40</v>
      </c>
      <c r="U2987">
        <v>52</v>
      </c>
      <c r="V2987">
        <v>420</v>
      </c>
      <c r="W2987">
        <v>32</v>
      </c>
      <c r="X2987">
        <v>32</v>
      </c>
      <c r="Y2987">
        <v>1</v>
      </c>
      <c r="Z2987">
        <v>8</v>
      </c>
      <c r="AA2987">
        <v>28</v>
      </c>
      <c r="AB2987">
        <v>2</v>
      </c>
      <c r="AC2987">
        <v>1</v>
      </c>
      <c r="AD2987">
        <v>3.2959999999999998</v>
      </c>
      <c r="AE2987">
        <v>1</v>
      </c>
      <c r="AF2987">
        <v>38</v>
      </c>
      <c r="AG2987">
        <v>3.28800011</v>
      </c>
      <c r="AH2987">
        <v>4</v>
      </c>
      <c r="AI2987">
        <v>17</v>
      </c>
      <c r="AJ2987">
        <v>1</v>
      </c>
      <c r="AK2987">
        <v>26</v>
      </c>
      <c r="AL2987">
        <v>53</v>
      </c>
      <c r="AM2987" t="s">
        <v>43</v>
      </c>
      <c r="AN2987" t="str">
        <f>HYPERLINK("https://www.google.com/maps?q=10.79518509,79.44078827","Open Location")</f>
        <v>Open Location</v>
      </c>
    </row>
    <row r="2988" spans="1:40" x14ac:dyDescent="0.3">
      <c r="A2988" s="1">
        <v>46210.653819444444</v>
      </c>
      <c r="B2988" t="s">
        <v>40</v>
      </c>
      <c r="C2988" t="s">
        <v>41</v>
      </c>
      <c r="D2988" s="1">
        <v>46210.6565625</v>
      </c>
      <c r="E2988" t="s">
        <v>42</v>
      </c>
      <c r="F2988" t="s">
        <v>83</v>
      </c>
      <c r="G2988">
        <v>41</v>
      </c>
      <c r="H2988">
        <v>33137</v>
      </c>
      <c r="I2988" t="s">
        <v>1680</v>
      </c>
      <c r="J2988">
        <v>81</v>
      </c>
      <c r="K2988">
        <v>101</v>
      </c>
      <c r="L2988">
        <v>98</v>
      </c>
      <c r="M2988">
        <v>630.40002441000001</v>
      </c>
      <c r="N2988" t="s">
        <v>87</v>
      </c>
      <c r="O2988" t="s">
        <v>86</v>
      </c>
      <c r="P2988">
        <v>131</v>
      </c>
      <c r="Q2988">
        <v>6</v>
      </c>
      <c r="R2988">
        <v>62</v>
      </c>
      <c r="S2988">
        <v>1139</v>
      </c>
      <c r="T2988">
        <v>-40</v>
      </c>
      <c r="U2988">
        <v>52</v>
      </c>
      <c r="V2988">
        <v>480</v>
      </c>
      <c r="W2988">
        <v>32</v>
      </c>
      <c r="X2988">
        <v>32</v>
      </c>
      <c r="Y2988">
        <v>1</v>
      </c>
      <c r="Z2988">
        <v>8</v>
      </c>
      <c r="AA2988">
        <v>28</v>
      </c>
      <c r="AB2988">
        <v>2</v>
      </c>
      <c r="AC2988">
        <v>1</v>
      </c>
      <c r="AD2988">
        <v>3.2920000599999999</v>
      </c>
      <c r="AE2988">
        <v>1</v>
      </c>
      <c r="AF2988">
        <v>38</v>
      </c>
      <c r="AG2988">
        <v>3.2820000600000001</v>
      </c>
      <c r="AH2988">
        <v>4</v>
      </c>
      <c r="AI2988">
        <v>17</v>
      </c>
      <c r="AJ2988">
        <v>1</v>
      </c>
      <c r="AK2988">
        <v>26</v>
      </c>
      <c r="AL2988">
        <v>53</v>
      </c>
      <c r="AM2988" t="s">
        <v>43</v>
      </c>
      <c r="AN2988" t="str">
        <f>HYPERLINK("https://www.google.com/maps?q=10.7949276,79.44203186","Open Location")</f>
        <v>Open Location</v>
      </c>
    </row>
    <row r="2989" spans="1:40" x14ac:dyDescent="0.3">
      <c r="A2989" s="1">
        <v>46210.653703703705</v>
      </c>
      <c r="B2989" t="s">
        <v>40</v>
      </c>
      <c r="C2989" t="s">
        <v>41</v>
      </c>
      <c r="D2989" s="1">
        <v>46210.656504629631</v>
      </c>
      <c r="E2989" t="s">
        <v>42</v>
      </c>
      <c r="F2989" t="s">
        <v>83</v>
      </c>
      <c r="G2989">
        <v>41</v>
      </c>
      <c r="H2989">
        <v>33137</v>
      </c>
      <c r="I2989" t="s">
        <v>43</v>
      </c>
      <c r="J2989">
        <v>81</v>
      </c>
      <c r="K2989">
        <v>92</v>
      </c>
      <c r="L2989">
        <v>98</v>
      </c>
      <c r="M2989">
        <v>630.90002441000001</v>
      </c>
      <c r="N2989" t="s">
        <v>87</v>
      </c>
      <c r="O2989" t="s">
        <v>86</v>
      </c>
      <c r="P2989">
        <v>131</v>
      </c>
      <c r="Q2989">
        <v>6</v>
      </c>
      <c r="R2989">
        <v>57</v>
      </c>
      <c r="S2989">
        <v>1136</v>
      </c>
      <c r="T2989">
        <v>-40</v>
      </c>
      <c r="U2989">
        <v>52</v>
      </c>
      <c r="V2989">
        <v>440</v>
      </c>
      <c r="W2989">
        <v>32</v>
      </c>
      <c r="X2989">
        <v>32</v>
      </c>
      <c r="Y2989">
        <v>1</v>
      </c>
      <c r="Z2989">
        <v>8</v>
      </c>
      <c r="AA2989">
        <v>28</v>
      </c>
      <c r="AB2989">
        <v>2</v>
      </c>
      <c r="AC2989">
        <v>1</v>
      </c>
      <c r="AD2989">
        <v>3.2939999100000001</v>
      </c>
      <c r="AE2989">
        <v>1</v>
      </c>
      <c r="AF2989">
        <v>38</v>
      </c>
      <c r="AG2989">
        <v>3.28500009</v>
      </c>
      <c r="AH2989">
        <v>4</v>
      </c>
      <c r="AI2989">
        <v>17</v>
      </c>
      <c r="AJ2989">
        <v>1</v>
      </c>
      <c r="AK2989">
        <v>26</v>
      </c>
      <c r="AL2989">
        <v>53</v>
      </c>
      <c r="AM2989" t="s">
        <v>43</v>
      </c>
      <c r="AN2989" t="s">
        <v>43</v>
      </c>
    </row>
    <row r="2990" spans="1:40" x14ac:dyDescent="0.3">
      <c r="A2990" s="1">
        <v>46210.653587962966</v>
      </c>
      <c r="B2990" t="s">
        <v>40</v>
      </c>
      <c r="C2990" t="s">
        <v>41</v>
      </c>
      <c r="D2990" s="1">
        <v>46210.656307870369</v>
      </c>
      <c r="E2990" t="s">
        <v>42</v>
      </c>
      <c r="F2990" t="s">
        <v>83</v>
      </c>
      <c r="G2990">
        <v>41</v>
      </c>
      <c r="H2990" t="s">
        <v>43</v>
      </c>
      <c r="I2990" t="s">
        <v>1681</v>
      </c>
      <c r="J2990">
        <v>81</v>
      </c>
      <c r="K2990">
        <v>101</v>
      </c>
      <c r="L2990">
        <v>98</v>
      </c>
      <c r="M2990">
        <v>630.59997558999999</v>
      </c>
      <c r="N2990" t="s">
        <v>87</v>
      </c>
      <c r="O2990" t="s">
        <v>86</v>
      </c>
      <c r="P2990">
        <v>131</v>
      </c>
      <c r="Q2990">
        <v>6</v>
      </c>
      <c r="R2990">
        <v>57</v>
      </c>
      <c r="S2990">
        <v>1137</v>
      </c>
      <c r="T2990">
        <v>-40</v>
      </c>
      <c r="U2990">
        <v>52</v>
      </c>
      <c r="V2990">
        <v>480</v>
      </c>
      <c r="W2990">
        <v>32</v>
      </c>
      <c r="X2990">
        <v>32</v>
      </c>
      <c r="Y2990">
        <v>1</v>
      </c>
      <c r="Z2990">
        <v>8</v>
      </c>
      <c r="AA2990">
        <v>28</v>
      </c>
      <c r="AB2990">
        <v>2</v>
      </c>
      <c r="AC2990">
        <v>1</v>
      </c>
      <c r="AD2990">
        <v>3.2920000599999999</v>
      </c>
      <c r="AE2990">
        <v>1</v>
      </c>
      <c r="AF2990">
        <v>38</v>
      </c>
      <c r="AG2990">
        <v>3.2820000600000001</v>
      </c>
      <c r="AH2990">
        <v>4</v>
      </c>
      <c r="AI2990">
        <v>17</v>
      </c>
      <c r="AJ2990">
        <v>1</v>
      </c>
      <c r="AK2990">
        <v>26</v>
      </c>
      <c r="AL2990">
        <v>53</v>
      </c>
      <c r="AM2990" t="s">
        <v>43</v>
      </c>
      <c r="AN2990" t="str">
        <f>HYPERLINK("https://www.google.com/maps?q=10.79467392,79.44325256","Open Location")</f>
        <v>Open Location</v>
      </c>
    </row>
    <row r="2991" spans="1:40" x14ac:dyDescent="0.3">
      <c r="A2991" s="1">
        <v>46210.65347222222</v>
      </c>
      <c r="B2991" t="s">
        <v>40</v>
      </c>
      <c r="C2991" t="s">
        <v>41</v>
      </c>
      <c r="D2991" s="1">
        <v>46210.656238425923</v>
      </c>
      <c r="E2991" t="s">
        <v>42</v>
      </c>
      <c r="F2991" t="s">
        <v>83</v>
      </c>
      <c r="G2991">
        <v>41</v>
      </c>
      <c r="H2991">
        <v>33137</v>
      </c>
      <c r="I2991" t="s">
        <v>1682</v>
      </c>
      <c r="J2991">
        <v>81</v>
      </c>
      <c r="K2991">
        <v>135</v>
      </c>
      <c r="L2991">
        <v>98</v>
      </c>
      <c r="M2991">
        <v>629.29998779000005</v>
      </c>
      <c r="N2991" t="s">
        <v>87</v>
      </c>
      <c r="O2991" t="s">
        <v>86</v>
      </c>
      <c r="P2991">
        <v>131</v>
      </c>
      <c r="Q2991">
        <v>6</v>
      </c>
      <c r="R2991">
        <v>57</v>
      </c>
      <c r="S2991">
        <v>1138</v>
      </c>
      <c r="T2991">
        <v>-40</v>
      </c>
      <c r="U2991">
        <v>52</v>
      </c>
      <c r="V2991">
        <v>660</v>
      </c>
      <c r="W2991">
        <v>32</v>
      </c>
      <c r="X2991">
        <v>32</v>
      </c>
      <c r="Y2991">
        <v>1</v>
      </c>
      <c r="Z2991">
        <v>8</v>
      </c>
      <c r="AA2991">
        <v>28</v>
      </c>
      <c r="AB2991">
        <v>2</v>
      </c>
      <c r="AC2991">
        <v>1</v>
      </c>
      <c r="AD2991">
        <v>3.2939999100000001</v>
      </c>
      <c r="AE2991">
        <v>1</v>
      </c>
      <c r="AF2991">
        <v>38</v>
      </c>
      <c r="AG2991">
        <v>3.2839999199999999</v>
      </c>
      <c r="AH2991">
        <v>4</v>
      </c>
      <c r="AI2991">
        <v>17</v>
      </c>
      <c r="AJ2991">
        <v>1</v>
      </c>
      <c r="AK2991">
        <v>26</v>
      </c>
      <c r="AL2991">
        <v>53</v>
      </c>
      <c r="AM2991" t="s">
        <v>43</v>
      </c>
      <c r="AN2991" t="str">
        <f>HYPERLINK("https://www.google.com/maps?q=10.79440212,79.44458771","Open Location")</f>
        <v>Open Location</v>
      </c>
    </row>
    <row r="2992" spans="1:40" x14ac:dyDescent="0.3">
      <c r="A2992" s="1">
        <v>46210.653356481482</v>
      </c>
      <c r="B2992" t="s">
        <v>40</v>
      </c>
      <c r="C2992" t="s">
        <v>41</v>
      </c>
      <c r="D2992" s="1">
        <v>46210.656307870369</v>
      </c>
      <c r="E2992" t="s">
        <v>42</v>
      </c>
      <c r="F2992" t="s">
        <v>83</v>
      </c>
      <c r="G2992">
        <v>41</v>
      </c>
      <c r="H2992">
        <v>33137</v>
      </c>
      <c r="I2992" t="s">
        <v>1683</v>
      </c>
      <c r="J2992">
        <v>81</v>
      </c>
      <c r="K2992">
        <v>106</v>
      </c>
      <c r="L2992">
        <v>98</v>
      </c>
      <c r="M2992">
        <v>631</v>
      </c>
      <c r="N2992" t="s">
        <v>87</v>
      </c>
      <c r="O2992" t="s">
        <v>86</v>
      </c>
      <c r="P2992">
        <v>131</v>
      </c>
      <c r="Q2992">
        <v>6</v>
      </c>
      <c r="R2992">
        <v>54</v>
      </c>
      <c r="S2992">
        <v>1144</v>
      </c>
      <c r="T2992">
        <v>-40</v>
      </c>
      <c r="U2992">
        <v>52</v>
      </c>
      <c r="V2992">
        <v>520</v>
      </c>
      <c r="W2992">
        <v>32</v>
      </c>
      <c r="X2992">
        <v>32</v>
      </c>
      <c r="Y2992">
        <v>1</v>
      </c>
      <c r="Z2992">
        <v>8</v>
      </c>
      <c r="AA2992">
        <v>28</v>
      </c>
      <c r="AB2992">
        <v>2</v>
      </c>
      <c r="AC2992">
        <v>1</v>
      </c>
      <c r="AD2992">
        <v>3.2950000799999999</v>
      </c>
      <c r="AE2992">
        <v>1</v>
      </c>
      <c r="AF2992">
        <v>38</v>
      </c>
      <c r="AG2992">
        <v>3.28600001</v>
      </c>
      <c r="AH2992">
        <v>4</v>
      </c>
      <c r="AI2992">
        <v>17</v>
      </c>
      <c r="AJ2992">
        <v>1</v>
      </c>
      <c r="AK2992">
        <v>26</v>
      </c>
      <c r="AL2992">
        <v>53</v>
      </c>
      <c r="AM2992" t="s">
        <v>43</v>
      </c>
      <c r="AN2992" t="str">
        <f>HYPERLINK("https://www.google.com/maps?q=10.79415035,79.44580841","Open Location")</f>
        <v>Open Location</v>
      </c>
    </row>
    <row r="2993" spans="1:40" x14ac:dyDescent="0.3">
      <c r="A2993" s="1">
        <v>46210.653240740743</v>
      </c>
      <c r="B2993" t="s">
        <v>40</v>
      </c>
      <c r="C2993" t="s">
        <v>41</v>
      </c>
      <c r="D2993" s="1">
        <v>46210.656087962961</v>
      </c>
      <c r="E2993" t="s">
        <v>42</v>
      </c>
      <c r="F2993" t="s">
        <v>83</v>
      </c>
      <c r="G2993">
        <v>41</v>
      </c>
      <c r="H2993">
        <v>33137</v>
      </c>
      <c r="I2993" t="s">
        <v>1684</v>
      </c>
      <c r="J2993">
        <v>81</v>
      </c>
      <c r="K2993">
        <v>89</v>
      </c>
      <c r="L2993">
        <v>98</v>
      </c>
      <c r="M2993">
        <v>631.29998779000005</v>
      </c>
      <c r="N2993" t="s">
        <v>87</v>
      </c>
      <c r="O2993" t="s">
        <v>86</v>
      </c>
      <c r="P2993">
        <v>131</v>
      </c>
      <c r="Q2993">
        <v>6</v>
      </c>
      <c r="R2993">
        <v>57</v>
      </c>
      <c r="S2993">
        <v>1149</v>
      </c>
      <c r="T2993">
        <v>-40</v>
      </c>
      <c r="U2993">
        <v>52</v>
      </c>
      <c r="V2993">
        <v>420</v>
      </c>
      <c r="W2993">
        <v>32</v>
      </c>
      <c r="X2993">
        <v>32</v>
      </c>
      <c r="Y2993">
        <v>1</v>
      </c>
      <c r="Z2993">
        <v>8</v>
      </c>
      <c r="AA2993">
        <v>28</v>
      </c>
      <c r="AB2993">
        <v>2</v>
      </c>
      <c r="AC2993">
        <v>1</v>
      </c>
      <c r="AD2993">
        <v>3.2959999999999998</v>
      </c>
      <c r="AE2993">
        <v>1</v>
      </c>
      <c r="AF2993">
        <v>38</v>
      </c>
      <c r="AG2993">
        <v>3.28800011</v>
      </c>
      <c r="AH2993">
        <v>4</v>
      </c>
      <c r="AI2993">
        <v>17</v>
      </c>
      <c r="AJ2993">
        <v>1</v>
      </c>
      <c r="AK2993">
        <v>26</v>
      </c>
      <c r="AL2993">
        <v>53</v>
      </c>
      <c r="AM2993" t="s">
        <v>43</v>
      </c>
      <c r="AN2993" t="str">
        <f>HYPERLINK("https://www.google.com/maps?q=10.79388905,79.44703674","Open Location")</f>
        <v>Open Location</v>
      </c>
    </row>
    <row r="2994" spans="1:40" x14ac:dyDescent="0.3">
      <c r="A2994" s="1">
        <v>46210.653124999997</v>
      </c>
      <c r="B2994" t="s">
        <v>40</v>
      </c>
      <c r="C2994" t="s">
        <v>41</v>
      </c>
      <c r="D2994" s="1">
        <v>46210.655914351853</v>
      </c>
      <c r="E2994" t="s">
        <v>42</v>
      </c>
      <c r="F2994" t="s">
        <v>83</v>
      </c>
      <c r="G2994">
        <v>42</v>
      </c>
      <c r="H2994" t="s">
        <v>43</v>
      </c>
      <c r="I2994" t="s">
        <v>43</v>
      </c>
      <c r="J2994">
        <v>81</v>
      </c>
      <c r="K2994">
        <v>90</v>
      </c>
      <c r="L2994">
        <v>98</v>
      </c>
      <c r="M2994">
        <v>631.59997558999999</v>
      </c>
      <c r="N2994" t="s">
        <v>87</v>
      </c>
      <c r="O2994" t="s">
        <v>86</v>
      </c>
      <c r="P2994">
        <v>131</v>
      </c>
      <c r="Q2994">
        <v>6</v>
      </c>
      <c r="R2994">
        <v>43</v>
      </c>
      <c r="S2994">
        <v>1174</v>
      </c>
      <c r="T2994">
        <v>-40</v>
      </c>
      <c r="U2994">
        <v>51</v>
      </c>
      <c r="V2994">
        <v>420</v>
      </c>
      <c r="W2994">
        <v>32</v>
      </c>
      <c r="X2994">
        <v>32</v>
      </c>
      <c r="Y2994">
        <v>1</v>
      </c>
      <c r="Z2994">
        <v>8</v>
      </c>
      <c r="AA2994">
        <v>28</v>
      </c>
      <c r="AB2994">
        <v>2</v>
      </c>
      <c r="AC2994">
        <v>1</v>
      </c>
      <c r="AD2994">
        <v>3.2980000999999999</v>
      </c>
      <c r="AE2994">
        <v>1</v>
      </c>
      <c r="AF2994">
        <v>38</v>
      </c>
      <c r="AG2994">
        <v>3.2899999599999998</v>
      </c>
      <c r="AH2994">
        <v>4</v>
      </c>
      <c r="AI2994">
        <v>17</v>
      </c>
      <c r="AJ2994">
        <v>1</v>
      </c>
      <c r="AK2994">
        <v>26</v>
      </c>
      <c r="AL2994">
        <v>53</v>
      </c>
      <c r="AM2994" t="s">
        <v>43</v>
      </c>
      <c r="AN2994" t="s">
        <v>43</v>
      </c>
    </row>
    <row r="2995" spans="1:40" x14ac:dyDescent="0.3">
      <c r="A2995" s="1">
        <v>46210.653009259258</v>
      </c>
      <c r="B2995" t="s">
        <v>40</v>
      </c>
      <c r="C2995" t="s">
        <v>41</v>
      </c>
      <c r="D2995" s="1">
        <v>46210.655914351853</v>
      </c>
      <c r="E2995" t="s">
        <v>42</v>
      </c>
      <c r="F2995" t="s">
        <v>83</v>
      </c>
      <c r="G2995">
        <v>43</v>
      </c>
      <c r="H2995">
        <v>33136</v>
      </c>
      <c r="I2995" t="s">
        <v>1685</v>
      </c>
      <c r="J2995">
        <v>81</v>
      </c>
      <c r="K2995">
        <v>79</v>
      </c>
      <c r="L2995">
        <v>98</v>
      </c>
      <c r="M2995">
        <v>631.59997558999999</v>
      </c>
      <c r="N2995" t="s">
        <v>87</v>
      </c>
      <c r="O2995" t="s">
        <v>86</v>
      </c>
      <c r="P2995">
        <v>131</v>
      </c>
      <c r="Q2995">
        <v>6</v>
      </c>
      <c r="R2995">
        <v>52</v>
      </c>
      <c r="S2995">
        <v>1188</v>
      </c>
      <c r="T2995">
        <v>-40</v>
      </c>
      <c r="U2995">
        <v>52</v>
      </c>
      <c r="V2995">
        <v>360</v>
      </c>
      <c r="W2995">
        <v>32</v>
      </c>
      <c r="X2995">
        <v>32</v>
      </c>
      <c r="Y2995">
        <v>1</v>
      </c>
      <c r="Z2995">
        <v>8</v>
      </c>
      <c r="AA2995">
        <v>28</v>
      </c>
      <c r="AB2995">
        <v>2</v>
      </c>
      <c r="AC2995">
        <v>1</v>
      </c>
      <c r="AD2995">
        <v>3.2959999999999998</v>
      </c>
      <c r="AE2995">
        <v>1</v>
      </c>
      <c r="AF2995">
        <v>38</v>
      </c>
      <c r="AG2995">
        <v>3.2869999399999998</v>
      </c>
      <c r="AH2995">
        <v>4</v>
      </c>
      <c r="AI2995">
        <v>17</v>
      </c>
      <c r="AJ2995">
        <v>1</v>
      </c>
      <c r="AK2995">
        <v>26</v>
      </c>
      <c r="AL2995">
        <v>53</v>
      </c>
      <c r="AM2995" t="s">
        <v>43</v>
      </c>
      <c r="AN2995" t="str">
        <f>HYPERLINK("https://www.google.com/maps?q=10.79363441,79.44829559","Open Location")</f>
        <v>Open Location</v>
      </c>
    </row>
    <row r="2996" spans="1:40" x14ac:dyDescent="0.3">
      <c r="A2996" s="1">
        <v>46210.65289351852</v>
      </c>
      <c r="B2996" t="s">
        <v>40</v>
      </c>
      <c r="C2996" t="s">
        <v>41</v>
      </c>
      <c r="D2996" s="1">
        <v>46210.655624999999</v>
      </c>
      <c r="E2996" t="s">
        <v>42</v>
      </c>
      <c r="F2996" t="s">
        <v>83</v>
      </c>
      <c r="G2996">
        <v>43</v>
      </c>
      <c r="H2996">
        <v>33136</v>
      </c>
      <c r="I2996" t="s">
        <v>1686</v>
      </c>
      <c r="J2996">
        <v>81</v>
      </c>
      <c r="K2996">
        <v>110</v>
      </c>
      <c r="L2996">
        <v>98</v>
      </c>
      <c r="M2996">
        <v>630.20001220999995</v>
      </c>
      <c r="N2996" t="s">
        <v>87</v>
      </c>
      <c r="O2996" t="s">
        <v>86</v>
      </c>
      <c r="P2996">
        <v>131</v>
      </c>
      <c r="Q2996">
        <v>6</v>
      </c>
      <c r="R2996">
        <v>62</v>
      </c>
      <c r="S2996">
        <v>1200</v>
      </c>
      <c r="T2996">
        <v>-40</v>
      </c>
      <c r="U2996">
        <v>52</v>
      </c>
      <c r="V2996">
        <v>500</v>
      </c>
      <c r="W2996">
        <v>32</v>
      </c>
      <c r="X2996">
        <v>32</v>
      </c>
      <c r="Y2996">
        <v>1</v>
      </c>
      <c r="Z2996">
        <v>8</v>
      </c>
      <c r="AA2996">
        <v>28</v>
      </c>
      <c r="AB2996">
        <v>2</v>
      </c>
      <c r="AC2996">
        <v>1</v>
      </c>
      <c r="AD2996">
        <v>3.2939999100000001</v>
      </c>
      <c r="AE2996">
        <v>1</v>
      </c>
      <c r="AF2996">
        <v>41</v>
      </c>
      <c r="AG2996">
        <v>3.28500009</v>
      </c>
      <c r="AH2996">
        <v>4</v>
      </c>
      <c r="AI2996">
        <v>17</v>
      </c>
      <c r="AJ2996">
        <v>1</v>
      </c>
      <c r="AK2996">
        <v>26</v>
      </c>
      <c r="AL2996">
        <v>53</v>
      </c>
      <c r="AM2996" t="s">
        <v>43</v>
      </c>
      <c r="AN2996" t="str">
        <f>HYPERLINK("https://www.google.com/maps?q=10.79337978,79.44958496","Open Location")</f>
        <v>Open Location</v>
      </c>
    </row>
    <row r="2997" spans="1:40" x14ac:dyDescent="0.3">
      <c r="A2997" s="1">
        <v>46210.652777777781</v>
      </c>
      <c r="B2997" t="s">
        <v>40</v>
      </c>
      <c r="C2997" t="s">
        <v>41</v>
      </c>
      <c r="D2997" s="1">
        <v>46210.655868055554</v>
      </c>
      <c r="E2997" t="s">
        <v>42</v>
      </c>
      <c r="F2997" t="s">
        <v>83</v>
      </c>
      <c r="G2997">
        <v>43</v>
      </c>
      <c r="H2997">
        <v>33136</v>
      </c>
      <c r="I2997" t="s">
        <v>1687</v>
      </c>
      <c r="J2997">
        <v>82</v>
      </c>
      <c r="K2997">
        <v>89</v>
      </c>
      <c r="L2997">
        <v>98</v>
      </c>
      <c r="M2997">
        <v>630.90002441000001</v>
      </c>
      <c r="N2997" t="s">
        <v>87</v>
      </c>
      <c r="O2997" t="s">
        <v>86</v>
      </c>
      <c r="P2997">
        <v>131</v>
      </c>
      <c r="Q2997">
        <v>6</v>
      </c>
      <c r="R2997">
        <v>52</v>
      </c>
      <c r="S2997">
        <v>1195</v>
      </c>
      <c r="T2997">
        <v>-40</v>
      </c>
      <c r="U2997">
        <v>52</v>
      </c>
      <c r="V2997">
        <v>400</v>
      </c>
      <c r="W2997">
        <v>32</v>
      </c>
      <c r="X2997">
        <v>32</v>
      </c>
      <c r="Y2997">
        <v>1</v>
      </c>
      <c r="Z2997">
        <v>8</v>
      </c>
      <c r="AA2997">
        <v>28</v>
      </c>
      <c r="AB2997">
        <v>2</v>
      </c>
      <c r="AC2997">
        <v>1</v>
      </c>
      <c r="AD2997">
        <v>3.2950000799999999</v>
      </c>
      <c r="AE2997">
        <v>1</v>
      </c>
      <c r="AF2997">
        <v>38</v>
      </c>
      <c r="AG2997">
        <v>3.28600001</v>
      </c>
      <c r="AH2997">
        <v>4</v>
      </c>
      <c r="AI2997">
        <v>17</v>
      </c>
      <c r="AJ2997">
        <v>1</v>
      </c>
      <c r="AK2997">
        <v>26</v>
      </c>
      <c r="AL2997">
        <v>53</v>
      </c>
      <c r="AM2997" t="s">
        <v>43</v>
      </c>
      <c r="AN2997" t="str">
        <f>HYPERLINK("https://www.google.com/maps?q=10.7931118,79.45087433","Open Location")</f>
        <v>Open Location</v>
      </c>
    </row>
    <row r="2998" spans="1:40" x14ac:dyDescent="0.3">
      <c r="A2998" s="1">
        <v>46210.652662037035</v>
      </c>
      <c r="B2998" t="s">
        <v>40</v>
      </c>
      <c r="C2998" t="s">
        <v>41</v>
      </c>
      <c r="D2998" s="1">
        <v>46210.655277777776</v>
      </c>
      <c r="E2998" t="s">
        <v>42</v>
      </c>
      <c r="F2998" t="s">
        <v>83</v>
      </c>
      <c r="G2998">
        <v>43</v>
      </c>
      <c r="H2998">
        <v>33136</v>
      </c>
      <c r="I2998" t="s">
        <v>1688</v>
      </c>
      <c r="J2998">
        <v>82</v>
      </c>
      <c r="K2998">
        <v>117</v>
      </c>
      <c r="L2998">
        <v>98</v>
      </c>
      <c r="M2998">
        <v>630</v>
      </c>
      <c r="N2998" t="s">
        <v>87</v>
      </c>
      <c r="O2998" t="s">
        <v>86</v>
      </c>
      <c r="P2998">
        <v>131</v>
      </c>
      <c r="Q2998">
        <v>6</v>
      </c>
      <c r="R2998">
        <v>68</v>
      </c>
      <c r="S2998">
        <v>1192</v>
      </c>
      <c r="T2998">
        <v>-40</v>
      </c>
      <c r="U2998">
        <v>53</v>
      </c>
      <c r="V2998">
        <v>540</v>
      </c>
      <c r="W2998">
        <v>32</v>
      </c>
      <c r="X2998">
        <v>32</v>
      </c>
      <c r="Y2998">
        <v>1</v>
      </c>
      <c r="Z2998">
        <v>8</v>
      </c>
      <c r="AA2998">
        <v>28</v>
      </c>
      <c r="AB2998">
        <v>2</v>
      </c>
      <c r="AC2998">
        <v>3</v>
      </c>
      <c r="AD2998">
        <v>3.2929999799999998</v>
      </c>
      <c r="AE2998">
        <v>1</v>
      </c>
      <c r="AF2998">
        <v>38</v>
      </c>
      <c r="AG2998">
        <v>3.2839999199999999</v>
      </c>
      <c r="AH2998">
        <v>4</v>
      </c>
      <c r="AI2998">
        <v>17</v>
      </c>
      <c r="AJ2998">
        <v>1</v>
      </c>
      <c r="AK2998">
        <v>26</v>
      </c>
      <c r="AL2998">
        <v>53</v>
      </c>
      <c r="AM2998" t="s">
        <v>43</v>
      </c>
      <c r="AN2998" t="str">
        <f>HYPERLINK("https://www.google.com/maps?q=10.79284382,79.45217896","Open Location")</f>
        <v>Open Location</v>
      </c>
    </row>
    <row r="2999" spans="1:40" x14ac:dyDescent="0.3">
      <c r="A2999" s="1">
        <v>46210.652546296296</v>
      </c>
      <c r="B2999" t="s">
        <v>40</v>
      </c>
      <c r="C2999" t="s">
        <v>41</v>
      </c>
      <c r="D2999" s="1">
        <v>46210.655300925922</v>
      </c>
      <c r="E2999" t="s">
        <v>42</v>
      </c>
      <c r="F2999" t="s">
        <v>83</v>
      </c>
      <c r="G2999">
        <v>42</v>
      </c>
      <c r="H2999">
        <v>33136</v>
      </c>
      <c r="I2999" t="s">
        <v>1689</v>
      </c>
      <c r="J2999">
        <v>82</v>
      </c>
      <c r="K2999">
        <v>93</v>
      </c>
      <c r="L2999">
        <v>98</v>
      </c>
      <c r="M2999">
        <v>630.90002441000001</v>
      </c>
      <c r="N2999" t="s">
        <v>87</v>
      </c>
      <c r="O2999" t="s">
        <v>86</v>
      </c>
      <c r="P2999">
        <v>131</v>
      </c>
      <c r="Q2999">
        <v>6</v>
      </c>
      <c r="R2999">
        <v>60</v>
      </c>
      <c r="S2999">
        <v>1166</v>
      </c>
      <c r="T2999">
        <v>-40</v>
      </c>
      <c r="U2999">
        <v>52</v>
      </c>
      <c r="V2999">
        <v>500</v>
      </c>
      <c r="W2999">
        <v>32</v>
      </c>
      <c r="X2999">
        <v>32</v>
      </c>
      <c r="Y2999">
        <v>1</v>
      </c>
      <c r="Z2999">
        <v>8</v>
      </c>
      <c r="AA2999">
        <v>28</v>
      </c>
      <c r="AB2999">
        <v>2</v>
      </c>
      <c r="AC2999">
        <v>3</v>
      </c>
      <c r="AD2999">
        <v>3.2920000599999999</v>
      </c>
      <c r="AE2999">
        <v>1</v>
      </c>
      <c r="AF2999">
        <v>38</v>
      </c>
      <c r="AG2999">
        <v>3.2820000600000001</v>
      </c>
      <c r="AH2999">
        <v>4</v>
      </c>
      <c r="AI2999">
        <v>17</v>
      </c>
      <c r="AJ2999">
        <v>1</v>
      </c>
      <c r="AK2999">
        <v>26</v>
      </c>
      <c r="AL2999">
        <v>53</v>
      </c>
      <c r="AM2999" t="s">
        <v>43</v>
      </c>
      <c r="AN2999" t="str">
        <f>HYPERLINK("https://www.google.com/maps?q=10.79254913,79.45354462","Open Location")</f>
        <v>Open Location</v>
      </c>
    </row>
    <row r="3000" spans="1:40" x14ac:dyDescent="0.3">
      <c r="A3000" s="1">
        <v>46210.652430555558</v>
      </c>
      <c r="B3000" t="s">
        <v>40</v>
      </c>
      <c r="C3000" t="s">
        <v>41</v>
      </c>
      <c r="D3000" s="1">
        <v>46210.655162037037</v>
      </c>
      <c r="E3000" t="s">
        <v>42</v>
      </c>
      <c r="F3000" t="s">
        <v>83</v>
      </c>
      <c r="G3000">
        <v>41</v>
      </c>
      <c r="H3000" t="s">
        <v>43</v>
      </c>
      <c r="I3000" t="s">
        <v>43</v>
      </c>
      <c r="J3000">
        <v>82</v>
      </c>
      <c r="K3000">
        <v>150</v>
      </c>
      <c r="L3000">
        <v>98</v>
      </c>
      <c r="M3000">
        <v>629</v>
      </c>
      <c r="N3000" t="s">
        <v>87</v>
      </c>
      <c r="O3000" t="s">
        <v>86</v>
      </c>
      <c r="P3000">
        <v>131</v>
      </c>
      <c r="Q3000">
        <v>6</v>
      </c>
      <c r="R3000">
        <v>49</v>
      </c>
      <c r="S3000">
        <v>1118</v>
      </c>
      <c r="T3000">
        <v>-40</v>
      </c>
      <c r="U3000">
        <v>53</v>
      </c>
      <c r="V3000">
        <v>680</v>
      </c>
      <c r="W3000">
        <v>32</v>
      </c>
      <c r="X3000">
        <v>32</v>
      </c>
      <c r="Y3000">
        <v>1</v>
      </c>
      <c r="Z3000">
        <v>8</v>
      </c>
      <c r="AA3000">
        <v>28</v>
      </c>
      <c r="AB3000">
        <v>2</v>
      </c>
      <c r="AC3000">
        <v>3</v>
      </c>
      <c r="AD3000">
        <v>3.2969999300000001</v>
      </c>
      <c r="AE3000">
        <v>1</v>
      </c>
      <c r="AF3000">
        <v>38</v>
      </c>
      <c r="AG3000">
        <v>3.28800011</v>
      </c>
      <c r="AH3000">
        <v>4</v>
      </c>
      <c r="AI3000">
        <v>17</v>
      </c>
      <c r="AJ3000">
        <v>1</v>
      </c>
      <c r="AK3000">
        <v>26</v>
      </c>
      <c r="AL3000">
        <v>53</v>
      </c>
      <c r="AM3000" t="s">
        <v>43</v>
      </c>
      <c r="AN3000" t="s">
        <v>43</v>
      </c>
    </row>
    <row r="3001" spans="1:40" x14ac:dyDescent="0.3">
      <c r="A3001" s="1">
        <v>46210.652314814812</v>
      </c>
      <c r="B3001" t="s">
        <v>40</v>
      </c>
      <c r="C3001" t="s">
        <v>41</v>
      </c>
      <c r="D3001" s="1">
        <v>46210.655081018522</v>
      </c>
      <c r="E3001" t="s">
        <v>42</v>
      </c>
      <c r="F3001" t="s">
        <v>83</v>
      </c>
      <c r="G3001">
        <v>40</v>
      </c>
      <c r="H3001">
        <v>33136</v>
      </c>
      <c r="I3001" t="s">
        <v>1690</v>
      </c>
      <c r="J3001">
        <v>82</v>
      </c>
      <c r="K3001">
        <v>88</v>
      </c>
      <c r="L3001">
        <v>98</v>
      </c>
      <c r="M3001">
        <v>631.40002441000001</v>
      </c>
      <c r="N3001" t="s">
        <v>87</v>
      </c>
      <c r="O3001" t="s">
        <v>86</v>
      </c>
      <c r="P3001">
        <v>131</v>
      </c>
      <c r="Q3001">
        <v>6</v>
      </c>
      <c r="R3001">
        <v>60</v>
      </c>
      <c r="S3001">
        <v>1123</v>
      </c>
      <c r="T3001">
        <v>-40</v>
      </c>
      <c r="U3001">
        <v>52</v>
      </c>
      <c r="V3001">
        <v>420</v>
      </c>
      <c r="W3001">
        <v>32</v>
      </c>
      <c r="X3001">
        <v>32</v>
      </c>
      <c r="Y3001">
        <v>1</v>
      </c>
      <c r="Z3001">
        <v>8</v>
      </c>
      <c r="AA3001">
        <v>28</v>
      </c>
      <c r="AB3001">
        <v>2</v>
      </c>
      <c r="AC3001">
        <v>3</v>
      </c>
      <c r="AD3001">
        <v>3.2929999799999998</v>
      </c>
      <c r="AE3001">
        <v>1</v>
      </c>
      <c r="AF3001">
        <v>38</v>
      </c>
      <c r="AG3001">
        <v>3.28299999</v>
      </c>
      <c r="AH3001">
        <v>4</v>
      </c>
      <c r="AI3001">
        <v>17</v>
      </c>
      <c r="AJ3001">
        <v>1</v>
      </c>
      <c r="AK3001">
        <v>26</v>
      </c>
      <c r="AL3001">
        <v>53</v>
      </c>
      <c r="AM3001" t="s">
        <v>43</v>
      </c>
      <c r="AN3001" t="str">
        <f>HYPERLINK("https://www.google.com/maps?q=10.79227924,79.45475769","Open Location")</f>
        <v>Open Location</v>
      </c>
    </row>
    <row r="3002" spans="1:40" x14ac:dyDescent="0.3">
      <c r="A3002" s="1">
        <v>46210.652199074073</v>
      </c>
      <c r="B3002" t="s">
        <v>40</v>
      </c>
      <c r="C3002" t="s">
        <v>41</v>
      </c>
      <c r="D3002" s="1">
        <v>46210.655185185184</v>
      </c>
      <c r="E3002" t="s">
        <v>42</v>
      </c>
      <c r="F3002" t="s">
        <v>83</v>
      </c>
      <c r="G3002">
        <v>41</v>
      </c>
      <c r="H3002">
        <v>33136</v>
      </c>
      <c r="I3002" t="s">
        <v>1691</v>
      </c>
      <c r="J3002">
        <v>82</v>
      </c>
      <c r="K3002">
        <v>88</v>
      </c>
      <c r="L3002">
        <v>98</v>
      </c>
      <c r="M3002">
        <v>630.90002441000001</v>
      </c>
      <c r="N3002" t="s">
        <v>87</v>
      </c>
      <c r="O3002" t="s">
        <v>86</v>
      </c>
      <c r="P3002">
        <v>131</v>
      </c>
      <c r="Q3002">
        <v>6</v>
      </c>
      <c r="R3002">
        <v>63</v>
      </c>
      <c r="S3002">
        <v>1136</v>
      </c>
      <c r="T3002">
        <v>-40</v>
      </c>
      <c r="U3002">
        <v>53</v>
      </c>
      <c r="V3002">
        <v>400</v>
      </c>
      <c r="W3002">
        <v>32</v>
      </c>
      <c r="X3002">
        <v>32</v>
      </c>
      <c r="Y3002">
        <v>1</v>
      </c>
      <c r="Z3002">
        <v>8</v>
      </c>
      <c r="AA3002">
        <v>28</v>
      </c>
      <c r="AB3002">
        <v>2</v>
      </c>
      <c r="AC3002">
        <v>3</v>
      </c>
      <c r="AD3002">
        <v>3.2929999799999998</v>
      </c>
      <c r="AE3002">
        <v>1</v>
      </c>
      <c r="AF3002">
        <v>42</v>
      </c>
      <c r="AG3002">
        <v>3.2820000600000001</v>
      </c>
      <c r="AH3002">
        <v>4</v>
      </c>
      <c r="AI3002">
        <v>17</v>
      </c>
      <c r="AJ3002">
        <v>1</v>
      </c>
      <c r="AK3002">
        <v>26</v>
      </c>
      <c r="AL3002">
        <v>53</v>
      </c>
      <c r="AM3002" t="s">
        <v>43</v>
      </c>
      <c r="AN3002" t="str">
        <f>HYPERLINK("https://www.google.com/maps?q=10.791996,79.45596313","Open Location")</f>
        <v>Open Location</v>
      </c>
    </row>
    <row r="3003" spans="1:40" x14ac:dyDescent="0.3">
      <c r="A3003" s="1">
        <v>46210.652083333334</v>
      </c>
      <c r="B3003" t="s">
        <v>40</v>
      </c>
      <c r="C3003" t="s">
        <v>41</v>
      </c>
      <c r="D3003" s="1">
        <v>46210.654791666668</v>
      </c>
      <c r="E3003" t="s">
        <v>42</v>
      </c>
      <c r="F3003" t="s">
        <v>83</v>
      </c>
      <c r="G3003">
        <v>41</v>
      </c>
      <c r="H3003">
        <v>33136</v>
      </c>
      <c r="I3003" t="s">
        <v>1692</v>
      </c>
      <c r="J3003">
        <v>82</v>
      </c>
      <c r="K3003">
        <v>86</v>
      </c>
      <c r="L3003">
        <v>98</v>
      </c>
      <c r="M3003">
        <v>630.79998779000005</v>
      </c>
      <c r="N3003" t="s">
        <v>87</v>
      </c>
      <c r="O3003" t="s">
        <v>86</v>
      </c>
      <c r="P3003">
        <v>131</v>
      </c>
      <c r="Q3003">
        <v>6</v>
      </c>
      <c r="R3003">
        <v>71</v>
      </c>
      <c r="S3003">
        <v>1142</v>
      </c>
      <c r="T3003">
        <v>-40</v>
      </c>
      <c r="U3003">
        <v>52</v>
      </c>
      <c r="V3003">
        <v>400</v>
      </c>
      <c r="W3003">
        <v>32</v>
      </c>
      <c r="X3003">
        <v>32</v>
      </c>
      <c r="Y3003">
        <v>1</v>
      </c>
      <c r="Z3003">
        <v>8</v>
      </c>
      <c r="AA3003">
        <v>28</v>
      </c>
      <c r="AB3003">
        <v>2</v>
      </c>
      <c r="AC3003">
        <v>3</v>
      </c>
      <c r="AD3003">
        <v>3.2929999799999998</v>
      </c>
      <c r="AE3003">
        <v>1</v>
      </c>
      <c r="AF3003">
        <v>38</v>
      </c>
      <c r="AG3003">
        <v>3.28299999</v>
      </c>
      <c r="AH3003">
        <v>4</v>
      </c>
      <c r="AI3003">
        <v>17</v>
      </c>
      <c r="AJ3003">
        <v>1</v>
      </c>
      <c r="AK3003">
        <v>26</v>
      </c>
      <c r="AL3003">
        <v>53</v>
      </c>
      <c r="AM3003" t="s">
        <v>43</v>
      </c>
      <c r="AN3003" t="str">
        <f>HYPERLINK("https://www.google.com/maps?q=10.79170418,79.45718384","Open Location")</f>
        <v>Open Location</v>
      </c>
    </row>
    <row r="3004" spans="1:40" x14ac:dyDescent="0.3">
      <c r="A3004" s="1">
        <v>46210.651967592596</v>
      </c>
      <c r="B3004" t="s">
        <v>40</v>
      </c>
      <c r="C3004" t="s">
        <v>41</v>
      </c>
      <c r="D3004" s="1">
        <v>46210.654594907406</v>
      </c>
      <c r="E3004" t="s">
        <v>42</v>
      </c>
      <c r="F3004" t="s">
        <v>83</v>
      </c>
      <c r="G3004">
        <v>41</v>
      </c>
      <c r="H3004">
        <v>33135</v>
      </c>
      <c r="I3004" t="s">
        <v>1693</v>
      </c>
      <c r="J3004">
        <v>82</v>
      </c>
      <c r="K3004">
        <v>44</v>
      </c>
      <c r="L3004">
        <v>98</v>
      </c>
      <c r="M3004">
        <v>633.5</v>
      </c>
      <c r="N3004" t="s">
        <v>87</v>
      </c>
      <c r="O3004" t="s">
        <v>86</v>
      </c>
      <c r="P3004">
        <v>131</v>
      </c>
      <c r="Q3004">
        <v>6</v>
      </c>
      <c r="R3004">
        <v>81</v>
      </c>
      <c r="S3004">
        <v>1149</v>
      </c>
      <c r="T3004">
        <v>-40</v>
      </c>
      <c r="U3004">
        <v>52</v>
      </c>
      <c r="V3004">
        <v>200</v>
      </c>
      <c r="W3004">
        <v>32</v>
      </c>
      <c r="X3004">
        <v>32</v>
      </c>
      <c r="Y3004">
        <v>1</v>
      </c>
      <c r="Z3004">
        <v>8</v>
      </c>
      <c r="AA3004">
        <v>28</v>
      </c>
      <c r="AB3004">
        <v>2</v>
      </c>
      <c r="AC3004">
        <v>3</v>
      </c>
      <c r="AD3004">
        <v>3.2909998900000001</v>
      </c>
      <c r="AE3004">
        <v>5</v>
      </c>
      <c r="AF3004">
        <v>38</v>
      </c>
      <c r="AG3004">
        <v>3.27999997</v>
      </c>
      <c r="AH3004">
        <v>4</v>
      </c>
      <c r="AI3004">
        <v>17</v>
      </c>
      <c r="AJ3004">
        <v>1</v>
      </c>
      <c r="AK3004">
        <v>26</v>
      </c>
      <c r="AL3004">
        <v>53</v>
      </c>
      <c r="AM3004" t="s">
        <v>43</v>
      </c>
      <c r="AN3004" t="str">
        <f>HYPERLINK("https://www.google.com/maps?q=10.79140377,79.45839691","Open Location")</f>
        <v>Open Location</v>
      </c>
    </row>
    <row r="3005" spans="1:40" x14ac:dyDescent="0.3">
      <c r="A3005" s="1">
        <v>46210.65185185185</v>
      </c>
      <c r="B3005" t="s">
        <v>40</v>
      </c>
      <c r="C3005" t="s">
        <v>41</v>
      </c>
      <c r="D3005" s="1">
        <v>46210.65452546296</v>
      </c>
      <c r="E3005" t="s">
        <v>42</v>
      </c>
      <c r="F3005" t="s">
        <v>83</v>
      </c>
      <c r="G3005">
        <v>42</v>
      </c>
      <c r="H3005">
        <v>33135</v>
      </c>
      <c r="I3005" t="s">
        <v>1694</v>
      </c>
      <c r="J3005">
        <v>82</v>
      </c>
      <c r="K3005">
        <v>88</v>
      </c>
      <c r="L3005">
        <v>98</v>
      </c>
      <c r="M3005">
        <v>631.09997558999999</v>
      </c>
      <c r="N3005" t="s">
        <v>87</v>
      </c>
      <c r="O3005" t="s">
        <v>86</v>
      </c>
      <c r="P3005">
        <v>131</v>
      </c>
      <c r="Q3005">
        <v>6</v>
      </c>
      <c r="R3005">
        <v>49</v>
      </c>
      <c r="S3005">
        <v>1184</v>
      </c>
      <c r="T3005">
        <v>-40</v>
      </c>
      <c r="U3005">
        <v>52</v>
      </c>
      <c r="V3005">
        <v>400</v>
      </c>
      <c r="W3005">
        <v>32</v>
      </c>
      <c r="X3005">
        <v>32</v>
      </c>
      <c r="Y3005">
        <v>1</v>
      </c>
      <c r="Z3005">
        <v>8</v>
      </c>
      <c r="AA3005">
        <v>28</v>
      </c>
      <c r="AB3005">
        <v>2</v>
      </c>
      <c r="AC3005">
        <v>3</v>
      </c>
      <c r="AD3005">
        <v>3.2980000999999999</v>
      </c>
      <c r="AE3005">
        <v>1</v>
      </c>
      <c r="AF3005">
        <v>38</v>
      </c>
      <c r="AG3005">
        <v>3.2899999599999998</v>
      </c>
      <c r="AH3005">
        <v>4</v>
      </c>
      <c r="AI3005">
        <v>17</v>
      </c>
      <c r="AJ3005">
        <v>1</v>
      </c>
      <c r="AK3005">
        <v>25</v>
      </c>
      <c r="AL3005">
        <v>53</v>
      </c>
      <c r="AM3005" t="s">
        <v>43</v>
      </c>
      <c r="AN3005" t="str">
        <f>HYPERLINK("https://www.google.com/maps?q=10.79109669,79.45965576","Open Location")</f>
        <v>Open Location</v>
      </c>
    </row>
    <row r="3006" spans="1:40" x14ac:dyDescent="0.3">
      <c r="A3006" s="1">
        <v>46210.651736111111</v>
      </c>
      <c r="B3006" t="s">
        <v>40</v>
      </c>
      <c r="C3006" t="s">
        <v>41</v>
      </c>
      <c r="D3006" s="1">
        <v>46210.654340277775</v>
      </c>
      <c r="E3006" t="s">
        <v>42</v>
      </c>
      <c r="F3006" t="s">
        <v>83</v>
      </c>
      <c r="G3006">
        <v>44</v>
      </c>
      <c r="H3006">
        <v>33135</v>
      </c>
      <c r="I3006" t="s">
        <v>43</v>
      </c>
      <c r="J3006">
        <v>82</v>
      </c>
      <c r="K3006">
        <v>111</v>
      </c>
      <c r="L3006">
        <v>98</v>
      </c>
      <c r="M3006">
        <v>630.70001220999995</v>
      </c>
      <c r="N3006" t="s">
        <v>87</v>
      </c>
      <c r="O3006" t="s">
        <v>86</v>
      </c>
      <c r="P3006">
        <v>131</v>
      </c>
      <c r="Q3006">
        <v>6</v>
      </c>
      <c r="R3006">
        <v>63</v>
      </c>
      <c r="S3006">
        <v>1214</v>
      </c>
      <c r="T3006">
        <v>-40</v>
      </c>
      <c r="U3006">
        <v>52</v>
      </c>
      <c r="V3006">
        <v>500</v>
      </c>
      <c r="W3006">
        <v>32</v>
      </c>
      <c r="X3006">
        <v>32</v>
      </c>
      <c r="Y3006">
        <v>1</v>
      </c>
      <c r="Z3006">
        <v>8</v>
      </c>
      <c r="AA3006">
        <v>28</v>
      </c>
      <c r="AB3006">
        <v>2</v>
      </c>
      <c r="AC3006">
        <v>3</v>
      </c>
      <c r="AD3006">
        <v>3.2939999100000001</v>
      </c>
      <c r="AE3006">
        <v>5</v>
      </c>
      <c r="AF3006">
        <v>38</v>
      </c>
      <c r="AG3006">
        <v>3.2839999199999999</v>
      </c>
      <c r="AH3006">
        <v>4</v>
      </c>
      <c r="AI3006">
        <v>17</v>
      </c>
      <c r="AJ3006">
        <v>1</v>
      </c>
      <c r="AK3006">
        <v>25</v>
      </c>
      <c r="AL3006">
        <v>53</v>
      </c>
      <c r="AM3006" t="s">
        <v>43</v>
      </c>
      <c r="AN3006" t="s">
        <v>43</v>
      </c>
    </row>
    <row r="3007" spans="1:40" x14ac:dyDescent="0.3">
      <c r="A3007" s="1">
        <v>46210.651620370372</v>
      </c>
      <c r="B3007" t="s">
        <v>40</v>
      </c>
      <c r="C3007" t="s">
        <v>41</v>
      </c>
      <c r="D3007" s="1">
        <v>46210.654548611114</v>
      </c>
      <c r="E3007" t="s">
        <v>42</v>
      </c>
      <c r="F3007" t="s">
        <v>83</v>
      </c>
      <c r="G3007">
        <v>43</v>
      </c>
      <c r="H3007">
        <v>33135</v>
      </c>
      <c r="I3007" t="s">
        <v>1695</v>
      </c>
      <c r="J3007">
        <v>82</v>
      </c>
      <c r="K3007">
        <v>97</v>
      </c>
      <c r="L3007">
        <v>98</v>
      </c>
      <c r="M3007">
        <v>630.5</v>
      </c>
      <c r="N3007" t="s">
        <v>87</v>
      </c>
      <c r="O3007" t="s">
        <v>86</v>
      </c>
      <c r="P3007">
        <v>131</v>
      </c>
      <c r="Q3007">
        <v>6</v>
      </c>
      <c r="R3007">
        <v>60</v>
      </c>
      <c r="S3007">
        <v>1201</v>
      </c>
      <c r="T3007">
        <v>-40</v>
      </c>
      <c r="U3007">
        <v>52</v>
      </c>
      <c r="V3007">
        <v>440</v>
      </c>
      <c r="W3007">
        <v>32</v>
      </c>
      <c r="X3007">
        <v>32</v>
      </c>
      <c r="Y3007">
        <v>1</v>
      </c>
      <c r="Z3007">
        <v>8</v>
      </c>
      <c r="AA3007">
        <v>28</v>
      </c>
      <c r="AB3007">
        <v>2</v>
      </c>
      <c r="AC3007">
        <v>3</v>
      </c>
      <c r="AD3007">
        <v>3.2939999100000001</v>
      </c>
      <c r="AE3007">
        <v>1</v>
      </c>
      <c r="AF3007">
        <v>38</v>
      </c>
      <c r="AG3007">
        <v>3.28600001</v>
      </c>
      <c r="AH3007">
        <v>4</v>
      </c>
      <c r="AI3007">
        <v>17</v>
      </c>
      <c r="AJ3007">
        <v>1</v>
      </c>
      <c r="AK3007">
        <v>26</v>
      </c>
      <c r="AL3007">
        <v>53</v>
      </c>
      <c r="AM3007" t="s">
        <v>43</v>
      </c>
      <c r="AN3007" t="str">
        <f>HYPERLINK("https://www.google.com/maps?q=10.79076958,79.4610672","Open Location")</f>
        <v>Open Location</v>
      </c>
    </row>
    <row r="3008" spans="1:40" x14ac:dyDescent="0.3">
      <c r="A3008" s="1">
        <v>46210.651504629626</v>
      </c>
      <c r="B3008" t="s">
        <v>40</v>
      </c>
      <c r="C3008" t="s">
        <v>41</v>
      </c>
      <c r="D3008" s="1">
        <v>46210.654178240744</v>
      </c>
      <c r="E3008" t="s">
        <v>42</v>
      </c>
      <c r="F3008" t="s">
        <v>83</v>
      </c>
      <c r="G3008">
        <v>43</v>
      </c>
      <c r="H3008">
        <v>33135</v>
      </c>
      <c r="I3008" t="s">
        <v>1696</v>
      </c>
      <c r="J3008">
        <v>82</v>
      </c>
      <c r="K3008">
        <v>88</v>
      </c>
      <c r="L3008">
        <v>98</v>
      </c>
      <c r="M3008">
        <v>631.29998779000005</v>
      </c>
      <c r="N3008" t="s">
        <v>87</v>
      </c>
      <c r="O3008" t="s">
        <v>86</v>
      </c>
      <c r="P3008">
        <v>131</v>
      </c>
      <c r="Q3008">
        <v>6</v>
      </c>
      <c r="R3008">
        <v>50</v>
      </c>
      <c r="S3008">
        <v>1200</v>
      </c>
      <c r="T3008">
        <v>-40</v>
      </c>
      <c r="U3008">
        <v>52</v>
      </c>
      <c r="V3008">
        <v>400</v>
      </c>
      <c r="W3008">
        <v>32</v>
      </c>
      <c r="X3008">
        <v>32</v>
      </c>
      <c r="Y3008">
        <v>1</v>
      </c>
      <c r="Z3008">
        <v>8</v>
      </c>
      <c r="AA3008">
        <v>28</v>
      </c>
      <c r="AB3008">
        <v>2</v>
      </c>
      <c r="AC3008">
        <v>3</v>
      </c>
      <c r="AD3008">
        <v>3.2969999300000001</v>
      </c>
      <c r="AE3008">
        <v>1</v>
      </c>
      <c r="AF3008">
        <v>38</v>
      </c>
      <c r="AG3008">
        <v>3.28900003</v>
      </c>
      <c r="AH3008">
        <v>4</v>
      </c>
      <c r="AI3008">
        <v>17</v>
      </c>
      <c r="AJ3008">
        <v>1</v>
      </c>
      <c r="AK3008">
        <v>26</v>
      </c>
      <c r="AL3008">
        <v>53</v>
      </c>
      <c r="AM3008" t="s">
        <v>43</v>
      </c>
      <c r="AN3008" t="str">
        <f>HYPERLINK("https://www.google.com/maps?q=10.79049015,79.46235657","Open Location")</f>
        <v>Open Location</v>
      </c>
    </row>
    <row r="3009" spans="1:40" x14ac:dyDescent="0.3">
      <c r="A3009" s="1">
        <v>46210.651388888888</v>
      </c>
      <c r="B3009" t="s">
        <v>40</v>
      </c>
      <c r="C3009" t="s">
        <v>41</v>
      </c>
      <c r="D3009" s="1">
        <v>46210.654097222221</v>
      </c>
      <c r="E3009" t="s">
        <v>42</v>
      </c>
      <c r="F3009" t="s">
        <v>83</v>
      </c>
      <c r="G3009">
        <v>43</v>
      </c>
      <c r="H3009" t="s">
        <v>43</v>
      </c>
      <c r="I3009" t="s">
        <v>1697</v>
      </c>
      <c r="J3009">
        <v>82</v>
      </c>
      <c r="K3009">
        <v>89</v>
      </c>
      <c r="L3009">
        <v>98</v>
      </c>
      <c r="M3009">
        <v>631.20001220999995</v>
      </c>
      <c r="N3009" t="s">
        <v>87</v>
      </c>
      <c r="O3009" t="s">
        <v>86</v>
      </c>
      <c r="P3009">
        <v>131</v>
      </c>
      <c r="Q3009">
        <v>6</v>
      </c>
      <c r="R3009">
        <v>47</v>
      </c>
      <c r="S3009">
        <v>1197</v>
      </c>
      <c r="T3009">
        <v>-40</v>
      </c>
      <c r="U3009">
        <v>52</v>
      </c>
      <c r="V3009">
        <v>400</v>
      </c>
      <c r="W3009">
        <v>32</v>
      </c>
      <c r="X3009">
        <v>32</v>
      </c>
      <c r="Y3009">
        <v>1</v>
      </c>
      <c r="Z3009">
        <v>8</v>
      </c>
      <c r="AA3009">
        <v>28</v>
      </c>
      <c r="AB3009">
        <v>2</v>
      </c>
      <c r="AC3009">
        <v>3</v>
      </c>
      <c r="AD3009">
        <v>3.2980000999999999</v>
      </c>
      <c r="AE3009">
        <v>1</v>
      </c>
      <c r="AF3009">
        <v>42</v>
      </c>
      <c r="AG3009">
        <v>3.2899999599999998</v>
      </c>
      <c r="AH3009">
        <v>4</v>
      </c>
      <c r="AI3009">
        <v>17</v>
      </c>
      <c r="AJ3009">
        <v>1</v>
      </c>
      <c r="AK3009">
        <v>25</v>
      </c>
      <c r="AL3009">
        <v>53</v>
      </c>
      <c r="AM3009" t="s">
        <v>43</v>
      </c>
      <c r="AN3009" t="str">
        <f>HYPERLINK("https://www.google.com/maps?q=10.79022694,79.46366119","Open Location")</f>
        <v>Open Location</v>
      </c>
    </row>
    <row r="3010" spans="1:40" x14ac:dyDescent="0.3">
      <c r="A3010" s="1">
        <v>46210.651273148149</v>
      </c>
      <c r="B3010" t="s">
        <v>40</v>
      </c>
      <c r="C3010" t="s">
        <v>41</v>
      </c>
      <c r="D3010" s="1">
        <v>46210.654328703706</v>
      </c>
      <c r="E3010" t="s">
        <v>42</v>
      </c>
      <c r="F3010" t="s">
        <v>83</v>
      </c>
      <c r="G3010">
        <v>43</v>
      </c>
      <c r="H3010">
        <v>33135</v>
      </c>
      <c r="I3010" t="s">
        <v>1698</v>
      </c>
      <c r="J3010">
        <v>82</v>
      </c>
      <c r="K3010">
        <v>115</v>
      </c>
      <c r="L3010">
        <v>98</v>
      </c>
      <c r="M3010">
        <v>629.09997558999999</v>
      </c>
      <c r="N3010" t="s">
        <v>87</v>
      </c>
      <c r="O3010" t="s">
        <v>86</v>
      </c>
      <c r="P3010">
        <v>131</v>
      </c>
      <c r="Q3010">
        <v>6</v>
      </c>
      <c r="R3010">
        <v>50</v>
      </c>
      <c r="S3010">
        <v>1198</v>
      </c>
      <c r="T3010">
        <v>-40</v>
      </c>
      <c r="U3010">
        <v>52</v>
      </c>
      <c r="V3010">
        <v>500</v>
      </c>
      <c r="W3010">
        <v>32</v>
      </c>
      <c r="X3010">
        <v>32</v>
      </c>
      <c r="Y3010">
        <v>1</v>
      </c>
      <c r="Z3010">
        <v>8</v>
      </c>
      <c r="AA3010">
        <v>28</v>
      </c>
      <c r="AB3010">
        <v>2</v>
      </c>
      <c r="AC3010">
        <v>3</v>
      </c>
      <c r="AD3010">
        <v>3.2959999999999998</v>
      </c>
      <c r="AE3010">
        <v>1</v>
      </c>
      <c r="AF3010">
        <v>38</v>
      </c>
      <c r="AG3010">
        <v>3.2869999399999998</v>
      </c>
      <c r="AH3010">
        <v>4</v>
      </c>
      <c r="AI3010">
        <v>17</v>
      </c>
      <c r="AJ3010">
        <v>1</v>
      </c>
      <c r="AK3010">
        <v>25</v>
      </c>
      <c r="AL3010">
        <v>53</v>
      </c>
      <c r="AM3010" t="s">
        <v>43</v>
      </c>
      <c r="AN3010" t="str">
        <f>HYPERLINK("https://www.google.com/maps?q=10.78996468,79.46496582","Open Location")</f>
        <v>Open Location</v>
      </c>
    </row>
    <row r="3011" spans="1:40" x14ac:dyDescent="0.3">
      <c r="A3011" s="1">
        <v>46210.65115740741</v>
      </c>
      <c r="B3011" t="s">
        <v>40</v>
      </c>
      <c r="C3011" t="s">
        <v>41</v>
      </c>
      <c r="D3011" s="1">
        <v>46210.65421296296</v>
      </c>
      <c r="E3011" t="s">
        <v>42</v>
      </c>
      <c r="F3011" t="s">
        <v>83</v>
      </c>
      <c r="G3011">
        <v>43</v>
      </c>
      <c r="H3011">
        <v>33135</v>
      </c>
      <c r="I3011" t="s">
        <v>43</v>
      </c>
      <c r="J3011">
        <v>82</v>
      </c>
      <c r="K3011">
        <v>120</v>
      </c>
      <c r="L3011">
        <v>98</v>
      </c>
      <c r="M3011">
        <v>630.29998779000005</v>
      </c>
      <c r="N3011" t="s">
        <v>87</v>
      </c>
      <c r="O3011" t="s">
        <v>86</v>
      </c>
      <c r="P3011">
        <v>131</v>
      </c>
      <c r="Q3011">
        <v>6</v>
      </c>
      <c r="R3011">
        <v>78</v>
      </c>
      <c r="S3011">
        <v>1179</v>
      </c>
      <c r="T3011">
        <v>-40</v>
      </c>
      <c r="U3011">
        <v>53</v>
      </c>
      <c r="V3011">
        <v>560</v>
      </c>
      <c r="W3011">
        <v>33</v>
      </c>
      <c r="X3011">
        <v>33</v>
      </c>
      <c r="Y3011">
        <v>1</v>
      </c>
      <c r="Z3011">
        <v>8</v>
      </c>
      <c r="AA3011">
        <v>28</v>
      </c>
      <c r="AB3011">
        <v>2</v>
      </c>
      <c r="AC3011">
        <v>3</v>
      </c>
      <c r="AD3011">
        <v>3.2920000599999999</v>
      </c>
      <c r="AE3011">
        <v>1</v>
      </c>
      <c r="AF3011">
        <v>38</v>
      </c>
      <c r="AG3011">
        <v>3.2820000600000001</v>
      </c>
      <c r="AH3011">
        <v>4</v>
      </c>
      <c r="AI3011">
        <v>17</v>
      </c>
      <c r="AJ3011">
        <v>1</v>
      </c>
      <c r="AK3011">
        <v>26</v>
      </c>
      <c r="AL3011">
        <v>53</v>
      </c>
      <c r="AM3011" t="s">
        <v>43</v>
      </c>
      <c r="AN3011" t="s">
        <v>43</v>
      </c>
    </row>
    <row r="3012" spans="1:40" x14ac:dyDescent="0.3">
      <c r="A3012" s="1">
        <v>46210.651041666664</v>
      </c>
      <c r="B3012" t="s">
        <v>40</v>
      </c>
      <c r="C3012" t="s">
        <v>41</v>
      </c>
      <c r="D3012" s="1">
        <v>46210.653715277775</v>
      </c>
      <c r="E3012" t="s">
        <v>42</v>
      </c>
      <c r="F3012" t="s">
        <v>83</v>
      </c>
      <c r="G3012">
        <v>42</v>
      </c>
      <c r="H3012">
        <v>33135</v>
      </c>
      <c r="I3012" t="s">
        <v>1699</v>
      </c>
      <c r="J3012">
        <v>82</v>
      </c>
      <c r="K3012">
        <v>105</v>
      </c>
      <c r="L3012">
        <v>98</v>
      </c>
      <c r="M3012">
        <v>630.20001220999995</v>
      </c>
      <c r="N3012" t="s">
        <v>87</v>
      </c>
      <c r="O3012" t="s">
        <v>86</v>
      </c>
      <c r="P3012">
        <v>131</v>
      </c>
      <c r="Q3012">
        <v>6</v>
      </c>
      <c r="R3012">
        <v>53</v>
      </c>
      <c r="S3012">
        <v>1176</v>
      </c>
      <c r="T3012">
        <v>-40</v>
      </c>
      <c r="U3012">
        <v>52</v>
      </c>
      <c r="V3012">
        <v>520</v>
      </c>
      <c r="W3012">
        <v>33</v>
      </c>
      <c r="X3012">
        <v>33</v>
      </c>
      <c r="Y3012">
        <v>1</v>
      </c>
      <c r="Z3012">
        <v>8</v>
      </c>
      <c r="AA3012">
        <v>28</v>
      </c>
      <c r="AB3012">
        <v>2</v>
      </c>
      <c r="AC3012">
        <v>3</v>
      </c>
      <c r="AD3012">
        <v>3.2950000799999999</v>
      </c>
      <c r="AE3012">
        <v>1</v>
      </c>
      <c r="AF3012">
        <v>42</v>
      </c>
      <c r="AG3012">
        <v>3.28600001</v>
      </c>
      <c r="AH3012">
        <v>4</v>
      </c>
      <c r="AI3012">
        <v>17</v>
      </c>
      <c r="AJ3012">
        <v>1</v>
      </c>
      <c r="AK3012">
        <v>26</v>
      </c>
      <c r="AL3012">
        <v>53</v>
      </c>
      <c r="AM3012" t="s">
        <v>43</v>
      </c>
      <c r="AN3012" t="str">
        <f>HYPERLINK("https://www.google.com/maps?q=10.78968906,79.46623993","Open Location")</f>
        <v>Open Location</v>
      </c>
    </row>
    <row r="3013" spans="1:40" x14ac:dyDescent="0.3">
      <c r="A3013" s="1">
        <v>46210.650925925926</v>
      </c>
      <c r="B3013" t="s">
        <v>40</v>
      </c>
      <c r="C3013" t="s">
        <v>41</v>
      </c>
      <c r="D3013" s="1">
        <v>46210.653668981482</v>
      </c>
      <c r="E3013" t="s">
        <v>42</v>
      </c>
      <c r="F3013" t="s">
        <v>83</v>
      </c>
      <c r="G3013">
        <v>42</v>
      </c>
      <c r="H3013">
        <v>33134</v>
      </c>
      <c r="I3013" t="s">
        <v>1700</v>
      </c>
      <c r="J3013">
        <v>83</v>
      </c>
      <c r="K3013">
        <v>114</v>
      </c>
      <c r="L3013">
        <v>98</v>
      </c>
      <c r="M3013">
        <v>630.20001220999995</v>
      </c>
      <c r="N3013" t="s">
        <v>87</v>
      </c>
      <c r="O3013" t="s">
        <v>86</v>
      </c>
      <c r="P3013">
        <v>131</v>
      </c>
      <c r="Q3013">
        <v>6</v>
      </c>
      <c r="R3013">
        <v>48</v>
      </c>
      <c r="S3013">
        <v>1159</v>
      </c>
      <c r="T3013">
        <v>-40</v>
      </c>
      <c r="U3013">
        <v>52</v>
      </c>
      <c r="V3013">
        <v>528</v>
      </c>
      <c r="W3013">
        <v>33</v>
      </c>
      <c r="X3013">
        <v>33</v>
      </c>
      <c r="Y3013">
        <v>1</v>
      </c>
      <c r="Z3013">
        <v>8</v>
      </c>
      <c r="AA3013">
        <v>28</v>
      </c>
      <c r="AB3013">
        <v>2</v>
      </c>
      <c r="AC3013">
        <v>3</v>
      </c>
      <c r="AD3013">
        <v>3.2969999300000001</v>
      </c>
      <c r="AE3013">
        <v>5</v>
      </c>
      <c r="AF3013">
        <v>12</v>
      </c>
      <c r="AG3013">
        <v>3.28800011</v>
      </c>
      <c r="AH3013">
        <v>4</v>
      </c>
      <c r="AI3013">
        <v>17</v>
      </c>
      <c r="AJ3013">
        <v>1</v>
      </c>
      <c r="AK3013">
        <v>26</v>
      </c>
      <c r="AL3013">
        <v>53</v>
      </c>
      <c r="AM3013" t="s">
        <v>43</v>
      </c>
      <c r="AN3013" t="str">
        <f>HYPERLINK("https://www.google.com/maps?q=10.78940678,79.46751404","Open Location")</f>
        <v>Open Location</v>
      </c>
    </row>
    <row r="3014" spans="1:40" x14ac:dyDescent="0.3">
      <c r="A3014" s="1">
        <v>46210.650810185187</v>
      </c>
      <c r="B3014" t="s">
        <v>40</v>
      </c>
      <c r="C3014" t="s">
        <v>41</v>
      </c>
      <c r="D3014" s="1">
        <v>46210.653680555559</v>
      </c>
      <c r="E3014" t="s">
        <v>42</v>
      </c>
      <c r="F3014" t="s">
        <v>83</v>
      </c>
      <c r="G3014">
        <v>41</v>
      </c>
      <c r="H3014">
        <v>33134</v>
      </c>
      <c r="I3014" t="s">
        <v>1701</v>
      </c>
      <c r="J3014">
        <v>83</v>
      </c>
      <c r="K3014">
        <v>29</v>
      </c>
      <c r="L3014">
        <v>98</v>
      </c>
      <c r="M3014">
        <v>633</v>
      </c>
      <c r="N3014" t="s">
        <v>87</v>
      </c>
      <c r="O3014" t="s">
        <v>86</v>
      </c>
      <c r="P3014">
        <v>131</v>
      </c>
      <c r="Q3014">
        <v>6</v>
      </c>
      <c r="R3014">
        <v>50</v>
      </c>
      <c r="S3014">
        <v>1159</v>
      </c>
      <c r="T3014">
        <v>-40</v>
      </c>
      <c r="U3014">
        <v>51</v>
      </c>
      <c r="V3014">
        <v>100</v>
      </c>
      <c r="W3014">
        <v>33</v>
      </c>
      <c r="X3014">
        <v>33</v>
      </c>
      <c r="Y3014">
        <v>1</v>
      </c>
      <c r="Z3014">
        <v>8</v>
      </c>
      <c r="AA3014">
        <v>28</v>
      </c>
      <c r="AB3014">
        <v>2</v>
      </c>
      <c r="AC3014">
        <v>3</v>
      </c>
      <c r="AD3014">
        <v>3.2920000599999999</v>
      </c>
      <c r="AE3014">
        <v>1</v>
      </c>
      <c r="AF3014">
        <v>38</v>
      </c>
      <c r="AG3014">
        <v>3.28299999</v>
      </c>
      <c r="AH3014">
        <v>4</v>
      </c>
      <c r="AI3014">
        <v>17</v>
      </c>
      <c r="AJ3014">
        <v>1</v>
      </c>
      <c r="AK3014">
        <v>26</v>
      </c>
      <c r="AL3014">
        <v>53</v>
      </c>
      <c r="AM3014" t="s">
        <v>43</v>
      </c>
      <c r="AN3014" t="str">
        <f>HYPERLINK("https://www.google.com/maps?q=10.78914738,79.46876526","Open Location")</f>
        <v>Open Location</v>
      </c>
    </row>
    <row r="3015" spans="1:40" x14ac:dyDescent="0.3">
      <c r="A3015" s="1">
        <v>46210.650694444441</v>
      </c>
      <c r="B3015" t="s">
        <v>40</v>
      </c>
      <c r="C3015" t="s">
        <v>41</v>
      </c>
      <c r="D3015" s="1">
        <v>46210.653807870367</v>
      </c>
      <c r="E3015" t="s">
        <v>42</v>
      </c>
      <c r="F3015" t="s">
        <v>83</v>
      </c>
      <c r="G3015">
        <v>41</v>
      </c>
      <c r="H3015" t="s">
        <v>43</v>
      </c>
      <c r="I3015" t="s">
        <v>1702</v>
      </c>
      <c r="J3015">
        <v>83</v>
      </c>
      <c r="K3015">
        <v>170</v>
      </c>
      <c r="L3015">
        <v>98</v>
      </c>
      <c r="M3015">
        <v>628.40002441000001</v>
      </c>
      <c r="N3015" t="s">
        <v>87</v>
      </c>
      <c r="O3015" t="s">
        <v>86</v>
      </c>
      <c r="P3015">
        <v>131</v>
      </c>
      <c r="Q3015">
        <v>6</v>
      </c>
      <c r="R3015">
        <v>109</v>
      </c>
      <c r="S3015">
        <v>1130</v>
      </c>
      <c r="T3015">
        <v>-40</v>
      </c>
      <c r="U3015">
        <v>54</v>
      </c>
      <c r="V3015">
        <v>920</v>
      </c>
      <c r="W3015">
        <v>33</v>
      </c>
      <c r="X3015">
        <v>33</v>
      </c>
      <c r="Y3015">
        <v>1</v>
      </c>
      <c r="Z3015">
        <v>8</v>
      </c>
      <c r="AA3015">
        <v>28</v>
      </c>
      <c r="AB3015">
        <v>2</v>
      </c>
      <c r="AC3015">
        <v>3</v>
      </c>
      <c r="AD3015">
        <v>3.28500009</v>
      </c>
      <c r="AE3015">
        <v>1</v>
      </c>
      <c r="AF3015">
        <v>42</v>
      </c>
      <c r="AG3015">
        <v>3.2720000699999998</v>
      </c>
      <c r="AH3015">
        <v>4</v>
      </c>
      <c r="AI3015">
        <v>17</v>
      </c>
      <c r="AJ3015">
        <v>1</v>
      </c>
      <c r="AK3015">
        <v>25</v>
      </c>
      <c r="AL3015">
        <v>53</v>
      </c>
      <c r="AM3015" t="s">
        <v>43</v>
      </c>
      <c r="AN3015" t="str">
        <f>HYPERLINK("https://www.google.com/maps?q=10.78892422,79.47001648","Open Location")</f>
        <v>Open Location</v>
      </c>
    </row>
    <row r="3016" spans="1:40" x14ac:dyDescent="0.3">
      <c r="A3016" s="1">
        <v>46210.650578703702</v>
      </c>
      <c r="B3016" t="s">
        <v>40</v>
      </c>
      <c r="C3016" t="s">
        <v>41</v>
      </c>
      <c r="D3016" s="1">
        <v>46210.653240740743</v>
      </c>
      <c r="E3016" t="s">
        <v>42</v>
      </c>
      <c r="F3016" t="s">
        <v>83</v>
      </c>
      <c r="G3016">
        <v>40</v>
      </c>
      <c r="H3016" t="s">
        <v>43</v>
      </c>
      <c r="I3016" t="s">
        <v>1703</v>
      </c>
      <c r="J3016">
        <v>83</v>
      </c>
      <c r="K3016">
        <v>-46</v>
      </c>
      <c r="L3016">
        <v>98</v>
      </c>
      <c r="M3016">
        <v>636.90002441000001</v>
      </c>
      <c r="N3016" t="s">
        <v>87</v>
      </c>
      <c r="O3016" t="s">
        <v>86</v>
      </c>
      <c r="P3016">
        <v>131</v>
      </c>
      <c r="Q3016">
        <v>6</v>
      </c>
      <c r="R3016">
        <v>-36</v>
      </c>
      <c r="S3016">
        <v>1156</v>
      </c>
      <c r="T3016">
        <v>-40</v>
      </c>
      <c r="U3016">
        <v>50</v>
      </c>
      <c r="V3016">
        <v>-300</v>
      </c>
      <c r="W3016">
        <v>33</v>
      </c>
      <c r="X3016">
        <v>33</v>
      </c>
      <c r="Y3016">
        <v>1</v>
      </c>
      <c r="Z3016">
        <v>8</v>
      </c>
      <c r="AA3016">
        <v>28</v>
      </c>
      <c r="AB3016">
        <v>2</v>
      </c>
      <c r="AC3016">
        <v>3</v>
      </c>
      <c r="AD3016">
        <v>3.3239998800000001</v>
      </c>
      <c r="AE3016">
        <v>1</v>
      </c>
      <c r="AF3016">
        <v>26</v>
      </c>
      <c r="AG3016">
        <v>3.3210001</v>
      </c>
      <c r="AH3016">
        <v>2</v>
      </c>
      <c r="AI3016">
        <v>6</v>
      </c>
      <c r="AJ3016">
        <v>1</v>
      </c>
      <c r="AK3016">
        <v>25</v>
      </c>
      <c r="AL3016">
        <v>53</v>
      </c>
      <c r="AM3016" t="s">
        <v>43</v>
      </c>
      <c r="AN3016" t="str">
        <f>HYPERLINK("https://www.google.com/maps?q=10.78872681,79.47132874","Open Location")</f>
        <v>Open Location</v>
      </c>
    </row>
    <row r="3017" spans="1:40" x14ac:dyDescent="0.3">
      <c r="A3017" s="1">
        <v>46210.650462962964</v>
      </c>
      <c r="B3017" t="s">
        <v>40</v>
      </c>
      <c r="C3017" t="s">
        <v>41</v>
      </c>
      <c r="D3017" s="1">
        <v>46210.653240740743</v>
      </c>
      <c r="E3017" t="s">
        <v>42</v>
      </c>
      <c r="F3017" t="s">
        <v>83</v>
      </c>
      <c r="G3017">
        <v>43</v>
      </c>
      <c r="H3017">
        <v>33134</v>
      </c>
      <c r="I3017" t="s">
        <v>43</v>
      </c>
      <c r="J3017">
        <v>83</v>
      </c>
      <c r="K3017">
        <v>67</v>
      </c>
      <c r="L3017">
        <v>98</v>
      </c>
      <c r="M3017">
        <v>632.5</v>
      </c>
      <c r="N3017" t="s">
        <v>87</v>
      </c>
      <c r="O3017" t="s">
        <v>86</v>
      </c>
      <c r="P3017">
        <v>131</v>
      </c>
      <c r="Q3017">
        <v>6</v>
      </c>
      <c r="R3017">
        <v>50</v>
      </c>
      <c r="S3017">
        <v>1197</v>
      </c>
      <c r="T3017">
        <v>-40</v>
      </c>
      <c r="U3017">
        <v>51</v>
      </c>
      <c r="V3017">
        <v>300</v>
      </c>
      <c r="W3017">
        <v>33</v>
      </c>
      <c r="X3017">
        <v>33</v>
      </c>
      <c r="Y3017">
        <v>1</v>
      </c>
      <c r="Z3017">
        <v>8</v>
      </c>
      <c r="AA3017">
        <v>28</v>
      </c>
      <c r="AB3017">
        <v>2</v>
      </c>
      <c r="AC3017">
        <v>3</v>
      </c>
      <c r="AD3017">
        <v>3.2980000999999999</v>
      </c>
      <c r="AE3017">
        <v>1</v>
      </c>
      <c r="AF3017">
        <v>38</v>
      </c>
      <c r="AG3017">
        <v>3.2909998900000001</v>
      </c>
      <c r="AH3017">
        <v>4</v>
      </c>
      <c r="AI3017">
        <v>17</v>
      </c>
      <c r="AJ3017">
        <v>1</v>
      </c>
      <c r="AK3017">
        <v>26</v>
      </c>
      <c r="AL3017">
        <v>53</v>
      </c>
      <c r="AM3017" t="s">
        <v>43</v>
      </c>
      <c r="AN3017" t="s">
        <v>43</v>
      </c>
    </row>
    <row r="3018" spans="1:40" x14ac:dyDescent="0.3">
      <c r="A3018" s="1">
        <v>46210.650347222225</v>
      </c>
      <c r="B3018" t="s">
        <v>40</v>
      </c>
      <c r="C3018" t="s">
        <v>41</v>
      </c>
      <c r="D3018" s="1">
        <v>46210.653078703705</v>
      </c>
      <c r="E3018" t="s">
        <v>42</v>
      </c>
      <c r="F3018" t="s">
        <v>83</v>
      </c>
      <c r="G3018">
        <v>44</v>
      </c>
      <c r="H3018">
        <v>33134</v>
      </c>
      <c r="I3018" t="s">
        <v>1704</v>
      </c>
      <c r="J3018">
        <v>83</v>
      </c>
      <c r="K3018">
        <v>77</v>
      </c>
      <c r="L3018">
        <v>98</v>
      </c>
      <c r="M3018">
        <v>632</v>
      </c>
      <c r="N3018" t="s">
        <v>87</v>
      </c>
      <c r="O3018" t="s">
        <v>86</v>
      </c>
      <c r="P3018">
        <v>131</v>
      </c>
      <c r="Q3018">
        <v>6</v>
      </c>
      <c r="R3018">
        <v>53</v>
      </c>
      <c r="S3018">
        <v>1213</v>
      </c>
      <c r="T3018">
        <v>-40</v>
      </c>
      <c r="U3018">
        <v>51</v>
      </c>
      <c r="V3018">
        <v>340</v>
      </c>
      <c r="W3018">
        <v>33</v>
      </c>
      <c r="X3018">
        <v>33</v>
      </c>
      <c r="Y3018">
        <v>1</v>
      </c>
      <c r="Z3018">
        <v>8</v>
      </c>
      <c r="AA3018">
        <v>28</v>
      </c>
      <c r="AB3018">
        <v>2</v>
      </c>
      <c r="AC3018">
        <v>3</v>
      </c>
      <c r="AD3018">
        <v>3.2969999300000001</v>
      </c>
      <c r="AE3018">
        <v>1</v>
      </c>
      <c r="AF3018">
        <v>38</v>
      </c>
      <c r="AG3018">
        <v>3.28900003</v>
      </c>
      <c r="AH3018">
        <v>4</v>
      </c>
      <c r="AI3018">
        <v>17</v>
      </c>
      <c r="AJ3018">
        <v>1</v>
      </c>
      <c r="AK3018">
        <v>26</v>
      </c>
      <c r="AL3018">
        <v>53</v>
      </c>
      <c r="AM3018" t="s">
        <v>43</v>
      </c>
      <c r="AN3018" t="str">
        <f>HYPERLINK("https://www.google.com/maps?q=10.78853416,79.47262573","Open Location")</f>
        <v>Open Location</v>
      </c>
    </row>
    <row r="3019" spans="1:40" x14ac:dyDescent="0.3">
      <c r="A3019" s="1">
        <v>46210.650231481479</v>
      </c>
      <c r="B3019" t="s">
        <v>40</v>
      </c>
      <c r="C3019" t="s">
        <v>41</v>
      </c>
      <c r="D3019" s="1">
        <v>46210.653032407405</v>
      </c>
      <c r="E3019" t="s">
        <v>42</v>
      </c>
      <c r="F3019" t="s">
        <v>83</v>
      </c>
      <c r="G3019">
        <v>44</v>
      </c>
      <c r="H3019">
        <v>33134</v>
      </c>
      <c r="I3019" t="s">
        <v>1705</v>
      </c>
      <c r="J3019">
        <v>83</v>
      </c>
      <c r="K3019">
        <v>82</v>
      </c>
      <c r="L3019">
        <v>98</v>
      </c>
      <c r="M3019">
        <v>631.40002441000001</v>
      </c>
      <c r="N3019" t="s">
        <v>87</v>
      </c>
      <c r="O3019" t="s">
        <v>86</v>
      </c>
      <c r="P3019">
        <v>131</v>
      </c>
      <c r="Q3019">
        <v>6</v>
      </c>
      <c r="R3019">
        <v>46</v>
      </c>
      <c r="S3019">
        <v>1231</v>
      </c>
      <c r="T3019">
        <v>-40</v>
      </c>
      <c r="U3019">
        <v>51</v>
      </c>
      <c r="V3019">
        <v>360</v>
      </c>
      <c r="W3019">
        <v>33</v>
      </c>
      <c r="X3019">
        <v>33</v>
      </c>
      <c r="Y3019">
        <v>1</v>
      </c>
      <c r="Z3019">
        <v>8</v>
      </c>
      <c r="AA3019">
        <v>28</v>
      </c>
      <c r="AB3019">
        <v>2</v>
      </c>
      <c r="AC3019">
        <v>3</v>
      </c>
      <c r="AD3019">
        <v>3.2990000199999998</v>
      </c>
      <c r="AE3019">
        <v>1</v>
      </c>
      <c r="AF3019">
        <v>41</v>
      </c>
      <c r="AG3019">
        <v>3.2909998900000001</v>
      </c>
      <c r="AH3019">
        <v>4</v>
      </c>
      <c r="AI3019">
        <v>17</v>
      </c>
      <c r="AJ3019">
        <v>1</v>
      </c>
      <c r="AK3019">
        <v>25</v>
      </c>
      <c r="AL3019">
        <v>53</v>
      </c>
      <c r="AM3019" t="s">
        <v>43</v>
      </c>
      <c r="AN3019" t="str">
        <f>HYPERLINK("https://www.google.com/maps?q=10.78833485,79.47394562","Open Location")</f>
        <v>Open Location</v>
      </c>
    </row>
    <row r="3020" spans="1:40" x14ac:dyDescent="0.3">
      <c r="A3020" s="1">
        <v>46210.65011574074</v>
      </c>
      <c r="B3020" t="s">
        <v>40</v>
      </c>
      <c r="C3020" t="s">
        <v>41</v>
      </c>
      <c r="D3020" s="1">
        <v>46210.653032407405</v>
      </c>
      <c r="E3020" t="s">
        <v>42</v>
      </c>
      <c r="F3020" t="s">
        <v>83</v>
      </c>
      <c r="G3020">
        <v>43</v>
      </c>
      <c r="H3020">
        <v>33134</v>
      </c>
      <c r="I3020" t="s">
        <v>1706</v>
      </c>
      <c r="J3020">
        <v>83</v>
      </c>
      <c r="K3020">
        <v>78</v>
      </c>
      <c r="L3020">
        <v>98</v>
      </c>
      <c r="M3020">
        <v>631.40002441000001</v>
      </c>
      <c r="N3020" t="s">
        <v>87</v>
      </c>
      <c r="O3020" t="s">
        <v>86</v>
      </c>
      <c r="P3020">
        <v>131</v>
      </c>
      <c r="Q3020">
        <v>6</v>
      </c>
      <c r="R3020">
        <v>45</v>
      </c>
      <c r="S3020">
        <v>1176</v>
      </c>
      <c r="T3020">
        <v>-40</v>
      </c>
      <c r="U3020">
        <v>51</v>
      </c>
      <c r="V3020">
        <v>360</v>
      </c>
      <c r="W3020">
        <v>33</v>
      </c>
      <c r="X3020">
        <v>33</v>
      </c>
      <c r="Y3020">
        <v>1</v>
      </c>
      <c r="Z3020">
        <v>8</v>
      </c>
      <c r="AA3020">
        <v>28</v>
      </c>
      <c r="AB3020">
        <v>2</v>
      </c>
      <c r="AC3020">
        <v>3</v>
      </c>
      <c r="AD3020">
        <v>3.2980000999999999</v>
      </c>
      <c r="AE3020">
        <v>1</v>
      </c>
      <c r="AF3020">
        <v>38</v>
      </c>
      <c r="AG3020">
        <v>3.2909998900000001</v>
      </c>
      <c r="AH3020">
        <v>4</v>
      </c>
      <c r="AI3020">
        <v>17</v>
      </c>
      <c r="AJ3020">
        <v>1</v>
      </c>
      <c r="AK3020">
        <v>25</v>
      </c>
      <c r="AL3020">
        <v>53</v>
      </c>
      <c r="AM3020" t="s">
        <v>43</v>
      </c>
      <c r="AN3020" t="str">
        <f>HYPERLINK("https://www.google.com/maps?q=10.78814125,79.47528839","Open Location")</f>
        <v>Open Location</v>
      </c>
    </row>
    <row r="3021" spans="1:40" x14ac:dyDescent="0.3">
      <c r="A3021" s="1">
        <v>46210.65</v>
      </c>
      <c r="B3021" t="s">
        <v>40</v>
      </c>
      <c r="C3021" t="s">
        <v>41</v>
      </c>
      <c r="D3021" s="1">
        <v>46210.652754629627</v>
      </c>
      <c r="E3021" t="s">
        <v>42</v>
      </c>
      <c r="F3021" t="s">
        <v>83</v>
      </c>
      <c r="G3021">
        <v>41</v>
      </c>
      <c r="H3021">
        <v>33133</v>
      </c>
      <c r="I3021" t="s">
        <v>1707</v>
      </c>
      <c r="J3021">
        <v>83</v>
      </c>
      <c r="K3021">
        <v>78</v>
      </c>
      <c r="L3021">
        <v>98</v>
      </c>
      <c r="M3021">
        <v>630.90002441000001</v>
      </c>
      <c r="N3021" t="s">
        <v>87</v>
      </c>
      <c r="O3021" t="s">
        <v>86</v>
      </c>
      <c r="P3021">
        <v>131</v>
      </c>
      <c r="Q3021">
        <v>6</v>
      </c>
      <c r="R3021">
        <v>66</v>
      </c>
      <c r="S3021">
        <v>1127</v>
      </c>
      <c r="T3021">
        <v>68</v>
      </c>
      <c r="U3021">
        <v>52</v>
      </c>
      <c r="V3021">
        <v>560</v>
      </c>
      <c r="W3021">
        <v>33</v>
      </c>
      <c r="X3021">
        <v>33</v>
      </c>
      <c r="Y3021">
        <v>1</v>
      </c>
      <c r="Z3021">
        <v>8</v>
      </c>
      <c r="AA3021">
        <v>28</v>
      </c>
      <c r="AB3021">
        <v>2</v>
      </c>
      <c r="AC3021">
        <v>3</v>
      </c>
      <c r="AD3021">
        <v>3.2920000599999999</v>
      </c>
      <c r="AE3021">
        <v>1</v>
      </c>
      <c r="AF3021">
        <v>38</v>
      </c>
      <c r="AG3021">
        <v>3.2820000600000001</v>
      </c>
      <c r="AH3021">
        <v>4</v>
      </c>
      <c r="AI3021">
        <v>17</v>
      </c>
      <c r="AJ3021">
        <v>1</v>
      </c>
      <c r="AK3021">
        <v>25</v>
      </c>
      <c r="AL3021">
        <v>53</v>
      </c>
      <c r="AM3021" t="s">
        <v>43</v>
      </c>
      <c r="AN3021" t="str">
        <f>HYPERLINK("https://www.google.com/maps?q=10.78796482,79.47655487","Open Location")</f>
        <v>Open Location</v>
      </c>
    </row>
    <row r="3022" spans="1:40" x14ac:dyDescent="0.3">
      <c r="A3022" s="1">
        <v>46210.649884259263</v>
      </c>
      <c r="B3022" t="s">
        <v>40</v>
      </c>
      <c r="C3022" t="s">
        <v>41</v>
      </c>
      <c r="D3022" s="1">
        <v>46210.652673611112</v>
      </c>
      <c r="E3022" t="s">
        <v>42</v>
      </c>
      <c r="F3022" t="s">
        <v>83</v>
      </c>
      <c r="G3022">
        <v>37</v>
      </c>
      <c r="H3022">
        <v>33133</v>
      </c>
      <c r="I3022" t="s">
        <v>1708</v>
      </c>
      <c r="J3022">
        <v>83</v>
      </c>
      <c r="K3022">
        <v>85</v>
      </c>
      <c r="L3022">
        <v>98</v>
      </c>
      <c r="M3022">
        <v>630.5</v>
      </c>
      <c r="N3022" t="s">
        <v>87</v>
      </c>
      <c r="O3022" t="s">
        <v>86</v>
      </c>
      <c r="P3022">
        <v>130</v>
      </c>
      <c r="Q3022">
        <v>5</v>
      </c>
      <c r="R3022">
        <v>81</v>
      </c>
      <c r="S3022">
        <v>1583</v>
      </c>
      <c r="T3022">
        <v>-40</v>
      </c>
      <c r="U3022">
        <v>51</v>
      </c>
      <c r="V3022">
        <v>348</v>
      </c>
      <c r="W3022">
        <v>33</v>
      </c>
      <c r="X3022">
        <v>33</v>
      </c>
      <c r="Y3022">
        <v>1</v>
      </c>
      <c r="Z3022">
        <v>8</v>
      </c>
      <c r="AA3022">
        <v>28</v>
      </c>
      <c r="AB3022">
        <v>2</v>
      </c>
      <c r="AC3022">
        <v>3</v>
      </c>
      <c r="AD3022">
        <v>3.2920000599999999</v>
      </c>
      <c r="AE3022">
        <v>1</v>
      </c>
      <c r="AF3022">
        <v>38</v>
      </c>
      <c r="AG3022">
        <v>3.2820000600000001</v>
      </c>
      <c r="AH3022">
        <v>4</v>
      </c>
      <c r="AI3022">
        <v>17</v>
      </c>
      <c r="AJ3022">
        <v>1</v>
      </c>
      <c r="AK3022">
        <v>25</v>
      </c>
      <c r="AL3022">
        <v>53</v>
      </c>
      <c r="AM3022" t="s">
        <v>43</v>
      </c>
      <c r="AN3022" t="str">
        <f>HYPERLINK("https://www.google.com/maps?q=10.78784847,79.47769165","Open Location")</f>
        <v>Open Location</v>
      </c>
    </row>
    <row r="3023" spans="1:40" x14ac:dyDescent="0.3">
      <c r="A3023" s="1">
        <v>46210.649768518517</v>
      </c>
      <c r="B3023" t="s">
        <v>40</v>
      </c>
      <c r="C3023" t="s">
        <v>41</v>
      </c>
      <c r="D3023" s="1">
        <v>46210.652361111112</v>
      </c>
      <c r="E3023" t="s">
        <v>42</v>
      </c>
      <c r="F3023" t="s">
        <v>83</v>
      </c>
      <c r="G3023">
        <v>35</v>
      </c>
      <c r="H3023">
        <v>33133</v>
      </c>
      <c r="I3023" t="s">
        <v>43</v>
      </c>
      <c r="J3023">
        <v>83</v>
      </c>
      <c r="K3023">
        <v>54</v>
      </c>
      <c r="L3023">
        <v>98</v>
      </c>
      <c r="M3023">
        <v>631.79998779000005</v>
      </c>
      <c r="N3023" t="s">
        <v>87</v>
      </c>
      <c r="O3023" t="s">
        <v>86</v>
      </c>
      <c r="P3023">
        <v>130</v>
      </c>
      <c r="Q3023">
        <v>5</v>
      </c>
      <c r="R3023">
        <v>19</v>
      </c>
      <c r="S3023">
        <v>1624</v>
      </c>
      <c r="T3023">
        <v>-40</v>
      </c>
      <c r="U3023">
        <v>50</v>
      </c>
      <c r="V3023">
        <v>180</v>
      </c>
      <c r="W3023">
        <v>33</v>
      </c>
      <c r="X3023">
        <v>33</v>
      </c>
      <c r="Y3023">
        <v>1</v>
      </c>
      <c r="Z3023">
        <v>8</v>
      </c>
      <c r="AA3023">
        <v>28</v>
      </c>
      <c r="AB3023">
        <v>2</v>
      </c>
      <c r="AC3023">
        <v>3</v>
      </c>
      <c r="AD3023">
        <v>3.3039999</v>
      </c>
      <c r="AE3023">
        <v>1</v>
      </c>
      <c r="AF3023">
        <v>38</v>
      </c>
      <c r="AG3023">
        <v>3.2980000999999999</v>
      </c>
      <c r="AH3023">
        <v>4</v>
      </c>
      <c r="AI3023">
        <v>17</v>
      </c>
      <c r="AJ3023">
        <v>1</v>
      </c>
      <c r="AK3023">
        <v>25</v>
      </c>
      <c r="AL3023">
        <v>53</v>
      </c>
      <c r="AM3023" t="s">
        <v>43</v>
      </c>
      <c r="AN3023" t="s">
        <v>43</v>
      </c>
    </row>
    <row r="3024" spans="1:40" x14ac:dyDescent="0.3">
      <c r="A3024" s="1">
        <v>46210.649652777778</v>
      </c>
      <c r="B3024" t="s">
        <v>40</v>
      </c>
      <c r="C3024" t="s">
        <v>41</v>
      </c>
      <c r="D3024" s="1">
        <v>46210.652303240742</v>
      </c>
      <c r="E3024" t="s">
        <v>42</v>
      </c>
      <c r="F3024" t="s">
        <v>83</v>
      </c>
      <c r="G3024">
        <v>36</v>
      </c>
      <c r="H3024">
        <v>33133</v>
      </c>
      <c r="I3024" t="s">
        <v>1709</v>
      </c>
      <c r="J3024">
        <v>83</v>
      </c>
      <c r="K3024">
        <v>88</v>
      </c>
      <c r="L3024">
        <v>98</v>
      </c>
      <c r="M3024">
        <v>630.29998779000005</v>
      </c>
      <c r="N3024" t="s">
        <v>87</v>
      </c>
      <c r="O3024" t="s">
        <v>86</v>
      </c>
      <c r="P3024">
        <v>130</v>
      </c>
      <c r="Q3024">
        <v>5</v>
      </c>
      <c r="R3024">
        <v>37</v>
      </c>
      <c r="S3024">
        <v>1644</v>
      </c>
      <c r="T3024">
        <v>-40</v>
      </c>
      <c r="U3024">
        <v>52</v>
      </c>
      <c r="V3024">
        <v>300</v>
      </c>
      <c r="W3024">
        <v>33</v>
      </c>
      <c r="X3024">
        <v>33</v>
      </c>
      <c r="Y3024">
        <v>1</v>
      </c>
      <c r="Z3024">
        <v>8</v>
      </c>
      <c r="AA3024">
        <v>28</v>
      </c>
      <c r="AB3024">
        <v>2</v>
      </c>
      <c r="AC3024">
        <v>3</v>
      </c>
      <c r="AD3024">
        <v>3.2959999999999998</v>
      </c>
      <c r="AE3024">
        <v>1</v>
      </c>
      <c r="AF3024">
        <v>36</v>
      </c>
      <c r="AG3024">
        <v>3.28900003</v>
      </c>
      <c r="AH3024">
        <v>4</v>
      </c>
      <c r="AI3024">
        <v>17</v>
      </c>
      <c r="AJ3024">
        <v>1</v>
      </c>
      <c r="AK3024">
        <v>25</v>
      </c>
      <c r="AL3024">
        <v>53</v>
      </c>
      <c r="AM3024" t="s">
        <v>43</v>
      </c>
      <c r="AN3024" t="str">
        <f>HYPERLINK("https://www.google.com/maps?q=10.78773117,79.4787674","Open Location")</f>
        <v>Open Location</v>
      </c>
    </row>
    <row r="3025" spans="1:40" x14ac:dyDescent="0.3">
      <c r="A3025" s="1">
        <v>46210.649537037039</v>
      </c>
      <c r="B3025" t="s">
        <v>40</v>
      </c>
      <c r="C3025" t="s">
        <v>41</v>
      </c>
      <c r="D3025" s="1">
        <v>46210.652268518519</v>
      </c>
      <c r="E3025" t="s">
        <v>42</v>
      </c>
      <c r="F3025" t="s">
        <v>83</v>
      </c>
      <c r="G3025">
        <v>36</v>
      </c>
      <c r="H3025">
        <v>33133</v>
      </c>
      <c r="I3025" t="s">
        <v>1710</v>
      </c>
      <c r="J3025">
        <v>83</v>
      </c>
      <c r="K3025">
        <v>175</v>
      </c>
      <c r="L3025">
        <v>98</v>
      </c>
      <c r="M3025">
        <v>626.59997558999999</v>
      </c>
      <c r="N3025" t="s">
        <v>87</v>
      </c>
      <c r="O3025" t="s">
        <v>86</v>
      </c>
      <c r="P3025">
        <v>130</v>
      </c>
      <c r="Q3025">
        <v>5</v>
      </c>
      <c r="R3025">
        <v>189</v>
      </c>
      <c r="S3025">
        <v>1013</v>
      </c>
      <c r="T3025">
        <v>-40</v>
      </c>
      <c r="U3025">
        <v>55</v>
      </c>
      <c r="V3025">
        <v>960</v>
      </c>
      <c r="W3025">
        <v>33</v>
      </c>
      <c r="X3025">
        <v>33</v>
      </c>
      <c r="Y3025">
        <v>1</v>
      </c>
      <c r="Z3025">
        <v>8</v>
      </c>
      <c r="AA3025">
        <v>28</v>
      </c>
      <c r="AB3025">
        <v>2</v>
      </c>
      <c r="AC3025">
        <v>3</v>
      </c>
      <c r="AD3025">
        <v>3.2639999400000002</v>
      </c>
      <c r="AE3025">
        <v>1</v>
      </c>
      <c r="AF3025">
        <v>44</v>
      </c>
      <c r="AG3025">
        <v>3.2460000500000001</v>
      </c>
      <c r="AH3025">
        <v>4</v>
      </c>
      <c r="AI3025">
        <v>17</v>
      </c>
      <c r="AJ3025">
        <v>1</v>
      </c>
      <c r="AK3025">
        <v>26</v>
      </c>
      <c r="AL3025">
        <v>53</v>
      </c>
      <c r="AM3025" t="s">
        <v>43</v>
      </c>
      <c r="AN3025" t="str">
        <f>HYPERLINK("https://www.google.com/maps?q=10.78760624,79.47994995","Open Location")</f>
        <v>Open Location</v>
      </c>
    </row>
    <row r="3026" spans="1:40" x14ac:dyDescent="0.3">
      <c r="A3026" s="1">
        <v>46210.649421296293</v>
      </c>
      <c r="B3026" t="s">
        <v>40</v>
      </c>
      <c r="C3026" t="s">
        <v>41</v>
      </c>
      <c r="D3026" s="1">
        <v>46210.652013888888</v>
      </c>
      <c r="E3026" t="s">
        <v>42</v>
      </c>
      <c r="F3026" t="s">
        <v>83</v>
      </c>
      <c r="G3026">
        <v>37</v>
      </c>
      <c r="H3026" t="s">
        <v>43</v>
      </c>
      <c r="I3026" t="s">
        <v>1711</v>
      </c>
      <c r="J3026">
        <v>83</v>
      </c>
      <c r="K3026">
        <v>190</v>
      </c>
      <c r="L3026">
        <v>98</v>
      </c>
      <c r="M3026">
        <v>627.09997558999999</v>
      </c>
      <c r="N3026" t="s">
        <v>87</v>
      </c>
      <c r="O3026" t="s">
        <v>86</v>
      </c>
      <c r="P3026">
        <v>131</v>
      </c>
      <c r="Q3026">
        <v>6</v>
      </c>
      <c r="R3026">
        <v>156</v>
      </c>
      <c r="S3026">
        <v>1072</v>
      </c>
      <c r="T3026">
        <v>-40</v>
      </c>
      <c r="U3026">
        <v>56</v>
      </c>
      <c r="V3026">
        <v>980</v>
      </c>
      <c r="W3026">
        <v>33</v>
      </c>
      <c r="X3026">
        <v>33</v>
      </c>
      <c r="Y3026">
        <v>1</v>
      </c>
      <c r="Z3026">
        <v>8</v>
      </c>
      <c r="AA3026">
        <v>28</v>
      </c>
      <c r="AB3026">
        <v>2</v>
      </c>
      <c r="AC3026">
        <v>3</v>
      </c>
      <c r="AD3026">
        <v>3.2639999400000002</v>
      </c>
      <c r="AE3026">
        <v>1</v>
      </c>
      <c r="AF3026">
        <v>42</v>
      </c>
      <c r="AG3026">
        <v>3.2460000500000001</v>
      </c>
      <c r="AH3026">
        <v>4</v>
      </c>
      <c r="AI3026">
        <v>17</v>
      </c>
      <c r="AJ3026">
        <v>1</v>
      </c>
      <c r="AK3026">
        <v>25</v>
      </c>
      <c r="AL3026">
        <v>53</v>
      </c>
      <c r="AM3026" t="s">
        <v>43</v>
      </c>
      <c r="AN3026" t="str">
        <f>HYPERLINK("https://www.google.com/maps?q=10.78749275,79.48107147","Open Location")</f>
        <v>Open Location</v>
      </c>
    </row>
    <row r="3027" spans="1:40" x14ac:dyDescent="0.3">
      <c r="A3027" s="1">
        <v>46210.649305555555</v>
      </c>
      <c r="B3027" t="s">
        <v>40</v>
      </c>
      <c r="C3027" t="s">
        <v>41</v>
      </c>
      <c r="D3027" s="1">
        <v>46210.652337962965</v>
      </c>
      <c r="E3027" t="s">
        <v>42</v>
      </c>
      <c r="F3027" t="s">
        <v>83</v>
      </c>
      <c r="G3027">
        <v>40</v>
      </c>
      <c r="H3027">
        <v>33133</v>
      </c>
      <c r="I3027" t="s">
        <v>1712</v>
      </c>
      <c r="J3027">
        <v>83</v>
      </c>
      <c r="K3027">
        <v>144</v>
      </c>
      <c r="L3027">
        <v>98</v>
      </c>
      <c r="M3027">
        <v>629.20001220999995</v>
      </c>
      <c r="N3027" t="s">
        <v>87</v>
      </c>
      <c r="O3027" t="s">
        <v>86</v>
      </c>
      <c r="P3027">
        <v>131</v>
      </c>
      <c r="Q3027">
        <v>6</v>
      </c>
      <c r="R3027">
        <v>68</v>
      </c>
      <c r="S3027">
        <v>1135</v>
      </c>
      <c r="T3027">
        <v>-40</v>
      </c>
      <c r="U3027">
        <v>53</v>
      </c>
      <c r="V3027">
        <v>720</v>
      </c>
      <c r="W3027">
        <v>33</v>
      </c>
      <c r="X3027">
        <v>33</v>
      </c>
      <c r="Y3027">
        <v>1</v>
      </c>
      <c r="Z3027">
        <v>8</v>
      </c>
      <c r="AA3027">
        <v>28</v>
      </c>
      <c r="AB3027">
        <v>2</v>
      </c>
      <c r="AC3027">
        <v>3</v>
      </c>
      <c r="AD3027">
        <v>3.28600001</v>
      </c>
      <c r="AE3027">
        <v>1</v>
      </c>
      <c r="AF3027">
        <v>38</v>
      </c>
      <c r="AG3027">
        <v>3.2760000200000001</v>
      </c>
      <c r="AH3027">
        <v>4</v>
      </c>
      <c r="AI3027">
        <v>17</v>
      </c>
      <c r="AJ3027">
        <v>1</v>
      </c>
      <c r="AK3027">
        <v>25</v>
      </c>
      <c r="AL3027">
        <v>53</v>
      </c>
      <c r="AM3027" t="s">
        <v>43</v>
      </c>
      <c r="AN3027" t="str">
        <f>HYPERLINK("https://www.google.com/maps?q=10.78736496,79.48228455","Open Location")</f>
        <v>Open Location</v>
      </c>
    </row>
    <row r="3028" spans="1:40" x14ac:dyDescent="0.3">
      <c r="A3028" s="1">
        <v>46210.649189814816</v>
      </c>
      <c r="B3028" t="s">
        <v>40</v>
      </c>
      <c r="C3028" t="s">
        <v>41</v>
      </c>
      <c r="D3028" s="1">
        <v>46210.65185185185</v>
      </c>
      <c r="E3028" t="s">
        <v>42</v>
      </c>
      <c r="F3028" t="s">
        <v>83</v>
      </c>
      <c r="G3028">
        <v>40</v>
      </c>
      <c r="H3028">
        <v>33133</v>
      </c>
      <c r="I3028" t="s">
        <v>43</v>
      </c>
      <c r="J3028">
        <v>83</v>
      </c>
      <c r="K3028">
        <v>140</v>
      </c>
      <c r="L3028">
        <v>98</v>
      </c>
      <c r="M3028">
        <v>628.70001220999995</v>
      </c>
      <c r="N3028" t="s">
        <v>87</v>
      </c>
      <c r="O3028" t="s">
        <v>86</v>
      </c>
      <c r="P3028">
        <v>131</v>
      </c>
      <c r="Q3028">
        <v>6</v>
      </c>
      <c r="R3028">
        <v>72</v>
      </c>
      <c r="S3028">
        <v>1111</v>
      </c>
      <c r="T3028">
        <v>-40</v>
      </c>
      <c r="U3028">
        <v>52</v>
      </c>
      <c r="V3028">
        <v>740</v>
      </c>
      <c r="W3028">
        <v>33</v>
      </c>
      <c r="X3028">
        <v>33</v>
      </c>
      <c r="Y3028">
        <v>1</v>
      </c>
      <c r="Z3028">
        <v>8</v>
      </c>
      <c r="AA3028">
        <v>28</v>
      </c>
      <c r="AB3028">
        <v>2</v>
      </c>
      <c r="AC3028">
        <v>3</v>
      </c>
      <c r="AD3028">
        <v>3.28900003</v>
      </c>
      <c r="AE3028">
        <v>1</v>
      </c>
      <c r="AF3028">
        <v>38</v>
      </c>
      <c r="AG3028">
        <v>3.2790000400000001</v>
      </c>
      <c r="AH3028">
        <v>4</v>
      </c>
      <c r="AI3028">
        <v>17</v>
      </c>
      <c r="AJ3028">
        <v>1</v>
      </c>
      <c r="AK3028">
        <v>26</v>
      </c>
      <c r="AL3028">
        <v>53</v>
      </c>
      <c r="AM3028" t="s">
        <v>43</v>
      </c>
      <c r="AN3028" t="s">
        <v>43</v>
      </c>
    </row>
    <row r="3029" spans="1:40" x14ac:dyDescent="0.3">
      <c r="A3029" s="1">
        <v>46210.649074074077</v>
      </c>
      <c r="B3029" t="s">
        <v>40</v>
      </c>
      <c r="C3029" t="s">
        <v>41</v>
      </c>
      <c r="D3029" s="1">
        <v>46210.651678240742</v>
      </c>
      <c r="E3029" t="s">
        <v>42</v>
      </c>
      <c r="F3029" t="s">
        <v>83</v>
      </c>
      <c r="G3029">
        <v>39</v>
      </c>
      <c r="H3029">
        <v>33133</v>
      </c>
      <c r="I3029" t="s">
        <v>1713</v>
      </c>
      <c r="J3029">
        <v>84</v>
      </c>
      <c r="K3029">
        <v>125</v>
      </c>
      <c r="L3029">
        <v>98</v>
      </c>
      <c r="M3029">
        <v>629.40002441000001</v>
      </c>
      <c r="N3029" t="s">
        <v>87</v>
      </c>
      <c r="O3029" t="s">
        <v>86</v>
      </c>
      <c r="P3029">
        <v>130</v>
      </c>
      <c r="Q3029">
        <v>5</v>
      </c>
      <c r="R3029">
        <v>100</v>
      </c>
      <c r="S3029">
        <v>1742</v>
      </c>
      <c r="T3029">
        <v>-40</v>
      </c>
      <c r="U3029">
        <v>52</v>
      </c>
      <c r="V3029">
        <v>400</v>
      </c>
      <c r="W3029">
        <v>33</v>
      </c>
      <c r="X3029">
        <v>33</v>
      </c>
      <c r="Y3029">
        <v>1</v>
      </c>
      <c r="Z3029">
        <v>8</v>
      </c>
      <c r="AA3029">
        <v>28</v>
      </c>
      <c r="AB3029">
        <v>2</v>
      </c>
      <c r="AC3029">
        <v>3</v>
      </c>
      <c r="AD3029">
        <v>3.27999997</v>
      </c>
      <c r="AE3029">
        <v>1</v>
      </c>
      <c r="AF3029">
        <v>38</v>
      </c>
      <c r="AG3029">
        <v>3.2669999600000001</v>
      </c>
      <c r="AH3029">
        <v>4</v>
      </c>
      <c r="AI3029">
        <v>17</v>
      </c>
      <c r="AJ3029">
        <v>1</v>
      </c>
      <c r="AK3029">
        <v>25</v>
      </c>
      <c r="AL3029">
        <v>53</v>
      </c>
      <c r="AM3029" t="s">
        <v>43</v>
      </c>
      <c r="AN3029" t="str">
        <f>HYPERLINK("https://www.google.com/maps?q=10.78722858,79.48352051","Open Location")</f>
        <v>Open Location</v>
      </c>
    </row>
    <row r="3030" spans="1:40" x14ac:dyDescent="0.3">
      <c r="A3030" s="1">
        <v>46210.648958333331</v>
      </c>
      <c r="B3030" t="s">
        <v>40</v>
      </c>
      <c r="C3030" t="s">
        <v>41</v>
      </c>
      <c r="D3030" s="1">
        <v>46210.651678240742</v>
      </c>
      <c r="E3030" t="s">
        <v>42</v>
      </c>
      <c r="F3030" t="s">
        <v>83</v>
      </c>
      <c r="G3030">
        <v>37</v>
      </c>
      <c r="H3030">
        <v>33133</v>
      </c>
      <c r="I3030" t="s">
        <v>1714</v>
      </c>
      <c r="J3030">
        <v>84</v>
      </c>
      <c r="K3030">
        <v>126</v>
      </c>
      <c r="L3030">
        <v>98</v>
      </c>
      <c r="M3030">
        <v>629.20001220999995</v>
      </c>
      <c r="N3030" t="s">
        <v>87</v>
      </c>
      <c r="O3030" t="s">
        <v>86</v>
      </c>
      <c r="P3030">
        <v>130</v>
      </c>
      <c r="Q3030">
        <v>5</v>
      </c>
      <c r="R3030">
        <v>52</v>
      </c>
      <c r="S3030">
        <v>1693</v>
      </c>
      <c r="T3030">
        <v>-40</v>
      </c>
      <c r="U3030">
        <v>52</v>
      </c>
      <c r="V3030">
        <v>400</v>
      </c>
      <c r="W3030">
        <v>33</v>
      </c>
      <c r="X3030">
        <v>33</v>
      </c>
      <c r="Y3030">
        <v>1</v>
      </c>
      <c r="Z3030">
        <v>8</v>
      </c>
      <c r="AA3030">
        <v>28</v>
      </c>
      <c r="AB3030">
        <v>2</v>
      </c>
      <c r="AC3030">
        <v>3</v>
      </c>
      <c r="AD3030">
        <v>3.2929999799999998</v>
      </c>
      <c r="AE3030">
        <v>1</v>
      </c>
      <c r="AF3030">
        <v>38</v>
      </c>
      <c r="AG3030">
        <v>3.2839999199999999</v>
      </c>
      <c r="AH3030">
        <v>4</v>
      </c>
      <c r="AI3030">
        <v>17</v>
      </c>
      <c r="AJ3030">
        <v>1</v>
      </c>
      <c r="AK3030">
        <v>25</v>
      </c>
      <c r="AL3030">
        <v>53</v>
      </c>
      <c r="AM3030" t="s">
        <v>43</v>
      </c>
      <c r="AN3030" t="str">
        <f>HYPERLINK("https://www.google.com/maps?q=10.78710842,79.48470306","Open Location")</f>
        <v>Open Location</v>
      </c>
    </row>
    <row r="3031" spans="1:40" x14ac:dyDescent="0.3">
      <c r="A3031" s="1">
        <v>46210.648842592593</v>
      </c>
      <c r="B3031" t="s">
        <v>40</v>
      </c>
      <c r="C3031" t="s">
        <v>41</v>
      </c>
      <c r="D3031" s="1">
        <v>46210.651620370372</v>
      </c>
      <c r="E3031" t="s">
        <v>42</v>
      </c>
      <c r="F3031" t="s">
        <v>83</v>
      </c>
      <c r="G3031">
        <v>35</v>
      </c>
      <c r="H3031">
        <v>33132</v>
      </c>
      <c r="I3031" t="s">
        <v>1715</v>
      </c>
      <c r="J3031">
        <v>84</v>
      </c>
      <c r="K3031">
        <v>156</v>
      </c>
      <c r="L3031">
        <v>98</v>
      </c>
      <c r="M3031">
        <v>628.59997558999999</v>
      </c>
      <c r="N3031" t="s">
        <v>87</v>
      </c>
      <c r="O3031" t="s">
        <v>86</v>
      </c>
      <c r="P3031">
        <v>130</v>
      </c>
      <c r="Q3031">
        <v>5</v>
      </c>
      <c r="R3031">
        <v>99</v>
      </c>
      <c r="S3031">
        <v>1521</v>
      </c>
      <c r="T3031">
        <v>-40</v>
      </c>
      <c r="U3031">
        <v>53</v>
      </c>
      <c r="V3031">
        <v>600</v>
      </c>
      <c r="W3031">
        <v>33</v>
      </c>
      <c r="X3031">
        <v>33</v>
      </c>
      <c r="Y3031">
        <v>1</v>
      </c>
      <c r="Z3031">
        <v>8</v>
      </c>
      <c r="AA3031">
        <v>28</v>
      </c>
      <c r="AB3031">
        <v>2</v>
      </c>
      <c r="AC3031">
        <v>3</v>
      </c>
      <c r="AD3031">
        <v>3.28299999</v>
      </c>
      <c r="AE3031">
        <v>1</v>
      </c>
      <c r="AF3031">
        <v>38</v>
      </c>
      <c r="AG3031">
        <v>3.2699999800000001</v>
      </c>
      <c r="AH3031">
        <v>4</v>
      </c>
      <c r="AI3031">
        <v>17</v>
      </c>
      <c r="AJ3031">
        <v>1</v>
      </c>
      <c r="AK3031">
        <v>25</v>
      </c>
      <c r="AL3031">
        <v>53</v>
      </c>
      <c r="AM3031" t="s">
        <v>43</v>
      </c>
      <c r="AN3031" t="str">
        <f>HYPERLINK("https://www.google.com/maps?q=10.78699303,79.48582458","Open Location")</f>
        <v>Open Location</v>
      </c>
    </row>
    <row r="3032" spans="1:40" x14ac:dyDescent="0.3">
      <c r="A3032" s="1">
        <v>46210.648726851854</v>
      </c>
      <c r="B3032" t="s">
        <v>40</v>
      </c>
      <c r="C3032" t="s">
        <v>41</v>
      </c>
      <c r="D3032" s="1">
        <v>46210.651562500003</v>
      </c>
      <c r="E3032" t="s">
        <v>42</v>
      </c>
      <c r="F3032" t="s">
        <v>83</v>
      </c>
      <c r="G3032">
        <v>32</v>
      </c>
      <c r="H3032">
        <v>33132</v>
      </c>
      <c r="I3032" t="s">
        <v>1716</v>
      </c>
      <c r="J3032">
        <v>84</v>
      </c>
      <c r="K3032">
        <v>157</v>
      </c>
      <c r="L3032">
        <v>98</v>
      </c>
      <c r="M3032">
        <v>628.20001220999995</v>
      </c>
      <c r="N3032" t="s">
        <v>87</v>
      </c>
      <c r="O3032" t="s">
        <v>86</v>
      </c>
      <c r="P3032">
        <v>130</v>
      </c>
      <c r="Q3032">
        <v>5</v>
      </c>
      <c r="R3032">
        <v>86</v>
      </c>
      <c r="S3032">
        <v>1430</v>
      </c>
      <c r="T3032">
        <v>-40</v>
      </c>
      <c r="U3032">
        <v>53</v>
      </c>
      <c r="V3032">
        <v>620</v>
      </c>
      <c r="W3032">
        <v>33</v>
      </c>
      <c r="X3032">
        <v>33</v>
      </c>
      <c r="Y3032">
        <v>1</v>
      </c>
      <c r="Z3032">
        <v>8</v>
      </c>
      <c r="AA3032">
        <v>28</v>
      </c>
      <c r="AB3032">
        <v>2</v>
      </c>
      <c r="AC3032">
        <v>3</v>
      </c>
      <c r="AD3032">
        <v>3.2869999399999998</v>
      </c>
      <c r="AE3032">
        <v>1</v>
      </c>
      <c r="AF3032">
        <v>38</v>
      </c>
      <c r="AG3032">
        <v>3.2760000200000001</v>
      </c>
      <c r="AH3032">
        <v>4</v>
      </c>
      <c r="AI3032">
        <v>17</v>
      </c>
      <c r="AJ3032">
        <v>1</v>
      </c>
      <c r="AK3032">
        <v>25</v>
      </c>
      <c r="AL3032">
        <v>53</v>
      </c>
      <c r="AM3032" t="s">
        <v>43</v>
      </c>
      <c r="AN3032" t="str">
        <f>HYPERLINK("https://www.google.com/maps?q=10.78688431,79.48683929","Open Location")</f>
        <v>Open Location</v>
      </c>
    </row>
    <row r="3033" spans="1:40" x14ac:dyDescent="0.3">
      <c r="A3033" s="1">
        <v>46210.648611111108</v>
      </c>
      <c r="B3033" t="s">
        <v>40</v>
      </c>
      <c r="C3033" t="s">
        <v>41</v>
      </c>
      <c r="D3033" s="1">
        <v>46210.651354166665</v>
      </c>
      <c r="E3033" t="s">
        <v>42</v>
      </c>
      <c r="F3033" t="s">
        <v>83</v>
      </c>
      <c r="G3033">
        <v>30</v>
      </c>
      <c r="H3033">
        <v>33132</v>
      </c>
      <c r="I3033" t="s">
        <v>1717</v>
      </c>
      <c r="J3033">
        <v>84</v>
      </c>
      <c r="K3033">
        <v>181</v>
      </c>
      <c r="L3033">
        <v>98</v>
      </c>
      <c r="M3033">
        <v>628.09997558999999</v>
      </c>
      <c r="N3033" t="s">
        <v>87</v>
      </c>
      <c r="O3033" t="s">
        <v>86</v>
      </c>
      <c r="P3033">
        <v>130</v>
      </c>
      <c r="Q3033">
        <v>5</v>
      </c>
      <c r="R3033">
        <v>107</v>
      </c>
      <c r="S3033">
        <v>1263</v>
      </c>
      <c r="T3033">
        <v>-40</v>
      </c>
      <c r="U3033">
        <v>54</v>
      </c>
      <c r="V3033">
        <v>800</v>
      </c>
      <c r="W3033">
        <v>33</v>
      </c>
      <c r="X3033">
        <v>33</v>
      </c>
      <c r="Y3033">
        <v>1</v>
      </c>
      <c r="Z3033">
        <v>8</v>
      </c>
      <c r="AA3033">
        <v>28</v>
      </c>
      <c r="AB3033">
        <v>2</v>
      </c>
      <c r="AC3033">
        <v>3</v>
      </c>
      <c r="AD3033">
        <v>3.2839999199999999</v>
      </c>
      <c r="AE3033">
        <v>1</v>
      </c>
      <c r="AF3033">
        <v>38</v>
      </c>
      <c r="AG3033">
        <v>3.27099991</v>
      </c>
      <c r="AH3033">
        <v>4</v>
      </c>
      <c r="AI3033">
        <v>17</v>
      </c>
      <c r="AJ3033">
        <v>1</v>
      </c>
      <c r="AK3033">
        <v>26</v>
      </c>
      <c r="AL3033">
        <v>53</v>
      </c>
      <c r="AM3033" t="s">
        <v>43</v>
      </c>
      <c r="AN3033" t="str">
        <f>HYPERLINK("https://www.google.com/maps?q=10.78677464,79.48782349","Open Location")</f>
        <v>Open Location</v>
      </c>
    </row>
    <row r="3034" spans="1:40" x14ac:dyDescent="0.3">
      <c r="A3034" s="1">
        <v>46210.648495370369</v>
      </c>
      <c r="B3034" t="s">
        <v>40</v>
      </c>
      <c r="C3034" t="s">
        <v>41</v>
      </c>
      <c r="D3034" s="1">
        <v>46210.651238425926</v>
      </c>
      <c r="E3034" t="s">
        <v>42</v>
      </c>
      <c r="F3034" t="s">
        <v>83</v>
      </c>
      <c r="G3034">
        <v>25</v>
      </c>
      <c r="H3034">
        <v>33132</v>
      </c>
      <c r="I3034" t="s">
        <v>43</v>
      </c>
      <c r="J3034">
        <v>84</v>
      </c>
      <c r="K3034">
        <v>192</v>
      </c>
      <c r="L3034">
        <v>98</v>
      </c>
      <c r="M3034">
        <v>628.20001220999995</v>
      </c>
      <c r="N3034" t="s">
        <v>87</v>
      </c>
      <c r="O3034" t="s">
        <v>86</v>
      </c>
      <c r="P3034">
        <v>130</v>
      </c>
      <c r="Q3034">
        <v>5</v>
      </c>
      <c r="R3034">
        <v>81</v>
      </c>
      <c r="S3034">
        <v>1781</v>
      </c>
      <c r="T3034">
        <v>-40</v>
      </c>
      <c r="U3034">
        <v>51</v>
      </c>
      <c r="V3034">
        <v>600</v>
      </c>
      <c r="W3034">
        <v>33</v>
      </c>
      <c r="X3034">
        <v>33</v>
      </c>
      <c r="Y3034">
        <v>1</v>
      </c>
      <c r="Z3034">
        <v>8</v>
      </c>
      <c r="AA3034">
        <v>28</v>
      </c>
      <c r="AB3034">
        <v>2</v>
      </c>
      <c r="AC3034">
        <v>3</v>
      </c>
      <c r="AD3034">
        <v>3.2909998900000001</v>
      </c>
      <c r="AE3034">
        <v>1</v>
      </c>
      <c r="AF3034">
        <v>38</v>
      </c>
      <c r="AG3034">
        <v>3.27999997</v>
      </c>
      <c r="AH3034">
        <v>4</v>
      </c>
      <c r="AI3034">
        <v>17</v>
      </c>
      <c r="AJ3034">
        <v>1</v>
      </c>
      <c r="AK3034">
        <v>26</v>
      </c>
      <c r="AL3034">
        <v>53</v>
      </c>
      <c r="AM3034" t="s">
        <v>43</v>
      </c>
      <c r="AN3034" t="s">
        <v>43</v>
      </c>
    </row>
    <row r="3035" spans="1:40" x14ac:dyDescent="0.3">
      <c r="A3035" s="1">
        <v>46210.648379629631</v>
      </c>
      <c r="B3035" t="s">
        <v>40</v>
      </c>
      <c r="C3035" t="s">
        <v>41</v>
      </c>
      <c r="D3035" s="1">
        <v>46210.651226851849</v>
      </c>
      <c r="E3035" t="s">
        <v>42</v>
      </c>
      <c r="F3035" t="s">
        <v>83</v>
      </c>
      <c r="G3035">
        <v>19</v>
      </c>
      <c r="H3035">
        <v>33132</v>
      </c>
      <c r="I3035" t="s">
        <v>1718</v>
      </c>
      <c r="J3035">
        <v>84</v>
      </c>
      <c r="K3035">
        <v>212</v>
      </c>
      <c r="L3035">
        <v>98</v>
      </c>
      <c r="M3035">
        <v>631.20001220999995</v>
      </c>
      <c r="N3035" t="s">
        <v>87</v>
      </c>
      <c r="O3035" t="s">
        <v>86</v>
      </c>
      <c r="P3035">
        <v>129</v>
      </c>
      <c r="Q3035">
        <v>4</v>
      </c>
      <c r="R3035">
        <v>85</v>
      </c>
      <c r="S3035">
        <v>2198</v>
      </c>
      <c r="T3035">
        <v>-40</v>
      </c>
      <c r="U3035">
        <v>50</v>
      </c>
      <c r="V3035">
        <v>560</v>
      </c>
      <c r="W3035">
        <v>33</v>
      </c>
      <c r="X3035">
        <v>33</v>
      </c>
      <c r="Y3035">
        <v>1</v>
      </c>
      <c r="Z3035">
        <v>8</v>
      </c>
      <c r="AA3035">
        <v>28</v>
      </c>
      <c r="AB3035">
        <v>2</v>
      </c>
      <c r="AC3035">
        <v>3</v>
      </c>
      <c r="AD3035">
        <v>3.2939999100000001</v>
      </c>
      <c r="AE3035">
        <v>1</v>
      </c>
      <c r="AF3035">
        <v>38</v>
      </c>
      <c r="AG3035">
        <v>3.28299999</v>
      </c>
      <c r="AH3035">
        <v>4</v>
      </c>
      <c r="AI3035">
        <v>17</v>
      </c>
      <c r="AJ3035">
        <v>1</v>
      </c>
      <c r="AK3035">
        <v>28</v>
      </c>
      <c r="AL3035">
        <v>53</v>
      </c>
      <c r="AM3035" t="s">
        <v>43</v>
      </c>
      <c r="AN3035" t="str">
        <f>HYPERLINK("https://www.google.com/maps?q=10.7866888,79.48857117","Open Location")</f>
        <v>Open Location</v>
      </c>
    </row>
    <row r="3036" spans="1:40" x14ac:dyDescent="0.3">
      <c r="A3036" s="1">
        <v>46210.648263888892</v>
      </c>
      <c r="B3036" t="s">
        <v>40</v>
      </c>
      <c r="C3036" t="s">
        <v>41</v>
      </c>
      <c r="D3036" s="1">
        <v>46210.650995370372</v>
      </c>
      <c r="E3036" t="s">
        <v>42</v>
      </c>
      <c r="F3036" t="s">
        <v>83</v>
      </c>
      <c r="G3036">
        <v>16</v>
      </c>
      <c r="H3036" t="s">
        <v>43</v>
      </c>
      <c r="I3036" t="s">
        <v>1719</v>
      </c>
      <c r="J3036">
        <v>84</v>
      </c>
      <c r="K3036">
        <v>-15</v>
      </c>
      <c r="L3036">
        <v>98</v>
      </c>
      <c r="M3036">
        <v>637.79998779000005</v>
      </c>
      <c r="N3036" t="s">
        <v>87</v>
      </c>
      <c r="O3036" t="s">
        <v>86</v>
      </c>
      <c r="P3036">
        <v>130</v>
      </c>
      <c r="Q3036">
        <v>3</v>
      </c>
      <c r="R3036">
        <v>-14</v>
      </c>
      <c r="S3036">
        <v>785</v>
      </c>
      <c r="T3036">
        <v>-40</v>
      </c>
      <c r="U3036">
        <v>49</v>
      </c>
      <c r="V3036">
        <v>-184</v>
      </c>
      <c r="W3036">
        <v>33</v>
      </c>
      <c r="X3036">
        <v>33</v>
      </c>
      <c r="Y3036">
        <v>1</v>
      </c>
      <c r="Z3036">
        <v>8</v>
      </c>
      <c r="AA3036">
        <v>28</v>
      </c>
      <c r="AB3036">
        <v>2</v>
      </c>
      <c r="AC3036">
        <v>3</v>
      </c>
      <c r="AD3036">
        <v>3.3239998800000001</v>
      </c>
      <c r="AE3036">
        <v>1</v>
      </c>
      <c r="AF3036">
        <v>26</v>
      </c>
      <c r="AG3036">
        <v>3.3210001</v>
      </c>
      <c r="AH3036">
        <v>6</v>
      </c>
      <c r="AI3036">
        <v>17</v>
      </c>
      <c r="AJ3036">
        <v>1</v>
      </c>
      <c r="AK3036">
        <v>28</v>
      </c>
      <c r="AL3036">
        <v>53</v>
      </c>
      <c r="AM3036" t="s">
        <v>43</v>
      </c>
      <c r="AN3036" t="str">
        <f>HYPERLINK("https://www.google.com/maps?q=10.7866354,79.4890976","Open Location")</f>
        <v>Open Location</v>
      </c>
    </row>
    <row r="3037" spans="1:40" x14ac:dyDescent="0.3">
      <c r="A3037" s="1">
        <v>46210.648148148146</v>
      </c>
      <c r="B3037" t="s">
        <v>40</v>
      </c>
      <c r="C3037" t="s">
        <v>41</v>
      </c>
      <c r="D3037" s="1">
        <v>46210.650868055556</v>
      </c>
      <c r="E3037" t="s">
        <v>42</v>
      </c>
      <c r="F3037" t="s">
        <v>83</v>
      </c>
      <c r="G3037">
        <v>19</v>
      </c>
      <c r="H3037">
        <v>33132</v>
      </c>
      <c r="I3037" t="s">
        <v>1720</v>
      </c>
      <c r="J3037">
        <v>84</v>
      </c>
      <c r="K3037">
        <v>-20</v>
      </c>
      <c r="L3037">
        <v>98</v>
      </c>
      <c r="M3037">
        <v>636.90002441000001</v>
      </c>
      <c r="N3037" t="s">
        <v>87</v>
      </c>
      <c r="O3037" t="s">
        <v>86</v>
      </c>
      <c r="P3037">
        <v>130</v>
      </c>
      <c r="Q3037">
        <v>5</v>
      </c>
      <c r="R3037">
        <v>-17</v>
      </c>
      <c r="S3037">
        <v>939</v>
      </c>
      <c r="T3037">
        <v>-40</v>
      </c>
      <c r="U3037">
        <v>50</v>
      </c>
      <c r="V3037">
        <v>-184</v>
      </c>
      <c r="W3037">
        <v>33</v>
      </c>
      <c r="X3037">
        <v>33</v>
      </c>
      <c r="Y3037">
        <v>1</v>
      </c>
      <c r="Z3037">
        <v>8</v>
      </c>
      <c r="AA3037">
        <v>28</v>
      </c>
      <c r="AB3037">
        <v>2</v>
      </c>
      <c r="AC3037">
        <v>3</v>
      </c>
      <c r="AD3037">
        <v>3.3250000499999999</v>
      </c>
      <c r="AE3037">
        <v>1</v>
      </c>
      <c r="AF3037">
        <v>26</v>
      </c>
      <c r="AG3037">
        <v>3.3229999499999998</v>
      </c>
      <c r="AH3037">
        <v>1</v>
      </c>
      <c r="AI3037">
        <v>14</v>
      </c>
      <c r="AJ3037">
        <v>1</v>
      </c>
      <c r="AK3037">
        <v>28</v>
      </c>
      <c r="AL3037">
        <v>53</v>
      </c>
      <c r="AM3037" t="s">
        <v>43</v>
      </c>
      <c r="AN3037" t="str">
        <f>HYPERLINK("https://www.google.com/maps?q=10.78657532,79.48963165","Open Location")</f>
        <v>Open Location</v>
      </c>
    </row>
    <row r="3038" spans="1:40" x14ac:dyDescent="0.3">
      <c r="A3038" s="1">
        <v>46210.648032407407</v>
      </c>
      <c r="B3038" t="s">
        <v>40</v>
      </c>
      <c r="C3038" t="s">
        <v>41</v>
      </c>
      <c r="D3038" s="1">
        <v>46210.650763888887</v>
      </c>
      <c r="E3038" t="s">
        <v>42</v>
      </c>
      <c r="F3038" t="s">
        <v>83</v>
      </c>
      <c r="G3038">
        <v>23</v>
      </c>
      <c r="H3038">
        <v>33132</v>
      </c>
      <c r="I3038" t="s">
        <v>1721</v>
      </c>
      <c r="J3038">
        <v>84</v>
      </c>
      <c r="K3038">
        <v>73</v>
      </c>
      <c r="L3038">
        <v>98</v>
      </c>
      <c r="M3038">
        <v>635.29998779000005</v>
      </c>
      <c r="N3038" t="s">
        <v>87</v>
      </c>
      <c r="O3038" t="s">
        <v>86</v>
      </c>
      <c r="P3038">
        <v>130</v>
      </c>
      <c r="Q3038">
        <v>5</v>
      </c>
      <c r="R3038">
        <v>-21</v>
      </c>
      <c r="S3038">
        <v>1099</v>
      </c>
      <c r="T3038">
        <v>-40</v>
      </c>
      <c r="U3038">
        <v>51</v>
      </c>
      <c r="V3038">
        <v>460</v>
      </c>
      <c r="W3038">
        <v>33</v>
      </c>
      <c r="X3038">
        <v>33</v>
      </c>
      <c r="Y3038">
        <v>1</v>
      </c>
      <c r="Z3038">
        <v>8</v>
      </c>
      <c r="AA3038">
        <v>28</v>
      </c>
      <c r="AB3038">
        <v>2</v>
      </c>
      <c r="AC3038">
        <v>3</v>
      </c>
      <c r="AD3038">
        <v>3.3229999499999998</v>
      </c>
      <c r="AE3038">
        <v>1</v>
      </c>
      <c r="AF3038">
        <v>26</v>
      </c>
      <c r="AG3038">
        <v>3.3210001</v>
      </c>
      <c r="AH3038">
        <v>1</v>
      </c>
      <c r="AI3038">
        <v>4</v>
      </c>
      <c r="AJ3038">
        <v>1</v>
      </c>
      <c r="AK3038">
        <v>28</v>
      </c>
      <c r="AL3038">
        <v>53</v>
      </c>
      <c r="AM3038" t="s">
        <v>43</v>
      </c>
      <c r="AN3038" t="str">
        <f>HYPERLINK("https://www.google.com/maps?q=10.78650665,79.49031067","Open Location")</f>
        <v>Open Location</v>
      </c>
    </row>
    <row r="3039" spans="1:40" x14ac:dyDescent="0.3">
      <c r="A3039" s="1">
        <v>46210.647916666669</v>
      </c>
      <c r="B3039" t="s">
        <v>40</v>
      </c>
      <c r="C3039" t="s">
        <v>41</v>
      </c>
      <c r="D3039" s="1">
        <v>46210.650763888887</v>
      </c>
      <c r="E3039" t="s">
        <v>42</v>
      </c>
      <c r="F3039" t="s">
        <v>83</v>
      </c>
      <c r="G3039">
        <v>20</v>
      </c>
      <c r="H3039">
        <v>33132</v>
      </c>
      <c r="I3039" t="s">
        <v>1722</v>
      </c>
      <c r="J3039">
        <v>84</v>
      </c>
      <c r="K3039">
        <v>-8</v>
      </c>
      <c r="L3039">
        <v>98</v>
      </c>
      <c r="M3039">
        <v>637</v>
      </c>
      <c r="N3039" t="s">
        <v>87</v>
      </c>
      <c r="O3039" t="s">
        <v>86</v>
      </c>
      <c r="P3039">
        <v>130</v>
      </c>
      <c r="Q3039">
        <v>5</v>
      </c>
      <c r="R3039">
        <v>93</v>
      </c>
      <c r="S3039">
        <v>874</v>
      </c>
      <c r="T3039">
        <v>-40</v>
      </c>
      <c r="U3039">
        <v>51</v>
      </c>
      <c r="V3039">
        <v>-144</v>
      </c>
      <c r="W3039">
        <v>33</v>
      </c>
      <c r="X3039">
        <v>33</v>
      </c>
      <c r="Y3039">
        <v>1</v>
      </c>
      <c r="Z3039">
        <v>8</v>
      </c>
      <c r="AA3039">
        <v>28</v>
      </c>
      <c r="AB3039">
        <v>2</v>
      </c>
      <c r="AC3039">
        <v>3</v>
      </c>
      <c r="AD3039">
        <v>3.2969999300000001</v>
      </c>
      <c r="AE3039">
        <v>1</v>
      </c>
      <c r="AF3039">
        <v>38</v>
      </c>
      <c r="AG3039">
        <v>3.28800011</v>
      </c>
      <c r="AH3039">
        <v>4</v>
      </c>
      <c r="AI3039">
        <v>17</v>
      </c>
      <c r="AJ3039">
        <v>1</v>
      </c>
      <c r="AK3039">
        <v>29</v>
      </c>
      <c r="AL3039">
        <v>53</v>
      </c>
      <c r="AM3039" t="s">
        <v>43</v>
      </c>
      <c r="AN3039" t="str">
        <f>HYPERLINK("https://www.google.com/maps?q=10.78643513,79.49095154","Open Location")</f>
        <v>Open Location</v>
      </c>
    </row>
    <row r="3040" spans="1:40" x14ac:dyDescent="0.3">
      <c r="A3040" s="1">
        <v>46210.647800925923</v>
      </c>
      <c r="B3040" t="s">
        <v>40</v>
      </c>
      <c r="C3040" t="s">
        <v>41</v>
      </c>
      <c r="D3040" s="1">
        <v>46210.650509259256</v>
      </c>
      <c r="E3040" t="s">
        <v>42</v>
      </c>
      <c r="F3040" t="s">
        <v>83</v>
      </c>
      <c r="G3040">
        <v>21</v>
      </c>
      <c r="H3040">
        <v>33132</v>
      </c>
      <c r="I3040" t="s">
        <v>43</v>
      </c>
      <c r="J3040">
        <v>84</v>
      </c>
      <c r="K3040">
        <v>-23</v>
      </c>
      <c r="L3040">
        <v>98</v>
      </c>
      <c r="M3040">
        <v>637.5</v>
      </c>
      <c r="N3040" t="s">
        <v>87</v>
      </c>
      <c r="O3040" t="s">
        <v>86</v>
      </c>
      <c r="P3040">
        <v>130</v>
      </c>
      <c r="Q3040">
        <v>5</v>
      </c>
      <c r="R3040">
        <v>-20</v>
      </c>
      <c r="S3040">
        <v>1058</v>
      </c>
      <c r="T3040">
        <v>-40</v>
      </c>
      <c r="U3040">
        <v>49</v>
      </c>
      <c r="V3040">
        <v>-184</v>
      </c>
      <c r="W3040">
        <v>33</v>
      </c>
      <c r="X3040">
        <v>33</v>
      </c>
      <c r="Y3040">
        <v>1</v>
      </c>
      <c r="Z3040">
        <v>8</v>
      </c>
      <c r="AA3040">
        <v>28</v>
      </c>
      <c r="AB3040">
        <v>2</v>
      </c>
      <c r="AC3040">
        <v>3</v>
      </c>
      <c r="AD3040">
        <v>3.3269999000000001</v>
      </c>
      <c r="AE3040">
        <v>1</v>
      </c>
      <c r="AF3040">
        <v>26</v>
      </c>
      <c r="AG3040">
        <v>3.3250000499999999</v>
      </c>
      <c r="AH3040">
        <v>1</v>
      </c>
      <c r="AI3040">
        <v>4</v>
      </c>
      <c r="AJ3040">
        <v>1</v>
      </c>
      <c r="AK3040">
        <v>28</v>
      </c>
      <c r="AL3040">
        <v>53</v>
      </c>
      <c r="AM3040" t="s">
        <v>43</v>
      </c>
      <c r="AN3040" t="s">
        <v>43</v>
      </c>
    </row>
    <row r="3041" spans="1:40" x14ac:dyDescent="0.3">
      <c r="A3041" s="1">
        <v>46210.647685185184</v>
      </c>
      <c r="B3041" t="s">
        <v>40</v>
      </c>
      <c r="C3041" t="s">
        <v>41</v>
      </c>
      <c r="D3041" s="1">
        <v>46210.650347222225</v>
      </c>
      <c r="E3041" t="s">
        <v>42</v>
      </c>
      <c r="F3041" t="s">
        <v>83</v>
      </c>
      <c r="G3041">
        <v>26</v>
      </c>
      <c r="H3041">
        <v>33132</v>
      </c>
      <c r="I3041" t="s">
        <v>1723</v>
      </c>
      <c r="J3041">
        <v>84</v>
      </c>
      <c r="K3041">
        <v>2</v>
      </c>
      <c r="L3041">
        <v>98</v>
      </c>
      <c r="M3041">
        <v>635.70001220999995</v>
      </c>
      <c r="N3041" t="s">
        <v>87</v>
      </c>
      <c r="O3041" t="s">
        <v>86</v>
      </c>
      <c r="P3041">
        <v>130</v>
      </c>
      <c r="Q3041">
        <v>5</v>
      </c>
      <c r="R3041">
        <v>-23</v>
      </c>
      <c r="S3041">
        <v>755</v>
      </c>
      <c r="T3041">
        <v>-40</v>
      </c>
      <c r="U3041">
        <v>50</v>
      </c>
      <c r="V3041">
        <v>0</v>
      </c>
      <c r="W3041">
        <v>33</v>
      </c>
      <c r="X3041">
        <v>33</v>
      </c>
      <c r="Y3041">
        <v>1</v>
      </c>
      <c r="Z3041">
        <v>8</v>
      </c>
      <c r="AA3041">
        <v>28</v>
      </c>
      <c r="AB3041">
        <v>2</v>
      </c>
      <c r="AC3041">
        <v>3</v>
      </c>
      <c r="AD3041">
        <v>3.3269999000000001</v>
      </c>
      <c r="AE3041">
        <v>1</v>
      </c>
      <c r="AF3041">
        <v>29</v>
      </c>
      <c r="AG3041">
        <v>3.3239998800000001</v>
      </c>
      <c r="AH3041">
        <v>2</v>
      </c>
      <c r="AI3041">
        <v>48</v>
      </c>
      <c r="AJ3041">
        <v>1</v>
      </c>
      <c r="AK3041">
        <v>25</v>
      </c>
      <c r="AL3041">
        <v>53</v>
      </c>
      <c r="AM3041" t="s">
        <v>43</v>
      </c>
      <c r="AN3041" t="str">
        <f>HYPERLINK("https://www.google.com/maps?q=10.78636169,79.49163055","Open Location")</f>
        <v>Open Location</v>
      </c>
    </row>
    <row r="3042" spans="1:40" x14ac:dyDescent="0.3">
      <c r="A3042" s="1">
        <v>46210.647569444445</v>
      </c>
      <c r="B3042" t="s">
        <v>40</v>
      </c>
      <c r="C3042" t="s">
        <v>41</v>
      </c>
      <c r="D3042" s="1">
        <v>46210.650185185186</v>
      </c>
      <c r="E3042" t="s">
        <v>42</v>
      </c>
      <c r="F3042" t="s">
        <v>83</v>
      </c>
      <c r="G3042">
        <v>30</v>
      </c>
      <c r="H3042">
        <v>33132</v>
      </c>
      <c r="I3042" t="s">
        <v>1724</v>
      </c>
      <c r="J3042">
        <v>84</v>
      </c>
      <c r="K3042">
        <v>-34</v>
      </c>
      <c r="L3042">
        <v>98</v>
      </c>
      <c r="M3042">
        <v>637.59997558999999</v>
      </c>
      <c r="N3042" t="s">
        <v>87</v>
      </c>
      <c r="O3042" t="s">
        <v>86</v>
      </c>
      <c r="P3042">
        <v>131</v>
      </c>
      <c r="Q3042">
        <v>6</v>
      </c>
      <c r="R3042">
        <v>-27</v>
      </c>
      <c r="S3042">
        <v>904</v>
      </c>
      <c r="T3042">
        <v>-40</v>
      </c>
      <c r="U3042">
        <v>50</v>
      </c>
      <c r="V3042">
        <v>-300</v>
      </c>
      <c r="W3042">
        <v>33</v>
      </c>
      <c r="X3042">
        <v>33</v>
      </c>
      <c r="Y3042">
        <v>1</v>
      </c>
      <c r="Z3042">
        <v>8</v>
      </c>
      <c r="AA3042">
        <v>28</v>
      </c>
      <c r="AB3042">
        <v>2</v>
      </c>
      <c r="AC3042">
        <v>3</v>
      </c>
      <c r="AD3042">
        <v>3.3259999800000002</v>
      </c>
      <c r="AE3042">
        <v>1</v>
      </c>
      <c r="AF3042">
        <v>13</v>
      </c>
      <c r="AG3042">
        <v>3.3239998800000001</v>
      </c>
      <c r="AH3042">
        <v>1</v>
      </c>
      <c r="AI3042">
        <v>14</v>
      </c>
      <c r="AJ3042">
        <v>1</v>
      </c>
      <c r="AK3042">
        <v>25</v>
      </c>
      <c r="AL3042">
        <v>53</v>
      </c>
      <c r="AM3042" t="s">
        <v>43</v>
      </c>
      <c r="AN3042" t="str">
        <f>HYPERLINK("https://www.google.com/maps?q=10.7862711,79.49255371","Open Location")</f>
        <v>Open Location</v>
      </c>
    </row>
    <row r="3043" spans="1:40" x14ac:dyDescent="0.3">
      <c r="A3043" s="1">
        <v>46210.647453703707</v>
      </c>
      <c r="B3043" t="s">
        <v>40</v>
      </c>
      <c r="C3043" t="s">
        <v>41</v>
      </c>
      <c r="D3043" s="1">
        <v>46210.65053240741</v>
      </c>
      <c r="E3043" t="s">
        <v>42</v>
      </c>
      <c r="F3043" t="s">
        <v>83</v>
      </c>
      <c r="G3043">
        <v>35</v>
      </c>
      <c r="H3043">
        <v>33132</v>
      </c>
      <c r="I3043" t="s">
        <v>1725</v>
      </c>
      <c r="J3043">
        <v>84</v>
      </c>
      <c r="K3043">
        <v>-41</v>
      </c>
      <c r="L3043">
        <v>98</v>
      </c>
      <c r="M3043">
        <v>637.20001220999995</v>
      </c>
      <c r="N3043" t="s">
        <v>87</v>
      </c>
      <c r="O3043" t="s">
        <v>86</v>
      </c>
      <c r="P3043">
        <v>131</v>
      </c>
      <c r="Q3043">
        <v>6</v>
      </c>
      <c r="R3043">
        <v>-32</v>
      </c>
      <c r="S3043">
        <v>1048</v>
      </c>
      <c r="T3043">
        <v>-40</v>
      </c>
      <c r="U3043">
        <v>51</v>
      </c>
      <c r="V3043">
        <v>-300</v>
      </c>
      <c r="W3043">
        <v>33</v>
      </c>
      <c r="X3043">
        <v>33</v>
      </c>
      <c r="Y3043">
        <v>1</v>
      </c>
      <c r="Z3043">
        <v>8</v>
      </c>
      <c r="AA3043">
        <v>28</v>
      </c>
      <c r="AB3043">
        <v>2</v>
      </c>
      <c r="AC3043">
        <v>3</v>
      </c>
      <c r="AD3043">
        <v>3.3250000499999999</v>
      </c>
      <c r="AE3043">
        <v>1</v>
      </c>
      <c r="AF3043">
        <v>26</v>
      </c>
      <c r="AG3043">
        <v>3.3220000299999999</v>
      </c>
      <c r="AH3043">
        <v>5</v>
      </c>
      <c r="AI3043">
        <v>48</v>
      </c>
      <c r="AJ3043">
        <v>1</v>
      </c>
      <c r="AK3043">
        <v>25</v>
      </c>
      <c r="AL3043">
        <v>53</v>
      </c>
      <c r="AM3043" t="s">
        <v>43</v>
      </c>
      <c r="AN3043" t="str">
        <f>HYPERLINK("https://www.google.com/maps?q=10.78617668,79.49358368","Open Location")</f>
        <v>Open Location</v>
      </c>
    </row>
    <row r="3044" spans="1:40" x14ac:dyDescent="0.3">
      <c r="A3044" s="1">
        <v>46210.647337962961</v>
      </c>
      <c r="B3044" t="s">
        <v>40</v>
      </c>
      <c r="C3044" t="s">
        <v>41</v>
      </c>
      <c r="D3044" s="1">
        <v>46210.650127314817</v>
      </c>
      <c r="E3044" t="s">
        <v>42</v>
      </c>
      <c r="F3044" t="s">
        <v>83</v>
      </c>
      <c r="G3044">
        <v>41</v>
      </c>
      <c r="H3044">
        <v>33131</v>
      </c>
      <c r="I3044" t="s">
        <v>1726</v>
      </c>
      <c r="J3044">
        <v>84</v>
      </c>
      <c r="K3044">
        <v>76</v>
      </c>
      <c r="L3044">
        <v>98</v>
      </c>
      <c r="M3044">
        <v>632.40002441000001</v>
      </c>
      <c r="N3044" t="s">
        <v>87</v>
      </c>
      <c r="O3044" t="s">
        <v>86</v>
      </c>
      <c r="P3044">
        <v>131</v>
      </c>
      <c r="Q3044">
        <v>6</v>
      </c>
      <c r="R3044">
        <v>-36</v>
      </c>
      <c r="S3044">
        <v>1162</v>
      </c>
      <c r="T3044">
        <v>-40</v>
      </c>
      <c r="U3044">
        <v>51</v>
      </c>
      <c r="V3044">
        <v>360</v>
      </c>
      <c r="W3044">
        <v>33</v>
      </c>
      <c r="X3044">
        <v>33</v>
      </c>
      <c r="Y3044">
        <v>1</v>
      </c>
      <c r="Z3044">
        <v>8</v>
      </c>
      <c r="AA3044">
        <v>28</v>
      </c>
      <c r="AB3044">
        <v>2</v>
      </c>
      <c r="AC3044">
        <v>4</v>
      </c>
      <c r="AD3044">
        <v>3.3210001</v>
      </c>
      <c r="AE3044">
        <v>1</v>
      </c>
      <c r="AF3044">
        <v>26</v>
      </c>
      <c r="AG3044">
        <v>3.3190000099999999</v>
      </c>
      <c r="AH3044">
        <v>1</v>
      </c>
      <c r="AI3044">
        <v>14</v>
      </c>
      <c r="AJ3044">
        <v>1</v>
      </c>
      <c r="AK3044">
        <v>26</v>
      </c>
      <c r="AL3044">
        <v>53</v>
      </c>
      <c r="AM3044" t="s">
        <v>43</v>
      </c>
      <c r="AN3044" t="str">
        <f>HYPERLINK("https://www.google.com/maps?q=10.78604794,79.49479675","Open Location")</f>
        <v>Open Location</v>
      </c>
    </row>
    <row r="3045" spans="1:40" x14ac:dyDescent="0.3">
      <c r="A3045" s="1">
        <v>46210.647222222222</v>
      </c>
      <c r="B3045" t="s">
        <v>40</v>
      </c>
      <c r="C3045" t="s">
        <v>41</v>
      </c>
      <c r="D3045" s="1">
        <v>46210.649884259263</v>
      </c>
      <c r="E3045" t="s">
        <v>42</v>
      </c>
      <c r="F3045" t="s">
        <v>83</v>
      </c>
      <c r="G3045">
        <v>42</v>
      </c>
      <c r="H3045">
        <v>33131</v>
      </c>
      <c r="I3045" t="s">
        <v>43</v>
      </c>
      <c r="J3045">
        <v>84</v>
      </c>
      <c r="K3045">
        <v>74</v>
      </c>
      <c r="L3045">
        <v>98</v>
      </c>
      <c r="M3045">
        <v>632.5</v>
      </c>
      <c r="N3045" t="s">
        <v>87</v>
      </c>
      <c r="O3045" t="s">
        <v>86</v>
      </c>
      <c r="P3045">
        <v>131</v>
      </c>
      <c r="Q3045">
        <v>6</v>
      </c>
      <c r="R3045">
        <v>38</v>
      </c>
      <c r="S3045">
        <v>1164</v>
      </c>
      <c r="T3045">
        <v>-40</v>
      </c>
      <c r="U3045">
        <v>51</v>
      </c>
      <c r="V3045">
        <v>340</v>
      </c>
      <c r="W3045">
        <v>33</v>
      </c>
      <c r="X3045">
        <v>33</v>
      </c>
      <c r="Y3045">
        <v>1</v>
      </c>
      <c r="Z3045">
        <v>8</v>
      </c>
      <c r="AA3045">
        <v>28</v>
      </c>
      <c r="AB3045">
        <v>2</v>
      </c>
      <c r="AC3045">
        <v>4</v>
      </c>
      <c r="AD3045">
        <v>3.3020000500000002</v>
      </c>
      <c r="AE3045">
        <v>1</v>
      </c>
      <c r="AF3045">
        <v>38</v>
      </c>
      <c r="AG3045">
        <v>3.2950000799999999</v>
      </c>
      <c r="AH3045">
        <v>4</v>
      </c>
      <c r="AI3045">
        <v>17</v>
      </c>
      <c r="AJ3045">
        <v>1</v>
      </c>
      <c r="AK3045">
        <v>26</v>
      </c>
      <c r="AL3045">
        <v>53</v>
      </c>
      <c r="AM3045" t="s">
        <v>43</v>
      </c>
      <c r="AN3045" t="s">
        <v>43</v>
      </c>
    </row>
    <row r="3046" spans="1:40" x14ac:dyDescent="0.3">
      <c r="A3046" s="1">
        <v>46210.647106481483</v>
      </c>
      <c r="B3046" t="s">
        <v>40</v>
      </c>
      <c r="C3046" t="s">
        <v>41</v>
      </c>
      <c r="D3046" s="1">
        <v>46210.649884259263</v>
      </c>
      <c r="E3046" t="s">
        <v>42</v>
      </c>
      <c r="F3046" t="s">
        <v>83</v>
      </c>
      <c r="G3046">
        <v>41</v>
      </c>
      <c r="H3046">
        <v>33131</v>
      </c>
      <c r="I3046" t="s">
        <v>1727</v>
      </c>
      <c r="J3046">
        <v>84</v>
      </c>
      <c r="K3046">
        <v>80</v>
      </c>
      <c r="L3046">
        <v>98</v>
      </c>
      <c r="M3046">
        <v>631.59997558999999</v>
      </c>
      <c r="N3046" t="s">
        <v>87</v>
      </c>
      <c r="O3046" t="s">
        <v>86</v>
      </c>
      <c r="P3046">
        <v>131</v>
      </c>
      <c r="Q3046">
        <v>6</v>
      </c>
      <c r="R3046">
        <v>41</v>
      </c>
      <c r="S3046">
        <v>1141</v>
      </c>
      <c r="T3046">
        <v>-40</v>
      </c>
      <c r="U3046">
        <v>52</v>
      </c>
      <c r="V3046">
        <v>380</v>
      </c>
      <c r="W3046">
        <v>33</v>
      </c>
      <c r="X3046">
        <v>33</v>
      </c>
      <c r="Y3046">
        <v>1</v>
      </c>
      <c r="Z3046">
        <v>8</v>
      </c>
      <c r="AA3046">
        <v>28</v>
      </c>
      <c r="AB3046">
        <v>2</v>
      </c>
      <c r="AC3046">
        <v>4</v>
      </c>
      <c r="AD3046">
        <v>3.3010001199999999</v>
      </c>
      <c r="AE3046">
        <v>1</v>
      </c>
      <c r="AF3046">
        <v>38</v>
      </c>
      <c r="AG3046">
        <v>3.2939999100000001</v>
      </c>
      <c r="AH3046">
        <v>4</v>
      </c>
      <c r="AI3046">
        <v>17</v>
      </c>
      <c r="AJ3046">
        <v>1</v>
      </c>
      <c r="AK3046">
        <v>25</v>
      </c>
      <c r="AL3046">
        <v>53</v>
      </c>
      <c r="AM3046" t="s">
        <v>43</v>
      </c>
      <c r="AN3046" t="str">
        <f>HYPERLINK("https://www.google.com/maps?q=10.7859087,79.49607849","Open Location")</f>
        <v>Open Location</v>
      </c>
    </row>
    <row r="3047" spans="1:40" x14ac:dyDescent="0.3">
      <c r="A3047" s="1">
        <v>46210.646990740737</v>
      </c>
      <c r="B3047" t="s">
        <v>40</v>
      </c>
      <c r="C3047" t="s">
        <v>41</v>
      </c>
      <c r="D3047" s="1">
        <v>46210.649733796294</v>
      </c>
      <c r="E3047" t="s">
        <v>42</v>
      </c>
      <c r="F3047" t="s">
        <v>83</v>
      </c>
      <c r="G3047">
        <v>41</v>
      </c>
      <c r="H3047">
        <v>33131</v>
      </c>
      <c r="I3047" t="s">
        <v>1728</v>
      </c>
      <c r="J3047">
        <v>84</v>
      </c>
      <c r="K3047">
        <v>142</v>
      </c>
      <c r="L3047">
        <v>98</v>
      </c>
      <c r="M3047">
        <v>628</v>
      </c>
      <c r="N3047" t="s">
        <v>87</v>
      </c>
      <c r="O3047" t="s">
        <v>86</v>
      </c>
      <c r="P3047">
        <v>131</v>
      </c>
      <c r="Q3047">
        <v>6</v>
      </c>
      <c r="R3047">
        <v>58</v>
      </c>
      <c r="S3047">
        <v>1101</v>
      </c>
      <c r="T3047">
        <v>-40</v>
      </c>
      <c r="U3047">
        <v>54</v>
      </c>
      <c r="V3047">
        <v>760</v>
      </c>
      <c r="W3047">
        <v>33</v>
      </c>
      <c r="X3047">
        <v>33</v>
      </c>
      <c r="Y3047">
        <v>1</v>
      </c>
      <c r="Z3047">
        <v>8</v>
      </c>
      <c r="AA3047">
        <v>28</v>
      </c>
      <c r="AB3047">
        <v>2</v>
      </c>
      <c r="AC3047">
        <v>4</v>
      </c>
      <c r="AD3047">
        <v>3.2929999799999998</v>
      </c>
      <c r="AE3047">
        <v>1</v>
      </c>
      <c r="AF3047">
        <v>37</v>
      </c>
      <c r="AG3047">
        <v>3.2839999199999999</v>
      </c>
      <c r="AH3047">
        <v>4</v>
      </c>
      <c r="AI3047">
        <v>17</v>
      </c>
      <c r="AJ3047">
        <v>1</v>
      </c>
      <c r="AK3047">
        <v>26</v>
      </c>
      <c r="AL3047">
        <v>53</v>
      </c>
      <c r="AM3047" t="s">
        <v>43</v>
      </c>
      <c r="AN3047" t="str">
        <f>HYPERLINK("https://www.google.com/maps?q=10.78577042,79.49733734","Open Location")</f>
        <v>Open Location</v>
      </c>
    </row>
    <row r="3048" spans="1:40" x14ac:dyDescent="0.3">
      <c r="A3048" s="1">
        <v>46210.646874999999</v>
      </c>
      <c r="B3048" t="s">
        <v>40</v>
      </c>
      <c r="C3048" t="s">
        <v>41</v>
      </c>
      <c r="D3048" s="1">
        <v>46210.649467592593</v>
      </c>
      <c r="E3048" t="s">
        <v>42</v>
      </c>
      <c r="F3048" t="s">
        <v>83</v>
      </c>
      <c r="G3048">
        <v>38</v>
      </c>
      <c r="H3048">
        <v>33131</v>
      </c>
      <c r="I3048" t="s">
        <v>1729</v>
      </c>
      <c r="J3048">
        <v>84</v>
      </c>
      <c r="K3048">
        <v>167</v>
      </c>
      <c r="L3048">
        <v>98</v>
      </c>
      <c r="M3048">
        <v>628.79998779000005</v>
      </c>
      <c r="N3048" t="s">
        <v>87</v>
      </c>
      <c r="O3048" t="s">
        <v>86</v>
      </c>
      <c r="P3048">
        <v>131</v>
      </c>
      <c r="Q3048">
        <v>6</v>
      </c>
      <c r="R3048">
        <v>106</v>
      </c>
      <c r="S3048">
        <v>1032</v>
      </c>
      <c r="T3048">
        <v>-40</v>
      </c>
      <c r="U3048">
        <v>55</v>
      </c>
      <c r="V3048">
        <v>920</v>
      </c>
      <c r="W3048">
        <v>33</v>
      </c>
      <c r="X3048">
        <v>33</v>
      </c>
      <c r="Y3048">
        <v>1</v>
      </c>
      <c r="Z3048">
        <v>8</v>
      </c>
      <c r="AA3048">
        <v>28</v>
      </c>
      <c r="AB3048">
        <v>2</v>
      </c>
      <c r="AC3048">
        <v>4</v>
      </c>
      <c r="AD3048">
        <v>3.28299999</v>
      </c>
      <c r="AE3048">
        <v>1</v>
      </c>
      <c r="AF3048">
        <v>38</v>
      </c>
      <c r="AG3048">
        <v>3.27099991</v>
      </c>
      <c r="AH3048">
        <v>4</v>
      </c>
      <c r="AI3048">
        <v>17</v>
      </c>
      <c r="AJ3048">
        <v>1</v>
      </c>
      <c r="AK3048">
        <v>19</v>
      </c>
      <c r="AL3048">
        <v>53</v>
      </c>
      <c r="AM3048" t="s">
        <v>43</v>
      </c>
      <c r="AN3048" t="str">
        <f>HYPERLINK("https://www.google.com/maps?q=10.78562927,79.49854279","Open Location")</f>
        <v>Open Location</v>
      </c>
    </row>
    <row r="3049" spans="1:40" x14ac:dyDescent="0.3">
      <c r="A3049" s="1">
        <v>46210.64675925926</v>
      </c>
      <c r="B3049" t="s">
        <v>40</v>
      </c>
      <c r="C3049" t="s">
        <v>41</v>
      </c>
      <c r="D3049" s="1">
        <v>46210.649710648147</v>
      </c>
      <c r="E3049" t="s">
        <v>42</v>
      </c>
      <c r="F3049" t="s">
        <v>83</v>
      </c>
      <c r="G3049">
        <v>35</v>
      </c>
      <c r="H3049">
        <v>33131</v>
      </c>
      <c r="I3049" t="s">
        <v>1730</v>
      </c>
      <c r="J3049">
        <v>84</v>
      </c>
      <c r="K3049">
        <v>100</v>
      </c>
      <c r="L3049">
        <v>98</v>
      </c>
      <c r="M3049">
        <v>631.70001220999995</v>
      </c>
      <c r="N3049" t="s">
        <v>87</v>
      </c>
      <c r="O3049" t="s">
        <v>86</v>
      </c>
      <c r="P3049">
        <v>131</v>
      </c>
      <c r="Q3049">
        <v>6</v>
      </c>
      <c r="R3049">
        <v>56</v>
      </c>
      <c r="S3049">
        <v>966</v>
      </c>
      <c r="T3049">
        <v>-40</v>
      </c>
      <c r="U3049">
        <v>53</v>
      </c>
      <c r="V3049">
        <v>560</v>
      </c>
      <c r="W3049">
        <v>33</v>
      </c>
      <c r="X3049">
        <v>33</v>
      </c>
      <c r="Y3049">
        <v>1</v>
      </c>
      <c r="Z3049">
        <v>8</v>
      </c>
      <c r="AA3049">
        <v>28</v>
      </c>
      <c r="AB3049">
        <v>2</v>
      </c>
      <c r="AC3049">
        <v>4</v>
      </c>
      <c r="AD3049">
        <v>3.2980000999999999</v>
      </c>
      <c r="AE3049">
        <v>1</v>
      </c>
      <c r="AF3049">
        <v>42</v>
      </c>
      <c r="AG3049">
        <v>3.2899999599999998</v>
      </c>
      <c r="AH3049">
        <v>4</v>
      </c>
      <c r="AI3049">
        <v>17</v>
      </c>
      <c r="AJ3049">
        <v>1</v>
      </c>
      <c r="AK3049">
        <v>19</v>
      </c>
      <c r="AL3049">
        <v>53</v>
      </c>
      <c r="AM3049" t="s">
        <v>43</v>
      </c>
      <c r="AN3049" t="str">
        <f>HYPERLINK("https://www.google.com/maps?q=10.78550816,79.49964905","Open Location")</f>
        <v>Open Location</v>
      </c>
    </row>
    <row r="3050" spans="1:40" x14ac:dyDescent="0.3">
      <c r="A3050" s="1">
        <v>46210.646643518521</v>
      </c>
      <c r="B3050" t="s">
        <v>40</v>
      </c>
      <c r="C3050" t="s">
        <v>41</v>
      </c>
      <c r="D3050" s="1">
        <v>46210.649375000001</v>
      </c>
      <c r="E3050" t="s">
        <v>42</v>
      </c>
      <c r="F3050" t="s">
        <v>83</v>
      </c>
      <c r="G3050">
        <v>34</v>
      </c>
      <c r="H3050">
        <v>33131</v>
      </c>
      <c r="I3050" t="s">
        <v>1731</v>
      </c>
      <c r="J3050">
        <v>84</v>
      </c>
      <c r="K3050">
        <v>-38</v>
      </c>
      <c r="L3050">
        <v>98</v>
      </c>
      <c r="M3050">
        <v>637.20001220999995</v>
      </c>
      <c r="N3050" t="s">
        <v>87</v>
      </c>
      <c r="O3050" t="s">
        <v>86</v>
      </c>
      <c r="P3050">
        <v>131</v>
      </c>
      <c r="Q3050">
        <v>6</v>
      </c>
      <c r="R3050">
        <v>47</v>
      </c>
      <c r="S3050">
        <v>968</v>
      </c>
      <c r="T3050">
        <v>-40</v>
      </c>
      <c r="U3050">
        <v>51</v>
      </c>
      <c r="V3050">
        <v>-300</v>
      </c>
      <c r="W3050">
        <v>33</v>
      </c>
      <c r="X3050">
        <v>33</v>
      </c>
      <c r="Y3050">
        <v>1</v>
      </c>
      <c r="Z3050">
        <v>8</v>
      </c>
      <c r="AA3050">
        <v>28</v>
      </c>
      <c r="AB3050">
        <v>2</v>
      </c>
      <c r="AC3050">
        <v>4</v>
      </c>
      <c r="AD3050">
        <v>3.3039999</v>
      </c>
      <c r="AE3050">
        <v>1</v>
      </c>
      <c r="AF3050">
        <v>42</v>
      </c>
      <c r="AG3050">
        <v>3.2969999300000001</v>
      </c>
      <c r="AH3050">
        <v>4</v>
      </c>
      <c r="AI3050">
        <v>17</v>
      </c>
      <c r="AJ3050">
        <v>1</v>
      </c>
      <c r="AK3050">
        <v>19</v>
      </c>
      <c r="AL3050">
        <v>53</v>
      </c>
      <c r="AM3050" t="s">
        <v>43</v>
      </c>
      <c r="AN3050" t="str">
        <f>HYPERLINK("https://www.google.com/maps?q=10.7854023,79.50069427","Open Location")</f>
        <v>Open Location</v>
      </c>
    </row>
    <row r="3051" spans="1:40" x14ac:dyDescent="0.3">
      <c r="A3051" s="1">
        <v>46210.646527777775</v>
      </c>
      <c r="B3051" t="s">
        <v>40</v>
      </c>
      <c r="C3051" t="s">
        <v>41</v>
      </c>
      <c r="D3051" s="1">
        <v>46210.649143518516</v>
      </c>
      <c r="E3051" t="s">
        <v>42</v>
      </c>
      <c r="F3051" t="s">
        <v>83</v>
      </c>
      <c r="G3051">
        <v>40</v>
      </c>
      <c r="H3051" t="s">
        <v>43</v>
      </c>
      <c r="I3051" t="s">
        <v>43</v>
      </c>
      <c r="J3051">
        <v>84</v>
      </c>
      <c r="K3051">
        <v>117</v>
      </c>
      <c r="L3051">
        <v>98</v>
      </c>
      <c r="M3051">
        <v>630.79998779000005</v>
      </c>
      <c r="N3051" t="s">
        <v>87</v>
      </c>
      <c r="O3051" t="s">
        <v>86</v>
      </c>
      <c r="P3051">
        <v>131</v>
      </c>
      <c r="Q3051">
        <v>6</v>
      </c>
      <c r="R3051">
        <v>-35</v>
      </c>
      <c r="S3051">
        <v>1109</v>
      </c>
      <c r="T3051">
        <v>-40</v>
      </c>
      <c r="U3051">
        <v>52</v>
      </c>
      <c r="V3051">
        <v>540</v>
      </c>
      <c r="W3051">
        <v>33</v>
      </c>
      <c r="X3051">
        <v>33</v>
      </c>
      <c r="Y3051">
        <v>1</v>
      </c>
      <c r="Z3051">
        <v>8</v>
      </c>
      <c r="AA3051">
        <v>28</v>
      </c>
      <c r="AB3051">
        <v>2</v>
      </c>
      <c r="AC3051">
        <v>4</v>
      </c>
      <c r="AD3051">
        <v>3.31800008</v>
      </c>
      <c r="AE3051">
        <v>1</v>
      </c>
      <c r="AF3051">
        <v>41</v>
      </c>
      <c r="AG3051">
        <v>3.31500006</v>
      </c>
      <c r="AH3051">
        <v>1</v>
      </c>
      <c r="AI3051">
        <v>14</v>
      </c>
      <c r="AJ3051">
        <v>1</v>
      </c>
      <c r="AK3051">
        <v>19</v>
      </c>
      <c r="AL3051">
        <v>53</v>
      </c>
      <c r="AM3051" t="s">
        <v>43</v>
      </c>
      <c r="AN3051" t="s">
        <v>43</v>
      </c>
    </row>
    <row r="3052" spans="1:40" x14ac:dyDescent="0.3">
      <c r="A3052" s="1">
        <v>46210.646412037036</v>
      </c>
      <c r="B3052" t="s">
        <v>40</v>
      </c>
      <c r="C3052" t="s">
        <v>41</v>
      </c>
      <c r="D3052" s="1">
        <v>46210.649143518516</v>
      </c>
      <c r="E3052" t="s">
        <v>42</v>
      </c>
      <c r="F3052" t="s">
        <v>83</v>
      </c>
      <c r="G3052">
        <v>43</v>
      </c>
      <c r="H3052">
        <v>33131</v>
      </c>
      <c r="I3052" t="s">
        <v>1732</v>
      </c>
      <c r="J3052">
        <v>85</v>
      </c>
      <c r="K3052">
        <v>127</v>
      </c>
      <c r="L3052">
        <v>98</v>
      </c>
      <c r="M3052">
        <v>629.5</v>
      </c>
      <c r="N3052" t="s">
        <v>87</v>
      </c>
      <c r="O3052" t="s">
        <v>86</v>
      </c>
      <c r="P3052">
        <v>131</v>
      </c>
      <c r="Q3052">
        <v>6</v>
      </c>
      <c r="R3052">
        <v>26</v>
      </c>
      <c r="S3052">
        <v>1215</v>
      </c>
      <c r="T3052">
        <v>-40</v>
      </c>
      <c r="U3052">
        <v>53</v>
      </c>
      <c r="V3052">
        <v>600</v>
      </c>
      <c r="W3052">
        <v>33</v>
      </c>
      <c r="X3052">
        <v>33</v>
      </c>
      <c r="Y3052">
        <v>1</v>
      </c>
      <c r="Z3052">
        <v>8</v>
      </c>
      <c r="AA3052">
        <v>28</v>
      </c>
      <c r="AB3052">
        <v>2</v>
      </c>
      <c r="AC3052">
        <v>4</v>
      </c>
      <c r="AD3052">
        <v>3.2980000999999999</v>
      </c>
      <c r="AE3052">
        <v>1</v>
      </c>
      <c r="AF3052">
        <v>41</v>
      </c>
      <c r="AG3052">
        <v>3.28900003</v>
      </c>
      <c r="AH3052">
        <v>4</v>
      </c>
      <c r="AI3052">
        <v>17</v>
      </c>
      <c r="AJ3052">
        <v>1</v>
      </c>
      <c r="AK3052">
        <v>19</v>
      </c>
      <c r="AL3052">
        <v>53</v>
      </c>
      <c r="AM3052" t="s">
        <v>43</v>
      </c>
      <c r="AN3052" t="str">
        <f>HYPERLINK("https://www.google.com/maps?q=10.78530025,79.50202179","Open Location")</f>
        <v>Open Location</v>
      </c>
    </row>
    <row r="3053" spans="1:40" x14ac:dyDescent="0.3">
      <c r="A3053" s="1">
        <v>46210.646296296298</v>
      </c>
      <c r="B3053" t="s">
        <v>40</v>
      </c>
      <c r="C3053" t="s">
        <v>41</v>
      </c>
      <c r="D3053" s="1">
        <v>46210.648935185185</v>
      </c>
      <c r="E3053" t="s">
        <v>42</v>
      </c>
      <c r="F3053" t="s">
        <v>83</v>
      </c>
      <c r="G3053">
        <v>43</v>
      </c>
      <c r="H3053">
        <v>33131</v>
      </c>
      <c r="I3053" t="s">
        <v>1733</v>
      </c>
      <c r="J3053">
        <v>85</v>
      </c>
      <c r="K3053">
        <v>132</v>
      </c>
      <c r="L3053">
        <v>98</v>
      </c>
      <c r="M3053">
        <v>629.40002441000001</v>
      </c>
      <c r="N3053" t="s">
        <v>87</v>
      </c>
      <c r="O3053" t="s">
        <v>86</v>
      </c>
      <c r="P3053">
        <v>131</v>
      </c>
      <c r="Q3053">
        <v>6</v>
      </c>
      <c r="R3053">
        <v>75</v>
      </c>
      <c r="S3053">
        <v>1190</v>
      </c>
      <c r="T3053">
        <v>-40</v>
      </c>
      <c r="U3053">
        <v>53</v>
      </c>
      <c r="V3053">
        <v>716</v>
      </c>
      <c r="W3053">
        <v>33</v>
      </c>
      <c r="X3053">
        <v>33</v>
      </c>
      <c r="Y3053">
        <v>1</v>
      </c>
      <c r="Z3053">
        <v>8</v>
      </c>
      <c r="AA3053">
        <v>28</v>
      </c>
      <c r="AB3053">
        <v>2</v>
      </c>
      <c r="AC3053">
        <v>4</v>
      </c>
      <c r="AD3053">
        <v>3.2899999599999998</v>
      </c>
      <c r="AE3053">
        <v>1</v>
      </c>
      <c r="AF3053">
        <v>41</v>
      </c>
      <c r="AG3053">
        <v>3.27999997</v>
      </c>
      <c r="AH3053">
        <v>4</v>
      </c>
      <c r="AI3053">
        <v>17</v>
      </c>
      <c r="AJ3053">
        <v>1</v>
      </c>
      <c r="AK3053">
        <v>19</v>
      </c>
      <c r="AL3053">
        <v>53</v>
      </c>
      <c r="AM3053" t="s">
        <v>43</v>
      </c>
      <c r="AN3053" t="str">
        <f>HYPERLINK("https://www.google.com/maps?q=10.78556824,79.50331879","Open Location")</f>
        <v>Open Location</v>
      </c>
    </row>
    <row r="3054" spans="1:40" x14ac:dyDescent="0.3">
      <c r="A3054" s="1">
        <v>46210.646180555559</v>
      </c>
      <c r="B3054" t="s">
        <v>40</v>
      </c>
      <c r="C3054" t="s">
        <v>41</v>
      </c>
      <c r="D3054" s="1">
        <v>46210.649004629631</v>
      </c>
      <c r="E3054" t="s">
        <v>42</v>
      </c>
      <c r="F3054" t="s">
        <v>83</v>
      </c>
      <c r="G3054">
        <v>43</v>
      </c>
      <c r="H3054">
        <v>33130</v>
      </c>
      <c r="I3054" t="s">
        <v>1734</v>
      </c>
      <c r="J3054">
        <v>85</v>
      </c>
      <c r="K3054">
        <v>75</v>
      </c>
      <c r="L3054">
        <v>98</v>
      </c>
      <c r="M3054">
        <v>630.59997558999999</v>
      </c>
      <c r="N3054" t="s">
        <v>87</v>
      </c>
      <c r="O3054" t="s">
        <v>86</v>
      </c>
      <c r="P3054">
        <v>131</v>
      </c>
      <c r="Q3054">
        <v>6</v>
      </c>
      <c r="R3054">
        <v>69</v>
      </c>
      <c r="S3054">
        <v>1189</v>
      </c>
      <c r="T3054">
        <v>-40</v>
      </c>
      <c r="U3054">
        <v>52</v>
      </c>
      <c r="V3054">
        <v>400</v>
      </c>
      <c r="W3054">
        <v>33</v>
      </c>
      <c r="X3054">
        <v>33</v>
      </c>
      <c r="Y3054">
        <v>1</v>
      </c>
      <c r="Z3054">
        <v>8</v>
      </c>
      <c r="AA3054">
        <v>28</v>
      </c>
      <c r="AB3054">
        <v>2</v>
      </c>
      <c r="AC3054">
        <v>4</v>
      </c>
      <c r="AD3054">
        <v>3.2929999799999998</v>
      </c>
      <c r="AE3054">
        <v>1</v>
      </c>
      <c r="AF3054">
        <v>38</v>
      </c>
      <c r="AG3054">
        <v>3.2839999199999999</v>
      </c>
      <c r="AH3054">
        <v>4</v>
      </c>
      <c r="AI3054">
        <v>17</v>
      </c>
      <c r="AJ3054">
        <v>1</v>
      </c>
      <c r="AK3054">
        <v>19</v>
      </c>
      <c r="AL3054">
        <v>53</v>
      </c>
      <c r="AM3054" t="s">
        <v>43</v>
      </c>
      <c r="AN3054" t="str">
        <f>HYPERLINK("https://www.google.com/maps?q=10.78622818,79.50444031","Open Location")</f>
        <v>Open Location</v>
      </c>
    </row>
    <row r="3055" spans="1:40" x14ac:dyDescent="0.3">
      <c r="A3055" s="1">
        <v>46210.646064814813</v>
      </c>
      <c r="B3055" t="s">
        <v>40</v>
      </c>
      <c r="C3055" t="s">
        <v>41</v>
      </c>
      <c r="D3055" s="1">
        <v>46210.648935185185</v>
      </c>
      <c r="E3055" t="s">
        <v>42</v>
      </c>
      <c r="F3055" t="s">
        <v>83</v>
      </c>
      <c r="G3055">
        <v>43</v>
      </c>
      <c r="H3055">
        <v>33130</v>
      </c>
      <c r="I3055" t="s">
        <v>1735</v>
      </c>
      <c r="J3055">
        <v>85</v>
      </c>
      <c r="K3055">
        <v>122</v>
      </c>
      <c r="L3055">
        <v>98</v>
      </c>
      <c r="M3055">
        <v>629.5</v>
      </c>
      <c r="N3055" t="s">
        <v>87</v>
      </c>
      <c r="O3055" t="s">
        <v>86</v>
      </c>
      <c r="P3055">
        <v>131</v>
      </c>
      <c r="Q3055">
        <v>6</v>
      </c>
      <c r="R3055">
        <v>58</v>
      </c>
      <c r="S3055">
        <v>1203</v>
      </c>
      <c r="T3055">
        <v>-40</v>
      </c>
      <c r="U3055">
        <v>53</v>
      </c>
      <c r="V3055">
        <v>620</v>
      </c>
      <c r="W3055">
        <v>33</v>
      </c>
      <c r="X3055">
        <v>33</v>
      </c>
      <c r="Y3055">
        <v>1</v>
      </c>
      <c r="Z3055">
        <v>8</v>
      </c>
      <c r="AA3055">
        <v>29</v>
      </c>
      <c r="AB3055">
        <v>1</v>
      </c>
      <c r="AC3055">
        <v>3</v>
      </c>
      <c r="AD3055">
        <v>3.2950000799999999</v>
      </c>
      <c r="AE3055">
        <v>1</v>
      </c>
      <c r="AF3055">
        <v>38</v>
      </c>
      <c r="AG3055">
        <v>3.28600001</v>
      </c>
      <c r="AH3055">
        <v>4</v>
      </c>
      <c r="AI3055">
        <v>17</v>
      </c>
      <c r="AJ3055">
        <v>1</v>
      </c>
      <c r="AK3055">
        <v>19</v>
      </c>
      <c r="AL3055">
        <v>53</v>
      </c>
      <c r="AM3055" t="s">
        <v>43</v>
      </c>
      <c r="AN3055" t="str">
        <f>HYPERLINK("https://www.google.com/maps?q=10.78724766,79.50527191","Open Location")</f>
        <v>Open Location</v>
      </c>
    </row>
    <row r="3056" spans="1:40" x14ac:dyDescent="0.3">
      <c r="A3056" s="1">
        <v>46210.645949074074</v>
      </c>
      <c r="B3056" t="s">
        <v>40</v>
      </c>
      <c r="C3056" t="s">
        <v>41</v>
      </c>
      <c r="D3056" s="1">
        <v>46210.648726851854</v>
      </c>
      <c r="E3056" t="s">
        <v>42</v>
      </c>
      <c r="F3056" t="s">
        <v>83</v>
      </c>
      <c r="G3056">
        <v>44</v>
      </c>
      <c r="H3056">
        <v>33130</v>
      </c>
      <c r="I3056" t="s">
        <v>1736</v>
      </c>
      <c r="J3056">
        <v>85</v>
      </c>
      <c r="K3056">
        <v>113</v>
      </c>
      <c r="L3056">
        <v>98</v>
      </c>
      <c r="M3056">
        <v>629.5</v>
      </c>
      <c r="N3056" t="s">
        <v>87</v>
      </c>
      <c r="O3056" t="s">
        <v>86</v>
      </c>
      <c r="P3056">
        <v>131</v>
      </c>
      <c r="Q3056">
        <v>6</v>
      </c>
      <c r="R3056">
        <v>61</v>
      </c>
      <c r="S3056">
        <v>1217</v>
      </c>
      <c r="T3056">
        <v>-40</v>
      </c>
      <c r="U3056">
        <v>53</v>
      </c>
      <c r="V3056">
        <v>480</v>
      </c>
      <c r="W3056">
        <v>33</v>
      </c>
      <c r="X3056">
        <v>33</v>
      </c>
      <c r="Y3056">
        <v>1</v>
      </c>
      <c r="Z3056">
        <v>8</v>
      </c>
      <c r="AA3056">
        <v>29</v>
      </c>
      <c r="AB3056">
        <v>1</v>
      </c>
      <c r="AC3056">
        <v>3</v>
      </c>
      <c r="AD3056">
        <v>3.2939999100000001</v>
      </c>
      <c r="AE3056">
        <v>1</v>
      </c>
      <c r="AF3056">
        <v>42</v>
      </c>
      <c r="AG3056">
        <v>3.28500009</v>
      </c>
      <c r="AH3056">
        <v>4</v>
      </c>
      <c r="AI3056">
        <v>17</v>
      </c>
      <c r="AJ3056">
        <v>1</v>
      </c>
      <c r="AK3056">
        <v>19</v>
      </c>
      <c r="AL3056">
        <v>53</v>
      </c>
      <c r="AM3056" t="s">
        <v>43</v>
      </c>
      <c r="AN3056" t="str">
        <f>HYPERLINK("https://www.google.com/maps?q=10.78843117,79.50585938","Open Location")</f>
        <v>Open Location</v>
      </c>
    </row>
    <row r="3057" spans="1:40" x14ac:dyDescent="0.3">
      <c r="A3057" s="1">
        <v>46210.645833333336</v>
      </c>
      <c r="B3057" t="s">
        <v>40</v>
      </c>
      <c r="C3057" t="s">
        <v>41</v>
      </c>
      <c r="D3057" s="1">
        <v>46210.648715277777</v>
      </c>
      <c r="E3057" t="s">
        <v>42</v>
      </c>
      <c r="F3057" t="s">
        <v>83</v>
      </c>
      <c r="G3057">
        <v>43</v>
      </c>
      <c r="H3057" t="s">
        <v>43</v>
      </c>
      <c r="I3057" t="s">
        <v>43</v>
      </c>
      <c r="J3057">
        <v>85</v>
      </c>
      <c r="K3057">
        <v>98</v>
      </c>
      <c r="L3057">
        <v>98</v>
      </c>
      <c r="M3057">
        <v>631.20001220999995</v>
      </c>
      <c r="N3057" t="s">
        <v>87</v>
      </c>
      <c r="O3057" t="s">
        <v>86</v>
      </c>
      <c r="P3057">
        <v>131</v>
      </c>
      <c r="Q3057">
        <v>6</v>
      </c>
      <c r="R3057">
        <v>58</v>
      </c>
      <c r="S3057">
        <v>1207</v>
      </c>
      <c r="T3057">
        <v>-40</v>
      </c>
      <c r="U3057">
        <v>53</v>
      </c>
      <c r="V3057">
        <v>440</v>
      </c>
      <c r="W3057">
        <v>33</v>
      </c>
      <c r="X3057">
        <v>33</v>
      </c>
      <c r="Y3057">
        <v>1</v>
      </c>
      <c r="Z3057">
        <v>8</v>
      </c>
      <c r="AA3057">
        <v>29</v>
      </c>
      <c r="AB3057">
        <v>1</v>
      </c>
      <c r="AC3057">
        <v>3</v>
      </c>
      <c r="AD3057">
        <v>3.2939999100000001</v>
      </c>
      <c r="AE3057">
        <v>1</v>
      </c>
      <c r="AF3057">
        <v>44</v>
      </c>
      <c r="AG3057">
        <v>3.2839999199999999</v>
      </c>
      <c r="AH3057">
        <v>4</v>
      </c>
      <c r="AI3057">
        <v>17</v>
      </c>
      <c r="AJ3057">
        <v>1</v>
      </c>
      <c r="AK3057">
        <v>19</v>
      </c>
      <c r="AL3057">
        <v>53</v>
      </c>
      <c r="AM3057" t="s">
        <v>43</v>
      </c>
      <c r="AN3057" t="s">
        <v>43</v>
      </c>
    </row>
    <row r="3058" spans="1:40" x14ac:dyDescent="0.3">
      <c r="A3058" s="1">
        <v>46210.64571759259</v>
      </c>
      <c r="B3058" t="s">
        <v>40</v>
      </c>
      <c r="C3058" t="s">
        <v>41</v>
      </c>
      <c r="D3058" s="1">
        <v>46210.648449074077</v>
      </c>
      <c r="E3058" t="s">
        <v>42</v>
      </c>
      <c r="F3058" t="s">
        <v>83</v>
      </c>
      <c r="G3058">
        <v>42</v>
      </c>
      <c r="H3058">
        <v>33130</v>
      </c>
      <c r="I3058" t="s">
        <v>1737</v>
      </c>
      <c r="J3058">
        <v>85</v>
      </c>
      <c r="K3058">
        <v>163</v>
      </c>
      <c r="L3058">
        <v>98</v>
      </c>
      <c r="M3058">
        <v>629.20001220999995</v>
      </c>
      <c r="N3058" t="s">
        <v>87</v>
      </c>
      <c r="O3058" t="s">
        <v>86</v>
      </c>
      <c r="P3058">
        <v>131</v>
      </c>
      <c r="Q3058">
        <v>6</v>
      </c>
      <c r="R3058">
        <v>92</v>
      </c>
      <c r="S3058">
        <v>1144</v>
      </c>
      <c r="T3058">
        <v>-40</v>
      </c>
      <c r="U3058">
        <v>54</v>
      </c>
      <c r="V3058">
        <v>820</v>
      </c>
      <c r="W3058">
        <v>33</v>
      </c>
      <c r="X3058">
        <v>33</v>
      </c>
      <c r="Y3058">
        <v>1</v>
      </c>
      <c r="Z3058">
        <v>8</v>
      </c>
      <c r="AA3058">
        <v>28</v>
      </c>
      <c r="AB3058">
        <v>2</v>
      </c>
      <c r="AC3058">
        <v>4</v>
      </c>
      <c r="AD3058">
        <v>3.28600001</v>
      </c>
      <c r="AE3058">
        <v>1</v>
      </c>
      <c r="AF3058">
        <v>42</v>
      </c>
      <c r="AG3058">
        <v>3.27399993</v>
      </c>
      <c r="AH3058">
        <v>4</v>
      </c>
      <c r="AI3058">
        <v>17</v>
      </c>
      <c r="AJ3058">
        <v>1</v>
      </c>
      <c r="AK3058">
        <v>19</v>
      </c>
      <c r="AL3058">
        <v>53</v>
      </c>
      <c r="AM3058" t="s">
        <v>43</v>
      </c>
      <c r="AN3058" t="str">
        <f>HYPERLINK("https://www.google.com/maps?q=10.78963184,79.50640106","Open Location")</f>
        <v>Open Location</v>
      </c>
    </row>
    <row r="3059" spans="1:40" x14ac:dyDescent="0.3">
      <c r="A3059" s="1">
        <v>46210.645601851851</v>
      </c>
      <c r="B3059" t="s">
        <v>40</v>
      </c>
      <c r="C3059" t="s">
        <v>41</v>
      </c>
      <c r="D3059" s="1">
        <v>46210.648344907408</v>
      </c>
      <c r="E3059" t="s">
        <v>42</v>
      </c>
      <c r="F3059" t="s">
        <v>83</v>
      </c>
      <c r="G3059">
        <v>39</v>
      </c>
      <c r="H3059">
        <v>33130</v>
      </c>
      <c r="I3059" t="s">
        <v>1738</v>
      </c>
      <c r="J3059">
        <v>85</v>
      </c>
      <c r="K3059">
        <v>216</v>
      </c>
      <c r="L3059">
        <v>98</v>
      </c>
      <c r="M3059">
        <v>623.5</v>
      </c>
      <c r="N3059" t="s">
        <v>87</v>
      </c>
      <c r="O3059" t="s">
        <v>86</v>
      </c>
      <c r="P3059">
        <v>130</v>
      </c>
      <c r="Q3059">
        <v>5</v>
      </c>
      <c r="R3059">
        <v>107</v>
      </c>
      <c r="S3059">
        <v>1705</v>
      </c>
      <c r="T3059">
        <v>-40</v>
      </c>
      <c r="U3059">
        <v>54</v>
      </c>
      <c r="V3059">
        <v>795</v>
      </c>
      <c r="W3059">
        <v>33</v>
      </c>
      <c r="X3059">
        <v>33</v>
      </c>
      <c r="Y3059">
        <v>1</v>
      </c>
      <c r="Z3059">
        <v>8</v>
      </c>
      <c r="AA3059">
        <v>28</v>
      </c>
      <c r="AB3059">
        <v>2</v>
      </c>
      <c r="AC3059">
        <v>4</v>
      </c>
      <c r="AD3059">
        <v>3.28299999</v>
      </c>
      <c r="AE3059">
        <v>1</v>
      </c>
      <c r="AF3059">
        <v>38</v>
      </c>
      <c r="AG3059">
        <v>3.2699999800000001</v>
      </c>
      <c r="AH3059">
        <v>4</v>
      </c>
      <c r="AI3059">
        <v>17</v>
      </c>
      <c r="AJ3059">
        <v>1</v>
      </c>
      <c r="AK3059">
        <v>19</v>
      </c>
      <c r="AL3059">
        <v>53</v>
      </c>
      <c r="AM3059" t="s">
        <v>43</v>
      </c>
      <c r="AN3059" t="str">
        <f>HYPERLINK("https://www.google.com/maps?q=10.7906332,79.50715637","Open Location")</f>
        <v>Open Location</v>
      </c>
    </row>
    <row r="3060" spans="1:40" x14ac:dyDescent="0.3">
      <c r="A3060" s="1">
        <v>46210.645486111112</v>
      </c>
      <c r="B3060" t="s">
        <v>40</v>
      </c>
      <c r="C3060" t="s">
        <v>41</v>
      </c>
      <c r="D3060" s="1">
        <v>46210.648449074077</v>
      </c>
      <c r="E3060" t="s">
        <v>42</v>
      </c>
      <c r="F3060" t="s">
        <v>83</v>
      </c>
      <c r="G3060">
        <v>34</v>
      </c>
      <c r="H3060">
        <v>33130</v>
      </c>
      <c r="I3060" t="s">
        <v>1739</v>
      </c>
      <c r="J3060">
        <v>85</v>
      </c>
      <c r="K3060">
        <v>212</v>
      </c>
      <c r="L3060">
        <v>98</v>
      </c>
      <c r="M3060">
        <v>627.90002441000001</v>
      </c>
      <c r="N3060" t="s">
        <v>87</v>
      </c>
      <c r="O3060" t="s">
        <v>86</v>
      </c>
      <c r="P3060">
        <v>130</v>
      </c>
      <c r="Q3060">
        <v>5</v>
      </c>
      <c r="R3060">
        <v>151</v>
      </c>
      <c r="S3060">
        <v>1482</v>
      </c>
      <c r="T3060">
        <v>-40</v>
      </c>
      <c r="U3060">
        <v>54</v>
      </c>
      <c r="V3060">
        <v>800</v>
      </c>
      <c r="W3060">
        <v>33</v>
      </c>
      <c r="X3060">
        <v>33</v>
      </c>
      <c r="Y3060">
        <v>1</v>
      </c>
      <c r="Z3060">
        <v>8</v>
      </c>
      <c r="AA3060">
        <v>28</v>
      </c>
      <c r="AB3060">
        <v>2</v>
      </c>
      <c r="AC3060">
        <v>4</v>
      </c>
      <c r="AD3060">
        <v>3.27699995</v>
      </c>
      <c r="AE3060">
        <v>1</v>
      </c>
      <c r="AF3060">
        <v>42</v>
      </c>
      <c r="AG3060">
        <v>3.2609999200000002</v>
      </c>
      <c r="AH3060">
        <v>4</v>
      </c>
      <c r="AI3060">
        <v>17</v>
      </c>
      <c r="AJ3060">
        <v>1</v>
      </c>
      <c r="AK3060">
        <v>19</v>
      </c>
      <c r="AL3060">
        <v>53</v>
      </c>
      <c r="AM3060" t="s">
        <v>43</v>
      </c>
      <c r="AN3060" t="str">
        <f>HYPERLINK("https://www.google.com/maps?q=10.79137611,79.50811005","Open Location")</f>
        <v>Open Location</v>
      </c>
    </row>
    <row r="3061" spans="1:40" x14ac:dyDescent="0.3">
      <c r="A3061" s="1">
        <v>46210.645370370374</v>
      </c>
      <c r="B3061" t="s">
        <v>40</v>
      </c>
      <c r="C3061" t="s">
        <v>41</v>
      </c>
      <c r="D3061" s="1">
        <v>46210.648182870369</v>
      </c>
      <c r="E3061" t="s">
        <v>42</v>
      </c>
      <c r="F3061" t="s">
        <v>83</v>
      </c>
      <c r="G3061">
        <v>33</v>
      </c>
      <c r="H3061">
        <v>33130</v>
      </c>
      <c r="I3061" t="s">
        <v>1740</v>
      </c>
      <c r="J3061">
        <v>85</v>
      </c>
      <c r="K3061">
        <v>-39</v>
      </c>
      <c r="L3061">
        <v>98</v>
      </c>
      <c r="M3061">
        <v>638.29998779000005</v>
      </c>
      <c r="N3061" t="s">
        <v>87</v>
      </c>
      <c r="O3061" t="s">
        <v>86</v>
      </c>
      <c r="P3061">
        <v>131</v>
      </c>
      <c r="Q3061">
        <v>6</v>
      </c>
      <c r="R3061">
        <v>-29</v>
      </c>
      <c r="S3061">
        <v>907</v>
      </c>
      <c r="T3061">
        <v>-40</v>
      </c>
      <c r="U3061">
        <v>51</v>
      </c>
      <c r="V3061">
        <v>-300</v>
      </c>
      <c r="W3061">
        <v>33</v>
      </c>
      <c r="X3061">
        <v>33</v>
      </c>
      <c r="Y3061">
        <v>1</v>
      </c>
      <c r="Z3061">
        <v>8</v>
      </c>
      <c r="AA3061">
        <v>28</v>
      </c>
      <c r="AB3061">
        <v>2</v>
      </c>
      <c r="AC3061">
        <v>4</v>
      </c>
      <c r="AD3061">
        <v>3.3269999000000001</v>
      </c>
      <c r="AE3061">
        <v>1</v>
      </c>
      <c r="AF3061">
        <v>29</v>
      </c>
      <c r="AG3061">
        <v>3.3239998800000001</v>
      </c>
      <c r="AH3061">
        <v>2</v>
      </c>
      <c r="AI3061">
        <v>48</v>
      </c>
      <c r="AJ3061">
        <v>1</v>
      </c>
      <c r="AK3061">
        <v>21</v>
      </c>
      <c r="AL3061">
        <v>53</v>
      </c>
      <c r="AM3061" t="s">
        <v>43</v>
      </c>
      <c r="AN3061" t="str">
        <f>HYPERLINK("https://www.google.com/maps?q=10.79192448,79.50895691","Open Location")</f>
        <v>Open Location</v>
      </c>
    </row>
    <row r="3062" spans="1:40" x14ac:dyDescent="0.3">
      <c r="A3062" s="1">
        <v>46210.645254629628</v>
      </c>
      <c r="B3062" t="s">
        <v>40</v>
      </c>
      <c r="C3062" t="s">
        <v>41</v>
      </c>
      <c r="D3062" s="1">
        <v>46210.647916666669</v>
      </c>
      <c r="E3062" t="s">
        <v>42</v>
      </c>
      <c r="F3062" t="s">
        <v>83</v>
      </c>
      <c r="G3062">
        <v>38</v>
      </c>
      <c r="H3062">
        <v>33130</v>
      </c>
      <c r="I3062" t="s">
        <v>43</v>
      </c>
      <c r="J3062">
        <v>85</v>
      </c>
      <c r="K3062">
        <v>-44</v>
      </c>
      <c r="L3062">
        <v>98</v>
      </c>
      <c r="M3062">
        <v>636.90002441000001</v>
      </c>
      <c r="N3062" t="s">
        <v>87</v>
      </c>
      <c r="O3062" t="s">
        <v>86</v>
      </c>
      <c r="P3062">
        <v>131</v>
      </c>
      <c r="Q3062">
        <v>6</v>
      </c>
      <c r="R3062">
        <v>-34</v>
      </c>
      <c r="S3062">
        <v>1094</v>
      </c>
      <c r="T3062">
        <v>-40</v>
      </c>
      <c r="U3062">
        <v>51</v>
      </c>
      <c r="V3062">
        <v>-300</v>
      </c>
      <c r="W3062">
        <v>33</v>
      </c>
      <c r="X3062">
        <v>33</v>
      </c>
      <c r="Y3062">
        <v>1</v>
      </c>
      <c r="Z3062">
        <v>8</v>
      </c>
      <c r="AA3062">
        <v>28</v>
      </c>
      <c r="AB3062">
        <v>2</v>
      </c>
      <c r="AC3062">
        <v>4</v>
      </c>
      <c r="AD3062">
        <v>3.3239998800000001</v>
      </c>
      <c r="AE3062">
        <v>1</v>
      </c>
      <c r="AF3062">
        <v>26</v>
      </c>
      <c r="AG3062">
        <v>3.3210001</v>
      </c>
      <c r="AH3062">
        <v>5</v>
      </c>
      <c r="AI3062">
        <v>48</v>
      </c>
      <c r="AJ3062">
        <v>1</v>
      </c>
      <c r="AK3062">
        <v>19</v>
      </c>
      <c r="AL3062">
        <v>53</v>
      </c>
      <c r="AM3062" t="s">
        <v>43</v>
      </c>
      <c r="AN3062" t="s">
        <v>43</v>
      </c>
    </row>
    <row r="3063" spans="1:40" x14ac:dyDescent="0.3">
      <c r="A3063" s="1">
        <v>46210.645138888889</v>
      </c>
      <c r="B3063" t="s">
        <v>40</v>
      </c>
      <c r="C3063" t="s">
        <v>41</v>
      </c>
      <c r="D3063" s="1">
        <v>46210.647951388892</v>
      </c>
      <c r="E3063" t="s">
        <v>42</v>
      </c>
      <c r="F3063" t="s">
        <v>83</v>
      </c>
      <c r="G3063">
        <v>41</v>
      </c>
      <c r="H3063">
        <v>33129</v>
      </c>
      <c r="I3063" t="s">
        <v>1741</v>
      </c>
      <c r="J3063">
        <v>85</v>
      </c>
      <c r="K3063">
        <v>97</v>
      </c>
      <c r="L3063">
        <v>98</v>
      </c>
      <c r="M3063">
        <v>631.70001220999995</v>
      </c>
      <c r="N3063" t="s">
        <v>87</v>
      </c>
      <c r="O3063" t="s">
        <v>86</v>
      </c>
      <c r="P3063">
        <v>131</v>
      </c>
      <c r="Q3063">
        <v>6</v>
      </c>
      <c r="R3063">
        <v>55</v>
      </c>
      <c r="S3063">
        <v>1143</v>
      </c>
      <c r="T3063">
        <v>-40</v>
      </c>
      <c r="U3063">
        <v>52</v>
      </c>
      <c r="V3063">
        <v>460</v>
      </c>
      <c r="W3063">
        <v>33</v>
      </c>
      <c r="X3063">
        <v>33</v>
      </c>
      <c r="Y3063">
        <v>1</v>
      </c>
      <c r="Z3063">
        <v>8</v>
      </c>
      <c r="AA3063">
        <v>28</v>
      </c>
      <c r="AB3063">
        <v>2</v>
      </c>
      <c r="AC3063">
        <v>4</v>
      </c>
      <c r="AD3063">
        <v>3.2980000999999999</v>
      </c>
      <c r="AE3063">
        <v>1</v>
      </c>
      <c r="AF3063">
        <v>38</v>
      </c>
      <c r="AG3063">
        <v>3.2899999599999998</v>
      </c>
      <c r="AH3063">
        <v>4</v>
      </c>
      <c r="AI3063">
        <v>17</v>
      </c>
      <c r="AJ3063">
        <v>1</v>
      </c>
      <c r="AK3063">
        <v>19</v>
      </c>
      <c r="AL3063">
        <v>53</v>
      </c>
      <c r="AM3063" t="s">
        <v>43</v>
      </c>
      <c r="AN3063" t="str">
        <f>HYPERLINK("https://www.google.com/maps?q=10.79258537,79.50992584","Open Location")</f>
        <v>Open Location</v>
      </c>
    </row>
    <row r="3064" spans="1:40" x14ac:dyDescent="0.3">
      <c r="A3064" s="1">
        <v>46210.64502314815</v>
      </c>
      <c r="B3064" t="s">
        <v>40</v>
      </c>
      <c r="C3064" t="s">
        <v>41</v>
      </c>
      <c r="D3064" s="1">
        <v>46210.647627314815</v>
      </c>
      <c r="E3064" t="s">
        <v>42</v>
      </c>
      <c r="F3064" t="s">
        <v>83</v>
      </c>
      <c r="G3064">
        <v>41</v>
      </c>
      <c r="H3064">
        <v>33129</v>
      </c>
      <c r="I3064" t="s">
        <v>1742</v>
      </c>
      <c r="J3064">
        <v>85</v>
      </c>
      <c r="K3064">
        <v>85</v>
      </c>
      <c r="L3064">
        <v>98</v>
      </c>
      <c r="M3064">
        <v>631.79998779000005</v>
      </c>
      <c r="N3064" t="s">
        <v>87</v>
      </c>
      <c r="O3064" t="s">
        <v>86</v>
      </c>
      <c r="P3064">
        <v>131</v>
      </c>
      <c r="Q3064">
        <v>6</v>
      </c>
      <c r="R3064">
        <v>57</v>
      </c>
      <c r="S3064">
        <v>1148</v>
      </c>
      <c r="T3064">
        <v>-40</v>
      </c>
      <c r="U3064">
        <v>52</v>
      </c>
      <c r="V3064">
        <v>400</v>
      </c>
      <c r="W3064">
        <v>33</v>
      </c>
      <c r="X3064">
        <v>33</v>
      </c>
      <c r="Y3064">
        <v>1</v>
      </c>
      <c r="Z3064">
        <v>8</v>
      </c>
      <c r="AA3064">
        <v>28</v>
      </c>
      <c r="AB3064">
        <v>2</v>
      </c>
      <c r="AC3064">
        <v>4</v>
      </c>
      <c r="AD3064">
        <v>3.2980000999999999</v>
      </c>
      <c r="AE3064">
        <v>1</v>
      </c>
      <c r="AF3064">
        <v>41</v>
      </c>
      <c r="AG3064">
        <v>3.2899999599999998</v>
      </c>
      <c r="AH3064">
        <v>4</v>
      </c>
      <c r="AI3064">
        <v>17</v>
      </c>
      <c r="AJ3064">
        <v>1</v>
      </c>
      <c r="AK3064">
        <v>19</v>
      </c>
      <c r="AL3064">
        <v>53</v>
      </c>
      <c r="AM3064" t="s">
        <v>43</v>
      </c>
      <c r="AN3064" t="str">
        <f>HYPERLINK("https://www.google.com/maps?q=10.79332542,79.51094055","Open Location")</f>
        <v>Open Location</v>
      </c>
    </row>
    <row r="3065" spans="1:40" x14ac:dyDescent="0.3">
      <c r="A3065" s="1">
        <v>46210.644907407404</v>
      </c>
      <c r="B3065" t="s">
        <v>40</v>
      </c>
      <c r="C3065" t="s">
        <v>41</v>
      </c>
      <c r="D3065" s="1">
        <v>46210.64775462963</v>
      </c>
      <c r="E3065" t="s">
        <v>42</v>
      </c>
      <c r="F3065" t="s">
        <v>83</v>
      </c>
      <c r="G3065">
        <v>42</v>
      </c>
      <c r="H3065">
        <v>33129</v>
      </c>
      <c r="I3065" t="s">
        <v>1743</v>
      </c>
      <c r="J3065">
        <v>85</v>
      </c>
      <c r="K3065">
        <v>88</v>
      </c>
      <c r="L3065">
        <v>98</v>
      </c>
      <c r="M3065">
        <v>632.20001220999995</v>
      </c>
      <c r="N3065" t="s">
        <v>87</v>
      </c>
      <c r="O3065" t="s">
        <v>86</v>
      </c>
      <c r="P3065">
        <v>131</v>
      </c>
      <c r="Q3065">
        <v>6</v>
      </c>
      <c r="R3065">
        <v>46</v>
      </c>
      <c r="S3065">
        <v>1174</v>
      </c>
      <c r="T3065">
        <v>-40</v>
      </c>
      <c r="U3065">
        <v>52</v>
      </c>
      <c r="V3065">
        <v>360</v>
      </c>
      <c r="W3065">
        <v>33</v>
      </c>
      <c r="X3065">
        <v>33</v>
      </c>
      <c r="Y3065">
        <v>1</v>
      </c>
      <c r="Z3065">
        <v>8</v>
      </c>
      <c r="AA3065">
        <v>29</v>
      </c>
      <c r="AB3065">
        <v>1</v>
      </c>
      <c r="AC3065">
        <v>3</v>
      </c>
      <c r="AD3065">
        <v>3.3010001199999999</v>
      </c>
      <c r="AE3065">
        <v>1</v>
      </c>
      <c r="AF3065">
        <v>44</v>
      </c>
      <c r="AG3065">
        <v>3.2939999100000001</v>
      </c>
      <c r="AH3065">
        <v>4</v>
      </c>
      <c r="AI3065">
        <v>17</v>
      </c>
      <c r="AJ3065">
        <v>1</v>
      </c>
      <c r="AK3065">
        <v>19</v>
      </c>
      <c r="AL3065">
        <v>53</v>
      </c>
      <c r="AM3065" t="s">
        <v>43</v>
      </c>
      <c r="AN3065" t="str">
        <f>HYPERLINK("https://www.google.com/maps?q=10.79403305,79.51199341","Open Location")</f>
        <v>Open Location</v>
      </c>
    </row>
    <row r="3066" spans="1:40" x14ac:dyDescent="0.3">
      <c r="A3066" s="1">
        <v>46210.644791666666</v>
      </c>
      <c r="B3066" t="s">
        <v>40</v>
      </c>
      <c r="C3066" t="s">
        <v>41</v>
      </c>
      <c r="D3066" s="1">
        <v>46210.647719907407</v>
      </c>
      <c r="E3066" t="s">
        <v>42</v>
      </c>
      <c r="F3066" t="s">
        <v>83</v>
      </c>
      <c r="G3066">
        <v>43</v>
      </c>
      <c r="H3066">
        <v>33129</v>
      </c>
      <c r="I3066" t="s">
        <v>1744</v>
      </c>
      <c r="J3066">
        <v>85</v>
      </c>
      <c r="K3066">
        <v>74</v>
      </c>
      <c r="L3066">
        <v>98</v>
      </c>
      <c r="M3066">
        <v>632.09997558999999</v>
      </c>
      <c r="N3066" t="s">
        <v>87</v>
      </c>
      <c r="O3066" t="s">
        <v>86</v>
      </c>
      <c r="P3066">
        <v>131</v>
      </c>
      <c r="Q3066">
        <v>6</v>
      </c>
      <c r="R3066">
        <v>49</v>
      </c>
      <c r="S3066">
        <v>1175</v>
      </c>
      <c r="T3066">
        <v>-40</v>
      </c>
      <c r="U3066">
        <v>52</v>
      </c>
      <c r="V3066">
        <v>340</v>
      </c>
      <c r="W3066">
        <v>33</v>
      </c>
      <c r="X3066">
        <v>33</v>
      </c>
      <c r="Y3066">
        <v>1</v>
      </c>
      <c r="Z3066">
        <v>8</v>
      </c>
      <c r="AA3066">
        <v>29</v>
      </c>
      <c r="AB3066">
        <v>1</v>
      </c>
      <c r="AC3066">
        <v>3</v>
      </c>
      <c r="AD3066">
        <v>3.3010001199999999</v>
      </c>
      <c r="AE3066">
        <v>1</v>
      </c>
      <c r="AF3066">
        <v>37</v>
      </c>
      <c r="AG3066">
        <v>3.2950000799999999</v>
      </c>
      <c r="AH3066">
        <v>4</v>
      </c>
      <c r="AI3066">
        <v>17</v>
      </c>
      <c r="AJ3066">
        <v>1</v>
      </c>
      <c r="AK3066">
        <v>19</v>
      </c>
      <c r="AL3066">
        <v>53</v>
      </c>
      <c r="AM3066" t="s">
        <v>43</v>
      </c>
      <c r="AN3066" t="str">
        <f>HYPERLINK("https://www.google.com/maps?q=10.79474545,79.51307678","Open Location")</f>
        <v>Open Location</v>
      </c>
    </row>
    <row r="3067" spans="1:40" x14ac:dyDescent="0.3">
      <c r="A3067" s="1">
        <v>46210.644675925927</v>
      </c>
      <c r="B3067" t="s">
        <v>40</v>
      </c>
      <c r="C3067" t="s">
        <v>41</v>
      </c>
      <c r="D3067" s="1">
        <v>46210.647534722222</v>
      </c>
      <c r="E3067" t="s">
        <v>42</v>
      </c>
      <c r="F3067" t="s">
        <v>83</v>
      </c>
      <c r="G3067">
        <v>41</v>
      </c>
      <c r="H3067">
        <v>33129</v>
      </c>
      <c r="I3067" t="s">
        <v>1745</v>
      </c>
      <c r="J3067">
        <v>85</v>
      </c>
      <c r="K3067">
        <v>-151</v>
      </c>
      <c r="L3067">
        <v>98</v>
      </c>
      <c r="M3067">
        <v>639.29998779000005</v>
      </c>
      <c r="N3067" t="s">
        <v>87</v>
      </c>
      <c r="O3067" t="s">
        <v>86</v>
      </c>
      <c r="P3067">
        <v>131</v>
      </c>
      <c r="Q3067">
        <v>6</v>
      </c>
      <c r="R3067">
        <v>85</v>
      </c>
      <c r="S3067">
        <v>1126</v>
      </c>
      <c r="T3067">
        <v>66</v>
      </c>
      <c r="U3067">
        <v>51</v>
      </c>
      <c r="V3067">
        <v>720</v>
      </c>
      <c r="W3067">
        <v>33</v>
      </c>
      <c r="X3067">
        <v>33</v>
      </c>
      <c r="Y3067">
        <v>1</v>
      </c>
      <c r="Z3067">
        <v>8</v>
      </c>
      <c r="AA3067">
        <v>29</v>
      </c>
      <c r="AB3067">
        <v>1</v>
      </c>
      <c r="AC3067">
        <v>3</v>
      </c>
      <c r="AD3067">
        <v>3.31299996</v>
      </c>
      <c r="AE3067">
        <v>1</v>
      </c>
      <c r="AF3067">
        <v>29</v>
      </c>
      <c r="AG3067">
        <v>3.30999994</v>
      </c>
      <c r="AH3067">
        <v>2</v>
      </c>
      <c r="AI3067">
        <v>15</v>
      </c>
      <c r="AJ3067">
        <v>1</v>
      </c>
      <c r="AK3067">
        <v>19</v>
      </c>
      <c r="AL3067">
        <v>53</v>
      </c>
      <c r="AM3067" t="s">
        <v>43</v>
      </c>
      <c r="AN3067" t="str">
        <f>HYPERLINK("https://www.google.com/maps?q=10.79539871,79.51416779","Open Location")</f>
        <v>Open Location</v>
      </c>
    </row>
    <row r="3068" spans="1:40" x14ac:dyDescent="0.3">
      <c r="A3068" s="1">
        <v>46210.644560185188</v>
      </c>
      <c r="B3068" t="s">
        <v>40</v>
      </c>
      <c r="C3068" t="s">
        <v>41</v>
      </c>
      <c r="D3068" s="1">
        <v>46210.647222222222</v>
      </c>
      <c r="E3068" t="s">
        <v>42</v>
      </c>
      <c r="F3068" t="s">
        <v>83</v>
      </c>
      <c r="G3068">
        <v>44</v>
      </c>
      <c r="H3068" t="s">
        <v>43</v>
      </c>
      <c r="I3068" t="s">
        <v>43</v>
      </c>
      <c r="J3068">
        <v>85</v>
      </c>
      <c r="K3068">
        <v>110</v>
      </c>
      <c r="L3068">
        <v>98</v>
      </c>
      <c r="M3068">
        <v>630.59997558999999</v>
      </c>
      <c r="N3068" t="s">
        <v>87</v>
      </c>
      <c r="O3068" t="s">
        <v>86</v>
      </c>
      <c r="P3068">
        <v>131</v>
      </c>
      <c r="Q3068">
        <v>6</v>
      </c>
      <c r="R3068">
        <v>62</v>
      </c>
      <c r="S3068">
        <v>1257</v>
      </c>
      <c r="T3068">
        <v>-40</v>
      </c>
      <c r="U3068">
        <v>52</v>
      </c>
      <c r="V3068">
        <v>480</v>
      </c>
      <c r="W3068">
        <v>33</v>
      </c>
      <c r="X3068">
        <v>33</v>
      </c>
      <c r="Y3068">
        <v>1</v>
      </c>
      <c r="Z3068">
        <v>8</v>
      </c>
      <c r="AA3068">
        <v>29</v>
      </c>
      <c r="AB3068">
        <v>1</v>
      </c>
      <c r="AC3068">
        <v>3</v>
      </c>
      <c r="AD3068">
        <v>3.2929999799999998</v>
      </c>
      <c r="AE3068">
        <v>1</v>
      </c>
      <c r="AF3068">
        <v>38</v>
      </c>
      <c r="AG3068">
        <v>3.2839999199999999</v>
      </c>
      <c r="AH3068">
        <v>4</v>
      </c>
      <c r="AI3068">
        <v>17</v>
      </c>
      <c r="AJ3068">
        <v>1</v>
      </c>
      <c r="AK3068">
        <v>19</v>
      </c>
      <c r="AL3068">
        <v>53</v>
      </c>
      <c r="AM3068" t="s">
        <v>43</v>
      </c>
      <c r="AN3068" t="s">
        <v>43</v>
      </c>
    </row>
    <row r="3069" spans="1:40" x14ac:dyDescent="0.3">
      <c r="A3069" s="1">
        <v>46210.644444444442</v>
      </c>
      <c r="B3069" t="s">
        <v>40</v>
      </c>
      <c r="C3069" t="s">
        <v>41</v>
      </c>
      <c r="D3069" s="1">
        <v>46210.647499999999</v>
      </c>
      <c r="E3069" t="s">
        <v>42</v>
      </c>
      <c r="F3069" t="s">
        <v>83</v>
      </c>
      <c r="G3069">
        <v>45</v>
      </c>
      <c r="H3069">
        <v>33129</v>
      </c>
      <c r="I3069" t="s">
        <v>1746</v>
      </c>
      <c r="J3069">
        <v>86</v>
      </c>
      <c r="K3069">
        <v>136</v>
      </c>
      <c r="L3069">
        <v>98</v>
      </c>
      <c r="M3069">
        <v>629.59997558999999</v>
      </c>
      <c r="N3069" t="s">
        <v>87</v>
      </c>
      <c r="O3069" t="s">
        <v>86</v>
      </c>
      <c r="P3069">
        <v>131</v>
      </c>
      <c r="Q3069">
        <v>6</v>
      </c>
      <c r="R3069">
        <v>65</v>
      </c>
      <c r="S3069">
        <v>1265</v>
      </c>
      <c r="T3069">
        <v>-40</v>
      </c>
      <c r="U3069">
        <v>53</v>
      </c>
      <c r="V3069">
        <v>500</v>
      </c>
      <c r="W3069">
        <v>33</v>
      </c>
      <c r="X3069">
        <v>33</v>
      </c>
      <c r="Y3069">
        <v>1</v>
      </c>
      <c r="Z3069">
        <v>8</v>
      </c>
      <c r="AA3069">
        <v>29</v>
      </c>
      <c r="AB3069">
        <v>1</v>
      </c>
      <c r="AC3069">
        <v>3</v>
      </c>
      <c r="AD3069">
        <v>3.2920000599999999</v>
      </c>
      <c r="AE3069">
        <v>1</v>
      </c>
      <c r="AF3069">
        <v>42</v>
      </c>
      <c r="AG3069">
        <v>3.28299999</v>
      </c>
      <c r="AH3069">
        <v>4</v>
      </c>
      <c r="AI3069">
        <v>17</v>
      </c>
      <c r="AJ3069">
        <v>1</v>
      </c>
      <c r="AK3069">
        <v>19</v>
      </c>
      <c r="AL3069">
        <v>53</v>
      </c>
      <c r="AM3069" t="s">
        <v>43</v>
      </c>
      <c r="AN3069" t="str">
        <f>HYPERLINK("https://www.google.com/maps?q=10.79627609,79.51534271","Open Location")</f>
        <v>Open Location</v>
      </c>
    </row>
    <row r="3070" spans="1:40" x14ac:dyDescent="0.3">
      <c r="A3070" s="1">
        <v>46210.644328703704</v>
      </c>
      <c r="B3070" t="s">
        <v>40</v>
      </c>
      <c r="C3070" t="s">
        <v>41</v>
      </c>
      <c r="D3070" s="1">
        <v>46210.646967592591</v>
      </c>
      <c r="E3070" t="s">
        <v>42</v>
      </c>
      <c r="F3070" t="s">
        <v>83</v>
      </c>
      <c r="G3070">
        <v>45</v>
      </c>
      <c r="H3070">
        <v>33129</v>
      </c>
      <c r="I3070" t="s">
        <v>1747</v>
      </c>
      <c r="J3070">
        <v>86</v>
      </c>
      <c r="K3070">
        <v>121</v>
      </c>
      <c r="L3070">
        <v>98</v>
      </c>
      <c r="M3070">
        <v>629.90002441000001</v>
      </c>
      <c r="N3070" t="s">
        <v>87</v>
      </c>
      <c r="O3070" t="s">
        <v>86</v>
      </c>
      <c r="P3070">
        <v>131</v>
      </c>
      <c r="Q3070">
        <v>6</v>
      </c>
      <c r="R3070">
        <v>62</v>
      </c>
      <c r="S3070">
        <v>1239</v>
      </c>
      <c r="T3070">
        <v>-40</v>
      </c>
      <c r="U3070">
        <v>53</v>
      </c>
      <c r="V3070">
        <v>540</v>
      </c>
      <c r="W3070">
        <v>33</v>
      </c>
      <c r="X3070">
        <v>33</v>
      </c>
      <c r="Y3070">
        <v>1</v>
      </c>
      <c r="Z3070">
        <v>8</v>
      </c>
      <c r="AA3070">
        <v>29</v>
      </c>
      <c r="AB3070">
        <v>1</v>
      </c>
      <c r="AC3070">
        <v>3</v>
      </c>
      <c r="AD3070">
        <v>3.2939999100000001</v>
      </c>
      <c r="AE3070">
        <v>1</v>
      </c>
      <c r="AF3070">
        <v>41</v>
      </c>
      <c r="AG3070">
        <v>3.28500009</v>
      </c>
      <c r="AH3070">
        <v>4</v>
      </c>
      <c r="AI3070">
        <v>17</v>
      </c>
      <c r="AJ3070">
        <v>1</v>
      </c>
      <c r="AK3070">
        <v>19</v>
      </c>
      <c r="AL3070">
        <v>53</v>
      </c>
      <c r="AM3070" t="s">
        <v>43</v>
      </c>
      <c r="AN3070" t="str">
        <f>HYPERLINK("https://www.google.com/maps?q=10.79701424,79.51651764","Open Location")</f>
        <v>Open Location</v>
      </c>
    </row>
    <row r="3071" spans="1:40" x14ac:dyDescent="0.3">
      <c r="A3071" s="1">
        <v>46210.644212962965</v>
      </c>
      <c r="B3071" t="s">
        <v>40</v>
      </c>
      <c r="C3071" t="s">
        <v>41</v>
      </c>
      <c r="D3071" s="1">
        <v>46210.647013888891</v>
      </c>
      <c r="E3071" t="s">
        <v>42</v>
      </c>
      <c r="F3071" t="s">
        <v>83</v>
      </c>
      <c r="G3071">
        <v>44</v>
      </c>
      <c r="H3071">
        <v>33129</v>
      </c>
      <c r="I3071" t="s">
        <v>1748</v>
      </c>
      <c r="J3071">
        <v>86</v>
      </c>
      <c r="K3071">
        <v>118</v>
      </c>
      <c r="L3071">
        <v>98</v>
      </c>
      <c r="M3071">
        <v>630</v>
      </c>
      <c r="N3071" t="s">
        <v>87</v>
      </c>
      <c r="O3071" t="s">
        <v>86</v>
      </c>
      <c r="P3071">
        <v>131</v>
      </c>
      <c r="Q3071">
        <v>6</v>
      </c>
      <c r="R3071">
        <v>69</v>
      </c>
      <c r="S3071">
        <v>1225</v>
      </c>
      <c r="T3071">
        <v>-40</v>
      </c>
      <c r="U3071">
        <v>53</v>
      </c>
      <c r="V3071">
        <v>540</v>
      </c>
      <c r="W3071">
        <v>33</v>
      </c>
      <c r="X3071">
        <v>33</v>
      </c>
      <c r="Y3071">
        <v>1</v>
      </c>
      <c r="Z3071">
        <v>8</v>
      </c>
      <c r="AA3071">
        <v>29</v>
      </c>
      <c r="AB3071">
        <v>1</v>
      </c>
      <c r="AC3071">
        <v>3</v>
      </c>
      <c r="AD3071">
        <v>3.2909998900000001</v>
      </c>
      <c r="AE3071">
        <v>1</v>
      </c>
      <c r="AF3071">
        <v>38</v>
      </c>
      <c r="AG3071">
        <v>3.2820000600000001</v>
      </c>
      <c r="AH3071">
        <v>4</v>
      </c>
      <c r="AI3071">
        <v>17</v>
      </c>
      <c r="AJ3071">
        <v>1</v>
      </c>
      <c r="AK3071">
        <v>19</v>
      </c>
      <c r="AL3071">
        <v>53</v>
      </c>
      <c r="AM3071" t="s">
        <v>43</v>
      </c>
      <c r="AN3071" t="str">
        <f>HYPERLINK("https://www.google.com/maps?q=10.79781532,79.51760864","Open Location")</f>
        <v>Open Location</v>
      </c>
    </row>
    <row r="3072" spans="1:40" x14ac:dyDescent="0.3">
      <c r="A3072" s="1">
        <v>46210.644097222219</v>
      </c>
      <c r="B3072" t="s">
        <v>40</v>
      </c>
      <c r="C3072" t="s">
        <v>41</v>
      </c>
      <c r="D3072" s="1">
        <v>46210.646967592591</v>
      </c>
      <c r="E3072" t="s">
        <v>42</v>
      </c>
      <c r="F3072" t="s">
        <v>83</v>
      </c>
      <c r="G3072">
        <v>44</v>
      </c>
      <c r="H3072">
        <v>33128</v>
      </c>
      <c r="I3072" t="s">
        <v>1749</v>
      </c>
      <c r="J3072">
        <v>86</v>
      </c>
      <c r="K3072">
        <v>159</v>
      </c>
      <c r="L3072">
        <v>98</v>
      </c>
      <c r="M3072">
        <v>628.09997558999999</v>
      </c>
      <c r="N3072" t="s">
        <v>87</v>
      </c>
      <c r="O3072" t="s">
        <v>86</v>
      </c>
      <c r="P3072">
        <v>131</v>
      </c>
      <c r="Q3072">
        <v>6</v>
      </c>
      <c r="R3072">
        <v>61</v>
      </c>
      <c r="S3072">
        <v>1213</v>
      </c>
      <c r="T3072">
        <v>-40</v>
      </c>
      <c r="U3072">
        <v>54</v>
      </c>
      <c r="V3072">
        <v>740</v>
      </c>
      <c r="W3072">
        <v>33</v>
      </c>
      <c r="X3072">
        <v>33</v>
      </c>
      <c r="Y3072">
        <v>1</v>
      </c>
      <c r="Z3072">
        <v>8</v>
      </c>
      <c r="AA3072">
        <v>29</v>
      </c>
      <c r="AB3072">
        <v>1</v>
      </c>
      <c r="AC3072">
        <v>3</v>
      </c>
      <c r="AD3072">
        <v>3.2920000599999999</v>
      </c>
      <c r="AE3072">
        <v>1</v>
      </c>
      <c r="AF3072">
        <v>38</v>
      </c>
      <c r="AG3072">
        <v>3.28299999</v>
      </c>
      <c r="AH3072">
        <v>4</v>
      </c>
      <c r="AI3072">
        <v>17</v>
      </c>
      <c r="AJ3072">
        <v>1</v>
      </c>
      <c r="AK3072">
        <v>19</v>
      </c>
      <c r="AL3072">
        <v>53</v>
      </c>
      <c r="AM3072" t="s">
        <v>43</v>
      </c>
      <c r="AN3072" t="str">
        <f>HYPERLINK("https://www.google.com/maps?q=10.79868793,79.51862335","Open Location")</f>
        <v>Open Location</v>
      </c>
    </row>
    <row r="3073" spans="1:40" x14ac:dyDescent="0.3">
      <c r="A3073" s="1">
        <v>46210.64398148148</v>
      </c>
      <c r="B3073" t="s">
        <v>40</v>
      </c>
      <c r="C3073" t="s">
        <v>41</v>
      </c>
      <c r="D3073" s="1">
        <v>46210.646840277775</v>
      </c>
      <c r="E3073" t="s">
        <v>42</v>
      </c>
      <c r="F3073" t="s">
        <v>83</v>
      </c>
      <c r="G3073">
        <v>43</v>
      </c>
      <c r="H3073">
        <v>33128</v>
      </c>
      <c r="I3073" t="s">
        <v>43</v>
      </c>
      <c r="J3073">
        <v>86</v>
      </c>
      <c r="K3073">
        <v>169</v>
      </c>
      <c r="L3073">
        <v>98</v>
      </c>
      <c r="M3073">
        <v>628.79998779000005</v>
      </c>
      <c r="N3073" t="s">
        <v>87</v>
      </c>
      <c r="O3073" t="s">
        <v>86</v>
      </c>
      <c r="P3073">
        <v>131</v>
      </c>
      <c r="Q3073">
        <v>6</v>
      </c>
      <c r="R3073">
        <v>99</v>
      </c>
      <c r="S3073">
        <v>1179</v>
      </c>
      <c r="T3073">
        <v>-40</v>
      </c>
      <c r="U3073">
        <v>54</v>
      </c>
      <c r="V3073">
        <v>800</v>
      </c>
      <c r="W3073">
        <v>33</v>
      </c>
      <c r="X3073">
        <v>33</v>
      </c>
      <c r="Y3073">
        <v>1</v>
      </c>
      <c r="Z3073">
        <v>8</v>
      </c>
      <c r="AA3073">
        <v>29</v>
      </c>
      <c r="AB3073">
        <v>1</v>
      </c>
      <c r="AC3073">
        <v>3</v>
      </c>
      <c r="AD3073">
        <v>3.2839999199999999</v>
      </c>
      <c r="AE3073">
        <v>1</v>
      </c>
      <c r="AF3073">
        <v>38</v>
      </c>
      <c r="AG3073">
        <v>3.2730000000000001</v>
      </c>
      <c r="AH3073">
        <v>4</v>
      </c>
      <c r="AI3073">
        <v>17</v>
      </c>
      <c r="AJ3073">
        <v>1</v>
      </c>
      <c r="AK3073">
        <v>19</v>
      </c>
      <c r="AL3073">
        <v>53</v>
      </c>
      <c r="AM3073" t="s">
        <v>43</v>
      </c>
      <c r="AN3073" t="s">
        <v>43</v>
      </c>
    </row>
    <row r="3074" spans="1:40" x14ac:dyDescent="0.3">
      <c r="A3074" s="1">
        <v>46210.643865740742</v>
      </c>
      <c r="B3074" t="s">
        <v>40</v>
      </c>
      <c r="C3074" t="s">
        <v>41</v>
      </c>
      <c r="D3074" s="1">
        <v>46210.646655092591</v>
      </c>
      <c r="E3074" t="s">
        <v>42</v>
      </c>
      <c r="F3074" t="s">
        <v>83</v>
      </c>
      <c r="G3074">
        <v>42</v>
      </c>
      <c r="H3074">
        <v>33128</v>
      </c>
      <c r="I3074" t="s">
        <v>43</v>
      </c>
      <c r="J3074">
        <v>86</v>
      </c>
      <c r="K3074">
        <v>110</v>
      </c>
      <c r="L3074">
        <v>98</v>
      </c>
      <c r="M3074">
        <v>630.70001220999995</v>
      </c>
      <c r="N3074" t="s">
        <v>87</v>
      </c>
      <c r="O3074" t="s">
        <v>86</v>
      </c>
      <c r="P3074">
        <v>131</v>
      </c>
      <c r="Q3074">
        <v>6</v>
      </c>
      <c r="R3074">
        <v>62</v>
      </c>
      <c r="S3074">
        <v>1191</v>
      </c>
      <c r="T3074">
        <v>-40</v>
      </c>
      <c r="U3074">
        <v>52</v>
      </c>
      <c r="V3074">
        <v>500</v>
      </c>
      <c r="W3074">
        <v>33</v>
      </c>
      <c r="X3074">
        <v>33</v>
      </c>
      <c r="Y3074">
        <v>1</v>
      </c>
      <c r="Z3074">
        <v>8</v>
      </c>
      <c r="AA3074">
        <v>29</v>
      </c>
      <c r="AB3074">
        <v>1</v>
      </c>
      <c r="AC3074">
        <v>3</v>
      </c>
      <c r="AD3074">
        <v>3.2950000799999999</v>
      </c>
      <c r="AE3074">
        <v>1</v>
      </c>
      <c r="AF3074">
        <v>38</v>
      </c>
      <c r="AG3074">
        <v>3.2869999399999998</v>
      </c>
      <c r="AH3074">
        <v>4</v>
      </c>
      <c r="AI3074">
        <v>17</v>
      </c>
      <c r="AJ3074">
        <v>1</v>
      </c>
      <c r="AK3074">
        <v>19</v>
      </c>
      <c r="AL3074">
        <v>53</v>
      </c>
      <c r="AM3074" t="s">
        <v>43</v>
      </c>
      <c r="AN3074" t="s">
        <v>43</v>
      </c>
    </row>
    <row r="3075" spans="1:40" x14ac:dyDescent="0.3">
      <c r="A3075" s="1">
        <v>46210.643750000003</v>
      </c>
      <c r="B3075" t="s">
        <v>40</v>
      </c>
      <c r="C3075" t="s">
        <v>41</v>
      </c>
      <c r="D3075" s="1">
        <v>46210.646365740744</v>
      </c>
      <c r="E3075" t="s">
        <v>42</v>
      </c>
      <c r="F3075" t="s">
        <v>83</v>
      </c>
      <c r="G3075">
        <v>43</v>
      </c>
      <c r="H3075">
        <v>33128</v>
      </c>
      <c r="I3075" t="s">
        <v>1750</v>
      </c>
      <c r="J3075">
        <v>86</v>
      </c>
      <c r="K3075">
        <v>88</v>
      </c>
      <c r="L3075">
        <v>98</v>
      </c>
      <c r="M3075">
        <v>631.5</v>
      </c>
      <c r="N3075" t="s">
        <v>87</v>
      </c>
      <c r="O3075" t="s">
        <v>86</v>
      </c>
      <c r="P3075">
        <v>131</v>
      </c>
      <c r="Q3075">
        <v>6</v>
      </c>
      <c r="R3075">
        <v>50</v>
      </c>
      <c r="S3075">
        <v>1197</v>
      </c>
      <c r="T3075">
        <v>-40</v>
      </c>
      <c r="U3075">
        <v>52</v>
      </c>
      <c r="V3075">
        <v>400</v>
      </c>
      <c r="W3075">
        <v>33</v>
      </c>
      <c r="X3075">
        <v>33</v>
      </c>
      <c r="Y3075">
        <v>1</v>
      </c>
      <c r="Z3075">
        <v>8</v>
      </c>
      <c r="AA3075">
        <v>29</v>
      </c>
      <c r="AB3075">
        <v>1</v>
      </c>
      <c r="AC3075">
        <v>3</v>
      </c>
      <c r="AD3075">
        <v>3.2990000199999998</v>
      </c>
      <c r="AE3075">
        <v>1</v>
      </c>
      <c r="AF3075">
        <v>44</v>
      </c>
      <c r="AG3075">
        <v>3.2909998900000001</v>
      </c>
      <c r="AH3075">
        <v>4</v>
      </c>
      <c r="AI3075">
        <v>17</v>
      </c>
      <c r="AJ3075">
        <v>1</v>
      </c>
      <c r="AK3075">
        <v>19</v>
      </c>
      <c r="AL3075">
        <v>53</v>
      </c>
      <c r="AM3075" t="s">
        <v>43</v>
      </c>
      <c r="AN3075" t="str">
        <f>HYPERLINK("https://www.google.com/maps?q=10.80045509,79.52053833","Open Location")</f>
        <v>Open Location</v>
      </c>
    </row>
    <row r="3076" spans="1:40" x14ac:dyDescent="0.3">
      <c r="A3076" s="1">
        <v>46210.643634259257</v>
      </c>
      <c r="B3076" t="s">
        <v>40</v>
      </c>
      <c r="C3076" t="s">
        <v>41</v>
      </c>
      <c r="D3076" s="1">
        <v>46210.646539351852</v>
      </c>
      <c r="E3076" t="s">
        <v>42</v>
      </c>
      <c r="F3076" t="s">
        <v>83</v>
      </c>
      <c r="G3076">
        <v>42</v>
      </c>
      <c r="H3076">
        <v>33128</v>
      </c>
      <c r="I3076" t="s">
        <v>1751</v>
      </c>
      <c r="J3076">
        <v>86</v>
      </c>
      <c r="K3076">
        <v>102</v>
      </c>
      <c r="L3076">
        <v>98</v>
      </c>
      <c r="M3076">
        <v>631.5</v>
      </c>
      <c r="N3076" t="s">
        <v>87</v>
      </c>
      <c r="O3076" t="s">
        <v>86</v>
      </c>
      <c r="P3076">
        <v>131</v>
      </c>
      <c r="Q3076">
        <v>6</v>
      </c>
      <c r="R3076">
        <v>58</v>
      </c>
      <c r="S3076">
        <v>1152</v>
      </c>
      <c r="T3076">
        <v>-40</v>
      </c>
      <c r="U3076">
        <v>52</v>
      </c>
      <c r="V3076">
        <v>480</v>
      </c>
      <c r="W3076">
        <v>33</v>
      </c>
      <c r="X3076">
        <v>33</v>
      </c>
      <c r="Y3076">
        <v>1</v>
      </c>
      <c r="Z3076">
        <v>8</v>
      </c>
      <c r="AA3076">
        <v>29</v>
      </c>
      <c r="AB3076">
        <v>2</v>
      </c>
      <c r="AC3076">
        <v>1</v>
      </c>
      <c r="AD3076">
        <v>3.2959999999999998</v>
      </c>
      <c r="AE3076">
        <v>1</v>
      </c>
      <c r="AF3076">
        <v>41</v>
      </c>
      <c r="AG3076">
        <v>3.2869999399999998</v>
      </c>
      <c r="AH3076">
        <v>4</v>
      </c>
      <c r="AI3076">
        <v>17</v>
      </c>
      <c r="AJ3076">
        <v>1</v>
      </c>
      <c r="AK3076">
        <v>19</v>
      </c>
      <c r="AL3076">
        <v>53</v>
      </c>
      <c r="AM3076" t="s">
        <v>43</v>
      </c>
      <c r="AN3076" t="str">
        <f>HYPERLINK("https://www.google.com/maps?q=10.80092716,79.52175903","Open Location")</f>
        <v>Open Location</v>
      </c>
    </row>
    <row r="3077" spans="1:40" x14ac:dyDescent="0.3">
      <c r="A3077" s="1">
        <v>46210.643518518518</v>
      </c>
      <c r="B3077" t="s">
        <v>40</v>
      </c>
      <c r="C3077" t="s">
        <v>41</v>
      </c>
      <c r="D3077" s="1">
        <v>46210.646226851852</v>
      </c>
      <c r="E3077" t="s">
        <v>42</v>
      </c>
      <c r="F3077" t="s">
        <v>83</v>
      </c>
      <c r="G3077">
        <v>41</v>
      </c>
      <c r="H3077">
        <v>33128</v>
      </c>
      <c r="I3077" t="s">
        <v>1752</v>
      </c>
      <c r="J3077">
        <v>86</v>
      </c>
      <c r="K3077">
        <v>81</v>
      </c>
      <c r="L3077">
        <v>98</v>
      </c>
      <c r="M3077">
        <v>631.90002441000001</v>
      </c>
      <c r="N3077" t="s">
        <v>87</v>
      </c>
      <c r="O3077" t="s">
        <v>86</v>
      </c>
      <c r="P3077">
        <v>131</v>
      </c>
      <c r="Q3077">
        <v>6</v>
      </c>
      <c r="R3077">
        <v>54</v>
      </c>
      <c r="S3077">
        <v>1146</v>
      </c>
      <c r="T3077">
        <v>-40</v>
      </c>
      <c r="U3077">
        <v>52</v>
      </c>
      <c r="V3077">
        <v>380</v>
      </c>
      <c r="W3077">
        <v>33</v>
      </c>
      <c r="X3077">
        <v>33</v>
      </c>
      <c r="Y3077">
        <v>1</v>
      </c>
      <c r="Z3077">
        <v>8</v>
      </c>
      <c r="AA3077">
        <v>29</v>
      </c>
      <c r="AB3077">
        <v>2</v>
      </c>
      <c r="AC3077">
        <v>1</v>
      </c>
      <c r="AD3077">
        <v>3.2980000999999999</v>
      </c>
      <c r="AE3077">
        <v>1</v>
      </c>
      <c r="AF3077">
        <v>38</v>
      </c>
      <c r="AG3077">
        <v>3.2899999599999998</v>
      </c>
      <c r="AH3077">
        <v>4</v>
      </c>
      <c r="AI3077">
        <v>17</v>
      </c>
      <c r="AJ3077">
        <v>1</v>
      </c>
      <c r="AK3077">
        <v>19</v>
      </c>
      <c r="AL3077">
        <v>53</v>
      </c>
      <c r="AM3077" t="s">
        <v>43</v>
      </c>
      <c r="AN3077" t="str">
        <f>HYPERLINK("https://www.google.com/maps?q=10.8012886,79.52307892","Open Location")</f>
        <v>Open Location</v>
      </c>
    </row>
    <row r="3078" spans="1:40" x14ac:dyDescent="0.3">
      <c r="A3078" s="1">
        <v>46210.64340277778</v>
      </c>
      <c r="B3078" t="s">
        <v>40</v>
      </c>
      <c r="C3078" t="s">
        <v>41</v>
      </c>
      <c r="D3078" s="1">
        <v>46210.646180555559</v>
      </c>
      <c r="E3078" t="s">
        <v>42</v>
      </c>
      <c r="F3078" t="s">
        <v>83</v>
      </c>
      <c r="G3078">
        <v>42</v>
      </c>
      <c r="H3078">
        <v>33128</v>
      </c>
      <c r="I3078" t="s">
        <v>1753</v>
      </c>
      <c r="J3078">
        <v>86</v>
      </c>
      <c r="K3078">
        <v>109</v>
      </c>
      <c r="L3078">
        <v>98</v>
      </c>
      <c r="M3078">
        <v>630.79998779000005</v>
      </c>
      <c r="N3078" t="s">
        <v>87</v>
      </c>
      <c r="O3078" t="s">
        <v>86</v>
      </c>
      <c r="P3078">
        <v>131</v>
      </c>
      <c r="Q3078">
        <v>6</v>
      </c>
      <c r="R3078">
        <v>61</v>
      </c>
      <c r="S3078">
        <v>1187</v>
      </c>
      <c r="T3078">
        <v>-40</v>
      </c>
      <c r="U3078">
        <v>53</v>
      </c>
      <c r="V3078">
        <v>500</v>
      </c>
      <c r="W3078">
        <v>33</v>
      </c>
      <c r="X3078">
        <v>33</v>
      </c>
      <c r="Y3078">
        <v>1</v>
      </c>
      <c r="Z3078">
        <v>8</v>
      </c>
      <c r="AA3078">
        <v>29</v>
      </c>
      <c r="AB3078">
        <v>2</v>
      </c>
      <c r="AC3078">
        <v>1</v>
      </c>
      <c r="AD3078">
        <v>3.2939999100000001</v>
      </c>
      <c r="AE3078">
        <v>1</v>
      </c>
      <c r="AF3078">
        <v>38</v>
      </c>
      <c r="AG3078">
        <v>3.28600001</v>
      </c>
      <c r="AH3078">
        <v>4</v>
      </c>
      <c r="AI3078">
        <v>17</v>
      </c>
      <c r="AJ3078">
        <v>1</v>
      </c>
      <c r="AK3078">
        <v>19</v>
      </c>
      <c r="AL3078">
        <v>53</v>
      </c>
      <c r="AM3078" t="s">
        <v>43</v>
      </c>
      <c r="AN3078" t="str">
        <f>HYPERLINK("https://www.google.com/maps?q=10.80177212,79.5242691","Open Location")</f>
        <v>Open Location</v>
      </c>
    </row>
    <row r="3079" spans="1:40" x14ac:dyDescent="0.3">
      <c r="A3079" s="1">
        <v>46210.643287037034</v>
      </c>
      <c r="B3079" t="s">
        <v>40</v>
      </c>
      <c r="C3079" t="s">
        <v>41</v>
      </c>
      <c r="D3079" s="1">
        <v>46210.646041666667</v>
      </c>
      <c r="E3079" t="s">
        <v>42</v>
      </c>
      <c r="F3079" t="s">
        <v>83</v>
      </c>
      <c r="G3079">
        <v>43</v>
      </c>
      <c r="H3079">
        <v>33128</v>
      </c>
      <c r="I3079" t="s">
        <v>43</v>
      </c>
      <c r="J3079">
        <v>86</v>
      </c>
      <c r="K3079">
        <v>112</v>
      </c>
      <c r="L3079">
        <v>98</v>
      </c>
      <c r="M3079">
        <v>630.29998779000005</v>
      </c>
      <c r="N3079" t="s">
        <v>87</v>
      </c>
      <c r="O3079" t="s">
        <v>86</v>
      </c>
      <c r="P3079">
        <v>131</v>
      </c>
      <c r="Q3079">
        <v>6</v>
      </c>
      <c r="R3079">
        <v>56</v>
      </c>
      <c r="S3079">
        <v>1179</v>
      </c>
      <c r="T3079">
        <v>-40</v>
      </c>
      <c r="U3079">
        <v>53</v>
      </c>
      <c r="V3079">
        <v>520</v>
      </c>
      <c r="W3079">
        <v>33</v>
      </c>
      <c r="X3079">
        <v>33</v>
      </c>
      <c r="Y3079">
        <v>1</v>
      </c>
      <c r="Z3079">
        <v>8</v>
      </c>
      <c r="AA3079">
        <v>29</v>
      </c>
      <c r="AB3079">
        <v>2</v>
      </c>
      <c r="AC3079">
        <v>1</v>
      </c>
      <c r="AD3079">
        <v>3.2950000799999999</v>
      </c>
      <c r="AE3079">
        <v>1</v>
      </c>
      <c r="AF3079">
        <v>38</v>
      </c>
      <c r="AG3079">
        <v>3.2869999399999998</v>
      </c>
      <c r="AH3079">
        <v>4</v>
      </c>
      <c r="AI3079">
        <v>17</v>
      </c>
      <c r="AJ3079">
        <v>1</v>
      </c>
      <c r="AK3079">
        <v>19</v>
      </c>
      <c r="AL3079">
        <v>53</v>
      </c>
      <c r="AM3079" t="s">
        <v>43</v>
      </c>
      <c r="AN3079" t="s">
        <v>43</v>
      </c>
    </row>
    <row r="3080" spans="1:40" x14ac:dyDescent="0.3">
      <c r="A3080" s="1">
        <v>46210.643171296295</v>
      </c>
      <c r="B3080" t="s">
        <v>40</v>
      </c>
      <c r="C3080" t="s">
        <v>41</v>
      </c>
      <c r="D3080" s="1">
        <v>46210.645925925928</v>
      </c>
      <c r="E3080" t="s">
        <v>42</v>
      </c>
      <c r="F3080" t="s">
        <v>83</v>
      </c>
      <c r="G3080">
        <v>42</v>
      </c>
      <c r="H3080">
        <v>33127</v>
      </c>
      <c r="I3080" t="s">
        <v>1754</v>
      </c>
      <c r="J3080">
        <v>86</v>
      </c>
      <c r="K3080">
        <v>130</v>
      </c>
      <c r="L3080">
        <v>98</v>
      </c>
      <c r="M3080">
        <v>629.40002441000001</v>
      </c>
      <c r="N3080" t="s">
        <v>87</v>
      </c>
      <c r="O3080" t="s">
        <v>86</v>
      </c>
      <c r="P3080">
        <v>131</v>
      </c>
      <c r="Q3080">
        <v>6</v>
      </c>
      <c r="R3080">
        <v>83</v>
      </c>
      <c r="S3080">
        <v>1159</v>
      </c>
      <c r="T3080">
        <v>-40</v>
      </c>
      <c r="U3080">
        <v>53</v>
      </c>
      <c r="V3080">
        <v>560</v>
      </c>
      <c r="W3080">
        <v>33</v>
      </c>
      <c r="X3080">
        <v>33</v>
      </c>
      <c r="Y3080">
        <v>1</v>
      </c>
      <c r="Z3080">
        <v>8</v>
      </c>
      <c r="AA3080">
        <v>29</v>
      </c>
      <c r="AB3080">
        <v>2</v>
      </c>
      <c r="AC3080">
        <v>1</v>
      </c>
      <c r="AD3080">
        <v>3.2939999100000001</v>
      </c>
      <c r="AE3080">
        <v>1</v>
      </c>
      <c r="AF3080">
        <v>44</v>
      </c>
      <c r="AG3080">
        <v>3.28500009</v>
      </c>
      <c r="AH3080">
        <v>4</v>
      </c>
      <c r="AI3080">
        <v>17</v>
      </c>
      <c r="AJ3080">
        <v>1</v>
      </c>
      <c r="AK3080">
        <v>19</v>
      </c>
      <c r="AL3080">
        <v>53</v>
      </c>
      <c r="AM3080" t="s">
        <v>43</v>
      </c>
      <c r="AN3080" t="str">
        <f>HYPERLINK("https://www.google.com/maps?q=10.80221558,79.52549744","Open Location")</f>
        <v>Open Location</v>
      </c>
    </row>
    <row r="3081" spans="1:40" x14ac:dyDescent="0.3">
      <c r="A3081" s="1">
        <v>46210.643055555556</v>
      </c>
      <c r="B3081" t="s">
        <v>40</v>
      </c>
      <c r="C3081" t="s">
        <v>41</v>
      </c>
      <c r="D3081" s="1">
        <v>46210.645752314813</v>
      </c>
      <c r="E3081" t="s">
        <v>42</v>
      </c>
      <c r="F3081" t="s">
        <v>83</v>
      </c>
      <c r="G3081">
        <v>41</v>
      </c>
      <c r="H3081">
        <v>33127</v>
      </c>
      <c r="I3081" t="s">
        <v>1755</v>
      </c>
      <c r="J3081">
        <v>86</v>
      </c>
      <c r="K3081">
        <v>121</v>
      </c>
      <c r="L3081">
        <v>98</v>
      </c>
      <c r="M3081">
        <v>629.79998779000005</v>
      </c>
      <c r="N3081" t="s">
        <v>87</v>
      </c>
      <c r="O3081" t="s">
        <v>86</v>
      </c>
      <c r="P3081">
        <v>131</v>
      </c>
      <c r="Q3081">
        <v>6</v>
      </c>
      <c r="R3081">
        <v>90</v>
      </c>
      <c r="S3081">
        <v>1134</v>
      </c>
      <c r="T3081">
        <v>-40</v>
      </c>
      <c r="U3081">
        <v>53</v>
      </c>
      <c r="V3081">
        <v>760</v>
      </c>
      <c r="W3081">
        <v>33</v>
      </c>
      <c r="X3081">
        <v>33</v>
      </c>
      <c r="Y3081">
        <v>1</v>
      </c>
      <c r="Z3081">
        <v>8</v>
      </c>
      <c r="AA3081">
        <v>29</v>
      </c>
      <c r="AB3081">
        <v>2</v>
      </c>
      <c r="AC3081">
        <v>1</v>
      </c>
      <c r="AD3081">
        <v>3.2869999399999998</v>
      </c>
      <c r="AE3081">
        <v>1</v>
      </c>
      <c r="AF3081">
        <v>38</v>
      </c>
      <c r="AG3081">
        <v>3.2760000200000001</v>
      </c>
      <c r="AH3081">
        <v>4</v>
      </c>
      <c r="AI3081">
        <v>17</v>
      </c>
      <c r="AJ3081">
        <v>1</v>
      </c>
      <c r="AK3081">
        <v>19</v>
      </c>
      <c r="AL3081">
        <v>53</v>
      </c>
      <c r="AM3081" t="s">
        <v>43</v>
      </c>
      <c r="AN3081" t="str">
        <f>HYPERLINK("https://www.google.com/maps?q=10.8025732,79.52671814","Open Location")</f>
        <v>Open Location</v>
      </c>
    </row>
    <row r="3082" spans="1:40" x14ac:dyDescent="0.3">
      <c r="A3082" s="1">
        <v>46210.642939814818</v>
      </c>
      <c r="B3082" t="s">
        <v>40</v>
      </c>
      <c r="C3082" t="s">
        <v>41</v>
      </c>
      <c r="D3082" s="1">
        <v>46210.645752314813</v>
      </c>
      <c r="E3082" t="s">
        <v>42</v>
      </c>
      <c r="F3082" t="s">
        <v>83</v>
      </c>
      <c r="G3082">
        <v>39</v>
      </c>
      <c r="H3082" t="s">
        <v>43</v>
      </c>
      <c r="I3082" t="s">
        <v>1756</v>
      </c>
      <c r="J3082">
        <v>86</v>
      </c>
      <c r="K3082">
        <v>145</v>
      </c>
      <c r="L3082">
        <v>98</v>
      </c>
      <c r="M3082">
        <v>630.20001220999995</v>
      </c>
      <c r="N3082" t="s">
        <v>87</v>
      </c>
      <c r="O3082" t="s">
        <v>86</v>
      </c>
      <c r="P3082">
        <v>131</v>
      </c>
      <c r="Q3082">
        <v>6</v>
      </c>
      <c r="R3082">
        <v>84</v>
      </c>
      <c r="S3082">
        <v>1074</v>
      </c>
      <c r="T3082">
        <v>-40</v>
      </c>
      <c r="U3082">
        <v>54</v>
      </c>
      <c r="V3082">
        <v>740</v>
      </c>
      <c r="W3082">
        <v>33</v>
      </c>
      <c r="X3082">
        <v>33</v>
      </c>
      <c r="Y3082">
        <v>1</v>
      </c>
      <c r="Z3082">
        <v>8</v>
      </c>
      <c r="AA3082">
        <v>29</v>
      </c>
      <c r="AB3082">
        <v>2</v>
      </c>
      <c r="AC3082">
        <v>1</v>
      </c>
      <c r="AD3082">
        <v>3.28900003</v>
      </c>
      <c r="AE3082">
        <v>1</v>
      </c>
      <c r="AF3082">
        <v>44</v>
      </c>
      <c r="AG3082">
        <v>3.2780001200000002</v>
      </c>
      <c r="AH3082">
        <v>4</v>
      </c>
      <c r="AI3082">
        <v>17</v>
      </c>
      <c r="AJ3082">
        <v>1</v>
      </c>
      <c r="AK3082">
        <v>19</v>
      </c>
      <c r="AL3082">
        <v>53</v>
      </c>
      <c r="AM3082" t="s">
        <v>43</v>
      </c>
      <c r="AN3082" t="str">
        <f>HYPERLINK("https://www.google.com/maps?q=10.80290794,79.5279007","Open Location")</f>
        <v>Open Location</v>
      </c>
    </row>
    <row r="3083" spans="1:40" x14ac:dyDescent="0.3">
      <c r="A3083" s="1">
        <v>46210.642824074072</v>
      </c>
      <c r="B3083" t="s">
        <v>40</v>
      </c>
      <c r="C3083" t="s">
        <v>41</v>
      </c>
      <c r="D3083" s="1">
        <v>46210.645775462966</v>
      </c>
      <c r="E3083" t="s">
        <v>42</v>
      </c>
      <c r="F3083" t="s">
        <v>83</v>
      </c>
      <c r="G3083">
        <v>39</v>
      </c>
      <c r="H3083">
        <v>33127</v>
      </c>
      <c r="I3083" t="s">
        <v>1757</v>
      </c>
      <c r="J3083">
        <v>87</v>
      </c>
      <c r="K3083">
        <v>113</v>
      </c>
      <c r="L3083">
        <v>98</v>
      </c>
      <c r="M3083">
        <v>631.29998779000005</v>
      </c>
      <c r="N3083" t="s">
        <v>87</v>
      </c>
      <c r="O3083" t="s">
        <v>86</v>
      </c>
      <c r="P3083">
        <v>131</v>
      </c>
      <c r="Q3083">
        <v>6</v>
      </c>
      <c r="R3083">
        <v>93</v>
      </c>
      <c r="S3083">
        <v>1104</v>
      </c>
      <c r="T3083">
        <v>-40</v>
      </c>
      <c r="U3083">
        <v>53</v>
      </c>
      <c r="V3083">
        <v>560</v>
      </c>
      <c r="W3083">
        <v>33</v>
      </c>
      <c r="X3083">
        <v>33</v>
      </c>
      <c r="Y3083">
        <v>1</v>
      </c>
      <c r="Z3083">
        <v>8</v>
      </c>
      <c r="AA3083">
        <v>29</v>
      </c>
      <c r="AB3083">
        <v>2</v>
      </c>
      <c r="AC3083">
        <v>1</v>
      </c>
      <c r="AD3083">
        <v>3.2899999599999998</v>
      </c>
      <c r="AE3083">
        <v>1</v>
      </c>
      <c r="AF3083">
        <v>44</v>
      </c>
      <c r="AG3083">
        <v>3.2790000400000001</v>
      </c>
      <c r="AH3083">
        <v>4</v>
      </c>
      <c r="AI3083">
        <v>17</v>
      </c>
      <c r="AJ3083">
        <v>1</v>
      </c>
      <c r="AK3083">
        <v>19</v>
      </c>
      <c r="AL3083">
        <v>53</v>
      </c>
      <c r="AM3083" t="s">
        <v>43</v>
      </c>
      <c r="AN3083" t="str">
        <f>HYPERLINK("https://www.google.com/maps?q=10.80321503,79.5290451","Open Location")</f>
        <v>Open Location</v>
      </c>
    </row>
    <row r="3084" spans="1:40" x14ac:dyDescent="0.3">
      <c r="A3084" s="1">
        <v>46210.642708333333</v>
      </c>
      <c r="B3084" t="s">
        <v>40</v>
      </c>
      <c r="C3084" t="s">
        <v>41</v>
      </c>
      <c r="D3084" s="1">
        <v>46210.645300925928</v>
      </c>
      <c r="E3084" t="s">
        <v>42</v>
      </c>
      <c r="F3084" t="s">
        <v>83</v>
      </c>
      <c r="G3084">
        <v>42</v>
      </c>
      <c r="H3084">
        <v>33127</v>
      </c>
      <c r="I3084" t="s">
        <v>1758</v>
      </c>
      <c r="J3084">
        <v>87</v>
      </c>
      <c r="K3084">
        <v>119</v>
      </c>
      <c r="L3084">
        <v>98</v>
      </c>
      <c r="M3084">
        <v>630.59997558999999</v>
      </c>
      <c r="N3084" t="s">
        <v>87</v>
      </c>
      <c r="O3084" t="s">
        <v>86</v>
      </c>
      <c r="P3084">
        <v>131</v>
      </c>
      <c r="Q3084">
        <v>6</v>
      </c>
      <c r="R3084">
        <v>66</v>
      </c>
      <c r="S3084">
        <v>1180</v>
      </c>
      <c r="T3084">
        <v>-40</v>
      </c>
      <c r="U3084">
        <v>52</v>
      </c>
      <c r="V3084">
        <v>540</v>
      </c>
      <c r="W3084">
        <v>33</v>
      </c>
      <c r="X3084">
        <v>33</v>
      </c>
      <c r="Y3084">
        <v>1</v>
      </c>
      <c r="Z3084">
        <v>8</v>
      </c>
      <c r="AA3084">
        <v>29</v>
      </c>
      <c r="AB3084">
        <v>2</v>
      </c>
      <c r="AC3084">
        <v>1</v>
      </c>
      <c r="AD3084">
        <v>3.2950000799999999</v>
      </c>
      <c r="AE3084">
        <v>1</v>
      </c>
      <c r="AF3084">
        <v>44</v>
      </c>
      <c r="AG3084">
        <v>3.28600001</v>
      </c>
      <c r="AH3084">
        <v>4</v>
      </c>
      <c r="AI3084">
        <v>17</v>
      </c>
      <c r="AJ3084">
        <v>1</v>
      </c>
      <c r="AK3084">
        <v>19</v>
      </c>
      <c r="AL3084">
        <v>53</v>
      </c>
      <c r="AM3084" t="s">
        <v>43</v>
      </c>
      <c r="AN3084" t="str">
        <f>HYPERLINK("https://www.google.com/maps?q=10.80342865,79.53029633","Open Location")</f>
        <v>Open Location</v>
      </c>
    </row>
    <row r="3085" spans="1:40" x14ac:dyDescent="0.3">
      <c r="A3085" s="1">
        <v>46210.642592592594</v>
      </c>
      <c r="B3085" t="s">
        <v>40</v>
      </c>
      <c r="C3085" t="s">
        <v>41</v>
      </c>
      <c r="D3085" s="1">
        <v>46210.645277777781</v>
      </c>
      <c r="E3085" t="s">
        <v>42</v>
      </c>
      <c r="F3085" t="s">
        <v>83</v>
      </c>
      <c r="G3085">
        <v>42</v>
      </c>
      <c r="H3085" t="s">
        <v>43</v>
      </c>
      <c r="I3085" t="s">
        <v>43</v>
      </c>
      <c r="J3085">
        <v>87</v>
      </c>
      <c r="K3085">
        <v>90</v>
      </c>
      <c r="L3085">
        <v>98</v>
      </c>
      <c r="M3085">
        <v>631.90002441000001</v>
      </c>
      <c r="N3085" t="s">
        <v>87</v>
      </c>
      <c r="O3085" t="s">
        <v>86</v>
      </c>
      <c r="P3085">
        <v>131</v>
      </c>
      <c r="Q3085">
        <v>6</v>
      </c>
      <c r="R3085">
        <v>46</v>
      </c>
      <c r="S3085">
        <v>1177</v>
      </c>
      <c r="T3085">
        <v>-40</v>
      </c>
      <c r="U3085">
        <v>52</v>
      </c>
      <c r="V3085">
        <v>380</v>
      </c>
      <c r="W3085">
        <v>33</v>
      </c>
      <c r="X3085">
        <v>33</v>
      </c>
      <c r="Y3085">
        <v>1</v>
      </c>
      <c r="Z3085">
        <v>8</v>
      </c>
      <c r="AA3085">
        <v>29</v>
      </c>
      <c r="AB3085">
        <v>2</v>
      </c>
      <c r="AC3085">
        <v>1</v>
      </c>
      <c r="AD3085">
        <v>3.2990000199999998</v>
      </c>
      <c r="AE3085">
        <v>1</v>
      </c>
      <c r="AF3085">
        <v>41</v>
      </c>
      <c r="AG3085">
        <v>3.2909998900000001</v>
      </c>
      <c r="AH3085">
        <v>4</v>
      </c>
      <c r="AI3085">
        <v>17</v>
      </c>
      <c r="AJ3085">
        <v>1</v>
      </c>
      <c r="AK3085">
        <v>19</v>
      </c>
      <c r="AL3085">
        <v>53</v>
      </c>
      <c r="AM3085" t="s">
        <v>43</v>
      </c>
      <c r="AN3085" t="s">
        <v>43</v>
      </c>
    </row>
    <row r="3086" spans="1:40" x14ac:dyDescent="0.3">
      <c r="A3086" s="1">
        <v>46210.642476851855</v>
      </c>
      <c r="B3086" t="s">
        <v>40</v>
      </c>
      <c r="C3086" t="s">
        <v>41</v>
      </c>
      <c r="D3086" s="1">
        <v>46210.64503472222</v>
      </c>
      <c r="E3086" t="s">
        <v>42</v>
      </c>
      <c r="F3086" t="s">
        <v>83</v>
      </c>
      <c r="G3086">
        <v>43</v>
      </c>
      <c r="H3086">
        <v>33127</v>
      </c>
      <c r="I3086" t="s">
        <v>1759</v>
      </c>
      <c r="J3086">
        <v>87</v>
      </c>
      <c r="K3086">
        <v>113</v>
      </c>
      <c r="L3086">
        <v>98</v>
      </c>
      <c r="M3086">
        <v>630.59997558999999</v>
      </c>
      <c r="N3086" t="s">
        <v>87</v>
      </c>
      <c r="O3086" t="s">
        <v>86</v>
      </c>
      <c r="P3086">
        <v>131</v>
      </c>
      <c r="Q3086">
        <v>6</v>
      </c>
      <c r="R3086">
        <v>49</v>
      </c>
      <c r="S3086">
        <v>1191</v>
      </c>
      <c r="T3086">
        <v>-40</v>
      </c>
      <c r="U3086">
        <v>52</v>
      </c>
      <c r="V3086">
        <v>500</v>
      </c>
      <c r="W3086">
        <v>33</v>
      </c>
      <c r="X3086">
        <v>33</v>
      </c>
      <c r="Y3086">
        <v>1</v>
      </c>
      <c r="Z3086">
        <v>8</v>
      </c>
      <c r="AA3086">
        <v>29</v>
      </c>
      <c r="AB3086">
        <v>2</v>
      </c>
      <c r="AC3086">
        <v>1</v>
      </c>
      <c r="AD3086">
        <v>3.2969999300000001</v>
      </c>
      <c r="AE3086">
        <v>1</v>
      </c>
      <c r="AF3086">
        <v>41</v>
      </c>
      <c r="AG3086">
        <v>3.28800011</v>
      </c>
      <c r="AH3086">
        <v>6</v>
      </c>
      <c r="AI3086">
        <v>17</v>
      </c>
      <c r="AJ3086">
        <v>1</v>
      </c>
      <c r="AK3086">
        <v>19</v>
      </c>
      <c r="AL3086">
        <v>53</v>
      </c>
      <c r="AM3086" t="s">
        <v>43</v>
      </c>
      <c r="AN3086" t="str">
        <f>HYPERLINK("https://www.google.com/maps?q=10.8035078,79.5316925","Open Location")</f>
        <v>Open Location</v>
      </c>
    </row>
    <row r="3087" spans="1:40" x14ac:dyDescent="0.3">
      <c r="A3087" s="1">
        <v>46210.642361111109</v>
      </c>
      <c r="B3087" t="s">
        <v>40</v>
      </c>
      <c r="C3087" t="s">
        <v>41</v>
      </c>
      <c r="D3087" s="1">
        <v>46210.64503472222</v>
      </c>
      <c r="E3087" t="s">
        <v>42</v>
      </c>
      <c r="F3087" t="s">
        <v>83</v>
      </c>
      <c r="G3087">
        <v>43</v>
      </c>
      <c r="H3087">
        <v>33127</v>
      </c>
      <c r="I3087" t="s">
        <v>1760</v>
      </c>
      <c r="J3087">
        <v>87</v>
      </c>
      <c r="K3087">
        <v>92</v>
      </c>
      <c r="L3087">
        <v>98</v>
      </c>
      <c r="M3087">
        <v>631.5</v>
      </c>
      <c r="N3087" t="s">
        <v>87</v>
      </c>
      <c r="O3087" t="s">
        <v>86</v>
      </c>
      <c r="P3087">
        <v>131</v>
      </c>
      <c r="Q3087">
        <v>6</v>
      </c>
      <c r="R3087">
        <v>59</v>
      </c>
      <c r="S3087">
        <v>1186</v>
      </c>
      <c r="T3087">
        <v>-40</v>
      </c>
      <c r="U3087">
        <v>52</v>
      </c>
      <c r="V3087">
        <v>420</v>
      </c>
      <c r="W3087">
        <v>33</v>
      </c>
      <c r="X3087">
        <v>33</v>
      </c>
      <c r="Y3087">
        <v>1</v>
      </c>
      <c r="Z3087">
        <v>8</v>
      </c>
      <c r="AA3087">
        <v>29</v>
      </c>
      <c r="AB3087">
        <v>2</v>
      </c>
      <c r="AC3087">
        <v>1</v>
      </c>
      <c r="AD3087">
        <v>3.2980000999999999</v>
      </c>
      <c r="AE3087">
        <v>1</v>
      </c>
      <c r="AF3087">
        <v>38</v>
      </c>
      <c r="AG3087">
        <v>3.2899999599999998</v>
      </c>
      <c r="AH3087">
        <v>4</v>
      </c>
      <c r="AI3087">
        <v>17</v>
      </c>
      <c r="AJ3087">
        <v>1</v>
      </c>
      <c r="AK3087">
        <v>19</v>
      </c>
      <c r="AL3087">
        <v>53</v>
      </c>
      <c r="AM3087" t="s">
        <v>43</v>
      </c>
      <c r="AN3087" t="str">
        <f>HYPERLINK("https://www.google.com/maps?q=10.80341721,79.53299713","Open Location")</f>
        <v>Open Location</v>
      </c>
    </row>
    <row r="3088" spans="1:40" x14ac:dyDescent="0.3">
      <c r="A3088" s="1">
        <v>46210.642245370371</v>
      </c>
      <c r="B3088" t="s">
        <v>40</v>
      </c>
      <c r="C3088" t="s">
        <v>41</v>
      </c>
      <c r="D3088" s="1">
        <v>46210.645138888889</v>
      </c>
      <c r="E3088" t="s">
        <v>42</v>
      </c>
      <c r="F3088" t="s">
        <v>83</v>
      </c>
      <c r="G3088">
        <v>43</v>
      </c>
      <c r="H3088">
        <v>33127</v>
      </c>
      <c r="I3088" t="s">
        <v>1761</v>
      </c>
      <c r="J3088">
        <v>87</v>
      </c>
      <c r="K3088">
        <v>120</v>
      </c>
      <c r="L3088">
        <v>98</v>
      </c>
      <c r="M3088">
        <v>630</v>
      </c>
      <c r="N3088" t="s">
        <v>87</v>
      </c>
      <c r="O3088" t="s">
        <v>86</v>
      </c>
      <c r="P3088">
        <v>131</v>
      </c>
      <c r="Q3088">
        <v>6</v>
      </c>
      <c r="R3088">
        <v>55</v>
      </c>
      <c r="S3088">
        <v>1177</v>
      </c>
      <c r="T3088">
        <v>-40</v>
      </c>
      <c r="U3088">
        <v>53</v>
      </c>
      <c r="V3088">
        <v>520</v>
      </c>
      <c r="W3088">
        <v>33</v>
      </c>
      <c r="X3088">
        <v>33</v>
      </c>
      <c r="Y3088">
        <v>1</v>
      </c>
      <c r="Z3088">
        <v>8</v>
      </c>
      <c r="AA3088">
        <v>29</v>
      </c>
      <c r="AB3088">
        <v>2</v>
      </c>
      <c r="AC3088">
        <v>1</v>
      </c>
      <c r="AD3088">
        <v>3.2950000799999999</v>
      </c>
      <c r="AE3088">
        <v>1</v>
      </c>
      <c r="AF3088">
        <v>42</v>
      </c>
      <c r="AG3088">
        <v>3.28600001</v>
      </c>
      <c r="AH3088">
        <v>4</v>
      </c>
      <c r="AI3088">
        <v>17</v>
      </c>
      <c r="AJ3088">
        <v>1</v>
      </c>
      <c r="AK3088">
        <v>19</v>
      </c>
      <c r="AL3088">
        <v>53</v>
      </c>
      <c r="AM3088" t="s">
        <v>43</v>
      </c>
      <c r="AN3088" t="str">
        <f>HYPERLINK("https://www.google.com/maps?q=10.80317688,79.5342865","Open Location")</f>
        <v>Open Location</v>
      </c>
    </row>
    <row r="3089" spans="1:40" x14ac:dyDescent="0.3">
      <c r="A3089" s="1">
        <v>46210.642129629632</v>
      </c>
      <c r="B3089" t="s">
        <v>40</v>
      </c>
      <c r="C3089" t="s">
        <v>41</v>
      </c>
      <c r="D3089" s="1">
        <v>46210.644907407404</v>
      </c>
      <c r="E3089" t="s">
        <v>42</v>
      </c>
      <c r="F3089" t="s">
        <v>83</v>
      </c>
      <c r="G3089">
        <v>42</v>
      </c>
      <c r="H3089">
        <v>33126</v>
      </c>
      <c r="I3089" t="s">
        <v>1762</v>
      </c>
      <c r="J3089">
        <v>87</v>
      </c>
      <c r="K3089">
        <v>96</v>
      </c>
      <c r="L3089">
        <v>98</v>
      </c>
      <c r="M3089">
        <v>631.29998779000005</v>
      </c>
      <c r="N3089" t="s">
        <v>87</v>
      </c>
      <c r="O3089" t="s">
        <v>86</v>
      </c>
      <c r="P3089">
        <v>131</v>
      </c>
      <c r="Q3089">
        <v>6</v>
      </c>
      <c r="R3089">
        <v>60</v>
      </c>
      <c r="S3089">
        <v>1162</v>
      </c>
      <c r="T3089">
        <v>-40</v>
      </c>
      <c r="U3089">
        <v>52</v>
      </c>
      <c r="V3089">
        <v>440</v>
      </c>
      <c r="W3089">
        <v>33</v>
      </c>
      <c r="X3089">
        <v>33</v>
      </c>
      <c r="Y3089">
        <v>1</v>
      </c>
      <c r="Z3089">
        <v>8</v>
      </c>
      <c r="AA3089">
        <v>29</v>
      </c>
      <c r="AB3089">
        <v>2</v>
      </c>
      <c r="AC3089">
        <v>1</v>
      </c>
      <c r="AD3089">
        <v>3.3010001199999999</v>
      </c>
      <c r="AE3089">
        <v>1</v>
      </c>
      <c r="AF3089">
        <v>38</v>
      </c>
      <c r="AG3089">
        <v>3.2939999100000001</v>
      </c>
      <c r="AH3089">
        <v>4</v>
      </c>
      <c r="AI3089">
        <v>17</v>
      </c>
      <c r="AJ3089">
        <v>1</v>
      </c>
      <c r="AK3089">
        <v>19</v>
      </c>
      <c r="AL3089">
        <v>53</v>
      </c>
      <c r="AM3089" t="s">
        <v>43</v>
      </c>
      <c r="AN3089" t="str">
        <f>HYPERLINK("https://www.google.com/maps?q=10.80280113,79.53552246","Open Location")</f>
        <v>Open Location</v>
      </c>
    </row>
    <row r="3090" spans="1:40" x14ac:dyDescent="0.3">
      <c r="A3090" s="1">
        <v>46210.642013888886</v>
      </c>
      <c r="B3090" t="s">
        <v>40</v>
      </c>
      <c r="C3090" t="s">
        <v>41</v>
      </c>
      <c r="D3090" s="1">
        <v>46210.644884259258</v>
      </c>
      <c r="E3090" t="s">
        <v>42</v>
      </c>
      <c r="F3090" t="s">
        <v>83</v>
      </c>
      <c r="G3090">
        <v>41</v>
      </c>
      <c r="H3090">
        <v>33126</v>
      </c>
      <c r="I3090" t="s">
        <v>1763</v>
      </c>
      <c r="J3090">
        <v>87</v>
      </c>
      <c r="K3090">
        <v>105</v>
      </c>
      <c r="L3090">
        <v>98</v>
      </c>
      <c r="M3090">
        <v>630.70001220999995</v>
      </c>
      <c r="N3090" t="s">
        <v>87</v>
      </c>
      <c r="O3090" t="s">
        <v>86</v>
      </c>
      <c r="P3090">
        <v>131</v>
      </c>
      <c r="Q3090">
        <v>6</v>
      </c>
      <c r="R3090">
        <v>60</v>
      </c>
      <c r="S3090">
        <v>1139</v>
      </c>
      <c r="T3090">
        <v>-40</v>
      </c>
      <c r="U3090">
        <v>53</v>
      </c>
      <c r="V3090">
        <v>500</v>
      </c>
      <c r="W3090">
        <v>33</v>
      </c>
      <c r="X3090">
        <v>33</v>
      </c>
      <c r="Y3090">
        <v>1</v>
      </c>
      <c r="Z3090">
        <v>8</v>
      </c>
      <c r="AA3090">
        <v>29</v>
      </c>
      <c r="AB3090">
        <v>2</v>
      </c>
      <c r="AC3090">
        <v>1</v>
      </c>
      <c r="AD3090">
        <v>3.2959999999999998</v>
      </c>
      <c r="AE3090">
        <v>1</v>
      </c>
      <c r="AF3090">
        <v>38</v>
      </c>
      <c r="AG3090">
        <v>3.28800011</v>
      </c>
      <c r="AH3090">
        <v>4</v>
      </c>
      <c r="AI3090">
        <v>17</v>
      </c>
      <c r="AJ3090">
        <v>1</v>
      </c>
      <c r="AK3090">
        <v>19</v>
      </c>
      <c r="AL3090">
        <v>53</v>
      </c>
      <c r="AM3090" t="s">
        <v>43</v>
      </c>
      <c r="AN3090" t="str">
        <f>HYPERLINK("https://www.google.com/maps?q=10.80233002,79.53670502","Open Location")</f>
        <v>Open Location</v>
      </c>
    </row>
    <row r="3091" spans="1:40" x14ac:dyDescent="0.3">
      <c r="A3091" s="1">
        <v>46210.641898148147</v>
      </c>
      <c r="B3091" t="s">
        <v>40</v>
      </c>
      <c r="C3091" t="s">
        <v>41</v>
      </c>
      <c r="D3091" s="1">
        <v>46210.644884259258</v>
      </c>
      <c r="E3091" t="s">
        <v>42</v>
      </c>
      <c r="F3091" t="s">
        <v>83</v>
      </c>
      <c r="G3091">
        <v>40</v>
      </c>
      <c r="H3091">
        <v>33126</v>
      </c>
      <c r="I3091" t="s">
        <v>43</v>
      </c>
      <c r="J3091">
        <v>87</v>
      </c>
      <c r="K3091">
        <v>121</v>
      </c>
      <c r="L3091">
        <v>98</v>
      </c>
      <c r="M3091">
        <v>630.40002441000001</v>
      </c>
      <c r="N3091" t="s">
        <v>87</v>
      </c>
      <c r="O3091" t="s">
        <v>86</v>
      </c>
      <c r="P3091">
        <v>131</v>
      </c>
      <c r="Q3091">
        <v>6</v>
      </c>
      <c r="R3091">
        <v>70</v>
      </c>
      <c r="S3091">
        <v>1109</v>
      </c>
      <c r="T3091">
        <v>-40</v>
      </c>
      <c r="U3091">
        <v>53</v>
      </c>
      <c r="V3091">
        <v>600</v>
      </c>
      <c r="W3091">
        <v>33</v>
      </c>
      <c r="X3091">
        <v>33</v>
      </c>
      <c r="Y3091">
        <v>1</v>
      </c>
      <c r="Z3091">
        <v>8</v>
      </c>
      <c r="AA3091">
        <v>29</v>
      </c>
      <c r="AB3091">
        <v>2</v>
      </c>
      <c r="AC3091">
        <v>1</v>
      </c>
      <c r="AD3091">
        <v>3.2939999100000001</v>
      </c>
      <c r="AE3091">
        <v>1</v>
      </c>
      <c r="AF3091">
        <v>42</v>
      </c>
      <c r="AG3091">
        <v>3.28500009</v>
      </c>
      <c r="AH3091">
        <v>4</v>
      </c>
      <c r="AI3091">
        <v>17</v>
      </c>
      <c r="AJ3091">
        <v>1</v>
      </c>
      <c r="AK3091">
        <v>19</v>
      </c>
      <c r="AL3091">
        <v>53</v>
      </c>
      <c r="AM3091" t="s">
        <v>43</v>
      </c>
      <c r="AN3091" t="s">
        <v>43</v>
      </c>
    </row>
    <row r="3092" spans="1:40" x14ac:dyDescent="0.3">
      <c r="A3092" s="1">
        <v>46210.641782407409</v>
      </c>
      <c r="B3092" t="s">
        <v>40</v>
      </c>
      <c r="C3092" t="s">
        <v>41</v>
      </c>
      <c r="D3092" s="1">
        <v>46210.644421296296</v>
      </c>
      <c r="E3092" t="s">
        <v>42</v>
      </c>
      <c r="F3092" t="s">
        <v>83</v>
      </c>
      <c r="G3092">
        <v>39</v>
      </c>
      <c r="H3092">
        <v>33126</v>
      </c>
      <c r="I3092" t="s">
        <v>1764</v>
      </c>
      <c r="J3092">
        <v>87</v>
      </c>
      <c r="K3092">
        <v>119</v>
      </c>
      <c r="L3092">
        <v>98</v>
      </c>
      <c r="M3092">
        <v>630.70001220999995</v>
      </c>
      <c r="N3092" t="s">
        <v>87</v>
      </c>
      <c r="O3092" t="s">
        <v>86</v>
      </c>
      <c r="P3092">
        <v>131</v>
      </c>
      <c r="Q3092">
        <v>6</v>
      </c>
      <c r="R3092">
        <v>68</v>
      </c>
      <c r="S3092">
        <v>1092</v>
      </c>
      <c r="T3092">
        <v>-40</v>
      </c>
      <c r="U3092">
        <v>53</v>
      </c>
      <c r="V3092">
        <v>600</v>
      </c>
      <c r="W3092">
        <v>33</v>
      </c>
      <c r="X3092">
        <v>33</v>
      </c>
      <c r="Y3092">
        <v>1</v>
      </c>
      <c r="Z3092">
        <v>8</v>
      </c>
      <c r="AA3092">
        <v>29</v>
      </c>
      <c r="AB3092">
        <v>2</v>
      </c>
      <c r="AC3092">
        <v>1</v>
      </c>
      <c r="AD3092">
        <v>3.2950000799999999</v>
      </c>
      <c r="AE3092">
        <v>1</v>
      </c>
      <c r="AF3092">
        <v>38</v>
      </c>
      <c r="AG3092">
        <v>3.28600001</v>
      </c>
      <c r="AH3092">
        <v>4</v>
      </c>
      <c r="AI3092">
        <v>17</v>
      </c>
      <c r="AJ3092">
        <v>1</v>
      </c>
      <c r="AK3092">
        <v>19</v>
      </c>
      <c r="AL3092">
        <v>53</v>
      </c>
      <c r="AM3092" t="s">
        <v>43</v>
      </c>
      <c r="AN3092" t="str">
        <f>HYPERLINK("https://www.google.com/maps?q=10.80185795,79.53785706","Open Location")</f>
        <v>Open Location</v>
      </c>
    </row>
    <row r="3093" spans="1:40" x14ac:dyDescent="0.3">
      <c r="A3093" s="1">
        <v>46210.64166666667</v>
      </c>
      <c r="B3093" t="s">
        <v>40</v>
      </c>
      <c r="C3093" t="s">
        <v>41</v>
      </c>
      <c r="D3093" s="1">
        <v>46210.644293981481</v>
      </c>
      <c r="E3093" t="s">
        <v>42</v>
      </c>
      <c r="F3093" t="s">
        <v>83</v>
      </c>
      <c r="G3093">
        <v>40</v>
      </c>
      <c r="H3093">
        <v>33126</v>
      </c>
      <c r="I3093" t="s">
        <v>1765</v>
      </c>
      <c r="J3093">
        <v>87</v>
      </c>
      <c r="K3093">
        <v>92</v>
      </c>
      <c r="L3093">
        <v>98</v>
      </c>
      <c r="M3093">
        <v>631.29998779000005</v>
      </c>
      <c r="N3093" t="s">
        <v>87</v>
      </c>
      <c r="O3093" t="s">
        <v>86</v>
      </c>
      <c r="P3093">
        <v>131</v>
      </c>
      <c r="Q3093">
        <v>6</v>
      </c>
      <c r="R3093">
        <v>75</v>
      </c>
      <c r="S3093">
        <v>1124</v>
      </c>
      <c r="T3093">
        <v>-40</v>
      </c>
      <c r="U3093">
        <v>52</v>
      </c>
      <c r="V3093">
        <v>640</v>
      </c>
      <c r="W3093">
        <v>33</v>
      </c>
      <c r="X3093">
        <v>33</v>
      </c>
      <c r="Y3093">
        <v>1</v>
      </c>
      <c r="Z3093">
        <v>8</v>
      </c>
      <c r="AA3093">
        <v>29</v>
      </c>
      <c r="AB3093">
        <v>2</v>
      </c>
      <c r="AC3093">
        <v>1</v>
      </c>
      <c r="AD3093">
        <v>3.2969999300000001</v>
      </c>
      <c r="AE3093">
        <v>1</v>
      </c>
      <c r="AF3093">
        <v>38</v>
      </c>
      <c r="AG3093">
        <v>3.28900003</v>
      </c>
      <c r="AH3093">
        <v>4</v>
      </c>
      <c r="AI3093">
        <v>17</v>
      </c>
      <c r="AJ3093">
        <v>1</v>
      </c>
      <c r="AK3093">
        <v>19</v>
      </c>
      <c r="AL3093">
        <v>53</v>
      </c>
      <c r="AM3093" t="s">
        <v>43</v>
      </c>
      <c r="AN3093" t="str">
        <f>HYPERLINK("https://www.google.com/maps?q=10.80142212,79.53897858","Open Location")</f>
        <v>Open Location</v>
      </c>
    </row>
    <row r="3094" spans="1:40" x14ac:dyDescent="0.3">
      <c r="A3094" s="1">
        <v>46210.641550925924</v>
      </c>
      <c r="B3094" t="s">
        <v>40</v>
      </c>
      <c r="C3094" t="s">
        <v>41</v>
      </c>
      <c r="D3094" s="1">
        <v>46210.644247685188</v>
      </c>
      <c r="E3094" t="s">
        <v>42</v>
      </c>
      <c r="F3094" t="s">
        <v>83</v>
      </c>
      <c r="G3094">
        <v>43</v>
      </c>
      <c r="H3094">
        <v>33126</v>
      </c>
      <c r="I3094" t="s">
        <v>1766</v>
      </c>
      <c r="J3094">
        <v>87</v>
      </c>
      <c r="K3094">
        <v>89</v>
      </c>
      <c r="L3094">
        <v>98</v>
      </c>
      <c r="M3094">
        <v>632</v>
      </c>
      <c r="N3094" t="s">
        <v>87</v>
      </c>
      <c r="O3094" t="s">
        <v>86</v>
      </c>
      <c r="P3094">
        <v>131</v>
      </c>
      <c r="Q3094">
        <v>6</v>
      </c>
      <c r="R3094">
        <v>49</v>
      </c>
      <c r="S3094">
        <v>1194</v>
      </c>
      <c r="T3094">
        <v>-40</v>
      </c>
      <c r="U3094">
        <v>51</v>
      </c>
      <c r="V3094">
        <v>400</v>
      </c>
      <c r="W3094">
        <v>33</v>
      </c>
      <c r="X3094">
        <v>33</v>
      </c>
      <c r="Y3094">
        <v>1</v>
      </c>
      <c r="Z3094">
        <v>8</v>
      </c>
      <c r="AA3094">
        <v>29</v>
      </c>
      <c r="AB3094">
        <v>2</v>
      </c>
      <c r="AC3094">
        <v>1</v>
      </c>
      <c r="AD3094">
        <v>3.2999999500000001</v>
      </c>
      <c r="AE3094">
        <v>1</v>
      </c>
      <c r="AF3094">
        <v>38</v>
      </c>
      <c r="AG3094">
        <v>3.2929999799999998</v>
      </c>
      <c r="AH3094">
        <v>4</v>
      </c>
      <c r="AI3094">
        <v>17</v>
      </c>
      <c r="AJ3094">
        <v>1</v>
      </c>
      <c r="AK3094">
        <v>19</v>
      </c>
      <c r="AL3094">
        <v>53</v>
      </c>
      <c r="AM3094" t="s">
        <v>43</v>
      </c>
      <c r="AN3094" t="str">
        <f>HYPERLINK("https://www.google.com/maps?q=10.80101967,79.54031372","Open Location")</f>
        <v>Open Location</v>
      </c>
    </row>
    <row r="3095" spans="1:40" x14ac:dyDescent="0.3">
      <c r="A3095" s="1">
        <v>46210.641435185185</v>
      </c>
      <c r="B3095" t="s">
        <v>40</v>
      </c>
      <c r="C3095" t="s">
        <v>41</v>
      </c>
      <c r="D3095" s="1">
        <v>46210.644456018519</v>
      </c>
      <c r="E3095" t="s">
        <v>42</v>
      </c>
      <c r="F3095" t="s">
        <v>83</v>
      </c>
      <c r="G3095">
        <v>43</v>
      </c>
      <c r="H3095">
        <v>33126</v>
      </c>
      <c r="I3095" t="s">
        <v>1767</v>
      </c>
      <c r="J3095">
        <v>87</v>
      </c>
      <c r="K3095">
        <v>80</v>
      </c>
      <c r="L3095">
        <v>98</v>
      </c>
      <c r="M3095">
        <v>631.70001220999995</v>
      </c>
      <c r="N3095" t="s">
        <v>87</v>
      </c>
      <c r="O3095" t="s">
        <v>86</v>
      </c>
      <c r="P3095">
        <v>131</v>
      </c>
      <c r="Q3095">
        <v>6</v>
      </c>
      <c r="R3095">
        <v>30</v>
      </c>
      <c r="S3095">
        <v>1180</v>
      </c>
      <c r="T3095">
        <v>-40</v>
      </c>
      <c r="U3095">
        <v>51</v>
      </c>
      <c r="V3095">
        <v>360</v>
      </c>
      <c r="W3095">
        <v>33</v>
      </c>
      <c r="X3095">
        <v>33</v>
      </c>
      <c r="Y3095">
        <v>1</v>
      </c>
      <c r="Z3095">
        <v>8</v>
      </c>
      <c r="AA3095">
        <v>29</v>
      </c>
      <c r="AB3095">
        <v>2</v>
      </c>
      <c r="AC3095">
        <v>1</v>
      </c>
      <c r="AD3095">
        <v>3.3010001199999999</v>
      </c>
      <c r="AE3095">
        <v>1</v>
      </c>
      <c r="AF3095">
        <v>44</v>
      </c>
      <c r="AG3095">
        <v>3.2929999799999998</v>
      </c>
      <c r="AH3095">
        <v>4</v>
      </c>
      <c r="AI3095">
        <v>17</v>
      </c>
      <c r="AJ3095">
        <v>1</v>
      </c>
      <c r="AK3095">
        <v>19</v>
      </c>
      <c r="AL3095">
        <v>53</v>
      </c>
      <c r="AM3095" t="s">
        <v>43</v>
      </c>
      <c r="AN3095" t="str">
        <f>HYPERLINK("https://www.google.com/maps?q=10.80064297,79.54156494","Open Location")</f>
        <v>Open Location</v>
      </c>
    </row>
    <row r="3096" spans="1:40" x14ac:dyDescent="0.3">
      <c r="A3096" s="1">
        <v>46210.641319444447</v>
      </c>
      <c r="B3096" t="s">
        <v>40</v>
      </c>
      <c r="C3096" t="s">
        <v>41</v>
      </c>
      <c r="D3096" s="1">
        <v>46210.644085648149</v>
      </c>
      <c r="E3096" t="s">
        <v>42</v>
      </c>
      <c r="F3096" t="s">
        <v>83</v>
      </c>
      <c r="G3096">
        <v>42</v>
      </c>
      <c r="H3096">
        <v>33126</v>
      </c>
      <c r="I3096" t="s">
        <v>43</v>
      </c>
      <c r="J3096">
        <v>87</v>
      </c>
      <c r="K3096">
        <v>123</v>
      </c>
      <c r="L3096">
        <v>98</v>
      </c>
      <c r="M3096">
        <v>630.79998779000005</v>
      </c>
      <c r="N3096" t="s">
        <v>87</v>
      </c>
      <c r="O3096" t="s">
        <v>86</v>
      </c>
      <c r="P3096">
        <v>131</v>
      </c>
      <c r="Q3096">
        <v>6</v>
      </c>
      <c r="R3096">
        <v>58</v>
      </c>
      <c r="S3096">
        <v>1173</v>
      </c>
      <c r="T3096">
        <v>-40</v>
      </c>
      <c r="U3096">
        <v>52</v>
      </c>
      <c r="V3096">
        <v>580</v>
      </c>
      <c r="W3096">
        <v>33</v>
      </c>
      <c r="X3096">
        <v>33</v>
      </c>
      <c r="Y3096">
        <v>1</v>
      </c>
      <c r="Z3096">
        <v>8</v>
      </c>
      <c r="AA3096">
        <v>29</v>
      </c>
      <c r="AB3096">
        <v>2</v>
      </c>
      <c r="AC3096">
        <v>1</v>
      </c>
      <c r="AD3096">
        <v>3.2950000799999999</v>
      </c>
      <c r="AE3096">
        <v>1</v>
      </c>
      <c r="AF3096">
        <v>38</v>
      </c>
      <c r="AG3096">
        <v>3.28600001</v>
      </c>
      <c r="AH3096">
        <v>4</v>
      </c>
      <c r="AI3096">
        <v>17</v>
      </c>
      <c r="AJ3096">
        <v>1</v>
      </c>
      <c r="AK3096">
        <v>19</v>
      </c>
      <c r="AL3096">
        <v>53</v>
      </c>
      <c r="AM3096" t="s">
        <v>43</v>
      </c>
      <c r="AN3096" t="s">
        <v>43</v>
      </c>
    </row>
    <row r="3097" spans="1:40" x14ac:dyDescent="0.3">
      <c r="A3097" s="1">
        <v>46210.641203703701</v>
      </c>
      <c r="B3097" t="s">
        <v>40</v>
      </c>
      <c r="C3097" t="s">
        <v>41</v>
      </c>
      <c r="D3097" s="1">
        <v>46210.644224537034</v>
      </c>
      <c r="E3097" t="s">
        <v>42</v>
      </c>
      <c r="F3097" t="s">
        <v>83</v>
      </c>
      <c r="G3097">
        <v>42</v>
      </c>
      <c r="H3097">
        <v>33125</v>
      </c>
      <c r="I3097" t="s">
        <v>1768</v>
      </c>
      <c r="J3097">
        <v>87</v>
      </c>
      <c r="K3097">
        <v>82</v>
      </c>
      <c r="L3097">
        <v>98</v>
      </c>
      <c r="M3097">
        <v>632.29998779000005</v>
      </c>
      <c r="N3097" t="s">
        <v>87</v>
      </c>
      <c r="O3097" t="s">
        <v>86</v>
      </c>
      <c r="P3097">
        <v>131</v>
      </c>
      <c r="Q3097">
        <v>6</v>
      </c>
      <c r="R3097">
        <v>53</v>
      </c>
      <c r="S3097">
        <v>1169</v>
      </c>
      <c r="T3097">
        <v>-40</v>
      </c>
      <c r="U3097">
        <v>51</v>
      </c>
      <c r="V3097">
        <v>380</v>
      </c>
      <c r="W3097">
        <v>33</v>
      </c>
      <c r="X3097">
        <v>33</v>
      </c>
      <c r="Y3097">
        <v>1</v>
      </c>
      <c r="Z3097">
        <v>8</v>
      </c>
      <c r="AA3097">
        <v>29</v>
      </c>
      <c r="AB3097">
        <v>2</v>
      </c>
      <c r="AC3097">
        <v>1</v>
      </c>
      <c r="AD3097">
        <v>3.3010001199999999</v>
      </c>
      <c r="AE3097">
        <v>1</v>
      </c>
      <c r="AF3097">
        <v>38</v>
      </c>
      <c r="AG3097">
        <v>3.2939999100000001</v>
      </c>
      <c r="AH3097">
        <v>4</v>
      </c>
      <c r="AI3097">
        <v>17</v>
      </c>
      <c r="AJ3097">
        <v>1</v>
      </c>
      <c r="AK3097">
        <v>19</v>
      </c>
      <c r="AL3097">
        <v>53</v>
      </c>
      <c r="AM3097" t="s">
        <v>43</v>
      </c>
      <c r="AN3097" t="str">
        <f>HYPERLINK("https://www.google.com/maps?q=10.80014038,79.54275513","Open Location")</f>
        <v>Open Location</v>
      </c>
    </row>
    <row r="3098" spans="1:40" x14ac:dyDescent="0.3">
      <c r="A3098" s="1">
        <v>46210.641087962962</v>
      </c>
      <c r="B3098" t="s">
        <v>40</v>
      </c>
      <c r="C3098" t="s">
        <v>41</v>
      </c>
      <c r="D3098" s="1">
        <v>46210.643888888888</v>
      </c>
      <c r="E3098" t="s">
        <v>42</v>
      </c>
      <c r="F3098" t="s">
        <v>83</v>
      </c>
      <c r="G3098">
        <v>42</v>
      </c>
      <c r="H3098">
        <v>33125</v>
      </c>
      <c r="I3098" t="s">
        <v>1769</v>
      </c>
      <c r="J3098">
        <v>87</v>
      </c>
      <c r="K3098">
        <v>70</v>
      </c>
      <c r="L3098">
        <v>98</v>
      </c>
      <c r="M3098">
        <v>632.70001220999995</v>
      </c>
      <c r="N3098" t="s">
        <v>87</v>
      </c>
      <c r="O3098" t="s">
        <v>86</v>
      </c>
      <c r="P3098">
        <v>131</v>
      </c>
      <c r="Q3098">
        <v>6</v>
      </c>
      <c r="R3098">
        <v>51</v>
      </c>
      <c r="S3098">
        <v>1177</v>
      </c>
      <c r="T3098">
        <v>-40</v>
      </c>
      <c r="U3098">
        <v>51</v>
      </c>
      <c r="V3098">
        <v>320</v>
      </c>
      <c r="W3098">
        <v>33</v>
      </c>
      <c r="X3098">
        <v>33</v>
      </c>
      <c r="Y3098">
        <v>1</v>
      </c>
      <c r="Z3098">
        <v>8</v>
      </c>
      <c r="AA3098">
        <v>29</v>
      </c>
      <c r="AB3098">
        <v>2</v>
      </c>
      <c r="AC3098">
        <v>1</v>
      </c>
      <c r="AD3098">
        <v>3.3020000500000002</v>
      </c>
      <c r="AE3098">
        <v>1</v>
      </c>
      <c r="AF3098">
        <v>38</v>
      </c>
      <c r="AG3098">
        <v>3.2959999999999998</v>
      </c>
      <c r="AH3098">
        <v>4</v>
      </c>
      <c r="AI3098">
        <v>17</v>
      </c>
      <c r="AJ3098">
        <v>1</v>
      </c>
      <c r="AK3098">
        <v>19</v>
      </c>
      <c r="AL3098">
        <v>53</v>
      </c>
      <c r="AM3098" t="s">
        <v>43</v>
      </c>
      <c r="AN3098" t="str">
        <f>HYPERLINK("https://www.google.com/maps?q=10.79966068,79.54395294","Open Location")</f>
        <v>Open Location</v>
      </c>
    </row>
    <row r="3099" spans="1:40" x14ac:dyDescent="0.3">
      <c r="A3099" s="1">
        <v>46210.640972222223</v>
      </c>
      <c r="B3099" t="s">
        <v>40</v>
      </c>
      <c r="C3099" t="s">
        <v>41</v>
      </c>
      <c r="D3099" s="1">
        <v>46210.643680555557</v>
      </c>
      <c r="E3099" t="s">
        <v>42</v>
      </c>
      <c r="F3099" t="s">
        <v>83</v>
      </c>
      <c r="G3099">
        <v>42</v>
      </c>
      <c r="H3099">
        <v>33125</v>
      </c>
      <c r="I3099" t="s">
        <v>1770</v>
      </c>
      <c r="J3099">
        <v>87</v>
      </c>
      <c r="K3099">
        <v>96</v>
      </c>
      <c r="L3099">
        <v>98</v>
      </c>
      <c r="M3099">
        <v>632</v>
      </c>
      <c r="N3099" t="s">
        <v>87</v>
      </c>
      <c r="O3099" t="s">
        <v>86</v>
      </c>
      <c r="P3099">
        <v>131</v>
      </c>
      <c r="Q3099">
        <v>6</v>
      </c>
      <c r="R3099">
        <v>62</v>
      </c>
      <c r="S3099">
        <v>1185</v>
      </c>
      <c r="T3099">
        <v>-40</v>
      </c>
      <c r="U3099">
        <v>52</v>
      </c>
      <c r="V3099">
        <v>500</v>
      </c>
      <c r="W3099">
        <v>33</v>
      </c>
      <c r="X3099">
        <v>33</v>
      </c>
      <c r="Y3099">
        <v>1</v>
      </c>
      <c r="Z3099">
        <v>8</v>
      </c>
      <c r="AA3099">
        <v>29</v>
      </c>
      <c r="AB3099">
        <v>2</v>
      </c>
      <c r="AC3099">
        <v>1</v>
      </c>
      <c r="AD3099">
        <v>3.2969999300000001</v>
      </c>
      <c r="AE3099">
        <v>1</v>
      </c>
      <c r="AF3099">
        <v>38</v>
      </c>
      <c r="AG3099">
        <v>3.28900003</v>
      </c>
      <c r="AH3099">
        <v>4</v>
      </c>
      <c r="AI3099">
        <v>17</v>
      </c>
      <c r="AJ3099">
        <v>1</v>
      </c>
      <c r="AK3099">
        <v>19</v>
      </c>
      <c r="AL3099">
        <v>53</v>
      </c>
      <c r="AM3099" t="s">
        <v>43</v>
      </c>
      <c r="AN3099" t="str">
        <f>HYPERLINK("https://www.google.com/maps?q=10.79925823,79.5451889","Open Location")</f>
        <v>Open Location</v>
      </c>
    </row>
    <row r="3100" spans="1:40" x14ac:dyDescent="0.3">
      <c r="A3100" s="1">
        <v>46210.640856481485</v>
      </c>
      <c r="B3100" t="s">
        <v>40</v>
      </c>
      <c r="C3100" t="s">
        <v>41</v>
      </c>
      <c r="D3100" s="1">
        <v>46210.643946759257</v>
      </c>
      <c r="E3100" t="s">
        <v>42</v>
      </c>
      <c r="F3100" t="s">
        <v>83</v>
      </c>
      <c r="G3100">
        <v>44</v>
      </c>
      <c r="H3100">
        <v>33125</v>
      </c>
      <c r="I3100" t="s">
        <v>1771</v>
      </c>
      <c r="J3100">
        <v>88</v>
      </c>
      <c r="K3100">
        <v>89</v>
      </c>
      <c r="L3100">
        <v>98</v>
      </c>
      <c r="M3100">
        <v>632.29998779000005</v>
      </c>
      <c r="N3100" t="s">
        <v>87</v>
      </c>
      <c r="O3100" t="s">
        <v>86</v>
      </c>
      <c r="P3100">
        <v>131</v>
      </c>
      <c r="Q3100">
        <v>6</v>
      </c>
      <c r="R3100">
        <v>45</v>
      </c>
      <c r="S3100">
        <v>1206</v>
      </c>
      <c r="T3100">
        <v>-40</v>
      </c>
      <c r="U3100">
        <v>51</v>
      </c>
      <c r="V3100">
        <v>400</v>
      </c>
      <c r="W3100">
        <v>33</v>
      </c>
      <c r="X3100">
        <v>33</v>
      </c>
      <c r="Y3100">
        <v>1</v>
      </c>
      <c r="Z3100">
        <v>8</v>
      </c>
      <c r="AA3100">
        <v>29</v>
      </c>
      <c r="AB3100">
        <v>2</v>
      </c>
      <c r="AC3100">
        <v>1</v>
      </c>
      <c r="AD3100">
        <v>3.3010001199999999</v>
      </c>
      <c r="AE3100">
        <v>1</v>
      </c>
      <c r="AF3100">
        <v>44</v>
      </c>
      <c r="AG3100">
        <v>3.2929999799999998</v>
      </c>
      <c r="AH3100">
        <v>4</v>
      </c>
      <c r="AI3100">
        <v>17</v>
      </c>
      <c r="AJ3100">
        <v>1</v>
      </c>
      <c r="AK3100">
        <v>19</v>
      </c>
      <c r="AL3100">
        <v>53</v>
      </c>
      <c r="AM3100" t="s">
        <v>43</v>
      </c>
      <c r="AN3100" t="str">
        <f>HYPERLINK("https://www.google.com/maps?q=10.79880047,79.54642487","Open Location")</f>
        <v>Open Location</v>
      </c>
    </row>
    <row r="3101" spans="1:40" x14ac:dyDescent="0.3">
      <c r="A3101" s="1">
        <v>46210.640740740739</v>
      </c>
      <c r="B3101" t="s">
        <v>40</v>
      </c>
      <c r="C3101" t="s">
        <v>41</v>
      </c>
      <c r="D3101" s="1">
        <v>46210.643530092595</v>
      </c>
      <c r="E3101" t="s">
        <v>42</v>
      </c>
      <c r="F3101" t="s">
        <v>83</v>
      </c>
      <c r="G3101">
        <v>44</v>
      </c>
      <c r="H3101">
        <v>33125</v>
      </c>
      <c r="I3101" t="s">
        <v>1772</v>
      </c>
      <c r="J3101">
        <v>88</v>
      </c>
      <c r="K3101">
        <v>61</v>
      </c>
      <c r="L3101">
        <v>98</v>
      </c>
      <c r="M3101">
        <v>633</v>
      </c>
      <c r="N3101" t="s">
        <v>87</v>
      </c>
      <c r="O3101" t="s">
        <v>86</v>
      </c>
      <c r="P3101">
        <v>131</v>
      </c>
      <c r="Q3101">
        <v>6</v>
      </c>
      <c r="R3101">
        <v>58</v>
      </c>
      <c r="S3101">
        <v>1221</v>
      </c>
      <c r="T3101">
        <v>-40</v>
      </c>
      <c r="U3101">
        <v>51</v>
      </c>
      <c r="V3101">
        <v>460</v>
      </c>
      <c r="W3101">
        <v>33</v>
      </c>
      <c r="X3101">
        <v>33</v>
      </c>
      <c r="Y3101">
        <v>1</v>
      </c>
      <c r="Z3101">
        <v>8</v>
      </c>
      <c r="AA3101">
        <v>29</v>
      </c>
      <c r="AB3101">
        <v>2</v>
      </c>
      <c r="AC3101">
        <v>1</v>
      </c>
      <c r="AD3101">
        <v>3.3020000500000002</v>
      </c>
      <c r="AE3101">
        <v>1</v>
      </c>
      <c r="AF3101">
        <v>38</v>
      </c>
      <c r="AG3101">
        <v>3.2959999999999998</v>
      </c>
      <c r="AH3101">
        <v>4</v>
      </c>
      <c r="AI3101">
        <v>17</v>
      </c>
      <c r="AJ3101">
        <v>1</v>
      </c>
      <c r="AK3101">
        <v>19</v>
      </c>
      <c r="AL3101">
        <v>53</v>
      </c>
      <c r="AM3101" t="s">
        <v>43</v>
      </c>
      <c r="AN3101" t="str">
        <f>HYPERLINK("https://www.google.com/maps?q=10.79840755,79.5477066","Open Location")</f>
        <v>Open Location</v>
      </c>
    </row>
    <row r="3102" spans="1:40" x14ac:dyDescent="0.3">
      <c r="A3102" s="1">
        <v>46210.640625</v>
      </c>
      <c r="B3102" t="s">
        <v>40</v>
      </c>
      <c r="C3102" t="s">
        <v>41</v>
      </c>
      <c r="D3102" s="1">
        <v>46210.64329861111</v>
      </c>
      <c r="E3102" t="s">
        <v>42</v>
      </c>
      <c r="F3102" t="s">
        <v>83</v>
      </c>
      <c r="G3102">
        <v>45</v>
      </c>
      <c r="H3102" t="s">
        <v>43</v>
      </c>
      <c r="I3102" t="s">
        <v>43</v>
      </c>
      <c r="J3102">
        <v>88</v>
      </c>
      <c r="K3102">
        <v>65</v>
      </c>
      <c r="L3102">
        <v>98</v>
      </c>
      <c r="M3102">
        <v>632.90002441000001</v>
      </c>
      <c r="N3102" t="s">
        <v>87</v>
      </c>
      <c r="O3102" t="s">
        <v>86</v>
      </c>
      <c r="P3102">
        <v>131</v>
      </c>
      <c r="Q3102">
        <v>6</v>
      </c>
      <c r="R3102">
        <v>39</v>
      </c>
      <c r="S3102">
        <v>1262</v>
      </c>
      <c r="T3102">
        <v>-40</v>
      </c>
      <c r="U3102">
        <v>51</v>
      </c>
      <c r="V3102">
        <v>280</v>
      </c>
      <c r="W3102">
        <v>33</v>
      </c>
      <c r="X3102">
        <v>33</v>
      </c>
      <c r="Y3102">
        <v>1</v>
      </c>
      <c r="Z3102">
        <v>8</v>
      </c>
      <c r="AA3102">
        <v>29</v>
      </c>
      <c r="AB3102">
        <v>2</v>
      </c>
      <c r="AC3102">
        <v>1</v>
      </c>
      <c r="AD3102">
        <v>3.3029999700000001</v>
      </c>
      <c r="AE3102">
        <v>1</v>
      </c>
      <c r="AF3102">
        <v>44</v>
      </c>
      <c r="AG3102">
        <v>3.2959999999999998</v>
      </c>
      <c r="AH3102">
        <v>4</v>
      </c>
      <c r="AI3102">
        <v>17</v>
      </c>
      <c r="AJ3102">
        <v>1</v>
      </c>
      <c r="AK3102">
        <v>19</v>
      </c>
      <c r="AL3102">
        <v>53</v>
      </c>
      <c r="AM3102" t="s">
        <v>43</v>
      </c>
      <c r="AN3102" t="s">
        <v>43</v>
      </c>
    </row>
    <row r="3103" spans="1:40" x14ac:dyDescent="0.3">
      <c r="A3103" s="1">
        <v>46210.640509259261</v>
      </c>
      <c r="B3103" t="s">
        <v>40</v>
      </c>
      <c r="C3103" t="s">
        <v>41</v>
      </c>
      <c r="D3103" s="1">
        <v>46210.643738425926</v>
      </c>
      <c r="E3103" t="s">
        <v>42</v>
      </c>
      <c r="F3103" t="s">
        <v>83</v>
      </c>
      <c r="G3103">
        <v>46</v>
      </c>
      <c r="H3103">
        <v>33125</v>
      </c>
      <c r="I3103" t="s">
        <v>1773</v>
      </c>
      <c r="J3103">
        <v>88</v>
      </c>
      <c r="K3103">
        <v>90</v>
      </c>
      <c r="L3103">
        <v>98</v>
      </c>
      <c r="M3103">
        <v>631.70001220999995</v>
      </c>
      <c r="N3103" t="s">
        <v>87</v>
      </c>
      <c r="O3103" t="s">
        <v>86</v>
      </c>
      <c r="P3103">
        <v>131</v>
      </c>
      <c r="Q3103">
        <v>6</v>
      </c>
      <c r="R3103">
        <v>51</v>
      </c>
      <c r="S3103">
        <v>1291</v>
      </c>
      <c r="T3103">
        <v>-40</v>
      </c>
      <c r="U3103">
        <v>51</v>
      </c>
      <c r="V3103">
        <v>380</v>
      </c>
      <c r="W3103">
        <v>33</v>
      </c>
      <c r="X3103">
        <v>33</v>
      </c>
      <c r="Y3103">
        <v>1</v>
      </c>
      <c r="Z3103">
        <v>8</v>
      </c>
      <c r="AA3103">
        <v>29</v>
      </c>
      <c r="AB3103">
        <v>2</v>
      </c>
      <c r="AC3103">
        <v>1</v>
      </c>
      <c r="AD3103">
        <v>3.2990000199999998</v>
      </c>
      <c r="AE3103">
        <v>1</v>
      </c>
      <c r="AF3103">
        <v>41</v>
      </c>
      <c r="AG3103">
        <v>3.2920000599999999</v>
      </c>
      <c r="AH3103">
        <v>4</v>
      </c>
      <c r="AI3103">
        <v>17</v>
      </c>
      <c r="AJ3103">
        <v>1</v>
      </c>
      <c r="AK3103">
        <v>19</v>
      </c>
      <c r="AL3103">
        <v>53</v>
      </c>
      <c r="AM3103" t="s">
        <v>43</v>
      </c>
      <c r="AN3103" t="str">
        <f>HYPERLINK("https://www.google.com/maps?q=10.79803562,79.54904938","Open Location")</f>
        <v>Open Location</v>
      </c>
    </row>
    <row r="3104" spans="1:40" x14ac:dyDescent="0.3">
      <c r="A3104" s="1">
        <v>46210.640393518515</v>
      </c>
      <c r="B3104" t="s">
        <v>40</v>
      </c>
      <c r="C3104" t="s">
        <v>41</v>
      </c>
      <c r="D3104" s="1">
        <v>46210.643171296295</v>
      </c>
      <c r="E3104" t="s">
        <v>42</v>
      </c>
      <c r="F3104" t="s">
        <v>83</v>
      </c>
      <c r="G3104">
        <v>47</v>
      </c>
      <c r="H3104">
        <v>33125</v>
      </c>
      <c r="I3104" t="s">
        <v>1774</v>
      </c>
      <c r="J3104">
        <v>88</v>
      </c>
      <c r="K3104">
        <v>105</v>
      </c>
      <c r="L3104">
        <v>98</v>
      </c>
      <c r="M3104">
        <v>631.20001220999995</v>
      </c>
      <c r="N3104" t="s">
        <v>87</v>
      </c>
      <c r="O3104" t="s">
        <v>86</v>
      </c>
      <c r="P3104">
        <v>131</v>
      </c>
      <c r="Q3104">
        <v>6</v>
      </c>
      <c r="R3104">
        <v>46</v>
      </c>
      <c r="S3104">
        <v>1300</v>
      </c>
      <c r="T3104">
        <v>-40</v>
      </c>
      <c r="U3104">
        <v>52</v>
      </c>
      <c r="V3104">
        <v>440</v>
      </c>
      <c r="W3104">
        <v>33</v>
      </c>
      <c r="X3104">
        <v>33</v>
      </c>
      <c r="Y3104">
        <v>1</v>
      </c>
      <c r="Z3104">
        <v>8</v>
      </c>
      <c r="AA3104">
        <v>29</v>
      </c>
      <c r="AB3104">
        <v>2</v>
      </c>
      <c r="AC3104">
        <v>1</v>
      </c>
      <c r="AD3104">
        <v>3.2959999999999998</v>
      </c>
      <c r="AE3104">
        <v>1</v>
      </c>
      <c r="AF3104">
        <v>38</v>
      </c>
      <c r="AG3104">
        <v>3.28800011</v>
      </c>
      <c r="AH3104">
        <v>4</v>
      </c>
      <c r="AI3104">
        <v>17</v>
      </c>
      <c r="AJ3104">
        <v>1</v>
      </c>
      <c r="AK3104">
        <v>19</v>
      </c>
      <c r="AL3104">
        <v>53</v>
      </c>
      <c r="AM3104" t="s">
        <v>43</v>
      </c>
      <c r="AN3104" t="str">
        <f>HYPERLINK("https://www.google.com/maps?q=10.79759407,79.55052185","Open Location")</f>
        <v>Open Location</v>
      </c>
    </row>
    <row r="3105" spans="1:40" x14ac:dyDescent="0.3">
      <c r="A3105" s="1">
        <v>46210.640277777777</v>
      </c>
      <c r="B3105" t="s">
        <v>40</v>
      </c>
      <c r="C3105" t="s">
        <v>41</v>
      </c>
      <c r="D3105" s="1">
        <v>46210.642974537041</v>
      </c>
      <c r="E3105" t="s">
        <v>42</v>
      </c>
      <c r="F3105" t="s">
        <v>83</v>
      </c>
      <c r="G3105">
        <v>47</v>
      </c>
      <c r="H3105">
        <v>33125</v>
      </c>
      <c r="I3105" t="s">
        <v>1775</v>
      </c>
      <c r="J3105">
        <v>88</v>
      </c>
      <c r="K3105">
        <v>58</v>
      </c>
      <c r="L3105">
        <v>98</v>
      </c>
      <c r="M3105">
        <v>632.40002441000001</v>
      </c>
      <c r="N3105" t="s">
        <v>87</v>
      </c>
      <c r="O3105" t="s">
        <v>86</v>
      </c>
      <c r="P3105">
        <v>131</v>
      </c>
      <c r="Q3105">
        <v>6</v>
      </c>
      <c r="R3105">
        <v>43</v>
      </c>
      <c r="S3105">
        <v>1311</v>
      </c>
      <c r="T3105">
        <v>-40</v>
      </c>
      <c r="U3105">
        <v>51</v>
      </c>
      <c r="V3105">
        <v>240</v>
      </c>
      <c r="W3105">
        <v>33</v>
      </c>
      <c r="X3105">
        <v>33</v>
      </c>
      <c r="Y3105">
        <v>1</v>
      </c>
      <c r="Z3105">
        <v>8</v>
      </c>
      <c r="AA3105">
        <v>29</v>
      </c>
      <c r="AB3105">
        <v>2</v>
      </c>
      <c r="AC3105">
        <v>1</v>
      </c>
      <c r="AD3105">
        <v>3.3020000500000002</v>
      </c>
      <c r="AE3105">
        <v>1</v>
      </c>
      <c r="AF3105">
        <v>38</v>
      </c>
      <c r="AG3105">
        <v>3.2959999999999998</v>
      </c>
      <c r="AH3105">
        <v>4</v>
      </c>
      <c r="AI3105">
        <v>17</v>
      </c>
      <c r="AJ3105">
        <v>1</v>
      </c>
      <c r="AK3105">
        <v>19</v>
      </c>
      <c r="AL3105">
        <v>53</v>
      </c>
      <c r="AM3105" t="s">
        <v>43</v>
      </c>
      <c r="AN3105" t="str">
        <f>HYPERLINK("https://www.google.com/maps?q=10.79738522,79.55193329","Open Location")</f>
        <v>Open Location</v>
      </c>
    </row>
    <row r="3106" spans="1:40" x14ac:dyDescent="0.3">
      <c r="A3106" s="1">
        <v>46210.640162037038</v>
      </c>
      <c r="B3106" t="s">
        <v>40</v>
      </c>
      <c r="C3106" t="s">
        <v>41</v>
      </c>
      <c r="D3106" s="1">
        <v>46210.642824074072</v>
      </c>
      <c r="E3106" t="s">
        <v>42</v>
      </c>
      <c r="F3106" t="s">
        <v>83</v>
      </c>
      <c r="G3106">
        <v>48</v>
      </c>
      <c r="H3106">
        <v>33124</v>
      </c>
      <c r="I3106" t="s">
        <v>1776</v>
      </c>
      <c r="J3106">
        <v>88</v>
      </c>
      <c r="K3106">
        <v>182</v>
      </c>
      <c r="L3106">
        <v>98</v>
      </c>
      <c r="M3106">
        <v>629.20001220999995</v>
      </c>
      <c r="N3106" t="s">
        <v>87</v>
      </c>
      <c r="O3106" t="s">
        <v>86</v>
      </c>
      <c r="P3106">
        <v>131</v>
      </c>
      <c r="Q3106">
        <v>6</v>
      </c>
      <c r="R3106">
        <v>42</v>
      </c>
      <c r="S3106">
        <v>1353</v>
      </c>
      <c r="T3106">
        <v>-40</v>
      </c>
      <c r="U3106">
        <v>53</v>
      </c>
      <c r="V3106">
        <v>750</v>
      </c>
      <c r="W3106">
        <v>33</v>
      </c>
      <c r="X3106">
        <v>33</v>
      </c>
      <c r="Y3106">
        <v>1</v>
      </c>
      <c r="Z3106">
        <v>8</v>
      </c>
      <c r="AA3106">
        <v>29</v>
      </c>
      <c r="AB3106">
        <v>2</v>
      </c>
      <c r="AC3106">
        <v>1</v>
      </c>
      <c r="AD3106">
        <v>3.28900003</v>
      </c>
      <c r="AE3106">
        <v>1</v>
      </c>
      <c r="AF3106">
        <v>38</v>
      </c>
      <c r="AG3106">
        <v>3.27999997</v>
      </c>
      <c r="AH3106">
        <v>4</v>
      </c>
      <c r="AI3106">
        <v>17</v>
      </c>
      <c r="AJ3106">
        <v>1</v>
      </c>
      <c r="AK3106">
        <v>19</v>
      </c>
      <c r="AL3106">
        <v>53</v>
      </c>
      <c r="AM3106" t="s">
        <v>43</v>
      </c>
      <c r="AN3106" t="str">
        <f>HYPERLINK("https://www.google.com/maps?q=10.79732704,79.55340576","Open Location")</f>
        <v>Open Location</v>
      </c>
    </row>
    <row r="3107" spans="1:40" x14ac:dyDescent="0.3">
      <c r="A3107" s="1">
        <v>46210.640046296299</v>
      </c>
      <c r="B3107" t="s">
        <v>40</v>
      </c>
      <c r="C3107" t="s">
        <v>41</v>
      </c>
      <c r="D3107" s="1">
        <v>46210.642824074072</v>
      </c>
      <c r="E3107" t="s">
        <v>42</v>
      </c>
      <c r="F3107" t="s">
        <v>83</v>
      </c>
      <c r="G3107">
        <v>48</v>
      </c>
      <c r="H3107">
        <v>33124</v>
      </c>
      <c r="I3107" t="s">
        <v>1777</v>
      </c>
      <c r="J3107">
        <v>88</v>
      </c>
      <c r="K3107">
        <v>110</v>
      </c>
      <c r="L3107">
        <v>98</v>
      </c>
      <c r="M3107">
        <v>630.09997558999999</v>
      </c>
      <c r="N3107" t="s">
        <v>87</v>
      </c>
      <c r="O3107" t="s">
        <v>86</v>
      </c>
      <c r="P3107">
        <v>131</v>
      </c>
      <c r="Q3107">
        <v>6</v>
      </c>
      <c r="R3107">
        <v>72</v>
      </c>
      <c r="S3107">
        <v>1340</v>
      </c>
      <c r="T3107">
        <v>-40</v>
      </c>
      <c r="U3107">
        <v>53</v>
      </c>
      <c r="V3107">
        <v>440</v>
      </c>
      <c r="W3107">
        <v>33</v>
      </c>
      <c r="X3107">
        <v>33</v>
      </c>
      <c r="Y3107">
        <v>1</v>
      </c>
      <c r="Z3107">
        <v>8</v>
      </c>
      <c r="AA3107">
        <v>29</v>
      </c>
      <c r="AB3107">
        <v>2</v>
      </c>
      <c r="AC3107">
        <v>1</v>
      </c>
      <c r="AD3107">
        <v>3.2920000599999999</v>
      </c>
      <c r="AE3107">
        <v>1</v>
      </c>
      <c r="AF3107">
        <v>44</v>
      </c>
      <c r="AG3107">
        <v>3.2820000600000001</v>
      </c>
      <c r="AH3107">
        <v>6</v>
      </c>
      <c r="AI3107">
        <v>24</v>
      </c>
      <c r="AJ3107">
        <v>1</v>
      </c>
      <c r="AK3107">
        <v>19</v>
      </c>
      <c r="AL3107">
        <v>53</v>
      </c>
      <c r="AM3107" t="s">
        <v>43</v>
      </c>
      <c r="AN3107" t="str">
        <f>HYPERLINK("https://www.google.com/maps?q=10.79693413,79.55483246","Open Location")</f>
        <v>Open Location</v>
      </c>
    </row>
    <row r="3108" spans="1:40" x14ac:dyDescent="0.3">
      <c r="A3108" s="1">
        <v>46210.639930555553</v>
      </c>
      <c r="B3108" t="s">
        <v>40</v>
      </c>
      <c r="C3108" t="s">
        <v>41</v>
      </c>
      <c r="D3108" s="1">
        <v>46210.642557870371</v>
      </c>
      <c r="E3108" t="s">
        <v>42</v>
      </c>
      <c r="F3108" t="s">
        <v>83</v>
      </c>
      <c r="G3108">
        <v>47</v>
      </c>
      <c r="H3108">
        <v>33124</v>
      </c>
      <c r="I3108" t="s">
        <v>43</v>
      </c>
      <c r="J3108">
        <v>88</v>
      </c>
      <c r="K3108">
        <v>173</v>
      </c>
      <c r="L3108">
        <v>98</v>
      </c>
      <c r="M3108">
        <v>627.40002441000001</v>
      </c>
      <c r="N3108" t="s">
        <v>87</v>
      </c>
      <c r="O3108" t="s">
        <v>86</v>
      </c>
      <c r="P3108">
        <v>131</v>
      </c>
      <c r="Q3108">
        <v>6</v>
      </c>
      <c r="R3108">
        <v>101</v>
      </c>
      <c r="S3108">
        <v>1305</v>
      </c>
      <c r="T3108">
        <v>-40</v>
      </c>
      <c r="U3108">
        <v>54</v>
      </c>
      <c r="V3108">
        <v>740</v>
      </c>
      <c r="W3108">
        <v>33</v>
      </c>
      <c r="X3108">
        <v>33</v>
      </c>
      <c r="Y3108">
        <v>1</v>
      </c>
      <c r="Z3108">
        <v>8</v>
      </c>
      <c r="AA3108">
        <v>29</v>
      </c>
      <c r="AB3108">
        <v>2</v>
      </c>
      <c r="AC3108">
        <v>1</v>
      </c>
      <c r="AD3108">
        <v>3.2839999199999999</v>
      </c>
      <c r="AE3108">
        <v>1</v>
      </c>
      <c r="AF3108">
        <v>44</v>
      </c>
      <c r="AG3108">
        <v>3.2730000000000001</v>
      </c>
      <c r="AH3108">
        <v>4</v>
      </c>
      <c r="AI3108">
        <v>17</v>
      </c>
      <c r="AJ3108">
        <v>1</v>
      </c>
      <c r="AK3108">
        <v>19</v>
      </c>
      <c r="AL3108">
        <v>53</v>
      </c>
      <c r="AM3108" t="s">
        <v>43</v>
      </c>
      <c r="AN3108" t="s">
        <v>43</v>
      </c>
    </row>
    <row r="3109" spans="1:40" x14ac:dyDescent="0.3">
      <c r="A3109" s="1">
        <v>46210.639814814815</v>
      </c>
      <c r="B3109" t="s">
        <v>40</v>
      </c>
      <c r="C3109" t="s">
        <v>41</v>
      </c>
      <c r="D3109" s="1">
        <v>46210.642453703702</v>
      </c>
      <c r="E3109" t="s">
        <v>42</v>
      </c>
      <c r="F3109" t="s">
        <v>83</v>
      </c>
      <c r="G3109">
        <v>45</v>
      </c>
      <c r="H3109">
        <v>33124</v>
      </c>
      <c r="I3109" t="s">
        <v>1778</v>
      </c>
      <c r="J3109">
        <v>88</v>
      </c>
      <c r="K3109">
        <v>119</v>
      </c>
      <c r="L3109">
        <v>98</v>
      </c>
      <c r="M3109">
        <v>630.59997558999999</v>
      </c>
      <c r="N3109" t="s">
        <v>87</v>
      </c>
      <c r="O3109" t="s">
        <v>86</v>
      </c>
      <c r="P3109">
        <v>131</v>
      </c>
      <c r="Q3109">
        <v>6</v>
      </c>
      <c r="R3109">
        <v>71</v>
      </c>
      <c r="S3109">
        <v>1261</v>
      </c>
      <c r="T3109">
        <v>-40</v>
      </c>
      <c r="U3109">
        <v>52</v>
      </c>
      <c r="V3109">
        <v>520</v>
      </c>
      <c r="W3109">
        <v>33</v>
      </c>
      <c r="X3109">
        <v>33</v>
      </c>
      <c r="Y3109">
        <v>1</v>
      </c>
      <c r="Z3109">
        <v>8</v>
      </c>
      <c r="AA3109">
        <v>29</v>
      </c>
      <c r="AB3109">
        <v>2</v>
      </c>
      <c r="AC3109">
        <v>1</v>
      </c>
      <c r="AD3109">
        <v>3.2939999100000001</v>
      </c>
      <c r="AE3109">
        <v>1</v>
      </c>
      <c r="AF3109">
        <v>44</v>
      </c>
      <c r="AG3109">
        <v>3.2839999199999999</v>
      </c>
      <c r="AH3109">
        <v>4</v>
      </c>
      <c r="AI3109">
        <v>17</v>
      </c>
      <c r="AJ3109">
        <v>1</v>
      </c>
      <c r="AK3109">
        <v>19</v>
      </c>
      <c r="AL3109">
        <v>53</v>
      </c>
      <c r="AM3109" t="s">
        <v>43</v>
      </c>
      <c r="AN3109" t="str">
        <f>HYPERLINK("https://www.google.com/maps?q=10.79629898,79.55612183","Open Location")</f>
        <v>Open Location</v>
      </c>
    </row>
    <row r="3110" spans="1:40" x14ac:dyDescent="0.3">
      <c r="A3110" s="1">
        <v>46210.639699074076</v>
      </c>
      <c r="B3110" t="s">
        <v>40</v>
      </c>
      <c r="C3110" t="s">
        <v>41</v>
      </c>
      <c r="D3110" s="1">
        <v>46210.642430555556</v>
      </c>
      <c r="E3110" t="s">
        <v>42</v>
      </c>
      <c r="F3110" t="s">
        <v>83</v>
      </c>
      <c r="G3110">
        <v>45</v>
      </c>
      <c r="H3110">
        <v>33124</v>
      </c>
      <c r="I3110" t="s">
        <v>1779</v>
      </c>
      <c r="J3110">
        <v>88</v>
      </c>
      <c r="K3110">
        <v>136</v>
      </c>
      <c r="L3110">
        <v>98</v>
      </c>
      <c r="M3110">
        <v>630.20001220999995</v>
      </c>
      <c r="N3110" t="s">
        <v>87</v>
      </c>
      <c r="O3110" t="s">
        <v>86</v>
      </c>
      <c r="P3110">
        <v>131</v>
      </c>
      <c r="Q3110">
        <v>6</v>
      </c>
      <c r="R3110">
        <v>57</v>
      </c>
      <c r="S3110">
        <v>1255</v>
      </c>
      <c r="T3110">
        <v>-40</v>
      </c>
      <c r="U3110">
        <v>52</v>
      </c>
      <c r="V3110">
        <v>600</v>
      </c>
      <c r="W3110">
        <v>33</v>
      </c>
      <c r="X3110">
        <v>33</v>
      </c>
      <c r="Y3110">
        <v>1</v>
      </c>
      <c r="Z3110">
        <v>8</v>
      </c>
      <c r="AA3110">
        <v>29</v>
      </c>
      <c r="AB3110">
        <v>2</v>
      </c>
      <c r="AC3110">
        <v>1</v>
      </c>
      <c r="AD3110">
        <v>3.2909998900000001</v>
      </c>
      <c r="AE3110">
        <v>1</v>
      </c>
      <c r="AF3110">
        <v>41</v>
      </c>
      <c r="AG3110">
        <v>3.2809998999999999</v>
      </c>
      <c r="AH3110">
        <v>4</v>
      </c>
      <c r="AI3110">
        <v>17</v>
      </c>
      <c r="AJ3110">
        <v>1</v>
      </c>
      <c r="AK3110">
        <v>20</v>
      </c>
      <c r="AL3110">
        <v>53</v>
      </c>
      <c r="AM3110" t="s">
        <v>43</v>
      </c>
      <c r="AN3110" t="str">
        <f>HYPERLINK("https://www.google.com/maps?q=10.79594421,79.5574646","Open Location")</f>
        <v>Open Location</v>
      </c>
    </row>
    <row r="3111" spans="1:40" x14ac:dyDescent="0.3">
      <c r="A3111" s="1">
        <v>46210.63958333333</v>
      </c>
      <c r="B3111" t="s">
        <v>40</v>
      </c>
      <c r="C3111" t="s">
        <v>41</v>
      </c>
      <c r="D3111" s="1">
        <v>46210.642361111109</v>
      </c>
      <c r="E3111" t="s">
        <v>42</v>
      </c>
      <c r="F3111" t="s">
        <v>83</v>
      </c>
      <c r="G3111">
        <v>44</v>
      </c>
      <c r="H3111">
        <v>33124</v>
      </c>
      <c r="I3111" t="s">
        <v>1780</v>
      </c>
      <c r="J3111">
        <v>88</v>
      </c>
      <c r="K3111">
        <v>81</v>
      </c>
      <c r="L3111">
        <v>98</v>
      </c>
      <c r="M3111">
        <v>631</v>
      </c>
      <c r="N3111" t="s">
        <v>87</v>
      </c>
      <c r="O3111" t="s">
        <v>86</v>
      </c>
      <c r="P3111">
        <v>131</v>
      </c>
      <c r="Q3111">
        <v>6</v>
      </c>
      <c r="R3111">
        <v>76</v>
      </c>
      <c r="S3111">
        <v>1236</v>
      </c>
      <c r="T3111">
        <v>-40</v>
      </c>
      <c r="U3111">
        <v>53</v>
      </c>
      <c r="V3111">
        <v>560</v>
      </c>
      <c r="W3111">
        <v>33</v>
      </c>
      <c r="X3111">
        <v>33</v>
      </c>
      <c r="Y3111">
        <v>1</v>
      </c>
      <c r="Z3111">
        <v>8</v>
      </c>
      <c r="AA3111">
        <v>29</v>
      </c>
      <c r="AB3111">
        <v>2</v>
      </c>
      <c r="AC3111">
        <v>3</v>
      </c>
      <c r="AD3111">
        <v>3.2950000799999999</v>
      </c>
      <c r="AE3111">
        <v>1</v>
      </c>
      <c r="AF3111">
        <v>38</v>
      </c>
      <c r="AG3111">
        <v>3.2869999399999998</v>
      </c>
      <c r="AH3111">
        <v>4</v>
      </c>
      <c r="AI3111">
        <v>17</v>
      </c>
      <c r="AJ3111">
        <v>1</v>
      </c>
      <c r="AK3111">
        <v>19</v>
      </c>
      <c r="AL3111">
        <v>53</v>
      </c>
      <c r="AM3111" t="s">
        <v>43</v>
      </c>
      <c r="AN3111" t="str">
        <f>HYPERLINK("https://www.google.com/maps?q=10.79573917,79.55882263","Open Location")</f>
        <v>Open Location</v>
      </c>
    </row>
    <row r="3112" spans="1:40" x14ac:dyDescent="0.3">
      <c r="A3112" s="1">
        <v>46210.639467592591</v>
      </c>
      <c r="B3112" t="s">
        <v>40</v>
      </c>
      <c r="C3112" t="s">
        <v>41</v>
      </c>
      <c r="D3112" s="1">
        <v>46210.642175925925</v>
      </c>
      <c r="E3112" t="s">
        <v>42</v>
      </c>
      <c r="F3112" t="s">
        <v>83</v>
      </c>
      <c r="G3112">
        <v>42</v>
      </c>
      <c r="H3112">
        <v>33124</v>
      </c>
      <c r="I3112" t="s">
        <v>1781</v>
      </c>
      <c r="J3112">
        <v>88</v>
      </c>
      <c r="K3112">
        <v>153</v>
      </c>
      <c r="L3112">
        <v>98</v>
      </c>
      <c r="M3112">
        <v>629.70001220999995</v>
      </c>
      <c r="N3112" t="s">
        <v>87</v>
      </c>
      <c r="O3112" t="s">
        <v>86</v>
      </c>
      <c r="P3112">
        <v>131</v>
      </c>
      <c r="Q3112">
        <v>6</v>
      </c>
      <c r="R3112">
        <v>70</v>
      </c>
      <c r="S3112">
        <v>1142</v>
      </c>
      <c r="T3112">
        <v>-40</v>
      </c>
      <c r="U3112">
        <v>53</v>
      </c>
      <c r="V3112">
        <v>690</v>
      </c>
      <c r="W3112">
        <v>33</v>
      </c>
      <c r="X3112">
        <v>33</v>
      </c>
      <c r="Y3112">
        <v>1</v>
      </c>
      <c r="Z3112">
        <v>8</v>
      </c>
      <c r="AA3112">
        <v>29</v>
      </c>
      <c r="AB3112">
        <v>2</v>
      </c>
      <c r="AC3112">
        <v>3</v>
      </c>
      <c r="AD3112">
        <v>3.2920000599999999</v>
      </c>
      <c r="AE3112">
        <v>1</v>
      </c>
      <c r="AF3112">
        <v>42</v>
      </c>
      <c r="AG3112">
        <v>3.28299999</v>
      </c>
      <c r="AH3112">
        <v>4</v>
      </c>
      <c r="AI3112">
        <v>17</v>
      </c>
      <c r="AJ3112">
        <v>1</v>
      </c>
      <c r="AK3112">
        <v>19</v>
      </c>
      <c r="AL3112">
        <v>53</v>
      </c>
      <c r="AM3112" t="s">
        <v>43</v>
      </c>
      <c r="AN3112" t="str">
        <f>HYPERLINK("https://www.google.com/maps?q=10.79567719,79.5602417","Open Location")</f>
        <v>Open Location</v>
      </c>
    </row>
    <row r="3113" spans="1:40" x14ac:dyDescent="0.3">
      <c r="A3113" s="1">
        <v>46210.639351851853</v>
      </c>
      <c r="B3113" t="s">
        <v>40</v>
      </c>
      <c r="C3113" t="s">
        <v>41</v>
      </c>
      <c r="D3113" s="1">
        <v>46210.642175925925</v>
      </c>
      <c r="E3113" t="s">
        <v>42</v>
      </c>
      <c r="F3113" t="s">
        <v>83</v>
      </c>
      <c r="G3113">
        <v>40</v>
      </c>
      <c r="H3113">
        <v>33124</v>
      </c>
      <c r="I3113" t="s">
        <v>43</v>
      </c>
      <c r="J3113">
        <v>88</v>
      </c>
      <c r="K3113">
        <v>69</v>
      </c>
      <c r="L3113">
        <v>98</v>
      </c>
      <c r="M3113">
        <v>631.59997558999999</v>
      </c>
      <c r="N3113" t="s">
        <v>87</v>
      </c>
      <c r="O3113" t="s">
        <v>86</v>
      </c>
      <c r="P3113">
        <v>131</v>
      </c>
      <c r="Q3113">
        <v>6</v>
      </c>
      <c r="R3113">
        <v>51</v>
      </c>
      <c r="S3113">
        <v>1133</v>
      </c>
      <c r="T3113">
        <v>-40</v>
      </c>
      <c r="U3113">
        <v>52</v>
      </c>
      <c r="V3113">
        <v>340</v>
      </c>
      <c r="W3113">
        <v>33</v>
      </c>
      <c r="X3113">
        <v>33</v>
      </c>
      <c r="Y3113">
        <v>1</v>
      </c>
      <c r="Z3113">
        <v>8</v>
      </c>
      <c r="AA3113">
        <v>29</v>
      </c>
      <c r="AB3113">
        <v>2</v>
      </c>
      <c r="AC3113">
        <v>3</v>
      </c>
      <c r="AD3113">
        <v>3.2990000199999998</v>
      </c>
      <c r="AE3113">
        <v>1</v>
      </c>
      <c r="AF3113">
        <v>41</v>
      </c>
      <c r="AG3113">
        <v>3.2920000599999999</v>
      </c>
      <c r="AH3113">
        <v>4</v>
      </c>
      <c r="AI3113">
        <v>17</v>
      </c>
      <c r="AJ3113">
        <v>1</v>
      </c>
      <c r="AK3113">
        <v>21</v>
      </c>
      <c r="AL3113">
        <v>53</v>
      </c>
      <c r="AM3113" t="s">
        <v>43</v>
      </c>
      <c r="AN3113" t="s">
        <v>43</v>
      </c>
    </row>
    <row r="3114" spans="1:40" x14ac:dyDescent="0.3">
      <c r="A3114" s="1">
        <v>46210.639236111114</v>
      </c>
      <c r="B3114" t="s">
        <v>40</v>
      </c>
      <c r="C3114" t="s">
        <v>41</v>
      </c>
      <c r="D3114" s="1">
        <v>46210.642222222225</v>
      </c>
      <c r="E3114" t="s">
        <v>42</v>
      </c>
      <c r="F3114" t="s">
        <v>83</v>
      </c>
      <c r="G3114">
        <v>42</v>
      </c>
      <c r="H3114">
        <v>33123</v>
      </c>
      <c r="I3114" t="s">
        <v>1782</v>
      </c>
      <c r="J3114">
        <v>88</v>
      </c>
      <c r="K3114">
        <v>116</v>
      </c>
      <c r="L3114">
        <v>98</v>
      </c>
      <c r="M3114">
        <v>631</v>
      </c>
      <c r="N3114" t="s">
        <v>87</v>
      </c>
      <c r="O3114" t="s">
        <v>86</v>
      </c>
      <c r="P3114">
        <v>131</v>
      </c>
      <c r="Q3114">
        <v>6</v>
      </c>
      <c r="R3114">
        <v>65</v>
      </c>
      <c r="S3114">
        <v>1170</v>
      </c>
      <c r="T3114">
        <v>-40</v>
      </c>
      <c r="U3114">
        <v>53</v>
      </c>
      <c r="V3114">
        <v>540</v>
      </c>
      <c r="W3114">
        <v>33</v>
      </c>
      <c r="X3114">
        <v>33</v>
      </c>
      <c r="Y3114">
        <v>1</v>
      </c>
      <c r="Z3114">
        <v>8</v>
      </c>
      <c r="AA3114">
        <v>29</v>
      </c>
      <c r="AB3114">
        <v>2</v>
      </c>
      <c r="AC3114">
        <v>3</v>
      </c>
      <c r="AD3114">
        <v>3.2939999100000001</v>
      </c>
      <c r="AE3114">
        <v>1</v>
      </c>
      <c r="AF3114">
        <v>38</v>
      </c>
      <c r="AG3114">
        <v>3.28500009</v>
      </c>
      <c r="AH3114">
        <v>4</v>
      </c>
      <c r="AI3114">
        <v>17</v>
      </c>
      <c r="AJ3114">
        <v>1</v>
      </c>
      <c r="AK3114">
        <v>19</v>
      </c>
      <c r="AL3114">
        <v>53</v>
      </c>
      <c r="AM3114" t="s">
        <v>43</v>
      </c>
      <c r="AN3114" t="str">
        <f>HYPERLINK("https://www.google.com/maps?q=10.79559994,79.56147766","Open Location")</f>
        <v>Open Location</v>
      </c>
    </row>
    <row r="3115" spans="1:40" x14ac:dyDescent="0.3">
      <c r="A3115" s="1">
        <v>46210.639120370368</v>
      </c>
      <c r="B3115" t="s">
        <v>40</v>
      </c>
      <c r="C3115" t="s">
        <v>41</v>
      </c>
      <c r="D3115" s="1">
        <v>46210.641909722224</v>
      </c>
      <c r="E3115" t="s">
        <v>42</v>
      </c>
      <c r="F3115" t="s">
        <v>83</v>
      </c>
      <c r="G3115">
        <v>43</v>
      </c>
      <c r="H3115">
        <v>33123</v>
      </c>
      <c r="I3115" t="s">
        <v>1783</v>
      </c>
      <c r="J3115">
        <v>89</v>
      </c>
      <c r="K3115">
        <v>77</v>
      </c>
      <c r="L3115">
        <v>98</v>
      </c>
      <c r="M3115">
        <v>631.29998779000005</v>
      </c>
      <c r="N3115" t="s">
        <v>87</v>
      </c>
      <c r="O3115" t="s">
        <v>86</v>
      </c>
      <c r="P3115">
        <v>131</v>
      </c>
      <c r="Q3115">
        <v>6</v>
      </c>
      <c r="R3115">
        <v>62</v>
      </c>
      <c r="S3115">
        <v>1186</v>
      </c>
      <c r="T3115">
        <v>-40</v>
      </c>
      <c r="U3115">
        <v>53</v>
      </c>
      <c r="V3115">
        <v>350</v>
      </c>
      <c r="W3115">
        <v>33</v>
      </c>
      <c r="X3115">
        <v>33</v>
      </c>
      <c r="Y3115">
        <v>1</v>
      </c>
      <c r="Z3115">
        <v>8</v>
      </c>
      <c r="AA3115">
        <v>29</v>
      </c>
      <c r="AB3115">
        <v>2</v>
      </c>
      <c r="AC3115">
        <v>3</v>
      </c>
      <c r="AD3115">
        <v>3.2959999999999998</v>
      </c>
      <c r="AE3115">
        <v>1</v>
      </c>
      <c r="AF3115">
        <v>38</v>
      </c>
      <c r="AG3115">
        <v>3.28800011</v>
      </c>
      <c r="AH3115">
        <v>4</v>
      </c>
      <c r="AI3115">
        <v>17</v>
      </c>
      <c r="AJ3115">
        <v>1</v>
      </c>
      <c r="AK3115">
        <v>19</v>
      </c>
      <c r="AL3115">
        <v>53</v>
      </c>
      <c r="AM3115" t="s">
        <v>43</v>
      </c>
      <c r="AN3115" t="str">
        <f>HYPERLINK("https://www.google.com/maps?q=10.79542542,79.56275177","Open Location")</f>
        <v>Open Location</v>
      </c>
    </row>
    <row r="3116" spans="1:40" x14ac:dyDescent="0.3">
      <c r="A3116" s="1">
        <v>46210.639004629629</v>
      </c>
      <c r="B3116" t="s">
        <v>40</v>
      </c>
      <c r="C3116" t="s">
        <v>41</v>
      </c>
      <c r="D3116" s="1">
        <v>46210.641770833332</v>
      </c>
      <c r="E3116" t="s">
        <v>42</v>
      </c>
      <c r="F3116" t="s">
        <v>83</v>
      </c>
      <c r="G3116">
        <v>42</v>
      </c>
      <c r="H3116" t="s">
        <v>43</v>
      </c>
      <c r="I3116" t="s">
        <v>1784</v>
      </c>
      <c r="J3116">
        <v>89</v>
      </c>
      <c r="K3116">
        <v>147</v>
      </c>
      <c r="L3116">
        <v>98</v>
      </c>
      <c r="M3116">
        <v>628.59997558999999</v>
      </c>
      <c r="N3116" t="s">
        <v>87</v>
      </c>
      <c r="O3116" t="s">
        <v>86</v>
      </c>
      <c r="P3116">
        <v>131</v>
      </c>
      <c r="Q3116">
        <v>6</v>
      </c>
      <c r="R3116">
        <v>99</v>
      </c>
      <c r="S3116">
        <v>1142</v>
      </c>
      <c r="T3116">
        <v>-40</v>
      </c>
      <c r="U3116">
        <v>53</v>
      </c>
      <c r="V3116">
        <v>720</v>
      </c>
      <c r="W3116">
        <v>33</v>
      </c>
      <c r="X3116">
        <v>33</v>
      </c>
      <c r="Y3116">
        <v>1</v>
      </c>
      <c r="Z3116">
        <v>8</v>
      </c>
      <c r="AA3116">
        <v>29</v>
      </c>
      <c r="AB3116">
        <v>2</v>
      </c>
      <c r="AC3116">
        <v>3</v>
      </c>
      <c r="AD3116">
        <v>3.2869999399999998</v>
      </c>
      <c r="AE3116">
        <v>1</v>
      </c>
      <c r="AF3116">
        <v>38</v>
      </c>
      <c r="AG3116">
        <v>3.27699995</v>
      </c>
      <c r="AH3116">
        <v>4</v>
      </c>
      <c r="AI3116">
        <v>17</v>
      </c>
      <c r="AJ3116">
        <v>1</v>
      </c>
      <c r="AK3116">
        <v>19</v>
      </c>
      <c r="AL3116">
        <v>53</v>
      </c>
      <c r="AM3116" t="s">
        <v>43</v>
      </c>
      <c r="AN3116" t="str">
        <f>HYPERLINK("https://www.google.com/maps?q=10.79509544,79.56401825","Open Location")</f>
        <v>Open Location</v>
      </c>
    </row>
    <row r="3117" spans="1:40" x14ac:dyDescent="0.3">
      <c r="A3117" s="1">
        <v>46210.638888888891</v>
      </c>
      <c r="B3117" t="s">
        <v>40</v>
      </c>
      <c r="C3117" t="s">
        <v>41</v>
      </c>
      <c r="D3117" s="1">
        <v>46210.641932870371</v>
      </c>
      <c r="E3117" t="s">
        <v>42</v>
      </c>
      <c r="F3117" t="s">
        <v>83</v>
      </c>
      <c r="G3117">
        <v>40</v>
      </c>
      <c r="H3117">
        <v>33123</v>
      </c>
      <c r="I3117" t="s">
        <v>1785</v>
      </c>
      <c r="J3117">
        <v>89</v>
      </c>
      <c r="K3117">
        <v>102</v>
      </c>
      <c r="L3117">
        <v>98</v>
      </c>
      <c r="M3117">
        <v>631.09997558999999</v>
      </c>
      <c r="N3117" t="s">
        <v>87</v>
      </c>
      <c r="O3117" t="s">
        <v>86</v>
      </c>
      <c r="P3117">
        <v>131</v>
      </c>
      <c r="Q3117">
        <v>6</v>
      </c>
      <c r="R3117">
        <v>64</v>
      </c>
      <c r="S3117">
        <v>1127</v>
      </c>
      <c r="T3117">
        <v>-40</v>
      </c>
      <c r="U3117">
        <v>52</v>
      </c>
      <c r="V3117">
        <v>500</v>
      </c>
      <c r="W3117">
        <v>33</v>
      </c>
      <c r="X3117">
        <v>33</v>
      </c>
      <c r="Y3117">
        <v>1</v>
      </c>
      <c r="Z3117">
        <v>8</v>
      </c>
      <c r="AA3117">
        <v>29</v>
      </c>
      <c r="AB3117">
        <v>2</v>
      </c>
      <c r="AC3117">
        <v>3</v>
      </c>
      <c r="AD3117">
        <v>3.2980000999999999</v>
      </c>
      <c r="AE3117">
        <v>1</v>
      </c>
      <c r="AF3117">
        <v>38</v>
      </c>
      <c r="AG3117">
        <v>3.2909998900000001</v>
      </c>
      <c r="AH3117">
        <v>4</v>
      </c>
      <c r="AI3117">
        <v>17</v>
      </c>
      <c r="AJ3117">
        <v>1</v>
      </c>
      <c r="AK3117">
        <v>19</v>
      </c>
      <c r="AL3117">
        <v>53</v>
      </c>
      <c r="AM3117" t="s">
        <v>43</v>
      </c>
      <c r="AN3117" t="str">
        <f>HYPERLINK("https://www.google.com/maps?q=10.79463196,79.56517792","Open Location")</f>
        <v>Open Location</v>
      </c>
    </row>
    <row r="3118" spans="1:40" x14ac:dyDescent="0.3">
      <c r="A3118" s="1">
        <v>46210.638773148145</v>
      </c>
      <c r="B3118" t="s">
        <v>40</v>
      </c>
      <c r="C3118" t="s">
        <v>41</v>
      </c>
      <c r="D3118" s="1">
        <v>46210.641481481478</v>
      </c>
      <c r="E3118" t="s">
        <v>42</v>
      </c>
      <c r="F3118" t="s">
        <v>83</v>
      </c>
      <c r="G3118">
        <v>40</v>
      </c>
      <c r="H3118">
        <v>33123</v>
      </c>
      <c r="I3118" t="s">
        <v>1786</v>
      </c>
      <c r="J3118">
        <v>89</v>
      </c>
      <c r="K3118">
        <v>153</v>
      </c>
      <c r="L3118">
        <v>98</v>
      </c>
      <c r="M3118">
        <v>630.09997558999999</v>
      </c>
      <c r="N3118" t="s">
        <v>87</v>
      </c>
      <c r="O3118" t="s">
        <v>86</v>
      </c>
      <c r="P3118">
        <v>131</v>
      </c>
      <c r="Q3118">
        <v>6</v>
      </c>
      <c r="R3118">
        <v>96</v>
      </c>
      <c r="S3118">
        <v>1118</v>
      </c>
      <c r="T3118">
        <v>-40</v>
      </c>
      <c r="U3118">
        <v>53</v>
      </c>
      <c r="V3118">
        <v>780</v>
      </c>
      <c r="W3118">
        <v>33</v>
      </c>
      <c r="X3118">
        <v>33</v>
      </c>
      <c r="Y3118">
        <v>1</v>
      </c>
      <c r="Z3118">
        <v>8</v>
      </c>
      <c r="AA3118">
        <v>29</v>
      </c>
      <c r="AB3118">
        <v>2</v>
      </c>
      <c r="AC3118">
        <v>3</v>
      </c>
      <c r="AD3118">
        <v>3.2909998900000001</v>
      </c>
      <c r="AE3118">
        <v>1</v>
      </c>
      <c r="AF3118">
        <v>42</v>
      </c>
      <c r="AG3118">
        <v>3.27999997</v>
      </c>
      <c r="AH3118">
        <v>4</v>
      </c>
      <c r="AI3118">
        <v>17</v>
      </c>
      <c r="AJ3118">
        <v>1</v>
      </c>
      <c r="AK3118">
        <v>19</v>
      </c>
      <c r="AL3118">
        <v>53</v>
      </c>
      <c r="AM3118" t="s">
        <v>43</v>
      </c>
      <c r="AN3118" t="str">
        <f>HYPERLINK("https://www.google.com/maps?q=10.79413128,79.56630707","Open Location")</f>
        <v>Open Location</v>
      </c>
    </row>
    <row r="3119" spans="1:40" x14ac:dyDescent="0.3">
      <c r="A3119" s="1">
        <v>46210.638657407406</v>
      </c>
      <c r="B3119" t="s">
        <v>40</v>
      </c>
      <c r="C3119" t="s">
        <v>41</v>
      </c>
      <c r="D3119" s="1">
        <v>46210.641342592593</v>
      </c>
      <c r="E3119" t="s">
        <v>42</v>
      </c>
      <c r="F3119" t="s">
        <v>83</v>
      </c>
      <c r="G3119">
        <v>41</v>
      </c>
      <c r="H3119">
        <v>33123</v>
      </c>
      <c r="I3119" t="s">
        <v>43</v>
      </c>
      <c r="J3119">
        <v>89</v>
      </c>
      <c r="K3119">
        <v>80</v>
      </c>
      <c r="L3119">
        <v>98</v>
      </c>
      <c r="M3119">
        <v>632.29998779000005</v>
      </c>
      <c r="N3119" t="s">
        <v>87</v>
      </c>
      <c r="O3119" t="s">
        <v>86</v>
      </c>
      <c r="P3119">
        <v>131</v>
      </c>
      <c r="Q3119">
        <v>6</v>
      </c>
      <c r="R3119">
        <v>47</v>
      </c>
      <c r="S3119">
        <v>1163</v>
      </c>
      <c r="T3119">
        <v>-40</v>
      </c>
      <c r="U3119">
        <v>51</v>
      </c>
      <c r="V3119">
        <v>380</v>
      </c>
      <c r="W3119">
        <v>33</v>
      </c>
      <c r="X3119">
        <v>33</v>
      </c>
      <c r="Y3119">
        <v>1</v>
      </c>
      <c r="Z3119">
        <v>8</v>
      </c>
      <c r="AA3119">
        <v>29</v>
      </c>
      <c r="AB3119">
        <v>2</v>
      </c>
      <c r="AC3119">
        <v>3</v>
      </c>
      <c r="AD3119">
        <v>3.3050000700000002</v>
      </c>
      <c r="AE3119">
        <v>1</v>
      </c>
      <c r="AF3119">
        <v>41</v>
      </c>
      <c r="AG3119">
        <v>3.2990000199999998</v>
      </c>
      <c r="AH3119">
        <v>4</v>
      </c>
      <c r="AI3119">
        <v>17</v>
      </c>
      <c r="AJ3119">
        <v>1</v>
      </c>
      <c r="AK3119">
        <v>19</v>
      </c>
      <c r="AL3119">
        <v>53</v>
      </c>
      <c r="AM3119" t="s">
        <v>43</v>
      </c>
      <c r="AN3119" t="s">
        <v>43</v>
      </c>
    </row>
    <row r="3120" spans="1:40" x14ac:dyDescent="0.3">
      <c r="A3120" s="1">
        <v>46210.638541666667</v>
      </c>
      <c r="B3120" t="s">
        <v>40</v>
      </c>
      <c r="C3120" t="s">
        <v>41</v>
      </c>
      <c r="D3120" s="1">
        <v>46210.641238425924</v>
      </c>
      <c r="E3120" t="s">
        <v>42</v>
      </c>
      <c r="F3120" t="s">
        <v>83</v>
      </c>
      <c r="G3120">
        <v>43</v>
      </c>
      <c r="H3120" t="s">
        <v>43</v>
      </c>
      <c r="I3120" t="s">
        <v>1787</v>
      </c>
      <c r="J3120">
        <v>89</v>
      </c>
      <c r="K3120">
        <v>65</v>
      </c>
      <c r="L3120">
        <v>98</v>
      </c>
      <c r="M3120">
        <v>633.09997558999999</v>
      </c>
      <c r="N3120" t="s">
        <v>87</v>
      </c>
      <c r="O3120" t="s">
        <v>86</v>
      </c>
      <c r="P3120">
        <v>131</v>
      </c>
      <c r="Q3120">
        <v>6</v>
      </c>
      <c r="R3120">
        <v>52</v>
      </c>
      <c r="S3120">
        <v>1201</v>
      </c>
      <c r="T3120">
        <v>-40</v>
      </c>
      <c r="U3120">
        <v>51</v>
      </c>
      <c r="V3120">
        <v>300</v>
      </c>
      <c r="W3120">
        <v>33</v>
      </c>
      <c r="X3120">
        <v>33</v>
      </c>
      <c r="Y3120">
        <v>1</v>
      </c>
      <c r="Z3120">
        <v>8</v>
      </c>
      <c r="AA3120">
        <v>29</v>
      </c>
      <c r="AB3120">
        <v>2</v>
      </c>
      <c r="AC3120">
        <v>3</v>
      </c>
      <c r="AD3120">
        <v>3.3050000700000002</v>
      </c>
      <c r="AE3120">
        <v>1</v>
      </c>
      <c r="AF3120">
        <v>44</v>
      </c>
      <c r="AG3120">
        <v>3.2990000199999998</v>
      </c>
      <c r="AH3120">
        <v>4</v>
      </c>
      <c r="AI3120">
        <v>17</v>
      </c>
      <c r="AJ3120">
        <v>1</v>
      </c>
      <c r="AK3120">
        <v>19</v>
      </c>
      <c r="AL3120">
        <v>53</v>
      </c>
      <c r="AM3120" t="s">
        <v>43</v>
      </c>
      <c r="AN3120" t="str">
        <f>HYPERLINK("https://www.google.com/maps?q=10.79358101,79.56754303","Open Location")</f>
        <v>Open Location</v>
      </c>
    </row>
    <row r="3121" spans="1:40" x14ac:dyDescent="0.3">
      <c r="A3121" s="1">
        <v>46210.638425925928</v>
      </c>
      <c r="B3121" t="s">
        <v>40</v>
      </c>
      <c r="C3121" t="s">
        <v>41</v>
      </c>
      <c r="D3121" s="1">
        <v>46210.641273148147</v>
      </c>
      <c r="E3121" t="s">
        <v>42</v>
      </c>
      <c r="F3121" t="s">
        <v>83</v>
      </c>
      <c r="G3121">
        <v>43</v>
      </c>
      <c r="H3121">
        <v>33123</v>
      </c>
      <c r="I3121" t="s">
        <v>1788</v>
      </c>
      <c r="J3121">
        <v>89</v>
      </c>
      <c r="K3121">
        <v>71</v>
      </c>
      <c r="L3121">
        <v>98</v>
      </c>
      <c r="M3121">
        <v>632.40002441000001</v>
      </c>
      <c r="N3121" t="s">
        <v>87</v>
      </c>
      <c r="O3121" t="s">
        <v>86</v>
      </c>
      <c r="P3121">
        <v>131</v>
      </c>
      <c r="Q3121">
        <v>6</v>
      </c>
      <c r="R3121">
        <v>35</v>
      </c>
      <c r="S3121">
        <v>1206</v>
      </c>
      <c r="T3121">
        <v>-40</v>
      </c>
      <c r="U3121">
        <v>51</v>
      </c>
      <c r="V3121">
        <v>320</v>
      </c>
      <c r="W3121">
        <v>34</v>
      </c>
      <c r="X3121">
        <v>34</v>
      </c>
      <c r="Y3121">
        <v>1</v>
      </c>
      <c r="Z3121">
        <v>8</v>
      </c>
      <c r="AA3121">
        <v>29</v>
      </c>
      <c r="AB3121">
        <v>2</v>
      </c>
      <c r="AC3121">
        <v>3</v>
      </c>
      <c r="AD3121">
        <v>3.3029999700000001</v>
      </c>
      <c r="AE3121">
        <v>1</v>
      </c>
      <c r="AF3121">
        <v>44</v>
      </c>
      <c r="AG3121">
        <v>3.2959999999999998</v>
      </c>
      <c r="AH3121">
        <v>4</v>
      </c>
      <c r="AI3121">
        <v>17</v>
      </c>
      <c r="AJ3121">
        <v>1</v>
      </c>
      <c r="AK3121">
        <v>19</v>
      </c>
      <c r="AL3121">
        <v>53</v>
      </c>
      <c r="AM3121" t="s">
        <v>43</v>
      </c>
      <c r="AN3121" t="str">
        <f>HYPERLINK("https://www.google.com/maps?q=10.79304886,79.56874084","Open Location")</f>
        <v>Open Location</v>
      </c>
    </row>
    <row r="3122" spans="1:40" x14ac:dyDescent="0.3">
      <c r="A3122" s="1">
        <v>46210.638310185182</v>
      </c>
      <c r="B3122" t="s">
        <v>40</v>
      </c>
      <c r="C3122" t="s">
        <v>41</v>
      </c>
      <c r="D3122" s="1">
        <v>46210.64099537037</v>
      </c>
      <c r="E3122" t="s">
        <v>42</v>
      </c>
      <c r="F3122" t="s">
        <v>83</v>
      </c>
      <c r="G3122">
        <v>43</v>
      </c>
      <c r="H3122">
        <v>33123</v>
      </c>
      <c r="I3122" t="s">
        <v>1789</v>
      </c>
      <c r="J3122">
        <v>89</v>
      </c>
      <c r="K3122">
        <v>84</v>
      </c>
      <c r="L3122">
        <v>98</v>
      </c>
      <c r="M3122">
        <v>632.29998779000005</v>
      </c>
      <c r="N3122" t="s">
        <v>87</v>
      </c>
      <c r="O3122" t="s">
        <v>86</v>
      </c>
      <c r="P3122">
        <v>131</v>
      </c>
      <c r="Q3122">
        <v>6</v>
      </c>
      <c r="R3122">
        <v>58</v>
      </c>
      <c r="S3122">
        <v>1199</v>
      </c>
      <c r="T3122">
        <v>-40</v>
      </c>
      <c r="U3122">
        <v>51</v>
      </c>
      <c r="V3122">
        <v>380</v>
      </c>
      <c r="W3122">
        <v>34</v>
      </c>
      <c r="X3122">
        <v>34</v>
      </c>
      <c r="Y3122">
        <v>1</v>
      </c>
      <c r="Z3122">
        <v>8</v>
      </c>
      <c r="AA3122">
        <v>29</v>
      </c>
      <c r="AB3122">
        <v>2</v>
      </c>
      <c r="AC3122">
        <v>3</v>
      </c>
      <c r="AD3122">
        <v>3.3010001199999999</v>
      </c>
      <c r="AE3122">
        <v>1</v>
      </c>
      <c r="AF3122">
        <v>41</v>
      </c>
      <c r="AG3122">
        <v>3.2939999100000001</v>
      </c>
      <c r="AH3122">
        <v>4</v>
      </c>
      <c r="AI3122">
        <v>17</v>
      </c>
      <c r="AJ3122">
        <v>1</v>
      </c>
      <c r="AK3122">
        <v>19</v>
      </c>
      <c r="AL3122">
        <v>53</v>
      </c>
      <c r="AM3122" t="s">
        <v>43</v>
      </c>
      <c r="AN3122" t="str">
        <f>HYPERLINK("https://www.google.com/maps?q=10.79254532,79.56996918","Open Location")</f>
        <v>Open Location</v>
      </c>
    </row>
    <row r="3123" spans="1:40" x14ac:dyDescent="0.3">
      <c r="A3123" s="1">
        <v>46210.638194444444</v>
      </c>
      <c r="B3123" t="s">
        <v>40</v>
      </c>
      <c r="C3123" t="s">
        <v>41</v>
      </c>
      <c r="D3123" s="1">
        <v>46210.64099537037</v>
      </c>
      <c r="E3123" t="s">
        <v>42</v>
      </c>
      <c r="F3123" t="s">
        <v>83</v>
      </c>
      <c r="G3123">
        <v>43</v>
      </c>
      <c r="H3123">
        <v>33122</v>
      </c>
      <c r="I3123" t="s">
        <v>1790</v>
      </c>
      <c r="J3123">
        <v>89</v>
      </c>
      <c r="K3123">
        <v>81</v>
      </c>
      <c r="L3123">
        <v>98</v>
      </c>
      <c r="M3123">
        <v>632.40002441000001</v>
      </c>
      <c r="N3123" t="s">
        <v>87</v>
      </c>
      <c r="O3123" t="s">
        <v>86</v>
      </c>
      <c r="P3123">
        <v>131</v>
      </c>
      <c r="Q3123">
        <v>6</v>
      </c>
      <c r="R3123">
        <v>45</v>
      </c>
      <c r="S3123">
        <v>1215</v>
      </c>
      <c r="T3123">
        <v>-40</v>
      </c>
      <c r="U3123">
        <v>51</v>
      </c>
      <c r="V3123">
        <v>360</v>
      </c>
      <c r="W3123">
        <v>34</v>
      </c>
      <c r="X3123">
        <v>34</v>
      </c>
      <c r="Y3123">
        <v>1</v>
      </c>
      <c r="Z3123">
        <v>8</v>
      </c>
      <c r="AA3123">
        <v>29</v>
      </c>
      <c r="AB3123">
        <v>2</v>
      </c>
      <c r="AC3123">
        <v>3</v>
      </c>
      <c r="AD3123">
        <v>3.3010001199999999</v>
      </c>
      <c r="AE3123">
        <v>1</v>
      </c>
      <c r="AF3123">
        <v>44</v>
      </c>
      <c r="AG3123">
        <v>3.2939999100000001</v>
      </c>
      <c r="AH3123">
        <v>4</v>
      </c>
      <c r="AI3123">
        <v>17</v>
      </c>
      <c r="AJ3123">
        <v>1</v>
      </c>
      <c r="AK3123">
        <v>19</v>
      </c>
      <c r="AL3123">
        <v>53</v>
      </c>
      <c r="AM3123" t="s">
        <v>43</v>
      </c>
      <c r="AN3123" t="str">
        <f>HYPERLINK("https://www.google.com/maps?q=10.7920599,79.57120514","Open Location")</f>
        <v>Open Location</v>
      </c>
    </row>
    <row r="3124" spans="1:40" x14ac:dyDescent="0.3">
      <c r="A3124" s="1">
        <v>46210.638078703705</v>
      </c>
      <c r="B3124" t="s">
        <v>40</v>
      </c>
      <c r="C3124" t="s">
        <v>41</v>
      </c>
      <c r="D3124" s="1">
        <v>46210.640925925924</v>
      </c>
      <c r="E3124" t="s">
        <v>42</v>
      </c>
      <c r="F3124" t="s">
        <v>83</v>
      </c>
      <c r="G3124">
        <v>44</v>
      </c>
      <c r="H3124">
        <v>33122</v>
      </c>
      <c r="I3124" t="s">
        <v>1791</v>
      </c>
      <c r="J3124">
        <v>89</v>
      </c>
      <c r="K3124">
        <v>169</v>
      </c>
      <c r="L3124">
        <v>98</v>
      </c>
      <c r="M3124">
        <v>629.5</v>
      </c>
      <c r="N3124" t="s">
        <v>87</v>
      </c>
      <c r="O3124" t="s">
        <v>86</v>
      </c>
      <c r="P3124">
        <v>131</v>
      </c>
      <c r="Q3124">
        <v>6</v>
      </c>
      <c r="R3124">
        <v>51</v>
      </c>
      <c r="S3124">
        <v>1230</v>
      </c>
      <c r="T3124">
        <v>-40</v>
      </c>
      <c r="U3124">
        <v>53</v>
      </c>
      <c r="V3124">
        <v>740</v>
      </c>
      <c r="W3124">
        <v>34</v>
      </c>
      <c r="X3124">
        <v>34</v>
      </c>
      <c r="Y3124">
        <v>1</v>
      </c>
      <c r="Z3124">
        <v>8</v>
      </c>
      <c r="AA3124">
        <v>29</v>
      </c>
      <c r="AB3124">
        <v>2</v>
      </c>
      <c r="AC3124">
        <v>3</v>
      </c>
      <c r="AD3124">
        <v>3.2920000599999999</v>
      </c>
      <c r="AE3124">
        <v>1</v>
      </c>
      <c r="AF3124">
        <v>42</v>
      </c>
      <c r="AG3124">
        <v>3.2820000600000001</v>
      </c>
      <c r="AH3124">
        <v>4</v>
      </c>
      <c r="AI3124">
        <v>17</v>
      </c>
      <c r="AJ3124">
        <v>1</v>
      </c>
      <c r="AK3124">
        <v>19</v>
      </c>
      <c r="AL3124">
        <v>53</v>
      </c>
      <c r="AM3124" t="s">
        <v>43</v>
      </c>
      <c r="AN3124" t="str">
        <f>HYPERLINK("https://www.google.com/maps?q=10.79160881,79.57246399","Open Location")</f>
        <v>Open Location</v>
      </c>
    </row>
    <row r="3125" spans="1:40" x14ac:dyDescent="0.3">
      <c r="A3125" s="1">
        <v>46210.637962962966</v>
      </c>
      <c r="B3125" t="s">
        <v>40</v>
      </c>
      <c r="C3125" t="s">
        <v>41</v>
      </c>
      <c r="D3125" s="1">
        <v>46210.640787037039</v>
      </c>
      <c r="E3125" t="s">
        <v>42</v>
      </c>
      <c r="F3125" t="s">
        <v>83</v>
      </c>
      <c r="G3125">
        <v>43</v>
      </c>
      <c r="H3125" t="s">
        <v>43</v>
      </c>
      <c r="I3125" t="s">
        <v>43</v>
      </c>
      <c r="J3125">
        <v>89</v>
      </c>
      <c r="K3125">
        <v>66</v>
      </c>
      <c r="L3125">
        <v>98</v>
      </c>
      <c r="M3125">
        <v>633</v>
      </c>
      <c r="N3125" t="s">
        <v>87</v>
      </c>
      <c r="O3125" t="s">
        <v>86</v>
      </c>
      <c r="P3125">
        <v>131</v>
      </c>
      <c r="Q3125">
        <v>6</v>
      </c>
      <c r="R3125">
        <v>45</v>
      </c>
      <c r="S3125">
        <v>1214</v>
      </c>
      <c r="T3125">
        <v>-40</v>
      </c>
      <c r="U3125">
        <v>51</v>
      </c>
      <c r="V3125">
        <v>260</v>
      </c>
      <c r="W3125">
        <v>34</v>
      </c>
      <c r="X3125">
        <v>34</v>
      </c>
      <c r="Y3125">
        <v>1</v>
      </c>
      <c r="Z3125">
        <v>8</v>
      </c>
      <c r="AA3125">
        <v>29</v>
      </c>
      <c r="AB3125">
        <v>2</v>
      </c>
      <c r="AC3125">
        <v>3</v>
      </c>
      <c r="AD3125">
        <v>3.3039999</v>
      </c>
      <c r="AE3125">
        <v>1</v>
      </c>
      <c r="AF3125">
        <v>37</v>
      </c>
      <c r="AG3125">
        <v>3.2990000199999998</v>
      </c>
      <c r="AH3125">
        <v>4</v>
      </c>
      <c r="AI3125">
        <v>17</v>
      </c>
      <c r="AJ3125">
        <v>1</v>
      </c>
      <c r="AK3125">
        <v>21</v>
      </c>
      <c r="AL3125">
        <v>53</v>
      </c>
      <c r="AM3125" t="s">
        <v>43</v>
      </c>
      <c r="AN3125" t="s">
        <v>43</v>
      </c>
    </row>
    <row r="3126" spans="1:40" x14ac:dyDescent="0.3">
      <c r="A3126" s="1">
        <v>46210.63784722222</v>
      </c>
      <c r="B3126" t="s">
        <v>40</v>
      </c>
      <c r="C3126" t="s">
        <v>41</v>
      </c>
      <c r="D3126" s="1">
        <v>46210.640543981484</v>
      </c>
      <c r="E3126" t="s">
        <v>42</v>
      </c>
      <c r="F3126" t="s">
        <v>83</v>
      </c>
      <c r="G3126">
        <v>44</v>
      </c>
      <c r="H3126">
        <v>33122</v>
      </c>
      <c r="I3126" t="s">
        <v>1792</v>
      </c>
      <c r="J3126">
        <v>89</v>
      </c>
      <c r="K3126">
        <v>104</v>
      </c>
      <c r="L3126">
        <v>98</v>
      </c>
      <c r="M3126">
        <v>631.29998779000005</v>
      </c>
      <c r="N3126" t="s">
        <v>87</v>
      </c>
      <c r="O3126" t="s">
        <v>86</v>
      </c>
      <c r="P3126">
        <v>131</v>
      </c>
      <c r="Q3126">
        <v>6</v>
      </c>
      <c r="R3126">
        <v>51</v>
      </c>
      <c r="S3126">
        <v>1222</v>
      </c>
      <c r="T3126">
        <v>-40</v>
      </c>
      <c r="U3126">
        <v>52</v>
      </c>
      <c r="V3126">
        <v>460</v>
      </c>
      <c r="W3126">
        <v>34</v>
      </c>
      <c r="X3126">
        <v>34</v>
      </c>
      <c r="Y3126">
        <v>1</v>
      </c>
      <c r="Z3126">
        <v>8</v>
      </c>
      <c r="AA3126">
        <v>29</v>
      </c>
      <c r="AB3126">
        <v>2</v>
      </c>
      <c r="AC3126">
        <v>3</v>
      </c>
      <c r="AD3126">
        <v>3.2969999300000001</v>
      </c>
      <c r="AE3126">
        <v>1</v>
      </c>
      <c r="AF3126">
        <v>38</v>
      </c>
      <c r="AG3126">
        <v>3.28900003</v>
      </c>
      <c r="AH3126">
        <v>4</v>
      </c>
      <c r="AI3126">
        <v>17</v>
      </c>
      <c r="AJ3126">
        <v>1</v>
      </c>
      <c r="AK3126">
        <v>19</v>
      </c>
      <c r="AL3126">
        <v>53</v>
      </c>
      <c r="AM3126" t="s">
        <v>43</v>
      </c>
      <c r="AN3126" t="str">
        <f>HYPERLINK("https://www.google.com/maps?q=10.79116154,79.57372284","Open Location")</f>
        <v>Open Location</v>
      </c>
    </row>
    <row r="3127" spans="1:40" x14ac:dyDescent="0.3">
      <c r="A3127" s="1">
        <v>46210.637731481482</v>
      </c>
      <c r="B3127" t="s">
        <v>40</v>
      </c>
      <c r="C3127" t="s">
        <v>41</v>
      </c>
      <c r="D3127" s="1">
        <v>46210.640567129631</v>
      </c>
      <c r="E3127" t="s">
        <v>42</v>
      </c>
      <c r="F3127" t="s">
        <v>83</v>
      </c>
      <c r="G3127">
        <v>44</v>
      </c>
      <c r="H3127">
        <v>33122</v>
      </c>
      <c r="I3127" t="s">
        <v>1793</v>
      </c>
      <c r="J3127">
        <v>89</v>
      </c>
      <c r="K3127">
        <v>86</v>
      </c>
      <c r="L3127">
        <v>98</v>
      </c>
      <c r="M3127">
        <v>632.29998779000005</v>
      </c>
      <c r="N3127" t="s">
        <v>87</v>
      </c>
      <c r="O3127" t="s">
        <v>86</v>
      </c>
      <c r="P3127">
        <v>131</v>
      </c>
      <c r="Q3127">
        <v>6</v>
      </c>
      <c r="R3127">
        <v>49</v>
      </c>
      <c r="S3127">
        <v>1243</v>
      </c>
      <c r="T3127">
        <v>-40</v>
      </c>
      <c r="U3127">
        <v>52</v>
      </c>
      <c r="V3127">
        <v>340</v>
      </c>
      <c r="W3127">
        <v>34</v>
      </c>
      <c r="X3127">
        <v>34</v>
      </c>
      <c r="Y3127">
        <v>1</v>
      </c>
      <c r="Z3127">
        <v>8</v>
      </c>
      <c r="AA3127">
        <v>29</v>
      </c>
      <c r="AB3127">
        <v>2</v>
      </c>
      <c r="AC3127">
        <v>3</v>
      </c>
      <c r="AD3127">
        <v>3.2999999500000001</v>
      </c>
      <c r="AE3127">
        <v>1</v>
      </c>
      <c r="AF3127">
        <v>38</v>
      </c>
      <c r="AG3127">
        <v>3.2939999100000001</v>
      </c>
      <c r="AH3127">
        <v>4</v>
      </c>
      <c r="AI3127">
        <v>17</v>
      </c>
      <c r="AJ3127">
        <v>1</v>
      </c>
      <c r="AK3127">
        <v>19</v>
      </c>
      <c r="AL3127">
        <v>53</v>
      </c>
      <c r="AM3127" t="s">
        <v>43</v>
      </c>
      <c r="AN3127" t="str">
        <f>HYPERLINK("https://www.google.com/maps?q=10.79075336,79.57500458","Open Location")</f>
        <v>Open Location</v>
      </c>
    </row>
    <row r="3128" spans="1:40" x14ac:dyDescent="0.3">
      <c r="A3128" s="1">
        <v>46210.637615740743</v>
      </c>
      <c r="B3128" t="s">
        <v>40</v>
      </c>
      <c r="C3128" t="s">
        <v>41</v>
      </c>
      <c r="D3128" s="1">
        <v>46210.640543981484</v>
      </c>
      <c r="E3128" t="s">
        <v>42</v>
      </c>
      <c r="F3128" t="s">
        <v>83</v>
      </c>
      <c r="G3128">
        <v>45</v>
      </c>
      <c r="H3128">
        <v>33122</v>
      </c>
      <c r="I3128" t="s">
        <v>1794</v>
      </c>
      <c r="J3128">
        <v>89</v>
      </c>
      <c r="K3128">
        <v>111</v>
      </c>
      <c r="L3128">
        <v>98</v>
      </c>
      <c r="M3128">
        <v>631</v>
      </c>
      <c r="N3128" t="s">
        <v>87</v>
      </c>
      <c r="O3128" t="s">
        <v>86</v>
      </c>
      <c r="P3128">
        <v>131</v>
      </c>
      <c r="Q3128">
        <v>6</v>
      </c>
      <c r="R3128">
        <v>69</v>
      </c>
      <c r="S3128">
        <v>1237</v>
      </c>
      <c r="T3128">
        <v>-40</v>
      </c>
      <c r="U3128">
        <v>52</v>
      </c>
      <c r="V3128">
        <v>480</v>
      </c>
      <c r="W3128">
        <v>34</v>
      </c>
      <c r="X3128">
        <v>34</v>
      </c>
      <c r="Y3128">
        <v>1</v>
      </c>
      <c r="Z3128">
        <v>8</v>
      </c>
      <c r="AA3128">
        <v>29</v>
      </c>
      <c r="AB3128">
        <v>2</v>
      </c>
      <c r="AC3128">
        <v>3</v>
      </c>
      <c r="AD3128">
        <v>3.2969999300000001</v>
      </c>
      <c r="AE3128">
        <v>1</v>
      </c>
      <c r="AF3128">
        <v>44</v>
      </c>
      <c r="AG3128">
        <v>3.28800011</v>
      </c>
      <c r="AH3128">
        <v>4</v>
      </c>
      <c r="AI3128">
        <v>17</v>
      </c>
      <c r="AJ3128">
        <v>1</v>
      </c>
      <c r="AK3128">
        <v>19</v>
      </c>
      <c r="AL3128">
        <v>53</v>
      </c>
      <c r="AM3128" t="s">
        <v>43</v>
      </c>
      <c r="AN3128" t="str">
        <f>HYPERLINK("https://www.google.com/maps?q=10.79030418,79.57642365","Open Location")</f>
        <v>Open Location</v>
      </c>
    </row>
    <row r="3129" spans="1:40" x14ac:dyDescent="0.3">
      <c r="A3129" s="1">
        <v>46210.637499999997</v>
      </c>
      <c r="B3129" t="s">
        <v>40</v>
      </c>
      <c r="C3129" t="s">
        <v>41</v>
      </c>
      <c r="D3129" s="1">
        <v>46210.640497685185</v>
      </c>
      <c r="E3129" t="s">
        <v>42</v>
      </c>
      <c r="F3129" t="s">
        <v>83</v>
      </c>
      <c r="G3129">
        <v>44</v>
      </c>
      <c r="H3129">
        <v>33122</v>
      </c>
      <c r="I3129" t="s">
        <v>1795</v>
      </c>
      <c r="J3129">
        <v>89</v>
      </c>
      <c r="K3129">
        <v>91</v>
      </c>
      <c r="L3129">
        <v>98</v>
      </c>
      <c r="M3129">
        <v>631.59997558999999</v>
      </c>
      <c r="N3129" t="s">
        <v>87</v>
      </c>
      <c r="O3129" t="s">
        <v>86</v>
      </c>
      <c r="P3129">
        <v>131</v>
      </c>
      <c r="Q3129">
        <v>6</v>
      </c>
      <c r="R3129">
        <v>56</v>
      </c>
      <c r="S3129">
        <v>1236</v>
      </c>
      <c r="T3129">
        <v>-40</v>
      </c>
      <c r="U3129">
        <v>52</v>
      </c>
      <c r="V3129">
        <v>440</v>
      </c>
      <c r="W3129">
        <v>34</v>
      </c>
      <c r="X3129">
        <v>34</v>
      </c>
      <c r="Y3129">
        <v>1</v>
      </c>
      <c r="Z3129">
        <v>8</v>
      </c>
      <c r="AA3129">
        <v>29</v>
      </c>
      <c r="AB3129">
        <v>2</v>
      </c>
      <c r="AC3129">
        <v>3</v>
      </c>
      <c r="AD3129">
        <v>3.2990000199999998</v>
      </c>
      <c r="AE3129">
        <v>1</v>
      </c>
      <c r="AF3129">
        <v>38</v>
      </c>
      <c r="AG3129">
        <v>3.2920000599999999</v>
      </c>
      <c r="AH3129">
        <v>4</v>
      </c>
      <c r="AI3129">
        <v>17</v>
      </c>
      <c r="AJ3129">
        <v>1</v>
      </c>
      <c r="AK3129">
        <v>19</v>
      </c>
      <c r="AL3129">
        <v>53</v>
      </c>
      <c r="AM3129" t="s">
        <v>43</v>
      </c>
      <c r="AN3129" t="str">
        <f>HYPERLINK("https://www.google.com/maps?q=10.78989315,79.57772827","Open Location")</f>
        <v>Open Location</v>
      </c>
    </row>
    <row r="3130" spans="1:40" x14ac:dyDescent="0.3">
      <c r="A3130" s="1">
        <v>46210.637384259258</v>
      </c>
      <c r="B3130" t="s">
        <v>40</v>
      </c>
      <c r="C3130" t="s">
        <v>41</v>
      </c>
      <c r="D3130" s="1">
        <v>46210.640034722222</v>
      </c>
      <c r="E3130" t="s">
        <v>42</v>
      </c>
      <c r="F3130" t="s">
        <v>83</v>
      </c>
      <c r="G3130">
        <v>44</v>
      </c>
      <c r="H3130">
        <v>33122</v>
      </c>
      <c r="I3130" t="s">
        <v>43</v>
      </c>
      <c r="J3130">
        <v>89</v>
      </c>
      <c r="K3130">
        <v>105</v>
      </c>
      <c r="L3130">
        <v>98</v>
      </c>
      <c r="M3130">
        <v>631.59997558999999</v>
      </c>
      <c r="N3130" t="s">
        <v>87</v>
      </c>
      <c r="O3130" t="s">
        <v>86</v>
      </c>
      <c r="P3130">
        <v>131</v>
      </c>
      <c r="Q3130">
        <v>6</v>
      </c>
      <c r="R3130">
        <v>54</v>
      </c>
      <c r="S3130">
        <v>1238</v>
      </c>
      <c r="T3130">
        <v>-40</v>
      </c>
      <c r="U3130">
        <v>52</v>
      </c>
      <c r="V3130">
        <v>460</v>
      </c>
      <c r="W3130">
        <v>34</v>
      </c>
      <c r="X3130">
        <v>34</v>
      </c>
      <c r="Y3130">
        <v>1</v>
      </c>
      <c r="Z3130">
        <v>8</v>
      </c>
      <c r="AA3130">
        <v>29</v>
      </c>
      <c r="AB3130">
        <v>2</v>
      </c>
      <c r="AC3130">
        <v>3</v>
      </c>
      <c r="AD3130">
        <v>3.2969999300000001</v>
      </c>
      <c r="AE3130">
        <v>1</v>
      </c>
      <c r="AF3130">
        <v>44</v>
      </c>
      <c r="AG3130">
        <v>3.28800011</v>
      </c>
      <c r="AH3130">
        <v>4</v>
      </c>
      <c r="AI3130">
        <v>17</v>
      </c>
      <c r="AJ3130">
        <v>1</v>
      </c>
      <c r="AK3130">
        <v>19</v>
      </c>
      <c r="AL3130">
        <v>53</v>
      </c>
      <c r="AM3130" t="s">
        <v>43</v>
      </c>
      <c r="AN3130" t="s">
        <v>43</v>
      </c>
    </row>
    <row r="3131" spans="1:40" x14ac:dyDescent="0.3">
      <c r="A3131" s="1">
        <v>46210.63726851852</v>
      </c>
      <c r="B3131" t="s">
        <v>40</v>
      </c>
      <c r="C3131" t="s">
        <v>41</v>
      </c>
      <c r="D3131" s="1">
        <v>46210.639988425923</v>
      </c>
      <c r="E3131" t="s">
        <v>42</v>
      </c>
      <c r="F3131" t="s">
        <v>83</v>
      </c>
      <c r="G3131">
        <v>45</v>
      </c>
      <c r="H3131">
        <v>33121</v>
      </c>
      <c r="I3131" t="s">
        <v>1796</v>
      </c>
      <c r="J3131">
        <v>90</v>
      </c>
      <c r="K3131">
        <v>150</v>
      </c>
      <c r="L3131">
        <v>98</v>
      </c>
      <c r="M3131">
        <v>629.29998779000005</v>
      </c>
      <c r="N3131" t="s">
        <v>87</v>
      </c>
      <c r="O3131" t="s">
        <v>86</v>
      </c>
      <c r="P3131">
        <v>131</v>
      </c>
      <c r="Q3131">
        <v>6</v>
      </c>
      <c r="R3131">
        <v>62</v>
      </c>
      <c r="S3131">
        <v>1244</v>
      </c>
      <c r="T3131">
        <v>-40</v>
      </c>
      <c r="U3131">
        <v>52</v>
      </c>
      <c r="V3131">
        <v>740</v>
      </c>
      <c r="W3131">
        <v>34</v>
      </c>
      <c r="X3131">
        <v>34</v>
      </c>
      <c r="Y3131">
        <v>1</v>
      </c>
      <c r="Z3131">
        <v>8</v>
      </c>
      <c r="AA3131">
        <v>29</v>
      </c>
      <c r="AB3131">
        <v>2</v>
      </c>
      <c r="AC3131">
        <v>3</v>
      </c>
      <c r="AD3131">
        <v>3.2899999599999998</v>
      </c>
      <c r="AE3131">
        <v>1</v>
      </c>
      <c r="AF3131">
        <v>44</v>
      </c>
      <c r="AG3131">
        <v>3.27999997</v>
      </c>
      <c r="AH3131">
        <v>4</v>
      </c>
      <c r="AI3131">
        <v>17</v>
      </c>
      <c r="AJ3131">
        <v>1</v>
      </c>
      <c r="AK3131">
        <v>19</v>
      </c>
      <c r="AL3131">
        <v>53</v>
      </c>
      <c r="AM3131" t="s">
        <v>43</v>
      </c>
      <c r="AN3131" t="str">
        <f>HYPERLINK("https://www.google.com/maps?q=10.78952503,79.5790329","Open Location")</f>
        <v>Open Location</v>
      </c>
    </row>
    <row r="3132" spans="1:40" x14ac:dyDescent="0.3">
      <c r="A3132" s="1">
        <v>46210.637152777781</v>
      </c>
      <c r="B3132" t="s">
        <v>40</v>
      </c>
      <c r="C3132" t="s">
        <v>41</v>
      </c>
      <c r="D3132" s="1">
        <v>46210.639861111114</v>
      </c>
      <c r="E3132" t="s">
        <v>42</v>
      </c>
      <c r="F3132" t="s">
        <v>83</v>
      </c>
      <c r="G3132">
        <v>45</v>
      </c>
      <c r="H3132">
        <v>33121</v>
      </c>
      <c r="I3132" t="s">
        <v>1797</v>
      </c>
      <c r="J3132">
        <v>90</v>
      </c>
      <c r="K3132">
        <v>60</v>
      </c>
      <c r="L3132">
        <v>98</v>
      </c>
      <c r="M3132">
        <v>632.70001220999995</v>
      </c>
      <c r="N3132" t="s">
        <v>87</v>
      </c>
      <c r="O3132" t="s">
        <v>86</v>
      </c>
      <c r="P3132">
        <v>131</v>
      </c>
      <c r="Q3132">
        <v>6</v>
      </c>
      <c r="R3132">
        <v>42</v>
      </c>
      <c r="S3132">
        <v>1246</v>
      </c>
      <c r="T3132">
        <v>-40</v>
      </c>
      <c r="U3132">
        <v>51</v>
      </c>
      <c r="V3132">
        <v>260</v>
      </c>
      <c r="W3132">
        <v>34</v>
      </c>
      <c r="X3132">
        <v>34</v>
      </c>
      <c r="Y3132">
        <v>1</v>
      </c>
      <c r="Z3132">
        <v>8</v>
      </c>
      <c r="AA3132">
        <v>29</v>
      </c>
      <c r="AB3132">
        <v>2</v>
      </c>
      <c r="AC3132">
        <v>3</v>
      </c>
      <c r="AD3132">
        <v>3.3029999700000001</v>
      </c>
      <c r="AE3132">
        <v>1</v>
      </c>
      <c r="AF3132">
        <v>44</v>
      </c>
      <c r="AG3132">
        <v>3.2959999999999998</v>
      </c>
      <c r="AH3132">
        <v>4</v>
      </c>
      <c r="AI3132">
        <v>17</v>
      </c>
      <c r="AJ3132">
        <v>1</v>
      </c>
      <c r="AK3132">
        <v>19</v>
      </c>
      <c r="AL3132">
        <v>53</v>
      </c>
      <c r="AM3132" t="s">
        <v>43</v>
      </c>
      <c r="AN3132" t="str">
        <f>HYPERLINK("https://www.google.com/maps?q=10.78910637,79.58033752","Open Location")</f>
        <v>Open Location</v>
      </c>
    </row>
    <row r="3133" spans="1:40" x14ac:dyDescent="0.3">
      <c r="A3133" s="1">
        <v>46210.637037037035</v>
      </c>
      <c r="B3133" t="s">
        <v>40</v>
      </c>
      <c r="C3133" t="s">
        <v>41</v>
      </c>
      <c r="D3133" s="1">
        <v>46210.639710648145</v>
      </c>
      <c r="E3133" t="s">
        <v>42</v>
      </c>
      <c r="F3133" t="s">
        <v>83</v>
      </c>
      <c r="G3133">
        <v>46</v>
      </c>
      <c r="H3133">
        <v>33121</v>
      </c>
      <c r="I3133" t="s">
        <v>1798</v>
      </c>
      <c r="J3133">
        <v>90</v>
      </c>
      <c r="K3133">
        <v>194</v>
      </c>
      <c r="L3133">
        <v>98</v>
      </c>
      <c r="M3133">
        <v>627.09997558999999</v>
      </c>
      <c r="N3133" t="s">
        <v>87</v>
      </c>
      <c r="O3133" t="s">
        <v>86</v>
      </c>
      <c r="P3133">
        <v>131</v>
      </c>
      <c r="Q3133">
        <v>6</v>
      </c>
      <c r="R3133">
        <v>48</v>
      </c>
      <c r="S3133">
        <v>1276</v>
      </c>
      <c r="T3133">
        <v>-40</v>
      </c>
      <c r="U3133">
        <v>53</v>
      </c>
      <c r="V3133">
        <v>840</v>
      </c>
      <c r="W3133">
        <v>34</v>
      </c>
      <c r="X3133">
        <v>34</v>
      </c>
      <c r="Y3133">
        <v>1</v>
      </c>
      <c r="Z3133">
        <v>8</v>
      </c>
      <c r="AA3133">
        <v>29</v>
      </c>
      <c r="AB3133">
        <v>2</v>
      </c>
      <c r="AC3133">
        <v>3</v>
      </c>
      <c r="AD3133">
        <v>3.28299999</v>
      </c>
      <c r="AE3133">
        <v>1</v>
      </c>
      <c r="AF3133">
        <v>38</v>
      </c>
      <c r="AG3133">
        <v>3.2720000699999998</v>
      </c>
      <c r="AH3133">
        <v>4</v>
      </c>
      <c r="AI3133">
        <v>17</v>
      </c>
      <c r="AJ3133">
        <v>1</v>
      </c>
      <c r="AK3133">
        <v>19</v>
      </c>
      <c r="AL3133">
        <v>53</v>
      </c>
      <c r="AM3133" t="s">
        <v>43</v>
      </c>
      <c r="AN3133" t="str">
        <f>HYPERLINK("https://www.google.com/maps?q=10.78841496,79.58153534","Open Location")</f>
        <v>Open Location</v>
      </c>
    </row>
    <row r="3134" spans="1:40" x14ac:dyDescent="0.3">
      <c r="A3134" s="1">
        <v>46210.636921296296</v>
      </c>
      <c r="B3134" t="s">
        <v>40</v>
      </c>
      <c r="C3134" t="s">
        <v>41</v>
      </c>
      <c r="D3134" s="1">
        <v>46210.639699074076</v>
      </c>
      <c r="E3134" t="s">
        <v>42</v>
      </c>
      <c r="F3134" t="s">
        <v>83</v>
      </c>
      <c r="G3134">
        <v>47</v>
      </c>
      <c r="H3134">
        <v>33121</v>
      </c>
      <c r="I3134" t="s">
        <v>1799</v>
      </c>
      <c r="J3134">
        <v>90</v>
      </c>
      <c r="K3134">
        <v>171</v>
      </c>
      <c r="L3134">
        <v>98</v>
      </c>
      <c r="M3134">
        <v>628.5</v>
      </c>
      <c r="N3134" t="s">
        <v>87</v>
      </c>
      <c r="O3134" t="s">
        <v>86</v>
      </c>
      <c r="P3134">
        <v>131</v>
      </c>
      <c r="Q3134">
        <v>6</v>
      </c>
      <c r="R3134">
        <v>32</v>
      </c>
      <c r="S3134">
        <v>1295</v>
      </c>
      <c r="T3134">
        <v>-40</v>
      </c>
      <c r="U3134">
        <v>53</v>
      </c>
      <c r="V3134">
        <v>760</v>
      </c>
      <c r="W3134">
        <v>34</v>
      </c>
      <c r="X3134">
        <v>34</v>
      </c>
      <c r="Y3134">
        <v>1</v>
      </c>
      <c r="Z3134">
        <v>8</v>
      </c>
      <c r="AA3134">
        <v>29</v>
      </c>
      <c r="AB3134">
        <v>2</v>
      </c>
      <c r="AC3134">
        <v>3</v>
      </c>
      <c r="AD3134">
        <v>3.28800011</v>
      </c>
      <c r="AE3134">
        <v>1</v>
      </c>
      <c r="AF3134">
        <v>44</v>
      </c>
      <c r="AG3134">
        <v>3.27699995</v>
      </c>
      <c r="AH3134">
        <v>4</v>
      </c>
      <c r="AI3134">
        <v>17</v>
      </c>
      <c r="AJ3134">
        <v>1</v>
      </c>
      <c r="AK3134">
        <v>19</v>
      </c>
      <c r="AL3134">
        <v>53</v>
      </c>
      <c r="AM3134" t="s">
        <v>43</v>
      </c>
      <c r="AN3134" t="str">
        <f>HYPERLINK("https://www.google.com/maps?q=10.78779984,79.58280182","Open Location")</f>
        <v>Open Location</v>
      </c>
    </row>
    <row r="3135" spans="1:40" x14ac:dyDescent="0.3">
      <c r="A3135" s="1">
        <v>46210.636805555558</v>
      </c>
      <c r="B3135" t="s">
        <v>40</v>
      </c>
      <c r="C3135" t="s">
        <v>41</v>
      </c>
      <c r="D3135" s="1">
        <v>46210.639699074076</v>
      </c>
      <c r="E3135" t="s">
        <v>42</v>
      </c>
      <c r="F3135" t="s">
        <v>83</v>
      </c>
      <c r="G3135">
        <v>45</v>
      </c>
      <c r="H3135">
        <v>33121</v>
      </c>
      <c r="I3135" t="s">
        <v>1800</v>
      </c>
      <c r="J3135">
        <v>90</v>
      </c>
      <c r="K3135">
        <v>119</v>
      </c>
      <c r="L3135">
        <v>98</v>
      </c>
      <c r="M3135">
        <v>630.20001220999995</v>
      </c>
      <c r="N3135" t="s">
        <v>87</v>
      </c>
      <c r="O3135" t="s">
        <v>86</v>
      </c>
      <c r="P3135">
        <v>131</v>
      </c>
      <c r="Q3135">
        <v>6</v>
      </c>
      <c r="R3135">
        <v>55</v>
      </c>
      <c r="S3135">
        <v>1258</v>
      </c>
      <c r="T3135">
        <v>-40</v>
      </c>
      <c r="U3135">
        <v>53</v>
      </c>
      <c r="V3135">
        <v>520</v>
      </c>
      <c r="W3135">
        <v>34</v>
      </c>
      <c r="X3135">
        <v>34</v>
      </c>
      <c r="Y3135">
        <v>1</v>
      </c>
      <c r="Z3135">
        <v>8</v>
      </c>
      <c r="AA3135">
        <v>29</v>
      </c>
      <c r="AB3135">
        <v>2</v>
      </c>
      <c r="AC3135">
        <v>4</v>
      </c>
      <c r="AD3135">
        <v>3.2929999799999998</v>
      </c>
      <c r="AE3135">
        <v>1</v>
      </c>
      <c r="AF3135">
        <v>44</v>
      </c>
      <c r="AG3135">
        <v>3.28299999</v>
      </c>
      <c r="AH3135">
        <v>4</v>
      </c>
      <c r="AI3135">
        <v>17</v>
      </c>
      <c r="AJ3135">
        <v>1</v>
      </c>
      <c r="AK3135">
        <v>19</v>
      </c>
      <c r="AL3135">
        <v>53</v>
      </c>
      <c r="AM3135" t="s">
        <v>43</v>
      </c>
      <c r="AN3135" t="str">
        <f>HYPERLINK("https://www.google.com/maps?q=10.78769684,79.58430481","Open Location")</f>
        <v>Open Location</v>
      </c>
    </row>
    <row r="3136" spans="1:40" x14ac:dyDescent="0.3">
      <c r="A3136" s="1">
        <v>46210.636689814812</v>
      </c>
      <c r="B3136" t="s">
        <v>40</v>
      </c>
      <c r="C3136" t="s">
        <v>41</v>
      </c>
      <c r="D3136" s="1">
        <v>46210.639456018522</v>
      </c>
      <c r="E3136" t="s">
        <v>42</v>
      </c>
      <c r="F3136" t="s">
        <v>83</v>
      </c>
      <c r="G3136">
        <v>46</v>
      </c>
      <c r="H3136">
        <v>33121</v>
      </c>
      <c r="I3136" t="s">
        <v>43</v>
      </c>
      <c r="J3136">
        <v>90</v>
      </c>
      <c r="K3136">
        <v>103</v>
      </c>
      <c r="L3136">
        <v>98</v>
      </c>
      <c r="M3136">
        <v>630.40002441000001</v>
      </c>
      <c r="N3136" t="s">
        <v>87</v>
      </c>
      <c r="O3136" t="s">
        <v>86</v>
      </c>
      <c r="P3136">
        <v>131</v>
      </c>
      <c r="Q3136">
        <v>6</v>
      </c>
      <c r="R3136">
        <v>79</v>
      </c>
      <c r="S3136">
        <v>1269</v>
      </c>
      <c r="T3136">
        <v>-40</v>
      </c>
      <c r="U3136">
        <v>53</v>
      </c>
      <c r="V3136">
        <v>440</v>
      </c>
      <c r="W3136">
        <v>34</v>
      </c>
      <c r="X3136">
        <v>34</v>
      </c>
      <c r="Y3136">
        <v>1</v>
      </c>
      <c r="Z3136">
        <v>8</v>
      </c>
      <c r="AA3136">
        <v>29</v>
      </c>
      <c r="AB3136">
        <v>2</v>
      </c>
      <c r="AC3136">
        <v>4</v>
      </c>
      <c r="AD3136">
        <v>3.2929999799999998</v>
      </c>
      <c r="AE3136">
        <v>1</v>
      </c>
      <c r="AF3136">
        <v>41</v>
      </c>
      <c r="AG3136">
        <v>3.2839999199999999</v>
      </c>
      <c r="AH3136">
        <v>4</v>
      </c>
      <c r="AI3136">
        <v>17</v>
      </c>
      <c r="AJ3136">
        <v>1</v>
      </c>
      <c r="AK3136">
        <v>19</v>
      </c>
      <c r="AL3136">
        <v>53</v>
      </c>
      <c r="AM3136" t="s">
        <v>43</v>
      </c>
      <c r="AN3136" t="s">
        <v>43</v>
      </c>
    </row>
    <row r="3137" spans="1:40" x14ac:dyDescent="0.3">
      <c r="A3137" s="1">
        <v>46210.636574074073</v>
      </c>
      <c r="B3137" t="s">
        <v>40</v>
      </c>
      <c r="C3137" t="s">
        <v>41</v>
      </c>
      <c r="D3137" s="1">
        <v>46210.63925925926</v>
      </c>
      <c r="E3137" t="s">
        <v>42</v>
      </c>
      <c r="F3137" t="s">
        <v>83</v>
      </c>
      <c r="G3137">
        <v>45</v>
      </c>
      <c r="H3137">
        <v>33121</v>
      </c>
      <c r="I3137" t="s">
        <v>1801</v>
      </c>
      <c r="J3137">
        <v>90</v>
      </c>
      <c r="K3137">
        <v>116</v>
      </c>
      <c r="L3137">
        <v>98</v>
      </c>
      <c r="M3137">
        <v>630.59997558999999</v>
      </c>
      <c r="N3137" t="s">
        <v>87</v>
      </c>
      <c r="O3137" t="s">
        <v>86</v>
      </c>
      <c r="P3137">
        <v>131</v>
      </c>
      <c r="Q3137">
        <v>6</v>
      </c>
      <c r="R3137">
        <v>82</v>
      </c>
      <c r="S3137">
        <v>1267</v>
      </c>
      <c r="T3137">
        <v>-40</v>
      </c>
      <c r="U3137">
        <v>53</v>
      </c>
      <c r="V3137">
        <v>500</v>
      </c>
      <c r="W3137">
        <v>34</v>
      </c>
      <c r="X3137">
        <v>34</v>
      </c>
      <c r="Y3137">
        <v>1</v>
      </c>
      <c r="Z3137">
        <v>8</v>
      </c>
      <c r="AA3137">
        <v>29</v>
      </c>
      <c r="AB3137">
        <v>2</v>
      </c>
      <c r="AC3137">
        <v>4</v>
      </c>
      <c r="AD3137">
        <v>3.2929999799999998</v>
      </c>
      <c r="AE3137">
        <v>1</v>
      </c>
      <c r="AF3137">
        <v>44</v>
      </c>
      <c r="AG3137">
        <v>3.2839999199999999</v>
      </c>
      <c r="AH3137">
        <v>4</v>
      </c>
      <c r="AI3137">
        <v>17</v>
      </c>
      <c r="AJ3137">
        <v>1</v>
      </c>
      <c r="AK3137">
        <v>19</v>
      </c>
      <c r="AL3137">
        <v>53</v>
      </c>
      <c r="AM3137" t="s">
        <v>43</v>
      </c>
      <c r="AN3137" t="str">
        <f>HYPERLINK("https://www.google.com/maps?q=10.78781128,79.58569336","Open Location")</f>
        <v>Open Location</v>
      </c>
    </row>
    <row r="3138" spans="1:40" x14ac:dyDescent="0.3">
      <c r="A3138" s="1">
        <v>46210.636458333334</v>
      </c>
      <c r="B3138" t="s">
        <v>40</v>
      </c>
      <c r="C3138" t="s">
        <v>41</v>
      </c>
      <c r="D3138" s="1">
        <v>46210.639131944445</v>
      </c>
      <c r="E3138" t="s">
        <v>42</v>
      </c>
      <c r="F3138" t="s">
        <v>83</v>
      </c>
      <c r="G3138">
        <v>46</v>
      </c>
      <c r="H3138" t="s">
        <v>43</v>
      </c>
      <c r="I3138" t="s">
        <v>1802</v>
      </c>
      <c r="J3138">
        <v>90</v>
      </c>
      <c r="K3138">
        <v>138</v>
      </c>
      <c r="L3138">
        <v>98</v>
      </c>
      <c r="M3138">
        <v>630.70001220999995</v>
      </c>
      <c r="N3138" t="s">
        <v>87</v>
      </c>
      <c r="O3138" t="s">
        <v>86</v>
      </c>
      <c r="P3138">
        <v>131</v>
      </c>
      <c r="Q3138">
        <v>6</v>
      </c>
      <c r="R3138">
        <v>71</v>
      </c>
      <c r="S3138">
        <v>1268</v>
      </c>
      <c r="T3138">
        <v>-40</v>
      </c>
      <c r="U3138">
        <v>53</v>
      </c>
      <c r="V3138">
        <v>600</v>
      </c>
      <c r="W3138">
        <v>34</v>
      </c>
      <c r="X3138">
        <v>34</v>
      </c>
      <c r="Y3138">
        <v>1</v>
      </c>
      <c r="Z3138">
        <v>8</v>
      </c>
      <c r="AA3138">
        <v>29</v>
      </c>
      <c r="AB3138">
        <v>2</v>
      </c>
      <c r="AC3138">
        <v>4</v>
      </c>
      <c r="AD3138">
        <v>3.2920000599999999</v>
      </c>
      <c r="AE3138">
        <v>1</v>
      </c>
      <c r="AF3138">
        <v>38</v>
      </c>
      <c r="AG3138">
        <v>3.28299999</v>
      </c>
      <c r="AH3138">
        <v>4</v>
      </c>
      <c r="AI3138">
        <v>17</v>
      </c>
      <c r="AJ3138">
        <v>1</v>
      </c>
      <c r="AK3138">
        <v>19</v>
      </c>
      <c r="AL3138">
        <v>53</v>
      </c>
      <c r="AM3138" t="s">
        <v>43</v>
      </c>
      <c r="AN3138" t="str">
        <f>HYPERLINK("https://www.google.com/maps?q=10.78779793,79.58709717","Open Location")</f>
        <v>Open Location</v>
      </c>
    </row>
    <row r="3139" spans="1:40" x14ac:dyDescent="0.3">
      <c r="A3139" s="1">
        <v>46210.636342592596</v>
      </c>
      <c r="B3139" t="s">
        <v>40</v>
      </c>
      <c r="C3139" t="s">
        <v>41</v>
      </c>
      <c r="D3139" s="1">
        <v>46210.639189814814</v>
      </c>
      <c r="E3139" t="s">
        <v>42</v>
      </c>
      <c r="F3139" t="s">
        <v>83</v>
      </c>
      <c r="G3139">
        <v>44</v>
      </c>
      <c r="H3139">
        <v>33120</v>
      </c>
      <c r="I3139" t="s">
        <v>1803</v>
      </c>
      <c r="J3139">
        <v>90</v>
      </c>
      <c r="K3139">
        <v>154</v>
      </c>
      <c r="L3139">
        <v>98</v>
      </c>
      <c r="M3139">
        <v>629.40002441000001</v>
      </c>
      <c r="N3139" t="s">
        <v>87</v>
      </c>
      <c r="O3139" t="s">
        <v>86</v>
      </c>
      <c r="P3139">
        <v>131</v>
      </c>
      <c r="Q3139">
        <v>6</v>
      </c>
      <c r="R3139">
        <v>70</v>
      </c>
      <c r="S3139">
        <v>1224</v>
      </c>
      <c r="T3139">
        <v>-40</v>
      </c>
      <c r="U3139">
        <v>54</v>
      </c>
      <c r="V3139">
        <v>700</v>
      </c>
      <c r="W3139">
        <v>34</v>
      </c>
      <c r="X3139">
        <v>34</v>
      </c>
      <c r="Y3139">
        <v>1</v>
      </c>
      <c r="Z3139">
        <v>8</v>
      </c>
      <c r="AA3139">
        <v>29</v>
      </c>
      <c r="AB3139">
        <v>2</v>
      </c>
      <c r="AC3139">
        <v>4</v>
      </c>
      <c r="AD3139">
        <v>3.2869999399999998</v>
      </c>
      <c r="AE3139">
        <v>1</v>
      </c>
      <c r="AF3139">
        <v>41</v>
      </c>
      <c r="AG3139">
        <v>3.27699995</v>
      </c>
      <c r="AH3139">
        <v>4</v>
      </c>
      <c r="AI3139">
        <v>17</v>
      </c>
      <c r="AJ3139">
        <v>1</v>
      </c>
      <c r="AK3139">
        <v>19</v>
      </c>
      <c r="AL3139">
        <v>53</v>
      </c>
      <c r="AM3139" t="s">
        <v>43</v>
      </c>
      <c r="AN3139" t="str">
        <f>HYPERLINK("https://www.google.com/maps?q=10.78765297,79.58846283","Open Location")</f>
        <v>Open Location</v>
      </c>
    </row>
    <row r="3140" spans="1:40" x14ac:dyDescent="0.3">
      <c r="A3140" s="1">
        <v>46210.63622685185</v>
      </c>
      <c r="B3140" t="s">
        <v>40</v>
      </c>
      <c r="C3140" t="s">
        <v>41</v>
      </c>
      <c r="D3140" s="1">
        <v>46210.63894675926</v>
      </c>
      <c r="E3140" t="s">
        <v>42</v>
      </c>
      <c r="F3140" t="s">
        <v>83</v>
      </c>
      <c r="G3140">
        <v>43</v>
      </c>
      <c r="H3140">
        <v>33120</v>
      </c>
      <c r="I3140" t="s">
        <v>1804</v>
      </c>
      <c r="J3140">
        <v>90</v>
      </c>
      <c r="K3140">
        <v>121</v>
      </c>
      <c r="L3140">
        <v>98</v>
      </c>
      <c r="M3140">
        <v>630.79998779000005</v>
      </c>
      <c r="N3140" t="s">
        <v>87</v>
      </c>
      <c r="O3140" t="s">
        <v>86</v>
      </c>
      <c r="P3140">
        <v>131</v>
      </c>
      <c r="Q3140">
        <v>6</v>
      </c>
      <c r="R3140">
        <v>78</v>
      </c>
      <c r="S3140">
        <v>1179</v>
      </c>
      <c r="T3140">
        <v>-40</v>
      </c>
      <c r="U3140">
        <v>53</v>
      </c>
      <c r="V3140">
        <v>560</v>
      </c>
      <c r="W3140">
        <v>34</v>
      </c>
      <c r="X3140">
        <v>34</v>
      </c>
      <c r="Y3140">
        <v>1</v>
      </c>
      <c r="Z3140">
        <v>8</v>
      </c>
      <c r="AA3140">
        <v>29</v>
      </c>
      <c r="AB3140">
        <v>2</v>
      </c>
      <c r="AC3140">
        <v>4</v>
      </c>
      <c r="AD3140">
        <v>3.2920000599999999</v>
      </c>
      <c r="AE3140">
        <v>1</v>
      </c>
      <c r="AF3140">
        <v>42</v>
      </c>
      <c r="AG3140">
        <v>3.28299999</v>
      </c>
      <c r="AH3140">
        <v>4</v>
      </c>
      <c r="AI3140">
        <v>17</v>
      </c>
      <c r="AJ3140">
        <v>1</v>
      </c>
      <c r="AK3140">
        <v>19</v>
      </c>
      <c r="AL3140">
        <v>53</v>
      </c>
      <c r="AM3140" t="s">
        <v>43</v>
      </c>
      <c r="AN3140" t="str">
        <f>HYPERLINK("https://www.google.com/maps?q=10.78746128,79.58978271","Open Location")</f>
        <v>Open Location</v>
      </c>
    </row>
    <row r="3141" spans="1:40" x14ac:dyDescent="0.3">
      <c r="A3141" s="1">
        <v>46210.636111111111</v>
      </c>
      <c r="B3141" t="s">
        <v>40</v>
      </c>
      <c r="C3141" t="s">
        <v>41</v>
      </c>
      <c r="D3141" s="1">
        <v>46210.638842592591</v>
      </c>
      <c r="E3141" t="s">
        <v>42</v>
      </c>
      <c r="F3141" t="s">
        <v>83</v>
      </c>
      <c r="G3141">
        <v>42</v>
      </c>
      <c r="H3141">
        <v>33120</v>
      </c>
      <c r="I3141" t="s">
        <v>1805</v>
      </c>
      <c r="J3141">
        <v>90</v>
      </c>
      <c r="K3141">
        <v>143</v>
      </c>
      <c r="L3141">
        <v>98</v>
      </c>
      <c r="M3141">
        <v>629.29998779000005</v>
      </c>
      <c r="N3141" t="s">
        <v>87</v>
      </c>
      <c r="O3141" t="s">
        <v>86</v>
      </c>
      <c r="P3141">
        <v>131</v>
      </c>
      <c r="Q3141">
        <v>6</v>
      </c>
      <c r="R3141">
        <v>95</v>
      </c>
      <c r="S3141">
        <v>1165</v>
      </c>
      <c r="T3141">
        <v>-40</v>
      </c>
      <c r="U3141">
        <v>54</v>
      </c>
      <c r="V3141">
        <v>680</v>
      </c>
      <c r="W3141">
        <v>34</v>
      </c>
      <c r="X3141">
        <v>34</v>
      </c>
      <c r="Y3141">
        <v>1</v>
      </c>
      <c r="Z3141">
        <v>8</v>
      </c>
      <c r="AA3141">
        <v>29</v>
      </c>
      <c r="AB3141">
        <v>2</v>
      </c>
      <c r="AC3141">
        <v>4</v>
      </c>
      <c r="AD3141">
        <v>3.28800011</v>
      </c>
      <c r="AE3141">
        <v>1</v>
      </c>
      <c r="AF3141">
        <v>41</v>
      </c>
      <c r="AG3141">
        <v>3.2780001200000002</v>
      </c>
      <c r="AH3141">
        <v>4</v>
      </c>
      <c r="AI3141">
        <v>17</v>
      </c>
      <c r="AJ3141">
        <v>1</v>
      </c>
      <c r="AK3141">
        <v>19</v>
      </c>
      <c r="AL3141">
        <v>53</v>
      </c>
      <c r="AM3141" t="s">
        <v>43</v>
      </c>
      <c r="AN3141" t="str">
        <f>HYPERLINK("https://www.google.com/maps?q=10.78710842,79.59103394","Open Location")</f>
        <v>Open Location</v>
      </c>
    </row>
    <row r="3142" spans="1:40" x14ac:dyDescent="0.3">
      <c r="A3142" s="1">
        <v>46210.635995370372</v>
      </c>
      <c r="B3142" t="s">
        <v>40</v>
      </c>
      <c r="C3142" t="s">
        <v>41</v>
      </c>
      <c r="D3142" s="1">
        <v>46210.638668981483</v>
      </c>
      <c r="E3142" t="s">
        <v>42</v>
      </c>
      <c r="F3142" t="s">
        <v>83</v>
      </c>
      <c r="G3142">
        <v>40</v>
      </c>
      <c r="H3142" t="s">
        <v>43</v>
      </c>
      <c r="I3142" t="s">
        <v>43</v>
      </c>
      <c r="J3142">
        <v>90</v>
      </c>
      <c r="K3142">
        <v>122</v>
      </c>
      <c r="L3142">
        <v>98</v>
      </c>
      <c r="M3142">
        <v>629.70001220999995</v>
      </c>
      <c r="N3142" t="s">
        <v>87</v>
      </c>
      <c r="O3142" t="s">
        <v>86</v>
      </c>
      <c r="P3142">
        <v>131</v>
      </c>
      <c r="Q3142">
        <v>6</v>
      </c>
      <c r="R3142">
        <v>80</v>
      </c>
      <c r="S3142">
        <v>1124</v>
      </c>
      <c r="T3142">
        <v>-40</v>
      </c>
      <c r="U3142">
        <v>53</v>
      </c>
      <c r="V3142">
        <v>560</v>
      </c>
      <c r="W3142">
        <v>34</v>
      </c>
      <c r="X3142">
        <v>34</v>
      </c>
      <c r="Y3142">
        <v>1</v>
      </c>
      <c r="Z3142">
        <v>8</v>
      </c>
      <c r="AA3142">
        <v>29</v>
      </c>
      <c r="AB3142">
        <v>2</v>
      </c>
      <c r="AC3142">
        <v>4</v>
      </c>
      <c r="AD3142">
        <v>3.2920000599999999</v>
      </c>
      <c r="AE3142">
        <v>1</v>
      </c>
      <c r="AF3142">
        <v>41</v>
      </c>
      <c r="AG3142">
        <v>3.2820000600000001</v>
      </c>
      <c r="AH3142">
        <v>4</v>
      </c>
      <c r="AI3142">
        <v>17</v>
      </c>
      <c r="AJ3142">
        <v>1</v>
      </c>
      <c r="AK3142">
        <v>19</v>
      </c>
      <c r="AL3142">
        <v>53</v>
      </c>
      <c r="AM3142" t="s">
        <v>43</v>
      </c>
      <c r="AN3142" t="s">
        <v>43</v>
      </c>
    </row>
    <row r="3143" spans="1:40" x14ac:dyDescent="0.3">
      <c r="A3143" s="1">
        <v>46210.635879629626</v>
      </c>
      <c r="B3143" t="s">
        <v>40</v>
      </c>
      <c r="C3143" t="s">
        <v>41</v>
      </c>
      <c r="D3143" s="1">
        <v>46210.63890046296</v>
      </c>
      <c r="E3143" t="s">
        <v>42</v>
      </c>
      <c r="F3143" t="s">
        <v>83</v>
      </c>
      <c r="G3143">
        <v>40</v>
      </c>
      <c r="H3143">
        <v>33120</v>
      </c>
      <c r="I3143" t="s">
        <v>1806</v>
      </c>
      <c r="J3143">
        <v>90</v>
      </c>
      <c r="K3143">
        <v>280</v>
      </c>
      <c r="L3143">
        <v>98</v>
      </c>
      <c r="M3143">
        <v>622.70001220999995</v>
      </c>
      <c r="N3143" t="s">
        <v>87</v>
      </c>
      <c r="O3143" t="s">
        <v>86</v>
      </c>
      <c r="P3143">
        <v>131</v>
      </c>
      <c r="Q3143">
        <v>6</v>
      </c>
      <c r="R3143">
        <v>69</v>
      </c>
      <c r="S3143">
        <v>1847</v>
      </c>
      <c r="T3143">
        <v>-40</v>
      </c>
      <c r="U3143">
        <v>52</v>
      </c>
      <c r="V3143">
        <v>860</v>
      </c>
      <c r="W3143">
        <v>34</v>
      </c>
      <c r="X3143">
        <v>34</v>
      </c>
      <c r="Y3143">
        <v>1</v>
      </c>
      <c r="Z3143">
        <v>8</v>
      </c>
      <c r="AA3143">
        <v>29</v>
      </c>
      <c r="AB3143">
        <v>2</v>
      </c>
      <c r="AC3143">
        <v>4</v>
      </c>
      <c r="AD3143">
        <v>3.2730000000000001</v>
      </c>
      <c r="AE3143">
        <v>1</v>
      </c>
      <c r="AF3143">
        <v>42</v>
      </c>
      <c r="AG3143">
        <v>3.2569999699999999</v>
      </c>
      <c r="AH3143">
        <v>4</v>
      </c>
      <c r="AI3143">
        <v>17</v>
      </c>
      <c r="AJ3143">
        <v>1</v>
      </c>
      <c r="AK3143">
        <v>19</v>
      </c>
      <c r="AL3143">
        <v>53</v>
      </c>
      <c r="AM3143" t="s">
        <v>43</v>
      </c>
      <c r="AN3143" t="str">
        <f>HYPERLINK("https://www.google.com/maps?q=10.78673077,79.59221649","Open Location")</f>
        <v>Open Location</v>
      </c>
    </row>
    <row r="3144" spans="1:40" x14ac:dyDescent="0.3">
      <c r="A3144" s="1">
        <v>46210.635763888888</v>
      </c>
      <c r="B3144" t="s">
        <v>40</v>
      </c>
      <c r="C3144" t="s">
        <v>41</v>
      </c>
      <c r="D3144" s="1">
        <v>46210.638599537036</v>
      </c>
      <c r="E3144" t="s">
        <v>42</v>
      </c>
      <c r="F3144" t="s">
        <v>83</v>
      </c>
      <c r="G3144">
        <v>39</v>
      </c>
      <c r="H3144">
        <v>33120</v>
      </c>
      <c r="I3144" t="s">
        <v>1807</v>
      </c>
      <c r="J3144">
        <v>91</v>
      </c>
      <c r="K3144">
        <v>107</v>
      </c>
      <c r="L3144">
        <v>98</v>
      </c>
      <c r="M3144">
        <v>631.20001220999995</v>
      </c>
      <c r="N3144" t="s">
        <v>87</v>
      </c>
      <c r="O3144" t="s">
        <v>86</v>
      </c>
      <c r="P3144">
        <v>130</v>
      </c>
      <c r="Q3144">
        <v>5</v>
      </c>
      <c r="R3144">
        <v>52</v>
      </c>
      <c r="S3144">
        <v>1779</v>
      </c>
      <c r="T3144">
        <v>-40</v>
      </c>
      <c r="U3144">
        <v>51</v>
      </c>
      <c r="V3144">
        <v>340</v>
      </c>
      <c r="W3144">
        <v>34</v>
      </c>
      <c r="X3144">
        <v>34</v>
      </c>
      <c r="Y3144">
        <v>1</v>
      </c>
      <c r="Z3144">
        <v>8</v>
      </c>
      <c r="AA3144">
        <v>29</v>
      </c>
      <c r="AB3144">
        <v>2</v>
      </c>
      <c r="AC3144">
        <v>4</v>
      </c>
      <c r="AD3144">
        <v>3.2959999999999998</v>
      </c>
      <c r="AE3144">
        <v>1</v>
      </c>
      <c r="AF3144">
        <v>44</v>
      </c>
      <c r="AG3144">
        <v>3.28800011</v>
      </c>
      <c r="AH3144">
        <v>4</v>
      </c>
      <c r="AI3144">
        <v>17</v>
      </c>
      <c r="AJ3144">
        <v>1</v>
      </c>
      <c r="AK3144">
        <v>19</v>
      </c>
      <c r="AL3144">
        <v>53</v>
      </c>
      <c r="AM3144" t="s">
        <v>43</v>
      </c>
      <c r="AN3144" t="str">
        <f>HYPERLINK("https://www.google.com/maps?q=10.78639698,79.59350586","Open Location")</f>
        <v>Open Location</v>
      </c>
    </row>
    <row r="3145" spans="1:40" x14ac:dyDescent="0.3">
      <c r="A3145" s="1">
        <v>46210.635648148149</v>
      </c>
      <c r="B3145" t="s">
        <v>40</v>
      </c>
      <c r="C3145" t="s">
        <v>41</v>
      </c>
      <c r="D3145" s="1">
        <v>46210.638541666667</v>
      </c>
      <c r="E3145" t="s">
        <v>42</v>
      </c>
      <c r="F3145" t="s">
        <v>83</v>
      </c>
      <c r="G3145">
        <v>38</v>
      </c>
      <c r="H3145">
        <v>33120</v>
      </c>
      <c r="I3145" t="s">
        <v>1808</v>
      </c>
      <c r="J3145">
        <v>91</v>
      </c>
      <c r="K3145">
        <v>85</v>
      </c>
      <c r="L3145">
        <v>98</v>
      </c>
      <c r="M3145">
        <v>631.59997558999999</v>
      </c>
      <c r="N3145" t="s">
        <v>87</v>
      </c>
      <c r="O3145" t="s">
        <v>86</v>
      </c>
      <c r="P3145">
        <v>130</v>
      </c>
      <c r="Q3145">
        <v>5</v>
      </c>
      <c r="R3145">
        <v>66</v>
      </c>
      <c r="S3145">
        <v>1704</v>
      </c>
      <c r="T3145">
        <v>-40</v>
      </c>
      <c r="U3145">
        <v>52</v>
      </c>
      <c r="V3145">
        <v>280</v>
      </c>
      <c r="W3145">
        <v>34</v>
      </c>
      <c r="X3145">
        <v>34</v>
      </c>
      <c r="Y3145">
        <v>1</v>
      </c>
      <c r="Z3145">
        <v>8</v>
      </c>
      <c r="AA3145">
        <v>29</v>
      </c>
      <c r="AB3145">
        <v>2</v>
      </c>
      <c r="AC3145">
        <v>4</v>
      </c>
      <c r="AD3145">
        <v>3.2939999100000001</v>
      </c>
      <c r="AE3145">
        <v>1</v>
      </c>
      <c r="AF3145">
        <v>38</v>
      </c>
      <c r="AG3145">
        <v>3.28500009</v>
      </c>
      <c r="AH3145">
        <v>7</v>
      </c>
      <c r="AI3145">
        <v>1</v>
      </c>
      <c r="AJ3145">
        <v>1</v>
      </c>
      <c r="AK3145">
        <v>19</v>
      </c>
      <c r="AL3145">
        <v>53</v>
      </c>
      <c r="AM3145" t="s">
        <v>43</v>
      </c>
      <c r="AN3145" t="str">
        <f>HYPERLINK("https://www.google.com/maps?q=10.78603363,79.59464264","Open Location")</f>
        <v>Open Location</v>
      </c>
    </row>
    <row r="3146" spans="1:40" x14ac:dyDescent="0.3">
      <c r="A3146" s="1">
        <v>46210.63553240741</v>
      </c>
      <c r="B3146" t="s">
        <v>40</v>
      </c>
      <c r="C3146" t="s">
        <v>41</v>
      </c>
      <c r="D3146" s="1">
        <v>46210.638240740744</v>
      </c>
      <c r="E3146" t="s">
        <v>43</v>
      </c>
      <c r="F3146" t="s">
        <v>83</v>
      </c>
      <c r="G3146">
        <v>37</v>
      </c>
      <c r="H3146" t="s">
        <v>43</v>
      </c>
      <c r="I3146" t="s">
        <v>1809</v>
      </c>
      <c r="J3146">
        <v>91</v>
      </c>
      <c r="K3146">
        <v>115</v>
      </c>
      <c r="L3146">
        <v>98</v>
      </c>
      <c r="M3146">
        <v>630.09997558999999</v>
      </c>
      <c r="N3146" t="s">
        <v>87</v>
      </c>
      <c r="O3146" t="s">
        <v>86</v>
      </c>
      <c r="P3146">
        <v>130</v>
      </c>
      <c r="Q3146">
        <v>5</v>
      </c>
      <c r="R3146">
        <v>52</v>
      </c>
      <c r="S3146">
        <v>1661</v>
      </c>
      <c r="T3146">
        <v>-40</v>
      </c>
      <c r="U3146">
        <v>53</v>
      </c>
      <c r="V3146">
        <v>380</v>
      </c>
      <c r="W3146">
        <v>34</v>
      </c>
      <c r="X3146">
        <v>34</v>
      </c>
      <c r="Y3146">
        <v>1</v>
      </c>
      <c r="Z3146">
        <v>8</v>
      </c>
      <c r="AA3146">
        <v>29</v>
      </c>
      <c r="AB3146">
        <v>2</v>
      </c>
      <c r="AC3146">
        <v>4</v>
      </c>
      <c r="AD3146">
        <v>3.28900003</v>
      </c>
      <c r="AE3146">
        <v>1</v>
      </c>
      <c r="AF3146">
        <v>44</v>
      </c>
      <c r="AG3146">
        <v>3.27999997</v>
      </c>
      <c r="AH3146">
        <v>4</v>
      </c>
      <c r="AI3146">
        <v>17</v>
      </c>
      <c r="AJ3146">
        <v>1</v>
      </c>
      <c r="AK3146">
        <v>19</v>
      </c>
      <c r="AL3146">
        <v>53</v>
      </c>
      <c r="AM3146" t="s">
        <v>43</v>
      </c>
      <c r="AN3146" t="str">
        <f>HYPERLINK("https://www.google.com/maps?q=10.78568077,79.59570313","Open Location")</f>
        <v>Open Location</v>
      </c>
    </row>
    <row r="3147" spans="1:40" x14ac:dyDescent="0.3">
      <c r="A3147" s="1">
        <v>46210.635416666664</v>
      </c>
      <c r="B3147" t="s">
        <v>40</v>
      </c>
      <c r="C3147" t="s">
        <v>41</v>
      </c>
      <c r="D3147" s="1">
        <v>46210.638391203705</v>
      </c>
      <c r="E3147" t="s">
        <v>42</v>
      </c>
      <c r="F3147" t="s">
        <v>83</v>
      </c>
      <c r="G3147">
        <v>34</v>
      </c>
      <c r="H3147">
        <v>33120</v>
      </c>
      <c r="I3147" t="s">
        <v>43</v>
      </c>
      <c r="J3147">
        <v>91</v>
      </c>
      <c r="K3147">
        <v>218</v>
      </c>
      <c r="L3147">
        <v>98</v>
      </c>
      <c r="M3147">
        <v>627.5</v>
      </c>
      <c r="N3147" t="s">
        <v>87</v>
      </c>
      <c r="O3147" t="s">
        <v>86</v>
      </c>
      <c r="P3147">
        <v>130</v>
      </c>
      <c r="Q3147">
        <v>5</v>
      </c>
      <c r="R3147">
        <v>124</v>
      </c>
      <c r="S3147">
        <v>1550</v>
      </c>
      <c r="T3147">
        <v>-40</v>
      </c>
      <c r="U3147">
        <v>55</v>
      </c>
      <c r="V3147">
        <v>741</v>
      </c>
      <c r="W3147">
        <v>34</v>
      </c>
      <c r="X3147">
        <v>34</v>
      </c>
      <c r="Y3147">
        <v>1</v>
      </c>
      <c r="Z3147">
        <v>8</v>
      </c>
      <c r="AA3147">
        <v>29</v>
      </c>
      <c r="AB3147">
        <v>2</v>
      </c>
      <c r="AC3147">
        <v>4</v>
      </c>
      <c r="AD3147">
        <v>3.2780001200000002</v>
      </c>
      <c r="AE3147">
        <v>1</v>
      </c>
      <c r="AF3147">
        <v>38</v>
      </c>
      <c r="AG3147">
        <v>3.2639999400000002</v>
      </c>
      <c r="AH3147">
        <v>4</v>
      </c>
      <c r="AI3147">
        <v>17</v>
      </c>
      <c r="AJ3147">
        <v>1</v>
      </c>
      <c r="AK3147">
        <v>19</v>
      </c>
      <c r="AL3147">
        <v>53</v>
      </c>
      <c r="AM3147" t="s">
        <v>43</v>
      </c>
      <c r="AN3147" t="s">
        <v>43</v>
      </c>
    </row>
    <row r="3148" spans="1:40" x14ac:dyDescent="0.3">
      <c r="A3148" s="1">
        <v>46210.635300925926</v>
      </c>
      <c r="B3148" t="s">
        <v>40</v>
      </c>
      <c r="C3148" t="s">
        <v>41</v>
      </c>
      <c r="D3148" s="1">
        <v>46210.638101851851</v>
      </c>
      <c r="E3148" t="s">
        <v>43</v>
      </c>
      <c r="F3148" t="s">
        <v>83</v>
      </c>
      <c r="G3148">
        <v>29</v>
      </c>
      <c r="H3148">
        <v>33119</v>
      </c>
      <c r="I3148" t="s">
        <v>1810</v>
      </c>
      <c r="J3148">
        <v>91</v>
      </c>
      <c r="K3148">
        <v>139</v>
      </c>
      <c r="L3148">
        <v>98</v>
      </c>
      <c r="M3148">
        <v>635</v>
      </c>
      <c r="N3148" t="s">
        <v>87</v>
      </c>
      <c r="O3148" t="s">
        <v>86</v>
      </c>
      <c r="P3148">
        <v>130</v>
      </c>
      <c r="Q3148">
        <v>5</v>
      </c>
      <c r="R3148">
        <v>189</v>
      </c>
      <c r="S3148">
        <v>2109</v>
      </c>
      <c r="T3148">
        <v>-40</v>
      </c>
      <c r="U3148">
        <v>52</v>
      </c>
      <c r="V3148">
        <v>154</v>
      </c>
      <c r="W3148">
        <v>34</v>
      </c>
      <c r="X3148">
        <v>34</v>
      </c>
      <c r="Y3148">
        <v>1</v>
      </c>
      <c r="Z3148">
        <v>8</v>
      </c>
      <c r="AA3148">
        <v>29</v>
      </c>
      <c r="AB3148">
        <v>2</v>
      </c>
      <c r="AC3148">
        <v>4</v>
      </c>
      <c r="AD3148">
        <v>3.3210001</v>
      </c>
      <c r="AE3148">
        <v>1</v>
      </c>
      <c r="AF3148">
        <v>5</v>
      </c>
      <c r="AG3148">
        <v>3.3169999099999998</v>
      </c>
      <c r="AH3148">
        <v>3</v>
      </c>
      <c r="AI3148">
        <v>16</v>
      </c>
      <c r="AJ3148">
        <v>1</v>
      </c>
      <c r="AK3148">
        <v>19</v>
      </c>
      <c r="AL3148">
        <v>53</v>
      </c>
      <c r="AM3148" t="s">
        <v>43</v>
      </c>
      <c r="AN3148" t="str">
        <f>HYPERLINK("https://www.google.com/maps?q=10.78550053,79.59674835","Open Location")</f>
        <v>Open Location</v>
      </c>
    </row>
    <row r="3149" spans="1:40" x14ac:dyDescent="0.3">
      <c r="A3149" s="1">
        <v>46210.635185185187</v>
      </c>
      <c r="B3149" t="s">
        <v>40</v>
      </c>
      <c r="C3149" t="s">
        <v>41</v>
      </c>
      <c r="D3149" s="1">
        <v>46210.637974537036</v>
      </c>
      <c r="E3149" t="s">
        <v>42</v>
      </c>
      <c r="F3149" t="s">
        <v>83</v>
      </c>
      <c r="G3149">
        <v>39</v>
      </c>
      <c r="H3149">
        <v>33119</v>
      </c>
      <c r="I3149" t="s">
        <v>1811</v>
      </c>
      <c r="J3149">
        <v>91</v>
      </c>
      <c r="K3149">
        <v>25</v>
      </c>
      <c r="L3149">
        <v>98</v>
      </c>
      <c r="M3149">
        <v>635.29998779000005</v>
      </c>
      <c r="N3149" t="s">
        <v>87</v>
      </c>
      <c r="O3149" t="s">
        <v>86</v>
      </c>
      <c r="P3149">
        <v>131</v>
      </c>
      <c r="Q3149">
        <v>6</v>
      </c>
      <c r="R3149">
        <v>-50</v>
      </c>
      <c r="S3149">
        <v>1130</v>
      </c>
      <c r="T3149">
        <v>-40</v>
      </c>
      <c r="U3149">
        <v>51</v>
      </c>
      <c r="V3149">
        <v>100</v>
      </c>
      <c r="W3149">
        <v>34</v>
      </c>
      <c r="X3149">
        <v>34</v>
      </c>
      <c r="Y3149">
        <v>1</v>
      </c>
      <c r="Z3149">
        <v>8</v>
      </c>
      <c r="AA3149">
        <v>29</v>
      </c>
      <c r="AB3149">
        <v>2</v>
      </c>
      <c r="AC3149">
        <v>4</v>
      </c>
      <c r="AD3149">
        <v>3.31500006</v>
      </c>
      <c r="AE3149">
        <v>1</v>
      </c>
      <c r="AF3149">
        <v>37</v>
      </c>
      <c r="AG3149">
        <v>3.3110001100000002</v>
      </c>
      <c r="AH3149">
        <v>3</v>
      </c>
      <c r="AI3149">
        <v>1</v>
      </c>
      <c r="AJ3149">
        <v>1</v>
      </c>
      <c r="AK3149">
        <v>20</v>
      </c>
      <c r="AL3149">
        <v>53</v>
      </c>
      <c r="AM3149" t="s">
        <v>43</v>
      </c>
      <c r="AN3149" t="str">
        <f>HYPERLINK("https://www.google.com/maps?q=10.78542042,79.59764099","Open Location")</f>
        <v>Open Location</v>
      </c>
    </row>
    <row r="3150" spans="1:40" x14ac:dyDescent="0.3">
      <c r="A3150" s="1">
        <v>46210.635069444441</v>
      </c>
      <c r="B3150" t="s">
        <v>40</v>
      </c>
      <c r="C3150" t="s">
        <v>41</v>
      </c>
      <c r="D3150" s="1">
        <v>46210.63784722222</v>
      </c>
      <c r="E3150" t="s">
        <v>42</v>
      </c>
      <c r="F3150" t="s">
        <v>83</v>
      </c>
      <c r="G3150">
        <v>41</v>
      </c>
      <c r="H3150">
        <v>33119</v>
      </c>
      <c r="I3150" t="s">
        <v>1812</v>
      </c>
      <c r="J3150">
        <v>91</v>
      </c>
      <c r="K3150">
        <v>61</v>
      </c>
      <c r="L3150">
        <v>98</v>
      </c>
      <c r="M3150">
        <v>633.09997558999999</v>
      </c>
      <c r="N3150" t="s">
        <v>87</v>
      </c>
      <c r="O3150" t="s">
        <v>86</v>
      </c>
      <c r="P3150">
        <v>131</v>
      </c>
      <c r="Q3150">
        <v>6</v>
      </c>
      <c r="R3150">
        <v>59</v>
      </c>
      <c r="S3150">
        <v>1155</v>
      </c>
      <c r="T3150">
        <v>-40</v>
      </c>
      <c r="U3150">
        <v>51</v>
      </c>
      <c r="V3150">
        <v>280</v>
      </c>
      <c r="W3150">
        <v>34</v>
      </c>
      <c r="X3150">
        <v>34</v>
      </c>
      <c r="Y3150">
        <v>1</v>
      </c>
      <c r="Z3150">
        <v>8</v>
      </c>
      <c r="AA3150">
        <v>29</v>
      </c>
      <c r="AB3150">
        <v>2</v>
      </c>
      <c r="AC3150">
        <v>4</v>
      </c>
      <c r="AD3150">
        <v>3.3059999900000001</v>
      </c>
      <c r="AE3150">
        <v>1</v>
      </c>
      <c r="AF3150">
        <v>44</v>
      </c>
      <c r="AG3150">
        <v>3.2999999500000001</v>
      </c>
      <c r="AH3150">
        <v>4</v>
      </c>
      <c r="AI3150">
        <v>17</v>
      </c>
      <c r="AJ3150">
        <v>1</v>
      </c>
      <c r="AK3150">
        <v>19</v>
      </c>
      <c r="AL3150">
        <v>53</v>
      </c>
      <c r="AM3150" t="s">
        <v>43</v>
      </c>
      <c r="AN3150" t="str">
        <f>HYPERLINK("https://www.google.com/maps?q=10.78530502,79.59883118","Open Location")</f>
        <v>Open Location</v>
      </c>
    </row>
    <row r="3151" spans="1:40" x14ac:dyDescent="0.3">
      <c r="A3151" s="1">
        <v>46210.634953703702</v>
      </c>
      <c r="B3151" t="s">
        <v>40</v>
      </c>
      <c r="C3151" t="s">
        <v>41</v>
      </c>
      <c r="D3151" s="1">
        <v>46210.637650462966</v>
      </c>
      <c r="E3151" t="s">
        <v>42</v>
      </c>
      <c r="F3151" t="s">
        <v>83</v>
      </c>
      <c r="G3151">
        <v>43</v>
      </c>
      <c r="H3151">
        <v>33119</v>
      </c>
      <c r="I3151" t="s">
        <v>1813</v>
      </c>
      <c r="J3151">
        <v>91</v>
      </c>
      <c r="K3151">
        <v>-13</v>
      </c>
      <c r="L3151">
        <v>98</v>
      </c>
      <c r="M3151">
        <v>635.29998779000005</v>
      </c>
      <c r="N3151" t="s">
        <v>87</v>
      </c>
      <c r="O3151" t="s">
        <v>86</v>
      </c>
      <c r="P3151">
        <v>131</v>
      </c>
      <c r="Q3151">
        <v>6</v>
      </c>
      <c r="R3151">
        <v>33</v>
      </c>
      <c r="S3151">
        <v>1210</v>
      </c>
      <c r="T3151">
        <v>-40</v>
      </c>
      <c r="U3151">
        <v>51</v>
      </c>
      <c r="V3151">
        <v>-268</v>
      </c>
      <c r="W3151">
        <v>34</v>
      </c>
      <c r="X3151">
        <v>34</v>
      </c>
      <c r="Y3151">
        <v>1</v>
      </c>
      <c r="Z3151">
        <v>8</v>
      </c>
      <c r="AA3151">
        <v>29</v>
      </c>
      <c r="AB3151">
        <v>2</v>
      </c>
      <c r="AC3151">
        <v>4</v>
      </c>
      <c r="AD3151">
        <v>3.31200004</v>
      </c>
      <c r="AE3151">
        <v>1</v>
      </c>
      <c r="AF3151">
        <v>38</v>
      </c>
      <c r="AG3151">
        <v>3.3080000900000002</v>
      </c>
      <c r="AH3151">
        <v>3</v>
      </c>
      <c r="AI3151">
        <v>16</v>
      </c>
      <c r="AJ3151">
        <v>1</v>
      </c>
      <c r="AK3151">
        <v>19</v>
      </c>
      <c r="AL3151">
        <v>53</v>
      </c>
      <c r="AM3151" t="s">
        <v>43</v>
      </c>
      <c r="AN3151" t="str">
        <f>HYPERLINK("https://www.google.com/maps?q=10.78509712,79.60010529","Open Location")</f>
        <v>Open Location</v>
      </c>
    </row>
    <row r="3152" spans="1:40" x14ac:dyDescent="0.3">
      <c r="A3152" s="1">
        <v>46210.634837962964</v>
      </c>
      <c r="B3152" t="s">
        <v>40</v>
      </c>
      <c r="C3152" t="s">
        <v>41</v>
      </c>
      <c r="D3152" s="1">
        <v>46210.637650462966</v>
      </c>
      <c r="E3152" t="s">
        <v>42</v>
      </c>
      <c r="F3152" t="s">
        <v>83</v>
      </c>
      <c r="G3152">
        <v>42</v>
      </c>
      <c r="H3152">
        <v>33119</v>
      </c>
      <c r="I3152" t="s">
        <v>1814</v>
      </c>
      <c r="J3152">
        <v>91</v>
      </c>
      <c r="K3152">
        <v>122</v>
      </c>
      <c r="L3152">
        <v>98</v>
      </c>
      <c r="M3152">
        <v>630.79998779000005</v>
      </c>
      <c r="N3152" t="s">
        <v>87</v>
      </c>
      <c r="O3152" t="s">
        <v>86</v>
      </c>
      <c r="P3152">
        <v>131</v>
      </c>
      <c r="Q3152">
        <v>6</v>
      </c>
      <c r="R3152">
        <v>80</v>
      </c>
      <c r="S3152">
        <v>1140</v>
      </c>
      <c r="T3152">
        <v>-40</v>
      </c>
      <c r="U3152">
        <v>53</v>
      </c>
      <c r="V3152">
        <v>580</v>
      </c>
      <c r="W3152">
        <v>34</v>
      </c>
      <c r="X3152">
        <v>34</v>
      </c>
      <c r="Y3152">
        <v>1</v>
      </c>
      <c r="Z3152">
        <v>8</v>
      </c>
      <c r="AA3152">
        <v>29</v>
      </c>
      <c r="AB3152">
        <v>2</v>
      </c>
      <c r="AC3152">
        <v>4</v>
      </c>
      <c r="AD3152">
        <v>3.2939999100000001</v>
      </c>
      <c r="AE3152">
        <v>1</v>
      </c>
      <c r="AF3152">
        <v>44</v>
      </c>
      <c r="AG3152">
        <v>3.28500009</v>
      </c>
      <c r="AH3152">
        <v>4</v>
      </c>
      <c r="AI3152">
        <v>17</v>
      </c>
      <c r="AJ3152">
        <v>1</v>
      </c>
      <c r="AK3152">
        <v>19</v>
      </c>
      <c r="AL3152">
        <v>53</v>
      </c>
      <c r="AM3152" t="s">
        <v>43</v>
      </c>
      <c r="AN3152" t="str">
        <f>HYPERLINK("https://www.google.com/maps?q=10.78458118,79.60141754","Open Location")</f>
        <v>Open Location</v>
      </c>
    </row>
    <row r="3153" spans="1:40" x14ac:dyDescent="0.3">
      <c r="A3153" s="1">
        <v>46210.634722222225</v>
      </c>
      <c r="B3153" t="s">
        <v>40</v>
      </c>
      <c r="C3153" t="s">
        <v>41</v>
      </c>
      <c r="D3153" s="1">
        <v>46210.637384259258</v>
      </c>
      <c r="E3153" t="s">
        <v>42</v>
      </c>
      <c r="F3153" t="s">
        <v>83</v>
      </c>
      <c r="G3153">
        <v>41</v>
      </c>
      <c r="H3153" t="s">
        <v>43</v>
      </c>
      <c r="I3153" t="s">
        <v>43</v>
      </c>
      <c r="J3153">
        <v>91</v>
      </c>
      <c r="K3153">
        <v>118</v>
      </c>
      <c r="L3153">
        <v>98</v>
      </c>
      <c r="M3153">
        <v>630.59997558999999</v>
      </c>
      <c r="N3153" t="s">
        <v>87</v>
      </c>
      <c r="O3153" t="s">
        <v>86</v>
      </c>
      <c r="P3153">
        <v>131</v>
      </c>
      <c r="Q3153">
        <v>6</v>
      </c>
      <c r="R3153">
        <v>72</v>
      </c>
      <c r="S3153">
        <v>1146</v>
      </c>
      <c r="T3153">
        <v>-40</v>
      </c>
      <c r="U3153">
        <v>52</v>
      </c>
      <c r="V3153">
        <v>560</v>
      </c>
      <c r="W3153" t="s">
        <v>43</v>
      </c>
      <c r="X3153" t="s">
        <v>43</v>
      </c>
      <c r="Y3153" t="s">
        <v>43</v>
      </c>
      <c r="Z3153" t="s">
        <v>43</v>
      </c>
      <c r="AA3153" t="s">
        <v>43</v>
      </c>
      <c r="AB3153" t="s">
        <v>43</v>
      </c>
      <c r="AC3153" t="s">
        <v>43</v>
      </c>
      <c r="AD3153" t="s">
        <v>43</v>
      </c>
      <c r="AE3153" t="s">
        <v>43</v>
      </c>
      <c r="AF3153" t="s">
        <v>43</v>
      </c>
      <c r="AG3153" t="s">
        <v>43</v>
      </c>
      <c r="AH3153" t="s">
        <v>43</v>
      </c>
      <c r="AI3153" t="s">
        <v>43</v>
      </c>
      <c r="AJ3153">
        <v>1</v>
      </c>
      <c r="AK3153">
        <v>19</v>
      </c>
      <c r="AL3153">
        <v>53</v>
      </c>
      <c r="AM3153" t="s">
        <v>43</v>
      </c>
      <c r="AN3153" t="s">
        <v>43</v>
      </c>
    </row>
    <row r="3154" spans="1:40" x14ac:dyDescent="0.3">
      <c r="A3154" s="1">
        <v>46210.634606481479</v>
      </c>
      <c r="B3154" t="s">
        <v>40</v>
      </c>
      <c r="C3154" t="s">
        <v>41</v>
      </c>
      <c r="D3154" s="1">
        <v>46210.637291666666</v>
      </c>
      <c r="E3154" t="s">
        <v>43</v>
      </c>
      <c r="F3154" t="s">
        <v>83</v>
      </c>
      <c r="G3154">
        <v>43</v>
      </c>
      <c r="H3154">
        <v>33119</v>
      </c>
      <c r="I3154" t="s">
        <v>1815</v>
      </c>
      <c r="J3154">
        <v>91</v>
      </c>
      <c r="K3154">
        <v>68</v>
      </c>
      <c r="L3154">
        <v>98</v>
      </c>
      <c r="M3154">
        <v>632.29998779000005</v>
      </c>
      <c r="N3154" t="s">
        <v>87</v>
      </c>
      <c r="O3154" t="s">
        <v>86</v>
      </c>
      <c r="P3154">
        <v>131</v>
      </c>
      <c r="Q3154">
        <v>6</v>
      </c>
      <c r="R3154">
        <v>40</v>
      </c>
      <c r="S3154">
        <v>1178</v>
      </c>
      <c r="T3154">
        <v>-40</v>
      </c>
      <c r="U3154">
        <v>52</v>
      </c>
      <c r="V3154">
        <v>300</v>
      </c>
      <c r="W3154">
        <v>34</v>
      </c>
      <c r="X3154">
        <v>34</v>
      </c>
      <c r="Y3154">
        <v>1</v>
      </c>
      <c r="Z3154">
        <v>8</v>
      </c>
      <c r="AA3154">
        <v>29</v>
      </c>
      <c r="AB3154">
        <v>2</v>
      </c>
      <c r="AC3154">
        <v>4</v>
      </c>
      <c r="AD3154">
        <v>3.3020000500000002</v>
      </c>
      <c r="AE3154">
        <v>1</v>
      </c>
      <c r="AF3154">
        <v>44</v>
      </c>
      <c r="AG3154">
        <v>3.2939999100000001</v>
      </c>
      <c r="AH3154">
        <v>4</v>
      </c>
      <c r="AI3154">
        <v>17</v>
      </c>
      <c r="AJ3154">
        <v>1</v>
      </c>
      <c r="AK3154">
        <v>19</v>
      </c>
      <c r="AL3154">
        <v>53</v>
      </c>
      <c r="AM3154" t="s">
        <v>43</v>
      </c>
      <c r="AN3154" t="str">
        <f>HYPERLINK("https://www.google.com/maps?q=10.78411102,79.6026001","Open Location")</f>
        <v>Open Location</v>
      </c>
    </row>
    <row r="3155" spans="1:40" x14ac:dyDescent="0.3">
      <c r="A3155" s="1">
        <v>46210.63449074074</v>
      </c>
      <c r="B3155" t="s">
        <v>40</v>
      </c>
      <c r="C3155" t="s">
        <v>41</v>
      </c>
      <c r="D3155" s="1">
        <v>46210.637141203704</v>
      </c>
      <c r="E3155" t="s">
        <v>42</v>
      </c>
      <c r="F3155" t="s">
        <v>83</v>
      </c>
      <c r="G3155">
        <v>41</v>
      </c>
      <c r="H3155">
        <v>33119</v>
      </c>
      <c r="I3155" t="s">
        <v>1816</v>
      </c>
      <c r="J3155">
        <v>91</v>
      </c>
      <c r="K3155">
        <v>133</v>
      </c>
      <c r="L3155">
        <v>98</v>
      </c>
      <c r="M3155">
        <v>630.29998779000005</v>
      </c>
      <c r="N3155" t="s">
        <v>87</v>
      </c>
      <c r="O3155" t="s">
        <v>86</v>
      </c>
      <c r="P3155">
        <v>131</v>
      </c>
      <c r="Q3155">
        <v>6</v>
      </c>
      <c r="R3155">
        <v>88</v>
      </c>
      <c r="S3155">
        <v>1135</v>
      </c>
      <c r="T3155">
        <v>-40</v>
      </c>
      <c r="U3155">
        <v>54</v>
      </c>
      <c r="V3155">
        <v>640</v>
      </c>
      <c r="W3155">
        <v>34</v>
      </c>
      <c r="X3155">
        <v>34</v>
      </c>
      <c r="Y3155">
        <v>1</v>
      </c>
      <c r="Z3155">
        <v>8</v>
      </c>
      <c r="AA3155">
        <v>29</v>
      </c>
      <c r="AB3155">
        <v>2</v>
      </c>
      <c r="AC3155">
        <v>4</v>
      </c>
      <c r="AD3155">
        <v>3.2929999799999998</v>
      </c>
      <c r="AE3155">
        <v>1</v>
      </c>
      <c r="AF3155">
        <v>44</v>
      </c>
      <c r="AG3155">
        <v>3.2839999199999999</v>
      </c>
      <c r="AH3155">
        <v>4</v>
      </c>
      <c r="AI3155">
        <v>17</v>
      </c>
      <c r="AJ3155">
        <v>1</v>
      </c>
      <c r="AK3155">
        <v>19</v>
      </c>
      <c r="AL3155">
        <v>53</v>
      </c>
      <c r="AM3155" t="s">
        <v>43</v>
      </c>
      <c r="AN3155" t="str">
        <f>HYPERLINK("https://www.google.com/maps?q=10.78380013,79.60385895","Open Location")</f>
        <v>Open Location</v>
      </c>
    </row>
    <row r="3156" spans="1:40" x14ac:dyDescent="0.3">
      <c r="A3156" s="1">
        <v>46210.634375000001</v>
      </c>
      <c r="B3156" t="s">
        <v>40</v>
      </c>
      <c r="C3156" t="s">
        <v>41</v>
      </c>
      <c r="D3156" s="1">
        <v>46210.637349537035</v>
      </c>
      <c r="E3156" t="s">
        <v>42</v>
      </c>
      <c r="F3156" t="s">
        <v>83</v>
      </c>
      <c r="G3156">
        <v>39</v>
      </c>
      <c r="H3156">
        <v>33119</v>
      </c>
      <c r="I3156" t="s">
        <v>43</v>
      </c>
      <c r="J3156">
        <v>91</v>
      </c>
      <c r="K3156">
        <v>110</v>
      </c>
      <c r="L3156">
        <v>98</v>
      </c>
      <c r="M3156">
        <v>631.29998779000005</v>
      </c>
      <c r="N3156" t="s">
        <v>87</v>
      </c>
      <c r="O3156" t="s">
        <v>86</v>
      </c>
      <c r="P3156">
        <v>131</v>
      </c>
      <c r="Q3156">
        <v>6</v>
      </c>
      <c r="R3156">
        <v>98</v>
      </c>
      <c r="S3156">
        <v>1096</v>
      </c>
      <c r="T3156">
        <v>-40</v>
      </c>
      <c r="U3156">
        <v>52</v>
      </c>
      <c r="V3156">
        <v>540</v>
      </c>
      <c r="W3156">
        <v>34</v>
      </c>
      <c r="X3156">
        <v>34</v>
      </c>
      <c r="Y3156">
        <v>1</v>
      </c>
      <c r="Z3156">
        <v>8</v>
      </c>
      <c r="AA3156">
        <v>29</v>
      </c>
      <c r="AB3156">
        <v>7</v>
      </c>
      <c r="AC3156">
        <v>6</v>
      </c>
      <c r="AD3156">
        <v>3.2990000199999998</v>
      </c>
      <c r="AE3156">
        <v>1</v>
      </c>
      <c r="AF3156">
        <v>44</v>
      </c>
      <c r="AG3156">
        <v>3.2909998900000001</v>
      </c>
      <c r="AH3156">
        <v>4</v>
      </c>
      <c r="AI3156">
        <v>17</v>
      </c>
      <c r="AJ3156">
        <v>1</v>
      </c>
      <c r="AK3156">
        <v>19</v>
      </c>
      <c r="AL3156">
        <v>53</v>
      </c>
      <c r="AM3156" t="s">
        <v>43</v>
      </c>
      <c r="AN3156" t="s">
        <v>43</v>
      </c>
    </row>
    <row r="3157" spans="1:40" x14ac:dyDescent="0.3">
      <c r="A3157" s="1">
        <v>46210.634259259263</v>
      </c>
      <c r="B3157" t="s">
        <v>40</v>
      </c>
      <c r="C3157" t="s">
        <v>41</v>
      </c>
      <c r="D3157" s="1">
        <v>46210.636921296296</v>
      </c>
      <c r="E3157" t="s">
        <v>42</v>
      </c>
      <c r="F3157" t="s">
        <v>83</v>
      </c>
      <c r="G3157">
        <v>41</v>
      </c>
      <c r="H3157">
        <v>33118</v>
      </c>
      <c r="I3157" t="s">
        <v>1817</v>
      </c>
      <c r="J3157">
        <v>91</v>
      </c>
      <c r="K3157">
        <v>44</v>
      </c>
      <c r="L3157">
        <v>98</v>
      </c>
      <c r="M3157">
        <v>633.40002441000001</v>
      </c>
      <c r="N3157" t="s">
        <v>87</v>
      </c>
      <c r="O3157" t="s">
        <v>86</v>
      </c>
      <c r="P3157">
        <v>131</v>
      </c>
      <c r="Q3157">
        <v>6</v>
      </c>
      <c r="R3157">
        <v>40</v>
      </c>
      <c r="S3157">
        <v>1140</v>
      </c>
      <c r="T3157">
        <v>-40</v>
      </c>
      <c r="U3157">
        <v>50</v>
      </c>
      <c r="V3157">
        <v>200</v>
      </c>
      <c r="W3157">
        <v>34</v>
      </c>
      <c r="X3157">
        <v>34</v>
      </c>
      <c r="Y3157">
        <v>1</v>
      </c>
      <c r="Z3157">
        <v>8</v>
      </c>
      <c r="AA3157">
        <v>29</v>
      </c>
      <c r="AB3157">
        <v>7</v>
      </c>
      <c r="AC3157">
        <v>6</v>
      </c>
      <c r="AD3157">
        <v>3.3080000900000002</v>
      </c>
      <c r="AE3157">
        <v>1</v>
      </c>
      <c r="AF3157">
        <v>44</v>
      </c>
      <c r="AG3157">
        <v>3.2999999500000001</v>
      </c>
      <c r="AH3157">
        <v>4</v>
      </c>
      <c r="AI3157">
        <v>17</v>
      </c>
      <c r="AJ3157">
        <v>1</v>
      </c>
      <c r="AK3157">
        <v>19</v>
      </c>
      <c r="AL3157">
        <v>53</v>
      </c>
      <c r="AM3157" t="s">
        <v>43</v>
      </c>
      <c r="AN3157" t="str">
        <f>HYPERLINK("https://www.google.com/maps?q=10.78236485,79.60596466","Open Location")</f>
        <v>Open Location</v>
      </c>
    </row>
    <row r="3158" spans="1:40" x14ac:dyDescent="0.3">
      <c r="A3158" s="1">
        <v>46210.634143518517</v>
      </c>
      <c r="B3158" t="s">
        <v>40</v>
      </c>
      <c r="C3158" t="s">
        <v>41</v>
      </c>
      <c r="D3158" s="1">
        <v>46210.637025462966</v>
      </c>
      <c r="E3158" t="s">
        <v>42</v>
      </c>
      <c r="F3158" t="s">
        <v>83</v>
      </c>
      <c r="G3158">
        <v>43</v>
      </c>
      <c r="H3158">
        <v>33118</v>
      </c>
      <c r="I3158" t="s">
        <v>43</v>
      </c>
      <c r="J3158">
        <v>91</v>
      </c>
      <c r="K3158">
        <v>87</v>
      </c>
      <c r="L3158">
        <v>98</v>
      </c>
      <c r="M3158">
        <v>631.5</v>
      </c>
      <c r="N3158" t="s">
        <v>87</v>
      </c>
      <c r="O3158" t="s">
        <v>86</v>
      </c>
      <c r="P3158">
        <v>131</v>
      </c>
      <c r="Q3158">
        <v>6</v>
      </c>
      <c r="R3158">
        <v>27</v>
      </c>
      <c r="S3158">
        <v>1199</v>
      </c>
      <c r="T3158">
        <v>-40</v>
      </c>
      <c r="U3158">
        <v>51</v>
      </c>
      <c r="V3158">
        <v>360</v>
      </c>
      <c r="W3158">
        <v>34</v>
      </c>
      <c r="X3158">
        <v>34</v>
      </c>
      <c r="Y3158">
        <v>1</v>
      </c>
      <c r="Z3158">
        <v>8</v>
      </c>
      <c r="AA3158">
        <v>29</v>
      </c>
      <c r="AB3158">
        <v>7</v>
      </c>
      <c r="AC3158">
        <v>6</v>
      </c>
      <c r="AD3158">
        <v>3.2999999500000001</v>
      </c>
      <c r="AE3158">
        <v>1</v>
      </c>
      <c r="AF3158">
        <v>38</v>
      </c>
      <c r="AG3158">
        <v>3.2909998900000001</v>
      </c>
      <c r="AH3158">
        <v>4</v>
      </c>
      <c r="AI3158">
        <v>17</v>
      </c>
      <c r="AJ3158">
        <v>1</v>
      </c>
      <c r="AK3158">
        <v>19</v>
      </c>
      <c r="AL3158">
        <v>53</v>
      </c>
      <c r="AM3158" t="s">
        <v>43</v>
      </c>
      <c r="AN3158" t="s">
        <v>43</v>
      </c>
    </row>
    <row r="3159" spans="1:40" x14ac:dyDescent="0.3">
      <c r="A3159" s="1">
        <v>46210.634027777778</v>
      </c>
      <c r="B3159" t="s">
        <v>40</v>
      </c>
      <c r="C3159" t="s">
        <v>41</v>
      </c>
      <c r="D3159" s="1">
        <v>46210.636712962965</v>
      </c>
      <c r="E3159" t="s">
        <v>42</v>
      </c>
      <c r="F3159" t="s">
        <v>83</v>
      </c>
      <c r="G3159">
        <v>43</v>
      </c>
      <c r="H3159">
        <v>33118</v>
      </c>
      <c r="I3159" t="s">
        <v>1818</v>
      </c>
      <c r="J3159">
        <v>92</v>
      </c>
      <c r="K3159">
        <v>83</v>
      </c>
      <c r="L3159">
        <v>98</v>
      </c>
      <c r="M3159">
        <v>632.29998779000005</v>
      </c>
      <c r="N3159" t="s">
        <v>87</v>
      </c>
      <c r="O3159" t="s">
        <v>86</v>
      </c>
      <c r="P3159">
        <v>131</v>
      </c>
      <c r="Q3159">
        <v>6</v>
      </c>
      <c r="R3159">
        <v>50</v>
      </c>
      <c r="S3159">
        <v>1202</v>
      </c>
      <c r="T3159">
        <v>-40</v>
      </c>
      <c r="U3159">
        <v>52</v>
      </c>
      <c r="V3159">
        <v>340</v>
      </c>
      <c r="W3159" t="s">
        <v>43</v>
      </c>
      <c r="X3159" t="s">
        <v>43</v>
      </c>
      <c r="Y3159" t="s">
        <v>43</v>
      </c>
      <c r="Z3159" t="s">
        <v>43</v>
      </c>
      <c r="AA3159" t="s">
        <v>43</v>
      </c>
      <c r="AB3159" t="s">
        <v>43</v>
      </c>
      <c r="AC3159" t="s">
        <v>43</v>
      </c>
      <c r="AD3159" t="s">
        <v>43</v>
      </c>
      <c r="AE3159" t="s">
        <v>43</v>
      </c>
      <c r="AF3159" t="s">
        <v>43</v>
      </c>
      <c r="AG3159" t="s">
        <v>43</v>
      </c>
      <c r="AH3159" t="s">
        <v>43</v>
      </c>
      <c r="AI3159" t="s">
        <v>43</v>
      </c>
      <c r="AJ3159">
        <v>1</v>
      </c>
      <c r="AK3159">
        <v>19</v>
      </c>
      <c r="AL3159">
        <v>53</v>
      </c>
      <c r="AM3159" t="s">
        <v>43</v>
      </c>
      <c r="AN3159" t="str">
        <f>HYPERLINK("https://www.google.com/maps?q=10.78176022,79.60772705","Open Location")</f>
        <v>Open Location</v>
      </c>
    </row>
    <row r="3160" spans="1:40" x14ac:dyDescent="0.3">
      <c r="A3160" s="1">
        <v>46210.633912037039</v>
      </c>
      <c r="B3160" t="s">
        <v>40</v>
      </c>
      <c r="C3160" t="s">
        <v>41</v>
      </c>
      <c r="D3160" s="1">
        <v>46210.636620370373</v>
      </c>
      <c r="E3160" t="s">
        <v>43</v>
      </c>
      <c r="F3160" t="s">
        <v>83</v>
      </c>
      <c r="G3160">
        <v>42</v>
      </c>
      <c r="H3160">
        <v>33118</v>
      </c>
      <c r="I3160" t="s">
        <v>1819</v>
      </c>
      <c r="J3160">
        <v>92</v>
      </c>
      <c r="K3160">
        <v>93</v>
      </c>
      <c r="L3160">
        <v>98</v>
      </c>
      <c r="M3160">
        <v>631.59997558999999</v>
      </c>
      <c r="N3160" t="s">
        <v>87</v>
      </c>
      <c r="O3160" t="s">
        <v>86</v>
      </c>
      <c r="P3160">
        <v>131</v>
      </c>
      <c r="Q3160">
        <v>6</v>
      </c>
      <c r="R3160">
        <v>56</v>
      </c>
      <c r="S3160">
        <v>1192</v>
      </c>
      <c r="T3160">
        <v>-40</v>
      </c>
      <c r="U3160">
        <v>52</v>
      </c>
      <c r="V3160">
        <v>420</v>
      </c>
      <c r="W3160">
        <v>34</v>
      </c>
      <c r="X3160">
        <v>34</v>
      </c>
      <c r="Y3160">
        <v>1</v>
      </c>
      <c r="Z3160">
        <v>8</v>
      </c>
      <c r="AA3160">
        <v>30</v>
      </c>
      <c r="AB3160">
        <v>2</v>
      </c>
      <c r="AC3160">
        <v>1</v>
      </c>
      <c r="AD3160">
        <v>3.2990000199999998</v>
      </c>
      <c r="AE3160">
        <v>1</v>
      </c>
      <c r="AF3160">
        <v>41</v>
      </c>
      <c r="AG3160">
        <v>3.2920000599999999</v>
      </c>
      <c r="AH3160">
        <v>4</v>
      </c>
      <c r="AI3160">
        <v>17</v>
      </c>
      <c r="AJ3160">
        <v>1</v>
      </c>
      <c r="AK3160">
        <v>19</v>
      </c>
      <c r="AL3160">
        <v>53</v>
      </c>
      <c r="AM3160" t="s">
        <v>43</v>
      </c>
      <c r="AN3160" t="str">
        <f>HYPERLINK("https://www.google.com/maps?q=10.78114223,79.60897064","Open Location")</f>
        <v>Open Location</v>
      </c>
    </row>
    <row r="3161" spans="1:40" x14ac:dyDescent="0.3">
      <c r="A3161" s="1">
        <v>46210.633796296293</v>
      </c>
      <c r="B3161" t="s">
        <v>40</v>
      </c>
      <c r="C3161" t="s">
        <v>41</v>
      </c>
      <c r="D3161" s="1">
        <v>46210.637002314812</v>
      </c>
      <c r="E3161" t="s">
        <v>42</v>
      </c>
      <c r="F3161" t="s">
        <v>83</v>
      </c>
      <c r="G3161">
        <v>43</v>
      </c>
      <c r="H3161" t="s">
        <v>43</v>
      </c>
      <c r="I3161" t="s">
        <v>43</v>
      </c>
      <c r="J3161">
        <v>92</v>
      </c>
      <c r="K3161">
        <v>92</v>
      </c>
      <c r="L3161">
        <v>98</v>
      </c>
      <c r="M3161">
        <v>631.59997558999999</v>
      </c>
      <c r="N3161" t="s">
        <v>87</v>
      </c>
      <c r="O3161" t="s">
        <v>86</v>
      </c>
      <c r="P3161">
        <v>131</v>
      </c>
      <c r="Q3161">
        <v>6</v>
      </c>
      <c r="R3161">
        <v>57</v>
      </c>
      <c r="S3161">
        <v>1176</v>
      </c>
      <c r="T3161">
        <v>-40</v>
      </c>
      <c r="U3161">
        <v>52</v>
      </c>
      <c r="V3161">
        <v>420</v>
      </c>
      <c r="W3161">
        <v>34</v>
      </c>
      <c r="X3161">
        <v>34</v>
      </c>
      <c r="Y3161">
        <v>1</v>
      </c>
      <c r="Z3161">
        <v>8</v>
      </c>
      <c r="AA3161">
        <v>30</v>
      </c>
      <c r="AB3161">
        <v>2</v>
      </c>
      <c r="AC3161">
        <v>1</v>
      </c>
      <c r="AD3161">
        <v>3.2980000999999999</v>
      </c>
      <c r="AE3161">
        <v>1</v>
      </c>
      <c r="AF3161">
        <v>38</v>
      </c>
      <c r="AG3161">
        <v>3.2909998900000001</v>
      </c>
      <c r="AH3161">
        <v>4</v>
      </c>
      <c r="AI3161">
        <v>17</v>
      </c>
      <c r="AJ3161">
        <v>1</v>
      </c>
      <c r="AK3161">
        <v>19</v>
      </c>
      <c r="AL3161">
        <v>53</v>
      </c>
      <c r="AM3161" t="s">
        <v>43</v>
      </c>
      <c r="AN3161" t="s">
        <v>43</v>
      </c>
    </row>
    <row r="3162" spans="1:40" x14ac:dyDescent="0.3">
      <c r="A3162" s="1">
        <v>46210.633680555555</v>
      </c>
      <c r="B3162" t="s">
        <v>40</v>
      </c>
      <c r="C3162" t="s">
        <v>41</v>
      </c>
      <c r="D3162" s="1">
        <v>46210.637025462966</v>
      </c>
      <c r="E3162" t="s">
        <v>43</v>
      </c>
      <c r="F3162" t="s">
        <v>83</v>
      </c>
      <c r="G3162">
        <v>42</v>
      </c>
      <c r="H3162">
        <v>33118</v>
      </c>
      <c r="I3162" t="s">
        <v>43</v>
      </c>
      <c r="J3162">
        <v>92</v>
      </c>
      <c r="K3162">
        <v>121</v>
      </c>
      <c r="L3162">
        <v>98</v>
      </c>
      <c r="M3162">
        <v>630.5</v>
      </c>
      <c r="N3162" t="s">
        <v>87</v>
      </c>
      <c r="O3162" t="s">
        <v>86</v>
      </c>
      <c r="P3162">
        <v>131</v>
      </c>
      <c r="Q3162">
        <v>6</v>
      </c>
      <c r="R3162">
        <v>64</v>
      </c>
      <c r="S3162">
        <v>1185</v>
      </c>
      <c r="T3162">
        <v>-40</v>
      </c>
      <c r="U3162">
        <v>53</v>
      </c>
      <c r="V3162">
        <v>560</v>
      </c>
      <c r="W3162">
        <v>34</v>
      </c>
      <c r="X3162">
        <v>34</v>
      </c>
      <c r="Y3162">
        <v>1</v>
      </c>
      <c r="Z3162">
        <v>8</v>
      </c>
      <c r="AA3162">
        <v>30</v>
      </c>
      <c r="AB3162">
        <v>2</v>
      </c>
      <c r="AC3162">
        <v>1</v>
      </c>
      <c r="AD3162">
        <v>3.2929999799999998</v>
      </c>
      <c r="AE3162">
        <v>1</v>
      </c>
      <c r="AF3162">
        <v>42</v>
      </c>
      <c r="AG3162">
        <v>3.2839999199999999</v>
      </c>
      <c r="AH3162">
        <v>4</v>
      </c>
      <c r="AI3162">
        <v>17</v>
      </c>
      <c r="AJ3162">
        <v>1</v>
      </c>
      <c r="AK3162">
        <v>19</v>
      </c>
      <c r="AL3162">
        <v>53</v>
      </c>
      <c r="AM3162" t="s">
        <v>43</v>
      </c>
      <c r="AN3162" t="s">
        <v>43</v>
      </c>
    </row>
    <row r="3163" spans="1:40" x14ac:dyDescent="0.3">
      <c r="A3163" s="1">
        <v>46210.633564814816</v>
      </c>
      <c r="B3163" t="s">
        <v>40</v>
      </c>
      <c r="C3163" t="s">
        <v>41</v>
      </c>
      <c r="D3163" s="1">
        <v>46210.636377314811</v>
      </c>
      <c r="E3163" t="s">
        <v>42</v>
      </c>
      <c r="F3163" t="s">
        <v>83</v>
      </c>
      <c r="G3163">
        <v>42</v>
      </c>
      <c r="H3163">
        <v>33118</v>
      </c>
      <c r="I3163" t="s">
        <v>1820</v>
      </c>
      <c r="J3163">
        <v>92</v>
      </c>
      <c r="K3163">
        <v>100</v>
      </c>
      <c r="L3163">
        <v>98</v>
      </c>
      <c r="M3163">
        <v>630.70001220999995</v>
      </c>
      <c r="N3163" t="s">
        <v>87</v>
      </c>
      <c r="O3163" t="s">
        <v>86</v>
      </c>
      <c r="P3163">
        <v>131</v>
      </c>
      <c r="Q3163">
        <v>6</v>
      </c>
      <c r="R3163">
        <v>68</v>
      </c>
      <c r="S3163">
        <v>1174</v>
      </c>
      <c r="T3163">
        <v>-40</v>
      </c>
      <c r="U3163">
        <v>53</v>
      </c>
      <c r="V3163">
        <v>460</v>
      </c>
      <c r="W3163">
        <v>34</v>
      </c>
      <c r="X3163">
        <v>34</v>
      </c>
      <c r="Y3163">
        <v>1</v>
      </c>
      <c r="Z3163">
        <v>8</v>
      </c>
      <c r="AA3163">
        <v>30</v>
      </c>
      <c r="AB3163">
        <v>2</v>
      </c>
      <c r="AC3163">
        <v>1</v>
      </c>
      <c r="AD3163">
        <v>3.2969999300000001</v>
      </c>
      <c r="AE3163">
        <v>1</v>
      </c>
      <c r="AF3163">
        <v>44</v>
      </c>
      <c r="AG3163">
        <v>3.28900003</v>
      </c>
      <c r="AH3163">
        <v>4</v>
      </c>
      <c r="AI3163">
        <v>17</v>
      </c>
      <c r="AJ3163">
        <v>1</v>
      </c>
      <c r="AK3163">
        <v>19</v>
      </c>
      <c r="AL3163">
        <v>53</v>
      </c>
      <c r="AM3163" t="s">
        <v>43</v>
      </c>
      <c r="AN3163" t="str">
        <f>HYPERLINK("https://www.google.com/maps?q=10.77957058,79.61103058","Open Location")</f>
        <v>Open Location</v>
      </c>
    </row>
    <row r="3164" spans="1:40" x14ac:dyDescent="0.3">
      <c r="A3164" s="1">
        <v>46210.633449074077</v>
      </c>
      <c r="B3164" t="s">
        <v>40</v>
      </c>
      <c r="C3164" t="s">
        <v>41</v>
      </c>
      <c r="D3164" s="1">
        <v>46210.636203703703</v>
      </c>
      <c r="E3164" t="s">
        <v>43</v>
      </c>
      <c r="F3164" t="s">
        <v>83</v>
      </c>
      <c r="G3164">
        <v>43</v>
      </c>
      <c r="H3164">
        <v>33118</v>
      </c>
      <c r="I3164" t="s">
        <v>1821</v>
      </c>
      <c r="J3164">
        <v>92</v>
      </c>
      <c r="K3164">
        <v>125</v>
      </c>
      <c r="L3164">
        <v>98</v>
      </c>
      <c r="M3164">
        <v>630.20001220999995</v>
      </c>
      <c r="N3164" t="s">
        <v>87</v>
      </c>
      <c r="O3164" t="s">
        <v>86</v>
      </c>
      <c r="P3164">
        <v>131</v>
      </c>
      <c r="Q3164">
        <v>6</v>
      </c>
      <c r="R3164">
        <v>67</v>
      </c>
      <c r="S3164">
        <v>1194</v>
      </c>
      <c r="T3164">
        <v>-40</v>
      </c>
      <c r="U3164">
        <v>53</v>
      </c>
      <c r="V3164">
        <v>580</v>
      </c>
      <c r="W3164">
        <v>34</v>
      </c>
      <c r="X3164">
        <v>34</v>
      </c>
      <c r="Y3164">
        <v>1</v>
      </c>
      <c r="Z3164">
        <v>8</v>
      </c>
      <c r="AA3164">
        <v>30</v>
      </c>
      <c r="AB3164">
        <v>2</v>
      </c>
      <c r="AC3164">
        <v>1</v>
      </c>
      <c r="AD3164">
        <v>3.2920000599999999</v>
      </c>
      <c r="AE3164">
        <v>1</v>
      </c>
      <c r="AF3164">
        <v>38</v>
      </c>
      <c r="AG3164">
        <v>3.2839999199999999</v>
      </c>
      <c r="AH3164">
        <v>4</v>
      </c>
      <c r="AI3164">
        <v>17</v>
      </c>
      <c r="AJ3164">
        <v>1</v>
      </c>
      <c r="AK3164">
        <v>19</v>
      </c>
      <c r="AL3164">
        <v>53</v>
      </c>
      <c r="AM3164" t="s">
        <v>43</v>
      </c>
      <c r="AN3164" t="str">
        <f>HYPERLINK("https://www.google.com/maps?q=10.77897835,79.61217499","Open Location")</f>
        <v>Open Location</v>
      </c>
    </row>
    <row r="3165" spans="1:40" x14ac:dyDescent="0.3">
      <c r="A3165" s="1">
        <v>46210.633333333331</v>
      </c>
      <c r="B3165" t="s">
        <v>40</v>
      </c>
      <c r="C3165" t="s">
        <v>41</v>
      </c>
      <c r="D3165" s="1">
        <v>46210.636018518519</v>
      </c>
      <c r="E3165" t="s">
        <v>42</v>
      </c>
      <c r="F3165" t="s">
        <v>83</v>
      </c>
      <c r="G3165">
        <v>42</v>
      </c>
      <c r="H3165" t="s">
        <v>43</v>
      </c>
      <c r="I3165" t="s">
        <v>1822</v>
      </c>
      <c r="J3165">
        <v>92</v>
      </c>
      <c r="K3165">
        <v>85</v>
      </c>
      <c r="L3165">
        <v>98</v>
      </c>
      <c r="M3165">
        <v>631.70001220999995</v>
      </c>
      <c r="N3165" t="s">
        <v>87</v>
      </c>
      <c r="O3165" t="s">
        <v>86</v>
      </c>
      <c r="P3165">
        <v>131</v>
      </c>
      <c r="Q3165">
        <v>6</v>
      </c>
      <c r="R3165">
        <v>48</v>
      </c>
      <c r="S3165">
        <v>1146</v>
      </c>
      <c r="T3165">
        <v>-40</v>
      </c>
      <c r="U3165">
        <v>53</v>
      </c>
      <c r="V3165">
        <v>400</v>
      </c>
      <c r="W3165" t="s">
        <v>43</v>
      </c>
      <c r="X3165" t="s">
        <v>43</v>
      </c>
      <c r="Y3165" t="s">
        <v>43</v>
      </c>
      <c r="Z3165" t="s">
        <v>43</v>
      </c>
      <c r="AA3165" t="s">
        <v>43</v>
      </c>
      <c r="AB3165" t="s">
        <v>43</v>
      </c>
      <c r="AC3165" t="s">
        <v>43</v>
      </c>
      <c r="AD3165" t="s">
        <v>43</v>
      </c>
      <c r="AE3165" t="s">
        <v>43</v>
      </c>
      <c r="AF3165" t="s">
        <v>43</v>
      </c>
      <c r="AG3165" t="s">
        <v>43</v>
      </c>
      <c r="AH3165" t="s">
        <v>43</v>
      </c>
      <c r="AI3165" t="s">
        <v>43</v>
      </c>
      <c r="AJ3165">
        <v>1</v>
      </c>
      <c r="AK3165">
        <v>19</v>
      </c>
      <c r="AL3165">
        <v>53</v>
      </c>
      <c r="AM3165" t="s">
        <v>43</v>
      </c>
      <c r="AN3165" t="str">
        <f>HYPERLINK("https://www.google.com/maps?q=10.77836132,79.61332703","Open Location")</f>
        <v>Open Location</v>
      </c>
    </row>
    <row r="3166" spans="1:40" x14ac:dyDescent="0.3">
      <c r="A3166" s="1">
        <v>46210.633217592593</v>
      </c>
      <c r="B3166" t="s">
        <v>40</v>
      </c>
      <c r="C3166" t="s">
        <v>41</v>
      </c>
      <c r="D3166" s="1">
        <v>46210.636180555557</v>
      </c>
      <c r="E3166" t="s">
        <v>43</v>
      </c>
      <c r="F3166" t="s">
        <v>83</v>
      </c>
      <c r="G3166">
        <v>40</v>
      </c>
      <c r="H3166">
        <v>33117</v>
      </c>
      <c r="I3166" t="s">
        <v>1823</v>
      </c>
      <c r="J3166">
        <v>92</v>
      </c>
      <c r="K3166">
        <v>142</v>
      </c>
      <c r="L3166">
        <v>98</v>
      </c>
      <c r="M3166">
        <v>629.70001220999995</v>
      </c>
      <c r="N3166" t="s">
        <v>87</v>
      </c>
      <c r="O3166" t="s">
        <v>86</v>
      </c>
      <c r="P3166">
        <v>131</v>
      </c>
      <c r="Q3166">
        <v>6</v>
      </c>
      <c r="R3166">
        <v>75</v>
      </c>
      <c r="S3166">
        <v>1104</v>
      </c>
      <c r="T3166">
        <v>-40</v>
      </c>
      <c r="U3166">
        <v>54</v>
      </c>
      <c r="V3166">
        <v>720</v>
      </c>
      <c r="W3166">
        <v>34</v>
      </c>
      <c r="X3166">
        <v>34</v>
      </c>
      <c r="Y3166">
        <v>1</v>
      </c>
      <c r="Z3166">
        <v>8</v>
      </c>
      <c r="AA3166">
        <v>30</v>
      </c>
      <c r="AB3166">
        <v>2</v>
      </c>
      <c r="AC3166">
        <v>1</v>
      </c>
      <c r="AD3166">
        <v>3.28800011</v>
      </c>
      <c r="AE3166">
        <v>1</v>
      </c>
      <c r="AF3166">
        <v>44</v>
      </c>
      <c r="AG3166">
        <v>3.2790000400000001</v>
      </c>
      <c r="AH3166">
        <v>4</v>
      </c>
      <c r="AI3166">
        <v>17</v>
      </c>
      <c r="AJ3166">
        <v>1</v>
      </c>
      <c r="AK3166">
        <v>19</v>
      </c>
      <c r="AL3166">
        <v>53</v>
      </c>
      <c r="AM3166" t="s">
        <v>43</v>
      </c>
      <c r="AN3166" t="str">
        <f>HYPERLINK("https://www.google.com/maps?q=10.77758217,79.61431885","Open Location")</f>
        <v>Open Location</v>
      </c>
    </row>
    <row r="3167" spans="1:40" x14ac:dyDescent="0.3">
      <c r="A3167" s="1">
        <v>46210.633101851854</v>
      </c>
      <c r="B3167" t="s">
        <v>40</v>
      </c>
      <c r="C3167" t="s">
        <v>41</v>
      </c>
      <c r="D3167" s="1">
        <v>46210.635763888888</v>
      </c>
      <c r="E3167" t="s">
        <v>42</v>
      </c>
      <c r="F3167" t="s">
        <v>83</v>
      </c>
      <c r="G3167">
        <v>38</v>
      </c>
      <c r="H3167">
        <v>33117</v>
      </c>
      <c r="I3167" t="s">
        <v>43</v>
      </c>
      <c r="J3167">
        <v>92</v>
      </c>
      <c r="K3167">
        <v>161</v>
      </c>
      <c r="L3167">
        <v>98</v>
      </c>
      <c r="M3167">
        <v>629</v>
      </c>
      <c r="N3167" t="s">
        <v>87</v>
      </c>
      <c r="O3167" t="s">
        <v>86</v>
      </c>
      <c r="P3167">
        <v>131</v>
      </c>
      <c r="Q3167">
        <v>6</v>
      </c>
      <c r="R3167">
        <v>74</v>
      </c>
      <c r="S3167">
        <v>1058</v>
      </c>
      <c r="T3167">
        <v>-40</v>
      </c>
      <c r="U3167">
        <v>53</v>
      </c>
      <c r="V3167">
        <v>840</v>
      </c>
      <c r="W3167">
        <v>34</v>
      </c>
      <c r="X3167">
        <v>34</v>
      </c>
      <c r="Y3167">
        <v>1</v>
      </c>
      <c r="Z3167">
        <v>8</v>
      </c>
      <c r="AA3167">
        <v>30</v>
      </c>
      <c r="AB3167">
        <v>2</v>
      </c>
      <c r="AC3167">
        <v>1</v>
      </c>
      <c r="AD3167">
        <v>3.28600001</v>
      </c>
      <c r="AE3167">
        <v>1</v>
      </c>
      <c r="AF3167">
        <v>44</v>
      </c>
      <c r="AG3167">
        <v>3.2750001000000002</v>
      </c>
      <c r="AH3167">
        <v>4</v>
      </c>
      <c r="AI3167">
        <v>17</v>
      </c>
      <c r="AJ3167">
        <v>1</v>
      </c>
      <c r="AK3167">
        <v>19</v>
      </c>
      <c r="AL3167">
        <v>53</v>
      </c>
      <c r="AM3167" t="s">
        <v>43</v>
      </c>
      <c r="AN3167" t="s">
        <v>43</v>
      </c>
    </row>
    <row r="3168" spans="1:40" x14ac:dyDescent="0.3">
      <c r="A3168" s="1">
        <v>46210.632986111108</v>
      </c>
      <c r="B3168" t="s">
        <v>40</v>
      </c>
      <c r="C3168" t="s">
        <v>41</v>
      </c>
      <c r="D3168" s="1">
        <v>46210.635833333334</v>
      </c>
      <c r="E3168" t="s">
        <v>42</v>
      </c>
      <c r="F3168" t="s">
        <v>83</v>
      </c>
      <c r="G3168">
        <v>36</v>
      </c>
      <c r="H3168">
        <v>33117</v>
      </c>
      <c r="I3168" t="s">
        <v>1824</v>
      </c>
      <c r="J3168">
        <v>92</v>
      </c>
      <c r="K3168">
        <v>237</v>
      </c>
      <c r="L3168">
        <v>98</v>
      </c>
      <c r="M3168">
        <v>626.09997558999999</v>
      </c>
      <c r="N3168" t="s">
        <v>87</v>
      </c>
      <c r="O3168" t="s">
        <v>86</v>
      </c>
      <c r="P3168">
        <v>130</v>
      </c>
      <c r="Q3168">
        <v>5</v>
      </c>
      <c r="R3168">
        <v>115</v>
      </c>
      <c r="S3168">
        <v>1632</v>
      </c>
      <c r="T3168">
        <v>-40</v>
      </c>
      <c r="U3168">
        <v>54</v>
      </c>
      <c r="V3168">
        <v>820</v>
      </c>
      <c r="W3168">
        <v>34</v>
      </c>
      <c r="X3168">
        <v>34</v>
      </c>
      <c r="Y3168">
        <v>1</v>
      </c>
      <c r="Z3168">
        <v>8</v>
      </c>
      <c r="AA3168">
        <v>30</v>
      </c>
      <c r="AB3168">
        <v>2</v>
      </c>
      <c r="AC3168">
        <v>1</v>
      </c>
      <c r="AD3168">
        <v>3.2750001000000002</v>
      </c>
      <c r="AE3168">
        <v>1</v>
      </c>
      <c r="AF3168">
        <v>44</v>
      </c>
      <c r="AG3168">
        <v>3.2609999200000002</v>
      </c>
      <c r="AH3168">
        <v>4</v>
      </c>
      <c r="AI3168">
        <v>17</v>
      </c>
      <c r="AJ3168">
        <v>1</v>
      </c>
      <c r="AK3168">
        <v>19</v>
      </c>
      <c r="AL3168">
        <v>53</v>
      </c>
      <c r="AM3168" t="s">
        <v>43</v>
      </c>
      <c r="AN3168" t="str">
        <f>HYPERLINK("https://www.google.com/maps?q=10.77684116,79.615242","Open Location")</f>
        <v>Open Location</v>
      </c>
    </row>
    <row r="3169" spans="1:40" x14ac:dyDescent="0.3">
      <c r="A3169" s="1">
        <v>46210.632870370369</v>
      </c>
      <c r="B3169" t="s">
        <v>40</v>
      </c>
      <c r="C3169" t="s">
        <v>41</v>
      </c>
      <c r="D3169" s="1">
        <v>46210.635763888888</v>
      </c>
      <c r="E3169" t="s">
        <v>42</v>
      </c>
      <c r="F3169" t="s">
        <v>83</v>
      </c>
      <c r="G3169">
        <v>36</v>
      </c>
      <c r="H3169">
        <v>33117</v>
      </c>
      <c r="I3169" t="s">
        <v>1825</v>
      </c>
      <c r="J3169">
        <v>92</v>
      </c>
      <c r="K3169">
        <v>206</v>
      </c>
      <c r="L3169">
        <v>98</v>
      </c>
      <c r="M3169">
        <v>627</v>
      </c>
      <c r="N3169" t="s">
        <v>87</v>
      </c>
      <c r="O3169" t="s">
        <v>86</v>
      </c>
      <c r="P3169">
        <v>130</v>
      </c>
      <c r="Q3169">
        <v>5</v>
      </c>
      <c r="R3169">
        <v>95</v>
      </c>
      <c r="S3169">
        <v>1598</v>
      </c>
      <c r="T3169">
        <v>-40</v>
      </c>
      <c r="U3169">
        <v>54</v>
      </c>
      <c r="V3169">
        <v>740</v>
      </c>
      <c r="W3169">
        <v>34</v>
      </c>
      <c r="X3169">
        <v>34</v>
      </c>
      <c r="Y3169">
        <v>1</v>
      </c>
      <c r="Z3169">
        <v>8</v>
      </c>
      <c r="AA3169">
        <v>30</v>
      </c>
      <c r="AB3169">
        <v>2</v>
      </c>
      <c r="AC3169">
        <v>1</v>
      </c>
      <c r="AD3169">
        <v>3.2780001200000002</v>
      </c>
      <c r="AE3169">
        <v>1</v>
      </c>
      <c r="AF3169">
        <v>38</v>
      </c>
      <c r="AG3169">
        <v>3.2660000299999998</v>
      </c>
      <c r="AH3169">
        <v>4</v>
      </c>
      <c r="AI3169">
        <v>17</v>
      </c>
      <c r="AJ3169">
        <v>1</v>
      </c>
      <c r="AK3169">
        <v>19</v>
      </c>
      <c r="AL3169">
        <v>53</v>
      </c>
      <c r="AM3169" t="s">
        <v>43</v>
      </c>
      <c r="AN3169" t="str">
        <f>HYPERLINK("https://www.google.com/maps?q=10.77654171,79.61630249","Open Location")</f>
        <v>Open Location</v>
      </c>
    </row>
    <row r="3170" spans="1:40" x14ac:dyDescent="0.3">
      <c r="A3170" s="1">
        <v>46210.632754629631</v>
      </c>
      <c r="B3170" t="s">
        <v>40</v>
      </c>
      <c r="C3170" t="s">
        <v>41</v>
      </c>
      <c r="D3170" s="1">
        <v>46210.635763888888</v>
      </c>
      <c r="E3170" t="s">
        <v>43</v>
      </c>
      <c r="F3170" t="s">
        <v>83</v>
      </c>
      <c r="G3170">
        <v>31</v>
      </c>
      <c r="H3170">
        <v>33117</v>
      </c>
      <c r="I3170" t="s">
        <v>1826</v>
      </c>
      <c r="J3170">
        <v>92</v>
      </c>
      <c r="K3170">
        <v>181</v>
      </c>
      <c r="L3170">
        <v>98</v>
      </c>
      <c r="M3170">
        <v>627.79998779000005</v>
      </c>
      <c r="N3170" t="s">
        <v>87</v>
      </c>
      <c r="O3170" t="s">
        <v>86</v>
      </c>
      <c r="P3170">
        <v>130</v>
      </c>
      <c r="Q3170">
        <v>5</v>
      </c>
      <c r="R3170">
        <v>123</v>
      </c>
      <c r="S3170">
        <v>1398</v>
      </c>
      <c r="T3170">
        <v>-40</v>
      </c>
      <c r="U3170">
        <v>54</v>
      </c>
      <c r="V3170">
        <v>720</v>
      </c>
      <c r="W3170">
        <v>34</v>
      </c>
      <c r="X3170">
        <v>34</v>
      </c>
      <c r="Y3170">
        <v>1</v>
      </c>
      <c r="Z3170">
        <v>8</v>
      </c>
      <c r="AA3170">
        <v>30</v>
      </c>
      <c r="AB3170">
        <v>2</v>
      </c>
      <c r="AC3170">
        <v>1</v>
      </c>
      <c r="AD3170">
        <v>3.2839999199999999</v>
      </c>
      <c r="AE3170">
        <v>1</v>
      </c>
      <c r="AF3170">
        <v>44</v>
      </c>
      <c r="AG3170">
        <v>3.2730000000000001</v>
      </c>
      <c r="AH3170">
        <v>4</v>
      </c>
      <c r="AI3170">
        <v>17</v>
      </c>
      <c r="AJ3170">
        <v>1</v>
      </c>
      <c r="AK3170">
        <v>19</v>
      </c>
      <c r="AL3170">
        <v>53</v>
      </c>
      <c r="AM3170" t="s">
        <v>43</v>
      </c>
      <c r="AN3170" t="str">
        <f>HYPERLINK("https://www.google.com/maps?q=10.77617359,79.61727905","Open Location")</f>
        <v>Open Location</v>
      </c>
    </row>
    <row r="3171" spans="1:40" x14ac:dyDescent="0.3">
      <c r="A3171" s="1">
        <v>46210.632638888892</v>
      </c>
      <c r="B3171" t="s">
        <v>40</v>
      </c>
      <c r="C3171" t="s">
        <v>41</v>
      </c>
      <c r="D3171" s="1">
        <v>46210.635324074072</v>
      </c>
      <c r="E3171" t="s">
        <v>42</v>
      </c>
      <c r="F3171" t="s">
        <v>83</v>
      </c>
      <c r="G3171">
        <v>28</v>
      </c>
      <c r="H3171">
        <v>33117</v>
      </c>
      <c r="I3171" t="s">
        <v>1827</v>
      </c>
      <c r="J3171">
        <v>92</v>
      </c>
      <c r="K3171">
        <v>164</v>
      </c>
      <c r="L3171">
        <v>98</v>
      </c>
      <c r="M3171">
        <v>629.29998779000005</v>
      </c>
      <c r="N3171" t="s">
        <v>87</v>
      </c>
      <c r="O3171" t="s">
        <v>86</v>
      </c>
      <c r="P3171">
        <v>130</v>
      </c>
      <c r="Q3171">
        <v>5</v>
      </c>
      <c r="R3171">
        <v>104</v>
      </c>
      <c r="S3171">
        <v>1285</v>
      </c>
      <c r="T3171">
        <v>-40</v>
      </c>
      <c r="U3171">
        <v>54</v>
      </c>
      <c r="V3171">
        <v>780</v>
      </c>
      <c r="W3171" t="s">
        <v>43</v>
      </c>
      <c r="X3171" t="s">
        <v>43</v>
      </c>
      <c r="Y3171" t="s">
        <v>43</v>
      </c>
      <c r="Z3171" t="s">
        <v>43</v>
      </c>
      <c r="AA3171" t="s">
        <v>43</v>
      </c>
      <c r="AB3171" t="s">
        <v>43</v>
      </c>
      <c r="AC3171" t="s">
        <v>43</v>
      </c>
      <c r="AD3171" t="s">
        <v>43</v>
      </c>
      <c r="AE3171" t="s">
        <v>43</v>
      </c>
      <c r="AF3171" t="s">
        <v>43</v>
      </c>
      <c r="AG3171" t="s">
        <v>43</v>
      </c>
      <c r="AH3171" t="s">
        <v>43</v>
      </c>
      <c r="AI3171" t="s">
        <v>43</v>
      </c>
      <c r="AJ3171">
        <v>1</v>
      </c>
      <c r="AK3171">
        <v>19</v>
      </c>
      <c r="AL3171">
        <v>53</v>
      </c>
      <c r="AM3171" t="s">
        <v>43</v>
      </c>
      <c r="AN3171" t="str">
        <f>HYPERLINK("https://www.google.com/maps?q=10.77629566,79.61817169","Open Location")</f>
        <v>Open Location</v>
      </c>
    </row>
    <row r="3172" spans="1:40" x14ac:dyDescent="0.3">
      <c r="A3172" s="1">
        <v>46210.632523148146</v>
      </c>
      <c r="B3172" t="s">
        <v>40</v>
      </c>
      <c r="C3172" t="s">
        <v>41</v>
      </c>
      <c r="D3172" s="1">
        <v>46210.63521990741</v>
      </c>
      <c r="E3172" t="s">
        <v>43</v>
      </c>
      <c r="F3172" t="s">
        <v>83</v>
      </c>
      <c r="G3172">
        <v>22</v>
      </c>
      <c r="H3172">
        <v>33117</v>
      </c>
      <c r="I3172" t="s">
        <v>1828</v>
      </c>
      <c r="J3172">
        <v>93</v>
      </c>
      <c r="K3172">
        <v>288</v>
      </c>
      <c r="L3172">
        <v>98</v>
      </c>
      <c r="M3172">
        <v>625.5</v>
      </c>
      <c r="N3172" t="s">
        <v>87</v>
      </c>
      <c r="O3172" t="s">
        <v>86</v>
      </c>
      <c r="P3172">
        <v>129</v>
      </c>
      <c r="Q3172">
        <v>4</v>
      </c>
      <c r="R3172">
        <v>134</v>
      </c>
      <c r="S3172">
        <v>1400</v>
      </c>
      <c r="T3172">
        <v>-40</v>
      </c>
      <c r="U3172">
        <v>54</v>
      </c>
      <c r="V3172">
        <v>1170</v>
      </c>
      <c r="W3172">
        <v>34</v>
      </c>
      <c r="X3172">
        <v>34</v>
      </c>
      <c r="Y3172">
        <v>1</v>
      </c>
      <c r="Z3172">
        <v>8</v>
      </c>
      <c r="AA3172">
        <v>30</v>
      </c>
      <c r="AB3172">
        <v>2</v>
      </c>
      <c r="AC3172">
        <v>1</v>
      </c>
      <c r="AD3172">
        <v>3.28900003</v>
      </c>
      <c r="AE3172">
        <v>1</v>
      </c>
      <c r="AF3172">
        <v>44</v>
      </c>
      <c r="AG3172">
        <v>3.2760000200000001</v>
      </c>
      <c r="AH3172">
        <v>4</v>
      </c>
      <c r="AI3172">
        <v>17</v>
      </c>
      <c r="AJ3172">
        <v>1</v>
      </c>
      <c r="AK3172">
        <v>19</v>
      </c>
      <c r="AL3172">
        <v>53</v>
      </c>
      <c r="AM3172" t="s">
        <v>43</v>
      </c>
      <c r="AN3172" t="str">
        <f>HYPERLINK("https://www.google.com/maps?q=10.77616882,79.61885071","Open Location")</f>
        <v>Open Location</v>
      </c>
    </row>
    <row r="3173" spans="1:40" x14ac:dyDescent="0.3">
      <c r="A3173" s="1">
        <v>46210.632407407407</v>
      </c>
      <c r="B3173" t="s">
        <v>40</v>
      </c>
      <c r="C3173" t="s">
        <v>41</v>
      </c>
      <c r="D3173" s="1">
        <v>46210.635138888887</v>
      </c>
      <c r="E3173" t="s">
        <v>42</v>
      </c>
      <c r="F3173" t="s">
        <v>83</v>
      </c>
      <c r="G3173">
        <v>8</v>
      </c>
      <c r="H3173">
        <v>33117</v>
      </c>
      <c r="I3173" t="s">
        <v>43</v>
      </c>
      <c r="J3173">
        <v>93</v>
      </c>
      <c r="K3173">
        <v>63</v>
      </c>
      <c r="L3173">
        <v>98</v>
      </c>
      <c r="M3173">
        <v>633.79998779000005</v>
      </c>
      <c r="N3173" t="s">
        <v>87</v>
      </c>
      <c r="O3173" t="s">
        <v>86</v>
      </c>
      <c r="P3173">
        <v>127</v>
      </c>
      <c r="Q3173">
        <v>3</v>
      </c>
      <c r="R3173">
        <v>159</v>
      </c>
      <c r="S3173">
        <v>926</v>
      </c>
      <c r="T3173">
        <v>-40</v>
      </c>
      <c r="U3173">
        <v>52</v>
      </c>
      <c r="V3173">
        <v>260</v>
      </c>
      <c r="W3173">
        <v>34</v>
      </c>
      <c r="X3173">
        <v>34</v>
      </c>
      <c r="Y3173">
        <v>1</v>
      </c>
      <c r="Z3173">
        <v>8</v>
      </c>
      <c r="AA3173">
        <v>30</v>
      </c>
      <c r="AB3173">
        <v>2</v>
      </c>
      <c r="AC3173">
        <v>1</v>
      </c>
      <c r="AD3173">
        <v>3.30900002</v>
      </c>
      <c r="AE3173">
        <v>1</v>
      </c>
      <c r="AF3173">
        <v>38</v>
      </c>
      <c r="AG3173">
        <v>3.2999999500000001</v>
      </c>
      <c r="AH3173">
        <v>6</v>
      </c>
      <c r="AI3173">
        <v>17</v>
      </c>
      <c r="AJ3173">
        <v>1</v>
      </c>
      <c r="AK3173">
        <v>21</v>
      </c>
      <c r="AL3173">
        <v>53</v>
      </c>
      <c r="AM3173" t="s">
        <v>43</v>
      </c>
      <c r="AN3173" t="s">
        <v>43</v>
      </c>
    </row>
    <row r="3174" spans="1:40" x14ac:dyDescent="0.3">
      <c r="A3174" s="1">
        <v>46210.632291666669</v>
      </c>
      <c r="B3174" t="s">
        <v>40</v>
      </c>
      <c r="C3174" t="s">
        <v>41</v>
      </c>
      <c r="D3174" s="1">
        <v>46210.635034722225</v>
      </c>
      <c r="E3174" t="s">
        <v>42</v>
      </c>
      <c r="F3174" t="s">
        <v>83</v>
      </c>
      <c r="G3174">
        <v>8</v>
      </c>
      <c r="H3174">
        <v>33117</v>
      </c>
      <c r="I3174" t="s">
        <v>1829</v>
      </c>
      <c r="J3174">
        <v>93</v>
      </c>
      <c r="K3174">
        <v>-91</v>
      </c>
      <c r="L3174">
        <v>98</v>
      </c>
      <c r="M3174">
        <v>638.20001220999995</v>
      </c>
      <c r="N3174" t="s">
        <v>87</v>
      </c>
      <c r="O3174" t="s">
        <v>86</v>
      </c>
      <c r="P3174">
        <v>131</v>
      </c>
      <c r="Q3174">
        <v>2</v>
      </c>
      <c r="R3174">
        <v>-13</v>
      </c>
      <c r="S3174">
        <v>728</v>
      </c>
      <c r="T3174">
        <v>-40</v>
      </c>
      <c r="U3174">
        <v>53</v>
      </c>
      <c r="V3174">
        <v>-870</v>
      </c>
      <c r="W3174">
        <v>34</v>
      </c>
      <c r="X3174">
        <v>34</v>
      </c>
      <c r="Y3174">
        <v>1</v>
      </c>
      <c r="Z3174">
        <v>8</v>
      </c>
      <c r="AA3174">
        <v>30</v>
      </c>
      <c r="AB3174">
        <v>2</v>
      </c>
      <c r="AC3174">
        <v>1</v>
      </c>
      <c r="AD3174">
        <v>3.3059999900000001</v>
      </c>
      <c r="AE3174">
        <v>1</v>
      </c>
      <c r="AF3174">
        <v>41</v>
      </c>
      <c r="AG3174">
        <v>3.2969999300000001</v>
      </c>
      <c r="AH3174">
        <v>4</v>
      </c>
      <c r="AI3174">
        <v>17</v>
      </c>
      <c r="AJ3174">
        <v>1</v>
      </c>
      <c r="AK3174">
        <v>21</v>
      </c>
      <c r="AL3174">
        <v>53</v>
      </c>
      <c r="AM3174" t="s">
        <v>43</v>
      </c>
      <c r="AN3174" t="str">
        <f>HYPERLINK("https://www.google.com/maps?q=10.77609539,79.61908722","Open Location")</f>
        <v>Open Location</v>
      </c>
    </row>
    <row r="3175" spans="1:40" x14ac:dyDescent="0.3">
      <c r="A3175" s="1">
        <v>46210.632175925923</v>
      </c>
      <c r="B3175" t="s">
        <v>40</v>
      </c>
      <c r="C3175" t="s">
        <v>41</v>
      </c>
      <c r="D3175" s="1">
        <v>46210.63490740741</v>
      </c>
      <c r="E3175" t="s">
        <v>42</v>
      </c>
      <c r="F3175" t="s">
        <v>83</v>
      </c>
      <c r="G3175">
        <v>40</v>
      </c>
      <c r="H3175" t="s">
        <v>43</v>
      </c>
      <c r="I3175" t="s">
        <v>1830</v>
      </c>
      <c r="J3175">
        <v>93</v>
      </c>
      <c r="K3175">
        <v>27</v>
      </c>
      <c r="L3175">
        <v>98</v>
      </c>
      <c r="M3175">
        <v>634.29998779000005</v>
      </c>
      <c r="N3175" t="s">
        <v>87</v>
      </c>
      <c r="O3175" t="s">
        <v>86</v>
      </c>
      <c r="P3175">
        <v>131</v>
      </c>
      <c r="Q3175">
        <v>6</v>
      </c>
      <c r="R3175">
        <v>2</v>
      </c>
      <c r="S3175">
        <v>1110</v>
      </c>
      <c r="T3175">
        <v>-40</v>
      </c>
      <c r="U3175">
        <v>52</v>
      </c>
      <c r="V3175">
        <v>92</v>
      </c>
      <c r="W3175">
        <v>34</v>
      </c>
      <c r="X3175">
        <v>34</v>
      </c>
      <c r="Y3175">
        <v>1</v>
      </c>
      <c r="Z3175">
        <v>8</v>
      </c>
      <c r="AA3175">
        <v>30</v>
      </c>
      <c r="AB3175">
        <v>2</v>
      </c>
      <c r="AC3175">
        <v>1</v>
      </c>
      <c r="AD3175">
        <v>3.3250000499999999</v>
      </c>
      <c r="AE3175">
        <v>1</v>
      </c>
      <c r="AF3175">
        <v>41</v>
      </c>
      <c r="AG3175">
        <v>3.3190000099999999</v>
      </c>
      <c r="AH3175">
        <v>8</v>
      </c>
      <c r="AI3175">
        <v>1</v>
      </c>
      <c r="AJ3175">
        <v>1</v>
      </c>
      <c r="AK3175">
        <v>19</v>
      </c>
      <c r="AL3175">
        <v>53</v>
      </c>
      <c r="AM3175" t="s">
        <v>43</v>
      </c>
      <c r="AN3175" t="str">
        <f>HYPERLINK("https://www.google.com/maps?q=10.7758913,79.61968231","Open Location")</f>
        <v>Open Location</v>
      </c>
    </row>
    <row r="3176" spans="1:40" x14ac:dyDescent="0.3">
      <c r="A3176" s="1">
        <v>46210.632060185184</v>
      </c>
      <c r="B3176" t="s">
        <v>40</v>
      </c>
      <c r="C3176" t="s">
        <v>41</v>
      </c>
      <c r="D3176" s="1">
        <v>46210.63490740741</v>
      </c>
      <c r="E3176" t="s">
        <v>42</v>
      </c>
      <c r="F3176" t="s">
        <v>83</v>
      </c>
      <c r="G3176">
        <v>39</v>
      </c>
      <c r="H3176">
        <v>33117</v>
      </c>
      <c r="I3176" t="s">
        <v>1831</v>
      </c>
      <c r="J3176">
        <v>93</v>
      </c>
      <c r="K3176">
        <v>155</v>
      </c>
      <c r="L3176">
        <v>98</v>
      </c>
      <c r="M3176">
        <v>630.20001220999995</v>
      </c>
      <c r="N3176" t="s">
        <v>87</v>
      </c>
      <c r="O3176" t="s">
        <v>86</v>
      </c>
      <c r="P3176">
        <v>131</v>
      </c>
      <c r="Q3176">
        <v>6</v>
      </c>
      <c r="R3176">
        <v>91</v>
      </c>
      <c r="S3176">
        <v>1093</v>
      </c>
      <c r="T3176">
        <v>-40</v>
      </c>
      <c r="U3176">
        <v>53</v>
      </c>
      <c r="V3176">
        <v>800</v>
      </c>
      <c r="W3176">
        <v>34</v>
      </c>
      <c r="X3176">
        <v>34</v>
      </c>
      <c r="Y3176">
        <v>1</v>
      </c>
      <c r="Z3176">
        <v>8</v>
      </c>
      <c r="AA3176">
        <v>30</v>
      </c>
      <c r="AB3176">
        <v>2</v>
      </c>
      <c r="AC3176">
        <v>1</v>
      </c>
      <c r="AD3176">
        <v>3.2990000199999998</v>
      </c>
      <c r="AE3176">
        <v>1</v>
      </c>
      <c r="AF3176">
        <v>42</v>
      </c>
      <c r="AG3176">
        <v>3.2909998900000001</v>
      </c>
      <c r="AH3176">
        <v>4</v>
      </c>
      <c r="AI3176">
        <v>17</v>
      </c>
      <c r="AJ3176">
        <v>1</v>
      </c>
      <c r="AK3176">
        <v>19</v>
      </c>
      <c r="AL3176">
        <v>53</v>
      </c>
      <c r="AM3176" t="s">
        <v>43</v>
      </c>
      <c r="AN3176" t="str">
        <f>HYPERLINK("https://www.google.com/maps?q=10.77528763,79.62072754","Open Location")</f>
        <v>Open Location</v>
      </c>
    </row>
    <row r="3177" spans="1:40" x14ac:dyDescent="0.3">
      <c r="A3177" s="1">
        <v>46210.631944444445</v>
      </c>
      <c r="B3177" t="s">
        <v>40</v>
      </c>
      <c r="C3177" t="s">
        <v>41</v>
      </c>
      <c r="D3177" s="1">
        <v>46210.634641203702</v>
      </c>
      <c r="E3177" t="s">
        <v>42</v>
      </c>
      <c r="F3177" t="s">
        <v>83</v>
      </c>
      <c r="G3177">
        <v>39</v>
      </c>
      <c r="H3177">
        <v>33117</v>
      </c>
      <c r="I3177" t="s">
        <v>1832</v>
      </c>
      <c r="J3177">
        <v>93</v>
      </c>
      <c r="K3177">
        <v>98</v>
      </c>
      <c r="L3177">
        <v>98</v>
      </c>
      <c r="M3177">
        <v>631.59997558999999</v>
      </c>
      <c r="N3177" t="s">
        <v>87</v>
      </c>
      <c r="O3177" t="s">
        <v>86</v>
      </c>
      <c r="P3177">
        <v>131</v>
      </c>
      <c r="Q3177">
        <v>6</v>
      </c>
      <c r="R3177">
        <v>-35</v>
      </c>
      <c r="S3177">
        <v>1115</v>
      </c>
      <c r="T3177">
        <v>-40</v>
      </c>
      <c r="U3177">
        <v>52</v>
      </c>
      <c r="V3177">
        <v>465</v>
      </c>
      <c r="W3177">
        <v>34</v>
      </c>
      <c r="X3177">
        <v>34</v>
      </c>
      <c r="Y3177">
        <v>1</v>
      </c>
      <c r="Z3177">
        <v>8</v>
      </c>
      <c r="AA3177">
        <v>30</v>
      </c>
      <c r="AB3177">
        <v>2</v>
      </c>
      <c r="AC3177">
        <v>1</v>
      </c>
      <c r="AD3177">
        <v>3.2980000999999999</v>
      </c>
      <c r="AE3177">
        <v>1</v>
      </c>
      <c r="AF3177">
        <v>42</v>
      </c>
      <c r="AG3177">
        <v>3.2899999599999998</v>
      </c>
      <c r="AH3177">
        <v>4</v>
      </c>
      <c r="AI3177">
        <v>17</v>
      </c>
      <c r="AJ3177">
        <v>1</v>
      </c>
      <c r="AK3177">
        <v>19</v>
      </c>
      <c r="AL3177">
        <v>53</v>
      </c>
      <c r="AM3177" t="s">
        <v>43</v>
      </c>
      <c r="AN3177" t="str">
        <f>HYPERLINK("https://www.google.com/maps?q=10.77452278,79.6216507","Open Location")</f>
        <v>Open Location</v>
      </c>
    </row>
    <row r="3178" spans="1:40" x14ac:dyDescent="0.3">
      <c r="A3178" s="1">
        <v>46210.631828703707</v>
      </c>
      <c r="B3178" t="s">
        <v>40</v>
      </c>
      <c r="C3178" t="s">
        <v>41</v>
      </c>
      <c r="D3178" s="1">
        <v>46210.634583333333</v>
      </c>
      <c r="E3178" t="s">
        <v>43</v>
      </c>
      <c r="F3178" t="s">
        <v>83</v>
      </c>
      <c r="G3178">
        <v>39</v>
      </c>
      <c r="H3178">
        <v>33116</v>
      </c>
      <c r="I3178" t="s">
        <v>43</v>
      </c>
      <c r="J3178">
        <v>93</v>
      </c>
      <c r="K3178">
        <v>169</v>
      </c>
      <c r="L3178">
        <v>98</v>
      </c>
      <c r="M3178">
        <v>629</v>
      </c>
      <c r="N3178" t="s">
        <v>87</v>
      </c>
      <c r="O3178" t="s">
        <v>86</v>
      </c>
      <c r="P3178">
        <v>131</v>
      </c>
      <c r="Q3178">
        <v>6</v>
      </c>
      <c r="R3178">
        <v>80</v>
      </c>
      <c r="S3178">
        <v>1066</v>
      </c>
      <c r="T3178">
        <v>-40</v>
      </c>
      <c r="U3178">
        <v>53</v>
      </c>
      <c r="V3178">
        <v>920</v>
      </c>
      <c r="W3178">
        <v>34</v>
      </c>
      <c r="X3178">
        <v>34</v>
      </c>
      <c r="Y3178">
        <v>1</v>
      </c>
      <c r="Z3178">
        <v>8</v>
      </c>
      <c r="AA3178">
        <v>30</v>
      </c>
      <c r="AB3178">
        <v>2</v>
      </c>
      <c r="AC3178">
        <v>1</v>
      </c>
      <c r="AD3178">
        <v>3.2969999300000001</v>
      </c>
      <c r="AE3178">
        <v>1</v>
      </c>
      <c r="AF3178">
        <v>44</v>
      </c>
      <c r="AG3178">
        <v>3.28900003</v>
      </c>
      <c r="AH3178">
        <v>4</v>
      </c>
      <c r="AI3178">
        <v>17</v>
      </c>
      <c r="AJ3178">
        <v>1</v>
      </c>
      <c r="AK3178">
        <v>19</v>
      </c>
      <c r="AL3178">
        <v>53</v>
      </c>
      <c r="AM3178" t="s">
        <v>43</v>
      </c>
      <c r="AN3178" t="s">
        <v>43</v>
      </c>
    </row>
    <row r="3179" spans="1:40" x14ac:dyDescent="0.3">
      <c r="A3179" s="1">
        <v>46210.631712962961</v>
      </c>
      <c r="B3179" t="s">
        <v>40</v>
      </c>
      <c r="C3179" t="s">
        <v>41</v>
      </c>
      <c r="D3179" s="1">
        <v>46210.634583333333</v>
      </c>
      <c r="E3179" t="s">
        <v>42</v>
      </c>
      <c r="F3179" t="s">
        <v>83</v>
      </c>
      <c r="G3179">
        <v>41</v>
      </c>
      <c r="H3179">
        <v>33116</v>
      </c>
      <c r="I3179" t="s">
        <v>1833</v>
      </c>
      <c r="J3179">
        <v>93</v>
      </c>
      <c r="K3179">
        <v>101</v>
      </c>
      <c r="L3179">
        <v>98</v>
      </c>
      <c r="M3179">
        <v>631.5</v>
      </c>
      <c r="N3179" t="s">
        <v>87</v>
      </c>
      <c r="O3179" t="s">
        <v>86</v>
      </c>
      <c r="P3179">
        <v>131</v>
      </c>
      <c r="Q3179">
        <v>6</v>
      </c>
      <c r="R3179">
        <v>55</v>
      </c>
      <c r="S3179">
        <v>1144</v>
      </c>
      <c r="T3179">
        <v>-40</v>
      </c>
      <c r="U3179">
        <v>52</v>
      </c>
      <c r="V3179">
        <v>480</v>
      </c>
      <c r="W3179">
        <v>34</v>
      </c>
      <c r="X3179">
        <v>34</v>
      </c>
      <c r="Y3179">
        <v>1</v>
      </c>
      <c r="Z3179">
        <v>8</v>
      </c>
      <c r="AA3179">
        <v>30</v>
      </c>
      <c r="AB3179">
        <v>2</v>
      </c>
      <c r="AC3179">
        <v>1</v>
      </c>
      <c r="AD3179">
        <v>3.2939999100000001</v>
      </c>
      <c r="AE3179">
        <v>1</v>
      </c>
      <c r="AF3179">
        <v>42</v>
      </c>
      <c r="AG3179">
        <v>3.28500009</v>
      </c>
      <c r="AH3179">
        <v>4</v>
      </c>
      <c r="AI3179">
        <v>17</v>
      </c>
      <c r="AJ3179">
        <v>1</v>
      </c>
      <c r="AK3179">
        <v>19</v>
      </c>
      <c r="AL3179">
        <v>53</v>
      </c>
      <c r="AM3179" t="s">
        <v>43</v>
      </c>
      <c r="AN3179" t="str">
        <f>HYPERLINK("https://www.google.com/maps?q=10.77367401,79.62259674","Open Location")</f>
        <v>Open Location</v>
      </c>
    </row>
    <row r="3180" spans="1:40" x14ac:dyDescent="0.3">
      <c r="A3180" s="1">
        <v>46210.631597222222</v>
      </c>
      <c r="B3180" t="s">
        <v>40</v>
      </c>
      <c r="C3180" t="s">
        <v>41</v>
      </c>
      <c r="D3180" s="1">
        <v>46210.634548611109</v>
      </c>
      <c r="E3180" t="s">
        <v>42</v>
      </c>
      <c r="F3180" t="s">
        <v>83</v>
      </c>
      <c r="G3180">
        <v>41</v>
      </c>
      <c r="H3180">
        <v>33116</v>
      </c>
      <c r="I3180" t="s">
        <v>1834</v>
      </c>
      <c r="J3180">
        <v>93</v>
      </c>
      <c r="K3180">
        <v>116</v>
      </c>
      <c r="L3180">
        <v>98</v>
      </c>
      <c r="M3180">
        <v>630.59997558999999</v>
      </c>
      <c r="N3180" t="s">
        <v>87</v>
      </c>
      <c r="O3180" t="s">
        <v>86</v>
      </c>
      <c r="P3180">
        <v>131</v>
      </c>
      <c r="Q3180">
        <v>6</v>
      </c>
      <c r="R3180">
        <v>31</v>
      </c>
      <c r="S3180">
        <v>1145</v>
      </c>
      <c r="T3180">
        <v>-40</v>
      </c>
      <c r="U3180">
        <v>53</v>
      </c>
      <c r="V3180">
        <v>520</v>
      </c>
      <c r="W3180">
        <v>34</v>
      </c>
      <c r="X3180">
        <v>34</v>
      </c>
      <c r="Y3180">
        <v>1</v>
      </c>
      <c r="Z3180">
        <v>8</v>
      </c>
      <c r="AA3180">
        <v>30</v>
      </c>
      <c r="AB3180">
        <v>2</v>
      </c>
      <c r="AC3180">
        <v>1</v>
      </c>
      <c r="AD3180">
        <v>3.2969999300000001</v>
      </c>
      <c r="AE3180">
        <v>1</v>
      </c>
      <c r="AF3180">
        <v>41</v>
      </c>
      <c r="AG3180">
        <v>3.2899999599999998</v>
      </c>
      <c r="AH3180">
        <v>4</v>
      </c>
      <c r="AI3180">
        <v>17</v>
      </c>
      <c r="AJ3180">
        <v>1</v>
      </c>
      <c r="AK3180">
        <v>19</v>
      </c>
      <c r="AL3180">
        <v>53</v>
      </c>
      <c r="AM3180" t="s">
        <v>43</v>
      </c>
      <c r="AN3180" t="str">
        <f>HYPERLINK("https://www.google.com/maps?q=10.77273369,79.62342072","Open Location")</f>
        <v>Open Location</v>
      </c>
    </row>
    <row r="3181" spans="1:40" x14ac:dyDescent="0.3">
      <c r="A3181" s="1">
        <v>46210.631481481483</v>
      </c>
      <c r="B3181" t="s">
        <v>40</v>
      </c>
      <c r="C3181" t="s">
        <v>41</v>
      </c>
      <c r="D3181" s="1">
        <v>46210.634212962963</v>
      </c>
      <c r="E3181" t="s">
        <v>42</v>
      </c>
      <c r="F3181" t="s">
        <v>83</v>
      </c>
      <c r="G3181">
        <v>41</v>
      </c>
      <c r="H3181">
        <v>33116</v>
      </c>
      <c r="I3181" t="s">
        <v>1835</v>
      </c>
      <c r="J3181">
        <v>93</v>
      </c>
      <c r="K3181">
        <v>140</v>
      </c>
      <c r="L3181">
        <v>98</v>
      </c>
      <c r="M3181">
        <v>630</v>
      </c>
      <c r="N3181" t="s">
        <v>87</v>
      </c>
      <c r="O3181" t="s">
        <v>86</v>
      </c>
      <c r="P3181">
        <v>131</v>
      </c>
      <c r="Q3181">
        <v>6</v>
      </c>
      <c r="R3181">
        <v>71</v>
      </c>
      <c r="S3181">
        <v>1137</v>
      </c>
      <c r="T3181">
        <v>-40</v>
      </c>
      <c r="U3181">
        <v>53</v>
      </c>
      <c r="V3181">
        <v>600</v>
      </c>
      <c r="W3181">
        <v>34</v>
      </c>
      <c r="X3181">
        <v>34</v>
      </c>
      <c r="Y3181">
        <v>1</v>
      </c>
      <c r="Z3181">
        <v>8</v>
      </c>
      <c r="AA3181">
        <v>30</v>
      </c>
      <c r="AB3181">
        <v>2</v>
      </c>
      <c r="AC3181">
        <v>1</v>
      </c>
      <c r="AD3181">
        <v>3.2920000599999999</v>
      </c>
      <c r="AE3181">
        <v>1</v>
      </c>
      <c r="AF3181">
        <v>44</v>
      </c>
      <c r="AG3181">
        <v>3.28299999</v>
      </c>
      <c r="AH3181">
        <v>4</v>
      </c>
      <c r="AI3181">
        <v>17</v>
      </c>
      <c r="AJ3181">
        <v>1</v>
      </c>
      <c r="AK3181">
        <v>19</v>
      </c>
      <c r="AL3181">
        <v>53</v>
      </c>
      <c r="AM3181" t="s">
        <v>43</v>
      </c>
      <c r="AN3181" t="str">
        <f>HYPERLINK("https://www.google.com/maps?q=10.77189255,79.62435913","Open Location")</f>
        <v>Open Location</v>
      </c>
    </row>
    <row r="3182" spans="1:40" x14ac:dyDescent="0.3">
      <c r="A3182" s="1">
        <v>46210.631365740737</v>
      </c>
      <c r="B3182" t="s">
        <v>40</v>
      </c>
      <c r="C3182" t="s">
        <v>41</v>
      </c>
      <c r="D3182" s="1">
        <v>46210.634548611109</v>
      </c>
      <c r="E3182" t="s">
        <v>42</v>
      </c>
      <c r="F3182" t="s">
        <v>83</v>
      </c>
      <c r="G3182">
        <v>38</v>
      </c>
      <c r="H3182">
        <v>33116</v>
      </c>
      <c r="I3182" t="s">
        <v>1836</v>
      </c>
      <c r="J3182">
        <v>93</v>
      </c>
      <c r="K3182">
        <v>279</v>
      </c>
      <c r="L3182">
        <v>98</v>
      </c>
      <c r="M3182">
        <v>624.5</v>
      </c>
      <c r="N3182" t="s">
        <v>87</v>
      </c>
      <c r="O3182" t="s">
        <v>86</v>
      </c>
      <c r="P3182">
        <v>130</v>
      </c>
      <c r="Q3182">
        <v>5</v>
      </c>
      <c r="R3182">
        <v>101</v>
      </c>
      <c r="S3182">
        <v>1700</v>
      </c>
      <c r="T3182">
        <v>-40</v>
      </c>
      <c r="U3182">
        <v>54</v>
      </c>
      <c r="V3182">
        <v>920</v>
      </c>
      <c r="W3182">
        <v>34</v>
      </c>
      <c r="X3182">
        <v>34</v>
      </c>
      <c r="Y3182">
        <v>1</v>
      </c>
      <c r="Z3182">
        <v>8</v>
      </c>
      <c r="AA3182">
        <v>30</v>
      </c>
      <c r="AB3182">
        <v>2</v>
      </c>
      <c r="AC3182">
        <v>1</v>
      </c>
      <c r="AD3182">
        <v>3.2869999399999998</v>
      </c>
      <c r="AE3182">
        <v>1</v>
      </c>
      <c r="AF3182">
        <v>38</v>
      </c>
      <c r="AG3182">
        <v>3.2760000200000001</v>
      </c>
      <c r="AH3182">
        <v>4</v>
      </c>
      <c r="AI3182">
        <v>17</v>
      </c>
      <c r="AJ3182">
        <v>1</v>
      </c>
      <c r="AK3182">
        <v>19</v>
      </c>
      <c r="AL3182">
        <v>53</v>
      </c>
      <c r="AM3182" t="s">
        <v>43</v>
      </c>
      <c r="AN3182" t="str">
        <f>HYPERLINK("https://www.google.com/maps?q=10.77086639,79.62497711","Open Location")</f>
        <v>Open Location</v>
      </c>
    </row>
    <row r="3183" spans="1:40" x14ac:dyDescent="0.3">
      <c r="A3183" s="1">
        <v>46210.631249999999</v>
      </c>
      <c r="B3183" t="s">
        <v>40</v>
      </c>
      <c r="C3183" t="s">
        <v>41</v>
      </c>
      <c r="D3183" s="1">
        <v>46210.633946759262</v>
      </c>
      <c r="E3183" t="s">
        <v>42</v>
      </c>
      <c r="F3183" t="s">
        <v>83</v>
      </c>
      <c r="G3183">
        <v>34</v>
      </c>
      <c r="H3183">
        <v>33116</v>
      </c>
      <c r="I3183" t="s">
        <v>1837</v>
      </c>
      <c r="J3183">
        <v>93</v>
      </c>
      <c r="K3183">
        <v>166</v>
      </c>
      <c r="L3183">
        <v>98</v>
      </c>
      <c r="M3183">
        <v>629.90002441000001</v>
      </c>
      <c r="N3183" t="s">
        <v>87</v>
      </c>
      <c r="O3183" t="s">
        <v>86</v>
      </c>
      <c r="P3183">
        <v>130</v>
      </c>
      <c r="Q3183">
        <v>5</v>
      </c>
      <c r="R3183">
        <v>136</v>
      </c>
      <c r="S3183">
        <v>1559</v>
      </c>
      <c r="T3183">
        <v>-40</v>
      </c>
      <c r="U3183">
        <v>52</v>
      </c>
      <c r="V3183">
        <v>600</v>
      </c>
      <c r="W3183">
        <v>34</v>
      </c>
      <c r="X3183">
        <v>34</v>
      </c>
      <c r="Y3183">
        <v>1</v>
      </c>
      <c r="Z3183">
        <v>8</v>
      </c>
      <c r="AA3183">
        <v>30</v>
      </c>
      <c r="AB3183">
        <v>2</v>
      </c>
      <c r="AC3183">
        <v>1</v>
      </c>
      <c r="AD3183">
        <v>3.2730000000000001</v>
      </c>
      <c r="AE3183">
        <v>1</v>
      </c>
      <c r="AF3183">
        <v>38</v>
      </c>
      <c r="AG3183">
        <v>3.2569999699999999</v>
      </c>
      <c r="AH3183">
        <v>4</v>
      </c>
      <c r="AI3183">
        <v>17</v>
      </c>
      <c r="AJ3183">
        <v>1</v>
      </c>
      <c r="AK3183">
        <v>19</v>
      </c>
      <c r="AL3183">
        <v>53</v>
      </c>
      <c r="AM3183" t="s">
        <v>43</v>
      </c>
      <c r="AN3183" t="str">
        <f>HYPERLINK("https://www.google.com/maps?q=10.76990604,79.62547302","Open Location")</f>
        <v>Open Location</v>
      </c>
    </row>
    <row r="3184" spans="1:40" x14ac:dyDescent="0.3">
      <c r="A3184" s="1">
        <v>46210.63113425926</v>
      </c>
      <c r="B3184" t="s">
        <v>40</v>
      </c>
      <c r="C3184" t="s">
        <v>41</v>
      </c>
      <c r="D3184" s="1">
        <v>46210.633946759262</v>
      </c>
      <c r="E3184" t="s">
        <v>43</v>
      </c>
      <c r="F3184" t="s">
        <v>83</v>
      </c>
      <c r="G3184">
        <v>33</v>
      </c>
      <c r="H3184">
        <v>33116</v>
      </c>
      <c r="I3184" t="s">
        <v>43</v>
      </c>
      <c r="J3184">
        <v>93</v>
      </c>
      <c r="K3184">
        <v>-90</v>
      </c>
      <c r="L3184">
        <v>98</v>
      </c>
      <c r="M3184">
        <v>636.5</v>
      </c>
      <c r="N3184" t="s">
        <v>87</v>
      </c>
      <c r="O3184" t="s">
        <v>86</v>
      </c>
      <c r="P3184">
        <v>131</v>
      </c>
      <c r="Q3184">
        <v>6</v>
      </c>
      <c r="R3184">
        <v>-29</v>
      </c>
      <c r="S3184">
        <v>947</v>
      </c>
      <c r="T3184">
        <v>-40</v>
      </c>
      <c r="U3184">
        <v>52</v>
      </c>
      <c r="V3184">
        <v>-570</v>
      </c>
      <c r="W3184">
        <v>34</v>
      </c>
      <c r="X3184">
        <v>34</v>
      </c>
      <c r="Y3184">
        <v>1</v>
      </c>
      <c r="Z3184">
        <v>8</v>
      </c>
      <c r="AA3184">
        <v>30</v>
      </c>
      <c r="AB3184">
        <v>2</v>
      </c>
      <c r="AC3184">
        <v>1</v>
      </c>
      <c r="AD3184">
        <v>3.28800011</v>
      </c>
      <c r="AE3184">
        <v>1</v>
      </c>
      <c r="AF3184">
        <v>42</v>
      </c>
      <c r="AG3184">
        <v>3.2780001200000002</v>
      </c>
      <c r="AH3184">
        <v>4</v>
      </c>
      <c r="AI3184">
        <v>17</v>
      </c>
      <c r="AJ3184">
        <v>1</v>
      </c>
      <c r="AK3184">
        <v>21</v>
      </c>
      <c r="AL3184">
        <v>53</v>
      </c>
      <c r="AM3184" t="s">
        <v>43</v>
      </c>
      <c r="AN3184" t="s">
        <v>43</v>
      </c>
    </row>
    <row r="3185" spans="1:40" x14ac:dyDescent="0.3">
      <c r="A3185" s="1">
        <v>46210.631018518521</v>
      </c>
      <c r="B3185" t="s">
        <v>40</v>
      </c>
      <c r="C3185" t="s">
        <v>41</v>
      </c>
      <c r="D3185" s="1">
        <v>46210.633888888886</v>
      </c>
      <c r="E3185" t="s">
        <v>42</v>
      </c>
      <c r="F3185" t="s">
        <v>83</v>
      </c>
      <c r="G3185">
        <v>40</v>
      </c>
      <c r="H3185">
        <v>33116</v>
      </c>
      <c r="I3185" t="s">
        <v>1838</v>
      </c>
      <c r="J3185">
        <v>93</v>
      </c>
      <c r="K3185">
        <v>325</v>
      </c>
      <c r="L3185">
        <v>98</v>
      </c>
      <c r="M3185">
        <v>625.09997558999999</v>
      </c>
      <c r="N3185" t="s">
        <v>87</v>
      </c>
      <c r="O3185" t="s">
        <v>86</v>
      </c>
      <c r="P3185">
        <v>130</v>
      </c>
      <c r="Q3185">
        <v>6</v>
      </c>
      <c r="R3185">
        <v>0</v>
      </c>
      <c r="S3185">
        <v>1751</v>
      </c>
      <c r="T3185">
        <v>-40</v>
      </c>
      <c r="U3185">
        <v>55</v>
      </c>
      <c r="V3185">
        <v>1053</v>
      </c>
      <c r="W3185">
        <v>34</v>
      </c>
      <c r="X3185">
        <v>34</v>
      </c>
      <c r="Y3185">
        <v>1</v>
      </c>
      <c r="Z3185">
        <v>8</v>
      </c>
      <c r="AA3185">
        <v>30</v>
      </c>
      <c r="AB3185">
        <v>2</v>
      </c>
      <c r="AC3185">
        <v>1</v>
      </c>
      <c r="AD3185">
        <v>3.3250000499999999</v>
      </c>
      <c r="AE3185">
        <v>1</v>
      </c>
      <c r="AF3185">
        <v>5</v>
      </c>
      <c r="AG3185">
        <v>3.3220000299999999</v>
      </c>
      <c r="AH3185">
        <v>2</v>
      </c>
      <c r="AI3185">
        <v>27</v>
      </c>
      <c r="AJ3185">
        <v>1</v>
      </c>
      <c r="AK3185">
        <v>21</v>
      </c>
      <c r="AL3185">
        <v>53</v>
      </c>
      <c r="AM3185" t="s">
        <v>43</v>
      </c>
      <c r="AN3185" t="str">
        <f>HYPERLINK("https://www.google.com/maps?q=10.76918125,79.62614441","Open Location")</f>
        <v>Open Location</v>
      </c>
    </row>
    <row r="3186" spans="1:40" x14ac:dyDescent="0.3">
      <c r="A3186" s="1">
        <v>46210.630902777775</v>
      </c>
      <c r="B3186" t="s">
        <v>40</v>
      </c>
      <c r="C3186" t="s">
        <v>41</v>
      </c>
      <c r="D3186" s="1">
        <v>46210.633657407408</v>
      </c>
      <c r="E3186" t="s">
        <v>42</v>
      </c>
      <c r="F3186" t="s">
        <v>83</v>
      </c>
      <c r="G3186">
        <v>34</v>
      </c>
      <c r="H3186">
        <v>33116</v>
      </c>
      <c r="I3186" t="s">
        <v>1839</v>
      </c>
      <c r="J3186">
        <v>94</v>
      </c>
      <c r="K3186">
        <v>236</v>
      </c>
      <c r="L3186">
        <v>98</v>
      </c>
      <c r="M3186">
        <v>627.79998779000005</v>
      </c>
      <c r="N3186" t="s">
        <v>87</v>
      </c>
      <c r="O3186" t="s">
        <v>86</v>
      </c>
      <c r="P3186">
        <v>130</v>
      </c>
      <c r="Q3186">
        <v>5</v>
      </c>
      <c r="R3186">
        <v>177</v>
      </c>
      <c r="S3186">
        <v>1518</v>
      </c>
      <c r="T3186">
        <v>-40</v>
      </c>
      <c r="U3186">
        <v>52</v>
      </c>
      <c r="V3186">
        <v>840</v>
      </c>
      <c r="W3186">
        <v>34</v>
      </c>
      <c r="X3186">
        <v>34</v>
      </c>
      <c r="Y3186">
        <v>1</v>
      </c>
      <c r="Z3186">
        <v>8</v>
      </c>
      <c r="AA3186">
        <v>30</v>
      </c>
      <c r="AB3186">
        <v>2</v>
      </c>
      <c r="AC3186">
        <v>1</v>
      </c>
      <c r="AD3186">
        <v>3.2730000000000001</v>
      </c>
      <c r="AE3186">
        <v>1</v>
      </c>
      <c r="AF3186">
        <v>42</v>
      </c>
      <c r="AG3186">
        <v>3.25900006</v>
      </c>
      <c r="AH3186">
        <v>4</v>
      </c>
      <c r="AI3186">
        <v>17</v>
      </c>
      <c r="AJ3186">
        <v>1</v>
      </c>
      <c r="AK3186">
        <v>20</v>
      </c>
      <c r="AL3186">
        <v>53</v>
      </c>
      <c r="AM3186" t="s">
        <v>43</v>
      </c>
      <c r="AN3186" t="str">
        <f>HYPERLINK("https://www.google.com/maps?q=10.7682209,79.62697601","Open Location")</f>
        <v>Open Location</v>
      </c>
    </row>
    <row r="3187" spans="1:40" x14ac:dyDescent="0.3">
      <c r="A3187" s="1">
        <v>46210.630787037036</v>
      </c>
      <c r="B3187" t="s">
        <v>40</v>
      </c>
      <c r="C3187" t="s">
        <v>41</v>
      </c>
      <c r="D3187" s="1">
        <v>46210.633611111109</v>
      </c>
      <c r="E3187" t="s">
        <v>42</v>
      </c>
      <c r="F3187" t="s">
        <v>83</v>
      </c>
      <c r="G3187">
        <v>39</v>
      </c>
      <c r="H3187">
        <v>33115</v>
      </c>
      <c r="I3187" t="s">
        <v>1840</v>
      </c>
      <c r="J3187">
        <v>94</v>
      </c>
      <c r="K3187">
        <v>-43</v>
      </c>
      <c r="L3187">
        <v>98</v>
      </c>
      <c r="M3187">
        <v>637.59997558999999</v>
      </c>
      <c r="N3187" t="s">
        <v>87</v>
      </c>
      <c r="O3187" t="s">
        <v>86</v>
      </c>
      <c r="P3187">
        <v>131</v>
      </c>
      <c r="Q3187">
        <v>6</v>
      </c>
      <c r="R3187">
        <v>-34</v>
      </c>
      <c r="S3187">
        <v>1111</v>
      </c>
      <c r="T3187">
        <v>-40</v>
      </c>
      <c r="U3187">
        <v>50</v>
      </c>
      <c r="V3187">
        <v>-300</v>
      </c>
      <c r="W3187">
        <v>34</v>
      </c>
      <c r="X3187">
        <v>34</v>
      </c>
      <c r="Y3187">
        <v>1</v>
      </c>
      <c r="Z3187">
        <v>8</v>
      </c>
      <c r="AA3187">
        <v>30</v>
      </c>
      <c r="AB3187">
        <v>2</v>
      </c>
      <c r="AC3187">
        <v>1</v>
      </c>
      <c r="AD3187">
        <v>3.3199999299999998</v>
      </c>
      <c r="AE3187">
        <v>1</v>
      </c>
      <c r="AF3187">
        <v>37</v>
      </c>
      <c r="AG3187">
        <v>3.3169999099999998</v>
      </c>
      <c r="AH3187">
        <v>2</v>
      </c>
      <c r="AI3187">
        <v>48</v>
      </c>
      <c r="AJ3187">
        <v>1</v>
      </c>
      <c r="AK3187">
        <v>20</v>
      </c>
      <c r="AL3187">
        <v>53</v>
      </c>
      <c r="AM3187" t="s">
        <v>43</v>
      </c>
      <c r="AN3187" t="str">
        <f>HYPERLINK("https://www.google.com/maps?q=10.76764107,79.62785339","Open Location")</f>
        <v>Open Location</v>
      </c>
    </row>
    <row r="3188" spans="1:40" x14ac:dyDescent="0.3">
      <c r="A3188" s="1">
        <v>46210.630671296298</v>
      </c>
      <c r="B3188" t="s">
        <v>40</v>
      </c>
      <c r="C3188" t="s">
        <v>41</v>
      </c>
      <c r="D3188" s="1">
        <v>46210.633391203701</v>
      </c>
      <c r="E3188" t="s">
        <v>42</v>
      </c>
      <c r="F3188" t="s">
        <v>83</v>
      </c>
      <c r="G3188">
        <v>43</v>
      </c>
      <c r="H3188">
        <v>33115</v>
      </c>
      <c r="I3188" t="s">
        <v>1841</v>
      </c>
      <c r="J3188">
        <v>94</v>
      </c>
      <c r="K3188">
        <v>58</v>
      </c>
      <c r="L3188">
        <v>98</v>
      </c>
      <c r="M3188">
        <v>633.59997558999999</v>
      </c>
      <c r="N3188" t="s">
        <v>87</v>
      </c>
      <c r="O3188" t="s">
        <v>86</v>
      </c>
      <c r="P3188">
        <v>131</v>
      </c>
      <c r="Q3188">
        <v>6</v>
      </c>
      <c r="R3188">
        <v>14</v>
      </c>
      <c r="S3188">
        <v>1176</v>
      </c>
      <c r="T3188">
        <v>-40</v>
      </c>
      <c r="U3188">
        <v>50</v>
      </c>
      <c r="V3188">
        <v>200</v>
      </c>
      <c r="W3188">
        <v>34</v>
      </c>
      <c r="X3188">
        <v>34</v>
      </c>
      <c r="Y3188">
        <v>1</v>
      </c>
      <c r="Z3188">
        <v>8</v>
      </c>
      <c r="AA3188">
        <v>30</v>
      </c>
      <c r="AB3188">
        <v>2</v>
      </c>
      <c r="AC3188">
        <v>1</v>
      </c>
      <c r="AD3188">
        <v>3.3229999499999998</v>
      </c>
      <c r="AE3188">
        <v>1</v>
      </c>
      <c r="AF3188">
        <v>3</v>
      </c>
      <c r="AG3188">
        <v>3.31299996</v>
      </c>
      <c r="AH3188">
        <v>6</v>
      </c>
      <c r="AI3188">
        <v>17</v>
      </c>
      <c r="AJ3188">
        <v>1</v>
      </c>
      <c r="AK3188">
        <v>20</v>
      </c>
      <c r="AL3188">
        <v>53</v>
      </c>
      <c r="AM3188" t="s">
        <v>43</v>
      </c>
      <c r="AN3188" t="str">
        <f>HYPERLINK("https://www.google.com/maps?q=10.76682854,79.62882996","Open Location")</f>
        <v>Open Location</v>
      </c>
    </row>
    <row r="3189" spans="1:40" x14ac:dyDescent="0.3">
      <c r="A3189" s="1">
        <v>46210.630555555559</v>
      </c>
      <c r="B3189" t="s">
        <v>40</v>
      </c>
      <c r="C3189" t="s">
        <v>41</v>
      </c>
      <c r="D3189" s="1">
        <v>46210.633113425924</v>
      </c>
      <c r="E3189" t="s">
        <v>42</v>
      </c>
      <c r="F3189" t="s">
        <v>83</v>
      </c>
      <c r="G3189">
        <v>36</v>
      </c>
      <c r="H3189">
        <v>33115</v>
      </c>
      <c r="I3189" t="s">
        <v>1842</v>
      </c>
      <c r="J3189">
        <v>94</v>
      </c>
      <c r="K3189">
        <v>-4</v>
      </c>
      <c r="L3189">
        <v>98</v>
      </c>
      <c r="M3189">
        <v>634.20001220999995</v>
      </c>
      <c r="N3189" t="s">
        <v>87</v>
      </c>
      <c r="O3189" t="s">
        <v>86</v>
      </c>
      <c r="P3189">
        <v>130</v>
      </c>
      <c r="Q3189">
        <v>5</v>
      </c>
      <c r="R3189">
        <v>96</v>
      </c>
      <c r="S3189">
        <v>1535</v>
      </c>
      <c r="T3189">
        <v>-40</v>
      </c>
      <c r="U3189">
        <v>51</v>
      </c>
      <c r="V3189">
        <v>-44</v>
      </c>
      <c r="W3189">
        <v>34</v>
      </c>
      <c r="X3189">
        <v>34</v>
      </c>
      <c r="Y3189">
        <v>1</v>
      </c>
      <c r="Z3189">
        <v>8</v>
      </c>
      <c r="AA3189">
        <v>30</v>
      </c>
      <c r="AB3189">
        <v>2</v>
      </c>
      <c r="AC3189">
        <v>1</v>
      </c>
      <c r="AD3189">
        <v>3.3020000500000002</v>
      </c>
      <c r="AE3189">
        <v>1</v>
      </c>
      <c r="AF3189">
        <v>44</v>
      </c>
      <c r="AG3189">
        <v>3.2939999100000001</v>
      </c>
      <c r="AH3189">
        <v>4</v>
      </c>
      <c r="AI3189">
        <v>17</v>
      </c>
      <c r="AJ3189">
        <v>1</v>
      </c>
      <c r="AK3189">
        <v>19</v>
      </c>
      <c r="AL3189">
        <v>53</v>
      </c>
      <c r="AM3189" t="s">
        <v>43</v>
      </c>
      <c r="AN3189" t="str">
        <f>HYPERLINK("https://www.google.com/maps?q=10.76628494,79.62987518","Open Location")</f>
        <v>Open Location</v>
      </c>
    </row>
    <row r="3190" spans="1:40" x14ac:dyDescent="0.3">
      <c r="A3190" s="1">
        <v>46210.630439814813</v>
      </c>
      <c r="B3190" t="s">
        <v>40</v>
      </c>
      <c r="C3190" t="s">
        <v>41</v>
      </c>
      <c r="D3190" s="1">
        <v>46210.633252314816</v>
      </c>
      <c r="E3190" t="s">
        <v>42</v>
      </c>
      <c r="F3190" t="s">
        <v>83</v>
      </c>
      <c r="G3190">
        <v>24</v>
      </c>
      <c r="H3190">
        <v>33115</v>
      </c>
      <c r="I3190" t="s">
        <v>43</v>
      </c>
      <c r="J3190">
        <v>94</v>
      </c>
      <c r="K3190">
        <v>201</v>
      </c>
      <c r="L3190">
        <v>98</v>
      </c>
      <c r="M3190">
        <v>628.40002441000001</v>
      </c>
      <c r="N3190" t="s">
        <v>87</v>
      </c>
      <c r="O3190" t="s">
        <v>86</v>
      </c>
      <c r="P3190">
        <v>129</v>
      </c>
      <c r="Q3190">
        <v>5</v>
      </c>
      <c r="R3190">
        <v>26</v>
      </c>
      <c r="S3190">
        <v>1582</v>
      </c>
      <c r="T3190">
        <v>-40</v>
      </c>
      <c r="U3190">
        <v>53</v>
      </c>
      <c r="V3190">
        <v>680</v>
      </c>
      <c r="W3190">
        <v>34</v>
      </c>
      <c r="X3190">
        <v>34</v>
      </c>
      <c r="Y3190">
        <v>1</v>
      </c>
      <c r="Z3190">
        <v>8</v>
      </c>
      <c r="AA3190">
        <v>30</v>
      </c>
      <c r="AB3190">
        <v>2</v>
      </c>
      <c r="AC3190">
        <v>1</v>
      </c>
      <c r="AD3190">
        <v>3.3050000700000002</v>
      </c>
      <c r="AE3190">
        <v>1</v>
      </c>
      <c r="AF3190">
        <v>44</v>
      </c>
      <c r="AG3190">
        <v>3.2969999300000001</v>
      </c>
      <c r="AH3190">
        <v>4</v>
      </c>
      <c r="AI3190">
        <v>17</v>
      </c>
      <c r="AJ3190">
        <v>1</v>
      </c>
      <c r="AK3190">
        <v>20</v>
      </c>
      <c r="AL3190">
        <v>53</v>
      </c>
      <c r="AM3190" t="s">
        <v>43</v>
      </c>
      <c r="AN3190" t="s">
        <v>43</v>
      </c>
    </row>
    <row r="3191" spans="1:40" x14ac:dyDescent="0.3">
      <c r="A3191" s="1">
        <v>46210.630324074074</v>
      </c>
      <c r="B3191" t="s">
        <v>40</v>
      </c>
      <c r="C3191" t="s">
        <v>41</v>
      </c>
      <c r="D3191" s="1">
        <v>46210.633206018516</v>
      </c>
      <c r="E3191" t="s">
        <v>42</v>
      </c>
      <c r="F3191" t="s">
        <v>83</v>
      </c>
      <c r="G3191">
        <v>13</v>
      </c>
      <c r="H3191" t="s">
        <v>43</v>
      </c>
      <c r="I3191" t="s">
        <v>1843</v>
      </c>
      <c r="J3191">
        <v>94</v>
      </c>
      <c r="K3191">
        <v>164</v>
      </c>
      <c r="L3191">
        <v>98</v>
      </c>
      <c r="M3191">
        <v>630.09997558999999</v>
      </c>
      <c r="N3191" t="s">
        <v>87</v>
      </c>
      <c r="O3191" t="s">
        <v>86</v>
      </c>
      <c r="P3191">
        <v>128</v>
      </c>
      <c r="Q3191">
        <v>3</v>
      </c>
      <c r="R3191">
        <v>87</v>
      </c>
      <c r="S3191">
        <v>1322</v>
      </c>
      <c r="T3191">
        <v>-40</v>
      </c>
      <c r="U3191">
        <v>51</v>
      </c>
      <c r="V3191">
        <v>760</v>
      </c>
      <c r="W3191">
        <v>34</v>
      </c>
      <c r="X3191">
        <v>34</v>
      </c>
      <c r="Y3191">
        <v>1</v>
      </c>
      <c r="Z3191">
        <v>8</v>
      </c>
      <c r="AA3191">
        <v>30</v>
      </c>
      <c r="AB3191">
        <v>2</v>
      </c>
      <c r="AC3191">
        <v>1</v>
      </c>
      <c r="AD3191">
        <v>3.2820000600000001</v>
      </c>
      <c r="AE3191">
        <v>1</v>
      </c>
      <c r="AF3191">
        <v>38</v>
      </c>
      <c r="AG3191">
        <v>3.2699999800000001</v>
      </c>
      <c r="AH3191">
        <v>4</v>
      </c>
      <c r="AI3191">
        <v>17</v>
      </c>
      <c r="AJ3191">
        <v>1</v>
      </c>
      <c r="AK3191">
        <v>19</v>
      </c>
      <c r="AL3191">
        <v>53</v>
      </c>
      <c r="AM3191" t="s">
        <v>43</v>
      </c>
      <c r="AN3191" t="str">
        <f>HYPERLINK("https://www.google.com/maps?q=10.76590061,79.63049316","Open Location")</f>
        <v>Open Location</v>
      </c>
    </row>
    <row r="3192" spans="1:40" x14ac:dyDescent="0.3">
      <c r="A3192" s="1">
        <v>46210.630208333336</v>
      </c>
      <c r="B3192" t="s">
        <v>40</v>
      </c>
      <c r="C3192" t="s">
        <v>41</v>
      </c>
      <c r="D3192" s="1">
        <v>46210.633148148147</v>
      </c>
      <c r="E3192" t="s">
        <v>42</v>
      </c>
      <c r="F3192" t="s">
        <v>83</v>
      </c>
      <c r="G3192">
        <v>9</v>
      </c>
      <c r="H3192">
        <v>33115</v>
      </c>
      <c r="I3192" t="s">
        <v>1844</v>
      </c>
      <c r="J3192">
        <v>94</v>
      </c>
      <c r="K3192">
        <v>-30</v>
      </c>
      <c r="L3192">
        <v>98</v>
      </c>
      <c r="M3192">
        <v>637</v>
      </c>
      <c r="N3192" t="s">
        <v>87</v>
      </c>
      <c r="O3192" t="s">
        <v>86</v>
      </c>
      <c r="P3192">
        <v>129</v>
      </c>
      <c r="Q3192">
        <v>2</v>
      </c>
      <c r="R3192">
        <v>-38</v>
      </c>
      <c r="S3192">
        <v>933</v>
      </c>
      <c r="T3192">
        <v>-40</v>
      </c>
      <c r="U3192">
        <v>51</v>
      </c>
      <c r="V3192">
        <v>-112</v>
      </c>
      <c r="W3192">
        <v>34</v>
      </c>
      <c r="X3192">
        <v>34</v>
      </c>
      <c r="Y3192">
        <v>1</v>
      </c>
      <c r="Z3192">
        <v>8</v>
      </c>
      <c r="AA3192">
        <v>30</v>
      </c>
      <c r="AB3192">
        <v>2</v>
      </c>
      <c r="AC3192">
        <v>1</v>
      </c>
      <c r="AD3192">
        <v>3.31299996</v>
      </c>
      <c r="AE3192">
        <v>1</v>
      </c>
      <c r="AF3192">
        <v>44</v>
      </c>
      <c r="AG3192">
        <v>3.3059999900000001</v>
      </c>
      <c r="AH3192">
        <v>7</v>
      </c>
      <c r="AI3192">
        <v>1</v>
      </c>
      <c r="AJ3192">
        <v>1</v>
      </c>
      <c r="AK3192">
        <v>20</v>
      </c>
      <c r="AL3192">
        <v>52</v>
      </c>
      <c r="AM3192" t="s">
        <v>43</v>
      </c>
      <c r="AN3192" t="str">
        <f>HYPERLINK("https://www.google.com/maps?q=10.76557064,79.63061523","Open Location")</f>
        <v>Open Location</v>
      </c>
    </row>
    <row r="3193" spans="1:40" x14ac:dyDescent="0.3">
      <c r="A3193" s="1">
        <v>46210.63009259259</v>
      </c>
      <c r="B3193" t="s">
        <v>40</v>
      </c>
      <c r="C3193" t="s">
        <v>41</v>
      </c>
      <c r="D3193" s="1">
        <v>46210.632870370369</v>
      </c>
      <c r="E3193" t="s">
        <v>42</v>
      </c>
      <c r="F3193" t="s">
        <v>83</v>
      </c>
      <c r="G3193">
        <v>17</v>
      </c>
      <c r="H3193">
        <v>33115</v>
      </c>
      <c r="I3193" t="s">
        <v>1845</v>
      </c>
      <c r="J3193">
        <v>94</v>
      </c>
      <c r="K3193">
        <v>25</v>
      </c>
      <c r="L3193">
        <v>98</v>
      </c>
      <c r="M3193">
        <v>634.29998779000005</v>
      </c>
      <c r="N3193" t="s">
        <v>87</v>
      </c>
      <c r="O3193" t="s">
        <v>86</v>
      </c>
      <c r="P3193">
        <v>129</v>
      </c>
      <c r="Q3193">
        <v>4</v>
      </c>
      <c r="R3193">
        <v>10</v>
      </c>
      <c r="S3193">
        <v>1375</v>
      </c>
      <c r="T3193">
        <v>-40</v>
      </c>
      <c r="U3193">
        <v>50</v>
      </c>
      <c r="V3193">
        <v>80</v>
      </c>
      <c r="W3193">
        <v>34</v>
      </c>
      <c r="X3193">
        <v>34</v>
      </c>
      <c r="Y3193">
        <v>1</v>
      </c>
      <c r="Z3193">
        <v>8</v>
      </c>
      <c r="AA3193">
        <v>30</v>
      </c>
      <c r="AB3193">
        <v>2</v>
      </c>
      <c r="AC3193">
        <v>1</v>
      </c>
      <c r="AD3193">
        <v>3.3199999299999998</v>
      </c>
      <c r="AE3193">
        <v>1</v>
      </c>
      <c r="AF3193">
        <v>39</v>
      </c>
      <c r="AG3193">
        <v>3.31500006</v>
      </c>
      <c r="AH3193">
        <v>6</v>
      </c>
      <c r="AI3193">
        <v>1</v>
      </c>
      <c r="AJ3193">
        <v>1</v>
      </c>
      <c r="AK3193">
        <v>19</v>
      </c>
      <c r="AL3193">
        <v>52</v>
      </c>
      <c r="AM3193" t="s">
        <v>43</v>
      </c>
      <c r="AN3193" t="str">
        <f>HYPERLINK("https://www.google.com/maps?q=10.76512337,79.6306076","Open Location")</f>
        <v>Open Location</v>
      </c>
    </row>
    <row r="3194" spans="1:40" x14ac:dyDescent="0.3">
      <c r="A3194" s="1">
        <v>46210.629976851851</v>
      </c>
      <c r="B3194" t="s">
        <v>40</v>
      </c>
      <c r="C3194" t="s">
        <v>41</v>
      </c>
      <c r="D3194" s="1">
        <v>46210.6328125</v>
      </c>
      <c r="E3194" t="s">
        <v>42</v>
      </c>
      <c r="F3194" t="s">
        <v>83</v>
      </c>
      <c r="G3194">
        <v>16</v>
      </c>
      <c r="H3194">
        <v>33115</v>
      </c>
      <c r="I3194" t="s">
        <v>1846</v>
      </c>
      <c r="J3194">
        <v>94</v>
      </c>
      <c r="K3194">
        <v>161</v>
      </c>
      <c r="L3194">
        <v>98</v>
      </c>
      <c r="M3194">
        <v>628.09997558999999</v>
      </c>
      <c r="N3194" t="s">
        <v>87</v>
      </c>
      <c r="O3194" t="s">
        <v>86</v>
      </c>
      <c r="P3194">
        <v>129</v>
      </c>
      <c r="Q3194">
        <v>4</v>
      </c>
      <c r="R3194">
        <v>66</v>
      </c>
      <c r="S3194">
        <v>1119</v>
      </c>
      <c r="T3194">
        <v>-40</v>
      </c>
      <c r="U3194">
        <v>53</v>
      </c>
      <c r="V3194">
        <v>820</v>
      </c>
      <c r="W3194">
        <v>34</v>
      </c>
      <c r="X3194">
        <v>34</v>
      </c>
      <c r="Y3194">
        <v>1</v>
      </c>
      <c r="Z3194">
        <v>8</v>
      </c>
      <c r="AA3194">
        <v>30</v>
      </c>
      <c r="AB3194">
        <v>2</v>
      </c>
      <c r="AC3194">
        <v>1</v>
      </c>
      <c r="AD3194">
        <v>3.3029999700000001</v>
      </c>
      <c r="AE3194">
        <v>1</v>
      </c>
      <c r="AF3194">
        <v>41</v>
      </c>
      <c r="AG3194">
        <v>3.2969999300000001</v>
      </c>
      <c r="AH3194">
        <v>4</v>
      </c>
      <c r="AI3194">
        <v>17</v>
      </c>
      <c r="AJ3194">
        <v>1</v>
      </c>
      <c r="AK3194">
        <v>20</v>
      </c>
      <c r="AL3194">
        <v>52</v>
      </c>
      <c r="AM3194" t="s">
        <v>43</v>
      </c>
      <c r="AN3194" t="str">
        <f>HYPERLINK("https://www.google.com/maps?q=10.76459885,79.63059998","Open Location")</f>
        <v>Open Location</v>
      </c>
    </row>
    <row r="3195" spans="1:40" x14ac:dyDescent="0.3">
      <c r="A3195" s="1">
        <v>46210.629861111112</v>
      </c>
      <c r="B3195" t="s">
        <v>40</v>
      </c>
      <c r="C3195" t="s">
        <v>41</v>
      </c>
      <c r="D3195" s="1">
        <v>46210.632523148146</v>
      </c>
      <c r="E3195" t="s">
        <v>42</v>
      </c>
      <c r="F3195" t="s">
        <v>83</v>
      </c>
      <c r="G3195">
        <v>12</v>
      </c>
      <c r="H3195">
        <v>33115</v>
      </c>
      <c r="I3195" t="s">
        <v>43</v>
      </c>
      <c r="J3195">
        <v>94</v>
      </c>
      <c r="K3195">
        <v>223</v>
      </c>
      <c r="L3195">
        <v>98</v>
      </c>
      <c r="M3195">
        <v>626.40002441000001</v>
      </c>
      <c r="N3195" t="s">
        <v>87</v>
      </c>
      <c r="O3195" t="s">
        <v>86</v>
      </c>
      <c r="P3195">
        <v>128</v>
      </c>
      <c r="Q3195">
        <v>3</v>
      </c>
      <c r="R3195">
        <v>121</v>
      </c>
      <c r="S3195">
        <v>1391</v>
      </c>
      <c r="T3195">
        <v>-40</v>
      </c>
      <c r="U3195">
        <v>54</v>
      </c>
      <c r="V3195">
        <v>831</v>
      </c>
      <c r="W3195">
        <v>34</v>
      </c>
      <c r="X3195">
        <v>34</v>
      </c>
      <c r="Y3195">
        <v>1</v>
      </c>
      <c r="Z3195">
        <v>8</v>
      </c>
      <c r="AA3195">
        <v>30</v>
      </c>
      <c r="AB3195">
        <v>2</v>
      </c>
      <c r="AC3195">
        <v>1</v>
      </c>
      <c r="AD3195">
        <v>3.28900003</v>
      </c>
      <c r="AE3195">
        <v>1</v>
      </c>
      <c r="AF3195">
        <v>44</v>
      </c>
      <c r="AG3195">
        <v>3.2760000200000001</v>
      </c>
      <c r="AH3195">
        <v>4</v>
      </c>
      <c r="AI3195">
        <v>17</v>
      </c>
      <c r="AJ3195">
        <v>1</v>
      </c>
      <c r="AK3195">
        <v>19</v>
      </c>
      <c r="AL3195">
        <v>52</v>
      </c>
      <c r="AM3195" t="s">
        <v>43</v>
      </c>
      <c r="AN3195" t="s">
        <v>43</v>
      </c>
    </row>
    <row r="3196" spans="1:40" x14ac:dyDescent="0.3">
      <c r="A3196" s="1">
        <v>46210.629745370374</v>
      </c>
      <c r="B3196" t="s">
        <v>40</v>
      </c>
      <c r="C3196" t="s">
        <v>41</v>
      </c>
      <c r="D3196" s="1">
        <v>46210.632511574076</v>
      </c>
      <c r="E3196" t="s">
        <v>42</v>
      </c>
      <c r="F3196" t="s">
        <v>83</v>
      </c>
      <c r="G3196">
        <v>8</v>
      </c>
      <c r="H3196">
        <v>33115</v>
      </c>
      <c r="I3196" t="s">
        <v>1847</v>
      </c>
      <c r="J3196">
        <v>94</v>
      </c>
      <c r="K3196">
        <v>160</v>
      </c>
      <c r="L3196">
        <v>98</v>
      </c>
      <c r="M3196">
        <v>630.79998779000005</v>
      </c>
      <c r="N3196" t="s">
        <v>87</v>
      </c>
      <c r="O3196" t="s">
        <v>86</v>
      </c>
      <c r="P3196">
        <v>127</v>
      </c>
      <c r="Q3196">
        <v>3</v>
      </c>
      <c r="R3196">
        <v>16</v>
      </c>
      <c r="S3196">
        <v>1454</v>
      </c>
      <c r="T3196">
        <v>-40</v>
      </c>
      <c r="U3196">
        <v>52</v>
      </c>
      <c r="V3196">
        <v>530</v>
      </c>
      <c r="W3196">
        <v>34</v>
      </c>
      <c r="X3196">
        <v>34</v>
      </c>
      <c r="Y3196">
        <v>1</v>
      </c>
      <c r="Z3196">
        <v>8</v>
      </c>
      <c r="AA3196">
        <v>30</v>
      </c>
      <c r="AB3196">
        <v>2</v>
      </c>
      <c r="AC3196">
        <v>1</v>
      </c>
      <c r="AD3196">
        <v>3.28299999</v>
      </c>
      <c r="AE3196">
        <v>1</v>
      </c>
      <c r="AF3196">
        <v>38</v>
      </c>
      <c r="AG3196">
        <v>3.2690000499999998</v>
      </c>
      <c r="AH3196">
        <v>4</v>
      </c>
      <c r="AI3196">
        <v>17</v>
      </c>
      <c r="AJ3196">
        <v>1</v>
      </c>
      <c r="AK3196">
        <v>21</v>
      </c>
      <c r="AL3196">
        <v>52</v>
      </c>
      <c r="AM3196" t="s">
        <v>43</v>
      </c>
      <c r="AN3196" t="str">
        <f>HYPERLINK("https://www.google.com/maps?q=10.76419926,79.63059998","Open Location")</f>
        <v>Open Location</v>
      </c>
    </row>
    <row r="3197" spans="1:40" x14ac:dyDescent="0.3">
      <c r="A3197" s="1">
        <v>46210.629629629628</v>
      </c>
      <c r="B3197" t="s">
        <v>40</v>
      </c>
      <c r="C3197" t="s">
        <v>41</v>
      </c>
      <c r="D3197" s="1">
        <v>46210.632303240738</v>
      </c>
      <c r="E3197" t="s">
        <v>42</v>
      </c>
      <c r="F3197" t="s">
        <v>83</v>
      </c>
      <c r="G3197">
        <v>16</v>
      </c>
      <c r="H3197">
        <v>33115</v>
      </c>
      <c r="I3197" t="s">
        <v>1848</v>
      </c>
      <c r="J3197">
        <v>94</v>
      </c>
      <c r="K3197">
        <v>163</v>
      </c>
      <c r="L3197">
        <v>98</v>
      </c>
      <c r="M3197">
        <v>630.40002441000001</v>
      </c>
      <c r="N3197" t="s">
        <v>87</v>
      </c>
      <c r="O3197" t="s">
        <v>86</v>
      </c>
      <c r="P3197">
        <v>129</v>
      </c>
      <c r="Q3197">
        <v>4</v>
      </c>
      <c r="R3197">
        <v>20</v>
      </c>
      <c r="S3197">
        <v>1310</v>
      </c>
      <c r="T3197">
        <v>-40</v>
      </c>
      <c r="U3197">
        <v>54</v>
      </c>
      <c r="V3197">
        <v>670</v>
      </c>
      <c r="W3197">
        <v>34</v>
      </c>
      <c r="X3197">
        <v>34</v>
      </c>
      <c r="Y3197">
        <v>1</v>
      </c>
      <c r="Z3197">
        <v>8</v>
      </c>
      <c r="AA3197">
        <v>30</v>
      </c>
      <c r="AB3197">
        <v>2</v>
      </c>
      <c r="AC3197">
        <v>1</v>
      </c>
      <c r="AD3197">
        <v>3.3080000900000002</v>
      </c>
      <c r="AE3197">
        <v>1</v>
      </c>
      <c r="AF3197">
        <v>41</v>
      </c>
      <c r="AG3197">
        <v>3.2959999999999998</v>
      </c>
      <c r="AH3197">
        <v>4</v>
      </c>
      <c r="AI3197">
        <v>17</v>
      </c>
      <c r="AJ3197">
        <v>1</v>
      </c>
      <c r="AK3197">
        <v>19</v>
      </c>
      <c r="AL3197">
        <v>52</v>
      </c>
      <c r="AM3197" t="s">
        <v>43</v>
      </c>
      <c r="AN3197" t="str">
        <f>HYPERLINK("https://www.google.com/maps?q=10.76396942,79.63059998","Open Location")</f>
        <v>Open Location</v>
      </c>
    </row>
    <row r="3198" spans="1:40" x14ac:dyDescent="0.3">
      <c r="A3198" s="1">
        <v>46210.629513888889</v>
      </c>
      <c r="B3198" t="s">
        <v>40</v>
      </c>
      <c r="C3198" t="s">
        <v>41</v>
      </c>
      <c r="D3198" s="1">
        <v>46210.632511574076</v>
      </c>
      <c r="E3198" t="s">
        <v>42</v>
      </c>
      <c r="F3198" t="s">
        <v>83</v>
      </c>
      <c r="G3198">
        <v>15</v>
      </c>
      <c r="H3198">
        <v>33115</v>
      </c>
      <c r="I3198" t="s">
        <v>1849</v>
      </c>
      <c r="J3198">
        <v>94</v>
      </c>
      <c r="K3198">
        <v>247</v>
      </c>
      <c r="L3198">
        <v>98</v>
      </c>
      <c r="M3198">
        <v>626.90002441000001</v>
      </c>
      <c r="N3198" t="s">
        <v>87</v>
      </c>
      <c r="O3198" t="s">
        <v>86</v>
      </c>
      <c r="P3198">
        <v>129</v>
      </c>
      <c r="Q3198">
        <v>4</v>
      </c>
      <c r="R3198">
        <v>170</v>
      </c>
      <c r="S3198">
        <v>1069</v>
      </c>
      <c r="T3198">
        <v>-40</v>
      </c>
      <c r="U3198">
        <v>54</v>
      </c>
      <c r="V3198">
        <v>1280</v>
      </c>
      <c r="W3198">
        <v>34</v>
      </c>
      <c r="X3198">
        <v>34</v>
      </c>
      <c r="Y3198">
        <v>1</v>
      </c>
      <c r="Z3198">
        <v>8</v>
      </c>
      <c r="AA3198">
        <v>30</v>
      </c>
      <c r="AB3198">
        <v>2</v>
      </c>
      <c r="AC3198">
        <v>1</v>
      </c>
      <c r="AD3198">
        <v>3.28299999</v>
      </c>
      <c r="AE3198">
        <v>1</v>
      </c>
      <c r="AF3198">
        <v>44</v>
      </c>
      <c r="AG3198">
        <v>3.2699999800000001</v>
      </c>
      <c r="AH3198">
        <v>4</v>
      </c>
      <c r="AI3198">
        <v>17</v>
      </c>
      <c r="AJ3198">
        <v>1</v>
      </c>
      <c r="AK3198">
        <v>19</v>
      </c>
      <c r="AL3198">
        <v>52</v>
      </c>
      <c r="AM3198" t="s">
        <v>43</v>
      </c>
      <c r="AN3198" t="str">
        <f>HYPERLINK("https://www.google.com/maps?q=10.76348019,79.63059998","Open Location")</f>
        <v>Open Location</v>
      </c>
    </row>
    <row r="3199" spans="1:40" x14ac:dyDescent="0.3">
      <c r="A3199" s="1">
        <v>46210.62939814815</v>
      </c>
      <c r="B3199" t="s">
        <v>40</v>
      </c>
      <c r="C3199" t="s">
        <v>41</v>
      </c>
      <c r="D3199" s="1">
        <v>46210.632106481484</v>
      </c>
      <c r="E3199" t="s">
        <v>42</v>
      </c>
      <c r="F3199" t="s">
        <v>83</v>
      </c>
      <c r="G3199">
        <v>12</v>
      </c>
      <c r="H3199">
        <v>33115</v>
      </c>
      <c r="I3199" t="s">
        <v>1850</v>
      </c>
      <c r="J3199">
        <v>94</v>
      </c>
      <c r="K3199">
        <v>186</v>
      </c>
      <c r="L3199">
        <v>98</v>
      </c>
      <c r="M3199">
        <v>629.5</v>
      </c>
      <c r="N3199" t="s">
        <v>87</v>
      </c>
      <c r="O3199" t="s">
        <v>86</v>
      </c>
      <c r="P3199">
        <v>128</v>
      </c>
      <c r="Q3199">
        <v>3</v>
      </c>
      <c r="R3199">
        <v>121</v>
      </c>
      <c r="S3199">
        <v>1328</v>
      </c>
      <c r="T3199">
        <v>-40</v>
      </c>
      <c r="U3199">
        <v>52</v>
      </c>
      <c r="V3199">
        <v>800</v>
      </c>
      <c r="W3199">
        <v>34</v>
      </c>
      <c r="X3199">
        <v>34</v>
      </c>
      <c r="Y3199">
        <v>1</v>
      </c>
      <c r="Z3199">
        <v>8</v>
      </c>
      <c r="AA3199">
        <v>30</v>
      </c>
      <c r="AB3199">
        <v>2</v>
      </c>
      <c r="AC3199">
        <v>1</v>
      </c>
      <c r="AD3199">
        <v>3.30699992</v>
      </c>
      <c r="AE3199">
        <v>1</v>
      </c>
      <c r="AF3199">
        <v>41</v>
      </c>
      <c r="AG3199">
        <v>3.3020000500000002</v>
      </c>
      <c r="AH3199">
        <v>4</v>
      </c>
      <c r="AI3199">
        <v>17</v>
      </c>
      <c r="AJ3199">
        <v>1</v>
      </c>
      <c r="AK3199">
        <v>19</v>
      </c>
      <c r="AL3199">
        <v>52</v>
      </c>
      <c r="AM3199" t="s">
        <v>43</v>
      </c>
      <c r="AN3199" t="str">
        <f>HYPERLINK("https://www.google.com/maps?q=10.76304913,79.6306076","Open Location")</f>
        <v>Open Location</v>
      </c>
    </row>
    <row r="3200" spans="1:40" x14ac:dyDescent="0.3">
      <c r="A3200" s="1">
        <v>46210.629282407404</v>
      </c>
      <c r="B3200" t="s">
        <v>40</v>
      </c>
      <c r="C3200" t="s">
        <v>41</v>
      </c>
      <c r="D3200" s="1">
        <v>46210.632071759261</v>
      </c>
      <c r="E3200" t="s">
        <v>42</v>
      </c>
      <c r="F3200" t="s">
        <v>83</v>
      </c>
      <c r="G3200">
        <v>2</v>
      </c>
      <c r="H3200">
        <v>33115</v>
      </c>
      <c r="I3200" t="s">
        <v>1851</v>
      </c>
      <c r="J3200">
        <v>94</v>
      </c>
      <c r="K3200">
        <v>17</v>
      </c>
      <c r="L3200">
        <v>98</v>
      </c>
      <c r="M3200">
        <v>635.90002441000001</v>
      </c>
      <c r="N3200" t="s">
        <v>87</v>
      </c>
      <c r="O3200" t="s">
        <v>86</v>
      </c>
      <c r="P3200">
        <v>127</v>
      </c>
      <c r="Q3200">
        <v>2</v>
      </c>
      <c r="R3200">
        <v>31</v>
      </c>
      <c r="S3200">
        <v>146</v>
      </c>
      <c r="T3200">
        <v>-40</v>
      </c>
      <c r="U3200">
        <v>49</v>
      </c>
      <c r="V3200">
        <v>528</v>
      </c>
      <c r="W3200">
        <v>34</v>
      </c>
      <c r="X3200">
        <v>34</v>
      </c>
      <c r="Y3200">
        <v>1</v>
      </c>
      <c r="Z3200">
        <v>8</v>
      </c>
      <c r="AA3200">
        <v>30</v>
      </c>
      <c r="AB3200">
        <v>2</v>
      </c>
      <c r="AC3200">
        <v>1</v>
      </c>
      <c r="AD3200">
        <v>3.3110001100000002</v>
      </c>
      <c r="AE3200">
        <v>1</v>
      </c>
      <c r="AF3200">
        <v>39</v>
      </c>
      <c r="AG3200">
        <v>3.3059999900000001</v>
      </c>
      <c r="AH3200">
        <v>4</v>
      </c>
      <c r="AI3200">
        <v>17</v>
      </c>
      <c r="AJ3200">
        <v>1</v>
      </c>
      <c r="AK3200">
        <v>19</v>
      </c>
      <c r="AL3200">
        <v>52</v>
      </c>
      <c r="AM3200" t="s">
        <v>43</v>
      </c>
      <c r="AN3200" t="str">
        <f>HYPERLINK("https://www.google.com/maps?q=10.76285267,79.6306076","Open Location")</f>
        <v>Open Location</v>
      </c>
    </row>
    <row r="3201" spans="1:40" x14ac:dyDescent="0.3">
      <c r="A3201" s="1">
        <v>46210.629166666666</v>
      </c>
      <c r="B3201" t="s">
        <v>40</v>
      </c>
      <c r="C3201" t="s">
        <v>41</v>
      </c>
      <c r="D3201" s="1">
        <v>46210.63177083333</v>
      </c>
      <c r="E3201" t="s">
        <v>42</v>
      </c>
      <c r="F3201" t="s">
        <v>83</v>
      </c>
      <c r="G3201">
        <v>0</v>
      </c>
      <c r="H3201">
        <v>33115</v>
      </c>
      <c r="I3201" t="s">
        <v>43</v>
      </c>
      <c r="J3201">
        <v>94</v>
      </c>
      <c r="K3201">
        <v>13</v>
      </c>
      <c r="L3201">
        <v>98</v>
      </c>
      <c r="M3201">
        <v>635.79998779000005</v>
      </c>
      <c r="N3201" t="s">
        <v>85</v>
      </c>
      <c r="O3201" t="s">
        <v>86</v>
      </c>
      <c r="P3201">
        <v>127</v>
      </c>
      <c r="Q3201">
        <v>2</v>
      </c>
      <c r="R3201">
        <v>0</v>
      </c>
      <c r="S3201">
        <v>0</v>
      </c>
      <c r="T3201">
        <v>-40</v>
      </c>
      <c r="U3201">
        <v>48</v>
      </c>
      <c r="V3201">
        <v>5</v>
      </c>
      <c r="W3201">
        <v>34</v>
      </c>
      <c r="X3201">
        <v>34</v>
      </c>
      <c r="Y3201">
        <v>1</v>
      </c>
      <c r="Z3201">
        <v>8</v>
      </c>
      <c r="AA3201">
        <v>30</v>
      </c>
      <c r="AB3201">
        <v>2</v>
      </c>
      <c r="AC3201">
        <v>1</v>
      </c>
      <c r="AD3201">
        <v>3.3199999299999998</v>
      </c>
      <c r="AE3201">
        <v>1</v>
      </c>
      <c r="AF3201">
        <v>39</v>
      </c>
      <c r="AG3201">
        <v>3.31500006</v>
      </c>
      <c r="AH3201">
        <v>4</v>
      </c>
      <c r="AI3201">
        <v>17</v>
      </c>
      <c r="AJ3201">
        <v>1</v>
      </c>
      <c r="AK3201">
        <v>20</v>
      </c>
      <c r="AL3201">
        <v>52</v>
      </c>
      <c r="AM3201" t="s">
        <v>43</v>
      </c>
      <c r="AN3201" t="s">
        <v>43</v>
      </c>
    </row>
    <row r="3202" spans="1:40" x14ac:dyDescent="0.3">
      <c r="A3202" s="1">
        <v>46210.629050925927</v>
      </c>
      <c r="B3202" t="s">
        <v>40</v>
      </c>
      <c r="C3202" t="s">
        <v>41</v>
      </c>
      <c r="D3202" s="1">
        <v>46210.631655092591</v>
      </c>
      <c r="E3202" t="s">
        <v>43</v>
      </c>
      <c r="F3202" t="s">
        <v>83</v>
      </c>
      <c r="G3202">
        <v>5</v>
      </c>
      <c r="H3202">
        <v>33115</v>
      </c>
      <c r="I3202" t="s">
        <v>1852</v>
      </c>
      <c r="J3202">
        <v>94</v>
      </c>
      <c r="K3202">
        <v>-33</v>
      </c>
      <c r="L3202">
        <v>98</v>
      </c>
      <c r="M3202">
        <v>636.09997558999999</v>
      </c>
      <c r="N3202" t="s">
        <v>87</v>
      </c>
      <c r="O3202" t="s">
        <v>86</v>
      </c>
      <c r="P3202">
        <v>129</v>
      </c>
      <c r="Q3202">
        <v>2</v>
      </c>
      <c r="R3202">
        <v>0</v>
      </c>
      <c r="S3202">
        <v>637</v>
      </c>
      <c r="T3202">
        <v>-40</v>
      </c>
      <c r="U3202">
        <v>50</v>
      </c>
      <c r="V3202">
        <v>-400</v>
      </c>
      <c r="W3202">
        <v>34</v>
      </c>
      <c r="X3202">
        <v>34</v>
      </c>
      <c r="Y3202">
        <v>1</v>
      </c>
      <c r="Z3202">
        <v>8</v>
      </c>
      <c r="AA3202">
        <v>30</v>
      </c>
      <c r="AB3202">
        <v>2</v>
      </c>
      <c r="AC3202">
        <v>1</v>
      </c>
      <c r="AD3202">
        <v>3.3190000099999999</v>
      </c>
      <c r="AE3202">
        <v>1</v>
      </c>
      <c r="AF3202">
        <v>41</v>
      </c>
      <c r="AG3202">
        <v>3.31299996</v>
      </c>
      <c r="AH3202">
        <v>4</v>
      </c>
      <c r="AI3202">
        <v>17</v>
      </c>
      <c r="AJ3202">
        <v>1</v>
      </c>
      <c r="AK3202">
        <v>20</v>
      </c>
      <c r="AL3202">
        <v>52</v>
      </c>
      <c r="AM3202" t="s">
        <v>43</v>
      </c>
      <c r="AN3202" t="str">
        <f>HYPERLINK("https://www.google.com/maps?q=10.76284409,79.63059998","Open Location")</f>
        <v>Open Location</v>
      </c>
    </row>
    <row r="3203" spans="1:40" x14ac:dyDescent="0.3">
      <c r="A3203" s="1">
        <v>46210.628935185188</v>
      </c>
      <c r="B3203" t="s">
        <v>40</v>
      </c>
      <c r="C3203" t="s">
        <v>41</v>
      </c>
      <c r="D3203" s="1">
        <v>46210.631655092591</v>
      </c>
      <c r="E3203" t="s">
        <v>42</v>
      </c>
      <c r="F3203" t="s">
        <v>83</v>
      </c>
      <c r="G3203">
        <v>18</v>
      </c>
      <c r="H3203">
        <v>33115</v>
      </c>
      <c r="I3203" t="s">
        <v>1853</v>
      </c>
      <c r="J3203">
        <v>94</v>
      </c>
      <c r="K3203">
        <v>-15</v>
      </c>
      <c r="L3203">
        <v>98</v>
      </c>
      <c r="M3203">
        <v>636.70001220999995</v>
      </c>
      <c r="N3203" t="s">
        <v>87</v>
      </c>
      <c r="O3203" t="s">
        <v>86</v>
      </c>
      <c r="P3203">
        <v>129</v>
      </c>
      <c r="Q3203">
        <v>4</v>
      </c>
      <c r="R3203">
        <v>-113</v>
      </c>
      <c r="S3203">
        <v>1530</v>
      </c>
      <c r="T3203">
        <v>-40</v>
      </c>
      <c r="U3203">
        <v>50</v>
      </c>
      <c r="V3203">
        <v>-112</v>
      </c>
      <c r="W3203">
        <v>34</v>
      </c>
      <c r="X3203">
        <v>34</v>
      </c>
      <c r="Y3203">
        <v>1</v>
      </c>
      <c r="Z3203">
        <v>8</v>
      </c>
      <c r="AA3203">
        <v>30</v>
      </c>
      <c r="AB3203">
        <v>2</v>
      </c>
      <c r="AC3203">
        <v>1</v>
      </c>
      <c r="AD3203">
        <v>3.3199999299999998</v>
      </c>
      <c r="AE3203">
        <v>1</v>
      </c>
      <c r="AF3203">
        <v>39</v>
      </c>
      <c r="AG3203">
        <v>3.31599998</v>
      </c>
      <c r="AH3203">
        <v>4</v>
      </c>
      <c r="AI3203">
        <v>17</v>
      </c>
      <c r="AJ3203">
        <v>1</v>
      </c>
      <c r="AK3203">
        <v>19</v>
      </c>
      <c r="AL3203">
        <v>52</v>
      </c>
      <c r="AM3203" t="s">
        <v>43</v>
      </c>
      <c r="AN3203" t="str">
        <f>HYPERLINK("https://www.google.com/maps?q=10.76259327,79.63062286","Open Location")</f>
        <v>Open Location</v>
      </c>
    </row>
    <row r="3204" spans="1:40" x14ac:dyDescent="0.3">
      <c r="A3204" s="1">
        <v>46210.628819444442</v>
      </c>
      <c r="B3204" t="s">
        <v>40</v>
      </c>
      <c r="C3204" t="s">
        <v>41</v>
      </c>
      <c r="D3204" s="1">
        <v>46210.631886574076</v>
      </c>
      <c r="E3204" t="s">
        <v>42</v>
      </c>
      <c r="F3204" t="s">
        <v>83</v>
      </c>
      <c r="G3204">
        <v>19</v>
      </c>
      <c r="H3204" t="s">
        <v>43</v>
      </c>
      <c r="I3204" t="s">
        <v>1854</v>
      </c>
      <c r="J3204">
        <v>94</v>
      </c>
      <c r="K3204">
        <v>152</v>
      </c>
      <c r="L3204">
        <v>98</v>
      </c>
      <c r="M3204">
        <v>630.70001220999995</v>
      </c>
      <c r="N3204" t="s">
        <v>87</v>
      </c>
      <c r="O3204" t="s">
        <v>86</v>
      </c>
      <c r="P3204">
        <v>129</v>
      </c>
      <c r="Q3204">
        <v>4</v>
      </c>
      <c r="R3204">
        <v>80</v>
      </c>
      <c r="S3204">
        <v>1411</v>
      </c>
      <c r="T3204">
        <v>-40</v>
      </c>
      <c r="U3204">
        <v>52</v>
      </c>
      <c r="V3204">
        <v>600</v>
      </c>
      <c r="W3204">
        <v>34</v>
      </c>
      <c r="X3204">
        <v>34</v>
      </c>
      <c r="Y3204">
        <v>1</v>
      </c>
      <c r="Z3204">
        <v>8</v>
      </c>
      <c r="AA3204">
        <v>30</v>
      </c>
      <c r="AB3204">
        <v>2</v>
      </c>
      <c r="AC3204">
        <v>1</v>
      </c>
      <c r="AD3204">
        <v>3.3110001100000002</v>
      </c>
      <c r="AE3204">
        <v>1</v>
      </c>
      <c r="AF3204">
        <v>39</v>
      </c>
      <c r="AG3204">
        <v>3.3050000700000002</v>
      </c>
      <c r="AH3204">
        <v>4</v>
      </c>
      <c r="AI3204">
        <v>17</v>
      </c>
      <c r="AJ3204">
        <v>1</v>
      </c>
      <c r="AK3204">
        <v>19</v>
      </c>
      <c r="AL3204">
        <v>52</v>
      </c>
      <c r="AM3204" t="s">
        <v>43</v>
      </c>
      <c r="AN3204" t="str">
        <f>HYPERLINK("https://www.google.com/maps?q=10.76199627,79.63076019","Open Location")</f>
        <v>Open Location</v>
      </c>
    </row>
    <row r="3205" spans="1:40" x14ac:dyDescent="0.3">
      <c r="A3205" s="1">
        <v>46210.628703703704</v>
      </c>
      <c r="B3205" t="s">
        <v>40</v>
      </c>
      <c r="C3205" t="s">
        <v>41</v>
      </c>
      <c r="D3205" s="1">
        <v>46210.631585648145</v>
      </c>
      <c r="E3205" t="s">
        <v>42</v>
      </c>
      <c r="F3205" t="s">
        <v>83</v>
      </c>
      <c r="G3205">
        <v>12</v>
      </c>
      <c r="H3205">
        <v>33115</v>
      </c>
      <c r="I3205" t="s">
        <v>1855</v>
      </c>
      <c r="J3205">
        <v>94</v>
      </c>
      <c r="K3205">
        <v>97</v>
      </c>
      <c r="L3205">
        <v>98</v>
      </c>
      <c r="M3205">
        <v>636</v>
      </c>
      <c r="N3205" t="s">
        <v>87</v>
      </c>
      <c r="O3205" t="s">
        <v>86</v>
      </c>
      <c r="P3205">
        <v>128</v>
      </c>
      <c r="Q3205">
        <v>3</v>
      </c>
      <c r="R3205">
        <v>105</v>
      </c>
      <c r="S3205">
        <v>2219</v>
      </c>
      <c r="T3205">
        <v>-40</v>
      </c>
      <c r="U3205">
        <v>51</v>
      </c>
      <c r="V3205">
        <v>14</v>
      </c>
      <c r="W3205">
        <v>34</v>
      </c>
      <c r="X3205">
        <v>34</v>
      </c>
      <c r="Y3205">
        <v>1</v>
      </c>
      <c r="Z3205">
        <v>8</v>
      </c>
      <c r="AA3205">
        <v>30</v>
      </c>
      <c r="AB3205">
        <v>2</v>
      </c>
      <c r="AC3205">
        <v>1</v>
      </c>
      <c r="AD3205">
        <v>3.2909998900000001</v>
      </c>
      <c r="AE3205">
        <v>1</v>
      </c>
      <c r="AF3205">
        <v>44</v>
      </c>
      <c r="AG3205">
        <v>3.2809998999999999</v>
      </c>
      <c r="AH3205">
        <v>4</v>
      </c>
      <c r="AI3205">
        <v>17</v>
      </c>
      <c r="AJ3205">
        <v>1</v>
      </c>
      <c r="AK3205">
        <v>19</v>
      </c>
      <c r="AL3205">
        <v>52</v>
      </c>
      <c r="AM3205" t="s">
        <v>43</v>
      </c>
      <c r="AN3205" t="str">
        <f>HYPERLINK("https://www.google.com/maps?q=10.76160145,79.63104248","Open Location")</f>
        <v>Open Location</v>
      </c>
    </row>
    <row r="3206" spans="1:40" x14ac:dyDescent="0.3">
      <c r="A3206" s="1">
        <v>46210.628587962965</v>
      </c>
      <c r="B3206" t="s">
        <v>40</v>
      </c>
      <c r="C3206" t="s">
        <v>41</v>
      </c>
      <c r="D3206" s="1">
        <v>46210.631342592591</v>
      </c>
      <c r="E3206" t="s">
        <v>42</v>
      </c>
      <c r="F3206" t="s">
        <v>83</v>
      </c>
      <c r="G3206">
        <v>17</v>
      </c>
      <c r="H3206">
        <v>33115</v>
      </c>
      <c r="I3206" t="s">
        <v>1856</v>
      </c>
      <c r="J3206">
        <v>95</v>
      </c>
      <c r="K3206">
        <v>-37</v>
      </c>
      <c r="L3206">
        <v>98</v>
      </c>
      <c r="M3206">
        <v>639.40002441000001</v>
      </c>
      <c r="N3206" t="s">
        <v>87</v>
      </c>
      <c r="O3206" t="s">
        <v>86</v>
      </c>
      <c r="P3206">
        <v>130</v>
      </c>
      <c r="Q3206">
        <v>3</v>
      </c>
      <c r="R3206">
        <v>-59</v>
      </c>
      <c r="S3206">
        <v>1029</v>
      </c>
      <c r="T3206">
        <v>-40</v>
      </c>
      <c r="U3206">
        <v>52</v>
      </c>
      <c r="V3206">
        <v>-265</v>
      </c>
      <c r="W3206">
        <v>34</v>
      </c>
      <c r="X3206">
        <v>34</v>
      </c>
      <c r="Y3206">
        <v>1</v>
      </c>
      <c r="Z3206">
        <v>8</v>
      </c>
      <c r="AA3206">
        <v>30</v>
      </c>
      <c r="AB3206">
        <v>2</v>
      </c>
      <c r="AC3206">
        <v>1</v>
      </c>
      <c r="AD3206">
        <v>3.31500006</v>
      </c>
      <c r="AE3206">
        <v>1</v>
      </c>
      <c r="AF3206">
        <v>41</v>
      </c>
      <c r="AG3206">
        <v>3.3110001100000002</v>
      </c>
      <c r="AH3206">
        <v>1</v>
      </c>
      <c r="AI3206">
        <v>17</v>
      </c>
      <c r="AJ3206">
        <v>1</v>
      </c>
      <c r="AK3206">
        <v>20</v>
      </c>
      <c r="AL3206">
        <v>52</v>
      </c>
      <c r="AM3206" t="s">
        <v>43</v>
      </c>
      <c r="AN3206" t="str">
        <f>HYPERLINK("https://www.google.com/maps?q=10.76133442,79.63135529","Open Location")</f>
        <v>Open Location</v>
      </c>
    </row>
    <row r="3207" spans="1:40" x14ac:dyDescent="0.3">
      <c r="A3207" s="1">
        <v>46210.628472222219</v>
      </c>
      <c r="B3207" t="s">
        <v>40</v>
      </c>
      <c r="C3207" t="s">
        <v>41</v>
      </c>
      <c r="D3207" s="1">
        <v>46210.631192129629</v>
      </c>
      <c r="E3207" t="s">
        <v>42</v>
      </c>
      <c r="F3207" t="s">
        <v>83</v>
      </c>
      <c r="G3207">
        <v>26</v>
      </c>
      <c r="H3207">
        <v>33115</v>
      </c>
      <c r="I3207" t="s">
        <v>43</v>
      </c>
      <c r="J3207">
        <v>95</v>
      </c>
      <c r="K3207">
        <v>-31</v>
      </c>
      <c r="L3207">
        <v>98</v>
      </c>
      <c r="M3207">
        <v>637</v>
      </c>
      <c r="N3207" t="s">
        <v>87</v>
      </c>
      <c r="O3207" t="s">
        <v>86</v>
      </c>
      <c r="P3207">
        <v>130</v>
      </c>
      <c r="Q3207">
        <v>5</v>
      </c>
      <c r="R3207">
        <v>-108</v>
      </c>
      <c r="S3207">
        <v>1188</v>
      </c>
      <c r="T3207">
        <v>-40</v>
      </c>
      <c r="U3207">
        <v>50</v>
      </c>
      <c r="V3207">
        <v>-184</v>
      </c>
      <c r="W3207">
        <v>34</v>
      </c>
      <c r="X3207">
        <v>34</v>
      </c>
      <c r="Y3207">
        <v>1</v>
      </c>
      <c r="Z3207">
        <v>8</v>
      </c>
      <c r="AA3207">
        <v>30</v>
      </c>
      <c r="AB3207">
        <v>2</v>
      </c>
      <c r="AC3207">
        <v>1</v>
      </c>
      <c r="AD3207">
        <v>3.2999999500000001</v>
      </c>
      <c r="AE3207">
        <v>1</v>
      </c>
      <c r="AF3207">
        <v>38</v>
      </c>
      <c r="AG3207">
        <v>3.2929999799999998</v>
      </c>
      <c r="AH3207">
        <v>4</v>
      </c>
      <c r="AI3207">
        <v>17</v>
      </c>
      <c r="AJ3207">
        <v>1</v>
      </c>
      <c r="AK3207">
        <v>21</v>
      </c>
      <c r="AL3207">
        <v>52</v>
      </c>
      <c r="AM3207" t="s">
        <v>43</v>
      </c>
      <c r="AN3207" t="s">
        <v>43</v>
      </c>
    </row>
    <row r="3208" spans="1:40" x14ac:dyDescent="0.3">
      <c r="A3208" s="1">
        <v>46210.62835648148</v>
      </c>
      <c r="B3208" t="s">
        <v>40</v>
      </c>
      <c r="C3208" t="s">
        <v>41</v>
      </c>
      <c r="D3208" s="1">
        <v>46210.631192129629</v>
      </c>
      <c r="E3208" t="s">
        <v>43</v>
      </c>
      <c r="F3208" t="s">
        <v>83</v>
      </c>
      <c r="G3208">
        <v>30</v>
      </c>
      <c r="H3208">
        <v>33115</v>
      </c>
      <c r="I3208" t="s">
        <v>1857</v>
      </c>
      <c r="J3208">
        <v>95</v>
      </c>
      <c r="K3208">
        <v>72</v>
      </c>
      <c r="L3208">
        <v>98</v>
      </c>
      <c r="M3208">
        <v>632.70001220999995</v>
      </c>
      <c r="N3208" t="s">
        <v>87</v>
      </c>
      <c r="O3208" t="s">
        <v>86</v>
      </c>
      <c r="P3208">
        <v>130</v>
      </c>
      <c r="Q3208">
        <v>5</v>
      </c>
      <c r="R3208">
        <v>41</v>
      </c>
      <c r="S3208">
        <v>1370</v>
      </c>
      <c r="T3208">
        <v>-40</v>
      </c>
      <c r="U3208">
        <v>51</v>
      </c>
      <c r="V3208">
        <v>280</v>
      </c>
      <c r="W3208">
        <v>34</v>
      </c>
      <c r="X3208">
        <v>34</v>
      </c>
      <c r="Y3208">
        <v>1</v>
      </c>
      <c r="Z3208">
        <v>8</v>
      </c>
      <c r="AA3208">
        <v>30</v>
      </c>
      <c r="AB3208">
        <v>2</v>
      </c>
      <c r="AC3208">
        <v>1</v>
      </c>
      <c r="AD3208">
        <v>3.31200004</v>
      </c>
      <c r="AE3208">
        <v>1</v>
      </c>
      <c r="AF3208">
        <v>39</v>
      </c>
      <c r="AG3208">
        <v>3.30699992</v>
      </c>
      <c r="AH3208">
        <v>4</v>
      </c>
      <c r="AI3208">
        <v>17</v>
      </c>
      <c r="AJ3208">
        <v>1</v>
      </c>
      <c r="AK3208">
        <v>19</v>
      </c>
      <c r="AL3208">
        <v>52</v>
      </c>
      <c r="AM3208" t="s">
        <v>43</v>
      </c>
      <c r="AN3208" t="str">
        <f>HYPERLINK("https://www.google.com/maps?q=10.76083946,79.63195801","Open Location")</f>
        <v>Open Location</v>
      </c>
    </row>
    <row r="3209" spans="1:40" x14ac:dyDescent="0.3">
      <c r="A3209" s="1">
        <v>46210.628240740742</v>
      </c>
      <c r="B3209" t="s">
        <v>40</v>
      </c>
      <c r="C3209" t="s">
        <v>41</v>
      </c>
      <c r="D3209" s="1">
        <v>46210.631053240744</v>
      </c>
      <c r="E3209" t="s">
        <v>42</v>
      </c>
      <c r="F3209" t="s">
        <v>83</v>
      </c>
      <c r="G3209">
        <v>28</v>
      </c>
      <c r="H3209">
        <v>33114</v>
      </c>
      <c r="I3209" t="s">
        <v>1858</v>
      </c>
      <c r="J3209">
        <v>95</v>
      </c>
      <c r="K3209">
        <v>109</v>
      </c>
      <c r="L3209">
        <v>98</v>
      </c>
      <c r="M3209">
        <v>631.90002441000001</v>
      </c>
      <c r="N3209" t="s">
        <v>87</v>
      </c>
      <c r="O3209" t="s">
        <v>86</v>
      </c>
      <c r="P3209">
        <v>130</v>
      </c>
      <c r="Q3209">
        <v>5</v>
      </c>
      <c r="R3209">
        <v>66</v>
      </c>
      <c r="S3209">
        <v>1246</v>
      </c>
      <c r="T3209">
        <v>-40</v>
      </c>
      <c r="U3209">
        <v>51</v>
      </c>
      <c r="V3209">
        <v>440</v>
      </c>
      <c r="W3209">
        <v>34</v>
      </c>
      <c r="X3209">
        <v>34</v>
      </c>
      <c r="Y3209">
        <v>1</v>
      </c>
      <c r="Z3209">
        <v>8</v>
      </c>
      <c r="AA3209">
        <v>30</v>
      </c>
      <c r="AB3209">
        <v>2</v>
      </c>
      <c r="AC3209">
        <v>1</v>
      </c>
      <c r="AD3209">
        <v>3.3010001199999999</v>
      </c>
      <c r="AE3209">
        <v>1</v>
      </c>
      <c r="AF3209">
        <v>44</v>
      </c>
      <c r="AG3209">
        <v>3.2929999799999998</v>
      </c>
      <c r="AH3209">
        <v>4</v>
      </c>
      <c r="AI3209">
        <v>17</v>
      </c>
      <c r="AJ3209">
        <v>1</v>
      </c>
      <c r="AK3209">
        <v>19</v>
      </c>
      <c r="AL3209">
        <v>52</v>
      </c>
      <c r="AM3209" t="s">
        <v>43</v>
      </c>
      <c r="AN3209" t="str">
        <f>HYPERLINK("https://www.google.com/maps?q=10.76025009,79.63264465","Open Location")</f>
        <v>Open Location</v>
      </c>
    </row>
    <row r="3210" spans="1:40" x14ac:dyDescent="0.3">
      <c r="A3210" s="1">
        <v>46210.628125000003</v>
      </c>
      <c r="B3210" t="s">
        <v>40</v>
      </c>
      <c r="C3210" t="s">
        <v>41</v>
      </c>
      <c r="D3210" s="1">
        <v>46210.630983796298</v>
      </c>
      <c r="E3210" t="s">
        <v>42</v>
      </c>
      <c r="F3210" t="s">
        <v>83</v>
      </c>
      <c r="G3210">
        <v>28</v>
      </c>
      <c r="H3210">
        <v>33114</v>
      </c>
      <c r="I3210" t="s">
        <v>1859</v>
      </c>
      <c r="J3210">
        <v>95</v>
      </c>
      <c r="K3210">
        <v>43</v>
      </c>
      <c r="L3210">
        <v>98</v>
      </c>
      <c r="M3210">
        <v>633.90002441000001</v>
      </c>
      <c r="N3210" t="s">
        <v>87</v>
      </c>
      <c r="O3210" t="s">
        <v>86</v>
      </c>
      <c r="P3210">
        <v>130</v>
      </c>
      <c r="Q3210">
        <v>5</v>
      </c>
      <c r="R3210">
        <v>63</v>
      </c>
      <c r="S3210">
        <v>1277</v>
      </c>
      <c r="T3210">
        <v>-40</v>
      </c>
      <c r="U3210">
        <v>50</v>
      </c>
      <c r="V3210">
        <v>140</v>
      </c>
      <c r="W3210">
        <v>34</v>
      </c>
      <c r="X3210">
        <v>34</v>
      </c>
      <c r="Y3210">
        <v>1</v>
      </c>
      <c r="Z3210">
        <v>8</v>
      </c>
      <c r="AA3210">
        <v>30</v>
      </c>
      <c r="AB3210">
        <v>2</v>
      </c>
      <c r="AC3210">
        <v>1</v>
      </c>
      <c r="AD3210">
        <v>3.3039999</v>
      </c>
      <c r="AE3210">
        <v>1</v>
      </c>
      <c r="AF3210">
        <v>44</v>
      </c>
      <c r="AG3210">
        <v>3.2950000799999999</v>
      </c>
      <c r="AH3210">
        <v>4</v>
      </c>
      <c r="AI3210">
        <v>17</v>
      </c>
      <c r="AJ3210">
        <v>1</v>
      </c>
      <c r="AK3210">
        <v>19</v>
      </c>
      <c r="AL3210">
        <v>52</v>
      </c>
      <c r="AM3210" t="s">
        <v>43</v>
      </c>
      <c r="AN3210" t="str">
        <f>HYPERLINK("https://www.google.com/maps?q=10.75970078,79.63329315","Open Location")</f>
        <v>Open Location</v>
      </c>
    </row>
    <row r="3211" spans="1:40" x14ac:dyDescent="0.3">
      <c r="A3211" s="1">
        <v>46210.628009259257</v>
      </c>
      <c r="B3211" t="s">
        <v>40</v>
      </c>
      <c r="C3211" t="s">
        <v>41</v>
      </c>
      <c r="D3211" s="1">
        <v>46210.63082175926</v>
      </c>
      <c r="E3211" t="s">
        <v>42</v>
      </c>
      <c r="F3211" t="s">
        <v>83</v>
      </c>
      <c r="G3211">
        <v>28</v>
      </c>
      <c r="H3211">
        <v>33114</v>
      </c>
      <c r="I3211" t="s">
        <v>1860</v>
      </c>
      <c r="J3211">
        <v>95</v>
      </c>
      <c r="K3211">
        <v>114</v>
      </c>
      <c r="L3211">
        <v>98</v>
      </c>
      <c r="M3211">
        <v>631.70001220999995</v>
      </c>
      <c r="N3211" t="s">
        <v>87</v>
      </c>
      <c r="O3211" t="s">
        <v>86</v>
      </c>
      <c r="P3211">
        <v>130</v>
      </c>
      <c r="Q3211">
        <v>5</v>
      </c>
      <c r="R3211">
        <v>39</v>
      </c>
      <c r="S3211">
        <v>1268</v>
      </c>
      <c r="T3211">
        <v>-40</v>
      </c>
      <c r="U3211">
        <v>53</v>
      </c>
      <c r="V3211">
        <v>500</v>
      </c>
      <c r="W3211">
        <v>34</v>
      </c>
      <c r="X3211">
        <v>34</v>
      </c>
      <c r="Y3211">
        <v>1</v>
      </c>
      <c r="Z3211">
        <v>8</v>
      </c>
      <c r="AA3211">
        <v>30</v>
      </c>
      <c r="AB3211">
        <v>2</v>
      </c>
      <c r="AC3211">
        <v>1</v>
      </c>
      <c r="AD3211">
        <v>3.3050000700000002</v>
      </c>
      <c r="AE3211">
        <v>1</v>
      </c>
      <c r="AF3211">
        <v>41</v>
      </c>
      <c r="AG3211">
        <v>3.2969999300000001</v>
      </c>
      <c r="AH3211">
        <v>6</v>
      </c>
      <c r="AI3211">
        <v>17</v>
      </c>
      <c r="AJ3211">
        <v>1</v>
      </c>
      <c r="AK3211">
        <v>19</v>
      </c>
      <c r="AL3211">
        <v>52</v>
      </c>
      <c r="AM3211" t="s">
        <v>43</v>
      </c>
      <c r="AN3211" t="str">
        <f>HYPERLINK("https://www.google.com/maps?q=10.75909996,79.63399506","Open Location")</f>
        <v>Open Location</v>
      </c>
    </row>
    <row r="3212" spans="1:40" x14ac:dyDescent="0.3">
      <c r="A3212" s="1">
        <v>46210.627893518518</v>
      </c>
      <c r="B3212" t="s">
        <v>40</v>
      </c>
      <c r="C3212" t="s">
        <v>41</v>
      </c>
      <c r="D3212" s="1">
        <v>46210.63077546296</v>
      </c>
      <c r="E3212" t="s">
        <v>42</v>
      </c>
      <c r="F3212" t="s">
        <v>83</v>
      </c>
      <c r="G3212">
        <v>25</v>
      </c>
      <c r="H3212" t="s">
        <v>43</v>
      </c>
      <c r="I3212" t="s">
        <v>43</v>
      </c>
      <c r="J3212">
        <v>95</v>
      </c>
      <c r="K3212">
        <v>113</v>
      </c>
      <c r="L3212">
        <v>98</v>
      </c>
      <c r="M3212">
        <v>631.90002441000001</v>
      </c>
      <c r="N3212" t="s">
        <v>87</v>
      </c>
      <c r="O3212" t="s">
        <v>86</v>
      </c>
      <c r="P3212">
        <v>130</v>
      </c>
      <c r="Q3212">
        <v>5</v>
      </c>
      <c r="R3212">
        <v>80</v>
      </c>
      <c r="S3212">
        <v>1143</v>
      </c>
      <c r="T3212">
        <v>-40</v>
      </c>
      <c r="U3212">
        <v>53</v>
      </c>
      <c r="V3212">
        <v>525</v>
      </c>
      <c r="W3212">
        <v>34</v>
      </c>
      <c r="X3212">
        <v>34</v>
      </c>
      <c r="Y3212">
        <v>1</v>
      </c>
      <c r="Z3212">
        <v>8</v>
      </c>
      <c r="AA3212">
        <v>30</v>
      </c>
      <c r="AB3212">
        <v>2</v>
      </c>
      <c r="AC3212">
        <v>1</v>
      </c>
      <c r="AD3212">
        <v>3.2929999799999998</v>
      </c>
      <c r="AE3212">
        <v>1</v>
      </c>
      <c r="AF3212">
        <v>42</v>
      </c>
      <c r="AG3212">
        <v>3.2839999199999999</v>
      </c>
      <c r="AH3212">
        <v>4</v>
      </c>
      <c r="AI3212">
        <v>17</v>
      </c>
      <c r="AJ3212">
        <v>1</v>
      </c>
      <c r="AK3212">
        <v>19</v>
      </c>
      <c r="AL3212">
        <v>52</v>
      </c>
      <c r="AM3212" t="s">
        <v>43</v>
      </c>
      <c r="AN3212" t="s">
        <v>43</v>
      </c>
    </row>
    <row r="3213" spans="1:40" x14ac:dyDescent="0.3">
      <c r="A3213" s="1">
        <v>46210.62777777778</v>
      </c>
      <c r="B3213" t="s">
        <v>40</v>
      </c>
      <c r="C3213" t="s">
        <v>41</v>
      </c>
      <c r="D3213" s="1">
        <v>46210.630543981482</v>
      </c>
      <c r="E3213" t="s">
        <v>42</v>
      </c>
      <c r="F3213" t="s">
        <v>83</v>
      </c>
      <c r="G3213">
        <v>24</v>
      </c>
      <c r="H3213">
        <v>33114</v>
      </c>
      <c r="I3213" t="s">
        <v>1861</v>
      </c>
      <c r="J3213">
        <v>95</v>
      </c>
      <c r="K3213">
        <v>116</v>
      </c>
      <c r="L3213">
        <v>98</v>
      </c>
      <c r="M3213">
        <v>632.40002441000001</v>
      </c>
      <c r="N3213" t="s">
        <v>87</v>
      </c>
      <c r="O3213" t="s">
        <v>86</v>
      </c>
      <c r="P3213">
        <v>130</v>
      </c>
      <c r="Q3213">
        <v>5</v>
      </c>
      <c r="R3213">
        <v>89</v>
      </c>
      <c r="S3213">
        <v>1085</v>
      </c>
      <c r="T3213">
        <v>-40</v>
      </c>
      <c r="U3213">
        <v>52</v>
      </c>
      <c r="V3213">
        <v>600</v>
      </c>
      <c r="W3213">
        <v>34</v>
      </c>
      <c r="X3213">
        <v>34</v>
      </c>
      <c r="Y3213">
        <v>1</v>
      </c>
      <c r="Z3213">
        <v>8</v>
      </c>
      <c r="AA3213">
        <v>30</v>
      </c>
      <c r="AB3213">
        <v>2</v>
      </c>
      <c r="AC3213">
        <v>1</v>
      </c>
      <c r="AD3213">
        <v>3.2990000199999998</v>
      </c>
      <c r="AE3213">
        <v>1</v>
      </c>
      <c r="AF3213">
        <v>42</v>
      </c>
      <c r="AG3213">
        <v>3.2909998900000001</v>
      </c>
      <c r="AH3213">
        <v>4</v>
      </c>
      <c r="AI3213">
        <v>17</v>
      </c>
      <c r="AJ3213">
        <v>1</v>
      </c>
      <c r="AK3213">
        <v>19</v>
      </c>
      <c r="AL3213">
        <v>52</v>
      </c>
      <c r="AM3213" t="s">
        <v>43</v>
      </c>
      <c r="AN3213" t="str">
        <f>HYPERLINK("https://www.google.com/maps?q=10.75867653,79.63465118","Open Location")</f>
        <v>Open Location</v>
      </c>
    </row>
    <row r="3214" spans="1:40" x14ac:dyDescent="0.3">
      <c r="A3214" s="1">
        <v>46210.627662037034</v>
      </c>
      <c r="B3214" t="s">
        <v>40</v>
      </c>
      <c r="C3214" t="s">
        <v>41</v>
      </c>
      <c r="D3214" s="1">
        <v>46210.630335648151</v>
      </c>
      <c r="E3214" t="s">
        <v>43</v>
      </c>
      <c r="F3214" t="s">
        <v>83</v>
      </c>
      <c r="G3214">
        <v>26</v>
      </c>
      <c r="H3214">
        <v>33114</v>
      </c>
      <c r="I3214" t="s">
        <v>1862</v>
      </c>
      <c r="J3214">
        <v>95</v>
      </c>
      <c r="K3214">
        <v>-39</v>
      </c>
      <c r="L3214">
        <v>98</v>
      </c>
      <c r="M3214">
        <v>638.40002441000001</v>
      </c>
      <c r="N3214" t="s">
        <v>87</v>
      </c>
      <c r="O3214" t="s">
        <v>86</v>
      </c>
      <c r="P3214">
        <v>130</v>
      </c>
      <c r="Q3214">
        <v>5</v>
      </c>
      <c r="R3214">
        <v>-87</v>
      </c>
      <c r="S3214">
        <v>1346</v>
      </c>
      <c r="T3214">
        <v>-40</v>
      </c>
      <c r="U3214">
        <v>51</v>
      </c>
      <c r="V3214">
        <v>-184</v>
      </c>
      <c r="W3214">
        <v>34</v>
      </c>
      <c r="X3214">
        <v>34</v>
      </c>
      <c r="Y3214">
        <v>1</v>
      </c>
      <c r="Z3214">
        <v>8</v>
      </c>
      <c r="AA3214">
        <v>30</v>
      </c>
      <c r="AB3214">
        <v>2</v>
      </c>
      <c r="AC3214">
        <v>1</v>
      </c>
      <c r="AD3214">
        <v>3.3059999900000001</v>
      </c>
      <c r="AE3214">
        <v>1</v>
      </c>
      <c r="AF3214">
        <v>42</v>
      </c>
      <c r="AG3214">
        <v>3.2999999500000001</v>
      </c>
      <c r="AH3214">
        <v>4</v>
      </c>
      <c r="AI3214">
        <v>17</v>
      </c>
      <c r="AJ3214">
        <v>1</v>
      </c>
      <c r="AK3214">
        <v>22</v>
      </c>
      <c r="AL3214">
        <v>52</v>
      </c>
      <c r="AM3214" t="s">
        <v>43</v>
      </c>
      <c r="AN3214" t="str">
        <f>HYPERLINK("https://www.google.com/maps?q=10.75862312,79.63538361","Open Location")</f>
        <v>Open Location</v>
      </c>
    </row>
    <row r="3215" spans="1:40" x14ac:dyDescent="0.3">
      <c r="A3215" s="1">
        <v>46210.627546296295</v>
      </c>
      <c r="B3215" t="s">
        <v>40</v>
      </c>
      <c r="C3215" t="s">
        <v>41</v>
      </c>
      <c r="D3215" s="1">
        <v>46210.630277777775</v>
      </c>
      <c r="E3215" t="s">
        <v>42</v>
      </c>
      <c r="F3215" t="s">
        <v>83</v>
      </c>
      <c r="G3215">
        <v>30</v>
      </c>
      <c r="H3215">
        <v>33114</v>
      </c>
      <c r="I3215" t="s">
        <v>1863</v>
      </c>
      <c r="J3215">
        <v>95</v>
      </c>
      <c r="K3215">
        <v>108</v>
      </c>
      <c r="L3215">
        <v>98</v>
      </c>
      <c r="M3215">
        <v>632.20001220999995</v>
      </c>
      <c r="N3215" t="s">
        <v>87</v>
      </c>
      <c r="O3215" t="s">
        <v>86</v>
      </c>
      <c r="P3215">
        <v>130</v>
      </c>
      <c r="Q3215">
        <v>5</v>
      </c>
      <c r="R3215">
        <v>59</v>
      </c>
      <c r="S3215">
        <v>1353</v>
      </c>
      <c r="T3215">
        <v>-40</v>
      </c>
      <c r="U3215">
        <v>52</v>
      </c>
      <c r="V3215">
        <v>440</v>
      </c>
      <c r="W3215">
        <v>34</v>
      </c>
      <c r="X3215">
        <v>34</v>
      </c>
      <c r="Y3215">
        <v>1</v>
      </c>
      <c r="Z3215">
        <v>8</v>
      </c>
      <c r="AA3215">
        <v>30</v>
      </c>
      <c r="AB3215">
        <v>2</v>
      </c>
      <c r="AC3215">
        <v>1</v>
      </c>
      <c r="AD3215">
        <v>3.3029999700000001</v>
      </c>
      <c r="AE3215">
        <v>1</v>
      </c>
      <c r="AF3215">
        <v>44</v>
      </c>
      <c r="AG3215">
        <v>3.2959999999999998</v>
      </c>
      <c r="AH3215">
        <v>4</v>
      </c>
      <c r="AI3215">
        <v>17</v>
      </c>
      <c r="AJ3215">
        <v>1</v>
      </c>
      <c r="AK3215">
        <v>19</v>
      </c>
      <c r="AL3215">
        <v>52</v>
      </c>
      <c r="AM3215" t="s">
        <v>43</v>
      </c>
      <c r="AN3215" t="str">
        <f>HYPERLINK("https://www.google.com/maps?q=10.75874138,79.63622284","Open Location")</f>
        <v>Open Location</v>
      </c>
    </row>
    <row r="3216" spans="1:40" x14ac:dyDescent="0.3">
      <c r="A3216" s="1">
        <v>46210.627430555556</v>
      </c>
      <c r="B3216" t="s">
        <v>40</v>
      </c>
      <c r="C3216" t="s">
        <v>41</v>
      </c>
      <c r="D3216" s="1">
        <v>46210.630277777775</v>
      </c>
      <c r="E3216" t="s">
        <v>42</v>
      </c>
      <c r="F3216" t="s">
        <v>83</v>
      </c>
      <c r="G3216">
        <v>28</v>
      </c>
      <c r="H3216">
        <v>33114</v>
      </c>
      <c r="I3216" t="s">
        <v>1864</v>
      </c>
      <c r="J3216">
        <v>95</v>
      </c>
      <c r="K3216">
        <v>118</v>
      </c>
      <c r="L3216">
        <v>98</v>
      </c>
      <c r="M3216">
        <v>632</v>
      </c>
      <c r="N3216" t="s">
        <v>87</v>
      </c>
      <c r="O3216" t="s">
        <v>86</v>
      </c>
      <c r="P3216">
        <v>130</v>
      </c>
      <c r="Q3216">
        <v>5</v>
      </c>
      <c r="R3216">
        <v>84</v>
      </c>
      <c r="S3216">
        <v>1234</v>
      </c>
      <c r="T3216">
        <v>-40</v>
      </c>
      <c r="U3216">
        <v>53</v>
      </c>
      <c r="V3216">
        <v>520</v>
      </c>
      <c r="W3216">
        <v>34</v>
      </c>
      <c r="X3216">
        <v>34</v>
      </c>
      <c r="Y3216">
        <v>1</v>
      </c>
      <c r="Z3216">
        <v>8</v>
      </c>
      <c r="AA3216">
        <v>30</v>
      </c>
      <c r="AB3216">
        <v>2</v>
      </c>
      <c r="AC3216">
        <v>1</v>
      </c>
      <c r="AD3216">
        <v>3.2999999500000001</v>
      </c>
      <c r="AE3216">
        <v>1</v>
      </c>
      <c r="AF3216">
        <v>44</v>
      </c>
      <c r="AG3216">
        <v>3.2920000599999999</v>
      </c>
      <c r="AH3216">
        <v>4</v>
      </c>
      <c r="AI3216">
        <v>17</v>
      </c>
      <c r="AJ3216">
        <v>1</v>
      </c>
      <c r="AK3216">
        <v>19</v>
      </c>
      <c r="AL3216">
        <v>52</v>
      </c>
      <c r="AM3216" t="s">
        <v>43</v>
      </c>
      <c r="AN3216" t="str">
        <f>HYPERLINK("https://www.google.com/maps?q=10.75884056,79.63712311","Open Location")</f>
        <v>Open Location</v>
      </c>
    </row>
    <row r="3217" spans="1:40" x14ac:dyDescent="0.3">
      <c r="A3217" s="1">
        <v>46210.627314814818</v>
      </c>
      <c r="B3217" t="s">
        <v>40</v>
      </c>
      <c r="C3217" t="s">
        <v>41</v>
      </c>
      <c r="D3217" s="1">
        <v>46210.630185185182</v>
      </c>
      <c r="E3217" t="s">
        <v>42</v>
      </c>
      <c r="F3217" t="s">
        <v>83</v>
      </c>
      <c r="G3217">
        <v>23</v>
      </c>
      <c r="H3217">
        <v>33114</v>
      </c>
      <c r="I3217" t="s">
        <v>1865</v>
      </c>
      <c r="J3217">
        <v>95</v>
      </c>
      <c r="K3217">
        <v>149</v>
      </c>
      <c r="L3217">
        <v>98</v>
      </c>
      <c r="M3217">
        <v>630.79998779000005</v>
      </c>
      <c r="N3217" t="s">
        <v>87</v>
      </c>
      <c r="O3217" t="s">
        <v>86</v>
      </c>
      <c r="P3217">
        <v>130</v>
      </c>
      <c r="Q3217">
        <v>5</v>
      </c>
      <c r="R3217">
        <v>89</v>
      </c>
      <c r="S3217">
        <v>1004</v>
      </c>
      <c r="T3217">
        <v>-40</v>
      </c>
      <c r="U3217">
        <v>52</v>
      </c>
      <c r="V3217">
        <v>860</v>
      </c>
      <c r="W3217">
        <v>34</v>
      </c>
      <c r="X3217">
        <v>34</v>
      </c>
      <c r="Y3217">
        <v>1</v>
      </c>
      <c r="Z3217">
        <v>8</v>
      </c>
      <c r="AA3217">
        <v>30</v>
      </c>
      <c r="AB3217">
        <v>2</v>
      </c>
      <c r="AC3217">
        <v>1</v>
      </c>
      <c r="AD3217">
        <v>3.2920000599999999</v>
      </c>
      <c r="AE3217">
        <v>1</v>
      </c>
      <c r="AF3217">
        <v>38</v>
      </c>
      <c r="AG3217">
        <v>3.28299999</v>
      </c>
      <c r="AH3217">
        <v>4</v>
      </c>
      <c r="AI3217">
        <v>17</v>
      </c>
      <c r="AJ3217">
        <v>1</v>
      </c>
      <c r="AK3217">
        <v>20</v>
      </c>
      <c r="AL3217">
        <v>52</v>
      </c>
      <c r="AM3217" t="s">
        <v>43</v>
      </c>
      <c r="AN3217" t="str">
        <f>HYPERLINK("https://www.google.com/maps?q=10.75893021,79.63790894","Open Location")</f>
        <v>Open Location</v>
      </c>
    </row>
    <row r="3218" spans="1:40" x14ac:dyDescent="0.3">
      <c r="A3218" s="1">
        <v>46210.627199074072</v>
      </c>
      <c r="B3218" t="s">
        <v>40</v>
      </c>
      <c r="C3218" t="s">
        <v>41</v>
      </c>
      <c r="D3218" s="1">
        <v>46210.63008101852</v>
      </c>
      <c r="E3218" t="s">
        <v>42</v>
      </c>
      <c r="F3218" t="s">
        <v>83</v>
      </c>
      <c r="G3218">
        <v>24</v>
      </c>
      <c r="H3218">
        <v>33114</v>
      </c>
      <c r="I3218" t="s">
        <v>43</v>
      </c>
      <c r="J3218">
        <v>95</v>
      </c>
      <c r="K3218">
        <v>166</v>
      </c>
      <c r="L3218">
        <v>98</v>
      </c>
      <c r="M3218">
        <v>629.90002441000001</v>
      </c>
      <c r="N3218" t="s">
        <v>87</v>
      </c>
      <c r="O3218" t="s">
        <v>86</v>
      </c>
      <c r="P3218">
        <v>130</v>
      </c>
      <c r="Q3218">
        <v>5</v>
      </c>
      <c r="R3218">
        <v>46</v>
      </c>
      <c r="S3218">
        <v>1085</v>
      </c>
      <c r="T3218">
        <v>-40</v>
      </c>
      <c r="U3218">
        <v>52</v>
      </c>
      <c r="V3218">
        <v>924</v>
      </c>
      <c r="W3218">
        <v>34</v>
      </c>
      <c r="X3218">
        <v>34</v>
      </c>
      <c r="Y3218">
        <v>1</v>
      </c>
      <c r="Z3218">
        <v>8</v>
      </c>
      <c r="AA3218">
        <v>30</v>
      </c>
      <c r="AB3218">
        <v>2</v>
      </c>
      <c r="AC3218">
        <v>1</v>
      </c>
      <c r="AD3218">
        <v>3.33699989</v>
      </c>
      <c r="AE3218">
        <v>4</v>
      </c>
      <c r="AF3218">
        <v>24</v>
      </c>
      <c r="AG3218">
        <v>3.3329999400000001</v>
      </c>
      <c r="AH3218">
        <v>1</v>
      </c>
      <c r="AI3218">
        <v>17</v>
      </c>
      <c r="AJ3218">
        <v>1</v>
      </c>
      <c r="AK3218">
        <v>19</v>
      </c>
      <c r="AL3218">
        <v>52</v>
      </c>
      <c r="AM3218" t="s">
        <v>43</v>
      </c>
      <c r="AN3218" t="s">
        <v>43</v>
      </c>
    </row>
    <row r="3219" spans="1:40" x14ac:dyDescent="0.3">
      <c r="A3219" s="1">
        <v>46210.627083333333</v>
      </c>
      <c r="B3219" t="s">
        <v>40</v>
      </c>
      <c r="C3219" t="s">
        <v>41</v>
      </c>
      <c r="D3219" s="1">
        <v>46210.63013888889</v>
      </c>
      <c r="E3219" t="s">
        <v>42</v>
      </c>
      <c r="F3219" t="s">
        <v>83</v>
      </c>
      <c r="G3219">
        <v>24</v>
      </c>
      <c r="H3219">
        <v>33114</v>
      </c>
      <c r="I3219" t="s">
        <v>1866</v>
      </c>
      <c r="J3219">
        <v>95</v>
      </c>
      <c r="K3219">
        <v>49</v>
      </c>
      <c r="L3219">
        <v>98</v>
      </c>
      <c r="M3219">
        <v>634.79998779000005</v>
      </c>
      <c r="N3219" t="s">
        <v>87</v>
      </c>
      <c r="O3219" t="s">
        <v>86</v>
      </c>
      <c r="P3219">
        <v>130</v>
      </c>
      <c r="Q3219">
        <v>5</v>
      </c>
      <c r="R3219">
        <v>6</v>
      </c>
      <c r="S3219">
        <v>1110</v>
      </c>
      <c r="T3219">
        <v>-40</v>
      </c>
      <c r="U3219">
        <v>50</v>
      </c>
      <c r="V3219">
        <v>200</v>
      </c>
      <c r="W3219">
        <v>34</v>
      </c>
      <c r="X3219">
        <v>34</v>
      </c>
      <c r="Y3219">
        <v>1</v>
      </c>
      <c r="Z3219">
        <v>8</v>
      </c>
      <c r="AA3219">
        <v>30</v>
      </c>
      <c r="AB3219">
        <v>2</v>
      </c>
      <c r="AC3219">
        <v>1</v>
      </c>
      <c r="AD3219">
        <v>3.31800008</v>
      </c>
      <c r="AE3219">
        <v>1</v>
      </c>
      <c r="AF3219">
        <v>44</v>
      </c>
      <c r="AG3219">
        <v>3.3139998899999998</v>
      </c>
      <c r="AH3219">
        <v>1</v>
      </c>
      <c r="AI3219">
        <v>17</v>
      </c>
      <c r="AJ3219">
        <v>1</v>
      </c>
      <c r="AK3219">
        <v>21</v>
      </c>
      <c r="AL3219">
        <v>52</v>
      </c>
      <c r="AM3219" t="s">
        <v>43</v>
      </c>
      <c r="AN3219" t="str">
        <f>HYPERLINK("https://www.google.com/maps?q=10.75897503,79.63864136","Open Location")</f>
        <v>Open Location</v>
      </c>
    </row>
    <row r="3220" spans="1:40" x14ac:dyDescent="0.3">
      <c r="A3220" s="1">
        <v>46210.626967592594</v>
      </c>
      <c r="B3220" t="s">
        <v>40</v>
      </c>
      <c r="C3220" t="s">
        <v>41</v>
      </c>
      <c r="D3220" s="1">
        <v>46210.629675925928</v>
      </c>
      <c r="E3220" t="s">
        <v>43</v>
      </c>
      <c r="F3220" t="s">
        <v>83</v>
      </c>
      <c r="G3220">
        <v>23</v>
      </c>
      <c r="H3220">
        <v>33114</v>
      </c>
      <c r="I3220" t="s">
        <v>1867</v>
      </c>
      <c r="J3220">
        <v>95</v>
      </c>
      <c r="K3220">
        <v>141</v>
      </c>
      <c r="L3220">
        <v>98</v>
      </c>
      <c r="M3220">
        <v>631.09997558999999</v>
      </c>
      <c r="N3220" t="s">
        <v>87</v>
      </c>
      <c r="O3220" t="s">
        <v>86</v>
      </c>
      <c r="P3220">
        <v>129</v>
      </c>
      <c r="Q3220">
        <v>4</v>
      </c>
      <c r="R3220">
        <v>79</v>
      </c>
      <c r="S3220">
        <v>1662</v>
      </c>
      <c r="T3220">
        <v>-40</v>
      </c>
      <c r="U3220">
        <v>52</v>
      </c>
      <c r="V3220">
        <v>440</v>
      </c>
      <c r="W3220">
        <v>34</v>
      </c>
      <c r="X3220">
        <v>34</v>
      </c>
      <c r="Y3220">
        <v>1</v>
      </c>
      <c r="Z3220">
        <v>8</v>
      </c>
      <c r="AA3220">
        <v>30</v>
      </c>
      <c r="AB3220">
        <v>2</v>
      </c>
      <c r="AC3220">
        <v>1</v>
      </c>
      <c r="AD3220">
        <v>3.3139998899999998</v>
      </c>
      <c r="AE3220">
        <v>1</v>
      </c>
      <c r="AF3220">
        <v>39</v>
      </c>
      <c r="AG3220">
        <v>3.30699992</v>
      </c>
      <c r="AH3220">
        <v>4</v>
      </c>
      <c r="AI3220">
        <v>17</v>
      </c>
      <c r="AJ3220">
        <v>1</v>
      </c>
      <c r="AK3220">
        <v>19</v>
      </c>
      <c r="AL3220">
        <v>52</v>
      </c>
      <c r="AM3220" t="s">
        <v>43</v>
      </c>
      <c r="AN3220" t="str">
        <f>HYPERLINK("https://www.google.com/maps?q=10.75915432,79.63943481","Open Location")</f>
        <v>Open Location</v>
      </c>
    </row>
    <row r="3221" spans="1:40" x14ac:dyDescent="0.3">
      <c r="A3221" s="1">
        <v>46210.626851851855</v>
      </c>
      <c r="B3221" t="s">
        <v>40</v>
      </c>
      <c r="C3221" t="s">
        <v>41</v>
      </c>
      <c r="D3221" s="1">
        <v>46210.629687499997</v>
      </c>
      <c r="E3221" t="s">
        <v>42</v>
      </c>
      <c r="F3221" t="s">
        <v>83</v>
      </c>
      <c r="G3221">
        <v>16</v>
      </c>
      <c r="H3221" t="s">
        <v>43</v>
      </c>
      <c r="I3221" t="s">
        <v>1868</v>
      </c>
      <c r="J3221">
        <v>95</v>
      </c>
      <c r="K3221">
        <v>56</v>
      </c>
      <c r="L3221">
        <v>98</v>
      </c>
      <c r="M3221">
        <v>631.70001220999995</v>
      </c>
      <c r="N3221" t="s">
        <v>87</v>
      </c>
      <c r="O3221" t="s">
        <v>86</v>
      </c>
      <c r="P3221">
        <v>129</v>
      </c>
      <c r="Q3221">
        <v>4</v>
      </c>
      <c r="R3221">
        <v>70</v>
      </c>
      <c r="S3221">
        <v>1268</v>
      </c>
      <c r="T3221">
        <v>-40</v>
      </c>
      <c r="U3221">
        <v>51</v>
      </c>
      <c r="V3221">
        <v>214</v>
      </c>
      <c r="W3221">
        <v>34</v>
      </c>
      <c r="X3221">
        <v>34</v>
      </c>
      <c r="Y3221">
        <v>1</v>
      </c>
      <c r="Z3221">
        <v>8</v>
      </c>
      <c r="AA3221">
        <v>30</v>
      </c>
      <c r="AB3221">
        <v>2</v>
      </c>
      <c r="AC3221">
        <v>1</v>
      </c>
      <c r="AD3221">
        <v>3.2969999300000001</v>
      </c>
      <c r="AE3221">
        <v>1</v>
      </c>
      <c r="AF3221">
        <v>44</v>
      </c>
      <c r="AG3221">
        <v>3.28500009</v>
      </c>
      <c r="AH3221">
        <v>4</v>
      </c>
      <c r="AI3221">
        <v>17</v>
      </c>
      <c r="AJ3221">
        <v>1</v>
      </c>
      <c r="AK3221">
        <v>20</v>
      </c>
      <c r="AL3221">
        <v>52</v>
      </c>
      <c r="AM3221" t="s">
        <v>43</v>
      </c>
      <c r="AN3221" t="str">
        <f>HYPERLINK("https://www.google.com/maps?q=10.75930214,79.64002991","Open Location")</f>
        <v>Open Location</v>
      </c>
    </row>
    <row r="3222" spans="1:40" x14ac:dyDescent="0.3">
      <c r="A3222" s="1">
        <v>46210.626736111109</v>
      </c>
      <c r="B3222" t="s">
        <v>40</v>
      </c>
      <c r="C3222" t="s">
        <v>41</v>
      </c>
      <c r="D3222" s="1">
        <v>46210.629629629628</v>
      </c>
      <c r="E3222" t="s">
        <v>42</v>
      </c>
      <c r="F3222" t="s">
        <v>83</v>
      </c>
      <c r="G3222">
        <v>31</v>
      </c>
      <c r="H3222">
        <v>33114</v>
      </c>
      <c r="I3222" t="s">
        <v>1869</v>
      </c>
      <c r="J3222">
        <v>95</v>
      </c>
      <c r="K3222">
        <v>-35</v>
      </c>
      <c r="L3222">
        <v>98</v>
      </c>
      <c r="M3222">
        <v>637.70001220999995</v>
      </c>
      <c r="N3222" t="s">
        <v>87</v>
      </c>
      <c r="O3222" t="s">
        <v>86</v>
      </c>
      <c r="P3222">
        <v>130</v>
      </c>
      <c r="Q3222">
        <v>5</v>
      </c>
      <c r="R3222">
        <v>-28</v>
      </c>
      <c r="S3222">
        <v>1450</v>
      </c>
      <c r="T3222">
        <v>-40</v>
      </c>
      <c r="U3222">
        <v>49</v>
      </c>
      <c r="V3222">
        <v>-184</v>
      </c>
      <c r="W3222">
        <v>34</v>
      </c>
      <c r="X3222">
        <v>34</v>
      </c>
      <c r="Y3222">
        <v>1</v>
      </c>
      <c r="Z3222">
        <v>8</v>
      </c>
      <c r="AA3222">
        <v>30</v>
      </c>
      <c r="AB3222">
        <v>2</v>
      </c>
      <c r="AC3222">
        <v>1</v>
      </c>
      <c r="AD3222">
        <v>3.33899999</v>
      </c>
      <c r="AE3222">
        <v>4</v>
      </c>
      <c r="AF3222">
        <v>24</v>
      </c>
      <c r="AG3222">
        <v>3.3350000400000002</v>
      </c>
      <c r="AH3222">
        <v>1</v>
      </c>
      <c r="AI3222">
        <v>29</v>
      </c>
      <c r="AJ3222">
        <v>1</v>
      </c>
      <c r="AK3222">
        <v>21</v>
      </c>
      <c r="AL3222">
        <v>52</v>
      </c>
      <c r="AM3222" t="s">
        <v>43</v>
      </c>
      <c r="AN3222" t="str">
        <f>HYPERLINK("https://www.google.com/maps?q=10.75946999,79.64064789","Open Location")</f>
        <v>Open Location</v>
      </c>
    </row>
    <row r="3223" spans="1:40" x14ac:dyDescent="0.3">
      <c r="A3223" s="1">
        <v>46210.626620370371</v>
      </c>
      <c r="B3223" t="s">
        <v>40</v>
      </c>
      <c r="C3223" t="s">
        <v>41</v>
      </c>
      <c r="D3223" s="1">
        <v>46210.629432870373</v>
      </c>
      <c r="E3223" t="s">
        <v>42</v>
      </c>
      <c r="F3223" t="s">
        <v>83</v>
      </c>
      <c r="G3223">
        <v>33</v>
      </c>
      <c r="H3223">
        <v>33114</v>
      </c>
      <c r="I3223" t="s">
        <v>1870</v>
      </c>
      <c r="J3223">
        <v>95</v>
      </c>
      <c r="K3223">
        <v>37</v>
      </c>
      <c r="L3223">
        <v>98</v>
      </c>
      <c r="M3223">
        <v>634.90002441000001</v>
      </c>
      <c r="N3223" t="s">
        <v>87</v>
      </c>
      <c r="O3223" t="s">
        <v>86</v>
      </c>
      <c r="P3223">
        <v>130</v>
      </c>
      <c r="Q3223">
        <v>5</v>
      </c>
      <c r="R3223">
        <v>18</v>
      </c>
      <c r="S3223">
        <v>1511</v>
      </c>
      <c r="T3223">
        <v>-40</v>
      </c>
      <c r="U3223">
        <v>49</v>
      </c>
      <c r="V3223">
        <v>120</v>
      </c>
      <c r="W3223">
        <v>34</v>
      </c>
      <c r="X3223">
        <v>34</v>
      </c>
      <c r="Y3223">
        <v>1</v>
      </c>
      <c r="Z3223">
        <v>8</v>
      </c>
      <c r="AA3223">
        <v>30</v>
      </c>
      <c r="AB3223">
        <v>2</v>
      </c>
      <c r="AC3223">
        <v>3</v>
      </c>
      <c r="AD3223">
        <v>3.31500006</v>
      </c>
      <c r="AE3223">
        <v>1</v>
      </c>
      <c r="AF3223">
        <v>41</v>
      </c>
      <c r="AG3223">
        <v>3.3110001100000002</v>
      </c>
      <c r="AH3223">
        <v>1</v>
      </c>
      <c r="AI3223">
        <v>17</v>
      </c>
      <c r="AJ3223">
        <v>1</v>
      </c>
      <c r="AK3223">
        <v>19</v>
      </c>
      <c r="AL3223">
        <v>51</v>
      </c>
      <c r="AM3223" t="s">
        <v>43</v>
      </c>
      <c r="AN3223" t="str">
        <f>HYPERLINK("https://www.google.com/maps?q=10.75972557,79.64161682","Open Location")</f>
        <v>Open Location</v>
      </c>
    </row>
    <row r="3224" spans="1:40" x14ac:dyDescent="0.3">
      <c r="A3224" s="1">
        <v>46210.626504629632</v>
      </c>
      <c r="B3224" t="s">
        <v>40</v>
      </c>
      <c r="C3224" t="s">
        <v>41</v>
      </c>
      <c r="D3224" s="1">
        <v>46210.629074074073</v>
      </c>
      <c r="E3224" t="s">
        <v>43</v>
      </c>
      <c r="F3224" t="s">
        <v>83</v>
      </c>
      <c r="G3224">
        <v>33</v>
      </c>
      <c r="H3224">
        <v>33113</v>
      </c>
      <c r="I3224" t="s">
        <v>43</v>
      </c>
      <c r="J3224">
        <v>95</v>
      </c>
      <c r="K3224">
        <v>94</v>
      </c>
      <c r="L3224">
        <v>98</v>
      </c>
      <c r="M3224">
        <v>633.20001220999995</v>
      </c>
      <c r="N3224" t="s">
        <v>87</v>
      </c>
      <c r="O3224" t="s">
        <v>86</v>
      </c>
      <c r="P3224">
        <v>130</v>
      </c>
      <c r="Q3224">
        <v>5</v>
      </c>
      <c r="R3224">
        <v>44</v>
      </c>
      <c r="S3224">
        <v>1533</v>
      </c>
      <c r="T3224">
        <v>-40</v>
      </c>
      <c r="U3224">
        <v>50</v>
      </c>
      <c r="V3224">
        <v>335</v>
      </c>
      <c r="W3224">
        <v>34</v>
      </c>
      <c r="X3224">
        <v>34</v>
      </c>
      <c r="Y3224">
        <v>1</v>
      </c>
      <c r="Z3224">
        <v>8</v>
      </c>
      <c r="AA3224">
        <v>30</v>
      </c>
      <c r="AB3224">
        <v>2</v>
      </c>
      <c r="AC3224">
        <v>3</v>
      </c>
      <c r="AD3224">
        <v>3.30900002</v>
      </c>
      <c r="AE3224">
        <v>1</v>
      </c>
      <c r="AF3224">
        <v>44</v>
      </c>
      <c r="AG3224">
        <v>3.3029999700000001</v>
      </c>
      <c r="AH3224">
        <v>4</v>
      </c>
      <c r="AI3224">
        <v>17</v>
      </c>
      <c r="AJ3224">
        <v>1</v>
      </c>
      <c r="AK3224">
        <v>19</v>
      </c>
      <c r="AL3224">
        <v>51</v>
      </c>
      <c r="AM3224" t="s">
        <v>43</v>
      </c>
      <c r="AN3224" t="s">
        <v>43</v>
      </c>
    </row>
    <row r="3225" spans="1:40" x14ac:dyDescent="0.3">
      <c r="A3225" s="1">
        <v>46210.626388888886</v>
      </c>
      <c r="B3225" t="s">
        <v>40</v>
      </c>
      <c r="C3225" t="s">
        <v>41</v>
      </c>
      <c r="D3225" s="1">
        <v>46210.629374999997</v>
      </c>
      <c r="E3225" t="s">
        <v>42</v>
      </c>
      <c r="F3225" t="s">
        <v>83</v>
      </c>
      <c r="G3225">
        <v>33</v>
      </c>
      <c r="H3225">
        <v>33113</v>
      </c>
      <c r="I3225" t="s">
        <v>1871</v>
      </c>
      <c r="J3225">
        <v>95</v>
      </c>
      <c r="K3225">
        <v>147</v>
      </c>
      <c r="L3225">
        <v>98</v>
      </c>
      <c r="M3225">
        <v>631.5</v>
      </c>
      <c r="N3225" t="s">
        <v>87</v>
      </c>
      <c r="O3225" t="s">
        <v>86</v>
      </c>
      <c r="P3225">
        <v>130</v>
      </c>
      <c r="Q3225">
        <v>5</v>
      </c>
      <c r="R3225">
        <v>38</v>
      </c>
      <c r="S3225">
        <v>1529</v>
      </c>
      <c r="T3225">
        <v>-40</v>
      </c>
      <c r="U3225">
        <v>51</v>
      </c>
      <c r="V3225">
        <v>560</v>
      </c>
      <c r="W3225">
        <v>34</v>
      </c>
      <c r="X3225">
        <v>34</v>
      </c>
      <c r="Y3225">
        <v>1</v>
      </c>
      <c r="Z3225">
        <v>8</v>
      </c>
      <c r="AA3225">
        <v>30</v>
      </c>
      <c r="AB3225">
        <v>2</v>
      </c>
      <c r="AC3225">
        <v>3</v>
      </c>
      <c r="AD3225">
        <v>3.3080000900000002</v>
      </c>
      <c r="AE3225">
        <v>1</v>
      </c>
      <c r="AF3225">
        <v>41</v>
      </c>
      <c r="AG3225">
        <v>3.3020000500000002</v>
      </c>
      <c r="AH3225">
        <v>4</v>
      </c>
      <c r="AI3225">
        <v>17</v>
      </c>
      <c r="AJ3225">
        <v>1</v>
      </c>
      <c r="AK3225">
        <v>19</v>
      </c>
      <c r="AL3225">
        <v>51</v>
      </c>
      <c r="AM3225" t="s">
        <v>43</v>
      </c>
      <c r="AN3225" t="str">
        <f>HYPERLINK("https://www.google.com/maps?q=10.76000023,79.6426239","Open Location")</f>
        <v>Open Location</v>
      </c>
    </row>
    <row r="3226" spans="1:40" x14ac:dyDescent="0.3">
      <c r="A3226" s="1">
        <v>46210.626273148147</v>
      </c>
      <c r="B3226" t="s">
        <v>40</v>
      </c>
      <c r="C3226" t="s">
        <v>41</v>
      </c>
      <c r="D3226" s="1">
        <v>46210.628900462965</v>
      </c>
      <c r="E3226" t="s">
        <v>43</v>
      </c>
      <c r="F3226" t="s">
        <v>83</v>
      </c>
      <c r="G3226">
        <v>34</v>
      </c>
      <c r="H3226">
        <v>33113</v>
      </c>
      <c r="I3226" t="s">
        <v>1872</v>
      </c>
      <c r="J3226">
        <v>95</v>
      </c>
      <c r="K3226">
        <v>24</v>
      </c>
      <c r="L3226">
        <v>98</v>
      </c>
      <c r="M3226">
        <v>636.90002441000001</v>
      </c>
      <c r="N3226" t="s">
        <v>87</v>
      </c>
      <c r="O3226" t="s">
        <v>86</v>
      </c>
      <c r="P3226">
        <v>130</v>
      </c>
      <c r="Q3226">
        <v>5</v>
      </c>
      <c r="R3226">
        <v>-30</v>
      </c>
      <c r="S3226">
        <v>1589</v>
      </c>
      <c r="T3226">
        <v>-40</v>
      </c>
      <c r="U3226">
        <v>50</v>
      </c>
      <c r="V3226">
        <v>52</v>
      </c>
      <c r="W3226">
        <v>34</v>
      </c>
      <c r="X3226">
        <v>34</v>
      </c>
      <c r="Y3226">
        <v>1</v>
      </c>
      <c r="Z3226">
        <v>8</v>
      </c>
      <c r="AA3226">
        <v>30</v>
      </c>
      <c r="AB3226">
        <v>2</v>
      </c>
      <c r="AC3226">
        <v>3</v>
      </c>
      <c r="AD3226">
        <v>3.31800008</v>
      </c>
      <c r="AE3226">
        <v>1</v>
      </c>
      <c r="AF3226">
        <v>41</v>
      </c>
      <c r="AG3226">
        <v>3.3139998899999998</v>
      </c>
      <c r="AH3226">
        <v>1</v>
      </c>
      <c r="AI3226">
        <v>17</v>
      </c>
      <c r="AJ3226">
        <v>1</v>
      </c>
      <c r="AK3226">
        <v>20</v>
      </c>
      <c r="AL3226">
        <v>51</v>
      </c>
      <c r="AM3226" t="s">
        <v>43</v>
      </c>
      <c r="AN3226" t="str">
        <f>HYPERLINK("https://www.google.com/maps?q=10.76027775,79.64360046","Open Location")</f>
        <v>Open Location</v>
      </c>
    </row>
    <row r="3227" spans="1:40" x14ac:dyDescent="0.3">
      <c r="A3227" s="1">
        <v>46210.626157407409</v>
      </c>
      <c r="B3227" t="s">
        <v>40</v>
      </c>
      <c r="C3227" t="s">
        <v>41</v>
      </c>
      <c r="D3227" s="1">
        <v>46210.628969907404</v>
      </c>
      <c r="E3227" t="s">
        <v>42</v>
      </c>
      <c r="F3227" t="s">
        <v>83</v>
      </c>
      <c r="G3227">
        <v>38</v>
      </c>
      <c r="H3227">
        <v>33113</v>
      </c>
      <c r="I3227" t="s">
        <v>1873</v>
      </c>
      <c r="J3227">
        <v>95</v>
      </c>
      <c r="K3227">
        <v>49</v>
      </c>
      <c r="L3227">
        <v>98</v>
      </c>
      <c r="M3227">
        <v>634</v>
      </c>
      <c r="N3227" t="s">
        <v>87</v>
      </c>
      <c r="O3227" t="s">
        <v>86</v>
      </c>
      <c r="P3227">
        <v>130</v>
      </c>
      <c r="Q3227">
        <v>5</v>
      </c>
      <c r="R3227">
        <v>28</v>
      </c>
      <c r="S3227">
        <v>1632</v>
      </c>
      <c r="T3227">
        <v>-40</v>
      </c>
      <c r="U3227">
        <v>50</v>
      </c>
      <c r="V3227">
        <v>160</v>
      </c>
      <c r="W3227">
        <v>34</v>
      </c>
      <c r="X3227">
        <v>34</v>
      </c>
      <c r="Y3227">
        <v>1</v>
      </c>
      <c r="Z3227">
        <v>8</v>
      </c>
      <c r="AA3227">
        <v>30</v>
      </c>
      <c r="AB3227">
        <v>2</v>
      </c>
      <c r="AC3227">
        <v>3</v>
      </c>
      <c r="AD3227">
        <v>3.3610000599999998</v>
      </c>
      <c r="AE3227">
        <v>4</v>
      </c>
      <c r="AF3227">
        <v>24</v>
      </c>
      <c r="AG3227">
        <v>3.3519999999999999</v>
      </c>
      <c r="AH3227">
        <v>5</v>
      </c>
      <c r="AI3227">
        <v>12</v>
      </c>
      <c r="AJ3227">
        <v>1</v>
      </c>
      <c r="AK3227">
        <v>19</v>
      </c>
      <c r="AL3227">
        <v>51</v>
      </c>
      <c r="AM3227" t="s">
        <v>43</v>
      </c>
      <c r="AN3227" t="str">
        <f>HYPERLINK("https://www.google.com/maps?q=10.76058578,79.6447525","Open Location")</f>
        <v>Open Location</v>
      </c>
    </row>
    <row r="3228" spans="1:40" x14ac:dyDescent="0.3">
      <c r="A3228" s="1">
        <v>46210.62604166667</v>
      </c>
      <c r="B3228" t="s">
        <v>40</v>
      </c>
      <c r="C3228" t="s">
        <v>41</v>
      </c>
      <c r="D3228" s="1">
        <v>46210.629236111112</v>
      </c>
      <c r="E3228" t="s">
        <v>42</v>
      </c>
      <c r="F3228" t="s">
        <v>83</v>
      </c>
      <c r="G3228">
        <v>27</v>
      </c>
      <c r="H3228">
        <v>33113</v>
      </c>
      <c r="I3228" t="s">
        <v>1874</v>
      </c>
      <c r="J3228">
        <v>95</v>
      </c>
      <c r="K3228">
        <v>45</v>
      </c>
      <c r="L3228">
        <v>98</v>
      </c>
      <c r="M3228">
        <v>632.5</v>
      </c>
      <c r="N3228" t="s">
        <v>87</v>
      </c>
      <c r="O3228" t="s">
        <v>86</v>
      </c>
      <c r="P3228">
        <v>130</v>
      </c>
      <c r="Q3228">
        <v>5</v>
      </c>
      <c r="R3228">
        <v>65</v>
      </c>
      <c r="S3228">
        <v>1190</v>
      </c>
      <c r="T3228">
        <v>-40</v>
      </c>
      <c r="U3228">
        <v>51</v>
      </c>
      <c r="V3228">
        <v>256</v>
      </c>
      <c r="W3228">
        <v>35</v>
      </c>
      <c r="X3228">
        <v>35</v>
      </c>
      <c r="Y3228">
        <v>1</v>
      </c>
      <c r="Z3228">
        <v>8</v>
      </c>
      <c r="AA3228">
        <v>30</v>
      </c>
      <c r="AB3228">
        <v>2</v>
      </c>
      <c r="AC3228">
        <v>3</v>
      </c>
      <c r="AD3228">
        <v>3.30699992</v>
      </c>
      <c r="AE3228">
        <v>1</v>
      </c>
      <c r="AF3228">
        <v>41</v>
      </c>
      <c r="AG3228">
        <v>3.3010001199999999</v>
      </c>
      <c r="AH3228">
        <v>4</v>
      </c>
      <c r="AI3228">
        <v>17</v>
      </c>
      <c r="AJ3228">
        <v>1</v>
      </c>
      <c r="AK3228">
        <v>19</v>
      </c>
      <c r="AL3228">
        <v>51</v>
      </c>
      <c r="AM3228" t="s">
        <v>43</v>
      </c>
      <c r="AN3228" t="str">
        <f>HYPERLINK("https://www.google.com/maps?q=10.76107502,79.64556122","Open Location")</f>
        <v>Open Location</v>
      </c>
    </row>
    <row r="3229" spans="1:40" x14ac:dyDescent="0.3">
      <c r="A3229" s="1">
        <v>46210.625925925924</v>
      </c>
      <c r="B3229" t="s">
        <v>40</v>
      </c>
      <c r="C3229" t="s">
        <v>41</v>
      </c>
      <c r="D3229" s="1">
        <v>46210.628472222219</v>
      </c>
      <c r="E3229" t="s">
        <v>42</v>
      </c>
      <c r="F3229" t="s">
        <v>83</v>
      </c>
      <c r="G3229">
        <v>19</v>
      </c>
      <c r="H3229">
        <v>33113</v>
      </c>
      <c r="I3229" t="s">
        <v>43</v>
      </c>
      <c r="J3229">
        <v>95</v>
      </c>
      <c r="K3229">
        <v>137</v>
      </c>
      <c r="L3229">
        <v>98</v>
      </c>
      <c r="M3229">
        <v>631.79998779000005</v>
      </c>
      <c r="N3229" t="s">
        <v>87</v>
      </c>
      <c r="O3229" t="s">
        <v>86</v>
      </c>
      <c r="P3229">
        <v>129</v>
      </c>
      <c r="Q3229">
        <v>4</v>
      </c>
      <c r="R3229">
        <v>61</v>
      </c>
      <c r="S3229">
        <v>1420</v>
      </c>
      <c r="T3229">
        <v>-40</v>
      </c>
      <c r="U3229">
        <v>51</v>
      </c>
      <c r="V3229">
        <v>520</v>
      </c>
      <c r="W3229">
        <v>35</v>
      </c>
      <c r="X3229">
        <v>35</v>
      </c>
      <c r="Y3229">
        <v>1</v>
      </c>
      <c r="Z3229">
        <v>8</v>
      </c>
      <c r="AA3229">
        <v>30</v>
      </c>
      <c r="AB3229">
        <v>2</v>
      </c>
      <c r="AC3229">
        <v>3</v>
      </c>
      <c r="AD3229">
        <v>3.2980000999999999</v>
      </c>
      <c r="AE3229">
        <v>1</v>
      </c>
      <c r="AF3229">
        <v>44</v>
      </c>
      <c r="AG3229">
        <v>3.2899999599999998</v>
      </c>
      <c r="AH3229">
        <v>4</v>
      </c>
      <c r="AI3229">
        <v>17</v>
      </c>
      <c r="AJ3229">
        <v>1</v>
      </c>
      <c r="AK3229">
        <v>19</v>
      </c>
      <c r="AL3229">
        <v>51</v>
      </c>
      <c r="AM3229" t="s">
        <v>43</v>
      </c>
      <c r="AN3229" t="s">
        <v>43</v>
      </c>
    </row>
    <row r="3230" spans="1:40" x14ac:dyDescent="0.3">
      <c r="A3230" s="1">
        <v>46210.625810185185</v>
      </c>
      <c r="B3230" t="s">
        <v>40</v>
      </c>
      <c r="C3230" t="s">
        <v>41</v>
      </c>
      <c r="D3230" s="1">
        <v>46210.628518518519</v>
      </c>
      <c r="E3230" t="s">
        <v>42</v>
      </c>
      <c r="F3230" t="s">
        <v>83</v>
      </c>
      <c r="G3230">
        <v>16</v>
      </c>
      <c r="H3230">
        <v>33113</v>
      </c>
      <c r="I3230" t="s">
        <v>1875</v>
      </c>
      <c r="J3230">
        <v>96</v>
      </c>
      <c r="K3230">
        <v>64</v>
      </c>
      <c r="L3230">
        <v>98</v>
      </c>
      <c r="M3230">
        <v>633.90002441000001</v>
      </c>
      <c r="N3230" t="s">
        <v>87</v>
      </c>
      <c r="O3230" t="s">
        <v>86</v>
      </c>
      <c r="P3230">
        <v>129</v>
      </c>
      <c r="Q3230">
        <v>4</v>
      </c>
      <c r="R3230">
        <v>7</v>
      </c>
      <c r="S3230">
        <v>1212</v>
      </c>
      <c r="T3230">
        <v>-40</v>
      </c>
      <c r="U3230">
        <v>50</v>
      </c>
      <c r="V3230">
        <v>260</v>
      </c>
      <c r="W3230">
        <v>35</v>
      </c>
      <c r="X3230">
        <v>35</v>
      </c>
      <c r="Y3230">
        <v>1</v>
      </c>
      <c r="Z3230">
        <v>8</v>
      </c>
      <c r="AA3230">
        <v>30</v>
      </c>
      <c r="AB3230">
        <v>2</v>
      </c>
      <c r="AC3230">
        <v>3</v>
      </c>
      <c r="AD3230">
        <v>3.3029999700000001</v>
      </c>
      <c r="AE3230">
        <v>1</v>
      </c>
      <c r="AF3230">
        <v>44</v>
      </c>
      <c r="AG3230">
        <v>3.2939999100000001</v>
      </c>
      <c r="AH3230">
        <v>4</v>
      </c>
      <c r="AI3230">
        <v>17</v>
      </c>
      <c r="AJ3230">
        <v>1</v>
      </c>
      <c r="AK3230">
        <v>21</v>
      </c>
      <c r="AL3230">
        <v>51</v>
      </c>
      <c r="AM3230" t="s">
        <v>43</v>
      </c>
      <c r="AN3230" t="str">
        <f>HYPERLINK("https://www.google.com/maps?q=10.76165295,79.64579773","Open Location")</f>
        <v>Open Location</v>
      </c>
    </row>
    <row r="3231" spans="1:40" x14ac:dyDescent="0.3">
      <c r="A3231" s="1">
        <v>46210.625694444447</v>
      </c>
      <c r="B3231" t="s">
        <v>40</v>
      </c>
      <c r="C3231" t="s">
        <v>41</v>
      </c>
      <c r="D3231" s="1">
        <v>46210.628587962965</v>
      </c>
      <c r="E3231" t="s">
        <v>42</v>
      </c>
      <c r="F3231" t="s">
        <v>83</v>
      </c>
      <c r="G3231">
        <v>10</v>
      </c>
      <c r="H3231">
        <v>33113</v>
      </c>
      <c r="I3231" t="s">
        <v>1876</v>
      </c>
      <c r="J3231">
        <v>96</v>
      </c>
      <c r="K3231">
        <v>50</v>
      </c>
      <c r="L3231">
        <v>98</v>
      </c>
      <c r="M3231">
        <v>633.40002441000001</v>
      </c>
      <c r="N3231" t="s">
        <v>87</v>
      </c>
      <c r="O3231" t="s">
        <v>86</v>
      </c>
      <c r="P3231">
        <v>128</v>
      </c>
      <c r="Q3231">
        <v>3</v>
      </c>
      <c r="R3231">
        <v>59</v>
      </c>
      <c r="S3231">
        <v>1265</v>
      </c>
      <c r="T3231">
        <v>-40</v>
      </c>
      <c r="U3231">
        <v>50</v>
      </c>
      <c r="V3231">
        <v>440</v>
      </c>
      <c r="W3231">
        <v>35</v>
      </c>
      <c r="X3231">
        <v>35</v>
      </c>
      <c r="Y3231">
        <v>1</v>
      </c>
      <c r="Z3231">
        <v>8</v>
      </c>
      <c r="AA3231">
        <v>30</v>
      </c>
      <c r="AB3231">
        <v>2</v>
      </c>
      <c r="AC3231">
        <v>3</v>
      </c>
      <c r="AD3231">
        <v>3.3020000500000002</v>
      </c>
      <c r="AE3231">
        <v>1</v>
      </c>
      <c r="AF3231">
        <v>44</v>
      </c>
      <c r="AG3231">
        <v>3.2909998900000001</v>
      </c>
      <c r="AH3231">
        <v>4</v>
      </c>
      <c r="AI3231">
        <v>17</v>
      </c>
      <c r="AJ3231">
        <v>1</v>
      </c>
      <c r="AK3231">
        <v>19</v>
      </c>
      <c r="AL3231">
        <v>51</v>
      </c>
      <c r="AM3231" t="s">
        <v>43</v>
      </c>
      <c r="AN3231" t="str">
        <f>HYPERLINK("https://www.google.com/maps?q=10.76211357,79.64588928","Open Location")</f>
        <v>Open Location</v>
      </c>
    </row>
    <row r="3232" spans="1:40" x14ac:dyDescent="0.3">
      <c r="A3232" s="1">
        <v>46210.625578703701</v>
      </c>
      <c r="B3232" t="s">
        <v>40</v>
      </c>
      <c r="C3232" t="s">
        <v>41</v>
      </c>
      <c r="D3232" s="1">
        <v>46210.628229166665</v>
      </c>
      <c r="E3232" t="s">
        <v>43</v>
      </c>
      <c r="F3232" t="s">
        <v>83</v>
      </c>
      <c r="G3232">
        <v>12</v>
      </c>
      <c r="H3232">
        <v>33113</v>
      </c>
      <c r="I3232" t="s">
        <v>1877</v>
      </c>
      <c r="J3232">
        <v>96</v>
      </c>
      <c r="K3232">
        <v>10</v>
      </c>
      <c r="L3232">
        <v>98</v>
      </c>
      <c r="M3232">
        <v>634.79998779000005</v>
      </c>
      <c r="N3232" t="s">
        <v>87</v>
      </c>
      <c r="O3232" t="s">
        <v>86</v>
      </c>
      <c r="P3232">
        <v>128</v>
      </c>
      <c r="Q3232">
        <v>3</v>
      </c>
      <c r="R3232">
        <v>-11</v>
      </c>
      <c r="S3232">
        <v>1659</v>
      </c>
      <c r="T3232">
        <v>-40</v>
      </c>
      <c r="U3232">
        <v>49</v>
      </c>
      <c r="V3232">
        <v>60</v>
      </c>
      <c r="W3232">
        <v>35</v>
      </c>
      <c r="X3232">
        <v>35</v>
      </c>
      <c r="Y3232">
        <v>1</v>
      </c>
      <c r="Z3232">
        <v>8</v>
      </c>
      <c r="AA3232">
        <v>30</v>
      </c>
      <c r="AB3232">
        <v>2</v>
      </c>
      <c r="AC3232">
        <v>3</v>
      </c>
      <c r="AD3232">
        <v>3.3080000900000002</v>
      </c>
      <c r="AE3232">
        <v>1</v>
      </c>
      <c r="AF3232">
        <v>44</v>
      </c>
      <c r="AG3232">
        <v>3.2999999500000001</v>
      </c>
      <c r="AH3232">
        <v>4</v>
      </c>
      <c r="AI3232">
        <v>17</v>
      </c>
      <c r="AJ3232">
        <v>1</v>
      </c>
      <c r="AK3232">
        <v>20</v>
      </c>
      <c r="AL3232">
        <v>51</v>
      </c>
      <c r="AM3232" t="s">
        <v>43</v>
      </c>
      <c r="AN3232" t="str">
        <f>HYPERLINK("https://www.google.com/maps?q=10.76239586,79.64592743","Open Location")</f>
        <v>Open Location</v>
      </c>
    </row>
    <row r="3233" spans="1:40" x14ac:dyDescent="0.3">
      <c r="A3233" s="1">
        <v>46210.625462962962</v>
      </c>
      <c r="B3233" t="s">
        <v>40</v>
      </c>
      <c r="C3233" t="s">
        <v>41</v>
      </c>
      <c r="D3233" s="1">
        <v>46210.628229166665</v>
      </c>
      <c r="E3233" t="s">
        <v>42</v>
      </c>
      <c r="F3233" t="s">
        <v>83</v>
      </c>
      <c r="G3233">
        <v>10</v>
      </c>
      <c r="H3233" t="s">
        <v>43</v>
      </c>
      <c r="I3233" t="s">
        <v>1878</v>
      </c>
      <c r="J3233">
        <v>96</v>
      </c>
      <c r="K3233">
        <v>25</v>
      </c>
      <c r="L3233">
        <v>98</v>
      </c>
      <c r="M3233">
        <v>634.20001220999995</v>
      </c>
      <c r="N3233" t="s">
        <v>87</v>
      </c>
      <c r="O3233" t="s">
        <v>86</v>
      </c>
      <c r="P3233">
        <v>128</v>
      </c>
      <c r="Q3233">
        <v>3</v>
      </c>
      <c r="R3233">
        <v>72</v>
      </c>
      <c r="S3233">
        <v>1127</v>
      </c>
      <c r="T3233">
        <v>-40</v>
      </c>
      <c r="U3233">
        <v>50</v>
      </c>
      <c r="V3233">
        <v>119</v>
      </c>
      <c r="W3233">
        <v>35</v>
      </c>
      <c r="X3233">
        <v>35</v>
      </c>
      <c r="Y3233">
        <v>1</v>
      </c>
      <c r="Z3233">
        <v>8</v>
      </c>
      <c r="AA3233">
        <v>30</v>
      </c>
      <c r="AB3233">
        <v>2</v>
      </c>
      <c r="AC3233">
        <v>3</v>
      </c>
      <c r="AD3233">
        <v>3.31299996</v>
      </c>
      <c r="AE3233">
        <v>1</v>
      </c>
      <c r="AF3233">
        <v>44</v>
      </c>
      <c r="AG3233">
        <v>3.30699992</v>
      </c>
      <c r="AH3233">
        <v>4</v>
      </c>
      <c r="AI3233">
        <v>17</v>
      </c>
      <c r="AJ3233">
        <v>1</v>
      </c>
      <c r="AK3233">
        <v>19</v>
      </c>
      <c r="AL3233">
        <v>51</v>
      </c>
      <c r="AM3233" t="s">
        <v>43</v>
      </c>
      <c r="AN3233" t="str">
        <f>HYPERLINK("https://www.google.com/maps?q=10.76276493,79.64598846","Open Location")</f>
        <v>Open Location</v>
      </c>
    </row>
    <row r="3234" spans="1:40" x14ac:dyDescent="0.3">
      <c r="A3234" s="1">
        <v>46210.625347222223</v>
      </c>
      <c r="B3234" t="s">
        <v>40</v>
      </c>
      <c r="C3234" t="s">
        <v>41</v>
      </c>
      <c r="D3234" s="1">
        <v>46210.62809027778</v>
      </c>
      <c r="E3234" t="s">
        <v>42</v>
      </c>
      <c r="F3234" t="s">
        <v>83</v>
      </c>
      <c r="G3234">
        <v>7</v>
      </c>
      <c r="H3234">
        <v>33113</v>
      </c>
      <c r="I3234" t="s">
        <v>1879</v>
      </c>
      <c r="J3234">
        <v>96</v>
      </c>
      <c r="K3234">
        <v>-52</v>
      </c>
      <c r="L3234">
        <v>98</v>
      </c>
      <c r="M3234">
        <v>637.09997558999999</v>
      </c>
      <c r="N3234" t="s">
        <v>87</v>
      </c>
      <c r="O3234" t="s">
        <v>86</v>
      </c>
      <c r="P3234">
        <v>130</v>
      </c>
      <c r="Q3234">
        <v>2</v>
      </c>
      <c r="R3234">
        <v>0</v>
      </c>
      <c r="S3234">
        <v>543</v>
      </c>
      <c r="T3234">
        <v>-40</v>
      </c>
      <c r="U3234">
        <v>52</v>
      </c>
      <c r="V3234">
        <v>-720</v>
      </c>
      <c r="W3234">
        <v>35</v>
      </c>
      <c r="X3234">
        <v>35</v>
      </c>
      <c r="Y3234">
        <v>1</v>
      </c>
      <c r="Z3234">
        <v>8</v>
      </c>
      <c r="AA3234">
        <v>30</v>
      </c>
      <c r="AB3234">
        <v>2</v>
      </c>
      <c r="AC3234">
        <v>3</v>
      </c>
      <c r="AD3234">
        <v>3.3169999099999998</v>
      </c>
      <c r="AE3234">
        <v>1</v>
      </c>
      <c r="AF3234">
        <v>44</v>
      </c>
      <c r="AG3234">
        <v>3.31299996</v>
      </c>
      <c r="AH3234">
        <v>1</v>
      </c>
      <c r="AI3234">
        <v>17</v>
      </c>
      <c r="AJ3234">
        <v>1</v>
      </c>
      <c r="AK3234">
        <v>20</v>
      </c>
      <c r="AL3234">
        <v>51</v>
      </c>
      <c r="AM3234" t="s">
        <v>43</v>
      </c>
      <c r="AN3234" t="str">
        <f>HYPERLINK("https://www.google.com/maps?q=10.76301479,79.64604187","Open Location")</f>
        <v>Open Location</v>
      </c>
    </row>
    <row r="3235" spans="1:40" x14ac:dyDescent="0.3">
      <c r="A3235" s="1">
        <v>46210.625231481485</v>
      </c>
      <c r="B3235" t="s">
        <v>40</v>
      </c>
      <c r="C3235" t="s">
        <v>41</v>
      </c>
      <c r="D3235" s="1">
        <v>46210.627962962964</v>
      </c>
      <c r="E3235" t="s">
        <v>42</v>
      </c>
      <c r="F3235" t="s">
        <v>83</v>
      </c>
      <c r="G3235">
        <v>26</v>
      </c>
      <c r="H3235">
        <v>33113</v>
      </c>
      <c r="I3235" t="s">
        <v>43</v>
      </c>
      <c r="J3235">
        <v>96</v>
      </c>
      <c r="K3235">
        <v>130</v>
      </c>
      <c r="L3235">
        <v>98</v>
      </c>
      <c r="M3235">
        <v>631.09997558999999</v>
      </c>
      <c r="N3235" t="s">
        <v>87</v>
      </c>
      <c r="O3235" t="s">
        <v>86</v>
      </c>
      <c r="P3235">
        <v>130</v>
      </c>
      <c r="Q3235">
        <v>5</v>
      </c>
      <c r="R3235">
        <v>32</v>
      </c>
      <c r="S3235">
        <v>1236</v>
      </c>
      <c r="T3235">
        <v>-40</v>
      </c>
      <c r="U3235">
        <v>53</v>
      </c>
      <c r="V3235">
        <v>540</v>
      </c>
      <c r="W3235">
        <v>35</v>
      </c>
      <c r="X3235">
        <v>35</v>
      </c>
      <c r="Y3235">
        <v>1</v>
      </c>
      <c r="Z3235">
        <v>8</v>
      </c>
      <c r="AA3235">
        <v>30</v>
      </c>
      <c r="AB3235">
        <v>2</v>
      </c>
      <c r="AC3235">
        <v>3</v>
      </c>
      <c r="AD3235">
        <v>3.31800008</v>
      </c>
      <c r="AE3235">
        <v>1</v>
      </c>
      <c r="AF3235">
        <v>44</v>
      </c>
      <c r="AG3235">
        <v>3.3139998899999998</v>
      </c>
      <c r="AH3235">
        <v>1</v>
      </c>
      <c r="AI3235">
        <v>17</v>
      </c>
      <c r="AJ3235">
        <v>1</v>
      </c>
      <c r="AK3235">
        <v>19</v>
      </c>
      <c r="AL3235">
        <v>51</v>
      </c>
      <c r="AM3235" t="s">
        <v>43</v>
      </c>
      <c r="AN3235" t="s">
        <v>43</v>
      </c>
    </row>
    <row r="3236" spans="1:40" x14ac:dyDescent="0.3">
      <c r="A3236" s="1">
        <v>46210.625115740739</v>
      </c>
      <c r="B3236" t="s">
        <v>40</v>
      </c>
      <c r="C3236" t="s">
        <v>41</v>
      </c>
      <c r="D3236" s="1">
        <v>46210.627962962964</v>
      </c>
      <c r="E3236" t="s">
        <v>42</v>
      </c>
      <c r="F3236" t="s">
        <v>83</v>
      </c>
      <c r="G3236">
        <v>33</v>
      </c>
      <c r="H3236">
        <v>33113</v>
      </c>
      <c r="I3236" t="s">
        <v>1880</v>
      </c>
      <c r="J3236">
        <v>96</v>
      </c>
      <c r="K3236">
        <v>129</v>
      </c>
      <c r="L3236">
        <v>98</v>
      </c>
      <c r="M3236">
        <v>631.20001220999995</v>
      </c>
      <c r="N3236" t="s">
        <v>87</v>
      </c>
      <c r="O3236" t="s">
        <v>86</v>
      </c>
      <c r="P3236">
        <v>130</v>
      </c>
      <c r="Q3236">
        <v>5</v>
      </c>
      <c r="R3236">
        <v>72</v>
      </c>
      <c r="S3236">
        <v>1556</v>
      </c>
      <c r="T3236">
        <v>-40</v>
      </c>
      <c r="U3236">
        <v>52</v>
      </c>
      <c r="V3236">
        <v>440</v>
      </c>
      <c r="W3236">
        <v>35</v>
      </c>
      <c r="X3236">
        <v>35</v>
      </c>
      <c r="Y3236">
        <v>1</v>
      </c>
      <c r="Z3236">
        <v>8</v>
      </c>
      <c r="AA3236">
        <v>30</v>
      </c>
      <c r="AB3236">
        <v>2</v>
      </c>
      <c r="AC3236">
        <v>4</v>
      </c>
      <c r="AD3236">
        <v>3.2869999399999998</v>
      </c>
      <c r="AE3236">
        <v>1</v>
      </c>
      <c r="AF3236">
        <v>44</v>
      </c>
      <c r="AG3236">
        <v>3.2760000200000001</v>
      </c>
      <c r="AH3236">
        <v>4</v>
      </c>
      <c r="AI3236">
        <v>17</v>
      </c>
      <c r="AJ3236">
        <v>1</v>
      </c>
      <c r="AK3236">
        <v>19</v>
      </c>
      <c r="AL3236">
        <v>51</v>
      </c>
      <c r="AM3236" t="s">
        <v>43</v>
      </c>
      <c r="AN3236" t="str">
        <f>HYPERLINK("https://www.google.com/maps?q=10.76379681,79.64619446","Open Location")</f>
        <v>Open Location</v>
      </c>
    </row>
    <row r="3237" spans="1:40" x14ac:dyDescent="0.3">
      <c r="A3237" s="1">
        <v>46210.625</v>
      </c>
      <c r="B3237" t="s">
        <v>40</v>
      </c>
      <c r="C3237" t="s">
        <v>41</v>
      </c>
      <c r="D3237" s="1">
        <v>46210.627708333333</v>
      </c>
      <c r="E3237" t="s">
        <v>42</v>
      </c>
      <c r="F3237" t="s">
        <v>83</v>
      </c>
      <c r="G3237">
        <v>36</v>
      </c>
      <c r="H3237">
        <v>33113</v>
      </c>
      <c r="I3237" t="s">
        <v>1881</v>
      </c>
      <c r="J3237">
        <v>96</v>
      </c>
      <c r="K3237">
        <v>124</v>
      </c>
      <c r="L3237">
        <v>98</v>
      </c>
      <c r="M3237">
        <v>630.70001220999995</v>
      </c>
      <c r="N3237" t="s">
        <v>87</v>
      </c>
      <c r="O3237" t="s">
        <v>86</v>
      </c>
      <c r="P3237">
        <v>130</v>
      </c>
      <c r="Q3237">
        <v>5</v>
      </c>
      <c r="R3237">
        <v>72</v>
      </c>
      <c r="S3237">
        <v>1636</v>
      </c>
      <c r="T3237">
        <v>-40</v>
      </c>
      <c r="U3237">
        <v>52</v>
      </c>
      <c r="V3237">
        <v>420</v>
      </c>
      <c r="W3237">
        <v>35</v>
      </c>
      <c r="X3237">
        <v>35</v>
      </c>
      <c r="Y3237">
        <v>1</v>
      </c>
      <c r="Z3237">
        <v>8</v>
      </c>
      <c r="AA3237">
        <v>30</v>
      </c>
      <c r="AB3237">
        <v>2</v>
      </c>
      <c r="AC3237">
        <v>4</v>
      </c>
      <c r="AD3237">
        <v>3.2929999799999998</v>
      </c>
      <c r="AE3237">
        <v>1</v>
      </c>
      <c r="AF3237">
        <v>44</v>
      </c>
      <c r="AG3237">
        <v>3.28299999</v>
      </c>
      <c r="AH3237">
        <v>4</v>
      </c>
      <c r="AI3237">
        <v>17</v>
      </c>
      <c r="AJ3237">
        <v>1</v>
      </c>
      <c r="AK3237">
        <v>19</v>
      </c>
      <c r="AL3237">
        <v>51</v>
      </c>
      <c r="AM3237" t="s">
        <v>43</v>
      </c>
      <c r="AN3237" t="str">
        <f>HYPERLINK("https://www.google.com/maps?q=10.76479244,79.6463623","Open Location")</f>
        <v>Open Location</v>
      </c>
    </row>
    <row r="3238" spans="1:40" x14ac:dyDescent="0.3">
      <c r="A3238" s="1">
        <v>46210.624884259261</v>
      </c>
      <c r="B3238" t="s">
        <v>40</v>
      </c>
      <c r="C3238" t="s">
        <v>41</v>
      </c>
      <c r="D3238" s="1">
        <v>46210.627500000002</v>
      </c>
      <c r="E3238" t="s">
        <v>43</v>
      </c>
      <c r="F3238" t="s">
        <v>83</v>
      </c>
      <c r="G3238">
        <v>33</v>
      </c>
      <c r="H3238">
        <v>33113</v>
      </c>
      <c r="I3238" t="s">
        <v>1882</v>
      </c>
      <c r="J3238">
        <v>96</v>
      </c>
      <c r="K3238">
        <v>215</v>
      </c>
      <c r="L3238">
        <v>98</v>
      </c>
      <c r="M3238">
        <v>628.29998779000005</v>
      </c>
      <c r="N3238" t="s">
        <v>87</v>
      </c>
      <c r="O3238" t="s">
        <v>86</v>
      </c>
      <c r="P3238">
        <v>130</v>
      </c>
      <c r="Q3238">
        <v>5</v>
      </c>
      <c r="R3238">
        <v>140</v>
      </c>
      <c r="S3238">
        <v>1503</v>
      </c>
      <c r="T3238">
        <v>-40</v>
      </c>
      <c r="U3238">
        <v>51</v>
      </c>
      <c r="V3238">
        <v>856</v>
      </c>
      <c r="W3238">
        <v>35</v>
      </c>
      <c r="X3238">
        <v>35</v>
      </c>
      <c r="Y3238">
        <v>1</v>
      </c>
      <c r="Z3238">
        <v>8</v>
      </c>
      <c r="AA3238">
        <v>30</v>
      </c>
      <c r="AB3238">
        <v>2</v>
      </c>
      <c r="AC3238">
        <v>4</v>
      </c>
      <c r="AD3238">
        <v>3.2939999100000001</v>
      </c>
      <c r="AE3238">
        <v>1</v>
      </c>
      <c r="AF3238">
        <v>44</v>
      </c>
      <c r="AG3238">
        <v>3.28500009</v>
      </c>
      <c r="AH3238">
        <v>4</v>
      </c>
      <c r="AI3238">
        <v>17</v>
      </c>
      <c r="AJ3238">
        <v>1</v>
      </c>
      <c r="AK3238">
        <v>19</v>
      </c>
      <c r="AL3238">
        <v>51</v>
      </c>
      <c r="AM3238" t="s">
        <v>43</v>
      </c>
      <c r="AN3238" t="str">
        <f>HYPERLINK("https://www.google.com/maps?q=10.76586342,79.64654541","Open Location")</f>
        <v>Open Location</v>
      </c>
    </row>
    <row r="3239" spans="1:40" x14ac:dyDescent="0.3">
      <c r="A3239" s="1">
        <v>46210.624768518515</v>
      </c>
      <c r="B3239" t="s">
        <v>40</v>
      </c>
      <c r="C3239" t="s">
        <v>41</v>
      </c>
      <c r="D3239" s="1">
        <v>46210.627349537041</v>
      </c>
      <c r="E3239" t="s">
        <v>42</v>
      </c>
      <c r="F3239" t="s">
        <v>83</v>
      </c>
      <c r="G3239">
        <v>35</v>
      </c>
      <c r="H3239">
        <v>33112</v>
      </c>
      <c r="I3239" t="s">
        <v>1883</v>
      </c>
      <c r="J3239">
        <v>96</v>
      </c>
      <c r="K3239">
        <v>100</v>
      </c>
      <c r="L3239">
        <v>98</v>
      </c>
      <c r="M3239">
        <v>631.20001220999995</v>
      </c>
      <c r="N3239" t="s">
        <v>87</v>
      </c>
      <c r="O3239" t="s">
        <v>86</v>
      </c>
      <c r="P3239">
        <v>130</v>
      </c>
      <c r="Q3239">
        <v>5</v>
      </c>
      <c r="R3239">
        <v>19</v>
      </c>
      <c r="S3239">
        <v>1587</v>
      </c>
      <c r="T3239">
        <v>-40</v>
      </c>
      <c r="U3239">
        <v>51</v>
      </c>
      <c r="V3239">
        <v>360</v>
      </c>
      <c r="W3239">
        <v>35</v>
      </c>
      <c r="X3239">
        <v>35</v>
      </c>
      <c r="Y3239">
        <v>1</v>
      </c>
      <c r="Z3239">
        <v>8</v>
      </c>
      <c r="AA3239">
        <v>30</v>
      </c>
      <c r="AB3239">
        <v>2</v>
      </c>
      <c r="AC3239">
        <v>4</v>
      </c>
      <c r="AD3239">
        <v>3.3220000299999999</v>
      </c>
      <c r="AE3239">
        <v>1</v>
      </c>
      <c r="AF3239">
        <v>39</v>
      </c>
      <c r="AG3239">
        <v>3.3190000099999999</v>
      </c>
      <c r="AH3239">
        <v>1</v>
      </c>
      <c r="AI3239">
        <v>13</v>
      </c>
      <c r="AJ3239">
        <v>1</v>
      </c>
      <c r="AK3239">
        <v>19</v>
      </c>
      <c r="AL3239">
        <v>51</v>
      </c>
      <c r="AM3239" t="s">
        <v>43</v>
      </c>
      <c r="AN3239" t="str">
        <f>HYPERLINK("https://www.google.com/maps?q=10.76678944,79.64693451","Open Location")</f>
        <v>Open Location</v>
      </c>
    </row>
    <row r="3240" spans="1:40" x14ac:dyDescent="0.3">
      <c r="A3240" s="1">
        <v>46210.624652777777</v>
      </c>
      <c r="B3240" t="s">
        <v>40</v>
      </c>
      <c r="C3240" t="s">
        <v>41</v>
      </c>
      <c r="D3240" s="1">
        <v>46210.627534722225</v>
      </c>
      <c r="E3240" t="s">
        <v>42</v>
      </c>
      <c r="F3240" t="s">
        <v>83</v>
      </c>
      <c r="G3240">
        <v>35</v>
      </c>
      <c r="H3240">
        <v>33112</v>
      </c>
      <c r="I3240" t="s">
        <v>1884</v>
      </c>
      <c r="J3240">
        <v>96</v>
      </c>
      <c r="K3240">
        <v>118</v>
      </c>
      <c r="L3240">
        <v>98</v>
      </c>
      <c r="M3240">
        <v>631.20001220999995</v>
      </c>
      <c r="N3240" t="s">
        <v>87</v>
      </c>
      <c r="O3240" t="s">
        <v>86</v>
      </c>
      <c r="P3240">
        <v>130</v>
      </c>
      <c r="Q3240">
        <v>5</v>
      </c>
      <c r="R3240">
        <v>39</v>
      </c>
      <c r="S3240">
        <v>1597</v>
      </c>
      <c r="T3240">
        <v>-40</v>
      </c>
      <c r="U3240">
        <v>52</v>
      </c>
      <c r="V3240">
        <v>400</v>
      </c>
      <c r="W3240">
        <v>35</v>
      </c>
      <c r="X3240">
        <v>35</v>
      </c>
      <c r="Y3240">
        <v>1</v>
      </c>
      <c r="Z3240">
        <v>8</v>
      </c>
      <c r="AA3240">
        <v>30</v>
      </c>
      <c r="AB3240">
        <v>2</v>
      </c>
      <c r="AC3240">
        <v>4</v>
      </c>
      <c r="AD3240">
        <v>3.30900002</v>
      </c>
      <c r="AE3240">
        <v>1</v>
      </c>
      <c r="AF3240">
        <v>44</v>
      </c>
      <c r="AG3240">
        <v>3.3029999700000001</v>
      </c>
      <c r="AH3240">
        <v>4</v>
      </c>
      <c r="AI3240">
        <v>17</v>
      </c>
      <c r="AJ3240">
        <v>1</v>
      </c>
      <c r="AK3240">
        <v>19</v>
      </c>
      <c r="AL3240">
        <v>51</v>
      </c>
      <c r="AM3240" t="s">
        <v>43</v>
      </c>
      <c r="AN3240" t="str">
        <f>HYPERLINK("https://www.google.com/maps?q=10.76734829,79.64782715","Open Location")</f>
        <v>Open Location</v>
      </c>
    </row>
    <row r="3241" spans="1:40" x14ac:dyDescent="0.3">
      <c r="A3241" s="1">
        <v>46210.624537037038</v>
      </c>
      <c r="B3241" t="s">
        <v>40</v>
      </c>
      <c r="C3241" t="s">
        <v>41</v>
      </c>
      <c r="D3241" s="1">
        <v>46210.627256944441</v>
      </c>
      <c r="E3241" t="s">
        <v>42</v>
      </c>
      <c r="F3241" t="s">
        <v>83</v>
      </c>
      <c r="G3241">
        <v>32</v>
      </c>
      <c r="H3241">
        <v>33112</v>
      </c>
      <c r="I3241" t="s">
        <v>43</v>
      </c>
      <c r="J3241">
        <v>96</v>
      </c>
      <c r="K3241">
        <v>183</v>
      </c>
      <c r="L3241">
        <v>98</v>
      </c>
      <c r="M3241">
        <v>629</v>
      </c>
      <c r="N3241" t="s">
        <v>87</v>
      </c>
      <c r="O3241" t="s">
        <v>86</v>
      </c>
      <c r="P3241">
        <v>130</v>
      </c>
      <c r="Q3241">
        <v>5</v>
      </c>
      <c r="R3241">
        <v>123</v>
      </c>
      <c r="S3241">
        <v>1406</v>
      </c>
      <c r="T3241">
        <v>-40</v>
      </c>
      <c r="U3241">
        <v>53</v>
      </c>
      <c r="V3241">
        <v>740</v>
      </c>
      <c r="W3241">
        <v>35</v>
      </c>
      <c r="X3241">
        <v>35</v>
      </c>
      <c r="Y3241">
        <v>1</v>
      </c>
      <c r="Z3241">
        <v>8</v>
      </c>
      <c r="AA3241">
        <v>30</v>
      </c>
      <c r="AB3241">
        <v>2</v>
      </c>
      <c r="AC3241">
        <v>4</v>
      </c>
      <c r="AD3241">
        <v>3.2929999799999998</v>
      </c>
      <c r="AE3241">
        <v>1</v>
      </c>
      <c r="AF3241">
        <v>44</v>
      </c>
      <c r="AG3241">
        <v>3.2820000600000001</v>
      </c>
      <c r="AH3241">
        <v>4</v>
      </c>
      <c r="AI3241">
        <v>17</v>
      </c>
      <c r="AJ3241">
        <v>1</v>
      </c>
      <c r="AK3241">
        <v>19</v>
      </c>
      <c r="AL3241">
        <v>51</v>
      </c>
      <c r="AM3241" t="s">
        <v>43</v>
      </c>
      <c r="AN3241" t="s">
        <v>43</v>
      </c>
    </row>
    <row r="3242" spans="1:40" x14ac:dyDescent="0.3">
      <c r="A3242" s="1">
        <v>46210.624421296299</v>
      </c>
      <c r="B3242" t="s">
        <v>40</v>
      </c>
      <c r="C3242" t="s">
        <v>41</v>
      </c>
      <c r="D3242" s="1">
        <v>46210.627141203702</v>
      </c>
      <c r="E3242" t="s">
        <v>42</v>
      </c>
      <c r="F3242" t="s">
        <v>83</v>
      </c>
      <c r="G3242">
        <v>30</v>
      </c>
      <c r="H3242">
        <v>33112</v>
      </c>
      <c r="I3242" t="s">
        <v>1885</v>
      </c>
      <c r="J3242">
        <v>96</v>
      </c>
      <c r="K3242">
        <v>144</v>
      </c>
      <c r="L3242">
        <v>98</v>
      </c>
      <c r="M3242">
        <v>631.5</v>
      </c>
      <c r="N3242" t="s">
        <v>87</v>
      </c>
      <c r="O3242" t="s">
        <v>86</v>
      </c>
      <c r="P3242">
        <v>130</v>
      </c>
      <c r="Q3242">
        <v>5</v>
      </c>
      <c r="R3242">
        <v>66</v>
      </c>
      <c r="S3242">
        <v>1350</v>
      </c>
      <c r="T3242">
        <v>-40</v>
      </c>
      <c r="U3242">
        <v>52</v>
      </c>
      <c r="V3242">
        <v>580</v>
      </c>
      <c r="W3242">
        <v>35</v>
      </c>
      <c r="X3242">
        <v>35</v>
      </c>
      <c r="Y3242">
        <v>1</v>
      </c>
      <c r="Z3242">
        <v>8</v>
      </c>
      <c r="AA3242">
        <v>30</v>
      </c>
      <c r="AB3242">
        <v>2</v>
      </c>
      <c r="AC3242">
        <v>4</v>
      </c>
      <c r="AD3242">
        <v>3.3059999900000001</v>
      </c>
      <c r="AE3242">
        <v>1</v>
      </c>
      <c r="AF3242">
        <v>44</v>
      </c>
      <c r="AG3242">
        <v>3.2990000199999998</v>
      </c>
      <c r="AH3242">
        <v>4</v>
      </c>
      <c r="AI3242">
        <v>17</v>
      </c>
      <c r="AJ3242">
        <v>1</v>
      </c>
      <c r="AK3242">
        <v>19</v>
      </c>
      <c r="AL3242">
        <v>51</v>
      </c>
      <c r="AM3242" t="s">
        <v>43</v>
      </c>
      <c r="AN3242" t="str">
        <f>HYPERLINK("https://www.google.com/maps?q=10.7676239,79.64875031","Open Location")</f>
        <v>Open Location</v>
      </c>
    </row>
    <row r="3243" spans="1:40" x14ac:dyDescent="0.3">
      <c r="A3243" s="1">
        <v>46210.624305555553</v>
      </c>
      <c r="B3243" t="s">
        <v>40</v>
      </c>
      <c r="C3243" t="s">
        <v>41</v>
      </c>
      <c r="D3243" s="1">
        <v>46210.626956018517</v>
      </c>
      <c r="E3243" t="s">
        <v>42</v>
      </c>
      <c r="F3243" t="s">
        <v>83</v>
      </c>
      <c r="G3243">
        <v>26</v>
      </c>
      <c r="H3243" t="s">
        <v>43</v>
      </c>
      <c r="I3243" t="s">
        <v>1886</v>
      </c>
      <c r="J3243">
        <v>96</v>
      </c>
      <c r="K3243">
        <v>198</v>
      </c>
      <c r="L3243">
        <v>98</v>
      </c>
      <c r="M3243">
        <v>630.29998779000005</v>
      </c>
      <c r="N3243" t="s">
        <v>87</v>
      </c>
      <c r="O3243" t="s">
        <v>86</v>
      </c>
      <c r="P3243">
        <v>130</v>
      </c>
      <c r="Q3243">
        <v>5</v>
      </c>
      <c r="R3243">
        <v>100</v>
      </c>
      <c r="S3243">
        <v>1143</v>
      </c>
      <c r="T3243">
        <v>-40</v>
      </c>
      <c r="U3243">
        <v>53</v>
      </c>
      <c r="V3243">
        <v>965</v>
      </c>
      <c r="W3243">
        <v>35</v>
      </c>
      <c r="X3243">
        <v>35</v>
      </c>
      <c r="Y3243">
        <v>1</v>
      </c>
      <c r="Z3243">
        <v>8</v>
      </c>
      <c r="AA3243">
        <v>30</v>
      </c>
      <c r="AB3243">
        <v>2</v>
      </c>
      <c r="AC3243">
        <v>4</v>
      </c>
      <c r="AD3243">
        <v>3.3080000900000002</v>
      </c>
      <c r="AE3243">
        <v>1</v>
      </c>
      <c r="AF3243">
        <v>41</v>
      </c>
      <c r="AG3243">
        <v>3.3020000500000002</v>
      </c>
      <c r="AH3243">
        <v>4</v>
      </c>
      <c r="AI3243">
        <v>17</v>
      </c>
      <c r="AJ3243">
        <v>1</v>
      </c>
      <c r="AK3243">
        <v>19</v>
      </c>
      <c r="AL3243">
        <v>51</v>
      </c>
      <c r="AM3243" t="s">
        <v>43</v>
      </c>
      <c r="AN3243" t="str">
        <f>HYPERLINK("https://www.google.com/maps?q=10.76776123,79.64964294","Open Location")</f>
        <v>Open Location</v>
      </c>
    </row>
    <row r="3244" spans="1:40" x14ac:dyDescent="0.3">
      <c r="A3244" s="1">
        <v>46210.624189814815</v>
      </c>
      <c r="B3244" t="s">
        <v>40</v>
      </c>
      <c r="C3244" t="s">
        <v>41</v>
      </c>
      <c r="D3244" s="1">
        <v>46210.626944444448</v>
      </c>
      <c r="E3244" t="s">
        <v>43</v>
      </c>
      <c r="F3244" t="s">
        <v>83</v>
      </c>
      <c r="G3244">
        <v>33</v>
      </c>
      <c r="H3244">
        <v>33112</v>
      </c>
      <c r="I3244" t="s">
        <v>1887</v>
      </c>
      <c r="J3244">
        <v>96</v>
      </c>
      <c r="K3244">
        <v>75</v>
      </c>
      <c r="L3244">
        <v>98</v>
      </c>
      <c r="M3244">
        <v>633.40002441000001</v>
      </c>
      <c r="N3244" t="s">
        <v>87</v>
      </c>
      <c r="O3244" t="s">
        <v>86</v>
      </c>
      <c r="P3244">
        <v>130</v>
      </c>
      <c r="Q3244">
        <v>5</v>
      </c>
      <c r="R3244">
        <v>8</v>
      </c>
      <c r="S3244">
        <v>1535</v>
      </c>
      <c r="T3244">
        <v>-40</v>
      </c>
      <c r="U3244">
        <v>50</v>
      </c>
      <c r="V3244">
        <v>260</v>
      </c>
      <c r="W3244">
        <v>35</v>
      </c>
      <c r="X3244">
        <v>35</v>
      </c>
      <c r="Y3244">
        <v>1</v>
      </c>
      <c r="Z3244">
        <v>8</v>
      </c>
      <c r="AA3244">
        <v>30</v>
      </c>
      <c r="AB3244">
        <v>2</v>
      </c>
      <c r="AC3244">
        <v>4</v>
      </c>
      <c r="AD3244">
        <v>3.3469998799999998</v>
      </c>
      <c r="AE3244">
        <v>6</v>
      </c>
      <c r="AF3244">
        <v>24</v>
      </c>
      <c r="AG3244">
        <v>3.3410000800000001</v>
      </c>
      <c r="AH3244">
        <v>1</v>
      </c>
      <c r="AI3244">
        <v>17</v>
      </c>
      <c r="AJ3244">
        <v>1</v>
      </c>
      <c r="AK3244">
        <v>19</v>
      </c>
      <c r="AL3244">
        <v>51</v>
      </c>
      <c r="AM3244" t="s">
        <v>43</v>
      </c>
      <c r="AN3244" t="str">
        <f>HYPERLINK("https://www.google.com/maps?q=10.76756191,79.65057373","Open Location")</f>
        <v>Open Location</v>
      </c>
    </row>
    <row r="3245" spans="1:40" x14ac:dyDescent="0.3">
      <c r="A3245" s="1">
        <v>46210.624074074076</v>
      </c>
      <c r="B3245" t="s">
        <v>40</v>
      </c>
      <c r="C3245" t="s">
        <v>41</v>
      </c>
      <c r="D3245" s="1">
        <v>46210.627025462964</v>
      </c>
      <c r="E3245" t="s">
        <v>42</v>
      </c>
      <c r="F3245" t="s">
        <v>83</v>
      </c>
      <c r="G3245">
        <v>33</v>
      </c>
      <c r="H3245">
        <v>33112</v>
      </c>
      <c r="I3245" t="s">
        <v>1888</v>
      </c>
      <c r="J3245">
        <v>96</v>
      </c>
      <c r="K3245">
        <v>57</v>
      </c>
      <c r="L3245">
        <v>98</v>
      </c>
      <c r="M3245">
        <v>633.20001220999995</v>
      </c>
      <c r="N3245" t="s">
        <v>87</v>
      </c>
      <c r="O3245" t="s">
        <v>86</v>
      </c>
      <c r="P3245">
        <v>130</v>
      </c>
      <c r="Q3245">
        <v>5</v>
      </c>
      <c r="R3245">
        <v>42</v>
      </c>
      <c r="S3245">
        <v>1510</v>
      </c>
      <c r="T3245">
        <v>-40</v>
      </c>
      <c r="U3245">
        <v>50</v>
      </c>
      <c r="V3245">
        <v>200</v>
      </c>
      <c r="W3245">
        <v>35</v>
      </c>
      <c r="X3245">
        <v>35</v>
      </c>
      <c r="Y3245">
        <v>1</v>
      </c>
      <c r="Z3245">
        <v>8</v>
      </c>
      <c r="AA3245">
        <v>30</v>
      </c>
      <c r="AB3245">
        <v>2</v>
      </c>
      <c r="AC3245">
        <v>4</v>
      </c>
      <c r="AD3245">
        <v>3.3050000700000002</v>
      </c>
      <c r="AE3245">
        <v>1</v>
      </c>
      <c r="AF3245">
        <v>44</v>
      </c>
      <c r="AG3245">
        <v>3.2980000999999999</v>
      </c>
      <c r="AH3245">
        <v>4</v>
      </c>
      <c r="AI3245">
        <v>17</v>
      </c>
      <c r="AJ3245">
        <v>1</v>
      </c>
      <c r="AK3245">
        <v>19</v>
      </c>
      <c r="AL3245">
        <v>51</v>
      </c>
      <c r="AM3245" t="s">
        <v>43</v>
      </c>
      <c r="AN3245" t="str">
        <f>HYPERLINK("https://www.google.com/maps?q=10.76729012,79.65156555","Open Location")</f>
        <v>Open Location</v>
      </c>
    </row>
    <row r="3246" spans="1:40" x14ac:dyDescent="0.3">
      <c r="A3246" s="1">
        <v>46210.62395833333</v>
      </c>
      <c r="B3246" t="s">
        <v>40</v>
      </c>
      <c r="C3246" t="s">
        <v>41</v>
      </c>
      <c r="D3246" s="1">
        <v>46210.627013888887</v>
      </c>
      <c r="E3246" t="s">
        <v>42</v>
      </c>
      <c r="F3246" t="s">
        <v>83</v>
      </c>
      <c r="G3246">
        <v>34</v>
      </c>
      <c r="H3246">
        <v>33112</v>
      </c>
      <c r="I3246" t="s">
        <v>43</v>
      </c>
      <c r="J3246">
        <v>96</v>
      </c>
      <c r="K3246">
        <v>111</v>
      </c>
      <c r="L3246">
        <v>98</v>
      </c>
      <c r="M3246">
        <v>632</v>
      </c>
      <c r="N3246" t="s">
        <v>87</v>
      </c>
      <c r="O3246" t="s">
        <v>86</v>
      </c>
      <c r="P3246">
        <v>130</v>
      </c>
      <c r="Q3246">
        <v>5</v>
      </c>
      <c r="R3246">
        <v>62</v>
      </c>
      <c r="S3246">
        <v>1526</v>
      </c>
      <c r="T3246">
        <v>-40</v>
      </c>
      <c r="U3246">
        <v>51</v>
      </c>
      <c r="V3246">
        <v>400</v>
      </c>
      <c r="W3246">
        <v>35</v>
      </c>
      <c r="X3246">
        <v>35</v>
      </c>
      <c r="Y3246">
        <v>1</v>
      </c>
      <c r="Z3246">
        <v>8</v>
      </c>
      <c r="AA3246">
        <v>30</v>
      </c>
      <c r="AB3246">
        <v>2</v>
      </c>
      <c r="AC3246">
        <v>4</v>
      </c>
      <c r="AD3246">
        <v>3.3050000700000002</v>
      </c>
      <c r="AE3246">
        <v>1</v>
      </c>
      <c r="AF3246">
        <v>44</v>
      </c>
      <c r="AG3246">
        <v>3.2980000999999999</v>
      </c>
      <c r="AH3246">
        <v>4</v>
      </c>
      <c r="AI3246">
        <v>17</v>
      </c>
      <c r="AJ3246">
        <v>1</v>
      </c>
      <c r="AK3246">
        <v>19</v>
      </c>
      <c r="AL3246">
        <v>51</v>
      </c>
      <c r="AM3246" t="s">
        <v>43</v>
      </c>
      <c r="AN3246" t="s">
        <v>43</v>
      </c>
    </row>
    <row r="3247" spans="1:40" x14ac:dyDescent="0.3">
      <c r="A3247" s="1">
        <v>46210.623842592591</v>
      </c>
      <c r="B3247" t="s">
        <v>40</v>
      </c>
      <c r="C3247" t="s">
        <v>41</v>
      </c>
      <c r="D3247" s="1">
        <v>46210.626747685186</v>
      </c>
      <c r="E3247" t="s">
        <v>42</v>
      </c>
      <c r="F3247" t="s">
        <v>83</v>
      </c>
      <c r="G3247">
        <v>33</v>
      </c>
      <c r="H3247">
        <v>33112</v>
      </c>
      <c r="I3247" t="s">
        <v>1889</v>
      </c>
      <c r="J3247">
        <v>96</v>
      </c>
      <c r="K3247">
        <v>93</v>
      </c>
      <c r="L3247">
        <v>98</v>
      </c>
      <c r="M3247">
        <v>632.29998779000005</v>
      </c>
      <c r="N3247" t="s">
        <v>87</v>
      </c>
      <c r="O3247" t="s">
        <v>86</v>
      </c>
      <c r="P3247">
        <v>130</v>
      </c>
      <c r="Q3247">
        <v>5</v>
      </c>
      <c r="R3247">
        <v>53</v>
      </c>
      <c r="S3247">
        <v>1502</v>
      </c>
      <c r="T3247">
        <v>-40</v>
      </c>
      <c r="U3247">
        <v>51</v>
      </c>
      <c r="V3247">
        <v>340</v>
      </c>
      <c r="W3247">
        <v>35</v>
      </c>
      <c r="X3247">
        <v>35</v>
      </c>
      <c r="Y3247">
        <v>1</v>
      </c>
      <c r="Z3247">
        <v>8</v>
      </c>
      <c r="AA3247">
        <v>30</v>
      </c>
      <c r="AB3247">
        <v>2</v>
      </c>
      <c r="AC3247">
        <v>6</v>
      </c>
      <c r="AD3247">
        <v>3.3029999700000001</v>
      </c>
      <c r="AE3247">
        <v>1</v>
      </c>
      <c r="AF3247">
        <v>44</v>
      </c>
      <c r="AG3247">
        <v>3.2959999999999998</v>
      </c>
      <c r="AH3247">
        <v>4</v>
      </c>
      <c r="AI3247">
        <v>17</v>
      </c>
      <c r="AJ3247">
        <v>1</v>
      </c>
      <c r="AK3247">
        <v>19</v>
      </c>
      <c r="AL3247">
        <v>50</v>
      </c>
      <c r="AM3247" t="s">
        <v>43</v>
      </c>
      <c r="AN3247" t="str">
        <f>HYPERLINK("https://www.google.com/maps?q=10.76710796,79.652565","Open Location")</f>
        <v>Open Location</v>
      </c>
    </row>
    <row r="3248" spans="1:40" x14ac:dyDescent="0.3">
      <c r="A3248" s="1">
        <v>46210.623726851853</v>
      </c>
      <c r="B3248" t="s">
        <v>40</v>
      </c>
      <c r="C3248" t="s">
        <v>41</v>
      </c>
      <c r="D3248" s="1">
        <v>46210.626620370371</v>
      </c>
      <c r="E3248" t="s">
        <v>42</v>
      </c>
      <c r="F3248" t="s">
        <v>83</v>
      </c>
      <c r="G3248">
        <v>34</v>
      </c>
      <c r="H3248">
        <v>33112</v>
      </c>
      <c r="I3248" t="s">
        <v>1890</v>
      </c>
      <c r="J3248">
        <v>96</v>
      </c>
      <c r="K3248">
        <v>76</v>
      </c>
      <c r="L3248">
        <v>98</v>
      </c>
      <c r="M3248">
        <v>632.5</v>
      </c>
      <c r="N3248" t="s">
        <v>87</v>
      </c>
      <c r="O3248" t="s">
        <v>86</v>
      </c>
      <c r="P3248">
        <v>130</v>
      </c>
      <c r="Q3248">
        <v>5</v>
      </c>
      <c r="R3248">
        <v>38</v>
      </c>
      <c r="S3248">
        <v>1552</v>
      </c>
      <c r="T3248">
        <v>-40</v>
      </c>
      <c r="U3248">
        <v>51</v>
      </c>
      <c r="V3248">
        <v>260</v>
      </c>
      <c r="W3248">
        <v>35</v>
      </c>
      <c r="X3248">
        <v>35</v>
      </c>
      <c r="Y3248">
        <v>1</v>
      </c>
      <c r="Z3248">
        <v>8</v>
      </c>
      <c r="AA3248">
        <v>30</v>
      </c>
      <c r="AB3248">
        <v>2</v>
      </c>
      <c r="AC3248">
        <v>6</v>
      </c>
      <c r="AD3248">
        <v>3.3059999900000001</v>
      </c>
      <c r="AE3248">
        <v>1</v>
      </c>
      <c r="AF3248">
        <v>44</v>
      </c>
      <c r="AG3248">
        <v>3.2980000999999999</v>
      </c>
      <c r="AH3248">
        <v>4</v>
      </c>
      <c r="AI3248">
        <v>17</v>
      </c>
      <c r="AJ3248">
        <v>1</v>
      </c>
      <c r="AK3248">
        <v>19</v>
      </c>
      <c r="AL3248">
        <v>50</v>
      </c>
      <c r="AM3248" t="s">
        <v>43</v>
      </c>
      <c r="AN3248" t="str">
        <f>HYPERLINK("https://www.google.com/maps?q=10.76689625,79.65356445","Open Location")</f>
        <v>Open Location</v>
      </c>
    </row>
    <row r="3249" spans="1:40" x14ac:dyDescent="0.3">
      <c r="A3249" s="1">
        <v>46210.623611111114</v>
      </c>
      <c r="B3249" t="s">
        <v>40</v>
      </c>
      <c r="C3249" t="s">
        <v>41</v>
      </c>
      <c r="D3249" s="1">
        <v>46210.626354166663</v>
      </c>
      <c r="E3249" t="s">
        <v>42</v>
      </c>
      <c r="F3249" t="s">
        <v>83</v>
      </c>
      <c r="G3249">
        <v>33</v>
      </c>
      <c r="H3249" t="s">
        <v>43</v>
      </c>
      <c r="I3249" t="s">
        <v>1891</v>
      </c>
      <c r="J3249">
        <v>96</v>
      </c>
      <c r="K3249">
        <v>141</v>
      </c>
      <c r="L3249">
        <v>98</v>
      </c>
      <c r="M3249">
        <v>631</v>
      </c>
      <c r="N3249" t="s">
        <v>87</v>
      </c>
      <c r="O3249" t="s">
        <v>86</v>
      </c>
      <c r="P3249">
        <v>130</v>
      </c>
      <c r="Q3249">
        <v>5</v>
      </c>
      <c r="R3249">
        <v>58</v>
      </c>
      <c r="S3249">
        <v>1511</v>
      </c>
      <c r="T3249">
        <v>-40</v>
      </c>
      <c r="U3249">
        <v>52</v>
      </c>
      <c r="V3249">
        <v>340</v>
      </c>
      <c r="W3249">
        <v>35</v>
      </c>
      <c r="X3249">
        <v>35</v>
      </c>
      <c r="Y3249">
        <v>1</v>
      </c>
      <c r="Z3249">
        <v>8</v>
      </c>
      <c r="AA3249">
        <v>30</v>
      </c>
      <c r="AB3249">
        <v>2</v>
      </c>
      <c r="AC3249">
        <v>6</v>
      </c>
      <c r="AD3249">
        <v>3.3020000500000002</v>
      </c>
      <c r="AE3249">
        <v>1</v>
      </c>
      <c r="AF3249">
        <v>44</v>
      </c>
      <c r="AG3249">
        <v>3.2929999799999998</v>
      </c>
      <c r="AH3249">
        <v>4</v>
      </c>
      <c r="AI3249">
        <v>17</v>
      </c>
      <c r="AJ3249">
        <v>1</v>
      </c>
      <c r="AK3249">
        <v>19</v>
      </c>
      <c r="AL3249">
        <v>50</v>
      </c>
      <c r="AM3249" t="s">
        <v>43</v>
      </c>
      <c r="AN3249" t="str">
        <f>HYPERLINK("https://www.google.com/maps?q=10.76686192,79.65459442","Open Location")</f>
        <v>Open Location</v>
      </c>
    </row>
    <row r="3250" spans="1:40" x14ac:dyDescent="0.3">
      <c r="A3250" s="1">
        <v>46210.623495370368</v>
      </c>
      <c r="B3250" t="s">
        <v>40</v>
      </c>
      <c r="C3250" t="s">
        <v>41</v>
      </c>
      <c r="D3250" s="1">
        <v>46210.626168981478</v>
      </c>
      <c r="E3250" t="s">
        <v>43</v>
      </c>
      <c r="F3250" t="s">
        <v>83</v>
      </c>
      <c r="G3250">
        <v>32</v>
      </c>
      <c r="H3250">
        <v>33111</v>
      </c>
      <c r="I3250" t="s">
        <v>1892</v>
      </c>
      <c r="J3250">
        <v>97</v>
      </c>
      <c r="K3250">
        <v>67</v>
      </c>
      <c r="L3250">
        <v>98</v>
      </c>
      <c r="M3250">
        <v>633.29998779000005</v>
      </c>
      <c r="N3250" t="s">
        <v>87</v>
      </c>
      <c r="O3250" t="s">
        <v>86</v>
      </c>
      <c r="P3250">
        <v>130</v>
      </c>
      <c r="Q3250">
        <v>5</v>
      </c>
      <c r="R3250">
        <v>33</v>
      </c>
      <c r="S3250">
        <v>1475</v>
      </c>
      <c r="T3250">
        <v>-40</v>
      </c>
      <c r="U3250">
        <v>51</v>
      </c>
      <c r="V3250">
        <v>220</v>
      </c>
      <c r="W3250">
        <v>35</v>
      </c>
      <c r="X3250">
        <v>35</v>
      </c>
      <c r="Y3250">
        <v>1</v>
      </c>
      <c r="Z3250">
        <v>8</v>
      </c>
      <c r="AA3250">
        <v>30</v>
      </c>
      <c r="AB3250">
        <v>2</v>
      </c>
      <c r="AC3250">
        <v>6</v>
      </c>
      <c r="AD3250">
        <v>3.3059999900000001</v>
      </c>
      <c r="AE3250">
        <v>1</v>
      </c>
      <c r="AF3250">
        <v>44</v>
      </c>
      <c r="AG3250">
        <v>3.2969999300000001</v>
      </c>
      <c r="AH3250">
        <v>4</v>
      </c>
      <c r="AI3250">
        <v>17</v>
      </c>
      <c r="AJ3250">
        <v>1</v>
      </c>
      <c r="AK3250">
        <v>19</v>
      </c>
      <c r="AL3250">
        <v>50</v>
      </c>
      <c r="AM3250" t="s">
        <v>43</v>
      </c>
      <c r="AN3250" t="str">
        <f>HYPERLINK("https://www.google.com/maps?q=10.76673889,79.65557861","Open Location")</f>
        <v>Open Location</v>
      </c>
    </row>
    <row r="3251" spans="1:40" x14ac:dyDescent="0.3">
      <c r="A3251" s="1">
        <v>46210.623379629629</v>
      </c>
      <c r="B3251" t="s">
        <v>40</v>
      </c>
      <c r="C3251" t="s">
        <v>41</v>
      </c>
      <c r="D3251" s="1">
        <v>46210.626168981478</v>
      </c>
      <c r="E3251" t="s">
        <v>42</v>
      </c>
      <c r="F3251" t="s">
        <v>83</v>
      </c>
      <c r="G3251">
        <v>32</v>
      </c>
      <c r="H3251" t="s">
        <v>43</v>
      </c>
      <c r="I3251" t="s">
        <v>1893</v>
      </c>
      <c r="J3251">
        <v>97</v>
      </c>
      <c r="K3251">
        <v>115</v>
      </c>
      <c r="L3251">
        <v>98</v>
      </c>
      <c r="M3251">
        <v>631.70001220999995</v>
      </c>
      <c r="N3251" t="s">
        <v>87</v>
      </c>
      <c r="O3251" t="s">
        <v>86</v>
      </c>
      <c r="P3251">
        <v>130</v>
      </c>
      <c r="Q3251">
        <v>5</v>
      </c>
      <c r="R3251">
        <v>40</v>
      </c>
      <c r="S3251">
        <v>1465</v>
      </c>
      <c r="T3251">
        <v>-40</v>
      </c>
      <c r="U3251">
        <v>54</v>
      </c>
      <c r="V3251">
        <v>400</v>
      </c>
      <c r="W3251">
        <v>35</v>
      </c>
      <c r="X3251">
        <v>35</v>
      </c>
      <c r="Y3251">
        <v>1</v>
      </c>
      <c r="Z3251">
        <v>8</v>
      </c>
      <c r="AA3251">
        <v>30</v>
      </c>
      <c r="AB3251">
        <v>2</v>
      </c>
      <c r="AC3251">
        <v>6</v>
      </c>
      <c r="AD3251">
        <v>3.3110001100000002</v>
      </c>
      <c r="AE3251">
        <v>1</v>
      </c>
      <c r="AF3251">
        <v>44</v>
      </c>
      <c r="AG3251">
        <v>3.3020000500000002</v>
      </c>
      <c r="AH3251">
        <v>6</v>
      </c>
      <c r="AI3251">
        <v>17</v>
      </c>
      <c r="AJ3251">
        <v>1</v>
      </c>
      <c r="AK3251">
        <v>19</v>
      </c>
      <c r="AL3251">
        <v>50</v>
      </c>
      <c r="AM3251" t="s">
        <v>43</v>
      </c>
      <c r="AN3251" t="str">
        <f>HYPERLINK("https://www.google.com/maps?q=10.76646328,79.65652466","Open Location")</f>
        <v>Open Location</v>
      </c>
    </row>
    <row r="3252" spans="1:40" x14ac:dyDescent="0.3">
      <c r="A3252" s="1">
        <v>46210.623263888891</v>
      </c>
      <c r="B3252" t="s">
        <v>40</v>
      </c>
      <c r="C3252" t="s">
        <v>41</v>
      </c>
      <c r="D3252" s="1">
        <v>46210.626331018517</v>
      </c>
      <c r="E3252" t="s">
        <v>42</v>
      </c>
      <c r="F3252" t="s">
        <v>83</v>
      </c>
      <c r="G3252">
        <v>31</v>
      </c>
      <c r="H3252">
        <v>33111</v>
      </c>
      <c r="I3252" t="s">
        <v>43</v>
      </c>
      <c r="J3252">
        <v>97</v>
      </c>
      <c r="K3252">
        <v>139</v>
      </c>
      <c r="L3252">
        <v>98</v>
      </c>
      <c r="M3252">
        <v>630.09997558999999</v>
      </c>
      <c r="N3252" t="s">
        <v>87</v>
      </c>
      <c r="O3252" t="s">
        <v>86</v>
      </c>
      <c r="P3252">
        <v>130</v>
      </c>
      <c r="Q3252">
        <v>5</v>
      </c>
      <c r="R3252">
        <v>80</v>
      </c>
      <c r="S3252">
        <v>1419</v>
      </c>
      <c r="T3252">
        <v>-40</v>
      </c>
      <c r="U3252">
        <v>54</v>
      </c>
      <c r="V3252">
        <v>540</v>
      </c>
      <c r="W3252">
        <v>35</v>
      </c>
      <c r="X3252">
        <v>35</v>
      </c>
      <c r="Y3252">
        <v>1</v>
      </c>
      <c r="Z3252">
        <v>8</v>
      </c>
      <c r="AA3252">
        <v>30</v>
      </c>
      <c r="AB3252">
        <v>2</v>
      </c>
      <c r="AC3252">
        <v>6</v>
      </c>
      <c r="AD3252">
        <v>3.2950000799999999</v>
      </c>
      <c r="AE3252">
        <v>1</v>
      </c>
      <c r="AF3252">
        <v>44</v>
      </c>
      <c r="AG3252">
        <v>3.28500009</v>
      </c>
      <c r="AH3252">
        <v>4</v>
      </c>
      <c r="AI3252">
        <v>17</v>
      </c>
      <c r="AJ3252">
        <v>1</v>
      </c>
      <c r="AK3252">
        <v>19</v>
      </c>
      <c r="AL3252">
        <v>50</v>
      </c>
      <c r="AM3252" t="s">
        <v>43</v>
      </c>
      <c r="AN3252" t="s">
        <v>43</v>
      </c>
    </row>
    <row r="3253" spans="1:40" x14ac:dyDescent="0.3">
      <c r="A3253" s="1">
        <v>46210.623148148145</v>
      </c>
      <c r="B3253" t="s">
        <v>40</v>
      </c>
      <c r="C3253" t="s">
        <v>41</v>
      </c>
      <c r="D3253" s="1">
        <v>46210.625868055555</v>
      </c>
      <c r="E3253" t="s">
        <v>42</v>
      </c>
      <c r="F3253" t="s">
        <v>83</v>
      </c>
      <c r="G3253">
        <v>28</v>
      </c>
      <c r="H3253">
        <v>33111</v>
      </c>
      <c r="I3253" t="s">
        <v>1894</v>
      </c>
      <c r="J3253">
        <v>97</v>
      </c>
      <c r="K3253">
        <v>139</v>
      </c>
      <c r="L3253">
        <v>98</v>
      </c>
      <c r="M3253">
        <v>629.90002441000001</v>
      </c>
      <c r="N3253" t="s">
        <v>87</v>
      </c>
      <c r="O3253" t="s">
        <v>86</v>
      </c>
      <c r="P3253">
        <v>130</v>
      </c>
      <c r="Q3253">
        <v>5</v>
      </c>
      <c r="R3253">
        <v>105</v>
      </c>
      <c r="S3253">
        <v>1245</v>
      </c>
      <c r="T3253">
        <v>-40</v>
      </c>
      <c r="U3253">
        <v>54</v>
      </c>
      <c r="V3253">
        <v>600</v>
      </c>
      <c r="W3253">
        <v>35</v>
      </c>
      <c r="X3253">
        <v>35</v>
      </c>
      <c r="Y3253">
        <v>1</v>
      </c>
      <c r="Z3253">
        <v>8</v>
      </c>
      <c r="AA3253">
        <v>30</v>
      </c>
      <c r="AB3253">
        <v>2</v>
      </c>
      <c r="AC3253">
        <v>6</v>
      </c>
      <c r="AD3253">
        <v>3.2929999799999998</v>
      </c>
      <c r="AE3253">
        <v>1</v>
      </c>
      <c r="AF3253">
        <v>44</v>
      </c>
      <c r="AG3253">
        <v>3.28299999</v>
      </c>
      <c r="AH3253">
        <v>4</v>
      </c>
      <c r="AI3253">
        <v>17</v>
      </c>
      <c r="AJ3253">
        <v>1</v>
      </c>
      <c r="AK3253">
        <v>17</v>
      </c>
      <c r="AL3253">
        <v>50</v>
      </c>
      <c r="AM3253" t="s">
        <v>43</v>
      </c>
      <c r="AN3253" t="str">
        <f>HYPERLINK("https://www.google.com/maps?q=10.76608944,79.65749359","Open Location")</f>
        <v>Open Location</v>
      </c>
    </row>
    <row r="3254" spans="1:40" x14ac:dyDescent="0.3">
      <c r="A3254" s="1">
        <v>46210.623032407406</v>
      </c>
      <c r="B3254" t="s">
        <v>40</v>
      </c>
      <c r="C3254" t="s">
        <v>41</v>
      </c>
      <c r="D3254" s="1">
        <v>46210.625937500001</v>
      </c>
      <c r="E3254" t="s">
        <v>42</v>
      </c>
      <c r="F3254" t="s">
        <v>83</v>
      </c>
      <c r="G3254">
        <v>24</v>
      </c>
      <c r="H3254">
        <v>33111</v>
      </c>
      <c r="I3254" t="s">
        <v>1895</v>
      </c>
      <c r="J3254">
        <v>97</v>
      </c>
      <c r="K3254">
        <v>163</v>
      </c>
      <c r="L3254">
        <v>98</v>
      </c>
      <c r="M3254">
        <v>630.29998779000005</v>
      </c>
      <c r="N3254" t="s">
        <v>87</v>
      </c>
      <c r="O3254" t="s">
        <v>86</v>
      </c>
      <c r="P3254">
        <v>129</v>
      </c>
      <c r="Q3254">
        <v>5</v>
      </c>
      <c r="R3254">
        <v>91</v>
      </c>
      <c r="S3254">
        <v>1781</v>
      </c>
      <c r="T3254">
        <v>-40</v>
      </c>
      <c r="U3254">
        <v>53</v>
      </c>
      <c r="V3254">
        <v>520</v>
      </c>
      <c r="W3254">
        <v>35</v>
      </c>
      <c r="X3254">
        <v>35</v>
      </c>
      <c r="Y3254">
        <v>1</v>
      </c>
      <c r="Z3254">
        <v>8</v>
      </c>
      <c r="AA3254">
        <v>30</v>
      </c>
      <c r="AB3254">
        <v>2</v>
      </c>
      <c r="AC3254">
        <v>6</v>
      </c>
      <c r="AD3254">
        <v>3.2939999100000001</v>
      </c>
      <c r="AE3254">
        <v>1</v>
      </c>
      <c r="AF3254">
        <v>44</v>
      </c>
      <c r="AG3254">
        <v>3.28299999</v>
      </c>
      <c r="AH3254">
        <v>4</v>
      </c>
      <c r="AI3254">
        <v>17</v>
      </c>
      <c r="AJ3254">
        <v>1</v>
      </c>
      <c r="AK3254">
        <v>17</v>
      </c>
      <c r="AL3254">
        <v>50</v>
      </c>
      <c r="AM3254" t="s">
        <v>43</v>
      </c>
      <c r="AN3254" t="str">
        <f>HYPERLINK("https://www.google.com/maps?q=10.76577663,79.65828705","Open Location")</f>
        <v>Open Location</v>
      </c>
    </row>
    <row r="3255" spans="1:40" x14ac:dyDescent="0.3">
      <c r="A3255" s="1">
        <v>46210.622916666667</v>
      </c>
      <c r="B3255" t="s">
        <v>40</v>
      </c>
      <c r="C3255" t="s">
        <v>41</v>
      </c>
      <c r="D3255" s="1">
        <v>46210.625555555554</v>
      </c>
      <c r="E3255" t="s">
        <v>42</v>
      </c>
      <c r="F3255" t="s">
        <v>83</v>
      </c>
      <c r="G3255">
        <v>18</v>
      </c>
      <c r="H3255">
        <v>33111</v>
      </c>
      <c r="I3255" t="s">
        <v>1896</v>
      </c>
      <c r="J3255">
        <v>97</v>
      </c>
      <c r="K3255">
        <v>169</v>
      </c>
      <c r="L3255">
        <v>98</v>
      </c>
      <c r="M3255">
        <v>630.59997558999999</v>
      </c>
      <c r="N3255" t="s">
        <v>87</v>
      </c>
      <c r="O3255" t="s">
        <v>86</v>
      </c>
      <c r="P3255">
        <v>129</v>
      </c>
      <c r="Q3255">
        <v>4</v>
      </c>
      <c r="R3255">
        <v>116</v>
      </c>
      <c r="S3255">
        <v>1359</v>
      </c>
      <c r="T3255">
        <v>-40</v>
      </c>
      <c r="U3255">
        <v>52</v>
      </c>
      <c r="V3255">
        <v>880</v>
      </c>
      <c r="W3255">
        <v>35</v>
      </c>
      <c r="X3255">
        <v>35</v>
      </c>
      <c r="Y3255">
        <v>1</v>
      </c>
      <c r="Z3255">
        <v>8</v>
      </c>
      <c r="AA3255">
        <v>30</v>
      </c>
      <c r="AB3255">
        <v>2</v>
      </c>
      <c r="AC3255">
        <v>6</v>
      </c>
      <c r="AD3255">
        <v>3.2980000999999999</v>
      </c>
      <c r="AE3255">
        <v>1</v>
      </c>
      <c r="AF3255">
        <v>44</v>
      </c>
      <c r="AG3255">
        <v>3.28900003</v>
      </c>
      <c r="AH3255">
        <v>4</v>
      </c>
      <c r="AI3255">
        <v>17</v>
      </c>
      <c r="AJ3255">
        <v>1</v>
      </c>
      <c r="AK3255">
        <v>18</v>
      </c>
      <c r="AL3255">
        <v>50</v>
      </c>
      <c r="AM3255" t="s">
        <v>43</v>
      </c>
      <c r="AN3255" t="str">
        <f>HYPERLINK("https://www.google.com/maps?q=10.76555157,79.65895844","Open Location")</f>
        <v>Open Location</v>
      </c>
    </row>
    <row r="3256" spans="1:40" x14ac:dyDescent="0.3">
      <c r="A3256" s="1">
        <v>46210.622800925928</v>
      </c>
      <c r="B3256" t="s">
        <v>40</v>
      </c>
      <c r="C3256" t="s">
        <v>41</v>
      </c>
      <c r="D3256" s="1">
        <v>46210.625497685185</v>
      </c>
      <c r="E3256" t="s">
        <v>43</v>
      </c>
      <c r="F3256" t="s">
        <v>83</v>
      </c>
      <c r="G3256">
        <v>11</v>
      </c>
      <c r="H3256" t="s">
        <v>43</v>
      </c>
      <c r="I3256" t="s">
        <v>1897</v>
      </c>
      <c r="J3256">
        <v>97</v>
      </c>
      <c r="K3256">
        <v>-133</v>
      </c>
      <c r="L3256">
        <v>98</v>
      </c>
      <c r="M3256">
        <v>640.5</v>
      </c>
      <c r="N3256" t="s">
        <v>87</v>
      </c>
      <c r="O3256" t="s">
        <v>86</v>
      </c>
      <c r="P3256">
        <v>129</v>
      </c>
      <c r="Q3256">
        <v>3</v>
      </c>
      <c r="R3256">
        <v>-10</v>
      </c>
      <c r="S3256">
        <v>1148</v>
      </c>
      <c r="T3256">
        <v>-40</v>
      </c>
      <c r="U3256">
        <v>52</v>
      </c>
      <c r="V3256">
        <v>-760</v>
      </c>
      <c r="W3256">
        <v>35</v>
      </c>
      <c r="X3256">
        <v>35</v>
      </c>
      <c r="Y3256">
        <v>1</v>
      </c>
      <c r="Z3256">
        <v>8</v>
      </c>
      <c r="AA3256">
        <v>30</v>
      </c>
      <c r="AB3256">
        <v>2</v>
      </c>
      <c r="AC3256">
        <v>6</v>
      </c>
      <c r="AD3256">
        <v>3.3020000500000002</v>
      </c>
      <c r="AE3256">
        <v>1</v>
      </c>
      <c r="AF3256">
        <v>44</v>
      </c>
      <c r="AG3256">
        <v>3.2920000599999999</v>
      </c>
      <c r="AH3256">
        <v>4</v>
      </c>
      <c r="AI3256">
        <v>17</v>
      </c>
      <c r="AJ3256">
        <v>1</v>
      </c>
      <c r="AK3256">
        <v>19</v>
      </c>
      <c r="AL3256">
        <v>50</v>
      </c>
      <c r="AM3256" t="s">
        <v>43</v>
      </c>
      <c r="AN3256" t="str">
        <f>HYPERLINK("https://www.google.com/maps?q=10.7654686,79.65937805","Open Location")</f>
        <v>Open Location</v>
      </c>
    </row>
    <row r="3257" spans="1:40" x14ac:dyDescent="0.3">
      <c r="A3257" s="1">
        <v>46210.622685185182</v>
      </c>
      <c r="B3257" t="s">
        <v>40</v>
      </c>
      <c r="C3257" t="s">
        <v>41</v>
      </c>
      <c r="D3257" s="1">
        <v>46210.625439814816</v>
      </c>
      <c r="E3257" t="s">
        <v>42</v>
      </c>
      <c r="F3257" t="s">
        <v>83</v>
      </c>
      <c r="G3257">
        <v>23</v>
      </c>
      <c r="H3257">
        <v>33111</v>
      </c>
      <c r="I3257" t="s">
        <v>1898</v>
      </c>
      <c r="J3257">
        <v>97</v>
      </c>
      <c r="K3257">
        <v>102</v>
      </c>
      <c r="L3257">
        <v>98</v>
      </c>
      <c r="M3257">
        <v>633.20001220999995</v>
      </c>
      <c r="N3257" t="s">
        <v>87</v>
      </c>
      <c r="O3257" t="s">
        <v>86</v>
      </c>
      <c r="P3257">
        <v>129</v>
      </c>
      <c r="Q3257">
        <v>4</v>
      </c>
      <c r="R3257">
        <v>60</v>
      </c>
      <c r="S3257">
        <v>1672</v>
      </c>
      <c r="T3257">
        <v>-40</v>
      </c>
      <c r="U3257">
        <v>52</v>
      </c>
      <c r="V3257">
        <v>340</v>
      </c>
      <c r="W3257">
        <v>35</v>
      </c>
      <c r="X3257">
        <v>35</v>
      </c>
      <c r="Y3257">
        <v>1</v>
      </c>
      <c r="Z3257">
        <v>8</v>
      </c>
      <c r="AA3257">
        <v>30</v>
      </c>
      <c r="AB3257">
        <v>2</v>
      </c>
      <c r="AC3257">
        <v>6</v>
      </c>
      <c r="AD3257">
        <v>3.3239998800000001</v>
      </c>
      <c r="AE3257">
        <v>1</v>
      </c>
      <c r="AF3257">
        <v>44</v>
      </c>
      <c r="AG3257">
        <v>3.31800008</v>
      </c>
      <c r="AH3257">
        <v>1</v>
      </c>
      <c r="AI3257">
        <v>17</v>
      </c>
      <c r="AJ3257">
        <v>1</v>
      </c>
      <c r="AK3257">
        <v>18</v>
      </c>
      <c r="AL3257">
        <v>50</v>
      </c>
      <c r="AM3257" t="s">
        <v>43</v>
      </c>
      <c r="AN3257" t="str">
        <f>HYPERLINK("https://www.google.com/maps?q=10.76541901,79.66003418","Open Location")</f>
        <v>Open Location</v>
      </c>
    </row>
    <row r="3258" spans="1:40" x14ac:dyDescent="0.3">
      <c r="A3258" s="1">
        <v>46210.622569444444</v>
      </c>
      <c r="B3258" t="s">
        <v>40</v>
      </c>
      <c r="C3258" t="s">
        <v>41</v>
      </c>
      <c r="D3258" s="1">
        <v>46210.625347222223</v>
      </c>
      <c r="E3258" t="s">
        <v>42</v>
      </c>
      <c r="F3258" t="s">
        <v>83</v>
      </c>
      <c r="G3258">
        <v>19</v>
      </c>
      <c r="H3258">
        <v>33111</v>
      </c>
      <c r="I3258" t="s">
        <v>43</v>
      </c>
      <c r="J3258">
        <v>97</v>
      </c>
      <c r="K3258">
        <v>157</v>
      </c>
      <c r="L3258">
        <v>98</v>
      </c>
      <c r="M3258">
        <v>631.70001220999995</v>
      </c>
      <c r="N3258" t="s">
        <v>87</v>
      </c>
      <c r="O3258" t="s">
        <v>86</v>
      </c>
      <c r="P3258">
        <v>129</v>
      </c>
      <c r="Q3258">
        <v>4</v>
      </c>
      <c r="R3258">
        <v>77</v>
      </c>
      <c r="S3258">
        <v>1354</v>
      </c>
      <c r="T3258">
        <v>-40</v>
      </c>
      <c r="U3258">
        <v>52</v>
      </c>
      <c r="V3258">
        <v>620</v>
      </c>
      <c r="W3258">
        <v>35</v>
      </c>
      <c r="X3258">
        <v>35</v>
      </c>
      <c r="Y3258">
        <v>1</v>
      </c>
      <c r="Z3258">
        <v>8</v>
      </c>
      <c r="AA3258">
        <v>30</v>
      </c>
      <c r="AB3258">
        <v>2</v>
      </c>
      <c r="AC3258">
        <v>6</v>
      </c>
      <c r="AD3258">
        <v>3.3059999900000001</v>
      </c>
      <c r="AE3258">
        <v>1</v>
      </c>
      <c r="AF3258">
        <v>44</v>
      </c>
      <c r="AG3258">
        <v>3.2969999300000001</v>
      </c>
      <c r="AH3258">
        <v>4</v>
      </c>
      <c r="AI3258">
        <v>17</v>
      </c>
      <c r="AJ3258">
        <v>1</v>
      </c>
      <c r="AK3258">
        <v>18</v>
      </c>
      <c r="AL3258">
        <v>50</v>
      </c>
      <c r="AM3258" t="s">
        <v>43</v>
      </c>
      <c r="AN3258" t="s">
        <v>43</v>
      </c>
    </row>
    <row r="3259" spans="1:40" x14ac:dyDescent="0.3">
      <c r="A3259" s="1">
        <v>46210.622453703705</v>
      </c>
      <c r="B3259" t="s">
        <v>40</v>
      </c>
      <c r="C3259" t="s">
        <v>41</v>
      </c>
      <c r="D3259" s="1">
        <v>46210.625405092593</v>
      </c>
      <c r="E3259" t="s">
        <v>42</v>
      </c>
      <c r="F3259" t="s">
        <v>83</v>
      </c>
      <c r="G3259">
        <v>12</v>
      </c>
      <c r="H3259" t="s">
        <v>43</v>
      </c>
      <c r="I3259" t="s">
        <v>1899</v>
      </c>
      <c r="J3259">
        <v>97</v>
      </c>
      <c r="K3259">
        <v>22</v>
      </c>
      <c r="L3259">
        <v>98</v>
      </c>
      <c r="M3259">
        <v>637.09997558999999</v>
      </c>
      <c r="N3259" t="s">
        <v>87</v>
      </c>
      <c r="O3259" t="s">
        <v>86</v>
      </c>
      <c r="P3259">
        <v>128</v>
      </c>
      <c r="Q3259">
        <v>3</v>
      </c>
      <c r="R3259">
        <v>75</v>
      </c>
      <c r="S3259">
        <v>510</v>
      </c>
      <c r="T3259">
        <v>-40</v>
      </c>
      <c r="U3259">
        <v>51</v>
      </c>
      <c r="V3259">
        <v>0</v>
      </c>
      <c r="W3259">
        <v>35</v>
      </c>
      <c r="X3259">
        <v>35</v>
      </c>
      <c r="Y3259">
        <v>1</v>
      </c>
      <c r="Z3259">
        <v>8</v>
      </c>
      <c r="AA3259">
        <v>30</v>
      </c>
      <c r="AB3259">
        <v>2</v>
      </c>
      <c r="AC3259">
        <v>6</v>
      </c>
      <c r="AD3259">
        <v>3.3020000500000002</v>
      </c>
      <c r="AE3259">
        <v>1</v>
      </c>
      <c r="AF3259">
        <v>44</v>
      </c>
      <c r="AG3259">
        <v>3.2869999399999998</v>
      </c>
      <c r="AH3259">
        <v>4</v>
      </c>
      <c r="AI3259">
        <v>17</v>
      </c>
      <c r="AJ3259">
        <v>1</v>
      </c>
      <c r="AK3259">
        <v>18</v>
      </c>
      <c r="AL3259">
        <v>50</v>
      </c>
      <c r="AM3259" t="s">
        <v>43</v>
      </c>
      <c r="AN3259" t="str">
        <f>HYPERLINK("https://www.google.com/maps?q=10.765378,79.66062927","Open Location")</f>
        <v>Open Location</v>
      </c>
    </row>
    <row r="3260" spans="1:40" x14ac:dyDescent="0.3">
      <c r="A3260" s="1">
        <v>46210.622337962966</v>
      </c>
      <c r="B3260" t="s">
        <v>40</v>
      </c>
      <c r="C3260" t="s">
        <v>41</v>
      </c>
      <c r="D3260" s="1">
        <v>46210.625173611108</v>
      </c>
      <c r="E3260" t="s">
        <v>42</v>
      </c>
      <c r="F3260" t="s">
        <v>83</v>
      </c>
      <c r="G3260">
        <v>32</v>
      </c>
      <c r="H3260">
        <v>33111</v>
      </c>
      <c r="I3260" t="s">
        <v>1900</v>
      </c>
      <c r="J3260">
        <v>97</v>
      </c>
      <c r="K3260">
        <v>-165</v>
      </c>
      <c r="L3260">
        <v>98</v>
      </c>
      <c r="M3260">
        <v>643.70001220999995</v>
      </c>
      <c r="N3260" t="s">
        <v>87</v>
      </c>
      <c r="O3260" t="s">
        <v>86</v>
      </c>
      <c r="P3260">
        <v>130</v>
      </c>
      <c r="Q3260">
        <v>5</v>
      </c>
      <c r="R3260">
        <v>-29</v>
      </c>
      <c r="S3260">
        <v>1547</v>
      </c>
      <c r="T3260">
        <v>-40</v>
      </c>
      <c r="U3260">
        <v>51</v>
      </c>
      <c r="V3260">
        <v>-940</v>
      </c>
      <c r="W3260">
        <v>35</v>
      </c>
      <c r="X3260">
        <v>35</v>
      </c>
      <c r="Y3260">
        <v>1</v>
      </c>
      <c r="Z3260">
        <v>8</v>
      </c>
      <c r="AA3260">
        <v>30</v>
      </c>
      <c r="AB3260">
        <v>2</v>
      </c>
      <c r="AC3260">
        <v>6</v>
      </c>
      <c r="AD3260">
        <v>3.3469998799999998</v>
      </c>
      <c r="AE3260">
        <v>3</v>
      </c>
      <c r="AF3260">
        <v>13</v>
      </c>
      <c r="AG3260">
        <v>3.33899999</v>
      </c>
      <c r="AH3260">
        <v>5</v>
      </c>
      <c r="AI3260">
        <v>17</v>
      </c>
      <c r="AJ3260">
        <v>1</v>
      </c>
      <c r="AK3260">
        <v>18</v>
      </c>
      <c r="AL3260">
        <v>50</v>
      </c>
      <c r="AM3260" t="s">
        <v>43</v>
      </c>
      <c r="AN3260" t="str">
        <f>HYPERLINK("https://www.google.com/maps?q=10.7653656,79.66107178","Open Location")</f>
        <v>Open Location</v>
      </c>
    </row>
    <row r="3261" spans="1:40" x14ac:dyDescent="0.3">
      <c r="A3261" s="1">
        <v>46210.62222222222</v>
      </c>
      <c r="B3261" t="s">
        <v>40</v>
      </c>
      <c r="C3261" t="s">
        <v>41</v>
      </c>
      <c r="D3261" s="1">
        <v>46210.624861111108</v>
      </c>
      <c r="E3261" t="s">
        <v>42</v>
      </c>
      <c r="F3261" t="s">
        <v>83</v>
      </c>
      <c r="G3261">
        <v>38</v>
      </c>
      <c r="H3261">
        <v>33111</v>
      </c>
      <c r="I3261" t="s">
        <v>1901</v>
      </c>
      <c r="J3261">
        <v>97</v>
      </c>
      <c r="K3261">
        <v>112</v>
      </c>
      <c r="L3261">
        <v>98</v>
      </c>
      <c r="M3261">
        <v>632</v>
      </c>
      <c r="N3261" t="s">
        <v>87</v>
      </c>
      <c r="O3261" t="s">
        <v>86</v>
      </c>
      <c r="P3261">
        <v>130</v>
      </c>
      <c r="Q3261">
        <v>5</v>
      </c>
      <c r="R3261">
        <v>62</v>
      </c>
      <c r="S3261">
        <v>1737</v>
      </c>
      <c r="T3261">
        <v>-40</v>
      </c>
      <c r="U3261">
        <v>51</v>
      </c>
      <c r="V3261">
        <v>360</v>
      </c>
      <c r="W3261">
        <v>35</v>
      </c>
      <c r="X3261">
        <v>35</v>
      </c>
      <c r="Y3261">
        <v>1</v>
      </c>
      <c r="Z3261">
        <v>8</v>
      </c>
      <c r="AA3261">
        <v>30</v>
      </c>
      <c r="AB3261">
        <v>2</v>
      </c>
      <c r="AC3261">
        <v>6</v>
      </c>
      <c r="AD3261">
        <v>3.3250000499999999</v>
      </c>
      <c r="AE3261">
        <v>2</v>
      </c>
      <c r="AF3261">
        <v>41</v>
      </c>
      <c r="AG3261">
        <v>3.31800008</v>
      </c>
      <c r="AH3261">
        <v>1</v>
      </c>
      <c r="AI3261">
        <v>17</v>
      </c>
      <c r="AJ3261">
        <v>1</v>
      </c>
      <c r="AK3261">
        <v>18</v>
      </c>
      <c r="AL3261">
        <v>50</v>
      </c>
      <c r="AM3261" t="s">
        <v>43</v>
      </c>
      <c r="AN3261" t="str">
        <f>HYPERLINK("https://www.google.com/maps?q=10.76527119,79.66222382","Open Location")</f>
        <v>Open Location</v>
      </c>
    </row>
    <row r="3262" spans="1:40" x14ac:dyDescent="0.3">
      <c r="A3262" s="1">
        <v>46210.622106481482</v>
      </c>
      <c r="B3262" t="s">
        <v>40</v>
      </c>
      <c r="C3262" t="s">
        <v>41</v>
      </c>
      <c r="D3262" s="1">
        <v>46210.624756944446</v>
      </c>
      <c r="E3262" t="s">
        <v>43</v>
      </c>
      <c r="F3262" t="s">
        <v>83</v>
      </c>
      <c r="G3262">
        <v>36</v>
      </c>
      <c r="H3262">
        <v>33111</v>
      </c>
      <c r="I3262" t="s">
        <v>1902</v>
      </c>
      <c r="J3262">
        <v>97</v>
      </c>
      <c r="K3262">
        <v>109</v>
      </c>
      <c r="L3262">
        <v>98</v>
      </c>
      <c r="M3262">
        <v>632.5</v>
      </c>
      <c r="N3262" t="s">
        <v>87</v>
      </c>
      <c r="O3262" t="s">
        <v>86</v>
      </c>
      <c r="P3262">
        <v>130</v>
      </c>
      <c r="Q3262">
        <v>5</v>
      </c>
      <c r="R3262">
        <v>59</v>
      </c>
      <c r="S3262">
        <v>1634</v>
      </c>
      <c r="T3262">
        <v>-40</v>
      </c>
      <c r="U3262">
        <v>51</v>
      </c>
      <c r="V3262">
        <v>380</v>
      </c>
      <c r="W3262">
        <v>35</v>
      </c>
      <c r="X3262">
        <v>35</v>
      </c>
      <c r="Y3262">
        <v>1</v>
      </c>
      <c r="Z3262">
        <v>8</v>
      </c>
      <c r="AA3262">
        <v>30</v>
      </c>
      <c r="AB3262">
        <v>2</v>
      </c>
      <c r="AC3262">
        <v>6</v>
      </c>
      <c r="AD3262">
        <v>3.2999999500000001</v>
      </c>
      <c r="AE3262">
        <v>1</v>
      </c>
      <c r="AF3262">
        <v>44</v>
      </c>
      <c r="AG3262">
        <v>3.2899999599999998</v>
      </c>
      <c r="AH3262">
        <v>4</v>
      </c>
      <c r="AI3262">
        <v>17</v>
      </c>
      <c r="AJ3262">
        <v>1</v>
      </c>
      <c r="AK3262">
        <v>18</v>
      </c>
      <c r="AL3262">
        <v>50</v>
      </c>
      <c r="AM3262" t="s">
        <v>43</v>
      </c>
      <c r="AN3262" t="str">
        <f>HYPERLINK("https://www.google.com/maps?q=10.76514626,79.66336823","Open Location")</f>
        <v>Open Location</v>
      </c>
    </row>
    <row r="3263" spans="1:40" x14ac:dyDescent="0.3">
      <c r="A3263" s="1">
        <v>46210.621990740743</v>
      </c>
      <c r="B3263" t="s">
        <v>40</v>
      </c>
      <c r="C3263" t="s">
        <v>41</v>
      </c>
      <c r="D3263" s="1">
        <v>46210.6246875</v>
      </c>
      <c r="E3263" t="s">
        <v>42</v>
      </c>
      <c r="F3263" t="s">
        <v>83</v>
      </c>
      <c r="G3263">
        <v>37</v>
      </c>
      <c r="H3263">
        <v>33111</v>
      </c>
      <c r="I3263" t="s">
        <v>43</v>
      </c>
      <c r="J3263">
        <v>97</v>
      </c>
      <c r="K3263">
        <v>83</v>
      </c>
      <c r="L3263">
        <v>98</v>
      </c>
      <c r="M3263">
        <v>633.40002441000001</v>
      </c>
      <c r="N3263" t="s">
        <v>87</v>
      </c>
      <c r="O3263" t="s">
        <v>86</v>
      </c>
      <c r="P3263">
        <v>130</v>
      </c>
      <c r="Q3263">
        <v>5</v>
      </c>
      <c r="R3263">
        <v>48</v>
      </c>
      <c r="S3263">
        <v>1665</v>
      </c>
      <c r="T3263">
        <v>-40</v>
      </c>
      <c r="U3263">
        <v>50</v>
      </c>
      <c r="V3263">
        <v>280</v>
      </c>
      <c r="W3263">
        <v>35</v>
      </c>
      <c r="X3263">
        <v>35</v>
      </c>
      <c r="Y3263">
        <v>1</v>
      </c>
      <c r="Z3263">
        <v>8</v>
      </c>
      <c r="AA3263">
        <v>30</v>
      </c>
      <c r="AB3263">
        <v>2</v>
      </c>
      <c r="AC3263">
        <v>6</v>
      </c>
      <c r="AD3263">
        <v>3.3059999900000001</v>
      </c>
      <c r="AE3263">
        <v>1</v>
      </c>
      <c r="AF3263">
        <v>44</v>
      </c>
      <c r="AG3263">
        <v>3.2980000999999999</v>
      </c>
      <c r="AH3263">
        <v>1</v>
      </c>
      <c r="AI3263">
        <v>17</v>
      </c>
      <c r="AJ3263">
        <v>1</v>
      </c>
      <c r="AK3263">
        <v>18</v>
      </c>
      <c r="AL3263">
        <v>50</v>
      </c>
      <c r="AM3263" t="s">
        <v>43</v>
      </c>
      <c r="AN3263" t="s">
        <v>43</v>
      </c>
    </row>
    <row r="3264" spans="1:40" x14ac:dyDescent="0.3">
      <c r="A3264" s="1">
        <v>46210.621874999997</v>
      </c>
      <c r="B3264" t="s">
        <v>40</v>
      </c>
      <c r="C3264" t="s">
        <v>41</v>
      </c>
      <c r="D3264" s="1">
        <v>46210.624768518515</v>
      </c>
      <c r="E3264" t="s">
        <v>42</v>
      </c>
      <c r="F3264" t="s">
        <v>83</v>
      </c>
      <c r="G3264">
        <v>36</v>
      </c>
      <c r="H3264">
        <v>33110</v>
      </c>
      <c r="I3264" t="s">
        <v>43</v>
      </c>
      <c r="J3264">
        <v>97</v>
      </c>
      <c r="K3264">
        <v>117</v>
      </c>
      <c r="L3264">
        <v>98</v>
      </c>
      <c r="M3264">
        <v>632</v>
      </c>
      <c r="N3264" t="s">
        <v>87</v>
      </c>
      <c r="O3264" t="s">
        <v>86</v>
      </c>
      <c r="P3264">
        <v>130</v>
      </c>
      <c r="Q3264">
        <v>5</v>
      </c>
      <c r="R3264">
        <v>61</v>
      </c>
      <c r="S3264">
        <v>1628</v>
      </c>
      <c r="T3264">
        <v>-40</v>
      </c>
      <c r="U3264">
        <v>51</v>
      </c>
      <c r="V3264">
        <v>400</v>
      </c>
      <c r="W3264">
        <v>35</v>
      </c>
      <c r="X3264">
        <v>35</v>
      </c>
      <c r="Y3264">
        <v>1</v>
      </c>
      <c r="Z3264">
        <v>8</v>
      </c>
      <c r="AA3264">
        <v>30</v>
      </c>
      <c r="AB3264">
        <v>2</v>
      </c>
      <c r="AC3264">
        <v>6</v>
      </c>
      <c r="AD3264">
        <v>3.3080000900000002</v>
      </c>
      <c r="AE3264">
        <v>8</v>
      </c>
      <c r="AF3264">
        <v>40</v>
      </c>
      <c r="AG3264">
        <v>3.2980000999999999</v>
      </c>
      <c r="AH3264">
        <v>4</v>
      </c>
      <c r="AI3264">
        <v>17</v>
      </c>
      <c r="AJ3264">
        <v>1</v>
      </c>
      <c r="AK3264">
        <v>18</v>
      </c>
      <c r="AL3264">
        <v>50</v>
      </c>
      <c r="AM3264" t="s">
        <v>43</v>
      </c>
      <c r="AN3264" t="s">
        <v>43</v>
      </c>
    </row>
    <row r="3265" spans="1:40" x14ac:dyDescent="0.3">
      <c r="A3265" s="1">
        <v>46210.621759259258</v>
      </c>
      <c r="B3265" t="s">
        <v>40</v>
      </c>
      <c r="C3265" t="s">
        <v>41</v>
      </c>
      <c r="D3265" s="1">
        <v>46210.624571759261</v>
      </c>
      <c r="E3265" t="s">
        <v>42</v>
      </c>
      <c r="F3265" t="s">
        <v>83</v>
      </c>
      <c r="G3265">
        <v>35</v>
      </c>
      <c r="H3265">
        <v>33110</v>
      </c>
      <c r="I3265" t="s">
        <v>1903</v>
      </c>
      <c r="J3265">
        <v>97</v>
      </c>
      <c r="K3265">
        <v>59</v>
      </c>
      <c r="L3265">
        <v>98</v>
      </c>
      <c r="M3265">
        <v>634.40002441000001</v>
      </c>
      <c r="N3265" t="s">
        <v>87</v>
      </c>
      <c r="O3265" t="s">
        <v>86</v>
      </c>
      <c r="P3265">
        <v>130</v>
      </c>
      <c r="Q3265">
        <v>5</v>
      </c>
      <c r="R3265">
        <v>73</v>
      </c>
      <c r="S3265">
        <v>1594</v>
      </c>
      <c r="T3265">
        <v>-40</v>
      </c>
      <c r="U3265">
        <v>49</v>
      </c>
      <c r="V3265">
        <v>216</v>
      </c>
      <c r="W3265">
        <v>35</v>
      </c>
      <c r="X3265">
        <v>35</v>
      </c>
      <c r="Y3265">
        <v>1</v>
      </c>
      <c r="Z3265">
        <v>8</v>
      </c>
      <c r="AA3265">
        <v>30</v>
      </c>
      <c r="AB3265">
        <v>7</v>
      </c>
      <c r="AC3265">
        <v>6</v>
      </c>
      <c r="AD3265">
        <v>3.3039999</v>
      </c>
      <c r="AE3265">
        <v>8</v>
      </c>
      <c r="AF3265">
        <v>36</v>
      </c>
      <c r="AG3265">
        <v>3.2929999799999998</v>
      </c>
      <c r="AH3265">
        <v>4</v>
      </c>
      <c r="AI3265">
        <v>17</v>
      </c>
      <c r="AJ3265">
        <v>1</v>
      </c>
      <c r="AK3265">
        <v>17</v>
      </c>
      <c r="AL3265">
        <v>50</v>
      </c>
      <c r="AM3265" t="s">
        <v>43</v>
      </c>
      <c r="AN3265" t="str">
        <f>HYPERLINK("https://www.google.com/maps?q=10.76477623,79.66555023","Open Location")</f>
        <v>Open Location</v>
      </c>
    </row>
    <row r="3266" spans="1:40" x14ac:dyDescent="0.3">
      <c r="A3266" s="1">
        <v>46210.62164351852</v>
      </c>
      <c r="B3266" t="s">
        <v>40</v>
      </c>
      <c r="C3266" t="s">
        <v>41</v>
      </c>
      <c r="D3266" s="1">
        <v>46210.624537037038</v>
      </c>
      <c r="E3266" t="s">
        <v>42</v>
      </c>
      <c r="F3266" t="s">
        <v>83</v>
      </c>
      <c r="G3266">
        <v>37</v>
      </c>
      <c r="H3266">
        <v>33110</v>
      </c>
      <c r="I3266" t="s">
        <v>1904</v>
      </c>
      <c r="J3266">
        <v>97</v>
      </c>
      <c r="K3266">
        <v>74</v>
      </c>
      <c r="L3266">
        <v>98</v>
      </c>
      <c r="M3266">
        <v>633.59997558999999</v>
      </c>
      <c r="N3266" t="s">
        <v>87</v>
      </c>
      <c r="O3266" t="s">
        <v>86</v>
      </c>
      <c r="P3266">
        <v>130</v>
      </c>
      <c r="Q3266">
        <v>5</v>
      </c>
      <c r="R3266">
        <v>39</v>
      </c>
      <c r="S3266">
        <v>1726</v>
      </c>
      <c r="T3266">
        <v>-40</v>
      </c>
      <c r="U3266">
        <v>50</v>
      </c>
      <c r="V3266">
        <v>240</v>
      </c>
      <c r="W3266">
        <v>35</v>
      </c>
      <c r="X3266">
        <v>35</v>
      </c>
      <c r="Y3266">
        <v>1</v>
      </c>
      <c r="Z3266">
        <v>8</v>
      </c>
      <c r="AA3266">
        <v>30</v>
      </c>
      <c r="AB3266">
        <v>7</v>
      </c>
      <c r="AC3266">
        <v>6</v>
      </c>
      <c r="AD3266">
        <v>3.3199999299999998</v>
      </c>
      <c r="AE3266">
        <v>8</v>
      </c>
      <c r="AF3266">
        <v>40</v>
      </c>
      <c r="AG3266">
        <v>3.30999994</v>
      </c>
      <c r="AH3266">
        <v>1</v>
      </c>
      <c r="AI3266">
        <v>29</v>
      </c>
      <c r="AJ3266">
        <v>1</v>
      </c>
      <c r="AK3266">
        <v>18</v>
      </c>
      <c r="AL3266">
        <v>50</v>
      </c>
      <c r="AM3266" t="s">
        <v>43</v>
      </c>
      <c r="AN3266" t="str">
        <f>HYPERLINK("https://www.google.com/maps?q=10.76452637,79.66661072","Open Location")</f>
        <v>Open Location</v>
      </c>
    </row>
    <row r="3267" spans="1:40" x14ac:dyDescent="0.3">
      <c r="A3267" s="1">
        <v>46210.621527777781</v>
      </c>
      <c r="B3267" t="s">
        <v>40</v>
      </c>
      <c r="C3267" t="s">
        <v>41</v>
      </c>
      <c r="D3267" s="1">
        <v>46210.624224537038</v>
      </c>
      <c r="E3267" t="s">
        <v>42</v>
      </c>
      <c r="F3267" t="s">
        <v>83</v>
      </c>
      <c r="G3267">
        <v>39</v>
      </c>
      <c r="H3267">
        <v>33110</v>
      </c>
      <c r="I3267" t="s">
        <v>1905</v>
      </c>
      <c r="J3267">
        <v>97</v>
      </c>
      <c r="K3267">
        <v>64</v>
      </c>
      <c r="L3267">
        <v>98</v>
      </c>
      <c r="M3267">
        <v>634</v>
      </c>
      <c r="N3267" t="s">
        <v>87</v>
      </c>
      <c r="O3267" t="s">
        <v>86</v>
      </c>
      <c r="P3267">
        <v>130</v>
      </c>
      <c r="Q3267">
        <v>5</v>
      </c>
      <c r="R3267">
        <v>37</v>
      </c>
      <c r="S3267">
        <v>1783</v>
      </c>
      <c r="T3267">
        <v>-40</v>
      </c>
      <c r="U3267">
        <v>50</v>
      </c>
      <c r="V3267">
        <v>200</v>
      </c>
      <c r="W3267">
        <v>35</v>
      </c>
      <c r="X3267">
        <v>35</v>
      </c>
      <c r="Y3267">
        <v>1</v>
      </c>
      <c r="Z3267">
        <v>8</v>
      </c>
      <c r="AA3267">
        <v>31</v>
      </c>
      <c r="AB3267">
        <v>2</v>
      </c>
      <c r="AC3267">
        <v>1</v>
      </c>
      <c r="AD3267">
        <v>3.31299996</v>
      </c>
      <c r="AE3267">
        <v>8</v>
      </c>
      <c r="AF3267">
        <v>40</v>
      </c>
      <c r="AG3267">
        <v>3.3029999700000001</v>
      </c>
      <c r="AH3267">
        <v>1</v>
      </c>
      <c r="AI3267">
        <v>17</v>
      </c>
      <c r="AJ3267">
        <v>1</v>
      </c>
      <c r="AK3267">
        <v>18</v>
      </c>
      <c r="AL3267">
        <v>50</v>
      </c>
      <c r="AM3267" t="s">
        <v>43</v>
      </c>
      <c r="AN3267" t="str">
        <f>HYPERLINK("https://www.google.com/maps?q=10.76428795,79.66777039","Open Location")</f>
        <v>Open Location</v>
      </c>
    </row>
    <row r="3268" spans="1:40" x14ac:dyDescent="0.3">
      <c r="A3268" s="1">
        <v>46210.621412037035</v>
      </c>
      <c r="B3268" t="s">
        <v>40</v>
      </c>
      <c r="C3268" t="s">
        <v>41</v>
      </c>
      <c r="D3268" s="1">
        <v>46210.624560185184</v>
      </c>
      <c r="E3268" t="s">
        <v>42</v>
      </c>
      <c r="F3268" t="s">
        <v>83</v>
      </c>
      <c r="G3268">
        <v>39</v>
      </c>
      <c r="H3268">
        <v>33110</v>
      </c>
      <c r="I3268" t="s">
        <v>1906</v>
      </c>
      <c r="J3268">
        <v>97</v>
      </c>
      <c r="K3268">
        <v>82</v>
      </c>
      <c r="L3268">
        <v>98</v>
      </c>
      <c r="M3268">
        <v>633.5</v>
      </c>
      <c r="N3268" t="s">
        <v>87</v>
      </c>
      <c r="O3268" t="s">
        <v>86</v>
      </c>
      <c r="P3268">
        <v>130</v>
      </c>
      <c r="Q3268">
        <v>5</v>
      </c>
      <c r="R3268">
        <v>48</v>
      </c>
      <c r="S3268">
        <v>1785</v>
      </c>
      <c r="T3268">
        <v>-40</v>
      </c>
      <c r="U3268">
        <v>50</v>
      </c>
      <c r="V3268">
        <v>260</v>
      </c>
      <c r="W3268">
        <v>35</v>
      </c>
      <c r="X3268">
        <v>35</v>
      </c>
      <c r="Y3268">
        <v>1</v>
      </c>
      <c r="Z3268">
        <v>8</v>
      </c>
      <c r="AA3268">
        <v>31</v>
      </c>
      <c r="AB3268">
        <v>2</v>
      </c>
      <c r="AC3268">
        <v>1</v>
      </c>
      <c r="AD3268">
        <v>3.30999994</v>
      </c>
      <c r="AE3268">
        <v>8</v>
      </c>
      <c r="AF3268">
        <v>36</v>
      </c>
      <c r="AG3268">
        <v>3.2990000199999998</v>
      </c>
      <c r="AH3268">
        <v>1</v>
      </c>
      <c r="AI3268">
        <v>29</v>
      </c>
      <c r="AJ3268">
        <v>1</v>
      </c>
      <c r="AK3268">
        <v>17</v>
      </c>
      <c r="AL3268">
        <v>50</v>
      </c>
      <c r="AM3268" t="s">
        <v>43</v>
      </c>
      <c r="AN3268" t="str">
        <f>HYPERLINK("https://www.google.com/maps?q=10.76438427,79.66906738","Open Location")</f>
        <v>Open Location</v>
      </c>
    </row>
    <row r="3269" spans="1:40" x14ac:dyDescent="0.3">
      <c r="A3269" s="1">
        <v>46210.621296296296</v>
      </c>
      <c r="B3269" t="s">
        <v>40</v>
      </c>
      <c r="C3269" t="s">
        <v>41</v>
      </c>
      <c r="D3269" s="1">
        <v>46210.624189814815</v>
      </c>
      <c r="E3269" t="s">
        <v>42</v>
      </c>
      <c r="F3269" t="s">
        <v>83</v>
      </c>
      <c r="G3269">
        <v>39</v>
      </c>
      <c r="H3269">
        <v>33110</v>
      </c>
      <c r="I3269" t="s">
        <v>43</v>
      </c>
      <c r="J3269">
        <v>97</v>
      </c>
      <c r="K3269">
        <v>114</v>
      </c>
      <c r="L3269">
        <v>98</v>
      </c>
      <c r="M3269">
        <v>632.5</v>
      </c>
      <c r="N3269" t="s">
        <v>87</v>
      </c>
      <c r="O3269" t="s">
        <v>86</v>
      </c>
      <c r="P3269">
        <v>130</v>
      </c>
      <c r="Q3269">
        <v>5</v>
      </c>
      <c r="R3269">
        <v>75</v>
      </c>
      <c r="S3269">
        <v>1800</v>
      </c>
      <c r="T3269">
        <v>-40</v>
      </c>
      <c r="U3269">
        <v>51</v>
      </c>
      <c r="V3269">
        <v>360</v>
      </c>
      <c r="W3269">
        <v>35</v>
      </c>
      <c r="X3269">
        <v>35</v>
      </c>
      <c r="Y3269">
        <v>1</v>
      </c>
      <c r="Z3269">
        <v>8</v>
      </c>
      <c r="AA3269">
        <v>31</v>
      </c>
      <c r="AB3269">
        <v>2</v>
      </c>
      <c r="AC3269">
        <v>1</v>
      </c>
      <c r="AD3269">
        <v>3.3029999700000001</v>
      </c>
      <c r="AE3269">
        <v>8</v>
      </c>
      <c r="AF3269">
        <v>36</v>
      </c>
      <c r="AG3269">
        <v>3.2909998900000001</v>
      </c>
      <c r="AH3269">
        <v>4</v>
      </c>
      <c r="AI3269">
        <v>17</v>
      </c>
      <c r="AJ3269">
        <v>1</v>
      </c>
      <c r="AK3269">
        <v>18</v>
      </c>
      <c r="AL3269">
        <v>50</v>
      </c>
      <c r="AM3269" t="s">
        <v>43</v>
      </c>
      <c r="AN3269" t="s">
        <v>43</v>
      </c>
    </row>
    <row r="3270" spans="1:40" x14ac:dyDescent="0.3">
      <c r="A3270" s="1">
        <v>46210.621180555558</v>
      </c>
      <c r="B3270" t="s">
        <v>40</v>
      </c>
      <c r="C3270" t="s">
        <v>41</v>
      </c>
      <c r="D3270" s="1">
        <v>46210.624039351853</v>
      </c>
      <c r="E3270" t="s">
        <v>42</v>
      </c>
      <c r="F3270" t="s">
        <v>83</v>
      </c>
      <c r="G3270">
        <v>38</v>
      </c>
      <c r="H3270" t="s">
        <v>43</v>
      </c>
      <c r="I3270" t="s">
        <v>1907</v>
      </c>
      <c r="J3270">
        <v>98</v>
      </c>
      <c r="K3270">
        <v>116</v>
      </c>
      <c r="L3270">
        <v>98</v>
      </c>
      <c r="M3270">
        <v>632.29998779000005</v>
      </c>
      <c r="N3270" t="s">
        <v>87</v>
      </c>
      <c r="O3270" t="s">
        <v>86</v>
      </c>
      <c r="P3270">
        <v>130</v>
      </c>
      <c r="Q3270">
        <v>5</v>
      </c>
      <c r="R3270">
        <v>69</v>
      </c>
      <c r="S3270">
        <v>1736</v>
      </c>
      <c r="T3270">
        <v>-40</v>
      </c>
      <c r="U3270">
        <v>50</v>
      </c>
      <c r="V3270">
        <v>380</v>
      </c>
      <c r="W3270">
        <v>35</v>
      </c>
      <c r="X3270">
        <v>35</v>
      </c>
      <c r="Y3270">
        <v>1</v>
      </c>
      <c r="Z3270">
        <v>8</v>
      </c>
      <c r="AA3270">
        <v>31</v>
      </c>
      <c r="AB3270">
        <v>2</v>
      </c>
      <c r="AC3270">
        <v>1</v>
      </c>
      <c r="AD3270">
        <v>3.3059999900000001</v>
      </c>
      <c r="AE3270">
        <v>8</v>
      </c>
      <c r="AF3270">
        <v>36</v>
      </c>
      <c r="AG3270">
        <v>3.2929999799999998</v>
      </c>
      <c r="AH3270">
        <v>4</v>
      </c>
      <c r="AI3270">
        <v>17</v>
      </c>
      <c r="AJ3270">
        <v>1</v>
      </c>
      <c r="AK3270">
        <v>18</v>
      </c>
      <c r="AL3270">
        <v>50</v>
      </c>
      <c r="AM3270" t="s">
        <v>43</v>
      </c>
      <c r="AN3270" t="str">
        <f>HYPERLINK("https://www.google.com/maps?q=10.76461029,79.67024994","Open Location")</f>
        <v>Open Location</v>
      </c>
    </row>
    <row r="3271" spans="1:40" x14ac:dyDescent="0.3">
      <c r="A3271" s="1">
        <v>46210.621064814812</v>
      </c>
      <c r="B3271" t="s">
        <v>40</v>
      </c>
      <c r="C3271" t="s">
        <v>41</v>
      </c>
      <c r="D3271" s="1">
        <v>46210.623796296299</v>
      </c>
      <c r="E3271" t="s">
        <v>42</v>
      </c>
      <c r="F3271" t="s">
        <v>83</v>
      </c>
      <c r="G3271">
        <v>38</v>
      </c>
      <c r="H3271">
        <v>33110</v>
      </c>
      <c r="I3271" t="s">
        <v>1908</v>
      </c>
      <c r="J3271">
        <v>98</v>
      </c>
      <c r="K3271">
        <v>67</v>
      </c>
      <c r="L3271">
        <v>98</v>
      </c>
      <c r="M3271">
        <v>634.59997558999999</v>
      </c>
      <c r="N3271" t="s">
        <v>87</v>
      </c>
      <c r="O3271" t="s">
        <v>86</v>
      </c>
      <c r="P3271">
        <v>130</v>
      </c>
      <c r="Q3271">
        <v>5</v>
      </c>
      <c r="R3271">
        <v>60</v>
      </c>
      <c r="S3271">
        <v>1702</v>
      </c>
      <c r="T3271">
        <v>-40</v>
      </c>
      <c r="U3271">
        <v>50</v>
      </c>
      <c r="V3271">
        <v>220</v>
      </c>
      <c r="W3271">
        <v>35</v>
      </c>
      <c r="X3271">
        <v>35</v>
      </c>
      <c r="Y3271">
        <v>1</v>
      </c>
      <c r="Z3271">
        <v>8</v>
      </c>
      <c r="AA3271">
        <v>31</v>
      </c>
      <c r="AB3271">
        <v>2</v>
      </c>
      <c r="AC3271">
        <v>1</v>
      </c>
      <c r="AD3271">
        <v>3.30900002</v>
      </c>
      <c r="AE3271">
        <v>8</v>
      </c>
      <c r="AF3271">
        <v>36</v>
      </c>
      <c r="AG3271">
        <v>3.2959999999999998</v>
      </c>
      <c r="AH3271">
        <v>1</v>
      </c>
      <c r="AI3271">
        <v>29</v>
      </c>
      <c r="AJ3271">
        <v>1</v>
      </c>
      <c r="AK3271">
        <v>18</v>
      </c>
      <c r="AL3271">
        <v>50</v>
      </c>
      <c r="AM3271" t="s">
        <v>43</v>
      </c>
      <c r="AN3271" t="str">
        <f>HYPERLINK("https://www.google.com/maps?q=10.76481533,79.67140198","Open Location")</f>
        <v>Open Location</v>
      </c>
    </row>
    <row r="3272" spans="1:40" x14ac:dyDescent="0.3">
      <c r="A3272" s="1">
        <v>46210.620949074073</v>
      </c>
      <c r="B3272" t="s">
        <v>40</v>
      </c>
      <c r="C3272" t="s">
        <v>41</v>
      </c>
      <c r="D3272" s="1">
        <v>46210.623749999999</v>
      </c>
      <c r="E3272" t="s">
        <v>42</v>
      </c>
      <c r="F3272" t="s">
        <v>83</v>
      </c>
      <c r="G3272">
        <v>38</v>
      </c>
      <c r="H3272">
        <v>33110</v>
      </c>
      <c r="I3272" t="s">
        <v>1909</v>
      </c>
      <c r="J3272">
        <v>98</v>
      </c>
      <c r="K3272">
        <v>91</v>
      </c>
      <c r="L3272">
        <v>98</v>
      </c>
      <c r="M3272">
        <v>633.59997558999999</v>
      </c>
      <c r="N3272" t="s">
        <v>87</v>
      </c>
      <c r="O3272" t="s">
        <v>86</v>
      </c>
      <c r="P3272">
        <v>130</v>
      </c>
      <c r="Q3272">
        <v>5</v>
      </c>
      <c r="R3272">
        <v>53</v>
      </c>
      <c r="S3272">
        <v>1703</v>
      </c>
      <c r="T3272">
        <v>-40</v>
      </c>
      <c r="U3272">
        <v>51</v>
      </c>
      <c r="V3272">
        <v>300</v>
      </c>
      <c r="W3272">
        <v>35</v>
      </c>
      <c r="X3272">
        <v>35</v>
      </c>
      <c r="Y3272">
        <v>1</v>
      </c>
      <c r="Z3272">
        <v>8</v>
      </c>
      <c r="AA3272">
        <v>31</v>
      </c>
      <c r="AB3272">
        <v>2</v>
      </c>
      <c r="AC3272">
        <v>1</v>
      </c>
      <c r="AD3272">
        <v>3.31299996</v>
      </c>
      <c r="AE3272">
        <v>8</v>
      </c>
      <c r="AF3272">
        <v>2</v>
      </c>
      <c r="AG3272">
        <v>3.2999999500000001</v>
      </c>
      <c r="AH3272">
        <v>1</v>
      </c>
      <c r="AI3272">
        <v>29</v>
      </c>
      <c r="AJ3272">
        <v>1</v>
      </c>
      <c r="AK3272">
        <v>18</v>
      </c>
      <c r="AL3272">
        <v>50</v>
      </c>
      <c r="AM3272" t="s">
        <v>43</v>
      </c>
      <c r="AN3272" t="str">
        <f>HYPERLINK("https://www.google.com/maps?q=10.76495457,79.67253876","Open Location")</f>
        <v>Open Location</v>
      </c>
    </row>
    <row r="3273" spans="1:40" x14ac:dyDescent="0.3">
      <c r="A3273" s="1">
        <v>46210.620833333334</v>
      </c>
      <c r="B3273" t="s">
        <v>40</v>
      </c>
      <c r="C3273" t="s">
        <v>41</v>
      </c>
      <c r="D3273" s="1">
        <v>46210.623692129629</v>
      </c>
      <c r="E3273" t="s">
        <v>42</v>
      </c>
      <c r="F3273" t="s">
        <v>83</v>
      </c>
      <c r="G3273">
        <v>36</v>
      </c>
      <c r="H3273">
        <v>33110</v>
      </c>
      <c r="I3273" t="s">
        <v>1910</v>
      </c>
      <c r="J3273">
        <v>98</v>
      </c>
      <c r="K3273">
        <v>154</v>
      </c>
      <c r="L3273">
        <v>98</v>
      </c>
      <c r="M3273">
        <v>632</v>
      </c>
      <c r="N3273" t="s">
        <v>87</v>
      </c>
      <c r="O3273" t="s">
        <v>86</v>
      </c>
      <c r="P3273">
        <v>130</v>
      </c>
      <c r="Q3273">
        <v>5</v>
      </c>
      <c r="R3273">
        <v>91</v>
      </c>
      <c r="S3273">
        <v>1612</v>
      </c>
      <c r="T3273">
        <v>-40</v>
      </c>
      <c r="U3273">
        <v>51</v>
      </c>
      <c r="V3273">
        <v>540</v>
      </c>
      <c r="W3273">
        <v>35</v>
      </c>
      <c r="X3273">
        <v>35</v>
      </c>
      <c r="Y3273">
        <v>1</v>
      </c>
      <c r="Z3273">
        <v>8</v>
      </c>
      <c r="AA3273">
        <v>31</v>
      </c>
      <c r="AB3273">
        <v>2</v>
      </c>
      <c r="AC3273">
        <v>1</v>
      </c>
      <c r="AD3273">
        <v>3.3039999</v>
      </c>
      <c r="AE3273">
        <v>6</v>
      </c>
      <c r="AF3273">
        <v>39</v>
      </c>
      <c r="AG3273">
        <v>3.28900003</v>
      </c>
      <c r="AH3273">
        <v>4</v>
      </c>
      <c r="AI3273">
        <v>17</v>
      </c>
      <c r="AJ3273">
        <v>1</v>
      </c>
      <c r="AK3273">
        <v>17</v>
      </c>
      <c r="AL3273">
        <v>50</v>
      </c>
      <c r="AM3273" t="s">
        <v>43</v>
      </c>
      <c r="AN3273" t="str">
        <f>HYPERLINK("https://www.google.com/maps?q=10.76505566,79.67366028","Open Location")</f>
        <v>Open Location</v>
      </c>
    </row>
    <row r="3274" spans="1:40" x14ac:dyDescent="0.3">
      <c r="A3274" s="1">
        <v>46210.620717592596</v>
      </c>
      <c r="B3274" t="s">
        <v>40</v>
      </c>
      <c r="C3274" t="s">
        <v>41</v>
      </c>
      <c r="D3274" s="1">
        <v>46210.623344907406</v>
      </c>
      <c r="E3274" t="s">
        <v>43</v>
      </c>
      <c r="F3274" t="s">
        <v>83</v>
      </c>
      <c r="G3274">
        <v>34</v>
      </c>
      <c r="H3274">
        <v>33109</v>
      </c>
      <c r="I3274" t="s">
        <v>1911</v>
      </c>
      <c r="J3274">
        <v>98</v>
      </c>
      <c r="K3274">
        <v>74</v>
      </c>
      <c r="L3274">
        <v>98</v>
      </c>
      <c r="M3274">
        <v>635.29998779000005</v>
      </c>
      <c r="N3274" t="s">
        <v>87</v>
      </c>
      <c r="O3274" t="s">
        <v>86</v>
      </c>
      <c r="P3274">
        <v>130</v>
      </c>
      <c r="Q3274">
        <v>5</v>
      </c>
      <c r="R3274">
        <v>45</v>
      </c>
      <c r="S3274">
        <v>1563</v>
      </c>
      <c r="T3274">
        <v>-40</v>
      </c>
      <c r="U3274">
        <v>50</v>
      </c>
      <c r="V3274">
        <v>260</v>
      </c>
      <c r="W3274">
        <v>35</v>
      </c>
      <c r="X3274">
        <v>35</v>
      </c>
      <c r="Y3274">
        <v>1</v>
      </c>
      <c r="Z3274">
        <v>8</v>
      </c>
      <c r="AA3274">
        <v>31</v>
      </c>
      <c r="AB3274">
        <v>2</v>
      </c>
      <c r="AC3274">
        <v>1</v>
      </c>
      <c r="AD3274">
        <v>3.31200004</v>
      </c>
      <c r="AE3274">
        <v>8</v>
      </c>
      <c r="AF3274">
        <v>40</v>
      </c>
      <c r="AG3274">
        <v>3.2959999999999998</v>
      </c>
      <c r="AH3274">
        <v>1</v>
      </c>
      <c r="AI3274">
        <v>29</v>
      </c>
      <c r="AJ3274">
        <v>1</v>
      </c>
      <c r="AK3274">
        <v>17</v>
      </c>
      <c r="AL3274">
        <v>50</v>
      </c>
      <c r="AM3274" t="s">
        <v>43</v>
      </c>
      <c r="AN3274" t="str">
        <f>HYPERLINK("https://www.google.com/maps?q=10.7651453,79.67472076","Open Location")</f>
        <v>Open Location</v>
      </c>
    </row>
    <row r="3275" spans="1:40" x14ac:dyDescent="0.3">
      <c r="A3275" s="1">
        <v>46210.62060185185</v>
      </c>
      <c r="B3275" t="s">
        <v>40</v>
      </c>
      <c r="C3275" t="s">
        <v>41</v>
      </c>
      <c r="D3275" s="1">
        <v>46210.623460648145</v>
      </c>
      <c r="E3275" t="s">
        <v>42</v>
      </c>
      <c r="F3275" t="s">
        <v>83</v>
      </c>
      <c r="G3275">
        <v>34</v>
      </c>
      <c r="H3275">
        <v>33109</v>
      </c>
      <c r="I3275" t="s">
        <v>43</v>
      </c>
      <c r="J3275">
        <v>98</v>
      </c>
      <c r="K3275">
        <v>78</v>
      </c>
      <c r="L3275">
        <v>98</v>
      </c>
      <c r="M3275">
        <v>634.90002441000001</v>
      </c>
      <c r="N3275" t="s">
        <v>87</v>
      </c>
      <c r="O3275" t="s">
        <v>86</v>
      </c>
      <c r="P3275">
        <v>130</v>
      </c>
      <c r="Q3275">
        <v>5</v>
      </c>
      <c r="R3275">
        <v>41</v>
      </c>
      <c r="S3275">
        <v>1548</v>
      </c>
      <c r="T3275">
        <v>-40</v>
      </c>
      <c r="U3275">
        <v>50</v>
      </c>
      <c r="V3275">
        <v>280</v>
      </c>
      <c r="W3275">
        <v>35</v>
      </c>
      <c r="X3275">
        <v>35</v>
      </c>
      <c r="Y3275">
        <v>1</v>
      </c>
      <c r="Z3275">
        <v>8</v>
      </c>
      <c r="AA3275">
        <v>31</v>
      </c>
      <c r="AB3275">
        <v>2</v>
      </c>
      <c r="AC3275">
        <v>1</v>
      </c>
      <c r="AD3275">
        <v>3.3210001</v>
      </c>
      <c r="AE3275">
        <v>8</v>
      </c>
      <c r="AF3275">
        <v>36</v>
      </c>
      <c r="AG3275">
        <v>3.3050000700000002</v>
      </c>
      <c r="AH3275">
        <v>1</v>
      </c>
      <c r="AI3275">
        <v>29</v>
      </c>
      <c r="AJ3275">
        <v>1</v>
      </c>
      <c r="AK3275">
        <v>18</v>
      </c>
      <c r="AL3275">
        <v>50</v>
      </c>
      <c r="AM3275" t="s">
        <v>43</v>
      </c>
      <c r="AN3275" t="s">
        <v>43</v>
      </c>
    </row>
    <row r="3276" spans="1:40" x14ac:dyDescent="0.3">
      <c r="A3276" s="1">
        <v>46210.620486111111</v>
      </c>
      <c r="B3276" t="s">
        <v>40</v>
      </c>
      <c r="C3276" t="s">
        <v>41</v>
      </c>
      <c r="D3276" s="1">
        <v>46210.623310185183</v>
      </c>
      <c r="E3276" t="s">
        <v>42</v>
      </c>
      <c r="F3276" t="s">
        <v>83</v>
      </c>
      <c r="G3276">
        <v>35</v>
      </c>
      <c r="H3276">
        <v>33109</v>
      </c>
      <c r="I3276" t="s">
        <v>1912</v>
      </c>
      <c r="J3276">
        <v>98</v>
      </c>
      <c r="K3276">
        <v>96</v>
      </c>
      <c r="L3276">
        <v>98</v>
      </c>
      <c r="M3276">
        <v>634.5</v>
      </c>
      <c r="N3276" t="s">
        <v>87</v>
      </c>
      <c r="O3276" t="s">
        <v>86</v>
      </c>
      <c r="P3276">
        <v>130</v>
      </c>
      <c r="Q3276">
        <v>5</v>
      </c>
      <c r="R3276">
        <v>50</v>
      </c>
      <c r="S3276">
        <v>1606</v>
      </c>
      <c r="T3276">
        <v>-40</v>
      </c>
      <c r="U3276">
        <v>50</v>
      </c>
      <c r="V3276">
        <v>340</v>
      </c>
      <c r="W3276">
        <v>35</v>
      </c>
      <c r="X3276">
        <v>35</v>
      </c>
      <c r="Y3276">
        <v>1</v>
      </c>
      <c r="Z3276">
        <v>8</v>
      </c>
      <c r="AA3276">
        <v>31</v>
      </c>
      <c r="AB3276">
        <v>2</v>
      </c>
      <c r="AC3276">
        <v>1</v>
      </c>
      <c r="AD3276">
        <v>3.3199999299999998</v>
      </c>
      <c r="AE3276">
        <v>8</v>
      </c>
      <c r="AF3276">
        <v>40</v>
      </c>
      <c r="AG3276">
        <v>3.3029999700000001</v>
      </c>
      <c r="AH3276">
        <v>1</v>
      </c>
      <c r="AI3276">
        <v>29</v>
      </c>
      <c r="AJ3276">
        <v>1</v>
      </c>
      <c r="AK3276">
        <v>18</v>
      </c>
      <c r="AL3276">
        <v>50</v>
      </c>
      <c r="AM3276" t="s">
        <v>43</v>
      </c>
      <c r="AN3276" t="str">
        <f>HYPERLINK("https://www.google.com/maps?q=10.76520157,79.67575073","Open Location")</f>
        <v>Open Location</v>
      </c>
    </row>
    <row r="3277" spans="1:40" x14ac:dyDescent="0.3">
      <c r="A3277" s="1">
        <v>46210.620370370372</v>
      </c>
      <c r="B3277" t="s">
        <v>40</v>
      </c>
      <c r="C3277" t="s">
        <v>41</v>
      </c>
      <c r="D3277" s="1">
        <v>46210.623020833336</v>
      </c>
      <c r="E3277" t="s">
        <v>42</v>
      </c>
      <c r="F3277" t="s">
        <v>83</v>
      </c>
      <c r="G3277">
        <v>36</v>
      </c>
      <c r="H3277" t="s">
        <v>43</v>
      </c>
      <c r="I3277" t="s">
        <v>1913</v>
      </c>
      <c r="J3277">
        <v>98</v>
      </c>
      <c r="K3277">
        <v>100</v>
      </c>
      <c r="L3277">
        <v>98</v>
      </c>
      <c r="M3277">
        <v>634.29998779000005</v>
      </c>
      <c r="N3277" t="s">
        <v>87</v>
      </c>
      <c r="O3277" t="s">
        <v>86</v>
      </c>
      <c r="P3277">
        <v>130</v>
      </c>
      <c r="Q3277">
        <v>5</v>
      </c>
      <c r="R3277">
        <v>58</v>
      </c>
      <c r="S3277">
        <v>1639</v>
      </c>
      <c r="T3277">
        <v>-40</v>
      </c>
      <c r="U3277">
        <v>51</v>
      </c>
      <c r="V3277">
        <v>340</v>
      </c>
      <c r="W3277">
        <v>35</v>
      </c>
      <c r="X3277">
        <v>35</v>
      </c>
      <c r="Y3277">
        <v>1</v>
      </c>
      <c r="Z3277">
        <v>8</v>
      </c>
      <c r="AA3277">
        <v>31</v>
      </c>
      <c r="AB3277">
        <v>2</v>
      </c>
      <c r="AC3277">
        <v>1</v>
      </c>
      <c r="AD3277">
        <v>3.3220000299999999</v>
      </c>
      <c r="AE3277">
        <v>4</v>
      </c>
      <c r="AF3277">
        <v>23</v>
      </c>
      <c r="AG3277">
        <v>3.3039999</v>
      </c>
      <c r="AH3277">
        <v>1</v>
      </c>
      <c r="AI3277">
        <v>29</v>
      </c>
      <c r="AJ3277">
        <v>1</v>
      </c>
      <c r="AK3277">
        <v>18</v>
      </c>
      <c r="AL3277">
        <v>49</v>
      </c>
      <c r="AM3277" t="s">
        <v>43</v>
      </c>
      <c r="AN3277" t="str">
        <f>HYPERLINK("https://www.google.com/maps?q=10.76515484,79.67693329","Open Location")</f>
        <v>Open Location</v>
      </c>
    </row>
    <row r="3278" spans="1:40" x14ac:dyDescent="0.3">
      <c r="A3278" s="1">
        <v>46210.620254629626</v>
      </c>
      <c r="B3278" t="s">
        <v>40</v>
      </c>
      <c r="C3278" t="s">
        <v>41</v>
      </c>
      <c r="D3278" s="1">
        <v>46210.623252314814</v>
      </c>
      <c r="E3278" t="s">
        <v>42</v>
      </c>
      <c r="F3278" t="s">
        <v>83</v>
      </c>
      <c r="G3278">
        <v>33</v>
      </c>
      <c r="H3278">
        <v>33109</v>
      </c>
      <c r="I3278" t="s">
        <v>1914</v>
      </c>
      <c r="J3278">
        <v>98</v>
      </c>
      <c r="K3278">
        <v>180</v>
      </c>
      <c r="L3278">
        <v>98</v>
      </c>
      <c r="M3278">
        <v>632.70001220999995</v>
      </c>
      <c r="N3278" t="s">
        <v>87</v>
      </c>
      <c r="O3278" t="s">
        <v>86</v>
      </c>
      <c r="P3278">
        <v>130</v>
      </c>
      <c r="Q3278">
        <v>5</v>
      </c>
      <c r="R3278">
        <v>146</v>
      </c>
      <c r="S3278">
        <v>1511</v>
      </c>
      <c r="T3278">
        <v>-40</v>
      </c>
      <c r="U3278">
        <v>49</v>
      </c>
      <c r="V3278">
        <v>760</v>
      </c>
      <c r="W3278">
        <v>35</v>
      </c>
      <c r="X3278">
        <v>35</v>
      </c>
      <c r="Y3278">
        <v>1</v>
      </c>
      <c r="Z3278">
        <v>8</v>
      </c>
      <c r="AA3278">
        <v>31</v>
      </c>
      <c r="AB3278">
        <v>2</v>
      </c>
      <c r="AC3278">
        <v>1</v>
      </c>
      <c r="AD3278">
        <v>3.3010001199999999</v>
      </c>
      <c r="AE3278">
        <v>8</v>
      </c>
      <c r="AF3278">
        <v>36</v>
      </c>
      <c r="AG3278">
        <v>3.2809998999999999</v>
      </c>
      <c r="AH3278">
        <v>4</v>
      </c>
      <c r="AI3278">
        <v>17</v>
      </c>
      <c r="AJ3278">
        <v>1</v>
      </c>
      <c r="AK3278">
        <v>18</v>
      </c>
      <c r="AL3278">
        <v>49</v>
      </c>
      <c r="AM3278" t="s">
        <v>43</v>
      </c>
      <c r="AN3278" t="str">
        <f>HYPERLINK("https://www.google.com/maps?q=10.76509285,79.67802429","Open Location")</f>
        <v>Open Location</v>
      </c>
    </row>
    <row r="3279" spans="1:40" x14ac:dyDescent="0.3">
      <c r="A3279" s="1">
        <v>46210.620138888888</v>
      </c>
      <c r="B3279" t="s">
        <v>40</v>
      </c>
      <c r="C3279" t="s">
        <v>41</v>
      </c>
      <c r="D3279" s="1">
        <v>46210.622696759259</v>
      </c>
      <c r="E3279" t="s">
        <v>42</v>
      </c>
      <c r="F3279" t="s">
        <v>83</v>
      </c>
      <c r="G3279">
        <v>35</v>
      </c>
      <c r="H3279">
        <v>33109</v>
      </c>
      <c r="I3279" t="s">
        <v>1915</v>
      </c>
      <c r="J3279">
        <v>98</v>
      </c>
      <c r="K3279">
        <v>43</v>
      </c>
      <c r="L3279">
        <v>98</v>
      </c>
      <c r="M3279">
        <v>638</v>
      </c>
      <c r="N3279" t="s">
        <v>87</v>
      </c>
      <c r="O3279" t="s">
        <v>86</v>
      </c>
      <c r="P3279">
        <v>130</v>
      </c>
      <c r="Q3279">
        <v>5</v>
      </c>
      <c r="R3279">
        <v>13</v>
      </c>
      <c r="S3279">
        <v>1598</v>
      </c>
      <c r="T3279">
        <v>-40</v>
      </c>
      <c r="U3279">
        <v>49</v>
      </c>
      <c r="V3279">
        <v>100</v>
      </c>
      <c r="W3279">
        <v>35</v>
      </c>
      <c r="X3279">
        <v>35</v>
      </c>
      <c r="Y3279">
        <v>1</v>
      </c>
      <c r="Z3279">
        <v>8</v>
      </c>
      <c r="AA3279">
        <v>31</v>
      </c>
      <c r="AB3279">
        <v>2</v>
      </c>
      <c r="AC3279">
        <v>1</v>
      </c>
      <c r="AD3279">
        <v>3.33699989</v>
      </c>
      <c r="AE3279">
        <v>8</v>
      </c>
      <c r="AF3279">
        <v>40</v>
      </c>
      <c r="AG3279">
        <v>3.3169999099999998</v>
      </c>
      <c r="AH3279">
        <v>1</v>
      </c>
      <c r="AI3279">
        <v>29</v>
      </c>
      <c r="AJ3279">
        <v>1</v>
      </c>
      <c r="AK3279">
        <v>18</v>
      </c>
      <c r="AL3279">
        <v>49</v>
      </c>
      <c r="AM3279" t="s">
        <v>43</v>
      </c>
      <c r="AN3279" t="str">
        <f>HYPERLINK("https://www.google.com/maps?q=10.76489067,79.67905426","Open Location")</f>
        <v>Open Location</v>
      </c>
    </row>
    <row r="3280" spans="1:40" x14ac:dyDescent="0.3">
      <c r="A3280" s="1">
        <v>46210.620023148149</v>
      </c>
      <c r="B3280" t="s">
        <v>40</v>
      </c>
      <c r="C3280" t="s">
        <v>41</v>
      </c>
      <c r="D3280" s="1">
        <v>46210.622696759259</v>
      </c>
      <c r="E3280" t="s">
        <v>43</v>
      </c>
      <c r="F3280" t="s">
        <v>83</v>
      </c>
      <c r="G3280">
        <v>36</v>
      </c>
      <c r="H3280">
        <v>33109</v>
      </c>
      <c r="I3280" t="s">
        <v>43</v>
      </c>
      <c r="J3280">
        <v>98</v>
      </c>
      <c r="K3280">
        <v>66</v>
      </c>
      <c r="L3280">
        <v>98</v>
      </c>
      <c r="M3280">
        <v>636.70001220999995</v>
      </c>
      <c r="N3280" t="s">
        <v>87</v>
      </c>
      <c r="O3280" t="s">
        <v>86</v>
      </c>
      <c r="P3280">
        <v>130</v>
      </c>
      <c r="Q3280">
        <v>5</v>
      </c>
      <c r="R3280">
        <v>40</v>
      </c>
      <c r="S3280">
        <v>1635</v>
      </c>
      <c r="T3280">
        <v>-40</v>
      </c>
      <c r="U3280">
        <v>49</v>
      </c>
      <c r="V3280">
        <v>240</v>
      </c>
      <c r="W3280">
        <v>35</v>
      </c>
      <c r="X3280">
        <v>35</v>
      </c>
      <c r="Y3280">
        <v>1</v>
      </c>
      <c r="Z3280">
        <v>8</v>
      </c>
      <c r="AA3280">
        <v>31</v>
      </c>
      <c r="AB3280">
        <v>2</v>
      </c>
      <c r="AC3280">
        <v>1</v>
      </c>
      <c r="AD3280">
        <v>3.3320000200000002</v>
      </c>
      <c r="AE3280">
        <v>8</v>
      </c>
      <c r="AF3280">
        <v>40</v>
      </c>
      <c r="AG3280">
        <v>3.31200004</v>
      </c>
      <c r="AH3280">
        <v>1</v>
      </c>
      <c r="AI3280">
        <v>29</v>
      </c>
      <c r="AJ3280">
        <v>1</v>
      </c>
      <c r="AK3280">
        <v>17</v>
      </c>
      <c r="AL3280">
        <v>49</v>
      </c>
      <c r="AM3280" t="s">
        <v>43</v>
      </c>
      <c r="AN3280" t="s">
        <v>43</v>
      </c>
    </row>
    <row r="3281" spans="1:40" x14ac:dyDescent="0.3">
      <c r="A3281" s="1">
        <v>46210.61990740741</v>
      </c>
      <c r="B3281" t="s">
        <v>40</v>
      </c>
      <c r="C3281" t="s">
        <v>41</v>
      </c>
      <c r="D3281" s="1">
        <v>46210.622569444444</v>
      </c>
      <c r="E3281" t="s">
        <v>42</v>
      </c>
      <c r="F3281" t="s">
        <v>83</v>
      </c>
      <c r="G3281">
        <v>34</v>
      </c>
      <c r="H3281">
        <v>33109</v>
      </c>
      <c r="I3281" t="s">
        <v>1916</v>
      </c>
      <c r="J3281">
        <v>98</v>
      </c>
      <c r="K3281">
        <v>139</v>
      </c>
      <c r="L3281">
        <v>98</v>
      </c>
      <c r="M3281">
        <v>634</v>
      </c>
      <c r="N3281" t="s">
        <v>87</v>
      </c>
      <c r="O3281" t="s">
        <v>86</v>
      </c>
      <c r="P3281">
        <v>130</v>
      </c>
      <c r="Q3281">
        <v>5</v>
      </c>
      <c r="R3281">
        <v>59</v>
      </c>
      <c r="S3281">
        <v>1570</v>
      </c>
      <c r="T3281">
        <v>-40</v>
      </c>
      <c r="U3281">
        <v>51</v>
      </c>
      <c r="V3281">
        <v>480</v>
      </c>
      <c r="W3281">
        <v>35</v>
      </c>
      <c r="X3281">
        <v>35</v>
      </c>
      <c r="Y3281">
        <v>1</v>
      </c>
      <c r="Z3281">
        <v>8</v>
      </c>
      <c r="AA3281">
        <v>31</v>
      </c>
      <c r="AB3281">
        <v>2</v>
      </c>
      <c r="AC3281">
        <v>1</v>
      </c>
      <c r="AD3281">
        <v>3.3320000200000002</v>
      </c>
      <c r="AE3281">
        <v>8</v>
      </c>
      <c r="AF3281">
        <v>43</v>
      </c>
      <c r="AG3281">
        <v>3.3110001100000002</v>
      </c>
      <c r="AH3281">
        <v>1</v>
      </c>
      <c r="AI3281">
        <v>29</v>
      </c>
      <c r="AJ3281">
        <v>1</v>
      </c>
      <c r="AK3281">
        <v>18</v>
      </c>
      <c r="AL3281">
        <v>49</v>
      </c>
      <c r="AM3281" t="s">
        <v>43</v>
      </c>
      <c r="AN3281" t="str">
        <f>HYPERLINK("https://www.google.com/maps?q=10.76456833,79.68011475","Open Location")</f>
        <v>Open Location</v>
      </c>
    </row>
    <row r="3282" spans="1:40" x14ac:dyDescent="0.3">
      <c r="A3282" s="1">
        <v>46210.619791666664</v>
      </c>
      <c r="B3282" t="s">
        <v>40</v>
      </c>
      <c r="C3282" t="s">
        <v>41</v>
      </c>
      <c r="D3282" s="1">
        <v>46210.622569444444</v>
      </c>
      <c r="E3282" t="s">
        <v>42</v>
      </c>
      <c r="F3282" t="s">
        <v>83</v>
      </c>
      <c r="G3282">
        <v>33</v>
      </c>
      <c r="H3282">
        <v>33109</v>
      </c>
      <c r="I3282" t="s">
        <v>1917</v>
      </c>
      <c r="J3282">
        <v>98</v>
      </c>
      <c r="K3282">
        <v>126</v>
      </c>
      <c r="L3282">
        <v>98</v>
      </c>
      <c r="M3282">
        <v>635.5</v>
      </c>
      <c r="N3282" t="s">
        <v>87</v>
      </c>
      <c r="O3282" t="s">
        <v>86</v>
      </c>
      <c r="P3282">
        <v>130</v>
      </c>
      <c r="Q3282">
        <v>5</v>
      </c>
      <c r="R3282">
        <v>84</v>
      </c>
      <c r="S3282">
        <v>1477</v>
      </c>
      <c r="T3282">
        <v>-40</v>
      </c>
      <c r="U3282">
        <v>51</v>
      </c>
      <c r="V3282">
        <v>500</v>
      </c>
      <c r="W3282">
        <v>35</v>
      </c>
      <c r="X3282">
        <v>35</v>
      </c>
      <c r="Y3282">
        <v>1</v>
      </c>
      <c r="Z3282">
        <v>8</v>
      </c>
      <c r="AA3282">
        <v>31</v>
      </c>
      <c r="AB3282">
        <v>2</v>
      </c>
      <c r="AC3282">
        <v>1</v>
      </c>
      <c r="AD3282">
        <v>3.3199999299999998</v>
      </c>
      <c r="AE3282">
        <v>4</v>
      </c>
      <c r="AF3282">
        <v>23</v>
      </c>
      <c r="AG3282">
        <v>3.2999999500000001</v>
      </c>
      <c r="AH3282">
        <v>1</v>
      </c>
      <c r="AI3282">
        <v>29</v>
      </c>
      <c r="AJ3282">
        <v>1</v>
      </c>
      <c r="AK3282">
        <v>18</v>
      </c>
      <c r="AL3282">
        <v>49</v>
      </c>
      <c r="AM3282" t="s">
        <v>43</v>
      </c>
      <c r="AN3282" t="str">
        <f>HYPERLINK("https://www.google.com/maps?q=10.76438141,79.68115234","Open Location")</f>
        <v>Open Location</v>
      </c>
    </row>
    <row r="3283" spans="1:40" x14ac:dyDescent="0.3">
      <c r="A3283" s="1">
        <v>46210.619675925926</v>
      </c>
      <c r="B3283" t="s">
        <v>40</v>
      </c>
      <c r="C3283" t="s">
        <v>41</v>
      </c>
      <c r="D3283" s="1">
        <v>46210.622314814813</v>
      </c>
      <c r="E3283" t="s">
        <v>42</v>
      </c>
      <c r="F3283" t="s">
        <v>83</v>
      </c>
      <c r="G3283">
        <v>32</v>
      </c>
      <c r="H3283">
        <v>33109</v>
      </c>
      <c r="I3283" t="s">
        <v>1918</v>
      </c>
      <c r="J3283">
        <v>98</v>
      </c>
      <c r="K3283">
        <v>108</v>
      </c>
      <c r="L3283">
        <v>98</v>
      </c>
      <c r="M3283">
        <v>636.20001220999995</v>
      </c>
      <c r="N3283" t="s">
        <v>87</v>
      </c>
      <c r="O3283" t="s">
        <v>86</v>
      </c>
      <c r="P3283">
        <v>130</v>
      </c>
      <c r="Q3283">
        <v>5</v>
      </c>
      <c r="R3283">
        <v>64</v>
      </c>
      <c r="S3283">
        <v>1482</v>
      </c>
      <c r="T3283">
        <v>-40</v>
      </c>
      <c r="U3283">
        <v>51</v>
      </c>
      <c r="V3283">
        <v>400</v>
      </c>
      <c r="W3283">
        <v>35</v>
      </c>
      <c r="X3283">
        <v>35</v>
      </c>
      <c r="Y3283">
        <v>1</v>
      </c>
      <c r="Z3283">
        <v>8</v>
      </c>
      <c r="AA3283">
        <v>31</v>
      </c>
      <c r="AB3283">
        <v>2</v>
      </c>
      <c r="AC3283">
        <v>1</v>
      </c>
      <c r="AD3283">
        <v>3.3299999200000001</v>
      </c>
      <c r="AE3283">
        <v>8</v>
      </c>
      <c r="AF3283">
        <v>40</v>
      </c>
      <c r="AG3283">
        <v>3.30900002</v>
      </c>
      <c r="AH3283">
        <v>1</v>
      </c>
      <c r="AI3283">
        <v>29</v>
      </c>
      <c r="AJ3283">
        <v>1</v>
      </c>
      <c r="AK3283">
        <v>18</v>
      </c>
      <c r="AL3283">
        <v>49</v>
      </c>
      <c r="AM3283" t="s">
        <v>43</v>
      </c>
      <c r="AN3283" t="str">
        <f>HYPERLINK("https://www.google.com/maps?q=10.76407719,79.68211365","Open Location")</f>
        <v>Open Location</v>
      </c>
    </row>
    <row r="3284" spans="1:40" x14ac:dyDescent="0.3">
      <c r="A3284" s="1">
        <v>46210.619560185187</v>
      </c>
      <c r="B3284" t="s">
        <v>40</v>
      </c>
      <c r="C3284" t="s">
        <v>41</v>
      </c>
      <c r="D3284" s="1">
        <v>46210.622453703705</v>
      </c>
      <c r="E3284" t="s">
        <v>42</v>
      </c>
      <c r="F3284" t="s">
        <v>83</v>
      </c>
      <c r="G3284">
        <v>30</v>
      </c>
      <c r="H3284">
        <v>33108</v>
      </c>
      <c r="I3284" t="s">
        <v>1919</v>
      </c>
      <c r="J3284">
        <v>98</v>
      </c>
      <c r="K3284">
        <v>134</v>
      </c>
      <c r="L3284">
        <v>98</v>
      </c>
      <c r="M3284">
        <v>635.90002441000001</v>
      </c>
      <c r="N3284" t="s">
        <v>87</v>
      </c>
      <c r="O3284" t="s">
        <v>86</v>
      </c>
      <c r="P3284">
        <v>130</v>
      </c>
      <c r="Q3284">
        <v>5</v>
      </c>
      <c r="R3284">
        <v>72</v>
      </c>
      <c r="S3284">
        <v>1355</v>
      </c>
      <c r="T3284">
        <v>-40</v>
      </c>
      <c r="U3284">
        <v>51</v>
      </c>
      <c r="V3284">
        <v>560</v>
      </c>
      <c r="W3284">
        <v>35</v>
      </c>
      <c r="X3284">
        <v>35</v>
      </c>
      <c r="Y3284">
        <v>1</v>
      </c>
      <c r="Z3284">
        <v>8</v>
      </c>
      <c r="AA3284">
        <v>31</v>
      </c>
      <c r="AB3284">
        <v>2</v>
      </c>
      <c r="AC3284">
        <v>1</v>
      </c>
      <c r="AD3284">
        <v>3.3329999400000001</v>
      </c>
      <c r="AE3284">
        <v>8</v>
      </c>
      <c r="AF3284">
        <v>43</v>
      </c>
      <c r="AG3284">
        <v>3.3110001100000002</v>
      </c>
      <c r="AH3284">
        <v>1</v>
      </c>
      <c r="AI3284">
        <v>29</v>
      </c>
      <c r="AJ3284">
        <v>1</v>
      </c>
      <c r="AK3284">
        <v>18</v>
      </c>
      <c r="AL3284">
        <v>49</v>
      </c>
      <c r="AM3284" t="s">
        <v>43</v>
      </c>
      <c r="AN3284" t="str">
        <f>HYPERLINK("https://www.google.com/maps?q=10.76380444,79.68305969","Open Location")</f>
        <v>Open Location</v>
      </c>
    </row>
    <row r="3285" spans="1:40" x14ac:dyDescent="0.3">
      <c r="A3285" s="1">
        <v>46210.619444444441</v>
      </c>
      <c r="B3285" t="s">
        <v>40</v>
      </c>
      <c r="C3285" t="s">
        <v>41</v>
      </c>
      <c r="D3285" s="1">
        <v>46210.622175925928</v>
      </c>
      <c r="E3285" t="s">
        <v>42</v>
      </c>
      <c r="F3285" t="s">
        <v>83</v>
      </c>
      <c r="G3285">
        <v>28</v>
      </c>
      <c r="H3285">
        <v>33108</v>
      </c>
      <c r="I3285" t="s">
        <v>1920</v>
      </c>
      <c r="J3285">
        <v>98</v>
      </c>
      <c r="K3285">
        <v>117</v>
      </c>
      <c r="L3285">
        <v>98</v>
      </c>
      <c r="M3285">
        <v>638</v>
      </c>
      <c r="N3285" t="s">
        <v>87</v>
      </c>
      <c r="O3285" t="s">
        <v>86</v>
      </c>
      <c r="P3285">
        <v>130</v>
      </c>
      <c r="Q3285">
        <v>5</v>
      </c>
      <c r="R3285">
        <v>58</v>
      </c>
      <c r="S3285">
        <v>1271</v>
      </c>
      <c r="T3285">
        <v>-40</v>
      </c>
      <c r="U3285">
        <v>51</v>
      </c>
      <c r="V3285">
        <v>440</v>
      </c>
      <c r="W3285">
        <v>35</v>
      </c>
      <c r="X3285">
        <v>35</v>
      </c>
      <c r="Y3285">
        <v>1</v>
      </c>
      <c r="Z3285">
        <v>8</v>
      </c>
      <c r="AA3285">
        <v>31</v>
      </c>
      <c r="AB3285">
        <v>2</v>
      </c>
      <c r="AC3285">
        <v>1</v>
      </c>
      <c r="AD3285">
        <v>3.33899999</v>
      </c>
      <c r="AE3285">
        <v>8</v>
      </c>
      <c r="AF3285">
        <v>43</v>
      </c>
      <c r="AG3285">
        <v>3.3169999099999998</v>
      </c>
      <c r="AH3285">
        <v>1</v>
      </c>
      <c r="AI3285">
        <v>29</v>
      </c>
      <c r="AJ3285">
        <v>1</v>
      </c>
      <c r="AK3285">
        <v>18</v>
      </c>
      <c r="AL3285">
        <v>49</v>
      </c>
      <c r="AM3285" t="s">
        <v>43</v>
      </c>
      <c r="AN3285" t="str">
        <f>HYPERLINK("https://www.google.com/maps?q=10.76352787,79.68395233","Open Location")</f>
        <v>Open Location</v>
      </c>
    </row>
    <row r="3286" spans="1:40" x14ac:dyDescent="0.3">
      <c r="A3286" s="1">
        <v>46210.619328703702</v>
      </c>
      <c r="B3286" t="s">
        <v>40</v>
      </c>
      <c r="C3286" t="s">
        <v>41</v>
      </c>
      <c r="D3286" s="1">
        <v>46210.622442129628</v>
      </c>
      <c r="E3286" t="s">
        <v>43</v>
      </c>
      <c r="F3286" t="s">
        <v>83</v>
      </c>
      <c r="G3286">
        <v>28</v>
      </c>
      <c r="H3286">
        <v>33108</v>
      </c>
      <c r="I3286" t="s">
        <v>43</v>
      </c>
      <c r="J3286">
        <v>99</v>
      </c>
      <c r="K3286">
        <v>46</v>
      </c>
      <c r="L3286">
        <v>98</v>
      </c>
      <c r="M3286">
        <v>642.20001220999995</v>
      </c>
      <c r="N3286" t="s">
        <v>87</v>
      </c>
      <c r="O3286" t="s">
        <v>86</v>
      </c>
      <c r="P3286">
        <v>130</v>
      </c>
      <c r="Q3286">
        <v>5</v>
      </c>
      <c r="R3286">
        <v>0</v>
      </c>
      <c r="S3286">
        <v>1281</v>
      </c>
      <c r="T3286">
        <v>-40</v>
      </c>
      <c r="U3286">
        <v>50</v>
      </c>
      <c r="V3286">
        <v>100</v>
      </c>
      <c r="W3286">
        <v>35</v>
      </c>
      <c r="X3286">
        <v>35</v>
      </c>
      <c r="Y3286">
        <v>1</v>
      </c>
      <c r="Z3286">
        <v>8</v>
      </c>
      <c r="AA3286">
        <v>31</v>
      </c>
      <c r="AB3286">
        <v>2</v>
      </c>
      <c r="AC3286">
        <v>1</v>
      </c>
      <c r="AD3286">
        <v>3.3580000399999999</v>
      </c>
      <c r="AE3286">
        <v>8</v>
      </c>
      <c r="AF3286">
        <v>43</v>
      </c>
      <c r="AG3286">
        <v>3.3350000400000002</v>
      </c>
      <c r="AH3286">
        <v>1</v>
      </c>
      <c r="AI3286">
        <v>29</v>
      </c>
      <c r="AJ3286">
        <v>1</v>
      </c>
      <c r="AK3286">
        <v>19</v>
      </c>
      <c r="AL3286">
        <v>49</v>
      </c>
      <c r="AM3286" t="s">
        <v>43</v>
      </c>
      <c r="AN3286" t="s">
        <v>43</v>
      </c>
    </row>
    <row r="3287" spans="1:40" x14ac:dyDescent="0.3">
      <c r="A3287" s="1">
        <v>46210.619212962964</v>
      </c>
      <c r="B3287" t="s">
        <v>40</v>
      </c>
      <c r="C3287" t="s">
        <v>41</v>
      </c>
      <c r="D3287" s="1">
        <v>46210.621828703705</v>
      </c>
      <c r="E3287" t="s">
        <v>42</v>
      </c>
      <c r="F3287" t="s">
        <v>83</v>
      </c>
      <c r="G3287">
        <v>27</v>
      </c>
      <c r="H3287" t="s">
        <v>43</v>
      </c>
      <c r="I3287" t="s">
        <v>1921</v>
      </c>
      <c r="J3287">
        <v>99</v>
      </c>
      <c r="K3287">
        <v>53</v>
      </c>
      <c r="L3287">
        <v>98</v>
      </c>
      <c r="M3287">
        <v>641.5</v>
      </c>
      <c r="N3287" t="s">
        <v>87</v>
      </c>
      <c r="O3287" t="s">
        <v>86</v>
      </c>
      <c r="P3287">
        <v>130</v>
      </c>
      <c r="Q3287">
        <v>5</v>
      </c>
      <c r="R3287">
        <v>39</v>
      </c>
      <c r="S3287">
        <v>1246</v>
      </c>
      <c r="T3287">
        <v>-40</v>
      </c>
      <c r="U3287">
        <v>50</v>
      </c>
      <c r="V3287">
        <v>230</v>
      </c>
      <c r="W3287">
        <v>35</v>
      </c>
      <c r="X3287">
        <v>35</v>
      </c>
      <c r="Y3287">
        <v>1</v>
      </c>
      <c r="Z3287">
        <v>8</v>
      </c>
      <c r="AA3287">
        <v>31</v>
      </c>
      <c r="AB3287">
        <v>2</v>
      </c>
      <c r="AC3287">
        <v>1</v>
      </c>
      <c r="AD3287">
        <v>3.3459999599999999</v>
      </c>
      <c r="AE3287">
        <v>8</v>
      </c>
      <c r="AF3287">
        <v>43</v>
      </c>
      <c r="AG3287">
        <v>3.3229999499999998</v>
      </c>
      <c r="AH3287">
        <v>1</v>
      </c>
      <c r="AI3287">
        <v>29</v>
      </c>
      <c r="AJ3287">
        <v>1</v>
      </c>
      <c r="AK3287">
        <v>18</v>
      </c>
      <c r="AL3287">
        <v>49</v>
      </c>
      <c r="AM3287" t="s">
        <v>43</v>
      </c>
      <c r="AN3287" t="str">
        <f>HYPERLINK("https://www.google.com/maps?q=10.76350117,79.68479156","Open Location")</f>
        <v>Open Location</v>
      </c>
    </row>
    <row r="3288" spans="1:40" x14ac:dyDescent="0.3">
      <c r="A3288" s="1">
        <v>46210.619097222225</v>
      </c>
      <c r="B3288" t="s">
        <v>40</v>
      </c>
      <c r="C3288" t="s">
        <v>41</v>
      </c>
      <c r="D3288" s="1">
        <v>46210.621828703705</v>
      </c>
      <c r="E3288" t="s">
        <v>42</v>
      </c>
      <c r="F3288" t="s">
        <v>83</v>
      </c>
      <c r="G3288">
        <v>27</v>
      </c>
      <c r="H3288">
        <v>33108</v>
      </c>
      <c r="I3288" t="s">
        <v>1922</v>
      </c>
      <c r="J3288">
        <v>99</v>
      </c>
      <c r="K3288">
        <v>4</v>
      </c>
      <c r="L3288">
        <v>98</v>
      </c>
      <c r="M3288">
        <v>644.40002441000001</v>
      </c>
      <c r="N3288" t="s">
        <v>87</v>
      </c>
      <c r="O3288" t="s">
        <v>86</v>
      </c>
      <c r="P3288">
        <v>130</v>
      </c>
      <c r="Q3288">
        <v>5</v>
      </c>
      <c r="R3288">
        <v>7</v>
      </c>
      <c r="S3288">
        <v>1225</v>
      </c>
      <c r="T3288">
        <v>-40</v>
      </c>
      <c r="U3288">
        <v>49</v>
      </c>
      <c r="V3288">
        <v>0</v>
      </c>
      <c r="W3288">
        <v>35</v>
      </c>
      <c r="X3288">
        <v>35</v>
      </c>
      <c r="Y3288">
        <v>1</v>
      </c>
      <c r="Z3288">
        <v>8</v>
      </c>
      <c r="AA3288">
        <v>31</v>
      </c>
      <c r="AB3288">
        <v>2</v>
      </c>
      <c r="AC3288">
        <v>1</v>
      </c>
      <c r="AD3288">
        <v>3.3519999999999999</v>
      </c>
      <c r="AE3288">
        <v>8</v>
      </c>
      <c r="AF3288">
        <v>2</v>
      </c>
      <c r="AG3288">
        <v>3.3290000000000002</v>
      </c>
      <c r="AH3288">
        <v>1</v>
      </c>
      <c r="AI3288">
        <v>29</v>
      </c>
      <c r="AJ3288">
        <v>1</v>
      </c>
      <c r="AK3288">
        <v>18</v>
      </c>
      <c r="AL3288">
        <v>49</v>
      </c>
      <c r="AM3288" t="s">
        <v>43</v>
      </c>
      <c r="AN3288" t="str">
        <f>HYPERLINK("https://www.google.com/maps?q=10.76358318,79.68561554","Open Location")</f>
        <v>Open Location</v>
      </c>
    </row>
    <row r="3289" spans="1:40" x14ac:dyDescent="0.3">
      <c r="A3289" s="1">
        <v>46210.618981481479</v>
      </c>
      <c r="B3289" t="s">
        <v>40</v>
      </c>
      <c r="C3289" t="s">
        <v>41</v>
      </c>
      <c r="D3289" s="1">
        <v>46210.621701388889</v>
      </c>
      <c r="E3289" t="s">
        <v>42</v>
      </c>
      <c r="F3289" t="s">
        <v>83</v>
      </c>
      <c r="G3289">
        <v>26</v>
      </c>
      <c r="H3289">
        <v>33108</v>
      </c>
      <c r="I3289" t="s">
        <v>1923</v>
      </c>
      <c r="J3289">
        <v>99</v>
      </c>
      <c r="K3289">
        <v>47</v>
      </c>
      <c r="L3289">
        <v>98</v>
      </c>
      <c r="M3289">
        <v>642.90002441000001</v>
      </c>
      <c r="N3289" t="s">
        <v>87</v>
      </c>
      <c r="O3289" t="s">
        <v>86</v>
      </c>
      <c r="P3289">
        <v>130</v>
      </c>
      <c r="Q3289">
        <v>5</v>
      </c>
      <c r="R3289">
        <v>49</v>
      </c>
      <c r="S3289">
        <v>1157</v>
      </c>
      <c r="T3289">
        <v>-40</v>
      </c>
      <c r="U3289">
        <v>48</v>
      </c>
      <c r="V3289">
        <v>249</v>
      </c>
      <c r="W3289">
        <v>35</v>
      </c>
      <c r="X3289">
        <v>35</v>
      </c>
      <c r="Y3289">
        <v>1</v>
      </c>
      <c r="Z3289">
        <v>8</v>
      </c>
      <c r="AA3289">
        <v>31</v>
      </c>
      <c r="AB3289">
        <v>2</v>
      </c>
      <c r="AC3289">
        <v>1</v>
      </c>
      <c r="AD3289">
        <v>3.3499998999999998</v>
      </c>
      <c r="AE3289">
        <v>8</v>
      </c>
      <c r="AF3289">
        <v>43</v>
      </c>
      <c r="AG3289">
        <v>3.3259999800000002</v>
      </c>
      <c r="AH3289">
        <v>4</v>
      </c>
      <c r="AI3289">
        <v>12</v>
      </c>
      <c r="AJ3289">
        <v>1</v>
      </c>
      <c r="AK3289">
        <v>18</v>
      </c>
      <c r="AL3289">
        <v>49</v>
      </c>
      <c r="AM3289" t="s">
        <v>43</v>
      </c>
      <c r="AN3289" t="str">
        <f>HYPERLINK("https://www.google.com/maps?q=10.7635231,79.68642426","Open Location")</f>
        <v>Open Location</v>
      </c>
    </row>
    <row r="3290" spans="1:40" x14ac:dyDescent="0.3">
      <c r="A3290" s="1">
        <v>46210.61886574074</v>
      </c>
      <c r="B3290" t="s">
        <v>40</v>
      </c>
      <c r="C3290" t="s">
        <v>41</v>
      </c>
      <c r="D3290" s="1">
        <v>46210.621689814812</v>
      </c>
      <c r="E3290" t="s">
        <v>42</v>
      </c>
      <c r="F3290" t="s">
        <v>83</v>
      </c>
      <c r="G3290">
        <v>27</v>
      </c>
      <c r="H3290">
        <v>33108</v>
      </c>
      <c r="I3290" t="s">
        <v>1924</v>
      </c>
      <c r="J3290">
        <v>99</v>
      </c>
      <c r="K3290">
        <v>64</v>
      </c>
      <c r="L3290">
        <v>98</v>
      </c>
      <c r="M3290">
        <v>642.20001220999995</v>
      </c>
      <c r="N3290" t="s">
        <v>87</v>
      </c>
      <c r="O3290" t="s">
        <v>86</v>
      </c>
      <c r="P3290">
        <v>130</v>
      </c>
      <c r="Q3290">
        <v>5</v>
      </c>
      <c r="R3290">
        <v>29</v>
      </c>
      <c r="S3290">
        <v>1253</v>
      </c>
      <c r="T3290">
        <v>-40</v>
      </c>
      <c r="U3290">
        <v>50</v>
      </c>
      <c r="V3290">
        <v>260</v>
      </c>
      <c r="W3290">
        <v>35</v>
      </c>
      <c r="X3290">
        <v>35</v>
      </c>
      <c r="Y3290">
        <v>1</v>
      </c>
      <c r="Z3290">
        <v>8</v>
      </c>
      <c r="AA3290">
        <v>31</v>
      </c>
      <c r="AB3290">
        <v>2</v>
      </c>
      <c r="AC3290">
        <v>1</v>
      </c>
      <c r="AD3290">
        <v>3.3729999099999999</v>
      </c>
      <c r="AE3290">
        <v>8</v>
      </c>
      <c r="AF3290">
        <v>43</v>
      </c>
      <c r="AG3290">
        <v>3.3489999799999999</v>
      </c>
      <c r="AH3290">
        <v>4</v>
      </c>
      <c r="AI3290">
        <v>12</v>
      </c>
      <c r="AJ3290">
        <v>1</v>
      </c>
      <c r="AK3290">
        <v>18</v>
      </c>
      <c r="AL3290">
        <v>49</v>
      </c>
      <c r="AM3290" t="s">
        <v>43</v>
      </c>
      <c r="AN3290" t="str">
        <f>HYPERLINK("https://www.google.com/maps?q=10.76342678,79.68722534","Open Location")</f>
        <v>Open Location</v>
      </c>
    </row>
    <row r="3291" spans="1:40" x14ac:dyDescent="0.3">
      <c r="A3291" s="1">
        <v>46210.618750000001</v>
      </c>
      <c r="B3291" t="s">
        <v>40</v>
      </c>
      <c r="C3291" t="s">
        <v>41</v>
      </c>
      <c r="D3291" s="1">
        <v>46210.621481481481</v>
      </c>
      <c r="E3291" t="s">
        <v>42</v>
      </c>
      <c r="F3291" t="s">
        <v>83</v>
      </c>
      <c r="G3291">
        <v>26</v>
      </c>
      <c r="H3291">
        <v>33108</v>
      </c>
      <c r="I3291" t="s">
        <v>43</v>
      </c>
      <c r="J3291">
        <v>99</v>
      </c>
      <c r="K3291">
        <v>84</v>
      </c>
      <c r="L3291">
        <v>98</v>
      </c>
      <c r="M3291">
        <v>642.90002441000001</v>
      </c>
      <c r="N3291" t="s">
        <v>87</v>
      </c>
      <c r="O3291" t="s">
        <v>86</v>
      </c>
      <c r="P3291">
        <v>130</v>
      </c>
      <c r="Q3291">
        <v>5</v>
      </c>
      <c r="R3291">
        <v>49</v>
      </c>
      <c r="S3291">
        <v>1158</v>
      </c>
      <c r="T3291">
        <v>-40</v>
      </c>
      <c r="U3291">
        <v>50</v>
      </c>
      <c r="V3291">
        <v>400</v>
      </c>
      <c r="W3291">
        <v>35</v>
      </c>
      <c r="X3291">
        <v>35</v>
      </c>
      <c r="Y3291">
        <v>1</v>
      </c>
      <c r="Z3291">
        <v>8</v>
      </c>
      <c r="AA3291">
        <v>31</v>
      </c>
      <c r="AB3291">
        <v>2</v>
      </c>
      <c r="AC3291">
        <v>1</v>
      </c>
      <c r="AD3291">
        <v>3.36299992</v>
      </c>
      <c r="AE3291">
        <v>8</v>
      </c>
      <c r="AF3291">
        <v>43</v>
      </c>
      <c r="AG3291">
        <v>3.33899999</v>
      </c>
      <c r="AH3291">
        <v>4</v>
      </c>
      <c r="AI3291">
        <v>12</v>
      </c>
      <c r="AJ3291">
        <v>1</v>
      </c>
      <c r="AK3291">
        <v>18</v>
      </c>
      <c r="AL3291">
        <v>49</v>
      </c>
      <c r="AM3291" t="s">
        <v>43</v>
      </c>
      <c r="AN3291" t="s">
        <v>43</v>
      </c>
    </row>
    <row r="3292" spans="1:40" x14ac:dyDescent="0.3">
      <c r="A3292" s="1">
        <v>46210.618634259263</v>
      </c>
      <c r="B3292" t="s">
        <v>40</v>
      </c>
      <c r="C3292" t="s">
        <v>41</v>
      </c>
      <c r="D3292" s="1">
        <v>46210.621215277781</v>
      </c>
      <c r="E3292" t="s">
        <v>43</v>
      </c>
      <c r="F3292" t="s">
        <v>83</v>
      </c>
      <c r="G3292">
        <v>25</v>
      </c>
      <c r="H3292">
        <v>33108</v>
      </c>
      <c r="I3292" t="s">
        <v>43</v>
      </c>
      <c r="J3292">
        <v>99</v>
      </c>
      <c r="K3292">
        <v>75</v>
      </c>
      <c r="L3292">
        <v>98</v>
      </c>
      <c r="M3292">
        <v>643.90002441000001</v>
      </c>
      <c r="N3292" t="s">
        <v>87</v>
      </c>
      <c r="O3292" t="s">
        <v>86</v>
      </c>
      <c r="P3292">
        <v>130</v>
      </c>
      <c r="Q3292">
        <v>5</v>
      </c>
      <c r="R3292">
        <v>43</v>
      </c>
      <c r="S3292">
        <v>1144</v>
      </c>
      <c r="T3292">
        <v>-40</v>
      </c>
      <c r="U3292">
        <v>49</v>
      </c>
      <c r="V3292">
        <v>360</v>
      </c>
      <c r="W3292">
        <v>35</v>
      </c>
      <c r="X3292">
        <v>35</v>
      </c>
      <c r="Y3292">
        <v>1</v>
      </c>
      <c r="Z3292">
        <v>8</v>
      </c>
      <c r="AA3292">
        <v>31</v>
      </c>
      <c r="AB3292">
        <v>2</v>
      </c>
      <c r="AC3292">
        <v>1</v>
      </c>
      <c r="AD3292">
        <v>3.36899996</v>
      </c>
      <c r="AE3292">
        <v>8</v>
      </c>
      <c r="AF3292">
        <v>43</v>
      </c>
      <c r="AG3292">
        <v>3.3440001000000001</v>
      </c>
      <c r="AH3292">
        <v>4</v>
      </c>
      <c r="AI3292">
        <v>12</v>
      </c>
      <c r="AJ3292">
        <v>1</v>
      </c>
      <c r="AK3292">
        <v>18</v>
      </c>
      <c r="AL3292">
        <v>49</v>
      </c>
      <c r="AM3292" t="s">
        <v>43</v>
      </c>
      <c r="AN3292" t="s">
        <v>43</v>
      </c>
    </row>
    <row r="3293" spans="1:40" x14ac:dyDescent="0.3">
      <c r="A3293" s="1">
        <v>46210.618518518517</v>
      </c>
      <c r="B3293" t="s">
        <v>40</v>
      </c>
      <c r="C3293" t="s">
        <v>41</v>
      </c>
      <c r="D3293" s="1">
        <v>46210.621215277781</v>
      </c>
      <c r="E3293" t="s">
        <v>42</v>
      </c>
      <c r="F3293" t="s">
        <v>83</v>
      </c>
      <c r="G3293">
        <v>23</v>
      </c>
      <c r="H3293">
        <v>33108</v>
      </c>
      <c r="I3293" t="s">
        <v>1925</v>
      </c>
      <c r="J3293">
        <v>99</v>
      </c>
      <c r="K3293">
        <v>121</v>
      </c>
      <c r="L3293">
        <v>98</v>
      </c>
      <c r="M3293">
        <v>642.90002441000001</v>
      </c>
      <c r="N3293" t="s">
        <v>87</v>
      </c>
      <c r="O3293" t="s">
        <v>86</v>
      </c>
      <c r="P3293">
        <v>129</v>
      </c>
      <c r="Q3293">
        <v>4</v>
      </c>
      <c r="R3293">
        <v>67</v>
      </c>
      <c r="S3293">
        <v>1681</v>
      </c>
      <c r="T3293">
        <v>-40</v>
      </c>
      <c r="U3293">
        <v>50</v>
      </c>
      <c r="V3293">
        <v>380</v>
      </c>
      <c r="W3293">
        <v>35</v>
      </c>
      <c r="X3293">
        <v>35</v>
      </c>
      <c r="Y3293">
        <v>1</v>
      </c>
      <c r="Z3293">
        <v>8</v>
      </c>
      <c r="AA3293">
        <v>31</v>
      </c>
      <c r="AB3293">
        <v>2</v>
      </c>
      <c r="AC3293">
        <v>1</v>
      </c>
      <c r="AD3293">
        <v>3.3680000300000001</v>
      </c>
      <c r="AE3293">
        <v>4</v>
      </c>
      <c r="AF3293">
        <v>23</v>
      </c>
      <c r="AG3293">
        <v>3.3429999399999999</v>
      </c>
      <c r="AH3293">
        <v>4</v>
      </c>
      <c r="AI3293">
        <v>12</v>
      </c>
      <c r="AJ3293">
        <v>1</v>
      </c>
      <c r="AK3293">
        <v>18</v>
      </c>
      <c r="AL3293">
        <v>49</v>
      </c>
      <c r="AM3293" t="s">
        <v>43</v>
      </c>
      <c r="AN3293" t="str">
        <f>HYPERLINK("https://www.google.com/maps?q=10.76331043,79.68881226","Open Location")</f>
        <v>Open Location</v>
      </c>
    </row>
    <row r="3294" spans="1:40" x14ac:dyDescent="0.3">
      <c r="A3294" s="1">
        <v>46210.618402777778</v>
      </c>
      <c r="B3294" t="s">
        <v>40</v>
      </c>
      <c r="C3294" t="s">
        <v>41</v>
      </c>
      <c r="D3294" s="1">
        <v>46210.621215277781</v>
      </c>
      <c r="E3294" t="s">
        <v>42</v>
      </c>
      <c r="F3294" t="s">
        <v>83</v>
      </c>
      <c r="G3294">
        <v>19</v>
      </c>
      <c r="H3294">
        <v>33108</v>
      </c>
      <c r="I3294" t="s">
        <v>1926</v>
      </c>
      <c r="J3294">
        <v>99</v>
      </c>
      <c r="K3294">
        <v>181</v>
      </c>
      <c r="L3294">
        <v>98</v>
      </c>
      <c r="M3294">
        <v>642.59997558999999</v>
      </c>
      <c r="N3294" t="s">
        <v>87</v>
      </c>
      <c r="O3294" t="s">
        <v>86</v>
      </c>
      <c r="P3294">
        <v>129</v>
      </c>
      <c r="Q3294">
        <v>4</v>
      </c>
      <c r="R3294">
        <v>111</v>
      </c>
      <c r="S3294">
        <v>1353</v>
      </c>
      <c r="T3294">
        <v>-40</v>
      </c>
      <c r="U3294">
        <v>50</v>
      </c>
      <c r="V3294">
        <v>720</v>
      </c>
      <c r="W3294">
        <v>35</v>
      </c>
      <c r="X3294">
        <v>35</v>
      </c>
      <c r="Y3294">
        <v>1</v>
      </c>
      <c r="Z3294">
        <v>8</v>
      </c>
      <c r="AA3294">
        <v>31</v>
      </c>
      <c r="AB3294">
        <v>2</v>
      </c>
      <c r="AC3294">
        <v>1</v>
      </c>
      <c r="AD3294">
        <v>3.3699998899999999</v>
      </c>
      <c r="AE3294">
        <v>8</v>
      </c>
      <c r="AF3294">
        <v>43</v>
      </c>
      <c r="AG3294">
        <v>3.3429999399999999</v>
      </c>
      <c r="AH3294">
        <v>4</v>
      </c>
      <c r="AI3294">
        <v>12</v>
      </c>
      <c r="AJ3294">
        <v>1</v>
      </c>
      <c r="AK3294">
        <v>18</v>
      </c>
      <c r="AL3294">
        <v>49</v>
      </c>
      <c r="AM3294" t="s">
        <v>43</v>
      </c>
      <c r="AN3294" t="str">
        <f>HYPERLINK("https://www.google.com/maps?q=10.7632761,79.68956757","Open Location")</f>
        <v>Open Location</v>
      </c>
    </row>
    <row r="3295" spans="1:40" x14ac:dyDescent="0.3">
      <c r="A3295" s="1">
        <v>46210.618287037039</v>
      </c>
      <c r="B3295" t="s">
        <v>40</v>
      </c>
      <c r="C3295" t="s">
        <v>41</v>
      </c>
      <c r="D3295" s="1">
        <v>46210.621122685188</v>
      </c>
      <c r="E3295" t="s">
        <v>42</v>
      </c>
      <c r="F3295" t="s">
        <v>83</v>
      </c>
      <c r="G3295">
        <v>18</v>
      </c>
      <c r="H3295">
        <v>33108</v>
      </c>
      <c r="I3295" t="s">
        <v>1927</v>
      </c>
      <c r="J3295">
        <v>99</v>
      </c>
      <c r="K3295">
        <v>7</v>
      </c>
      <c r="L3295">
        <v>98</v>
      </c>
      <c r="M3295">
        <v>650.5</v>
      </c>
      <c r="N3295" t="s">
        <v>87</v>
      </c>
      <c r="O3295" t="s">
        <v>86</v>
      </c>
      <c r="P3295">
        <v>130</v>
      </c>
      <c r="Q3295">
        <v>4</v>
      </c>
      <c r="R3295">
        <v>2</v>
      </c>
      <c r="S3295">
        <v>883</v>
      </c>
      <c r="T3295">
        <v>-40</v>
      </c>
      <c r="U3295">
        <v>46</v>
      </c>
      <c r="V3295">
        <v>0</v>
      </c>
      <c r="W3295">
        <v>35</v>
      </c>
      <c r="X3295">
        <v>35</v>
      </c>
      <c r="Y3295">
        <v>1</v>
      </c>
      <c r="Z3295">
        <v>8</v>
      </c>
      <c r="AA3295">
        <v>31</v>
      </c>
      <c r="AB3295">
        <v>2</v>
      </c>
      <c r="AC3295">
        <v>1</v>
      </c>
      <c r="AD3295">
        <v>3.3940000499999998</v>
      </c>
      <c r="AE3295">
        <v>8</v>
      </c>
      <c r="AF3295">
        <v>43</v>
      </c>
      <c r="AG3295">
        <v>3.3650000100000002</v>
      </c>
      <c r="AH3295">
        <v>4</v>
      </c>
      <c r="AI3295">
        <v>12</v>
      </c>
      <c r="AJ3295">
        <v>1</v>
      </c>
      <c r="AK3295">
        <v>19</v>
      </c>
      <c r="AL3295">
        <v>49</v>
      </c>
      <c r="AM3295" t="s">
        <v>43</v>
      </c>
      <c r="AN3295" t="str">
        <f>HYPERLINK("https://www.google.com/maps?q=10.76324654,79.69010162","Open Location")</f>
        <v>Open Location</v>
      </c>
    </row>
    <row r="3296" spans="1:40" x14ac:dyDescent="0.3">
      <c r="A3296" s="1">
        <v>46210.618171296293</v>
      </c>
      <c r="B3296" t="s">
        <v>40</v>
      </c>
      <c r="C3296" t="s">
        <v>41</v>
      </c>
      <c r="D3296" s="1">
        <v>46210.621122685188</v>
      </c>
      <c r="E3296" t="s">
        <v>42</v>
      </c>
      <c r="F3296" t="s">
        <v>83</v>
      </c>
      <c r="G3296">
        <v>22</v>
      </c>
      <c r="H3296" t="s">
        <v>43</v>
      </c>
      <c r="I3296" t="s">
        <v>1928</v>
      </c>
      <c r="J3296">
        <v>99</v>
      </c>
      <c r="K3296">
        <v>7</v>
      </c>
      <c r="L3296">
        <v>98</v>
      </c>
      <c r="M3296">
        <v>650.29998779000005</v>
      </c>
      <c r="N3296" t="s">
        <v>87</v>
      </c>
      <c r="O3296" t="s">
        <v>86</v>
      </c>
      <c r="P3296">
        <v>130</v>
      </c>
      <c r="Q3296">
        <v>5</v>
      </c>
      <c r="R3296">
        <v>0</v>
      </c>
      <c r="S3296">
        <v>1042</v>
      </c>
      <c r="T3296">
        <v>-40</v>
      </c>
      <c r="U3296">
        <v>46</v>
      </c>
      <c r="V3296">
        <v>0</v>
      </c>
      <c r="W3296">
        <v>35</v>
      </c>
      <c r="X3296">
        <v>35</v>
      </c>
      <c r="Y3296">
        <v>1</v>
      </c>
      <c r="Z3296">
        <v>8</v>
      </c>
      <c r="AA3296">
        <v>31</v>
      </c>
      <c r="AB3296">
        <v>2</v>
      </c>
      <c r="AC3296">
        <v>1</v>
      </c>
      <c r="AD3296">
        <v>3.4030001200000002</v>
      </c>
      <c r="AE3296">
        <v>8</v>
      </c>
      <c r="AF3296">
        <v>43</v>
      </c>
      <c r="AG3296">
        <v>3.3740000700000001</v>
      </c>
      <c r="AH3296">
        <v>4</v>
      </c>
      <c r="AI3296">
        <v>12</v>
      </c>
      <c r="AJ3296">
        <v>1</v>
      </c>
      <c r="AK3296">
        <v>18</v>
      </c>
      <c r="AL3296">
        <v>49</v>
      </c>
      <c r="AM3296" t="s">
        <v>43</v>
      </c>
      <c r="AN3296" t="str">
        <f>HYPERLINK("https://www.google.com/maps?q=10.76317596,79.69073486","Open Location")</f>
        <v>Open Location</v>
      </c>
    </row>
    <row r="3297" spans="1:40" x14ac:dyDescent="0.3">
      <c r="A3297" s="1">
        <v>46210.618055555555</v>
      </c>
      <c r="B3297" t="s">
        <v>40</v>
      </c>
      <c r="C3297" t="s">
        <v>41</v>
      </c>
      <c r="D3297" s="1">
        <v>46210.621111111112</v>
      </c>
      <c r="E3297" t="s">
        <v>42</v>
      </c>
      <c r="F3297" t="s">
        <v>83</v>
      </c>
      <c r="G3297">
        <v>24</v>
      </c>
      <c r="H3297">
        <v>33108</v>
      </c>
      <c r="I3297" t="s">
        <v>43</v>
      </c>
      <c r="J3297">
        <v>99</v>
      </c>
      <c r="K3297">
        <v>36</v>
      </c>
      <c r="L3297">
        <v>98</v>
      </c>
      <c r="M3297">
        <v>649</v>
      </c>
      <c r="N3297" t="s">
        <v>87</v>
      </c>
      <c r="O3297" t="s">
        <v>86</v>
      </c>
      <c r="P3297">
        <v>130</v>
      </c>
      <c r="Q3297">
        <v>5</v>
      </c>
      <c r="R3297">
        <v>6</v>
      </c>
      <c r="S3297">
        <v>1113</v>
      </c>
      <c r="T3297">
        <v>-40</v>
      </c>
      <c r="U3297">
        <v>48</v>
      </c>
      <c r="V3297">
        <v>160</v>
      </c>
      <c r="W3297">
        <v>35</v>
      </c>
      <c r="X3297">
        <v>35</v>
      </c>
      <c r="Y3297">
        <v>1</v>
      </c>
      <c r="Z3297">
        <v>8</v>
      </c>
      <c r="AA3297">
        <v>31</v>
      </c>
      <c r="AB3297">
        <v>2</v>
      </c>
      <c r="AC3297">
        <v>1</v>
      </c>
      <c r="AD3297">
        <v>3.4000001000000002</v>
      </c>
      <c r="AE3297">
        <v>8</v>
      </c>
      <c r="AF3297">
        <v>43</v>
      </c>
      <c r="AG3297">
        <v>3.37199998</v>
      </c>
      <c r="AH3297">
        <v>4</v>
      </c>
      <c r="AI3297">
        <v>12</v>
      </c>
      <c r="AJ3297">
        <v>1</v>
      </c>
      <c r="AK3297">
        <v>18</v>
      </c>
      <c r="AL3297">
        <v>49</v>
      </c>
      <c r="AM3297" t="s">
        <v>43</v>
      </c>
      <c r="AN3297" t="s">
        <v>43</v>
      </c>
    </row>
    <row r="3298" spans="1:40" x14ac:dyDescent="0.3">
      <c r="A3298" s="1">
        <v>46210.617939814816</v>
      </c>
      <c r="B3298" t="s">
        <v>40</v>
      </c>
      <c r="C3298" t="s">
        <v>41</v>
      </c>
      <c r="D3298" s="1">
        <v>46210.620972222219</v>
      </c>
      <c r="E3298" t="s">
        <v>42</v>
      </c>
      <c r="F3298" t="s">
        <v>83</v>
      </c>
      <c r="G3298">
        <v>24</v>
      </c>
      <c r="H3298">
        <v>33108</v>
      </c>
      <c r="I3298" t="s">
        <v>43</v>
      </c>
      <c r="J3298">
        <v>99</v>
      </c>
      <c r="K3298">
        <v>90</v>
      </c>
      <c r="L3298">
        <v>98</v>
      </c>
      <c r="M3298">
        <v>647.40002441000001</v>
      </c>
      <c r="N3298" t="s">
        <v>87</v>
      </c>
      <c r="O3298" t="s">
        <v>86</v>
      </c>
      <c r="P3298">
        <v>129</v>
      </c>
      <c r="Q3298">
        <v>5</v>
      </c>
      <c r="R3298">
        <v>46</v>
      </c>
      <c r="S3298">
        <v>1808</v>
      </c>
      <c r="T3298">
        <v>-40</v>
      </c>
      <c r="U3298">
        <v>50</v>
      </c>
      <c r="V3298">
        <v>260</v>
      </c>
      <c r="W3298">
        <v>35</v>
      </c>
      <c r="X3298">
        <v>35</v>
      </c>
      <c r="Y3298">
        <v>1</v>
      </c>
      <c r="Z3298">
        <v>8</v>
      </c>
      <c r="AA3298">
        <v>31</v>
      </c>
      <c r="AB3298">
        <v>2</v>
      </c>
      <c r="AC3298">
        <v>1</v>
      </c>
      <c r="AD3298">
        <v>3.3940000499999998</v>
      </c>
      <c r="AE3298">
        <v>8</v>
      </c>
      <c r="AF3298">
        <v>43</v>
      </c>
      <c r="AG3298">
        <v>3.3670000999999998</v>
      </c>
      <c r="AH3298">
        <v>4</v>
      </c>
      <c r="AI3298">
        <v>12</v>
      </c>
      <c r="AJ3298">
        <v>1</v>
      </c>
      <c r="AK3298">
        <v>17</v>
      </c>
      <c r="AL3298">
        <v>49</v>
      </c>
      <c r="AM3298" t="s">
        <v>43</v>
      </c>
      <c r="AN3298" t="s">
        <v>43</v>
      </c>
    </row>
    <row r="3299" spans="1:40" x14ac:dyDescent="0.3">
      <c r="A3299" s="1">
        <v>46210.617824074077</v>
      </c>
      <c r="B3299" t="s">
        <v>40</v>
      </c>
      <c r="C3299" t="s">
        <v>41</v>
      </c>
      <c r="D3299" s="1">
        <v>46210.620648148149</v>
      </c>
      <c r="E3299" t="s">
        <v>42</v>
      </c>
      <c r="F3299" t="s">
        <v>83</v>
      </c>
      <c r="G3299">
        <v>19</v>
      </c>
      <c r="H3299">
        <v>33107</v>
      </c>
      <c r="I3299" t="s">
        <v>1929</v>
      </c>
      <c r="J3299">
        <v>100</v>
      </c>
      <c r="K3299">
        <v>169</v>
      </c>
      <c r="L3299">
        <v>98</v>
      </c>
      <c r="M3299">
        <v>646.20001220999995</v>
      </c>
      <c r="N3299" t="s">
        <v>87</v>
      </c>
      <c r="O3299" t="s">
        <v>86</v>
      </c>
      <c r="P3299">
        <v>129</v>
      </c>
      <c r="Q3299">
        <v>4</v>
      </c>
      <c r="R3299">
        <v>93</v>
      </c>
      <c r="S3299">
        <v>1373</v>
      </c>
      <c r="T3299">
        <v>-40</v>
      </c>
      <c r="U3299">
        <v>51</v>
      </c>
      <c r="V3299">
        <v>680</v>
      </c>
      <c r="W3299">
        <v>35</v>
      </c>
      <c r="X3299">
        <v>35</v>
      </c>
      <c r="Y3299">
        <v>1</v>
      </c>
      <c r="Z3299">
        <v>8</v>
      </c>
      <c r="AA3299">
        <v>31</v>
      </c>
      <c r="AB3299">
        <v>2</v>
      </c>
      <c r="AC3299">
        <v>1</v>
      </c>
      <c r="AD3299">
        <v>3.3819999699999999</v>
      </c>
      <c r="AE3299">
        <v>5</v>
      </c>
      <c r="AF3299">
        <v>45</v>
      </c>
      <c r="AG3299">
        <v>3.35400009</v>
      </c>
      <c r="AH3299">
        <v>4</v>
      </c>
      <c r="AI3299">
        <v>12</v>
      </c>
      <c r="AJ3299">
        <v>1</v>
      </c>
      <c r="AK3299">
        <v>17</v>
      </c>
      <c r="AL3299">
        <v>49</v>
      </c>
      <c r="AM3299" t="s">
        <v>43</v>
      </c>
      <c r="AN3299" t="str">
        <f>HYPERLINK("https://www.google.com/maps?q=10.76309967,79.69220734","Open Location")</f>
        <v>Open Location</v>
      </c>
    </row>
    <row r="3300" spans="1:40" x14ac:dyDescent="0.3">
      <c r="A3300" s="1">
        <v>46210.617708333331</v>
      </c>
      <c r="B3300" t="s">
        <v>40</v>
      </c>
      <c r="C3300" t="s">
        <v>41</v>
      </c>
      <c r="D3300" s="1">
        <v>46210.620648148149</v>
      </c>
      <c r="E3300" t="s">
        <v>42</v>
      </c>
      <c r="F3300" t="s">
        <v>83</v>
      </c>
      <c r="G3300">
        <v>10</v>
      </c>
      <c r="H3300">
        <v>33107</v>
      </c>
      <c r="I3300" t="s">
        <v>1930</v>
      </c>
      <c r="J3300">
        <v>100</v>
      </c>
      <c r="K3300">
        <v>93</v>
      </c>
      <c r="L3300">
        <v>98</v>
      </c>
      <c r="M3300">
        <v>649.70001220999995</v>
      </c>
      <c r="N3300" t="s">
        <v>87</v>
      </c>
      <c r="O3300" t="s">
        <v>86</v>
      </c>
      <c r="P3300">
        <v>128</v>
      </c>
      <c r="Q3300">
        <v>3</v>
      </c>
      <c r="R3300">
        <v>91</v>
      </c>
      <c r="S3300">
        <v>1276</v>
      </c>
      <c r="T3300">
        <v>-40</v>
      </c>
      <c r="U3300">
        <v>49</v>
      </c>
      <c r="V3300">
        <v>530</v>
      </c>
      <c r="W3300">
        <v>35</v>
      </c>
      <c r="X3300">
        <v>35</v>
      </c>
      <c r="Y3300">
        <v>1</v>
      </c>
      <c r="Z3300">
        <v>8</v>
      </c>
      <c r="AA3300">
        <v>31</v>
      </c>
      <c r="AB3300">
        <v>2</v>
      </c>
      <c r="AC3300">
        <v>1</v>
      </c>
      <c r="AD3300">
        <v>3.39299989</v>
      </c>
      <c r="AE3300">
        <v>5</v>
      </c>
      <c r="AF3300">
        <v>45</v>
      </c>
      <c r="AG3300">
        <v>3.3610000599999998</v>
      </c>
      <c r="AH3300">
        <v>4</v>
      </c>
      <c r="AI3300">
        <v>12</v>
      </c>
      <c r="AJ3300">
        <v>1</v>
      </c>
      <c r="AK3300">
        <v>18</v>
      </c>
      <c r="AL3300">
        <v>49</v>
      </c>
      <c r="AM3300" t="s">
        <v>43</v>
      </c>
      <c r="AN3300" t="str">
        <f>HYPERLINK("https://www.google.com/maps?q=10.76310158,79.69276428","Open Location")</f>
        <v>Open Location</v>
      </c>
    </row>
    <row r="3301" spans="1:40" x14ac:dyDescent="0.3">
      <c r="A3301" s="1">
        <v>46210.617592592593</v>
      </c>
      <c r="B3301" t="s">
        <v>40</v>
      </c>
      <c r="C3301" t="s">
        <v>41</v>
      </c>
      <c r="D3301" s="1">
        <v>46210.620648148149</v>
      </c>
      <c r="E3301" t="s">
        <v>42</v>
      </c>
      <c r="F3301" t="s">
        <v>83</v>
      </c>
      <c r="G3301">
        <v>0</v>
      </c>
      <c r="H3301">
        <v>33107</v>
      </c>
      <c r="I3301" t="s">
        <v>1931</v>
      </c>
      <c r="J3301">
        <v>100</v>
      </c>
      <c r="K3301">
        <v>20</v>
      </c>
      <c r="L3301">
        <v>98</v>
      </c>
      <c r="M3301">
        <v>656.20001220999995</v>
      </c>
      <c r="N3301" t="s">
        <v>85</v>
      </c>
      <c r="O3301" t="s">
        <v>86</v>
      </c>
      <c r="P3301">
        <v>127</v>
      </c>
      <c r="Q3301">
        <v>2</v>
      </c>
      <c r="R3301">
        <v>21</v>
      </c>
      <c r="S3301">
        <v>269</v>
      </c>
      <c r="T3301">
        <v>-40</v>
      </c>
      <c r="U3301">
        <v>48</v>
      </c>
      <c r="V3301">
        <v>220</v>
      </c>
      <c r="W3301">
        <v>35</v>
      </c>
      <c r="X3301">
        <v>35</v>
      </c>
      <c r="Y3301">
        <v>1</v>
      </c>
      <c r="Z3301">
        <v>8</v>
      </c>
      <c r="AA3301">
        <v>31</v>
      </c>
      <c r="AB3301">
        <v>2</v>
      </c>
      <c r="AC3301">
        <v>4</v>
      </c>
      <c r="AD3301">
        <v>3.4330000900000002</v>
      </c>
      <c r="AE3301">
        <v>5</v>
      </c>
      <c r="AF3301">
        <v>45</v>
      </c>
      <c r="AG3301">
        <v>3.3940000499999998</v>
      </c>
      <c r="AH3301">
        <v>4</v>
      </c>
      <c r="AI3301">
        <v>12</v>
      </c>
      <c r="AJ3301">
        <v>1</v>
      </c>
      <c r="AK3301">
        <v>18</v>
      </c>
      <c r="AL3301">
        <v>49</v>
      </c>
      <c r="AM3301" t="s">
        <v>43</v>
      </c>
      <c r="AN3301" t="str">
        <f>HYPERLINK("https://www.google.com/maps?q=10.76315403,79.69300842","Open Location")</f>
        <v>Open Location</v>
      </c>
    </row>
    <row r="3302" spans="1:40" x14ac:dyDescent="0.3">
      <c r="A3302" s="1">
        <v>46210.617476851854</v>
      </c>
      <c r="B3302" t="s">
        <v>40</v>
      </c>
      <c r="C3302" t="s">
        <v>41</v>
      </c>
      <c r="D3302" s="1">
        <v>46210.620636574073</v>
      </c>
      <c r="E3302" t="s">
        <v>42</v>
      </c>
      <c r="F3302" t="s">
        <v>83</v>
      </c>
      <c r="G3302">
        <v>0</v>
      </c>
      <c r="H3302">
        <v>33107</v>
      </c>
      <c r="I3302" t="s">
        <v>1932</v>
      </c>
      <c r="J3302">
        <v>100</v>
      </c>
      <c r="K3302">
        <v>37</v>
      </c>
      <c r="L3302">
        <v>98</v>
      </c>
      <c r="M3302">
        <v>657</v>
      </c>
      <c r="N3302" t="s">
        <v>85</v>
      </c>
      <c r="O3302" t="s">
        <v>249</v>
      </c>
      <c r="P3302">
        <v>124</v>
      </c>
      <c r="Q3302" t="s">
        <v>82</v>
      </c>
      <c r="R3302">
        <v>0</v>
      </c>
      <c r="S3302">
        <v>534</v>
      </c>
      <c r="T3302">
        <v>-40</v>
      </c>
      <c r="U3302">
        <v>49</v>
      </c>
      <c r="V3302">
        <v>-400</v>
      </c>
      <c r="W3302">
        <v>35</v>
      </c>
      <c r="X3302">
        <v>35</v>
      </c>
      <c r="Y3302">
        <v>1</v>
      </c>
      <c r="Z3302">
        <v>8</v>
      </c>
      <c r="AA3302">
        <v>31</v>
      </c>
      <c r="AB3302">
        <v>2</v>
      </c>
      <c r="AC3302">
        <v>4</v>
      </c>
      <c r="AD3302">
        <v>3.4389998899999998</v>
      </c>
      <c r="AE3302">
        <v>5</v>
      </c>
      <c r="AF3302">
        <v>45</v>
      </c>
      <c r="AG3302">
        <v>3.4000001000000002</v>
      </c>
      <c r="AH3302">
        <v>4</v>
      </c>
      <c r="AI3302">
        <v>12</v>
      </c>
      <c r="AJ3302">
        <v>1</v>
      </c>
      <c r="AK3302">
        <v>19</v>
      </c>
      <c r="AL3302">
        <v>49</v>
      </c>
      <c r="AM3302" t="s">
        <v>43</v>
      </c>
      <c r="AN3302" t="str">
        <f>HYPERLINK("https://www.google.com/maps?q=10.76317501,79.69301605","Open Location")</f>
        <v>Open Location</v>
      </c>
    </row>
    <row r="3303" spans="1:40" x14ac:dyDescent="0.3">
      <c r="A3303" s="1">
        <v>46210.617361111108</v>
      </c>
      <c r="B3303" t="s">
        <v>40</v>
      </c>
      <c r="C3303" t="s">
        <v>41</v>
      </c>
      <c r="D3303" s="1">
        <v>46210.620034722226</v>
      </c>
      <c r="E3303" t="s">
        <v>42</v>
      </c>
      <c r="F3303" t="s">
        <v>83</v>
      </c>
      <c r="G3303">
        <v>0</v>
      </c>
      <c r="H3303">
        <v>33107</v>
      </c>
      <c r="I3303" t="s">
        <v>43</v>
      </c>
      <c r="J3303">
        <v>100</v>
      </c>
      <c r="K3303">
        <v>46</v>
      </c>
      <c r="L3303">
        <v>98</v>
      </c>
      <c r="M3303">
        <v>656.70001220999995</v>
      </c>
      <c r="N3303" t="s">
        <v>85</v>
      </c>
      <c r="O3303" t="s">
        <v>249</v>
      </c>
      <c r="P3303">
        <v>124</v>
      </c>
      <c r="Q3303" t="s">
        <v>249</v>
      </c>
      <c r="R3303">
        <v>15</v>
      </c>
      <c r="S3303">
        <v>361</v>
      </c>
      <c r="T3303">
        <v>-40</v>
      </c>
      <c r="U3303">
        <v>49</v>
      </c>
      <c r="V3303">
        <v>-380</v>
      </c>
      <c r="W3303">
        <v>35</v>
      </c>
      <c r="X3303">
        <v>35</v>
      </c>
      <c r="Y3303">
        <v>1</v>
      </c>
      <c r="Z3303">
        <v>8</v>
      </c>
      <c r="AA3303">
        <v>31</v>
      </c>
      <c r="AB3303">
        <v>2</v>
      </c>
      <c r="AC3303">
        <v>4</v>
      </c>
      <c r="AD3303">
        <v>3.43799996</v>
      </c>
      <c r="AE3303">
        <v>5</v>
      </c>
      <c r="AF3303">
        <v>45</v>
      </c>
      <c r="AG3303">
        <v>3.3980000000000001</v>
      </c>
      <c r="AH3303">
        <v>4</v>
      </c>
      <c r="AI3303">
        <v>12</v>
      </c>
      <c r="AJ3303">
        <v>1</v>
      </c>
      <c r="AK3303">
        <v>19</v>
      </c>
      <c r="AL3303">
        <v>49</v>
      </c>
      <c r="AM3303" t="s">
        <v>43</v>
      </c>
      <c r="AN3303" t="s">
        <v>43</v>
      </c>
    </row>
    <row r="3304" spans="1:40" x14ac:dyDescent="0.3">
      <c r="A3304" s="1">
        <v>46210.617245370369</v>
      </c>
      <c r="B3304" t="s">
        <v>40</v>
      </c>
      <c r="C3304" t="s">
        <v>41</v>
      </c>
      <c r="D3304" s="1">
        <v>46210.620219907411</v>
      </c>
      <c r="E3304" t="s">
        <v>43</v>
      </c>
      <c r="F3304" t="s">
        <v>83</v>
      </c>
      <c r="G3304">
        <v>0</v>
      </c>
      <c r="H3304">
        <v>33107</v>
      </c>
      <c r="I3304" t="s">
        <v>1933</v>
      </c>
      <c r="J3304">
        <v>100</v>
      </c>
      <c r="K3304">
        <v>47</v>
      </c>
      <c r="L3304">
        <v>98</v>
      </c>
      <c r="M3304">
        <v>657.5</v>
      </c>
      <c r="N3304" t="s">
        <v>85</v>
      </c>
      <c r="O3304" t="s">
        <v>249</v>
      </c>
      <c r="P3304">
        <v>124</v>
      </c>
      <c r="Q3304" t="s">
        <v>249</v>
      </c>
      <c r="R3304">
        <v>26</v>
      </c>
      <c r="S3304">
        <v>698</v>
      </c>
      <c r="T3304">
        <v>-40</v>
      </c>
      <c r="U3304">
        <v>49</v>
      </c>
      <c r="V3304">
        <v>-360</v>
      </c>
      <c r="W3304">
        <v>35</v>
      </c>
      <c r="X3304">
        <v>35</v>
      </c>
      <c r="Y3304">
        <v>1</v>
      </c>
      <c r="Z3304">
        <v>8</v>
      </c>
      <c r="AA3304">
        <v>31</v>
      </c>
      <c r="AB3304">
        <v>2</v>
      </c>
      <c r="AC3304">
        <v>4</v>
      </c>
      <c r="AD3304">
        <v>3.4440000099999999</v>
      </c>
      <c r="AE3304">
        <v>5</v>
      </c>
      <c r="AF3304">
        <v>45</v>
      </c>
      <c r="AG3304">
        <v>3.4010000200000001</v>
      </c>
      <c r="AH3304">
        <v>4</v>
      </c>
      <c r="AI3304">
        <v>12</v>
      </c>
      <c r="AJ3304">
        <v>1</v>
      </c>
      <c r="AK3304">
        <v>18</v>
      </c>
      <c r="AL3304">
        <v>49</v>
      </c>
      <c r="AM3304" t="s">
        <v>43</v>
      </c>
      <c r="AN3304" t="str">
        <f>HYPERLINK("https://www.google.com/maps?q=10.76322556,79.69302368","Open Location")</f>
        <v>Open Location</v>
      </c>
    </row>
    <row r="3305" spans="1:40" x14ac:dyDescent="0.3">
      <c r="A3305" s="1">
        <v>46210.617129629631</v>
      </c>
      <c r="B3305" t="s">
        <v>40</v>
      </c>
      <c r="C3305" t="s">
        <v>41</v>
      </c>
      <c r="D3305" s="1">
        <v>46210.619675925926</v>
      </c>
      <c r="E3305" t="s">
        <v>42</v>
      </c>
      <c r="F3305" t="s">
        <v>83</v>
      </c>
      <c r="G3305">
        <v>0</v>
      </c>
      <c r="H3305">
        <v>33107</v>
      </c>
      <c r="I3305" t="s">
        <v>1934</v>
      </c>
      <c r="J3305">
        <v>100</v>
      </c>
      <c r="K3305">
        <v>38</v>
      </c>
      <c r="L3305">
        <v>98</v>
      </c>
      <c r="M3305">
        <v>658.40002441000001</v>
      </c>
      <c r="N3305" t="s">
        <v>85</v>
      </c>
      <c r="O3305" t="s">
        <v>249</v>
      </c>
      <c r="P3305">
        <v>124</v>
      </c>
      <c r="Q3305" t="s">
        <v>249</v>
      </c>
      <c r="R3305">
        <v>15</v>
      </c>
      <c r="S3305">
        <v>453</v>
      </c>
      <c r="T3305">
        <v>-40</v>
      </c>
      <c r="U3305">
        <v>48</v>
      </c>
      <c r="V3305">
        <v>-464</v>
      </c>
      <c r="W3305">
        <v>35</v>
      </c>
      <c r="X3305">
        <v>35</v>
      </c>
      <c r="Y3305">
        <v>1</v>
      </c>
      <c r="Z3305">
        <v>8</v>
      </c>
      <c r="AA3305">
        <v>31</v>
      </c>
      <c r="AB3305">
        <v>2</v>
      </c>
      <c r="AC3305">
        <v>4</v>
      </c>
      <c r="AD3305">
        <v>3.4560000899999999</v>
      </c>
      <c r="AE3305">
        <v>5</v>
      </c>
      <c r="AF3305">
        <v>45</v>
      </c>
      <c r="AG3305">
        <v>3.4089999199999999</v>
      </c>
      <c r="AH3305">
        <v>4</v>
      </c>
      <c r="AI3305">
        <v>12</v>
      </c>
      <c r="AJ3305">
        <v>1</v>
      </c>
      <c r="AK3305">
        <v>18</v>
      </c>
      <c r="AL3305">
        <v>49</v>
      </c>
      <c r="AM3305" t="s">
        <v>43</v>
      </c>
      <c r="AN3305" t="str">
        <f>HYPERLINK("https://www.google.com/maps?q=10.76327896,79.69303894","Open Location")</f>
        <v>Open Location</v>
      </c>
    </row>
    <row r="3306" spans="1:40" x14ac:dyDescent="0.3">
      <c r="A3306" s="1">
        <v>46210.617013888892</v>
      </c>
      <c r="B3306" t="s">
        <v>40</v>
      </c>
      <c r="C3306" t="s">
        <v>41</v>
      </c>
      <c r="D3306" s="1">
        <v>46210.619675925926</v>
      </c>
      <c r="E3306" t="s">
        <v>42</v>
      </c>
      <c r="F3306" t="s">
        <v>83</v>
      </c>
      <c r="G3306">
        <v>0</v>
      </c>
      <c r="H3306">
        <v>33107</v>
      </c>
      <c r="I3306" t="s">
        <v>1935</v>
      </c>
      <c r="J3306">
        <v>100</v>
      </c>
      <c r="K3306">
        <v>15</v>
      </c>
      <c r="L3306">
        <v>98</v>
      </c>
      <c r="M3306">
        <v>660.90002441000001</v>
      </c>
      <c r="N3306" t="s">
        <v>85</v>
      </c>
      <c r="O3306" t="s">
        <v>249</v>
      </c>
      <c r="P3306">
        <v>124</v>
      </c>
      <c r="Q3306" t="s">
        <v>249</v>
      </c>
      <c r="R3306">
        <v>2</v>
      </c>
      <c r="S3306">
        <v>223</v>
      </c>
      <c r="T3306">
        <v>-40</v>
      </c>
      <c r="U3306">
        <v>48</v>
      </c>
      <c r="V3306">
        <v>-340</v>
      </c>
      <c r="W3306">
        <v>35</v>
      </c>
      <c r="X3306">
        <v>35</v>
      </c>
      <c r="Y3306">
        <v>1</v>
      </c>
      <c r="Z3306">
        <v>8</v>
      </c>
      <c r="AA3306">
        <v>31</v>
      </c>
      <c r="AB3306">
        <v>2</v>
      </c>
      <c r="AC3306">
        <v>4</v>
      </c>
      <c r="AD3306">
        <v>3.4679999399999999</v>
      </c>
      <c r="AE3306">
        <v>5</v>
      </c>
      <c r="AF3306">
        <v>45</v>
      </c>
      <c r="AG3306">
        <v>3.4179999799999998</v>
      </c>
      <c r="AH3306">
        <v>4</v>
      </c>
      <c r="AI3306">
        <v>12</v>
      </c>
      <c r="AJ3306">
        <v>1</v>
      </c>
      <c r="AK3306">
        <v>19</v>
      </c>
      <c r="AL3306">
        <v>49</v>
      </c>
      <c r="AM3306" t="s">
        <v>43</v>
      </c>
      <c r="AN3306" t="str">
        <f>HYPERLINK("https://www.google.com/maps?q=10.7633152,79.69304657","Open Location")</f>
        <v>Open Location</v>
      </c>
    </row>
    <row r="3307" spans="1:40" x14ac:dyDescent="0.3">
      <c r="A3307" s="1">
        <v>46210.616898148146</v>
      </c>
      <c r="B3307" t="s">
        <v>40</v>
      </c>
      <c r="C3307" t="s">
        <v>41</v>
      </c>
      <c r="D3307" s="1">
        <v>46210.619641203702</v>
      </c>
      <c r="E3307" t="s">
        <v>42</v>
      </c>
      <c r="F3307" t="s">
        <v>83</v>
      </c>
      <c r="G3307">
        <v>0</v>
      </c>
      <c r="H3307">
        <v>33107</v>
      </c>
      <c r="I3307" t="s">
        <v>1936</v>
      </c>
      <c r="J3307">
        <v>100</v>
      </c>
      <c r="K3307">
        <v>32</v>
      </c>
      <c r="L3307">
        <v>98</v>
      </c>
      <c r="M3307">
        <v>661</v>
      </c>
      <c r="N3307" t="s">
        <v>85</v>
      </c>
      <c r="O3307" t="s">
        <v>249</v>
      </c>
      <c r="P3307">
        <v>124</v>
      </c>
      <c r="Q3307" t="s">
        <v>249</v>
      </c>
      <c r="R3307">
        <v>10</v>
      </c>
      <c r="S3307">
        <v>528</v>
      </c>
      <c r="T3307">
        <v>-40</v>
      </c>
      <c r="U3307">
        <v>47</v>
      </c>
      <c r="V3307">
        <v>-300</v>
      </c>
      <c r="W3307">
        <v>36</v>
      </c>
      <c r="X3307">
        <v>36</v>
      </c>
      <c r="Y3307">
        <v>1</v>
      </c>
      <c r="Z3307">
        <v>8</v>
      </c>
      <c r="AA3307">
        <v>31</v>
      </c>
      <c r="AB3307">
        <v>2</v>
      </c>
      <c r="AC3307">
        <v>6</v>
      </c>
      <c r="AD3307">
        <v>3.46399999</v>
      </c>
      <c r="AE3307">
        <v>5</v>
      </c>
      <c r="AF3307">
        <v>45</v>
      </c>
      <c r="AG3307">
        <v>3.4159998900000001</v>
      </c>
      <c r="AH3307">
        <v>4</v>
      </c>
      <c r="AI3307">
        <v>12</v>
      </c>
      <c r="AJ3307">
        <v>1</v>
      </c>
      <c r="AK3307">
        <v>19</v>
      </c>
      <c r="AL3307">
        <v>49</v>
      </c>
      <c r="AM3307" t="s">
        <v>43</v>
      </c>
      <c r="AN3307" t="str">
        <f>HYPERLINK("https://www.google.com/maps?q=10.76334476,79.69304657","Open Location")</f>
        <v>Open Location</v>
      </c>
    </row>
    <row r="3308" spans="1:40" x14ac:dyDescent="0.3">
      <c r="A3308" s="1">
        <v>46210.616782407407</v>
      </c>
      <c r="B3308" t="s">
        <v>40</v>
      </c>
      <c r="C3308" t="s">
        <v>41</v>
      </c>
      <c r="D3308" s="1">
        <v>46210.61954861111</v>
      </c>
      <c r="E3308" t="s">
        <v>42</v>
      </c>
      <c r="F3308" t="s">
        <v>83</v>
      </c>
      <c r="G3308">
        <v>2</v>
      </c>
      <c r="H3308" t="s">
        <v>43</v>
      </c>
      <c r="I3308" t="s">
        <v>1937</v>
      </c>
      <c r="J3308">
        <v>100</v>
      </c>
      <c r="K3308">
        <v>34</v>
      </c>
      <c r="L3308">
        <v>98</v>
      </c>
      <c r="M3308">
        <v>662.29998779000005</v>
      </c>
      <c r="N3308" t="s">
        <v>87</v>
      </c>
      <c r="O3308" t="s">
        <v>249</v>
      </c>
      <c r="P3308">
        <v>124</v>
      </c>
      <c r="Q3308" t="s">
        <v>249</v>
      </c>
      <c r="R3308">
        <v>17</v>
      </c>
      <c r="S3308">
        <v>717</v>
      </c>
      <c r="T3308">
        <v>-40</v>
      </c>
      <c r="U3308">
        <v>47</v>
      </c>
      <c r="V3308">
        <v>-260</v>
      </c>
      <c r="W3308">
        <v>36</v>
      </c>
      <c r="X3308">
        <v>36</v>
      </c>
      <c r="Y3308">
        <v>1</v>
      </c>
      <c r="Z3308">
        <v>8</v>
      </c>
      <c r="AA3308">
        <v>31</v>
      </c>
      <c r="AB3308">
        <v>2</v>
      </c>
      <c r="AC3308">
        <v>6</v>
      </c>
      <c r="AD3308">
        <v>3.4690001000000001</v>
      </c>
      <c r="AE3308">
        <v>5</v>
      </c>
      <c r="AF3308">
        <v>45</v>
      </c>
      <c r="AG3308">
        <v>3.4179999799999998</v>
      </c>
      <c r="AH3308">
        <v>4</v>
      </c>
      <c r="AI3308">
        <v>12</v>
      </c>
      <c r="AJ3308">
        <v>1</v>
      </c>
      <c r="AK3308">
        <v>18</v>
      </c>
      <c r="AL3308">
        <v>49</v>
      </c>
      <c r="AM3308" t="s">
        <v>43</v>
      </c>
      <c r="AN3308" t="str">
        <f>HYPERLINK("https://www.google.com/maps?q=10.76339626,79.69303894","Open Location")</f>
        <v>Open Location</v>
      </c>
    </row>
    <row r="3309" spans="1:40" x14ac:dyDescent="0.3">
      <c r="A3309" s="1">
        <v>46210.616666666669</v>
      </c>
      <c r="B3309" t="s">
        <v>40</v>
      </c>
      <c r="C3309" t="s">
        <v>41</v>
      </c>
      <c r="D3309" s="1">
        <v>46210.619363425925</v>
      </c>
      <c r="E3309" t="s">
        <v>42</v>
      </c>
      <c r="F3309" t="s">
        <v>83</v>
      </c>
      <c r="G3309">
        <v>0</v>
      </c>
      <c r="H3309">
        <v>33107</v>
      </c>
      <c r="I3309" t="s">
        <v>43</v>
      </c>
      <c r="J3309">
        <v>100</v>
      </c>
      <c r="K3309">
        <v>18</v>
      </c>
      <c r="L3309">
        <v>98</v>
      </c>
      <c r="M3309">
        <v>663.5</v>
      </c>
      <c r="N3309" t="s">
        <v>85</v>
      </c>
      <c r="O3309" t="s">
        <v>249</v>
      </c>
      <c r="P3309">
        <v>124</v>
      </c>
      <c r="Q3309" t="s">
        <v>249</v>
      </c>
      <c r="R3309">
        <v>10</v>
      </c>
      <c r="S3309">
        <v>582</v>
      </c>
      <c r="T3309">
        <v>-40</v>
      </c>
      <c r="U3309">
        <v>46</v>
      </c>
      <c r="V3309">
        <v>-140</v>
      </c>
      <c r="W3309">
        <v>36</v>
      </c>
      <c r="X3309">
        <v>36</v>
      </c>
      <c r="Y3309">
        <v>1</v>
      </c>
      <c r="Z3309">
        <v>8</v>
      </c>
      <c r="AA3309">
        <v>31</v>
      </c>
      <c r="AB3309">
        <v>2</v>
      </c>
      <c r="AC3309">
        <v>6</v>
      </c>
      <c r="AD3309">
        <v>3.4769999999999999</v>
      </c>
      <c r="AE3309">
        <v>5</v>
      </c>
      <c r="AF3309">
        <v>45</v>
      </c>
      <c r="AG3309">
        <v>3.4230000999999999</v>
      </c>
      <c r="AH3309">
        <v>4</v>
      </c>
      <c r="AI3309">
        <v>12</v>
      </c>
      <c r="AJ3309">
        <v>1</v>
      </c>
      <c r="AK3309">
        <v>18</v>
      </c>
      <c r="AL3309">
        <v>49</v>
      </c>
      <c r="AM3309" t="s">
        <v>43</v>
      </c>
      <c r="AN3309" t="s">
        <v>43</v>
      </c>
    </row>
    <row r="3310" spans="1:40" x14ac:dyDescent="0.3">
      <c r="A3310" s="1">
        <v>46210.616550925923</v>
      </c>
      <c r="B3310" t="s">
        <v>40</v>
      </c>
      <c r="C3310" t="s">
        <v>41</v>
      </c>
      <c r="D3310" s="1">
        <v>46210.619189814817</v>
      </c>
      <c r="E3310" t="s">
        <v>43</v>
      </c>
      <c r="F3310" t="s">
        <v>83</v>
      </c>
      <c r="G3310">
        <v>0</v>
      </c>
      <c r="H3310">
        <v>33107</v>
      </c>
      <c r="I3310" t="s">
        <v>1938</v>
      </c>
      <c r="J3310">
        <v>100</v>
      </c>
      <c r="K3310">
        <v>29</v>
      </c>
      <c r="L3310">
        <v>98</v>
      </c>
      <c r="M3310">
        <v>663.70001220999995</v>
      </c>
      <c r="N3310" t="s">
        <v>85</v>
      </c>
      <c r="O3310" t="s">
        <v>249</v>
      </c>
      <c r="P3310">
        <v>124</v>
      </c>
      <c r="Q3310" t="s">
        <v>249</v>
      </c>
      <c r="R3310">
        <v>19</v>
      </c>
      <c r="S3310">
        <v>376</v>
      </c>
      <c r="T3310">
        <v>-40</v>
      </c>
      <c r="U3310">
        <v>47</v>
      </c>
      <c r="V3310">
        <v>-320</v>
      </c>
      <c r="W3310">
        <v>36</v>
      </c>
      <c r="X3310">
        <v>36</v>
      </c>
      <c r="Y3310">
        <v>1</v>
      </c>
      <c r="Z3310">
        <v>8</v>
      </c>
      <c r="AA3310">
        <v>31</v>
      </c>
      <c r="AB3310">
        <v>2</v>
      </c>
      <c r="AC3310">
        <v>6</v>
      </c>
      <c r="AD3310">
        <v>3.4809999500000002</v>
      </c>
      <c r="AE3310">
        <v>5</v>
      </c>
      <c r="AF3310">
        <v>45</v>
      </c>
      <c r="AG3310">
        <v>3.4249999500000001</v>
      </c>
      <c r="AH3310">
        <v>4</v>
      </c>
      <c r="AI3310">
        <v>12</v>
      </c>
      <c r="AJ3310">
        <v>1</v>
      </c>
      <c r="AK3310">
        <v>18</v>
      </c>
      <c r="AL3310">
        <v>49</v>
      </c>
      <c r="AM3310" t="s">
        <v>43</v>
      </c>
      <c r="AN3310" t="str">
        <f>HYPERLINK("https://www.google.com/maps?q=10.76344967,79.69303894","Open Location")</f>
        <v>Open Location</v>
      </c>
    </row>
    <row r="3311" spans="1:40" x14ac:dyDescent="0.3">
      <c r="A3311" s="1">
        <v>46210.616435185184</v>
      </c>
      <c r="B3311" t="s">
        <v>40</v>
      </c>
      <c r="C3311" t="s">
        <v>41</v>
      </c>
      <c r="D3311" s="1">
        <v>46210.619363425925</v>
      </c>
      <c r="E3311" t="s">
        <v>42</v>
      </c>
      <c r="F3311" t="s">
        <v>83</v>
      </c>
      <c r="G3311">
        <v>0</v>
      </c>
      <c r="H3311">
        <v>33107</v>
      </c>
      <c r="I3311" t="s">
        <v>1939</v>
      </c>
      <c r="J3311">
        <v>100</v>
      </c>
      <c r="K3311">
        <v>14</v>
      </c>
      <c r="L3311">
        <v>98</v>
      </c>
      <c r="M3311">
        <v>665.09997558999999</v>
      </c>
      <c r="N3311" t="s">
        <v>85</v>
      </c>
      <c r="O3311" t="s">
        <v>249</v>
      </c>
      <c r="P3311">
        <v>124</v>
      </c>
      <c r="Q3311" t="s">
        <v>249</v>
      </c>
      <c r="R3311">
        <v>11</v>
      </c>
      <c r="S3311">
        <v>230</v>
      </c>
      <c r="T3311">
        <v>-40</v>
      </c>
      <c r="U3311">
        <v>46</v>
      </c>
      <c r="V3311">
        <v>-120</v>
      </c>
      <c r="W3311">
        <v>36</v>
      </c>
      <c r="X3311">
        <v>36</v>
      </c>
      <c r="Y3311">
        <v>1</v>
      </c>
      <c r="Z3311">
        <v>8</v>
      </c>
      <c r="AA3311">
        <v>31</v>
      </c>
      <c r="AB3311">
        <v>2</v>
      </c>
      <c r="AC3311">
        <v>6</v>
      </c>
      <c r="AD3311">
        <v>3.48799992</v>
      </c>
      <c r="AE3311">
        <v>5</v>
      </c>
      <c r="AF3311">
        <v>45</v>
      </c>
      <c r="AG3311">
        <v>3.4289999</v>
      </c>
      <c r="AH3311">
        <v>4</v>
      </c>
      <c r="AI3311">
        <v>12</v>
      </c>
      <c r="AJ3311">
        <v>1</v>
      </c>
      <c r="AK3311">
        <v>18</v>
      </c>
      <c r="AL3311">
        <v>49</v>
      </c>
      <c r="AM3311" t="s">
        <v>43</v>
      </c>
      <c r="AN3311" t="str">
        <f>HYPERLINK("https://www.google.com/maps?q=10.76346874,79.69307709","Open Location")</f>
        <v>Open Location</v>
      </c>
    </row>
    <row r="3312" spans="1:40" x14ac:dyDescent="0.3">
      <c r="A3312" s="1">
        <v>46210.616319444445</v>
      </c>
      <c r="B3312" t="s">
        <v>40</v>
      </c>
      <c r="C3312" t="s">
        <v>41</v>
      </c>
      <c r="D3312" s="1">
        <v>46210.619317129633</v>
      </c>
      <c r="E3312" t="s">
        <v>42</v>
      </c>
      <c r="F3312" t="s">
        <v>83</v>
      </c>
      <c r="G3312">
        <v>0</v>
      </c>
      <c r="H3312">
        <v>33107</v>
      </c>
      <c r="I3312" t="s">
        <v>1940</v>
      </c>
      <c r="J3312">
        <v>100</v>
      </c>
      <c r="K3312">
        <v>11</v>
      </c>
      <c r="L3312">
        <v>98</v>
      </c>
      <c r="M3312">
        <v>665.90002441000001</v>
      </c>
      <c r="N3312" t="s">
        <v>85</v>
      </c>
      <c r="O3312" t="s">
        <v>249</v>
      </c>
      <c r="P3312">
        <v>124</v>
      </c>
      <c r="Q3312" t="s">
        <v>249</v>
      </c>
      <c r="R3312">
        <v>3</v>
      </c>
      <c r="S3312">
        <v>286</v>
      </c>
      <c r="T3312">
        <v>-40</v>
      </c>
      <c r="U3312">
        <v>46</v>
      </c>
      <c r="V3312">
        <v>-140</v>
      </c>
      <c r="W3312">
        <v>36</v>
      </c>
      <c r="X3312">
        <v>36</v>
      </c>
      <c r="Y3312">
        <v>1</v>
      </c>
      <c r="Z3312">
        <v>8</v>
      </c>
      <c r="AA3312">
        <v>31</v>
      </c>
      <c r="AB3312">
        <v>2</v>
      </c>
      <c r="AC3312">
        <v>6</v>
      </c>
      <c r="AD3312">
        <v>3.49699998</v>
      </c>
      <c r="AE3312">
        <v>5</v>
      </c>
      <c r="AF3312">
        <v>45</v>
      </c>
      <c r="AG3312">
        <v>3.43700004</v>
      </c>
      <c r="AH3312">
        <v>4</v>
      </c>
      <c r="AI3312">
        <v>12</v>
      </c>
      <c r="AJ3312">
        <v>1</v>
      </c>
      <c r="AK3312">
        <v>18</v>
      </c>
      <c r="AL3312">
        <v>49</v>
      </c>
      <c r="AM3312" t="s">
        <v>43</v>
      </c>
      <c r="AN3312" t="str">
        <f>HYPERLINK("https://www.google.com/maps?q=10.76349831,79.69306946","Open Location")</f>
        <v>Open Location</v>
      </c>
    </row>
    <row r="3313" spans="1:40" x14ac:dyDescent="0.3">
      <c r="A3313" s="1">
        <v>46210.616203703707</v>
      </c>
      <c r="B3313" t="s">
        <v>40</v>
      </c>
      <c r="C3313" t="s">
        <v>41</v>
      </c>
      <c r="D3313" s="1">
        <v>46210.618888888886</v>
      </c>
      <c r="E3313" t="s">
        <v>42</v>
      </c>
      <c r="F3313" t="s">
        <v>83</v>
      </c>
      <c r="G3313">
        <v>0</v>
      </c>
      <c r="H3313">
        <v>33107</v>
      </c>
      <c r="I3313" t="s">
        <v>1941</v>
      </c>
      <c r="J3313">
        <v>100</v>
      </c>
      <c r="K3313">
        <v>22</v>
      </c>
      <c r="L3313">
        <v>98</v>
      </c>
      <c r="M3313">
        <v>666.59997558999999</v>
      </c>
      <c r="N3313" t="s">
        <v>85</v>
      </c>
      <c r="O3313" t="s">
        <v>249</v>
      </c>
      <c r="P3313">
        <v>124</v>
      </c>
      <c r="Q3313" t="s">
        <v>249</v>
      </c>
      <c r="R3313">
        <v>10</v>
      </c>
      <c r="S3313">
        <v>313</v>
      </c>
      <c r="T3313">
        <v>-40</v>
      </c>
      <c r="U3313">
        <v>44</v>
      </c>
      <c r="V3313">
        <v>-300</v>
      </c>
      <c r="W3313">
        <v>36</v>
      </c>
      <c r="X3313">
        <v>36</v>
      </c>
      <c r="Y3313">
        <v>1</v>
      </c>
      <c r="Z3313">
        <v>8</v>
      </c>
      <c r="AA3313">
        <v>31</v>
      </c>
      <c r="AB3313">
        <v>2</v>
      </c>
      <c r="AC3313">
        <v>6</v>
      </c>
      <c r="AD3313">
        <v>3.4990000700000001</v>
      </c>
      <c r="AE3313">
        <v>5</v>
      </c>
      <c r="AF3313">
        <v>45</v>
      </c>
      <c r="AG3313">
        <v>3.43700004</v>
      </c>
      <c r="AH3313">
        <v>4</v>
      </c>
      <c r="AI3313">
        <v>12</v>
      </c>
      <c r="AJ3313">
        <v>1</v>
      </c>
      <c r="AK3313">
        <v>19</v>
      </c>
      <c r="AL3313">
        <v>49</v>
      </c>
      <c r="AM3313" t="s">
        <v>43</v>
      </c>
      <c r="AN3313" t="str">
        <f>HYPERLINK("https://www.google.com/maps?q=10.76351833,79.69303894","Open Location")</f>
        <v>Open Location</v>
      </c>
    </row>
    <row r="3314" spans="1:40" x14ac:dyDescent="0.3">
      <c r="A3314" s="1">
        <v>46210.616087962961</v>
      </c>
      <c r="B3314" t="s">
        <v>40</v>
      </c>
      <c r="C3314" t="s">
        <v>41</v>
      </c>
      <c r="D3314" s="1">
        <v>46210.619016203702</v>
      </c>
      <c r="E3314" t="s">
        <v>42</v>
      </c>
      <c r="F3314" t="s">
        <v>83</v>
      </c>
      <c r="G3314">
        <v>0</v>
      </c>
      <c r="H3314">
        <v>33107</v>
      </c>
      <c r="I3314" t="s">
        <v>43</v>
      </c>
      <c r="J3314">
        <v>100</v>
      </c>
      <c r="K3314">
        <v>20</v>
      </c>
      <c r="L3314">
        <v>98</v>
      </c>
      <c r="M3314">
        <v>667.5</v>
      </c>
      <c r="N3314" t="s">
        <v>85</v>
      </c>
      <c r="O3314" t="s">
        <v>249</v>
      </c>
      <c r="P3314">
        <v>124</v>
      </c>
      <c r="Q3314" t="s">
        <v>249</v>
      </c>
      <c r="R3314">
        <v>5</v>
      </c>
      <c r="S3314">
        <v>370</v>
      </c>
      <c r="T3314">
        <v>-40</v>
      </c>
      <c r="U3314">
        <v>44</v>
      </c>
      <c r="V3314">
        <v>-180</v>
      </c>
      <c r="W3314">
        <v>36</v>
      </c>
      <c r="X3314">
        <v>36</v>
      </c>
      <c r="Y3314">
        <v>1</v>
      </c>
      <c r="Z3314">
        <v>8</v>
      </c>
      <c r="AA3314">
        <v>31</v>
      </c>
      <c r="AB3314">
        <v>2</v>
      </c>
      <c r="AC3314">
        <v>6</v>
      </c>
      <c r="AD3314">
        <v>3.5069999699999999</v>
      </c>
      <c r="AE3314">
        <v>5</v>
      </c>
      <c r="AF3314">
        <v>45</v>
      </c>
      <c r="AG3314">
        <v>3.44099998</v>
      </c>
      <c r="AH3314">
        <v>4</v>
      </c>
      <c r="AI3314">
        <v>12</v>
      </c>
      <c r="AJ3314">
        <v>1</v>
      </c>
      <c r="AK3314">
        <v>18</v>
      </c>
      <c r="AL3314">
        <v>49</v>
      </c>
      <c r="AM3314" t="s">
        <v>43</v>
      </c>
      <c r="AN3314" t="s">
        <v>43</v>
      </c>
    </row>
    <row r="3315" spans="1:40" x14ac:dyDescent="0.3">
      <c r="A3315" s="1">
        <v>46210.615972222222</v>
      </c>
      <c r="B3315" t="s">
        <v>40</v>
      </c>
      <c r="C3315" t="s">
        <v>41</v>
      </c>
      <c r="D3315" s="1">
        <v>46210.618831018517</v>
      </c>
      <c r="E3315" t="s">
        <v>42</v>
      </c>
      <c r="F3315" t="s">
        <v>83</v>
      </c>
      <c r="G3315">
        <v>0</v>
      </c>
      <c r="H3315">
        <v>33107</v>
      </c>
      <c r="I3315" t="s">
        <v>1942</v>
      </c>
      <c r="J3315">
        <v>100</v>
      </c>
      <c r="K3315">
        <v>16</v>
      </c>
      <c r="L3315">
        <v>98</v>
      </c>
      <c r="M3315">
        <v>668.79998779000005</v>
      </c>
      <c r="N3315" t="s">
        <v>85</v>
      </c>
      <c r="O3315" t="s">
        <v>249</v>
      </c>
      <c r="P3315">
        <v>124</v>
      </c>
      <c r="Q3315" t="s">
        <v>249</v>
      </c>
      <c r="R3315">
        <v>4</v>
      </c>
      <c r="S3315">
        <v>327</v>
      </c>
      <c r="T3315">
        <v>-40</v>
      </c>
      <c r="U3315">
        <v>43</v>
      </c>
      <c r="V3315">
        <v>-180</v>
      </c>
      <c r="W3315">
        <v>36</v>
      </c>
      <c r="X3315">
        <v>36</v>
      </c>
      <c r="Y3315">
        <v>1</v>
      </c>
      <c r="Z3315">
        <v>8</v>
      </c>
      <c r="AA3315">
        <v>31</v>
      </c>
      <c r="AB3315">
        <v>2</v>
      </c>
      <c r="AC3315">
        <v>6</v>
      </c>
      <c r="AD3315">
        <v>3.5160000299999998</v>
      </c>
      <c r="AE3315">
        <v>5</v>
      </c>
      <c r="AF3315">
        <v>45</v>
      </c>
      <c r="AG3315">
        <v>3.4449999299999998</v>
      </c>
      <c r="AH3315">
        <v>4</v>
      </c>
      <c r="AI3315">
        <v>12</v>
      </c>
      <c r="AJ3315">
        <v>1</v>
      </c>
      <c r="AK3315">
        <v>15</v>
      </c>
      <c r="AL3315">
        <v>49</v>
      </c>
      <c r="AM3315" t="s">
        <v>43</v>
      </c>
      <c r="AN3315" t="str">
        <f>HYPERLINK("https://www.google.com/maps?q=10.76352596,79.69303131","Open Location")</f>
        <v>Open Location</v>
      </c>
    </row>
    <row r="3316" spans="1:40" x14ac:dyDescent="0.3">
      <c r="A3316" s="1">
        <v>46210.615856481483</v>
      </c>
      <c r="B3316" t="s">
        <v>40</v>
      </c>
      <c r="C3316" t="s">
        <v>41</v>
      </c>
      <c r="D3316" s="1">
        <v>46210.618460648147</v>
      </c>
      <c r="E3316" t="s">
        <v>43</v>
      </c>
      <c r="F3316" t="s">
        <v>83</v>
      </c>
      <c r="G3316">
        <v>0</v>
      </c>
      <c r="H3316">
        <v>33107</v>
      </c>
      <c r="I3316" t="s">
        <v>1943</v>
      </c>
      <c r="J3316">
        <v>100</v>
      </c>
      <c r="K3316">
        <v>0</v>
      </c>
      <c r="L3316">
        <v>98</v>
      </c>
      <c r="M3316">
        <v>670.5</v>
      </c>
      <c r="N3316" t="s">
        <v>85</v>
      </c>
      <c r="O3316" t="s">
        <v>249</v>
      </c>
      <c r="P3316">
        <v>124</v>
      </c>
      <c r="Q3316" t="s">
        <v>249</v>
      </c>
      <c r="R3316">
        <v>0</v>
      </c>
      <c r="S3316">
        <v>66</v>
      </c>
      <c r="T3316">
        <v>-40</v>
      </c>
      <c r="U3316">
        <v>41</v>
      </c>
      <c r="V3316">
        <v>82</v>
      </c>
      <c r="W3316">
        <v>36</v>
      </c>
      <c r="X3316">
        <v>36</v>
      </c>
      <c r="Y3316">
        <v>1</v>
      </c>
      <c r="Z3316">
        <v>8</v>
      </c>
      <c r="AA3316">
        <v>31</v>
      </c>
      <c r="AB3316">
        <v>2</v>
      </c>
      <c r="AC3316">
        <v>6</v>
      </c>
      <c r="AD3316">
        <v>3.5280001200000002</v>
      </c>
      <c r="AE3316">
        <v>5</v>
      </c>
      <c r="AF3316">
        <v>45</v>
      </c>
      <c r="AG3316">
        <v>3.4530000699999999</v>
      </c>
      <c r="AH3316">
        <v>4</v>
      </c>
      <c r="AI3316">
        <v>12</v>
      </c>
      <c r="AJ3316">
        <v>0</v>
      </c>
      <c r="AK3316">
        <v>0</v>
      </c>
      <c r="AL3316">
        <v>49</v>
      </c>
      <c r="AM3316" t="s">
        <v>43</v>
      </c>
      <c r="AN3316" t="str">
        <f>HYPERLINK("https://www.google.com/maps?q=10.76355934,79.69301605","Open Location")</f>
        <v>Open Location</v>
      </c>
    </row>
    <row r="3317" spans="1:40" x14ac:dyDescent="0.3">
      <c r="A3317" s="1">
        <v>46210.615740740737</v>
      </c>
      <c r="B3317" t="s">
        <v>40</v>
      </c>
      <c r="C3317" t="s">
        <v>41</v>
      </c>
      <c r="D3317" s="1">
        <v>46210.618634259263</v>
      </c>
      <c r="E3317" t="s">
        <v>42</v>
      </c>
      <c r="F3317" t="s">
        <v>83</v>
      </c>
      <c r="G3317">
        <v>0</v>
      </c>
      <c r="H3317">
        <v>33107</v>
      </c>
      <c r="I3317" t="s">
        <v>1944</v>
      </c>
      <c r="J3317">
        <v>100</v>
      </c>
      <c r="K3317">
        <v>1</v>
      </c>
      <c r="L3317">
        <v>98</v>
      </c>
      <c r="M3317">
        <v>670.5</v>
      </c>
      <c r="N3317" t="s">
        <v>81</v>
      </c>
      <c r="O3317" t="s">
        <v>82</v>
      </c>
      <c r="P3317">
        <v>125</v>
      </c>
      <c r="Q3317" t="s">
        <v>82</v>
      </c>
      <c r="R3317">
        <v>0</v>
      </c>
      <c r="S3317">
        <v>0</v>
      </c>
      <c r="T3317">
        <v>-40</v>
      </c>
      <c r="U3317">
        <v>41</v>
      </c>
      <c r="V3317">
        <v>0</v>
      </c>
      <c r="W3317">
        <v>36</v>
      </c>
      <c r="X3317">
        <v>36</v>
      </c>
      <c r="Y3317">
        <v>1</v>
      </c>
      <c r="Z3317">
        <v>8</v>
      </c>
      <c r="AA3317">
        <v>31</v>
      </c>
      <c r="AB3317">
        <v>2</v>
      </c>
      <c r="AC3317">
        <v>6</v>
      </c>
      <c r="AD3317">
        <v>3.5290000400000001</v>
      </c>
      <c r="AE3317">
        <v>5</v>
      </c>
      <c r="AF3317">
        <v>45</v>
      </c>
      <c r="AG3317">
        <v>3.4549999200000001</v>
      </c>
      <c r="AH3317">
        <v>4</v>
      </c>
      <c r="AI3317">
        <v>12</v>
      </c>
      <c r="AJ3317">
        <v>1</v>
      </c>
      <c r="AK3317">
        <v>13</v>
      </c>
      <c r="AL3317">
        <v>49</v>
      </c>
      <c r="AM3317" t="s">
        <v>43</v>
      </c>
      <c r="AN3317" t="str">
        <f>HYPERLINK("https://www.google.com/maps?q=10.76356983,79.69302368","Open Location")</f>
        <v>Open Location</v>
      </c>
    </row>
    <row r="3318" spans="1:40" x14ac:dyDescent="0.3">
      <c r="A3318" s="1">
        <v>46210.615624999999</v>
      </c>
      <c r="B3318" t="s">
        <v>40</v>
      </c>
      <c r="C3318" t="s">
        <v>41</v>
      </c>
      <c r="D3318" s="1">
        <v>46210.618460648147</v>
      </c>
      <c r="E3318" t="s">
        <v>42</v>
      </c>
      <c r="F3318" t="s">
        <v>83</v>
      </c>
      <c r="G3318">
        <v>0</v>
      </c>
      <c r="H3318">
        <v>33107</v>
      </c>
      <c r="I3318" t="s">
        <v>1945</v>
      </c>
      <c r="J3318">
        <v>100</v>
      </c>
      <c r="K3318">
        <v>1</v>
      </c>
      <c r="L3318">
        <v>98</v>
      </c>
      <c r="M3318">
        <v>670.70001220999995</v>
      </c>
      <c r="N3318" t="s">
        <v>81</v>
      </c>
      <c r="O3318" t="s">
        <v>82</v>
      </c>
      <c r="P3318">
        <v>125</v>
      </c>
      <c r="Q3318" t="s">
        <v>82</v>
      </c>
      <c r="R3318">
        <v>0</v>
      </c>
      <c r="S3318">
        <v>0</v>
      </c>
      <c r="T3318">
        <v>-40</v>
      </c>
      <c r="U3318">
        <v>41</v>
      </c>
      <c r="V3318">
        <v>0</v>
      </c>
      <c r="W3318">
        <v>36</v>
      </c>
      <c r="X3318">
        <v>36</v>
      </c>
      <c r="Y3318">
        <v>1</v>
      </c>
      <c r="Z3318">
        <v>8</v>
      </c>
      <c r="AA3318">
        <v>31</v>
      </c>
      <c r="AB3318">
        <v>2</v>
      </c>
      <c r="AC3318">
        <v>6</v>
      </c>
      <c r="AD3318">
        <v>3.5309998999999999</v>
      </c>
      <c r="AE3318">
        <v>5</v>
      </c>
      <c r="AF3318">
        <v>45</v>
      </c>
      <c r="AG3318">
        <v>3.4560000899999999</v>
      </c>
      <c r="AH3318">
        <v>4</v>
      </c>
      <c r="AI3318">
        <v>12</v>
      </c>
      <c r="AJ3318">
        <v>1</v>
      </c>
      <c r="AK3318">
        <v>13</v>
      </c>
      <c r="AL3318">
        <v>49</v>
      </c>
      <c r="AM3318" t="s">
        <v>43</v>
      </c>
      <c r="AN3318" t="str">
        <f>HYPERLINK("https://www.google.com/maps?q=10.76357269,79.69302368","Open Location")</f>
        <v>Open Location</v>
      </c>
    </row>
    <row r="3319" spans="1:40" x14ac:dyDescent="0.3">
      <c r="A3319" s="1">
        <v>46210.61550925926</v>
      </c>
      <c r="B3319" t="s">
        <v>40</v>
      </c>
      <c r="C3319" t="s">
        <v>41</v>
      </c>
      <c r="D3319" s="1">
        <v>46210.618217592593</v>
      </c>
      <c r="E3319" t="s">
        <v>42</v>
      </c>
      <c r="F3319" t="s">
        <v>83</v>
      </c>
      <c r="G3319">
        <v>0</v>
      </c>
      <c r="H3319">
        <v>33107</v>
      </c>
      <c r="I3319" t="s">
        <v>1946</v>
      </c>
      <c r="J3319">
        <v>100</v>
      </c>
      <c r="K3319">
        <v>1</v>
      </c>
      <c r="L3319">
        <v>98</v>
      </c>
      <c r="M3319">
        <v>671</v>
      </c>
      <c r="N3319" t="s">
        <v>81</v>
      </c>
      <c r="O3319" t="s">
        <v>82</v>
      </c>
      <c r="P3319">
        <v>125</v>
      </c>
      <c r="Q3319" t="s">
        <v>82</v>
      </c>
      <c r="R3319">
        <v>0</v>
      </c>
      <c r="S3319">
        <v>0</v>
      </c>
      <c r="T3319">
        <v>-40</v>
      </c>
      <c r="U3319">
        <v>41</v>
      </c>
      <c r="V3319">
        <v>0</v>
      </c>
      <c r="W3319">
        <v>36</v>
      </c>
      <c r="X3319">
        <v>36</v>
      </c>
      <c r="Y3319">
        <v>1</v>
      </c>
      <c r="Z3319">
        <v>8</v>
      </c>
      <c r="AA3319">
        <v>31</v>
      </c>
      <c r="AB3319">
        <v>2</v>
      </c>
      <c r="AC3319">
        <v>6</v>
      </c>
      <c r="AD3319">
        <v>3.5320000600000001</v>
      </c>
      <c r="AE3319">
        <v>5</v>
      </c>
      <c r="AF3319">
        <v>45</v>
      </c>
      <c r="AG3319">
        <v>3.4570000200000002</v>
      </c>
      <c r="AH3319">
        <v>4</v>
      </c>
      <c r="AI3319">
        <v>12</v>
      </c>
      <c r="AJ3319">
        <v>1</v>
      </c>
      <c r="AK3319">
        <v>13</v>
      </c>
      <c r="AL3319">
        <v>49</v>
      </c>
      <c r="AM3319" t="s">
        <v>43</v>
      </c>
      <c r="AN3319" t="str">
        <f>HYPERLINK("https://www.google.com/maps?q=10.76357365,79.69302368","Open Location")</f>
        <v>Open Location</v>
      </c>
    </row>
    <row r="3320" spans="1:40" x14ac:dyDescent="0.3">
      <c r="A3320" s="1">
        <v>46210.615393518521</v>
      </c>
      <c r="B3320" t="s">
        <v>40</v>
      </c>
      <c r="C3320" t="s">
        <v>41</v>
      </c>
      <c r="D3320" s="1">
        <v>46210.618460648147</v>
      </c>
      <c r="E3320" t="s">
        <v>42</v>
      </c>
      <c r="F3320" t="s">
        <v>83</v>
      </c>
      <c r="G3320">
        <v>0</v>
      </c>
      <c r="H3320">
        <v>33107</v>
      </c>
      <c r="I3320" t="s">
        <v>43</v>
      </c>
      <c r="J3320">
        <v>100</v>
      </c>
      <c r="K3320">
        <v>1</v>
      </c>
      <c r="L3320">
        <v>98</v>
      </c>
      <c r="M3320">
        <v>671.09997558999999</v>
      </c>
      <c r="N3320" t="s">
        <v>81</v>
      </c>
      <c r="O3320" t="s">
        <v>82</v>
      </c>
      <c r="P3320">
        <v>125</v>
      </c>
      <c r="Q3320" t="s">
        <v>82</v>
      </c>
      <c r="R3320">
        <v>0</v>
      </c>
      <c r="S3320">
        <v>0</v>
      </c>
      <c r="T3320">
        <v>-40</v>
      </c>
      <c r="U3320">
        <v>41</v>
      </c>
      <c r="V3320">
        <v>0</v>
      </c>
      <c r="W3320">
        <v>36</v>
      </c>
      <c r="X3320">
        <v>36</v>
      </c>
      <c r="Y3320">
        <v>1</v>
      </c>
      <c r="Z3320">
        <v>8</v>
      </c>
      <c r="AA3320">
        <v>32</v>
      </c>
      <c r="AB3320">
        <v>2</v>
      </c>
      <c r="AC3320">
        <v>1</v>
      </c>
      <c r="AD3320">
        <v>3.53299999</v>
      </c>
      <c r="AE3320">
        <v>5</v>
      </c>
      <c r="AF3320">
        <v>45</v>
      </c>
      <c r="AG3320">
        <v>3.4590001099999999</v>
      </c>
      <c r="AH3320">
        <v>4</v>
      </c>
      <c r="AI3320">
        <v>12</v>
      </c>
      <c r="AJ3320">
        <v>1</v>
      </c>
      <c r="AK3320">
        <v>13</v>
      </c>
      <c r="AL3320">
        <v>49</v>
      </c>
      <c r="AM3320" t="s">
        <v>43</v>
      </c>
      <c r="AN3320" t="s">
        <v>43</v>
      </c>
    </row>
    <row r="3321" spans="1:40" x14ac:dyDescent="0.3">
      <c r="A3321" s="1">
        <v>46210.615277777775</v>
      </c>
      <c r="B3321" t="s">
        <v>40</v>
      </c>
      <c r="C3321" t="s">
        <v>41</v>
      </c>
      <c r="D3321" s="1">
        <v>46210.617986111109</v>
      </c>
      <c r="E3321" t="s">
        <v>42</v>
      </c>
      <c r="F3321" t="s">
        <v>83</v>
      </c>
      <c r="G3321">
        <v>0</v>
      </c>
      <c r="H3321" t="s">
        <v>43</v>
      </c>
      <c r="I3321" t="s">
        <v>1947</v>
      </c>
      <c r="J3321">
        <v>100</v>
      </c>
      <c r="K3321">
        <v>7</v>
      </c>
      <c r="L3321">
        <v>98</v>
      </c>
      <c r="M3321">
        <v>671</v>
      </c>
      <c r="N3321" t="s">
        <v>81</v>
      </c>
      <c r="O3321" t="s">
        <v>82</v>
      </c>
      <c r="P3321">
        <v>125</v>
      </c>
      <c r="Q3321" t="s">
        <v>82</v>
      </c>
      <c r="R3321">
        <v>0</v>
      </c>
      <c r="S3321">
        <v>0</v>
      </c>
      <c r="T3321">
        <v>-40</v>
      </c>
      <c r="U3321">
        <v>41</v>
      </c>
      <c r="V3321">
        <v>0</v>
      </c>
      <c r="W3321">
        <v>36</v>
      </c>
      <c r="X3321">
        <v>36</v>
      </c>
      <c r="Y3321">
        <v>1</v>
      </c>
      <c r="Z3321">
        <v>8</v>
      </c>
      <c r="AA3321">
        <v>32</v>
      </c>
      <c r="AB3321">
        <v>2</v>
      </c>
      <c r="AC3321">
        <v>1</v>
      </c>
      <c r="AD3321">
        <v>3.5339999199999999</v>
      </c>
      <c r="AE3321">
        <v>5</v>
      </c>
      <c r="AF3321">
        <v>45</v>
      </c>
      <c r="AG3321">
        <v>3.4590001099999999</v>
      </c>
      <c r="AH3321">
        <v>4</v>
      </c>
      <c r="AI3321">
        <v>12</v>
      </c>
      <c r="AJ3321">
        <v>1</v>
      </c>
      <c r="AK3321">
        <v>13</v>
      </c>
      <c r="AL3321">
        <v>49</v>
      </c>
      <c r="AM3321" t="s">
        <v>43</v>
      </c>
      <c r="AN3321" t="str">
        <f>HYPERLINK("https://www.google.com/maps?q=10.7635746,79.69302368","Open Location")</f>
        <v>Open Location</v>
      </c>
    </row>
    <row r="3322" spans="1:40" x14ac:dyDescent="0.3">
      <c r="A3322" s="1">
        <v>46210.615162037036</v>
      </c>
      <c r="B3322" t="s">
        <v>40</v>
      </c>
      <c r="C3322" t="s">
        <v>41</v>
      </c>
      <c r="D3322" s="1">
        <v>46210.61787037037</v>
      </c>
      <c r="E3322" t="s">
        <v>43</v>
      </c>
      <c r="F3322" t="s">
        <v>83</v>
      </c>
      <c r="G3322">
        <v>0</v>
      </c>
      <c r="H3322">
        <v>33107</v>
      </c>
      <c r="I3322" t="s">
        <v>1948</v>
      </c>
      <c r="J3322">
        <v>100</v>
      </c>
      <c r="K3322">
        <v>8</v>
      </c>
      <c r="L3322">
        <v>98</v>
      </c>
      <c r="M3322">
        <v>671.79998779000005</v>
      </c>
      <c r="N3322" t="s">
        <v>81</v>
      </c>
      <c r="O3322" t="s">
        <v>82</v>
      </c>
      <c r="P3322">
        <v>125</v>
      </c>
      <c r="Q3322" t="s">
        <v>82</v>
      </c>
      <c r="R3322">
        <v>0</v>
      </c>
      <c r="S3322">
        <v>0</v>
      </c>
      <c r="T3322">
        <v>-40</v>
      </c>
      <c r="U3322">
        <v>41</v>
      </c>
      <c r="V3322">
        <v>0</v>
      </c>
      <c r="W3322">
        <v>36</v>
      </c>
      <c r="X3322">
        <v>36</v>
      </c>
      <c r="Y3322">
        <v>1</v>
      </c>
      <c r="Z3322">
        <v>8</v>
      </c>
      <c r="AA3322">
        <v>32</v>
      </c>
      <c r="AB3322">
        <v>2</v>
      </c>
      <c r="AC3322">
        <v>1</v>
      </c>
      <c r="AD3322">
        <v>3.53800011</v>
      </c>
      <c r="AE3322">
        <v>5</v>
      </c>
      <c r="AF3322">
        <v>45</v>
      </c>
      <c r="AG3322">
        <v>3.46099997</v>
      </c>
      <c r="AH3322">
        <v>4</v>
      </c>
      <c r="AI3322">
        <v>12</v>
      </c>
      <c r="AJ3322">
        <v>1</v>
      </c>
      <c r="AK3322">
        <v>15</v>
      </c>
      <c r="AL3322">
        <v>49</v>
      </c>
      <c r="AM3322" t="s">
        <v>43</v>
      </c>
      <c r="AN3322" t="str">
        <f>HYPERLINK("https://www.google.com/maps?q=10.76357841,79.69301605","Open Location")</f>
        <v>Open Location</v>
      </c>
    </row>
    <row r="3323" spans="1:40" x14ac:dyDescent="0.3">
      <c r="A3323" s="1">
        <v>46210.615046296298</v>
      </c>
      <c r="B3323" t="s">
        <v>40</v>
      </c>
      <c r="C3323" t="s">
        <v>41</v>
      </c>
      <c r="D3323" s="1">
        <v>46210.617719907408</v>
      </c>
      <c r="E3323" t="s">
        <v>42</v>
      </c>
      <c r="F3323" t="s">
        <v>83</v>
      </c>
      <c r="G3323">
        <v>0</v>
      </c>
      <c r="H3323">
        <v>33107</v>
      </c>
      <c r="I3323" t="s">
        <v>1946</v>
      </c>
      <c r="J3323">
        <v>100</v>
      </c>
      <c r="K3323">
        <v>8</v>
      </c>
      <c r="L3323">
        <v>98</v>
      </c>
      <c r="M3323">
        <v>673.09997558999999</v>
      </c>
      <c r="N3323" t="s">
        <v>81</v>
      </c>
      <c r="O3323" t="s">
        <v>82</v>
      </c>
      <c r="P3323">
        <v>125</v>
      </c>
      <c r="Q3323" t="s">
        <v>82</v>
      </c>
      <c r="R3323">
        <v>0</v>
      </c>
      <c r="S3323">
        <v>0</v>
      </c>
      <c r="T3323">
        <v>-40</v>
      </c>
      <c r="U3323">
        <v>41</v>
      </c>
      <c r="V3323">
        <v>0</v>
      </c>
      <c r="W3323">
        <v>36</v>
      </c>
      <c r="X3323">
        <v>36</v>
      </c>
      <c r="Y3323">
        <v>1</v>
      </c>
      <c r="Z3323">
        <v>8</v>
      </c>
      <c r="AA3323">
        <v>32</v>
      </c>
      <c r="AB3323">
        <v>2</v>
      </c>
      <c r="AC3323">
        <v>1</v>
      </c>
      <c r="AD3323">
        <v>3.5459999999999998</v>
      </c>
      <c r="AE3323">
        <v>5</v>
      </c>
      <c r="AF3323">
        <v>45</v>
      </c>
      <c r="AG3323">
        <v>3.46499991</v>
      </c>
      <c r="AH3323">
        <v>4</v>
      </c>
      <c r="AI3323">
        <v>12</v>
      </c>
      <c r="AJ3323">
        <v>1</v>
      </c>
      <c r="AK3323">
        <v>15</v>
      </c>
      <c r="AL3323">
        <v>49</v>
      </c>
      <c r="AM3323" t="s">
        <v>43</v>
      </c>
      <c r="AN3323" t="str">
        <f>HYPERLINK("https://www.google.com/maps?q=10.76357365,79.69302368","Open Location")</f>
        <v>Open Location</v>
      </c>
    </row>
    <row r="3324" spans="1:40" x14ac:dyDescent="0.3">
      <c r="A3324" s="1">
        <v>46210.614930555559</v>
      </c>
      <c r="B3324" t="s">
        <v>40</v>
      </c>
      <c r="C3324" t="s">
        <v>41</v>
      </c>
      <c r="D3324" s="1">
        <v>46210.617997685185</v>
      </c>
      <c r="E3324" t="s">
        <v>42</v>
      </c>
      <c r="F3324" t="s">
        <v>83</v>
      </c>
      <c r="G3324">
        <v>0</v>
      </c>
      <c r="H3324">
        <v>33107</v>
      </c>
      <c r="I3324" t="s">
        <v>1949</v>
      </c>
      <c r="J3324">
        <v>0</v>
      </c>
      <c r="K3324">
        <v>-3200</v>
      </c>
      <c r="L3324">
        <v>0</v>
      </c>
      <c r="M3324">
        <v>0</v>
      </c>
      <c r="N3324" t="s">
        <v>81</v>
      </c>
      <c r="O3324" t="s">
        <v>82</v>
      </c>
      <c r="P3324">
        <v>125</v>
      </c>
      <c r="Q3324" t="s">
        <v>43</v>
      </c>
      <c r="R3324">
        <v>0</v>
      </c>
      <c r="S3324">
        <v>0</v>
      </c>
      <c r="T3324">
        <v>-40</v>
      </c>
      <c r="U3324">
        <v>42</v>
      </c>
      <c r="V3324">
        <v>0</v>
      </c>
      <c r="W3324">
        <v>36</v>
      </c>
      <c r="X3324">
        <v>36</v>
      </c>
      <c r="Y3324">
        <v>1</v>
      </c>
      <c r="Z3324">
        <v>8</v>
      </c>
      <c r="AA3324">
        <v>32</v>
      </c>
      <c r="AB3324">
        <v>2</v>
      </c>
      <c r="AC3324">
        <v>1</v>
      </c>
      <c r="AD3324">
        <v>3.5559999900000001</v>
      </c>
      <c r="AE3324">
        <v>5</v>
      </c>
      <c r="AF3324">
        <v>45</v>
      </c>
      <c r="AG3324">
        <v>3.4709999599999999</v>
      </c>
      <c r="AH3324">
        <v>4</v>
      </c>
      <c r="AI3324">
        <v>12</v>
      </c>
      <c r="AJ3324">
        <v>0</v>
      </c>
      <c r="AK3324">
        <v>0</v>
      </c>
      <c r="AL3324">
        <v>49</v>
      </c>
      <c r="AM3324" t="s">
        <v>43</v>
      </c>
      <c r="AN3324" t="str">
        <f>HYPERLINK("https://www.google.com/maps?q=10.76357746,79.69302368","Open Location")</f>
        <v>Open Location</v>
      </c>
    </row>
    <row r="3325" spans="1:40" x14ac:dyDescent="0.3">
      <c r="A3325" s="1">
        <v>46210.614814814813</v>
      </c>
      <c r="B3325" t="s">
        <v>40</v>
      </c>
      <c r="C3325" t="s">
        <v>41</v>
      </c>
      <c r="D3325" s="1">
        <v>46210.618009259262</v>
      </c>
      <c r="E3325" t="s">
        <v>42</v>
      </c>
      <c r="F3325" t="s">
        <v>43</v>
      </c>
      <c r="G3325" t="s">
        <v>43</v>
      </c>
      <c r="H3325" t="s">
        <v>43</v>
      </c>
      <c r="I3325" t="s">
        <v>1950</v>
      </c>
      <c r="J3325" t="s">
        <v>43</v>
      </c>
      <c r="K3325" t="s">
        <v>43</v>
      </c>
      <c r="L3325" t="s">
        <v>43</v>
      </c>
      <c r="M3325" t="s">
        <v>43</v>
      </c>
      <c r="N3325" t="s">
        <v>45</v>
      </c>
      <c r="O3325" t="s">
        <v>43</v>
      </c>
      <c r="P3325" t="s">
        <v>43</v>
      </c>
      <c r="Q3325" t="s">
        <v>43</v>
      </c>
      <c r="R3325" t="s">
        <v>43</v>
      </c>
      <c r="S3325" t="s">
        <v>43</v>
      </c>
      <c r="T3325" t="s">
        <v>43</v>
      </c>
      <c r="U3325" t="s">
        <v>43</v>
      </c>
      <c r="V3325" t="s">
        <v>43</v>
      </c>
      <c r="W3325" t="s">
        <v>43</v>
      </c>
      <c r="X3325" t="s">
        <v>43</v>
      </c>
      <c r="Y3325" t="s">
        <v>43</v>
      </c>
      <c r="Z3325" t="s">
        <v>43</v>
      </c>
      <c r="AA3325" t="s">
        <v>43</v>
      </c>
      <c r="AB3325" t="s">
        <v>43</v>
      </c>
      <c r="AC3325" t="s">
        <v>43</v>
      </c>
      <c r="AD3325" t="s">
        <v>43</v>
      </c>
      <c r="AE3325" t="s">
        <v>43</v>
      </c>
      <c r="AF3325" t="s">
        <v>43</v>
      </c>
      <c r="AG3325" t="s">
        <v>43</v>
      </c>
      <c r="AH3325" t="s">
        <v>43</v>
      </c>
      <c r="AI3325" t="s">
        <v>43</v>
      </c>
      <c r="AJ3325" t="s">
        <v>43</v>
      </c>
      <c r="AK3325" t="s">
        <v>43</v>
      </c>
      <c r="AL3325" t="s">
        <v>43</v>
      </c>
      <c r="AM3325" t="s">
        <v>43</v>
      </c>
      <c r="AN3325" t="str">
        <f>HYPERLINK("https://www.google.com/maps?q=10.76357174,79.69303131","Open Location")</f>
        <v>Open Location</v>
      </c>
    </row>
    <row r="3326" spans="1:40" x14ac:dyDescent="0.3">
      <c r="A3326" s="1">
        <v>46210.614699074074</v>
      </c>
      <c r="B3326" t="s">
        <v>40</v>
      </c>
      <c r="C3326" t="s">
        <v>41</v>
      </c>
      <c r="D3326" s="1">
        <v>46210.617743055554</v>
      </c>
      <c r="E3326" t="s">
        <v>42</v>
      </c>
      <c r="F3326" t="s">
        <v>43</v>
      </c>
      <c r="G3326" t="s">
        <v>43</v>
      </c>
      <c r="H3326" t="s">
        <v>43</v>
      </c>
      <c r="I3326" t="s">
        <v>43</v>
      </c>
      <c r="J3326" t="s">
        <v>43</v>
      </c>
      <c r="K3326" t="s">
        <v>43</v>
      </c>
      <c r="L3326" t="s">
        <v>43</v>
      </c>
      <c r="M3326" t="s">
        <v>43</v>
      </c>
      <c r="N3326" t="s">
        <v>45</v>
      </c>
      <c r="O3326" t="s">
        <v>43</v>
      </c>
      <c r="P3326" t="s">
        <v>43</v>
      </c>
      <c r="Q3326" t="s">
        <v>43</v>
      </c>
      <c r="R3326" t="s">
        <v>43</v>
      </c>
      <c r="S3326" t="s">
        <v>43</v>
      </c>
      <c r="T3326" t="s">
        <v>43</v>
      </c>
      <c r="U3326" t="s">
        <v>43</v>
      </c>
      <c r="V3326" t="s">
        <v>43</v>
      </c>
      <c r="W3326" t="s">
        <v>43</v>
      </c>
      <c r="X3326" t="s">
        <v>43</v>
      </c>
      <c r="Y3326" t="s">
        <v>43</v>
      </c>
      <c r="Z3326" t="s">
        <v>43</v>
      </c>
      <c r="AA3326" t="s">
        <v>43</v>
      </c>
      <c r="AB3326" t="s">
        <v>43</v>
      </c>
      <c r="AC3326" t="s">
        <v>43</v>
      </c>
      <c r="AD3326" t="s">
        <v>43</v>
      </c>
      <c r="AE3326" t="s">
        <v>43</v>
      </c>
      <c r="AF3326" t="s">
        <v>43</v>
      </c>
      <c r="AG3326" t="s">
        <v>43</v>
      </c>
      <c r="AH3326" t="s">
        <v>43</v>
      </c>
      <c r="AI3326" t="s">
        <v>43</v>
      </c>
      <c r="AJ3326" t="s">
        <v>43</v>
      </c>
      <c r="AK3326" t="s">
        <v>43</v>
      </c>
      <c r="AL3326" t="s">
        <v>43</v>
      </c>
      <c r="AM3326" t="s">
        <v>43</v>
      </c>
      <c r="AN3326" t="s">
        <v>43</v>
      </c>
    </row>
    <row r="3327" spans="1:40" x14ac:dyDescent="0.3">
      <c r="A3327" s="1">
        <v>46210.614583333336</v>
      </c>
      <c r="B3327" t="s">
        <v>40</v>
      </c>
      <c r="C3327" t="s">
        <v>41</v>
      </c>
      <c r="D3327" s="1">
        <v>46210.617604166669</v>
      </c>
      <c r="E3327" t="s">
        <v>42</v>
      </c>
      <c r="F3327" t="s">
        <v>43</v>
      </c>
      <c r="G3327" t="s">
        <v>43</v>
      </c>
      <c r="H3327" t="s">
        <v>43</v>
      </c>
      <c r="I3327" t="s">
        <v>1951</v>
      </c>
      <c r="J3327" t="s">
        <v>43</v>
      </c>
      <c r="K3327" t="s">
        <v>43</v>
      </c>
      <c r="L3327" t="s">
        <v>43</v>
      </c>
      <c r="M3327" t="s">
        <v>43</v>
      </c>
      <c r="N3327" t="s">
        <v>45</v>
      </c>
      <c r="O3327" t="s">
        <v>43</v>
      </c>
      <c r="P3327" t="s">
        <v>43</v>
      </c>
      <c r="Q3327" t="s">
        <v>43</v>
      </c>
      <c r="R3327" t="s">
        <v>43</v>
      </c>
      <c r="S3327" t="s">
        <v>43</v>
      </c>
      <c r="T3327" t="s">
        <v>43</v>
      </c>
      <c r="U3327" t="s">
        <v>43</v>
      </c>
      <c r="V3327" t="s">
        <v>43</v>
      </c>
      <c r="W3327" t="s">
        <v>43</v>
      </c>
      <c r="X3327" t="s">
        <v>43</v>
      </c>
      <c r="Y3327" t="s">
        <v>43</v>
      </c>
      <c r="Z3327" t="s">
        <v>43</v>
      </c>
      <c r="AA3327" t="s">
        <v>43</v>
      </c>
      <c r="AB3327" t="s">
        <v>43</v>
      </c>
      <c r="AC3327" t="s">
        <v>43</v>
      </c>
      <c r="AD3327" t="s">
        <v>43</v>
      </c>
      <c r="AE3327" t="s">
        <v>43</v>
      </c>
      <c r="AF3327" t="s">
        <v>43</v>
      </c>
      <c r="AG3327" t="s">
        <v>43</v>
      </c>
      <c r="AH3327" t="s">
        <v>43</v>
      </c>
      <c r="AI3327" t="s">
        <v>43</v>
      </c>
      <c r="AJ3327" t="s">
        <v>43</v>
      </c>
      <c r="AK3327" t="s">
        <v>43</v>
      </c>
      <c r="AL3327" t="s">
        <v>43</v>
      </c>
      <c r="AM3327" t="s">
        <v>43</v>
      </c>
      <c r="AN3327" t="str">
        <f>HYPERLINK("https://www.google.com/maps?q=10.76357269,79.69303894","Open Location")</f>
        <v>Open Location</v>
      </c>
    </row>
    <row r="3328" spans="1:40" x14ac:dyDescent="0.3">
      <c r="A3328" s="1">
        <v>46210.61446759259</v>
      </c>
      <c r="B3328" t="s">
        <v>40</v>
      </c>
      <c r="C3328" t="s">
        <v>41</v>
      </c>
      <c r="D3328" s="1">
        <v>46210.617615740739</v>
      </c>
      <c r="E3328" t="s">
        <v>42</v>
      </c>
      <c r="F3328" t="s">
        <v>43</v>
      </c>
      <c r="G3328" t="s">
        <v>43</v>
      </c>
      <c r="H3328" t="s">
        <v>43</v>
      </c>
      <c r="I3328" t="s">
        <v>1952</v>
      </c>
      <c r="J3328" t="s">
        <v>43</v>
      </c>
      <c r="K3328" t="s">
        <v>43</v>
      </c>
      <c r="L3328" t="s">
        <v>43</v>
      </c>
      <c r="M3328" t="s">
        <v>43</v>
      </c>
      <c r="N3328" t="s">
        <v>45</v>
      </c>
      <c r="O3328" t="s">
        <v>43</v>
      </c>
      <c r="P3328" t="s">
        <v>43</v>
      </c>
      <c r="Q3328" t="s">
        <v>43</v>
      </c>
      <c r="R3328" t="s">
        <v>43</v>
      </c>
      <c r="S3328" t="s">
        <v>43</v>
      </c>
      <c r="T3328" t="s">
        <v>43</v>
      </c>
      <c r="U3328" t="s">
        <v>43</v>
      </c>
      <c r="V3328" t="s">
        <v>43</v>
      </c>
      <c r="W3328" t="s">
        <v>43</v>
      </c>
      <c r="X3328" t="s">
        <v>43</v>
      </c>
      <c r="Y3328" t="s">
        <v>43</v>
      </c>
      <c r="Z3328" t="s">
        <v>43</v>
      </c>
      <c r="AA3328" t="s">
        <v>43</v>
      </c>
      <c r="AB3328" t="s">
        <v>43</v>
      </c>
      <c r="AC3328" t="s">
        <v>43</v>
      </c>
      <c r="AD3328" t="s">
        <v>43</v>
      </c>
      <c r="AE3328" t="s">
        <v>43</v>
      </c>
      <c r="AF3328" t="s">
        <v>43</v>
      </c>
      <c r="AG3328" t="s">
        <v>43</v>
      </c>
      <c r="AH3328" t="s">
        <v>43</v>
      </c>
      <c r="AI3328" t="s">
        <v>43</v>
      </c>
      <c r="AJ3328" t="s">
        <v>43</v>
      </c>
      <c r="AK3328" t="s">
        <v>43</v>
      </c>
      <c r="AL3328" t="s">
        <v>43</v>
      </c>
      <c r="AM3328" t="s">
        <v>43</v>
      </c>
      <c r="AN3328" t="str">
        <f>HYPERLINK("https://www.google.com/maps?q=10.76357937,79.6930542","Open Location")</f>
        <v>Open Location</v>
      </c>
    </row>
    <row r="3329" spans="1:40" x14ac:dyDescent="0.3">
      <c r="A3329" s="1">
        <v>46210.614351851851</v>
      </c>
      <c r="B3329" t="s">
        <v>40</v>
      </c>
      <c r="C3329" t="s">
        <v>41</v>
      </c>
      <c r="D3329" s="1">
        <v>46210.617152777777</v>
      </c>
      <c r="E3329" t="s">
        <v>42</v>
      </c>
      <c r="F3329" t="s">
        <v>43</v>
      </c>
      <c r="G3329" t="s">
        <v>43</v>
      </c>
      <c r="H3329" t="s">
        <v>43</v>
      </c>
      <c r="I3329" t="s">
        <v>1953</v>
      </c>
      <c r="J3329" t="s">
        <v>43</v>
      </c>
      <c r="K3329" t="s">
        <v>43</v>
      </c>
      <c r="L3329" t="s">
        <v>43</v>
      </c>
      <c r="M3329" t="s">
        <v>43</v>
      </c>
      <c r="N3329" t="s">
        <v>45</v>
      </c>
      <c r="O3329" t="s">
        <v>43</v>
      </c>
      <c r="P3329" t="s">
        <v>43</v>
      </c>
      <c r="Q3329" t="s">
        <v>43</v>
      </c>
      <c r="R3329" t="s">
        <v>43</v>
      </c>
      <c r="S3329" t="s">
        <v>43</v>
      </c>
      <c r="T3329" t="s">
        <v>43</v>
      </c>
      <c r="U3329" t="s">
        <v>43</v>
      </c>
      <c r="V3329" t="s">
        <v>43</v>
      </c>
      <c r="W3329" t="s">
        <v>43</v>
      </c>
      <c r="X3329" t="s">
        <v>43</v>
      </c>
      <c r="Y3329" t="s">
        <v>43</v>
      </c>
      <c r="Z3329" t="s">
        <v>43</v>
      </c>
      <c r="AA3329" t="s">
        <v>43</v>
      </c>
      <c r="AB3329" t="s">
        <v>43</v>
      </c>
      <c r="AC3329" t="s">
        <v>43</v>
      </c>
      <c r="AD3329" t="s">
        <v>43</v>
      </c>
      <c r="AE3329" t="s">
        <v>43</v>
      </c>
      <c r="AF3329" t="s">
        <v>43</v>
      </c>
      <c r="AG3329" t="s">
        <v>43</v>
      </c>
      <c r="AH3329" t="s">
        <v>43</v>
      </c>
      <c r="AI3329" t="s">
        <v>43</v>
      </c>
      <c r="AJ3329" t="s">
        <v>43</v>
      </c>
      <c r="AK3329" t="s">
        <v>43</v>
      </c>
      <c r="AL3329" t="s">
        <v>43</v>
      </c>
      <c r="AM3329" t="s">
        <v>43</v>
      </c>
      <c r="AN3329" t="str">
        <f>HYPERLINK("https://www.google.com/maps?q=10.76358318,79.6930542","Open Location")</f>
        <v>Open Location</v>
      </c>
    </row>
    <row r="3330" spans="1:40" x14ac:dyDescent="0.3">
      <c r="A3330" s="1">
        <v>46210.614236111112</v>
      </c>
      <c r="B3330" t="s">
        <v>40</v>
      </c>
      <c r="C3330" t="s">
        <v>41</v>
      </c>
      <c r="D3330" s="1">
        <v>46210.617280092592</v>
      </c>
      <c r="E3330" t="s">
        <v>42</v>
      </c>
      <c r="F3330" t="s">
        <v>43</v>
      </c>
      <c r="G3330">
        <v>0</v>
      </c>
      <c r="H3330" t="s">
        <v>43</v>
      </c>
      <c r="I3330" t="s">
        <v>1954</v>
      </c>
      <c r="J3330" t="s">
        <v>43</v>
      </c>
      <c r="K3330" t="s">
        <v>43</v>
      </c>
      <c r="L3330" t="s">
        <v>43</v>
      </c>
      <c r="M3330" t="s">
        <v>43</v>
      </c>
      <c r="N3330" t="s">
        <v>81</v>
      </c>
      <c r="O3330" t="s">
        <v>43</v>
      </c>
      <c r="P3330">
        <v>125</v>
      </c>
      <c r="Q3330" t="s">
        <v>43</v>
      </c>
      <c r="R3330">
        <v>-1000</v>
      </c>
      <c r="S3330">
        <v>0</v>
      </c>
      <c r="T3330">
        <v>-40</v>
      </c>
      <c r="U3330">
        <v>-40</v>
      </c>
      <c r="V3330">
        <v>-3000</v>
      </c>
      <c r="W3330" t="s">
        <v>43</v>
      </c>
      <c r="X3330" t="s">
        <v>43</v>
      </c>
      <c r="Y3330" t="s">
        <v>43</v>
      </c>
      <c r="Z3330" t="s">
        <v>43</v>
      </c>
      <c r="AA3330" t="s">
        <v>43</v>
      </c>
      <c r="AB3330" t="s">
        <v>43</v>
      </c>
      <c r="AC3330" t="s">
        <v>43</v>
      </c>
      <c r="AD3330" t="s">
        <v>43</v>
      </c>
      <c r="AE3330" t="s">
        <v>43</v>
      </c>
      <c r="AF3330" t="s">
        <v>43</v>
      </c>
      <c r="AG3330" t="s">
        <v>43</v>
      </c>
      <c r="AH3330" t="s">
        <v>43</v>
      </c>
      <c r="AI3330" t="s">
        <v>43</v>
      </c>
      <c r="AJ3330" t="s">
        <v>43</v>
      </c>
      <c r="AK3330" t="s">
        <v>43</v>
      </c>
      <c r="AL3330" t="s">
        <v>43</v>
      </c>
      <c r="AM3330" t="s">
        <v>43</v>
      </c>
      <c r="AN3330" t="str">
        <f>HYPERLINK("https://www.google.com/maps?q=10.76358318,79.69306183","Open Location")</f>
        <v>Open Location</v>
      </c>
    </row>
    <row r="3331" spans="1:40" x14ac:dyDescent="0.3">
      <c r="A3331" s="1">
        <v>46210.614120370374</v>
      </c>
      <c r="B3331" t="s">
        <v>40</v>
      </c>
      <c r="C3331" t="s">
        <v>41</v>
      </c>
      <c r="D3331" s="1">
        <v>46210.617025462961</v>
      </c>
      <c r="E3331" t="s">
        <v>42</v>
      </c>
      <c r="F3331" t="s">
        <v>43</v>
      </c>
      <c r="G3331">
        <v>0</v>
      </c>
      <c r="H3331">
        <v>33107</v>
      </c>
      <c r="I3331" t="s">
        <v>43</v>
      </c>
      <c r="J3331">
        <v>100</v>
      </c>
      <c r="K3331">
        <v>5</v>
      </c>
      <c r="L3331">
        <v>98</v>
      </c>
      <c r="M3331">
        <v>682.09997558999999</v>
      </c>
      <c r="N3331" t="s">
        <v>81</v>
      </c>
      <c r="O3331" t="s">
        <v>43</v>
      </c>
      <c r="P3331">
        <v>125</v>
      </c>
      <c r="Q3331" t="s">
        <v>43</v>
      </c>
      <c r="R3331">
        <v>-1000</v>
      </c>
      <c r="S3331">
        <v>0</v>
      </c>
      <c r="T3331">
        <v>-40</v>
      </c>
      <c r="U3331">
        <v>-40</v>
      </c>
      <c r="V3331">
        <v>-3000</v>
      </c>
      <c r="W3331">
        <v>36</v>
      </c>
      <c r="X3331">
        <v>36</v>
      </c>
      <c r="Y3331">
        <v>1</v>
      </c>
      <c r="Z3331">
        <v>8</v>
      </c>
      <c r="AA3331">
        <v>32</v>
      </c>
      <c r="AB3331">
        <v>2</v>
      </c>
      <c r="AC3331">
        <v>4</v>
      </c>
      <c r="AD3331">
        <v>3.6500001000000002</v>
      </c>
      <c r="AE3331">
        <v>5</v>
      </c>
      <c r="AF3331">
        <v>45</v>
      </c>
      <c r="AG3331">
        <v>3.5160000299999998</v>
      </c>
      <c r="AH3331">
        <v>4</v>
      </c>
      <c r="AI3331">
        <v>12</v>
      </c>
      <c r="AJ3331">
        <v>1</v>
      </c>
      <c r="AK3331">
        <v>12</v>
      </c>
      <c r="AL3331">
        <v>49</v>
      </c>
      <c r="AM3331" t="s">
        <v>43</v>
      </c>
      <c r="AN3331" t="s">
        <v>43</v>
      </c>
    </row>
    <row r="3332" spans="1:40" x14ac:dyDescent="0.3">
      <c r="A3332" s="1">
        <v>46210.614004629628</v>
      </c>
      <c r="B3332" t="s">
        <v>40</v>
      </c>
      <c r="C3332" t="s">
        <v>41</v>
      </c>
      <c r="D3332" s="1">
        <v>46210.616909722223</v>
      </c>
      <c r="E3332" t="s">
        <v>42</v>
      </c>
      <c r="F3332" t="s">
        <v>43</v>
      </c>
      <c r="G3332">
        <v>0</v>
      </c>
      <c r="H3332">
        <v>33107</v>
      </c>
      <c r="I3332" t="s">
        <v>1955</v>
      </c>
      <c r="J3332">
        <v>99</v>
      </c>
      <c r="K3332">
        <v>-39</v>
      </c>
      <c r="L3332">
        <v>98</v>
      </c>
      <c r="M3332">
        <v>686.29998779000005</v>
      </c>
      <c r="N3332" t="s">
        <v>1956</v>
      </c>
      <c r="O3332" t="s">
        <v>43</v>
      </c>
      <c r="P3332">
        <v>125</v>
      </c>
      <c r="Q3332" t="s">
        <v>43</v>
      </c>
      <c r="R3332">
        <v>-1000</v>
      </c>
      <c r="S3332">
        <v>0</v>
      </c>
      <c r="T3332">
        <v>-40</v>
      </c>
      <c r="U3332">
        <v>-40</v>
      </c>
      <c r="V3332">
        <v>-3000</v>
      </c>
      <c r="W3332">
        <v>36</v>
      </c>
      <c r="X3332">
        <v>36</v>
      </c>
      <c r="Y3332">
        <v>1</v>
      </c>
      <c r="Z3332">
        <v>8</v>
      </c>
      <c r="AA3332">
        <v>32</v>
      </c>
      <c r="AB3332">
        <v>2</v>
      </c>
      <c r="AC3332">
        <v>4</v>
      </c>
      <c r="AD3332">
        <v>3.63400006</v>
      </c>
      <c r="AE3332">
        <v>5</v>
      </c>
      <c r="AF3332">
        <v>45</v>
      </c>
      <c r="AG3332">
        <v>3.5139999400000002</v>
      </c>
      <c r="AH3332">
        <v>4</v>
      </c>
      <c r="AI3332">
        <v>12</v>
      </c>
      <c r="AJ3332">
        <v>1</v>
      </c>
      <c r="AK3332">
        <v>12</v>
      </c>
      <c r="AL3332">
        <v>49</v>
      </c>
      <c r="AM3332" t="s">
        <v>43</v>
      </c>
      <c r="AN3332" t="str">
        <f>HYPERLINK("https://www.google.com/maps?q=10.76357555,79.69306183","Open Location")</f>
        <v>Open Location</v>
      </c>
    </row>
    <row r="3333" spans="1:40" x14ac:dyDescent="0.3">
      <c r="A3333" s="1">
        <v>46210.613888888889</v>
      </c>
      <c r="B3333" t="s">
        <v>40</v>
      </c>
      <c r="C3333" t="s">
        <v>41</v>
      </c>
      <c r="D3333" s="1">
        <v>46210.617002314815</v>
      </c>
      <c r="E3333" t="s">
        <v>42</v>
      </c>
      <c r="F3333" t="s">
        <v>43</v>
      </c>
      <c r="G3333">
        <v>0</v>
      </c>
      <c r="H3333">
        <v>33107</v>
      </c>
      <c r="I3333" t="s">
        <v>1957</v>
      </c>
      <c r="J3333">
        <v>99</v>
      </c>
      <c r="K3333">
        <v>-39</v>
      </c>
      <c r="L3333">
        <v>98</v>
      </c>
      <c r="M3333">
        <v>684.29998779000005</v>
      </c>
      <c r="N3333" t="s">
        <v>1956</v>
      </c>
      <c r="O3333" t="s">
        <v>43</v>
      </c>
      <c r="P3333">
        <v>125</v>
      </c>
      <c r="Q3333" t="s">
        <v>43</v>
      </c>
      <c r="R3333">
        <v>-1000</v>
      </c>
      <c r="S3333">
        <v>0</v>
      </c>
      <c r="T3333">
        <v>-40</v>
      </c>
      <c r="U3333">
        <v>-40</v>
      </c>
      <c r="V3333">
        <v>-3000</v>
      </c>
      <c r="W3333">
        <v>36</v>
      </c>
      <c r="X3333">
        <v>36</v>
      </c>
      <c r="Y3333">
        <v>1</v>
      </c>
      <c r="Z3333">
        <v>8</v>
      </c>
      <c r="AA3333">
        <v>32</v>
      </c>
      <c r="AB3333">
        <v>2</v>
      </c>
      <c r="AC3333">
        <v>4</v>
      </c>
      <c r="AD3333">
        <v>3.6210000500000001</v>
      </c>
      <c r="AE3333">
        <v>5</v>
      </c>
      <c r="AF3333">
        <v>45</v>
      </c>
      <c r="AG3333">
        <v>3.5109999200000002</v>
      </c>
      <c r="AH3333">
        <v>4</v>
      </c>
      <c r="AI3333">
        <v>12</v>
      </c>
      <c r="AJ3333">
        <v>1</v>
      </c>
      <c r="AK3333">
        <v>12</v>
      </c>
      <c r="AL3333">
        <v>49</v>
      </c>
      <c r="AM3333" t="s">
        <v>43</v>
      </c>
      <c r="AN3333" t="str">
        <f>HYPERLINK("https://www.google.com/maps?q=10.76356602,79.6930542","Open Location")</f>
        <v>Open Location</v>
      </c>
    </row>
    <row r="3334" spans="1:40" x14ac:dyDescent="0.3">
      <c r="A3334" s="1">
        <v>46210.61377314815</v>
      </c>
      <c r="B3334" t="s">
        <v>40</v>
      </c>
      <c r="C3334" t="s">
        <v>41</v>
      </c>
      <c r="D3334" s="1">
        <v>46210.616736111115</v>
      </c>
      <c r="E3334" t="s">
        <v>42</v>
      </c>
      <c r="F3334" t="s">
        <v>43</v>
      </c>
      <c r="G3334">
        <v>0</v>
      </c>
      <c r="H3334">
        <v>33107</v>
      </c>
      <c r="I3334" t="s">
        <v>1958</v>
      </c>
      <c r="J3334">
        <v>99</v>
      </c>
      <c r="K3334">
        <v>-39</v>
      </c>
      <c r="L3334">
        <v>98</v>
      </c>
      <c r="M3334">
        <v>683.29998779000005</v>
      </c>
      <c r="N3334" t="s">
        <v>1956</v>
      </c>
      <c r="O3334" t="s">
        <v>43</v>
      </c>
      <c r="P3334">
        <v>125</v>
      </c>
      <c r="Q3334" t="s">
        <v>43</v>
      </c>
      <c r="R3334">
        <v>-1000</v>
      </c>
      <c r="S3334">
        <v>0</v>
      </c>
      <c r="T3334">
        <v>-40</v>
      </c>
      <c r="U3334">
        <v>-40</v>
      </c>
      <c r="V3334">
        <v>-3000</v>
      </c>
      <c r="W3334">
        <v>36</v>
      </c>
      <c r="X3334">
        <v>36</v>
      </c>
      <c r="Y3334">
        <v>1</v>
      </c>
      <c r="Z3334">
        <v>8</v>
      </c>
      <c r="AA3334">
        <v>32</v>
      </c>
      <c r="AB3334">
        <v>2</v>
      </c>
      <c r="AC3334">
        <v>6</v>
      </c>
      <c r="AD3334">
        <v>3.6099999</v>
      </c>
      <c r="AE3334">
        <v>5</v>
      </c>
      <c r="AF3334">
        <v>45</v>
      </c>
      <c r="AG3334">
        <v>3.5099999899999998</v>
      </c>
      <c r="AH3334">
        <v>4</v>
      </c>
      <c r="AI3334">
        <v>12</v>
      </c>
      <c r="AJ3334">
        <v>1</v>
      </c>
      <c r="AK3334">
        <v>12</v>
      </c>
      <c r="AL3334">
        <v>49</v>
      </c>
      <c r="AM3334" t="s">
        <v>43</v>
      </c>
      <c r="AN3334" t="str">
        <f>HYPERLINK("https://www.google.com/maps?q=10.76357269,79.69306183","Open Location")</f>
        <v>Open Location</v>
      </c>
    </row>
    <row r="3335" spans="1:40" x14ac:dyDescent="0.3">
      <c r="A3335" s="1">
        <v>46210.613657407404</v>
      </c>
      <c r="B3335" t="s">
        <v>40</v>
      </c>
      <c r="C3335" t="s">
        <v>41</v>
      </c>
      <c r="D3335" s="1">
        <v>46210.616539351853</v>
      </c>
      <c r="E3335" t="s">
        <v>42</v>
      </c>
      <c r="F3335" t="s">
        <v>43</v>
      </c>
      <c r="G3335">
        <v>0</v>
      </c>
      <c r="H3335">
        <v>33107</v>
      </c>
      <c r="I3335" t="s">
        <v>1959</v>
      </c>
      <c r="J3335">
        <v>99</v>
      </c>
      <c r="K3335">
        <v>-39</v>
      </c>
      <c r="L3335">
        <v>98</v>
      </c>
      <c r="M3335">
        <v>682.20001220999995</v>
      </c>
      <c r="N3335" t="s">
        <v>1956</v>
      </c>
      <c r="O3335" t="s">
        <v>43</v>
      </c>
      <c r="P3335">
        <v>125</v>
      </c>
      <c r="Q3335" t="s">
        <v>43</v>
      </c>
      <c r="R3335">
        <v>-1000</v>
      </c>
      <c r="S3335">
        <v>0</v>
      </c>
      <c r="T3335">
        <v>-40</v>
      </c>
      <c r="U3335">
        <v>-40</v>
      </c>
      <c r="V3335">
        <v>-3000</v>
      </c>
      <c r="W3335">
        <v>36</v>
      </c>
      <c r="X3335">
        <v>36</v>
      </c>
      <c r="Y3335">
        <v>1</v>
      </c>
      <c r="Z3335">
        <v>8</v>
      </c>
      <c r="AA3335">
        <v>32</v>
      </c>
      <c r="AB3335">
        <v>2</v>
      </c>
      <c r="AC3335">
        <v>6</v>
      </c>
      <c r="AD3335">
        <v>3.6019999999999999</v>
      </c>
      <c r="AE3335">
        <v>5</v>
      </c>
      <c r="AF3335">
        <v>45</v>
      </c>
      <c r="AG3335">
        <v>3.5099999899999998</v>
      </c>
      <c r="AH3335">
        <v>4</v>
      </c>
      <c r="AI3335">
        <v>12</v>
      </c>
      <c r="AJ3335">
        <v>1</v>
      </c>
      <c r="AK3335">
        <v>12</v>
      </c>
      <c r="AL3335">
        <v>49</v>
      </c>
      <c r="AM3335" t="s">
        <v>43</v>
      </c>
      <c r="AN3335" t="str">
        <f>HYPERLINK("https://www.google.com/maps?q=10.76357746,79.6930542","Open Location")</f>
        <v>Open Location</v>
      </c>
    </row>
    <row r="3336" spans="1:40" x14ac:dyDescent="0.3">
      <c r="A3336" s="1">
        <v>46210.613541666666</v>
      </c>
      <c r="B3336" t="s">
        <v>40</v>
      </c>
      <c r="C3336" t="s">
        <v>41</v>
      </c>
      <c r="D3336" s="1">
        <v>46210.616527777776</v>
      </c>
      <c r="E3336" t="s">
        <v>42</v>
      </c>
      <c r="F3336" t="s">
        <v>43</v>
      </c>
      <c r="G3336">
        <v>0</v>
      </c>
      <c r="H3336">
        <v>33107</v>
      </c>
      <c r="I3336" t="s">
        <v>1960</v>
      </c>
      <c r="J3336">
        <v>99</v>
      </c>
      <c r="K3336">
        <v>-39</v>
      </c>
      <c r="L3336">
        <v>98</v>
      </c>
      <c r="M3336">
        <v>681.40002441000001</v>
      </c>
      <c r="N3336" t="s">
        <v>1956</v>
      </c>
      <c r="O3336" t="s">
        <v>43</v>
      </c>
      <c r="P3336">
        <v>125</v>
      </c>
      <c r="Q3336" t="s">
        <v>43</v>
      </c>
      <c r="R3336">
        <v>-1000</v>
      </c>
      <c r="S3336">
        <v>0</v>
      </c>
      <c r="T3336">
        <v>-40</v>
      </c>
      <c r="U3336">
        <v>-40</v>
      </c>
      <c r="V3336">
        <v>-3000</v>
      </c>
      <c r="W3336">
        <v>37</v>
      </c>
      <c r="X3336">
        <v>37</v>
      </c>
      <c r="Y3336">
        <v>1</v>
      </c>
      <c r="Z3336">
        <v>8</v>
      </c>
      <c r="AA3336">
        <v>32</v>
      </c>
      <c r="AB3336">
        <v>2</v>
      </c>
      <c r="AC3336">
        <v>6</v>
      </c>
      <c r="AD3336">
        <v>3.5969998799999998</v>
      </c>
      <c r="AE3336">
        <v>5</v>
      </c>
      <c r="AF3336">
        <v>45</v>
      </c>
      <c r="AG3336">
        <v>3.5099999899999998</v>
      </c>
      <c r="AH3336">
        <v>4</v>
      </c>
      <c r="AI3336">
        <v>12</v>
      </c>
      <c r="AJ3336">
        <v>1</v>
      </c>
      <c r="AK3336">
        <v>12</v>
      </c>
      <c r="AL3336">
        <v>49</v>
      </c>
      <c r="AM3336" t="s">
        <v>43</v>
      </c>
      <c r="AN3336" t="str">
        <f>HYPERLINK("https://www.google.com/maps?q=10.76357079,79.6930542","Open Location")</f>
        <v>Open Location</v>
      </c>
    </row>
    <row r="3337" spans="1:40" x14ac:dyDescent="0.3">
      <c r="A3337" s="1">
        <v>46210.613425925927</v>
      </c>
      <c r="B3337" t="s">
        <v>40</v>
      </c>
      <c r="C3337" t="s">
        <v>41</v>
      </c>
      <c r="D3337" s="1">
        <v>46210.616168981483</v>
      </c>
      <c r="E3337" t="s">
        <v>42</v>
      </c>
      <c r="F3337" t="s">
        <v>43</v>
      </c>
      <c r="G3337">
        <v>0</v>
      </c>
      <c r="H3337">
        <v>33107</v>
      </c>
      <c r="I3337" t="s">
        <v>43</v>
      </c>
      <c r="J3337">
        <v>99</v>
      </c>
      <c r="K3337">
        <v>-39</v>
      </c>
      <c r="L3337">
        <v>98</v>
      </c>
      <c r="M3337">
        <v>681.29998779000005</v>
      </c>
      <c r="N3337" t="s">
        <v>1956</v>
      </c>
      <c r="O3337" t="s">
        <v>43</v>
      </c>
      <c r="P3337">
        <v>125</v>
      </c>
      <c r="Q3337" t="s">
        <v>43</v>
      </c>
      <c r="R3337">
        <v>-1000</v>
      </c>
      <c r="S3337">
        <v>0</v>
      </c>
      <c r="T3337">
        <v>-40</v>
      </c>
      <c r="U3337">
        <v>-40</v>
      </c>
      <c r="V3337">
        <v>-3000</v>
      </c>
      <c r="W3337">
        <v>37</v>
      </c>
      <c r="X3337">
        <v>37</v>
      </c>
      <c r="Y3337">
        <v>1</v>
      </c>
      <c r="Z3337">
        <v>8</v>
      </c>
      <c r="AA3337">
        <v>32</v>
      </c>
      <c r="AB3337">
        <v>2</v>
      </c>
      <c r="AC3337">
        <v>6</v>
      </c>
      <c r="AD3337">
        <v>3.5989999799999999</v>
      </c>
      <c r="AE3337">
        <v>5</v>
      </c>
      <c r="AF3337">
        <v>45</v>
      </c>
      <c r="AG3337">
        <v>3.5150001</v>
      </c>
      <c r="AH3337">
        <v>4</v>
      </c>
      <c r="AI3337">
        <v>12</v>
      </c>
      <c r="AJ3337">
        <v>1</v>
      </c>
      <c r="AK3337">
        <v>12</v>
      </c>
      <c r="AL3337">
        <v>49</v>
      </c>
      <c r="AM3337" t="s">
        <v>43</v>
      </c>
      <c r="AN3337" t="s">
        <v>43</v>
      </c>
    </row>
    <row r="3338" spans="1:40" x14ac:dyDescent="0.3">
      <c r="A3338" s="1">
        <v>46210.613310185188</v>
      </c>
      <c r="B3338" t="s">
        <v>40</v>
      </c>
      <c r="C3338" t="s">
        <v>41</v>
      </c>
      <c r="D3338" s="1">
        <v>46210.61619212963</v>
      </c>
      <c r="E3338" t="s">
        <v>42</v>
      </c>
      <c r="F3338" t="s">
        <v>43</v>
      </c>
      <c r="G3338">
        <v>0</v>
      </c>
      <c r="H3338">
        <v>33107</v>
      </c>
      <c r="I3338" t="s">
        <v>1961</v>
      </c>
      <c r="J3338">
        <v>99</v>
      </c>
      <c r="K3338">
        <v>-60</v>
      </c>
      <c r="L3338">
        <v>98</v>
      </c>
      <c r="M3338">
        <v>682.29998779000005</v>
      </c>
      <c r="N3338" t="s">
        <v>1956</v>
      </c>
      <c r="O3338" t="s">
        <v>43</v>
      </c>
      <c r="P3338">
        <v>125</v>
      </c>
      <c r="Q3338" t="s">
        <v>43</v>
      </c>
      <c r="R3338">
        <v>-1000</v>
      </c>
      <c r="S3338">
        <v>0</v>
      </c>
      <c r="T3338">
        <v>-40</v>
      </c>
      <c r="U3338">
        <v>-40</v>
      </c>
      <c r="V3338">
        <v>-3000</v>
      </c>
      <c r="W3338">
        <v>37</v>
      </c>
      <c r="X3338">
        <v>37</v>
      </c>
      <c r="Y3338">
        <v>1</v>
      </c>
      <c r="Z3338">
        <v>8</v>
      </c>
      <c r="AA3338">
        <v>32</v>
      </c>
      <c r="AB3338">
        <v>2</v>
      </c>
      <c r="AC3338">
        <v>6</v>
      </c>
      <c r="AD3338">
        <v>3.5910000800000001</v>
      </c>
      <c r="AE3338">
        <v>2</v>
      </c>
      <c r="AF3338">
        <v>16</v>
      </c>
      <c r="AG3338">
        <v>3.5169999600000001</v>
      </c>
      <c r="AH3338">
        <v>4</v>
      </c>
      <c r="AI3338">
        <v>12</v>
      </c>
      <c r="AJ3338">
        <v>1</v>
      </c>
      <c r="AK3338">
        <v>12</v>
      </c>
      <c r="AL3338">
        <v>49</v>
      </c>
      <c r="AM3338" t="s">
        <v>43</v>
      </c>
      <c r="AN3338" t="str">
        <f>HYPERLINK("https://www.google.com/maps?q=10.76357365,79.6930542","Open Location")</f>
        <v>Open Location</v>
      </c>
    </row>
    <row r="3339" spans="1:40" x14ac:dyDescent="0.3">
      <c r="A3339" s="1">
        <v>46210.613194444442</v>
      </c>
      <c r="B3339" t="s">
        <v>40</v>
      </c>
      <c r="C3339" t="s">
        <v>41</v>
      </c>
      <c r="D3339" s="1">
        <v>46210.615925925929</v>
      </c>
      <c r="E3339" t="s">
        <v>42</v>
      </c>
      <c r="F3339" t="s">
        <v>43</v>
      </c>
      <c r="G3339">
        <v>0</v>
      </c>
      <c r="H3339" t="s">
        <v>43</v>
      </c>
      <c r="I3339" t="s">
        <v>1962</v>
      </c>
      <c r="J3339">
        <v>99</v>
      </c>
      <c r="K3339">
        <v>-60</v>
      </c>
      <c r="L3339">
        <v>98</v>
      </c>
      <c r="M3339">
        <v>680.79998779000005</v>
      </c>
      <c r="N3339" t="s">
        <v>1956</v>
      </c>
      <c r="O3339" t="s">
        <v>43</v>
      </c>
      <c r="P3339">
        <v>125</v>
      </c>
      <c r="Q3339" t="s">
        <v>43</v>
      </c>
      <c r="R3339">
        <v>-1000</v>
      </c>
      <c r="S3339">
        <v>0</v>
      </c>
      <c r="T3339">
        <v>-40</v>
      </c>
      <c r="U3339">
        <v>-40</v>
      </c>
      <c r="V3339">
        <v>-3000</v>
      </c>
      <c r="W3339">
        <v>37</v>
      </c>
      <c r="X3339">
        <v>37</v>
      </c>
      <c r="Y3339">
        <v>1</v>
      </c>
      <c r="Z3339">
        <v>8</v>
      </c>
      <c r="AA3339">
        <v>33</v>
      </c>
      <c r="AB3339">
        <v>2</v>
      </c>
      <c r="AC3339">
        <v>1</v>
      </c>
      <c r="AD3339">
        <v>3.5820000200000002</v>
      </c>
      <c r="AE3339">
        <v>2</v>
      </c>
      <c r="AF3339">
        <v>16</v>
      </c>
      <c r="AG3339">
        <v>3.5130000099999998</v>
      </c>
      <c r="AH3339">
        <v>5</v>
      </c>
      <c r="AI3339">
        <v>47</v>
      </c>
      <c r="AJ3339">
        <v>1</v>
      </c>
      <c r="AK3339">
        <v>12</v>
      </c>
      <c r="AL3339">
        <v>49</v>
      </c>
      <c r="AM3339" t="s">
        <v>43</v>
      </c>
      <c r="AN3339" t="str">
        <f>HYPERLINK("https://www.google.com/maps?q=10.76357937,79.69306183","Open Location")</f>
        <v>Open Location</v>
      </c>
    </row>
    <row r="3340" spans="1:40" x14ac:dyDescent="0.3">
      <c r="A3340" s="1">
        <v>46210.613078703704</v>
      </c>
      <c r="B3340" t="s">
        <v>40</v>
      </c>
      <c r="C3340" t="s">
        <v>41</v>
      </c>
      <c r="D3340" s="1">
        <v>46210.615914351853</v>
      </c>
      <c r="E3340" t="s">
        <v>42</v>
      </c>
      <c r="F3340" t="s">
        <v>43</v>
      </c>
      <c r="G3340">
        <v>0</v>
      </c>
      <c r="H3340">
        <v>33107</v>
      </c>
      <c r="I3340" t="s">
        <v>1955</v>
      </c>
      <c r="J3340">
        <v>99</v>
      </c>
      <c r="K3340">
        <v>-60</v>
      </c>
      <c r="L3340">
        <v>98</v>
      </c>
      <c r="M3340">
        <v>679.59997558999999</v>
      </c>
      <c r="N3340" t="s">
        <v>1956</v>
      </c>
      <c r="O3340" t="s">
        <v>43</v>
      </c>
      <c r="P3340">
        <v>125</v>
      </c>
      <c r="Q3340" t="s">
        <v>43</v>
      </c>
      <c r="R3340">
        <v>-1000</v>
      </c>
      <c r="S3340">
        <v>0</v>
      </c>
      <c r="T3340">
        <v>-40</v>
      </c>
      <c r="U3340">
        <v>-40</v>
      </c>
      <c r="V3340">
        <v>-3000</v>
      </c>
      <c r="W3340">
        <v>37</v>
      </c>
      <c r="X3340">
        <v>37</v>
      </c>
      <c r="Y3340">
        <v>1</v>
      </c>
      <c r="Z3340">
        <v>8</v>
      </c>
      <c r="AA3340">
        <v>33</v>
      </c>
      <c r="AB3340">
        <v>2</v>
      </c>
      <c r="AC3340">
        <v>1</v>
      </c>
      <c r="AD3340">
        <v>3.5759999800000002</v>
      </c>
      <c r="AE3340">
        <v>2</v>
      </c>
      <c r="AF3340">
        <v>16</v>
      </c>
      <c r="AG3340">
        <v>3.5099999899999998</v>
      </c>
      <c r="AH3340">
        <v>5</v>
      </c>
      <c r="AI3340">
        <v>47</v>
      </c>
      <c r="AJ3340">
        <v>1</v>
      </c>
      <c r="AK3340">
        <v>11</v>
      </c>
      <c r="AL3340">
        <v>49</v>
      </c>
      <c r="AM3340" t="s">
        <v>43</v>
      </c>
      <c r="AN3340" t="str">
        <f>HYPERLINK("https://www.google.com/maps?q=10.76357555,79.69306183","Open Location")</f>
        <v>Open Location</v>
      </c>
    </row>
    <row r="3341" spans="1:40" x14ac:dyDescent="0.3">
      <c r="A3341" s="1">
        <v>46210.612962962965</v>
      </c>
      <c r="B3341" t="s">
        <v>40</v>
      </c>
      <c r="C3341" t="s">
        <v>41</v>
      </c>
      <c r="D3341" s="1">
        <v>46210.615902777776</v>
      </c>
      <c r="E3341" t="s">
        <v>42</v>
      </c>
      <c r="F3341" t="s">
        <v>43</v>
      </c>
      <c r="G3341">
        <v>0</v>
      </c>
      <c r="H3341">
        <v>33107</v>
      </c>
      <c r="I3341" t="s">
        <v>1963</v>
      </c>
      <c r="J3341">
        <v>99</v>
      </c>
      <c r="K3341">
        <v>-60</v>
      </c>
      <c r="L3341">
        <v>98</v>
      </c>
      <c r="M3341">
        <v>678.79998779000005</v>
      </c>
      <c r="N3341" t="s">
        <v>1956</v>
      </c>
      <c r="O3341" t="s">
        <v>43</v>
      </c>
      <c r="P3341">
        <v>125</v>
      </c>
      <c r="Q3341" t="s">
        <v>43</v>
      </c>
      <c r="R3341">
        <v>-1000</v>
      </c>
      <c r="S3341">
        <v>0</v>
      </c>
      <c r="T3341">
        <v>-40</v>
      </c>
      <c r="U3341">
        <v>-40</v>
      </c>
      <c r="V3341">
        <v>-3000</v>
      </c>
      <c r="W3341">
        <v>37</v>
      </c>
      <c r="X3341">
        <v>37</v>
      </c>
      <c r="Y3341">
        <v>1</v>
      </c>
      <c r="Z3341">
        <v>8</v>
      </c>
      <c r="AA3341">
        <v>33</v>
      </c>
      <c r="AB3341">
        <v>2</v>
      </c>
      <c r="AC3341">
        <v>1</v>
      </c>
      <c r="AD3341">
        <v>3.5739998800000001</v>
      </c>
      <c r="AE3341">
        <v>2</v>
      </c>
      <c r="AF3341">
        <v>16</v>
      </c>
      <c r="AG3341">
        <v>3.5079999000000002</v>
      </c>
      <c r="AH3341">
        <v>1</v>
      </c>
      <c r="AI3341">
        <v>43</v>
      </c>
      <c r="AJ3341">
        <v>1</v>
      </c>
      <c r="AK3341">
        <v>12</v>
      </c>
      <c r="AL3341">
        <v>49</v>
      </c>
      <c r="AM3341" t="s">
        <v>43</v>
      </c>
      <c r="AN3341" t="str">
        <f>HYPERLINK("https://www.google.com/maps?q=10.76357841,79.69306946","Open Location")</f>
        <v>Open Location</v>
      </c>
    </row>
    <row r="3342" spans="1:40" x14ac:dyDescent="0.3">
      <c r="A3342" s="1">
        <v>46210.612847222219</v>
      </c>
      <c r="B3342" t="s">
        <v>40</v>
      </c>
      <c r="C3342" t="s">
        <v>41</v>
      </c>
      <c r="D3342" s="1">
        <v>46210.615706018521</v>
      </c>
      <c r="E3342" t="s">
        <v>42</v>
      </c>
      <c r="F3342" t="s">
        <v>43</v>
      </c>
      <c r="G3342">
        <v>0</v>
      </c>
      <c r="H3342">
        <v>33107</v>
      </c>
      <c r="I3342" t="s">
        <v>1964</v>
      </c>
      <c r="J3342">
        <v>99</v>
      </c>
      <c r="K3342">
        <v>-60</v>
      </c>
      <c r="L3342">
        <v>98</v>
      </c>
      <c r="M3342">
        <v>678.5</v>
      </c>
      <c r="N3342" t="s">
        <v>1956</v>
      </c>
      <c r="O3342" t="s">
        <v>43</v>
      </c>
      <c r="P3342">
        <v>125</v>
      </c>
      <c r="Q3342" t="s">
        <v>43</v>
      </c>
      <c r="R3342">
        <v>-1000</v>
      </c>
      <c r="S3342">
        <v>0</v>
      </c>
      <c r="T3342">
        <v>-40</v>
      </c>
      <c r="U3342">
        <v>-40</v>
      </c>
      <c r="V3342">
        <v>-3000</v>
      </c>
      <c r="W3342">
        <v>37</v>
      </c>
      <c r="X3342">
        <v>37</v>
      </c>
      <c r="Y3342">
        <v>1</v>
      </c>
      <c r="Z3342">
        <v>8</v>
      </c>
      <c r="AA3342">
        <v>33</v>
      </c>
      <c r="AB3342">
        <v>2</v>
      </c>
      <c r="AC3342">
        <v>1</v>
      </c>
      <c r="AD3342">
        <v>3.5769999000000001</v>
      </c>
      <c r="AE3342">
        <v>2</v>
      </c>
      <c r="AF3342">
        <v>16</v>
      </c>
      <c r="AG3342">
        <v>3.5079999000000002</v>
      </c>
      <c r="AH3342">
        <v>1</v>
      </c>
      <c r="AI3342">
        <v>43</v>
      </c>
      <c r="AJ3342">
        <v>1</v>
      </c>
      <c r="AK3342">
        <v>12</v>
      </c>
      <c r="AL3342">
        <v>49</v>
      </c>
      <c r="AM3342" t="s">
        <v>43</v>
      </c>
      <c r="AN3342" t="str">
        <f>HYPERLINK("https://www.google.com/maps?q=10.76357555,79.69306946","Open Location")</f>
        <v>Open Location</v>
      </c>
    </row>
    <row r="3343" spans="1:40" x14ac:dyDescent="0.3">
      <c r="A3343" s="1">
        <v>46210.61273148148</v>
      </c>
      <c r="B3343" t="s">
        <v>40</v>
      </c>
      <c r="C3343" t="s">
        <v>41</v>
      </c>
      <c r="D3343" s="1">
        <v>46210.615567129629</v>
      </c>
      <c r="E3343" t="s">
        <v>42</v>
      </c>
      <c r="F3343" t="s">
        <v>43</v>
      </c>
      <c r="G3343">
        <v>0</v>
      </c>
      <c r="H3343">
        <v>33107</v>
      </c>
      <c r="I3343" t="s">
        <v>43</v>
      </c>
      <c r="J3343">
        <v>99</v>
      </c>
      <c r="K3343">
        <v>-60</v>
      </c>
      <c r="L3343">
        <v>98</v>
      </c>
      <c r="M3343">
        <v>678.90002441000001</v>
      </c>
      <c r="N3343" t="s">
        <v>1956</v>
      </c>
      <c r="O3343" t="s">
        <v>43</v>
      </c>
      <c r="P3343">
        <v>125</v>
      </c>
      <c r="Q3343" t="s">
        <v>43</v>
      </c>
      <c r="R3343">
        <v>-1000</v>
      </c>
      <c r="S3343">
        <v>0</v>
      </c>
      <c r="T3343">
        <v>-40</v>
      </c>
      <c r="U3343">
        <v>-40</v>
      </c>
      <c r="V3343">
        <v>-3000</v>
      </c>
      <c r="W3343">
        <v>37</v>
      </c>
      <c r="X3343">
        <v>37</v>
      </c>
      <c r="Y3343">
        <v>1</v>
      </c>
      <c r="Z3343">
        <v>8</v>
      </c>
      <c r="AA3343">
        <v>33</v>
      </c>
      <c r="AB3343">
        <v>2</v>
      </c>
      <c r="AC3343">
        <v>1</v>
      </c>
      <c r="AD3343">
        <v>3.5999998999999998</v>
      </c>
      <c r="AE3343">
        <v>2</v>
      </c>
      <c r="AF3343">
        <v>16</v>
      </c>
      <c r="AG3343">
        <v>3.5190000499999998</v>
      </c>
      <c r="AH3343">
        <v>1</v>
      </c>
      <c r="AI3343">
        <v>43</v>
      </c>
      <c r="AJ3343">
        <v>1</v>
      </c>
      <c r="AK3343">
        <v>12</v>
      </c>
      <c r="AL3343">
        <v>49</v>
      </c>
      <c r="AM3343" t="s">
        <v>43</v>
      </c>
      <c r="AN3343" t="s">
        <v>43</v>
      </c>
    </row>
    <row r="3344" spans="1:40" x14ac:dyDescent="0.3">
      <c r="A3344" s="1">
        <v>46210.612615740742</v>
      </c>
      <c r="B3344" t="s">
        <v>40</v>
      </c>
      <c r="C3344" t="s">
        <v>41</v>
      </c>
      <c r="D3344" s="1">
        <v>46210.615567129629</v>
      </c>
      <c r="E3344" t="s">
        <v>42</v>
      </c>
      <c r="F3344" t="s">
        <v>43</v>
      </c>
      <c r="G3344">
        <v>0</v>
      </c>
      <c r="H3344" t="s">
        <v>43</v>
      </c>
      <c r="I3344" t="s">
        <v>1965</v>
      </c>
      <c r="J3344">
        <v>99</v>
      </c>
      <c r="K3344">
        <v>-100</v>
      </c>
      <c r="L3344">
        <v>98</v>
      </c>
      <c r="M3344">
        <v>681.40002441000001</v>
      </c>
      <c r="N3344" t="s">
        <v>1956</v>
      </c>
      <c r="O3344" t="s">
        <v>43</v>
      </c>
      <c r="P3344">
        <v>125</v>
      </c>
      <c r="Q3344" t="s">
        <v>43</v>
      </c>
      <c r="R3344">
        <v>-1000</v>
      </c>
      <c r="S3344">
        <v>0</v>
      </c>
      <c r="T3344">
        <v>-40</v>
      </c>
      <c r="U3344">
        <v>-40</v>
      </c>
      <c r="V3344">
        <v>-3000</v>
      </c>
      <c r="W3344">
        <v>37</v>
      </c>
      <c r="X3344">
        <v>37</v>
      </c>
      <c r="Y3344">
        <v>1</v>
      </c>
      <c r="Z3344">
        <v>8</v>
      </c>
      <c r="AA3344">
        <v>33</v>
      </c>
      <c r="AB3344">
        <v>2</v>
      </c>
      <c r="AC3344">
        <v>3</v>
      </c>
      <c r="AD3344">
        <v>3.58999991</v>
      </c>
      <c r="AE3344">
        <v>2</v>
      </c>
      <c r="AF3344">
        <v>16</v>
      </c>
      <c r="AG3344">
        <v>3.5130000099999998</v>
      </c>
      <c r="AH3344">
        <v>1</v>
      </c>
      <c r="AI3344">
        <v>43</v>
      </c>
      <c r="AJ3344">
        <v>1</v>
      </c>
      <c r="AK3344">
        <v>12</v>
      </c>
      <c r="AL3344">
        <v>49</v>
      </c>
      <c r="AM3344" t="s">
        <v>43</v>
      </c>
      <c r="AN3344" t="str">
        <f>HYPERLINK("https://www.google.com/maps?q=10.76358032,79.69306946","Open Location")</f>
        <v>Open Location</v>
      </c>
    </row>
    <row r="3345" spans="1:40" x14ac:dyDescent="0.3">
      <c r="A3345" s="1">
        <v>46210.612500000003</v>
      </c>
      <c r="B3345" t="s">
        <v>40</v>
      </c>
      <c r="C3345" t="s">
        <v>41</v>
      </c>
      <c r="D3345" s="1">
        <v>46210.615347222221</v>
      </c>
      <c r="E3345" t="s">
        <v>42</v>
      </c>
      <c r="F3345" t="s">
        <v>43</v>
      </c>
      <c r="G3345">
        <v>0</v>
      </c>
      <c r="H3345">
        <v>33107</v>
      </c>
      <c r="I3345" t="s">
        <v>1966</v>
      </c>
      <c r="J3345">
        <v>98</v>
      </c>
      <c r="K3345">
        <v>-100</v>
      </c>
      <c r="L3345">
        <v>98</v>
      </c>
      <c r="M3345">
        <v>680.5</v>
      </c>
      <c r="N3345" t="s">
        <v>1956</v>
      </c>
      <c r="O3345" t="s">
        <v>43</v>
      </c>
      <c r="P3345">
        <v>125</v>
      </c>
      <c r="Q3345" t="s">
        <v>43</v>
      </c>
      <c r="R3345">
        <v>-1000</v>
      </c>
      <c r="S3345">
        <v>0</v>
      </c>
      <c r="T3345">
        <v>-40</v>
      </c>
      <c r="U3345">
        <v>-40</v>
      </c>
      <c r="V3345">
        <v>-3000</v>
      </c>
      <c r="W3345">
        <v>37</v>
      </c>
      <c r="X3345">
        <v>37</v>
      </c>
      <c r="Y3345">
        <v>1</v>
      </c>
      <c r="Z3345">
        <v>8</v>
      </c>
      <c r="AA3345">
        <v>33</v>
      </c>
      <c r="AB3345">
        <v>2</v>
      </c>
      <c r="AC3345">
        <v>3</v>
      </c>
      <c r="AD3345">
        <v>3.58999991</v>
      </c>
      <c r="AE3345">
        <v>2</v>
      </c>
      <c r="AF3345">
        <v>16</v>
      </c>
      <c r="AG3345">
        <v>3.5099999899999998</v>
      </c>
      <c r="AH3345">
        <v>1</v>
      </c>
      <c r="AI3345">
        <v>43</v>
      </c>
      <c r="AJ3345">
        <v>1</v>
      </c>
      <c r="AK3345">
        <v>12</v>
      </c>
      <c r="AL3345">
        <v>49</v>
      </c>
      <c r="AM3345" t="s">
        <v>43</v>
      </c>
      <c r="AN3345" t="str">
        <f>HYPERLINK("https://www.google.com/maps?q=10.76358604,79.69306183","Open Location")</f>
        <v>Open Location</v>
      </c>
    </row>
    <row r="3346" spans="1:40" x14ac:dyDescent="0.3">
      <c r="A3346" s="1">
        <v>46210.612384259257</v>
      </c>
      <c r="B3346" t="s">
        <v>40</v>
      </c>
      <c r="C3346" t="s">
        <v>41</v>
      </c>
      <c r="D3346" s="1">
        <v>46210.615451388891</v>
      </c>
      <c r="E3346" t="s">
        <v>42</v>
      </c>
      <c r="F3346" t="s">
        <v>43</v>
      </c>
      <c r="G3346">
        <v>0</v>
      </c>
      <c r="H3346">
        <v>33107</v>
      </c>
      <c r="I3346" t="s">
        <v>1967</v>
      </c>
      <c r="J3346">
        <v>98</v>
      </c>
      <c r="K3346">
        <v>-100</v>
      </c>
      <c r="L3346">
        <v>98</v>
      </c>
      <c r="M3346">
        <v>680.70001220999995</v>
      </c>
      <c r="N3346" t="s">
        <v>1956</v>
      </c>
      <c r="O3346" t="s">
        <v>43</v>
      </c>
      <c r="P3346">
        <v>125</v>
      </c>
      <c r="Q3346" t="s">
        <v>43</v>
      </c>
      <c r="R3346">
        <v>-1000</v>
      </c>
      <c r="S3346">
        <v>0</v>
      </c>
      <c r="T3346">
        <v>-40</v>
      </c>
      <c r="U3346">
        <v>-40</v>
      </c>
      <c r="V3346">
        <v>-3000</v>
      </c>
      <c r="W3346">
        <v>37</v>
      </c>
      <c r="X3346">
        <v>37</v>
      </c>
      <c r="Y3346">
        <v>1</v>
      </c>
      <c r="Z3346">
        <v>8</v>
      </c>
      <c r="AA3346">
        <v>33</v>
      </c>
      <c r="AB3346">
        <v>2</v>
      </c>
      <c r="AC3346">
        <v>4</v>
      </c>
      <c r="AD3346">
        <v>3.6059999500000002</v>
      </c>
      <c r="AE3346">
        <v>2</v>
      </c>
      <c r="AF3346">
        <v>16</v>
      </c>
      <c r="AG3346">
        <v>3.5220000699999998</v>
      </c>
      <c r="AH3346">
        <v>1</v>
      </c>
      <c r="AI3346">
        <v>43</v>
      </c>
      <c r="AJ3346">
        <v>1</v>
      </c>
      <c r="AK3346">
        <v>12</v>
      </c>
      <c r="AL3346">
        <v>49</v>
      </c>
      <c r="AM3346" t="s">
        <v>43</v>
      </c>
      <c r="AN3346" t="str">
        <f>HYPERLINK("https://www.google.com/maps?q=10.763587,79.69306183","Open Location")</f>
        <v>Open Location</v>
      </c>
    </row>
    <row r="3347" spans="1:40" x14ac:dyDescent="0.3">
      <c r="A3347" s="1">
        <v>46210.612268518518</v>
      </c>
      <c r="B3347" t="s">
        <v>40</v>
      </c>
      <c r="C3347" t="s">
        <v>41</v>
      </c>
      <c r="D3347" s="1">
        <v>46210.615011574075</v>
      </c>
      <c r="E3347" t="s">
        <v>42</v>
      </c>
      <c r="F3347" t="s">
        <v>43</v>
      </c>
      <c r="G3347">
        <v>0</v>
      </c>
      <c r="H3347">
        <v>33107</v>
      </c>
      <c r="I3347" t="s">
        <v>1968</v>
      </c>
      <c r="J3347">
        <v>98</v>
      </c>
      <c r="K3347">
        <v>-156</v>
      </c>
      <c r="L3347">
        <v>98</v>
      </c>
      <c r="M3347">
        <v>681.40002441000001</v>
      </c>
      <c r="N3347" t="s">
        <v>1956</v>
      </c>
      <c r="O3347" t="s">
        <v>43</v>
      </c>
      <c r="P3347">
        <v>125</v>
      </c>
      <c r="Q3347" t="s">
        <v>43</v>
      </c>
      <c r="R3347">
        <v>-1000</v>
      </c>
      <c r="S3347">
        <v>0</v>
      </c>
      <c r="T3347">
        <v>-40</v>
      </c>
      <c r="U3347">
        <v>-40</v>
      </c>
      <c r="V3347">
        <v>-3000</v>
      </c>
      <c r="W3347">
        <v>37</v>
      </c>
      <c r="X3347">
        <v>37</v>
      </c>
      <c r="Y3347">
        <v>1</v>
      </c>
      <c r="Z3347">
        <v>8</v>
      </c>
      <c r="AA3347">
        <v>33</v>
      </c>
      <c r="AB3347">
        <v>2</v>
      </c>
      <c r="AC3347">
        <v>6</v>
      </c>
      <c r="AD3347">
        <v>3.5790000000000002</v>
      </c>
      <c r="AE3347">
        <v>2</v>
      </c>
      <c r="AF3347">
        <v>16</v>
      </c>
      <c r="AG3347">
        <v>3.50600004</v>
      </c>
      <c r="AH3347">
        <v>1</v>
      </c>
      <c r="AI3347">
        <v>43</v>
      </c>
      <c r="AJ3347">
        <v>1</v>
      </c>
      <c r="AK3347">
        <v>12</v>
      </c>
      <c r="AL3347">
        <v>49</v>
      </c>
      <c r="AM3347" t="s">
        <v>43</v>
      </c>
      <c r="AN3347" t="str">
        <f>HYPERLINK("https://www.google.com/maps?q=10.76358795,79.69306183","Open Location")</f>
        <v>Open Location</v>
      </c>
    </row>
    <row r="3348" spans="1:40" x14ac:dyDescent="0.3">
      <c r="A3348" s="1">
        <v>46210.61215277778</v>
      </c>
      <c r="B3348" t="s">
        <v>40</v>
      </c>
      <c r="C3348" t="s">
        <v>41</v>
      </c>
      <c r="D3348" s="1">
        <v>46210.615173611113</v>
      </c>
      <c r="E3348" t="s">
        <v>42</v>
      </c>
      <c r="F3348" t="s">
        <v>43</v>
      </c>
      <c r="G3348">
        <v>0</v>
      </c>
      <c r="H3348">
        <v>33107</v>
      </c>
      <c r="I3348" t="s">
        <v>43</v>
      </c>
      <c r="J3348">
        <v>98</v>
      </c>
      <c r="K3348">
        <v>-156</v>
      </c>
      <c r="L3348">
        <v>98</v>
      </c>
      <c r="M3348">
        <v>678.70001220999995</v>
      </c>
      <c r="N3348" t="s">
        <v>1956</v>
      </c>
      <c r="O3348" t="s">
        <v>43</v>
      </c>
      <c r="P3348">
        <v>125</v>
      </c>
      <c r="Q3348" t="s">
        <v>43</v>
      </c>
      <c r="R3348">
        <v>-1000</v>
      </c>
      <c r="S3348">
        <v>0</v>
      </c>
      <c r="T3348">
        <v>-40</v>
      </c>
      <c r="U3348">
        <v>-40</v>
      </c>
      <c r="V3348">
        <v>-3000</v>
      </c>
      <c r="W3348">
        <v>37</v>
      </c>
      <c r="X3348">
        <v>37</v>
      </c>
      <c r="Y3348">
        <v>1</v>
      </c>
      <c r="Z3348">
        <v>8</v>
      </c>
      <c r="AA3348">
        <v>33</v>
      </c>
      <c r="AB3348">
        <v>2</v>
      </c>
      <c r="AC3348">
        <v>6</v>
      </c>
      <c r="AD3348">
        <v>3.56299996</v>
      </c>
      <c r="AE3348">
        <v>2</v>
      </c>
      <c r="AF3348">
        <v>16</v>
      </c>
      <c r="AG3348">
        <v>3.49699998</v>
      </c>
      <c r="AH3348">
        <v>1</v>
      </c>
      <c r="AI3348">
        <v>43</v>
      </c>
      <c r="AJ3348">
        <v>1</v>
      </c>
      <c r="AK3348">
        <v>12</v>
      </c>
      <c r="AL3348">
        <v>48</v>
      </c>
      <c r="AM3348" t="s">
        <v>43</v>
      </c>
      <c r="AN3348" t="s">
        <v>43</v>
      </c>
    </row>
    <row r="3349" spans="1:40" x14ac:dyDescent="0.3">
      <c r="A3349" s="1">
        <v>46210.612037037034</v>
      </c>
      <c r="B3349" t="s">
        <v>40</v>
      </c>
      <c r="C3349" t="s">
        <v>41</v>
      </c>
      <c r="D3349" s="1">
        <v>46210.614953703705</v>
      </c>
      <c r="E3349" t="s">
        <v>42</v>
      </c>
      <c r="F3349" t="s">
        <v>43</v>
      </c>
      <c r="G3349">
        <v>0</v>
      </c>
      <c r="H3349">
        <v>33107</v>
      </c>
      <c r="I3349" t="s">
        <v>1969</v>
      </c>
      <c r="J3349">
        <v>98</v>
      </c>
      <c r="K3349">
        <v>-156</v>
      </c>
      <c r="L3349">
        <v>98</v>
      </c>
      <c r="M3349">
        <v>676.5</v>
      </c>
      <c r="N3349" t="s">
        <v>1956</v>
      </c>
      <c r="O3349" t="s">
        <v>43</v>
      </c>
      <c r="P3349">
        <v>125</v>
      </c>
      <c r="Q3349" t="s">
        <v>43</v>
      </c>
      <c r="R3349">
        <v>-1000</v>
      </c>
      <c r="S3349">
        <v>0</v>
      </c>
      <c r="T3349">
        <v>-40</v>
      </c>
      <c r="U3349">
        <v>-40</v>
      </c>
      <c r="V3349">
        <v>-3000</v>
      </c>
      <c r="W3349">
        <v>37</v>
      </c>
      <c r="X3349">
        <v>37</v>
      </c>
      <c r="Y3349">
        <v>1</v>
      </c>
      <c r="Z3349">
        <v>8</v>
      </c>
      <c r="AA3349">
        <v>33</v>
      </c>
      <c r="AB3349">
        <v>2</v>
      </c>
      <c r="AC3349">
        <v>6</v>
      </c>
      <c r="AD3349">
        <v>3.5499999500000001</v>
      </c>
      <c r="AE3349">
        <v>2</v>
      </c>
      <c r="AF3349">
        <v>16</v>
      </c>
      <c r="AG3349">
        <v>3.4900000100000002</v>
      </c>
      <c r="AH3349">
        <v>1</v>
      </c>
      <c r="AI3349">
        <v>43</v>
      </c>
      <c r="AJ3349">
        <v>1</v>
      </c>
      <c r="AK3349">
        <v>12</v>
      </c>
      <c r="AL3349">
        <v>48</v>
      </c>
      <c r="AM3349" t="s">
        <v>43</v>
      </c>
      <c r="AN3349" t="str">
        <f>HYPERLINK("https://www.google.com/maps?q=10.76358795,79.69306946","Open Location")</f>
        <v>Open Location</v>
      </c>
    </row>
    <row r="3350" spans="1:40" x14ac:dyDescent="0.3">
      <c r="A3350" s="1">
        <v>46210.611921296295</v>
      </c>
      <c r="B3350" t="s">
        <v>40</v>
      </c>
      <c r="C3350" t="s">
        <v>41</v>
      </c>
      <c r="D3350" s="1">
        <v>46210.614768518521</v>
      </c>
      <c r="E3350" t="s">
        <v>42</v>
      </c>
      <c r="F3350" t="s">
        <v>43</v>
      </c>
      <c r="G3350">
        <v>0</v>
      </c>
      <c r="H3350">
        <v>33107</v>
      </c>
      <c r="I3350" t="s">
        <v>1970</v>
      </c>
      <c r="J3350">
        <v>98</v>
      </c>
      <c r="K3350">
        <v>-156</v>
      </c>
      <c r="L3350">
        <v>98</v>
      </c>
      <c r="M3350">
        <v>674.90002441000001</v>
      </c>
      <c r="N3350" t="s">
        <v>1956</v>
      </c>
      <c r="O3350" t="s">
        <v>43</v>
      </c>
      <c r="P3350">
        <v>125</v>
      </c>
      <c r="Q3350" t="s">
        <v>43</v>
      </c>
      <c r="R3350">
        <v>-1000</v>
      </c>
      <c r="S3350">
        <v>0</v>
      </c>
      <c r="T3350">
        <v>-40</v>
      </c>
      <c r="U3350">
        <v>-40</v>
      </c>
      <c r="V3350">
        <v>-3000</v>
      </c>
      <c r="W3350">
        <v>37</v>
      </c>
      <c r="X3350">
        <v>37</v>
      </c>
      <c r="Y3350">
        <v>1</v>
      </c>
      <c r="Z3350">
        <v>8</v>
      </c>
      <c r="AA3350">
        <v>33</v>
      </c>
      <c r="AB3350">
        <v>2</v>
      </c>
      <c r="AC3350">
        <v>6</v>
      </c>
      <c r="AD3350">
        <v>3.5399999599999998</v>
      </c>
      <c r="AE3350">
        <v>2</v>
      </c>
      <c r="AF3350">
        <v>16</v>
      </c>
      <c r="AG3350">
        <v>3.4839999700000002</v>
      </c>
      <c r="AH3350">
        <v>1</v>
      </c>
      <c r="AI3350">
        <v>43</v>
      </c>
      <c r="AJ3350">
        <v>1</v>
      </c>
      <c r="AK3350">
        <v>12</v>
      </c>
      <c r="AL3350">
        <v>48</v>
      </c>
      <c r="AM3350" t="s">
        <v>43</v>
      </c>
      <c r="AN3350" t="str">
        <f>HYPERLINK("https://www.google.com/maps?q=10.763587,79.69306946","Open Location")</f>
        <v>Open Location</v>
      </c>
    </row>
    <row r="3351" spans="1:40" x14ac:dyDescent="0.3">
      <c r="A3351" s="1">
        <v>46210.611805555556</v>
      </c>
      <c r="B3351" t="s">
        <v>40</v>
      </c>
      <c r="C3351" t="s">
        <v>41</v>
      </c>
      <c r="D3351" s="1">
        <v>46210.614733796298</v>
      </c>
      <c r="E3351" t="s">
        <v>42</v>
      </c>
      <c r="F3351" t="s">
        <v>43</v>
      </c>
      <c r="G3351">
        <v>0</v>
      </c>
      <c r="H3351">
        <v>33107</v>
      </c>
      <c r="I3351" t="s">
        <v>1971</v>
      </c>
      <c r="J3351">
        <v>98</v>
      </c>
      <c r="K3351">
        <v>-156</v>
      </c>
      <c r="L3351">
        <v>98</v>
      </c>
      <c r="M3351">
        <v>673.70001220999995</v>
      </c>
      <c r="N3351" t="s">
        <v>1956</v>
      </c>
      <c r="O3351" t="s">
        <v>43</v>
      </c>
      <c r="P3351">
        <v>125</v>
      </c>
      <c r="Q3351" t="s">
        <v>43</v>
      </c>
      <c r="R3351">
        <v>-1000</v>
      </c>
      <c r="S3351">
        <v>0</v>
      </c>
      <c r="T3351">
        <v>-40</v>
      </c>
      <c r="U3351">
        <v>-40</v>
      </c>
      <c r="V3351">
        <v>-3000</v>
      </c>
      <c r="W3351">
        <v>38</v>
      </c>
      <c r="X3351">
        <v>38</v>
      </c>
      <c r="Y3351">
        <v>1</v>
      </c>
      <c r="Z3351">
        <v>8</v>
      </c>
      <c r="AA3351">
        <v>33</v>
      </c>
      <c r="AB3351">
        <v>2</v>
      </c>
      <c r="AC3351">
        <v>6</v>
      </c>
      <c r="AD3351">
        <v>3.53299999</v>
      </c>
      <c r="AE3351">
        <v>2</v>
      </c>
      <c r="AF3351">
        <v>16</v>
      </c>
      <c r="AG3351">
        <v>3.4800000199999999</v>
      </c>
      <c r="AH3351">
        <v>1</v>
      </c>
      <c r="AI3351">
        <v>43</v>
      </c>
      <c r="AJ3351">
        <v>1</v>
      </c>
      <c r="AK3351">
        <v>12</v>
      </c>
      <c r="AL3351">
        <v>48</v>
      </c>
      <c r="AM3351" t="s">
        <v>43</v>
      </c>
      <c r="AN3351" t="str">
        <f>HYPERLINK("https://www.google.com/maps?q=10.76359177,79.69306946","Open Location")</f>
        <v>Open Location</v>
      </c>
    </row>
    <row r="3352" spans="1:40" x14ac:dyDescent="0.3">
      <c r="A3352" s="1">
        <v>46210.611689814818</v>
      </c>
      <c r="B3352" t="s">
        <v>40</v>
      </c>
      <c r="C3352" t="s">
        <v>41</v>
      </c>
      <c r="D3352" s="1">
        <v>46210.614583333336</v>
      </c>
      <c r="E3352" t="s">
        <v>42</v>
      </c>
      <c r="F3352" t="s">
        <v>43</v>
      </c>
      <c r="G3352">
        <v>0</v>
      </c>
      <c r="H3352">
        <v>33107</v>
      </c>
      <c r="I3352" t="s">
        <v>1972</v>
      </c>
      <c r="J3352">
        <v>98</v>
      </c>
      <c r="K3352">
        <v>-156</v>
      </c>
      <c r="L3352">
        <v>98</v>
      </c>
      <c r="M3352">
        <v>673</v>
      </c>
      <c r="N3352" t="s">
        <v>1956</v>
      </c>
      <c r="O3352" t="s">
        <v>43</v>
      </c>
      <c r="P3352">
        <v>125</v>
      </c>
      <c r="Q3352" t="s">
        <v>43</v>
      </c>
      <c r="R3352">
        <v>-1000</v>
      </c>
      <c r="S3352">
        <v>0</v>
      </c>
      <c r="T3352">
        <v>-40</v>
      </c>
      <c r="U3352">
        <v>-40</v>
      </c>
      <c r="V3352">
        <v>-3000</v>
      </c>
      <c r="W3352">
        <v>38</v>
      </c>
      <c r="X3352">
        <v>38</v>
      </c>
      <c r="Y3352">
        <v>1</v>
      </c>
      <c r="Z3352">
        <v>8</v>
      </c>
      <c r="AA3352">
        <v>33</v>
      </c>
      <c r="AB3352">
        <v>2</v>
      </c>
      <c r="AC3352">
        <v>6</v>
      </c>
      <c r="AD3352">
        <v>3.5280001200000002</v>
      </c>
      <c r="AE3352">
        <v>2</v>
      </c>
      <c r="AF3352">
        <v>16</v>
      </c>
      <c r="AG3352">
        <v>3.4779999300000002</v>
      </c>
      <c r="AH3352">
        <v>1</v>
      </c>
      <c r="AI3352">
        <v>43</v>
      </c>
      <c r="AJ3352">
        <v>1</v>
      </c>
      <c r="AK3352">
        <v>12</v>
      </c>
      <c r="AL3352">
        <v>48</v>
      </c>
      <c r="AM3352" t="s">
        <v>43</v>
      </c>
      <c r="AN3352" t="str">
        <f>HYPERLINK("https://www.google.com/maps?q=10.76358986,79.69306183","Open Location")</f>
        <v>Open Location</v>
      </c>
    </row>
    <row r="3353" spans="1:40" x14ac:dyDescent="0.3">
      <c r="A3353" s="1">
        <v>46210.611574074072</v>
      </c>
      <c r="B3353" t="s">
        <v>40</v>
      </c>
      <c r="C3353" t="s">
        <v>41</v>
      </c>
      <c r="D3353" s="1">
        <v>46210.614386574074</v>
      </c>
      <c r="E3353" t="s">
        <v>42</v>
      </c>
      <c r="F3353" t="s">
        <v>43</v>
      </c>
      <c r="G3353">
        <v>0</v>
      </c>
      <c r="H3353">
        <v>33107</v>
      </c>
      <c r="I3353" t="s">
        <v>1971</v>
      </c>
      <c r="J3353">
        <v>98</v>
      </c>
      <c r="K3353">
        <v>-156</v>
      </c>
      <c r="L3353">
        <v>98</v>
      </c>
      <c r="M3353">
        <v>672.59997558999999</v>
      </c>
      <c r="N3353" t="s">
        <v>1956</v>
      </c>
      <c r="O3353" t="s">
        <v>43</v>
      </c>
      <c r="P3353">
        <v>125</v>
      </c>
      <c r="Q3353" t="s">
        <v>43</v>
      </c>
      <c r="R3353">
        <v>-1000</v>
      </c>
      <c r="S3353">
        <v>0</v>
      </c>
      <c r="T3353">
        <v>-40</v>
      </c>
      <c r="U3353">
        <v>-40</v>
      </c>
      <c r="V3353">
        <v>-3000</v>
      </c>
      <c r="W3353">
        <v>38</v>
      </c>
      <c r="X3353">
        <v>38</v>
      </c>
      <c r="Y3353">
        <v>1</v>
      </c>
      <c r="Z3353">
        <v>8</v>
      </c>
      <c r="AA3353">
        <v>33</v>
      </c>
      <c r="AB3353">
        <v>2</v>
      </c>
      <c r="AC3353">
        <v>6</v>
      </c>
      <c r="AD3353">
        <v>3.52699995</v>
      </c>
      <c r="AE3353">
        <v>2</v>
      </c>
      <c r="AF3353">
        <v>16</v>
      </c>
      <c r="AG3353">
        <v>3.4779999300000002</v>
      </c>
      <c r="AH3353">
        <v>1</v>
      </c>
      <c r="AI3353">
        <v>43</v>
      </c>
      <c r="AJ3353">
        <v>1</v>
      </c>
      <c r="AK3353">
        <v>12</v>
      </c>
      <c r="AL3353">
        <v>48</v>
      </c>
      <c r="AM3353" t="s">
        <v>43</v>
      </c>
      <c r="AN3353" t="str">
        <f>HYPERLINK("https://www.google.com/maps?q=10.76359177,79.69306946","Open Location")</f>
        <v>Open Location</v>
      </c>
    </row>
    <row r="3354" spans="1:40" x14ac:dyDescent="0.3">
      <c r="A3354" s="1">
        <v>46210.611458333333</v>
      </c>
      <c r="B3354" t="s">
        <v>40</v>
      </c>
      <c r="C3354" t="s">
        <v>41</v>
      </c>
      <c r="D3354" s="1">
        <v>46210.614259259259</v>
      </c>
      <c r="E3354" t="s">
        <v>42</v>
      </c>
      <c r="F3354" t="s">
        <v>43</v>
      </c>
      <c r="G3354">
        <v>0</v>
      </c>
      <c r="H3354">
        <v>33107</v>
      </c>
      <c r="I3354" t="s">
        <v>43</v>
      </c>
      <c r="J3354">
        <v>98</v>
      </c>
      <c r="K3354">
        <v>-156</v>
      </c>
      <c r="L3354">
        <v>98</v>
      </c>
      <c r="M3354">
        <v>672.79998779000005</v>
      </c>
      <c r="N3354" t="s">
        <v>1956</v>
      </c>
      <c r="O3354" t="s">
        <v>43</v>
      </c>
      <c r="P3354">
        <v>125</v>
      </c>
      <c r="Q3354" t="s">
        <v>43</v>
      </c>
      <c r="R3354">
        <v>-1000</v>
      </c>
      <c r="S3354">
        <v>0</v>
      </c>
      <c r="T3354">
        <v>-40</v>
      </c>
      <c r="U3354">
        <v>-40</v>
      </c>
      <c r="V3354">
        <v>-3000</v>
      </c>
      <c r="W3354">
        <v>38</v>
      </c>
      <c r="X3354">
        <v>38</v>
      </c>
      <c r="Y3354">
        <v>1</v>
      </c>
      <c r="Z3354">
        <v>8</v>
      </c>
      <c r="AA3354">
        <v>33</v>
      </c>
      <c r="AB3354">
        <v>2</v>
      </c>
      <c r="AC3354">
        <v>6</v>
      </c>
      <c r="AD3354">
        <v>3.5480000999999999</v>
      </c>
      <c r="AE3354">
        <v>2</v>
      </c>
      <c r="AF3354">
        <v>16</v>
      </c>
      <c r="AG3354">
        <v>3.4920000999999998</v>
      </c>
      <c r="AH3354">
        <v>1</v>
      </c>
      <c r="AI3354">
        <v>43</v>
      </c>
      <c r="AJ3354">
        <v>1</v>
      </c>
      <c r="AK3354">
        <v>12</v>
      </c>
      <c r="AL3354">
        <v>48</v>
      </c>
      <c r="AM3354" t="s">
        <v>43</v>
      </c>
      <c r="AN3354" t="s">
        <v>43</v>
      </c>
    </row>
    <row r="3355" spans="1:40" x14ac:dyDescent="0.3">
      <c r="A3355" s="1">
        <v>46210.611342592594</v>
      </c>
      <c r="B3355" t="s">
        <v>40</v>
      </c>
      <c r="C3355" t="s">
        <v>41</v>
      </c>
      <c r="D3355" s="1">
        <v>46210.614120370374</v>
      </c>
      <c r="E3355" t="s">
        <v>42</v>
      </c>
      <c r="F3355" t="s">
        <v>43</v>
      </c>
      <c r="G3355">
        <v>0</v>
      </c>
      <c r="H3355">
        <v>33107</v>
      </c>
      <c r="I3355" t="s">
        <v>1971</v>
      </c>
      <c r="J3355">
        <v>98</v>
      </c>
      <c r="K3355">
        <v>-238</v>
      </c>
      <c r="L3355">
        <v>98</v>
      </c>
      <c r="M3355">
        <v>676.20001220999995</v>
      </c>
      <c r="N3355" t="s">
        <v>1956</v>
      </c>
      <c r="O3355" t="s">
        <v>43</v>
      </c>
      <c r="P3355">
        <v>125</v>
      </c>
      <c r="Q3355" t="s">
        <v>43</v>
      </c>
      <c r="R3355">
        <v>-1000</v>
      </c>
      <c r="S3355">
        <v>0</v>
      </c>
      <c r="T3355">
        <v>-40</v>
      </c>
      <c r="U3355">
        <v>-40</v>
      </c>
      <c r="V3355">
        <v>-3000</v>
      </c>
      <c r="W3355">
        <v>38</v>
      </c>
      <c r="X3355">
        <v>38</v>
      </c>
      <c r="Y3355">
        <v>1</v>
      </c>
      <c r="Z3355">
        <v>8</v>
      </c>
      <c r="AA3355">
        <v>33</v>
      </c>
      <c r="AB3355">
        <v>2</v>
      </c>
      <c r="AC3355">
        <v>6</v>
      </c>
      <c r="AD3355">
        <v>3.5429999799999998</v>
      </c>
      <c r="AE3355">
        <v>4</v>
      </c>
      <c r="AF3355">
        <v>17</v>
      </c>
      <c r="AG3355">
        <v>3.4890000799999998</v>
      </c>
      <c r="AH3355">
        <v>1</v>
      </c>
      <c r="AI3355">
        <v>43</v>
      </c>
      <c r="AJ3355">
        <v>1</v>
      </c>
      <c r="AK3355">
        <v>12</v>
      </c>
      <c r="AL3355">
        <v>48</v>
      </c>
      <c r="AM3355" t="s">
        <v>43</v>
      </c>
      <c r="AN3355" t="str">
        <f>HYPERLINK("https://www.google.com/maps?q=10.76359177,79.69306946","Open Location")</f>
        <v>Open Location</v>
      </c>
    </row>
    <row r="3356" spans="1:40" x14ac:dyDescent="0.3">
      <c r="A3356" s="1">
        <v>46210.611226851855</v>
      </c>
      <c r="B3356" t="s">
        <v>40</v>
      </c>
      <c r="C3356" t="s">
        <v>41</v>
      </c>
      <c r="D3356" s="1">
        <v>46210.61414351852</v>
      </c>
      <c r="E3356" t="s">
        <v>42</v>
      </c>
      <c r="F3356" t="s">
        <v>43</v>
      </c>
      <c r="G3356">
        <v>0</v>
      </c>
      <c r="H3356">
        <v>33107</v>
      </c>
      <c r="I3356" t="s">
        <v>1973</v>
      </c>
      <c r="J3356">
        <v>98</v>
      </c>
      <c r="K3356">
        <v>-238</v>
      </c>
      <c r="L3356">
        <v>98</v>
      </c>
      <c r="M3356">
        <v>674.40002441000001</v>
      </c>
      <c r="N3356" t="s">
        <v>1956</v>
      </c>
      <c r="O3356" t="s">
        <v>43</v>
      </c>
      <c r="P3356">
        <v>125</v>
      </c>
      <c r="Q3356" t="s">
        <v>43</v>
      </c>
      <c r="R3356">
        <v>-1000</v>
      </c>
      <c r="S3356">
        <v>0</v>
      </c>
      <c r="T3356">
        <v>-40</v>
      </c>
      <c r="U3356">
        <v>-40</v>
      </c>
      <c r="V3356">
        <v>-3000</v>
      </c>
      <c r="W3356">
        <v>38</v>
      </c>
      <c r="X3356">
        <v>38</v>
      </c>
      <c r="Y3356">
        <v>1</v>
      </c>
      <c r="Z3356">
        <v>8</v>
      </c>
      <c r="AA3356">
        <v>33</v>
      </c>
      <c r="AB3356">
        <v>7</v>
      </c>
      <c r="AC3356">
        <v>6</v>
      </c>
      <c r="AD3356">
        <v>3.5339999199999999</v>
      </c>
      <c r="AE3356">
        <v>4</v>
      </c>
      <c r="AF3356">
        <v>17</v>
      </c>
      <c r="AG3356">
        <v>3.4830000399999999</v>
      </c>
      <c r="AH3356">
        <v>1</v>
      </c>
      <c r="AI3356">
        <v>43</v>
      </c>
      <c r="AJ3356">
        <v>1</v>
      </c>
      <c r="AK3356">
        <v>12</v>
      </c>
      <c r="AL3356">
        <v>48</v>
      </c>
      <c r="AM3356" t="s">
        <v>43</v>
      </c>
      <c r="AN3356" t="str">
        <f>HYPERLINK("https://www.google.com/maps?q=10.7635994,79.69308472","Open Location")</f>
        <v>Open Location</v>
      </c>
    </row>
    <row r="3357" spans="1:40" x14ac:dyDescent="0.3">
      <c r="A3357" s="1">
        <v>46210.611111111109</v>
      </c>
      <c r="B3357" t="s">
        <v>40</v>
      </c>
      <c r="C3357" t="s">
        <v>41</v>
      </c>
      <c r="D3357" s="1">
        <v>46210.61414351852</v>
      </c>
      <c r="E3357" t="s">
        <v>42</v>
      </c>
      <c r="F3357" t="s">
        <v>43</v>
      </c>
      <c r="G3357">
        <v>0</v>
      </c>
      <c r="H3357">
        <v>33107</v>
      </c>
      <c r="I3357" t="s">
        <v>1974</v>
      </c>
      <c r="J3357">
        <v>98</v>
      </c>
      <c r="K3357">
        <v>-238</v>
      </c>
      <c r="L3357">
        <v>98</v>
      </c>
      <c r="M3357">
        <v>673.20001220999995</v>
      </c>
      <c r="N3357" t="s">
        <v>1956</v>
      </c>
      <c r="O3357" t="s">
        <v>43</v>
      </c>
      <c r="P3357">
        <v>125</v>
      </c>
      <c r="Q3357" t="s">
        <v>43</v>
      </c>
      <c r="R3357">
        <v>-1000</v>
      </c>
      <c r="S3357">
        <v>0</v>
      </c>
      <c r="T3357">
        <v>-40</v>
      </c>
      <c r="U3357">
        <v>-40</v>
      </c>
      <c r="V3357">
        <v>-3000</v>
      </c>
      <c r="W3357">
        <v>38</v>
      </c>
      <c r="X3357">
        <v>38</v>
      </c>
      <c r="Y3357">
        <v>1</v>
      </c>
      <c r="Z3357">
        <v>8</v>
      </c>
      <c r="AA3357">
        <v>34</v>
      </c>
      <c r="AB3357">
        <v>2</v>
      </c>
      <c r="AC3357">
        <v>1</v>
      </c>
      <c r="AD3357">
        <v>3.52699995</v>
      </c>
      <c r="AE3357">
        <v>4</v>
      </c>
      <c r="AF3357">
        <v>17</v>
      </c>
      <c r="AG3357">
        <v>3.4779999300000002</v>
      </c>
      <c r="AH3357">
        <v>1</v>
      </c>
      <c r="AI3357">
        <v>43</v>
      </c>
      <c r="AJ3357">
        <v>1</v>
      </c>
      <c r="AK3357">
        <v>12</v>
      </c>
      <c r="AL3357">
        <v>48</v>
      </c>
      <c r="AM3357" t="s">
        <v>43</v>
      </c>
      <c r="AN3357" t="str">
        <f>HYPERLINK("https://www.google.com/maps?q=10.76360416,79.69308472","Open Location")</f>
        <v>Open Location</v>
      </c>
    </row>
    <row r="3358" spans="1:40" x14ac:dyDescent="0.3">
      <c r="A3358" s="1">
        <v>46210.610995370371</v>
      </c>
      <c r="B3358" t="s">
        <v>40</v>
      </c>
      <c r="C3358" t="s">
        <v>41</v>
      </c>
      <c r="D3358" s="1">
        <v>46210.614108796297</v>
      </c>
      <c r="E3358" t="s">
        <v>42</v>
      </c>
      <c r="F3358" t="s">
        <v>43</v>
      </c>
      <c r="G3358">
        <v>0</v>
      </c>
      <c r="H3358">
        <v>33107</v>
      </c>
      <c r="I3358" t="s">
        <v>1975</v>
      </c>
      <c r="J3358">
        <v>98</v>
      </c>
      <c r="K3358">
        <v>-238</v>
      </c>
      <c r="L3358">
        <v>98</v>
      </c>
      <c r="M3358">
        <v>671.90002441000001</v>
      </c>
      <c r="N3358" t="s">
        <v>1956</v>
      </c>
      <c r="O3358" t="s">
        <v>43</v>
      </c>
      <c r="P3358">
        <v>125</v>
      </c>
      <c r="Q3358" t="s">
        <v>43</v>
      </c>
      <c r="R3358">
        <v>-1000</v>
      </c>
      <c r="S3358">
        <v>0</v>
      </c>
      <c r="T3358">
        <v>-40</v>
      </c>
      <c r="U3358">
        <v>-40</v>
      </c>
      <c r="V3358">
        <v>-3000</v>
      </c>
      <c r="W3358">
        <v>38</v>
      </c>
      <c r="X3358">
        <v>38</v>
      </c>
      <c r="Y3358">
        <v>1</v>
      </c>
      <c r="Z3358">
        <v>8</v>
      </c>
      <c r="AA3358">
        <v>34</v>
      </c>
      <c r="AB3358">
        <v>2</v>
      </c>
      <c r="AC3358">
        <v>1</v>
      </c>
      <c r="AD3358">
        <v>3.5199999800000001</v>
      </c>
      <c r="AE3358">
        <v>4</v>
      </c>
      <c r="AF3358">
        <v>17</v>
      </c>
      <c r="AG3358">
        <v>3.4739999799999999</v>
      </c>
      <c r="AH3358">
        <v>1</v>
      </c>
      <c r="AI3358">
        <v>38</v>
      </c>
      <c r="AJ3358">
        <v>1</v>
      </c>
      <c r="AK3358">
        <v>12</v>
      </c>
      <c r="AL3358">
        <v>48</v>
      </c>
      <c r="AM3358" t="s">
        <v>43</v>
      </c>
      <c r="AN3358" t="str">
        <f>HYPERLINK("https://www.google.com/maps?q=10.76360416,79.69309235","Open Location")</f>
        <v>Open Location</v>
      </c>
    </row>
    <row r="3359" spans="1:40" x14ac:dyDescent="0.3">
      <c r="A3359" s="1">
        <v>46210.610879629632</v>
      </c>
      <c r="B3359" t="s">
        <v>40</v>
      </c>
      <c r="C3359" t="s">
        <v>41</v>
      </c>
      <c r="D3359" s="1">
        <v>46210.61377314815</v>
      </c>
      <c r="E3359" t="s">
        <v>42</v>
      </c>
      <c r="F3359" t="s">
        <v>43</v>
      </c>
      <c r="G3359">
        <v>0</v>
      </c>
      <c r="H3359">
        <v>33107</v>
      </c>
      <c r="I3359" t="s">
        <v>1976</v>
      </c>
      <c r="J3359">
        <v>98</v>
      </c>
      <c r="K3359">
        <v>-238</v>
      </c>
      <c r="L3359">
        <v>98</v>
      </c>
      <c r="M3359">
        <v>670.79998779000005</v>
      </c>
      <c r="N3359" t="s">
        <v>1956</v>
      </c>
      <c r="O3359" t="s">
        <v>43</v>
      </c>
      <c r="P3359">
        <v>125</v>
      </c>
      <c r="Q3359" t="s">
        <v>43</v>
      </c>
      <c r="R3359">
        <v>-1000</v>
      </c>
      <c r="S3359">
        <v>0</v>
      </c>
      <c r="T3359">
        <v>-40</v>
      </c>
      <c r="U3359">
        <v>-40</v>
      </c>
      <c r="V3359">
        <v>-3000</v>
      </c>
      <c r="W3359">
        <v>38</v>
      </c>
      <c r="X3359">
        <v>38</v>
      </c>
      <c r="Y3359">
        <v>1</v>
      </c>
      <c r="Z3359">
        <v>8</v>
      </c>
      <c r="AA3359">
        <v>34</v>
      </c>
      <c r="AB3359">
        <v>2</v>
      </c>
      <c r="AC3359">
        <v>1</v>
      </c>
      <c r="AD3359">
        <v>3.5139999400000002</v>
      </c>
      <c r="AE3359">
        <v>4</v>
      </c>
      <c r="AF3359">
        <v>17</v>
      </c>
      <c r="AG3359">
        <v>3.47000003</v>
      </c>
      <c r="AH3359">
        <v>1</v>
      </c>
      <c r="AI3359">
        <v>38</v>
      </c>
      <c r="AJ3359">
        <v>1</v>
      </c>
      <c r="AK3359">
        <v>12</v>
      </c>
      <c r="AL3359">
        <v>48</v>
      </c>
      <c r="AM3359" t="s">
        <v>43</v>
      </c>
      <c r="AN3359" t="str">
        <f>HYPERLINK("https://www.google.com/maps?q=10.76360512,79.69309235","Open Location")</f>
        <v>Open Location</v>
      </c>
    </row>
    <row r="3360" spans="1:40" x14ac:dyDescent="0.3">
      <c r="A3360" s="1">
        <v>46210.610763888886</v>
      </c>
      <c r="B3360" t="s">
        <v>40</v>
      </c>
      <c r="C3360" t="s">
        <v>41</v>
      </c>
      <c r="D3360" s="1">
        <v>46210.613553240742</v>
      </c>
      <c r="E3360" t="s">
        <v>42</v>
      </c>
      <c r="F3360" t="s">
        <v>43</v>
      </c>
      <c r="G3360">
        <v>0</v>
      </c>
      <c r="H3360">
        <v>33107</v>
      </c>
      <c r="I3360" t="s">
        <v>43</v>
      </c>
      <c r="J3360">
        <v>98</v>
      </c>
      <c r="K3360">
        <v>-238</v>
      </c>
      <c r="L3360">
        <v>98</v>
      </c>
      <c r="M3360">
        <v>669.79998779000005</v>
      </c>
      <c r="N3360" t="s">
        <v>1956</v>
      </c>
      <c r="O3360" t="s">
        <v>43</v>
      </c>
      <c r="P3360">
        <v>125</v>
      </c>
      <c r="Q3360" t="s">
        <v>43</v>
      </c>
      <c r="R3360">
        <v>-1000</v>
      </c>
      <c r="S3360">
        <v>0</v>
      </c>
      <c r="T3360">
        <v>-40</v>
      </c>
      <c r="U3360">
        <v>-40</v>
      </c>
      <c r="V3360">
        <v>-3000</v>
      </c>
      <c r="W3360">
        <v>38</v>
      </c>
      <c r="X3360">
        <v>38</v>
      </c>
      <c r="Y3360">
        <v>1</v>
      </c>
      <c r="Z3360">
        <v>8</v>
      </c>
      <c r="AA3360">
        <v>34</v>
      </c>
      <c r="AB3360">
        <v>2</v>
      </c>
      <c r="AC3360">
        <v>1</v>
      </c>
      <c r="AD3360">
        <v>3.5079999000000002</v>
      </c>
      <c r="AE3360">
        <v>4</v>
      </c>
      <c r="AF3360">
        <v>17</v>
      </c>
      <c r="AG3360">
        <v>3.4660000800000001</v>
      </c>
      <c r="AH3360">
        <v>1</v>
      </c>
      <c r="AI3360">
        <v>43</v>
      </c>
      <c r="AJ3360">
        <v>1</v>
      </c>
      <c r="AK3360">
        <v>12</v>
      </c>
      <c r="AL3360">
        <v>48</v>
      </c>
      <c r="AM3360" t="s">
        <v>43</v>
      </c>
      <c r="AN3360" t="s">
        <v>43</v>
      </c>
    </row>
    <row r="3361" spans="1:40" x14ac:dyDescent="0.3">
      <c r="A3361" s="1">
        <v>46210.610648148147</v>
      </c>
      <c r="B3361" t="s">
        <v>40</v>
      </c>
      <c r="C3361" t="s">
        <v>41</v>
      </c>
      <c r="D3361" s="1">
        <v>46210.613483796296</v>
      </c>
      <c r="E3361" t="s">
        <v>42</v>
      </c>
      <c r="F3361" t="s">
        <v>43</v>
      </c>
      <c r="G3361">
        <v>0</v>
      </c>
      <c r="H3361">
        <v>33107</v>
      </c>
      <c r="I3361" t="s">
        <v>1977</v>
      </c>
      <c r="J3361">
        <v>98</v>
      </c>
      <c r="K3361">
        <v>-238</v>
      </c>
      <c r="L3361">
        <v>98</v>
      </c>
      <c r="M3361">
        <v>669.09997558999999</v>
      </c>
      <c r="N3361" t="s">
        <v>1956</v>
      </c>
      <c r="O3361" t="s">
        <v>43</v>
      </c>
      <c r="P3361">
        <v>125</v>
      </c>
      <c r="Q3361" t="s">
        <v>43</v>
      </c>
      <c r="R3361">
        <v>-1000</v>
      </c>
      <c r="S3361">
        <v>0</v>
      </c>
      <c r="T3361">
        <v>-40</v>
      </c>
      <c r="U3361">
        <v>-40</v>
      </c>
      <c r="V3361">
        <v>-3000</v>
      </c>
      <c r="W3361">
        <v>38</v>
      </c>
      <c r="X3361">
        <v>38</v>
      </c>
      <c r="Y3361">
        <v>1</v>
      </c>
      <c r="Z3361">
        <v>8</v>
      </c>
      <c r="AA3361">
        <v>34</v>
      </c>
      <c r="AB3361">
        <v>2</v>
      </c>
      <c r="AC3361">
        <v>1</v>
      </c>
      <c r="AD3361">
        <v>3.50300002</v>
      </c>
      <c r="AE3361">
        <v>4</v>
      </c>
      <c r="AF3361">
        <v>17</v>
      </c>
      <c r="AG3361">
        <v>3.4630000600000002</v>
      </c>
      <c r="AH3361">
        <v>1</v>
      </c>
      <c r="AI3361">
        <v>38</v>
      </c>
      <c r="AJ3361">
        <v>1</v>
      </c>
      <c r="AK3361">
        <v>12</v>
      </c>
      <c r="AL3361">
        <v>48</v>
      </c>
      <c r="AM3361" t="s">
        <v>43</v>
      </c>
      <c r="AN3361" t="str">
        <f>HYPERLINK("https://www.google.com/maps?q=10.76359653,79.6931076","Open Location")</f>
        <v>Open Location</v>
      </c>
    </row>
    <row r="3362" spans="1:40" x14ac:dyDescent="0.3">
      <c r="A3362" s="1">
        <v>46210.610532407409</v>
      </c>
      <c r="B3362" t="s">
        <v>40</v>
      </c>
      <c r="C3362" t="s">
        <v>41</v>
      </c>
      <c r="D3362" s="1">
        <v>46210.613541666666</v>
      </c>
      <c r="E3362" t="s">
        <v>42</v>
      </c>
      <c r="F3362" t="s">
        <v>43</v>
      </c>
      <c r="G3362">
        <v>0</v>
      </c>
      <c r="H3362" t="s">
        <v>43</v>
      </c>
      <c r="I3362" t="s">
        <v>1978</v>
      </c>
      <c r="J3362">
        <v>97</v>
      </c>
      <c r="K3362">
        <v>-238</v>
      </c>
      <c r="L3362">
        <v>98</v>
      </c>
      <c r="M3362">
        <v>668.29998779000005</v>
      </c>
      <c r="N3362" t="s">
        <v>1956</v>
      </c>
      <c r="O3362" t="s">
        <v>43</v>
      </c>
      <c r="P3362">
        <v>125</v>
      </c>
      <c r="Q3362" t="s">
        <v>43</v>
      </c>
      <c r="R3362">
        <v>-1000</v>
      </c>
      <c r="S3362">
        <v>0</v>
      </c>
      <c r="T3362">
        <v>-40</v>
      </c>
      <c r="U3362">
        <v>-40</v>
      </c>
      <c r="V3362">
        <v>-3000</v>
      </c>
      <c r="W3362">
        <v>38</v>
      </c>
      <c r="X3362">
        <v>38</v>
      </c>
      <c r="Y3362">
        <v>1</v>
      </c>
      <c r="Z3362">
        <v>8</v>
      </c>
      <c r="AA3362">
        <v>34</v>
      </c>
      <c r="AB3362">
        <v>2</v>
      </c>
      <c r="AC3362">
        <v>1</v>
      </c>
      <c r="AD3362">
        <v>3.4990000700000001</v>
      </c>
      <c r="AE3362">
        <v>4</v>
      </c>
      <c r="AF3362">
        <v>17</v>
      </c>
      <c r="AG3362">
        <v>3.4600000400000002</v>
      </c>
      <c r="AH3362">
        <v>1</v>
      </c>
      <c r="AI3362">
        <v>38</v>
      </c>
      <c r="AJ3362">
        <v>1</v>
      </c>
      <c r="AK3362">
        <v>12</v>
      </c>
      <c r="AL3362">
        <v>48</v>
      </c>
      <c r="AM3362" t="s">
        <v>43</v>
      </c>
      <c r="AN3362" t="str">
        <f>HYPERLINK("https://www.google.com/maps?q=10.76359177,79.69312286","Open Location")</f>
        <v>Open Location</v>
      </c>
    </row>
    <row r="3363" spans="1:40" x14ac:dyDescent="0.3">
      <c r="A3363" s="1">
        <v>46210.61041666667</v>
      </c>
      <c r="B3363" t="s">
        <v>40</v>
      </c>
      <c r="C3363" t="s">
        <v>41</v>
      </c>
      <c r="D3363" s="1">
        <v>46210.613182870373</v>
      </c>
      <c r="E3363" t="s">
        <v>42</v>
      </c>
      <c r="F3363" t="s">
        <v>43</v>
      </c>
      <c r="G3363">
        <v>0</v>
      </c>
      <c r="H3363">
        <v>33107</v>
      </c>
      <c r="I3363" t="s">
        <v>1979</v>
      </c>
      <c r="J3363">
        <v>97</v>
      </c>
      <c r="K3363">
        <v>-238</v>
      </c>
      <c r="L3363">
        <v>98</v>
      </c>
      <c r="M3363">
        <v>667.5</v>
      </c>
      <c r="N3363" t="s">
        <v>1956</v>
      </c>
      <c r="O3363" t="s">
        <v>43</v>
      </c>
      <c r="P3363">
        <v>125</v>
      </c>
      <c r="Q3363" t="s">
        <v>43</v>
      </c>
      <c r="R3363">
        <v>-1000</v>
      </c>
      <c r="S3363">
        <v>0</v>
      </c>
      <c r="T3363">
        <v>-40</v>
      </c>
      <c r="U3363">
        <v>-40</v>
      </c>
      <c r="V3363">
        <v>-3000</v>
      </c>
      <c r="W3363">
        <v>38</v>
      </c>
      <c r="X3363">
        <v>38</v>
      </c>
      <c r="Y3363">
        <v>1</v>
      </c>
      <c r="Z3363">
        <v>8</v>
      </c>
      <c r="AA3363">
        <v>34</v>
      </c>
      <c r="AB3363">
        <v>2</v>
      </c>
      <c r="AC3363">
        <v>1</v>
      </c>
      <c r="AD3363">
        <v>3.4949998899999999</v>
      </c>
      <c r="AE3363">
        <v>4</v>
      </c>
      <c r="AF3363">
        <v>17</v>
      </c>
      <c r="AG3363">
        <v>3.4579999400000001</v>
      </c>
      <c r="AH3363">
        <v>1</v>
      </c>
      <c r="AI3363">
        <v>38</v>
      </c>
      <c r="AJ3363">
        <v>1</v>
      </c>
      <c r="AK3363">
        <v>12</v>
      </c>
      <c r="AL3363">
        <v>48</v>
      </c>
      <c r="AM3363" t="s">
        <v>43</v>
      </c>
      <c r="AN3363" t="str">
        <f>HYPERLINK("https://www.google.com/maps?q=10.76360321,79.69312286","Open Location")</f>
        <v>Open Location</v>
      </c>
    </row>
    <row r="3364" spans="1:40" x14ac:dyDescent="0.3">
      <c r="A3364" s="1">
        <v>46210.610300925924</v>
      </c>
      <c r="B3364" t="s">
        <v>40</v>
      </c>
      <c r="C3364" t="s">
        <v>41</v>
      </c>
      <c r="D3364" s="1">
        <v>46210.613298611112</v>
      </c>
      <c r="E3364" t="s">
        <v>42</v>
      </c>
      <c r="F3364" t="s">
        <v>43</v>
      </c>
      <c r="G3364">
        <v>0</v>
      </c>
      <c r="H3364">
        <v>33107</v>
      </c>
      <c r="I3364" t="s">
        <v>1980</v>
      </c>
      <c r="J3364">
        <v>97</v>
      </c>
      <c r="K3364">
        <v>-238</v>
      </c>
      <c r="L3364">
        <v>98</v>
      </c>
      <c r="M3364">
        <v>667.20001220999995</v>
      </c>
      <c r="N3364" t="s">
        <v>1956</v>
      </c>
      <c r="O3364" t="s">
        <v>43</v>
      </c>
      <c r="P3364">
        <v>125</v>
      </c>
      <c r="Q3364" t="s">
        <v>43</v>
      </c>
      <c r="R3364">
        <v>-1000</v>
      </c>
      <c r="S3364">
        <v>0</v>
      </c>
      <c r="T3364">
        <v>-40</v>
      </c>
      <c r="U3364">
        <v>-40</v>
      </c>
      <c r="V3364">
        <v>-3000</v>
      </c>
      <c r="W3364">
        <v>38</v>
      </c>
      <c r="X3364">
        <v>38</v>
      </c>
      <c r="Y3364">
        <v>1</v>
      </c>
      <c r="Z3364">
        <v>8</v>
      </c>
      <c r="AA3364">
        <v>34</v>
      </c>
      <c r="AB3364">
        <v>2</v>
      </c>
      <c r="AC3364">
        <v>1</v>
      </c>
      <c r="AD3364">
        <v>3.49099994</v>
      </c>
      <c r="AE3364">
        <v>4</v>
      </c>
      <c r="AF3364">
        <v>17</v>
      </c>
      <c r="AG3364">
        <v>3.4560000899999999</v>
      </c>
      <c r="AH3364">
        <v>1</v>
      </c>
      <c r="AI3364">
        <v>38</v>
      </c>
      <c r="AJ3364">
        <v>1</v>
      </c>
      <c r="AK3364">
        <v>12</v>
      </c>
      <c r="AL3364">
        <v>48</v>
      </c>
      <c r="AM3364" t="s">
        <v>43</v>
      </c>
      <c r="AN3364" t="str">
        <f>HYPERLINK("https://www.google.com/maps?q=10.76360989,79.6931076","Open Location")</f>
        <v>Open Location</v>
      </c>
    </row>
    <row r="3365" spans="1:40" x14ac:dyDescent="0.3">
      <c r="A3365" s="1">
        <v>46210.610185185185</v>
      </c>
      <c r="B3365" t="s">
        <v>40</v>
      </c>
      <c r="C3365" t="s">
        <v>41</v>
      </c>
      <c r="D3365" s="1">
        <v>46210.613287037035</v>
      </c>
      <c r="E3365" t="s">
        <v>42</v>
      </c>
      <c r="F3365" t="s">
        <v>43</v>
      </c>
      <c r="G3365">
        <v>0</v>
      </c>
      <c r="H3365">
        <v>33107</v>
      </c>
      <c r="I3365" t="s">
        <v>43</v>
      </c>
      <c r="J3365">
        <v>97</v>
      </c>
      <c r="K3365">
        <v>-238</v>
      </c>
      <c r="L3365">
        <v>98</v>
      </c>
      <c r="M3365">
        <v>666.59997558999999</v>
      </c>
      <c r="N3365" t="s">
        <v>1956</v>
      </c>
      <c r="O3365" t="s">
        <v>43</v>
      </c>
      <c r="P3365">
        <v>125</v>
      </c>
      <c r="Q3365" t="s">
        <v>43</v>
      </c>
      <c r="R3365">
        <v>-1000</v>
      </c>
      <c r="S3365">
        <v>0</v>
      </c>
      <c r="T3365">
        <v>-40</v>
      </c>
      <c r="U3365">
        <v>-40</v>
      </c>
      <c r="V3365">
        <v>-3000</v>
      </c>
      <c r="W3365">
        <v>38</v>
      </c>
      <c r="X3365">
        <v>38</v>
      </c>
      <c r="Y3365">
        <v>1</v>
      </c>
      <c r="Z3365">
        <v>8</v>
      </c>
      <c r="AA3365">
        <v>34</v>
      </c>
      <c r="AB3365">
        <v>2</v>
      </c>
      <c r="AC3365">
        <v>1</v>
      </c>
      <c r="AD3365">
        <v>3.4890000799999998</v>
      </c>
      <c r="AE3365">
        <v>4</v>
      </c>
      <c r="AF3365">
        <v>17</v>
      </c>
      <c r="AG3365">
        <v>3.4540000000000002</v>
      </c>
      <c r="AH3365">
        <v>1</v>
      </c>
      <c r="AI3365">
        <v>38</v>
      </c>
      <c r="AJ3365">
        <v>1</v>
      </c>
      <c r="AK3365">
        <v>12</v>
      </c>
      <c r="AL3365">
        <v>48</v>
      </c>
      <c r="AM3365" t="s">
        <v>43</v>
      </c>
      <c r="AN3365" t="s">
        <v>43</v>
      </c>
    </row>
    <row r="3366" spans="1:40" x14ac:dyDescent="0.3">
      <c r="A3366" s="1">
        <v>46210.610069444447</v>
      </c>
      <c r="B3366" t="s">
        <v>40</v>
      </c>
      <c r="C3366" t="s">
        <v>41</v>
      </c>
      <c r="D3366" s="1">
        <v>46210.612916666665</v>
      </c>
      <c r="E3366" t="s">
        <v>42</v>
      </c>
      <c r="F3366" t="s">
        <v>43</v>
      </c>
      <c r="G3366">
        <v>0</v>
      </c>
      <c r="H3366">
        <v>33107</v>
      </c>
      <c r="I3366" t="s">
        <v>1981</v>
      </c>
      <c r="J3366">
        <v>97</v>
      </c>
      <c r="K3366">
        <v>-238</v>
      </c>
      <c r="L3366">
        <v>98</v>
      </c>
      <c r="M3366">
        <v>666.20001220999995</v>
      </c>
      <c r="N3366" t="s">
        <v>1956</v>
      </c>
      <c r="O3366" t="s">
        <v>43</v>
      </c>
      <c r="P3366">
        <v>125</v>
      </c>
      <c r="Q3366" t="s">
        <v>43</v>
      </c>
      <c r="R3366">
        <v>-1000</v>
      </c>
      <c r="S3366">
        <v>0</v>
      </c>
      <c r="T3366">
        <v>-40</v>
      </c>
      <c r="U3366">
        <v>-40</v>
      </c>
      <c r="V3366">
        <v>-3000</v>
      </c>
      <c r="W3366">
        <v>38</v>
      </c>
      <c r="X3366">
        <v>38</v>
      </c>
      <c r="Y3366">
        <v>1</v>
      </c>
      <c r="Z3366">
        <v>8</v>
      </c>
      <c r="AA3366">
        <v>34</v>
      </c>
      <c r="AB3366">
        <v>2</v>
      </c>
      <c r="AC3366">
        <v>3</v>
      </c>
      <c r="AD3366">
        <v>3.4860000599999998</v>
      </c>
      <c r="AE3366">
        <v>4</v>
      </c>
      <c r="AF3366">
        <v>17</v>
      </c>
      <c r="AG3366">
        <v>3.4519999000000001</v>
      </c>
      <c r="AH3366">
        <v>5</v>
      </c>
      <c r="AI3366">
        <v>38</v>
      </c>
      <c r="AJ3366">
        <v>1</v>
      </c>
      <c r="AK3366">
        <v>12</v>
      </c>
      <c r="AL3366">
        <v>48</v>
      </c>
      <c r="AM3366" t="s">
        <v>43</v>
      </c>
      <c r="AN3366" t="str">
        <f>HYPERLINK("https://www.google.com/maps?q=10.76360512,79.69312286","Open Location")</f>
        <v>Open Location</v>
      </c>
    </row>
    <row r="3367" spans="1:40" x14ac:dyDescent="0.3">
      <c r="A3367" s="1">
        <v>46210.609953703701</v>
      </c>
      <c r="B3367" t="s">
        <v>40</v>
      </c>
      <c r="C3367" t="s">
        <v>41</v>
      </c>
      <c r="D3367" s="1">
        <v>46210.612754629627</v>
      </c>
      <c r="E3367" t="s">
        <v>42</v>
      </c>
      <c r="F3367" t="s">
        <v>43</v>
      </c>
      <c r="G3367">
        <v>0</v>
      </c>
      <c r="H3367">
        <v>33107</v>
      </c>
      <c r="I3367" t="s">
        <v>1982</v>
      </c>
      <c r="J3367">
        <v>97</v>
      </c>
      <c r="K3367">
        <v>-238</v>
      </c>
      <c r="L3367">
        <v>98</v>
      </c>
      <c r="M3367">
        <v>665.70001220999995</v>
      </c>
      <c r="N3367" t="s">
        <v>1956</v>
      </c>
      <c r="O3367" t="s">
        <v>43</v>
      </c>
      <c r="P3367">
        <v>125</v>
      </c>
      <c r="Q3367" t="s">
        <v>43</v>
      </c>
      <c r="R3367">
        <v>-1000</v>
      </c>
      <c r="S3367">
        <v>0</v>
      </c>
      <c r="T3367">
        <v>-40</v>
      </c>
      <c r="U3367">
        <v>-40</v>
      </c>
      <c r="V3367">
        <v>-3000</v>
      </c>
      <c r="W3367">
        <v>38</v>
      </c>
      <c r="X3367">
        <v>38</v>
      </c>
      <c r="Y3367">
        <v>1</v>
      </c>
      <c r="Z3367">
        <v>8</v>
      </c>
      <c r="AA3367">
        <v>34</v>
      </c>
      <c r="AB3367">
        <v>2</v>
      </c>
      <c r="AC3367">
        <v>3</v>
      </c>
      <c r="AD3367">
        <v>3.4839999700000002</v>
      </c>
      <c r="AE3367">
        <v>4</v>
      </c>
      <c r="AF3367">
        <v>17</v>
      </c>
      <c r="AG3367">
        <v>3.4509999800000002</v>
      </c>
      <c r="AH3367">
        <v>5</v>
      </c>
      <c r="AI3367">
        <v>38</v>
      </c>
      <c r="AJ3367">
        <v>1</v>
      </c>
      <c r="AK3367">
        <v>12</v>
      </c>
      <c r="AL3367">
        <v>48</v>
      </c>
      <c r="AM3367" t="s">
        <v>43</v>
      </c>
      <c r="AN3367" t="str">
        <f>HYPERLINK("https://www.google.com/maps?q=10.76359844,79.69311523","Open Location")</f>
        <v>Open Location</v>
      </c>
    </row>
    <row r="3368" spans="1:40" x14ac:dyDescent="0.3">
      <c r="A3368" s="1">
        <v>46210.609837962962</v>
      </c>
      <c r="B3368" t="s">
        <v>40</v>
      </c>
      <c r="C3368" t="s">
        <v>41</v>
      </c>
      <c r="D3368" s="1">
        <v>46210.61273148148</v>
      </c>
      <c r="E3368" t="s">
        <v>42</v>
      </c>
      <c r="F3368" t="s">
        <v>43</v>
      </c>
      <c r="G3368">
        <v>0</v>
      </c>
      <c r="H3368">
        <v>33107</v>
      </c>
      <c r="I3368" t="s">
        <v>1983</v>
      </c>
      <c r="J3368">
        <v>97</v>
      </c>
      <c r="K3368">
        <v>-238</v>
      </c>
      <c r="L3368">
        <v>98</v>
      </c>
      <c r="M3368">
        <v>665.40002441000001</v>
      </c>
      <c r="N3368" t="s">
        <v>1956</v>
      </c>
      <c r="O3368" t="s">
        <v>43</v>
      </c>
      <c r="P3368">
        <v>125</v>
      </c>
      <c r="Q3368" t="s">
        <v>43</v>
      </c>
      <c r="R3368">
        <v>-1000</v>
      </c>
      <c r="S3368">
        <v>0</v>
      </c>
      <c r="T3368">
        <v>-40</v>
      </c>
      <c r="U3368">
        <v>-40</v>
      </c>
      <c r="V3368">
        <v>-3000</v>
      </c>
      <c r="W3368">
        <v>38</v>
      </c>
      <c r="X3368">
        <v>38</v>
      </c>
      <c r="Y3368">
        <v>1</v>
      </c>
      <c r="Z3368">
        <v>8</v>
      </c>
      <c r="AA3368">
        <v>34</v>
      </c>
      <c r="AB3368">
        <v>2</v>
      </c>
      <c r="AC3368">
        <v>3</v>
      </c>
      <c r="AD3368">
        <v>3.4830000399999999</v>
      </c>
      <c r="AE3368">
        <v>4</v>
      </c>
      <c r="AF3368">
        <v>17</v>
      </c>
      <c r="AG3368">
        <v>3.4509999800000002</v>
      </c>
      <c r="AH3368">
        <v>1</v>
      </c>
      <c r="AI3368">
        <v>38</v>
      </c>
      <c r="AJ3368">
        <v>1</v>
      </c>
      <c r="AK3368">
        <v>12</v>
      </c>
      <c r="AL3368">
        <v>48</v>
      </c>
      <c r="AM3368" t="s">
        <v>43</v>
      </c>
      <c r="AN3368" t="str">
        <f>HYPERLINK("https://www.google.com/maps?q=10.76359272,79.69312286","Open Location")</f>
        <v>Open Location</v>
      </c>
    </row>
    <row r="3369" spans="1:40" x14ac:dyDescent="0.3">
      <c r="A3369" s="1">
        <v>46210.609722222223</v>
      </c>
      <c r="B3369" t="s">
        <v>40</v>
      </c>
      <c r="C3369" t="s">
        <v>41</v>
      </c>
      <c r="D3369" s="1">
        <v>46210.612430555557</v>
      </c>
      <c r="E3369" t="s">
        <v>42</v>
      </c>
      <c r="F3369" t="s">
        <v>43</v>
      </c>
      <c r="G3369">
        <v>0</v>
      </c>
      <c r="H3369">
        <v>33107</v>
      </c>
      <c r="I3369" t="s">
        <v>1984</v>
      </c>
      <c r="J3369">
        <v>96</v>
      </c>
      <c r="K3369">
        <v>-238</v>
      </c>
      <c r="L3369">
        <v>98</v>
      </c>
      <c r="M3369">
        <v>665.40002441000001</v>
      </c>
      <c r="N3369" t="s">
        <v>1956</v>
      </c>
      <c r="O3369" t="s">
        <v>43</v>
      </c>
      <c r="P3369">
        <v>125</v>
      </c>
      <c r="Q3369" t="s">
        <v>43</v>
      </c>
      <c r="R3369">
        <v>-1000</v>
      </c>
      <c r="S3369">
        <v>0</v>
      </c>
      <c r="T3369">
        <v>-40</v>
      </c>
      <c r="U3369">
        <v>-40</v>
      </c>
      <c r="V3369">
        <v>-3000</v>
      </c>
      <c r="W3369">
        <v>38</v>
      </c>
      <c r="X3369">
        <v>38</v>
      </c>
      <c r="Y3369">
        <v>1</v>
      </c>
      <c r="Z3369">
        <v>8</v>
      </c>
      <c r="AA3369">
        <v>34</v>
      </c>
      <c r="AB3369">
        <v>2</v>
      </c>
      <c r="AC3369">
        <v>3</v>
      </c>
      <c r="AD3369">
        <v>3.4830000399999999</v>
      </c>
      <c r="AE3369">
        <v>4</v>
      </c>
      <c r="AF3369">
        <v>17</v>
      </c>
      <c r="AG3369">
        <v>3.4509999800000002</v>
      </c>
      <c r="AH3369">
        <v>5</v>
      </c>
      <c r="AI3369">
        <v>38</v>
      </c>
      <c r="AJ3369">
        <v>1</v>
      </c>
      <c r="AK3369">
        <v>12</v>
      </c>
      <c r="AL3369">
        <v>48</v>
      </c>
      <c r="AM3369" t="s">
        <v>43</v>
      </c>
      <c r="AN3369" t="str">
        <f>HYPERLINK("https://www.google.com/maps?q=10.76358509,79.69313049","Open Location")</f>
        <v>Open Location</v>
      </c>
    </row>
    <row r="3370" spans="1:40" x14ac:dyDescent="0.3">
      <c r="A3370" s="1">
        <v>46210.609606481485</v>
      </c>
      <c r="B3370" t="s">
        <v>40</v>
      </c>
      <c r="C3370" t="s">
        <v>41</v>
      </c>
      <c r="D3370" s="1">
        <v>46210.61246527778</v>
      </c>
      <c r="E3370" t="s">
        <v>42</v>
      </c>
      <c r="F3370" t="s">
        <v>43</v>
      </c>
      <c r="G3370">
        <v>0</v>
      </c>
      <c r="H3370">
        <v>33107</v>
      </c>
      <c r="I3370" t="s">
        <v>1985</v>
      </c>
      <c r="J3370">
        <v>96</v>
      </c>
      <c r="K3370">
        <v>-238</v>
      </c>
      <c r="L3370">
        <v>98</v>
      </c>
      <c r="M3370">
        <v>665.40002441000001</v>
      </c>
      <c r="N3370" t="s">
        <v>1956</v>
      </c>
      <c r="O3370" t="s">
        <v>43</v>
      </c>
      <c r="P3370">
        <v>125</v>
      </c>
      <c r="Q3370" t="s">
        <v>43</v>
      </c>
      <c r="R3370">
        <v>-1000</v>
      </c>
      <c r="S3370">
        <v>0</v>
      </c>
      <c r="T3370">
        <v>-40</v>
      </c>
      <c r="U3370">
        <v>-40</v>
      </c>
      <c r="V3370">
        <v>-3000</v>
      </c>
      <c r="W3370">
        <v>38</v>
      </c>
      <c r="X3370">
        <v>38</v>
      </c>
      <c r="Y3370">
        <v>1</v>
      </c>
      <c r="Z3370">
        <v>8</v>
      </c>
      <c r="AA3370">
        <v>34</v>
      </c>
      <c r="AB3370">
        <v>2</v>
      </c>
      <c r="AC3370">
        <v>3</v>
      </c>
      <c r="AD3370">
        <v>3.4860000599999998</v>
      </c>
      <c r="AE3370">
        <v>4</v>
      </c>
      <c r="AF3370">
        <v>17</v>
      </c>
      <c r="AG3370">
        <v>3.4540000000000002</v>
      </c>
      <c r="AH3370">
        <v>1</v>
      </c>
      <c r="AI3370">
        <v>38</v>
      </c>
      <c r="AJ3370">
        <v>1</v>
      </c>
      <c r="AK3370">
        <v>12</v>
      </c>
      <c r="AL3370">
        <v>48</v>
      </c>
      <c r="AM3370" t="s">
        <v>43</v>
      </c>
      <c r="AN3370" t="str">
        <f>HYPERLINK("https://www.google.com/maps?q=10.76357841,79.69311523","Open Location")</f>
        <v>Open Location</v>
      </c>
    </row>
    <row r="3371" spans="1:40" x14ac:dyDescent="0.3">
      <c r="A3371" s="1">
        <v>46210.609490740739</v>
      </c>
      <c r="B3371" t="s">
        <v>40</v>
      </c>
      <c r="C3371" t="s">
        <v>41</v>
      </c>
      <c r="D3371" s="1">
        <v>46210.612256944441</v>
      </c>
      <c r="E3371" t="s">
        <v>42</v>
      </c>
      <c r="F3371" t="s">
        <v>43</v>
      </c>
      <c r="G3371">
        <v>0</v>
      </c>
      <c r="H3371">
        <v>33107</v>
      </c>
      <c r="I3371" t="s">
        <v>43</v>
      </c>
      <c r="J3371">
        <v>96</v>
      </c>
      <c r="K3371">
        <v>-265</v>
      </c>
      <c r="L3371">
        <v>98</v>
      </c>
      <c r="M3371">
        <v>667</v>
      </c>
      <c r="N3371" t="s">
        <v>1956</v>
      </c>
      <c r="O3371" t="s">
        <v>43</v>
      </c>
      <c r="P3371">
        <v>125</v>
      </c>
      <c r="Q3371" t="s">
        <v>43</v>
      </c>
      <c r="R3371">
        <v>-1000</v>
      </c>
      <c r="S3371">
        <v>0</v>
      </c>
      <c r="T3371">
        <v>-40</v>
      </c>
      <c r="U3371">
        <v>-40</v>
      </c>
      <c r="V3371">
        <v>-3000</v>
      </c>
      <c r="W3371">
        <v>38</v>
      </c>
      <c r="X3371">
        <v>38</v>
      </c>
      <c r="Y3371">
        <v>1</v>
      </c>
      <c r="Z3371">
        <v>8</v>
      </c>
      <c r="AA3371">
        <v>34</v>
      </c>
      <c r="AB3371">
        <v>2</v>
      </c>
      <c r="AC3371">
        <v>3</v>
      </c>
      <c r="AD3371">
        <v>3.4979999099999999</v>
      </c>
      <c r="AE3371">
        <v>4</v>
      </c>
      <c r="AF3371">
        <v>17</v>
      </c>
      <c r="AG3371">
        <v>3.4630000600000002</v>
      </c>
      <c r="AH3371">
        <v>5</v>
      </c>
      <c r="AI3371">
        <v>38</v>
      </c>
      <c r="AJ3371">
        <v>1</v>
      </c>
      <c r="AK3371">
        <v>12</v>
      </c>
      <c r="AL3371">
        <v>48</v>
      </c>
      <c r="AM3371" t="s">
        <v>43</v>
      </c>
      <c r="AN3371" t="s">
        <v>43</v>
      </c>
    </row>
    <row r="3372" spans="1:40" x14ac:dyDescent="0.3">
      <c r="A3372" s="1">
        <v>46210.609375</v>
      </c>
      <c r="B3372" t="s">
        <v>40</v>
      </c>
      <c r="C3372" t="s">
        <v>41</v>
      </c>
      <c r="D3372" s="1">
        <v>46210.612245370372</v>
      </c>
      <c r="E3372" t="s">
        <v>42</v>
      </c>
      <c r="F3372" t="s">
        <v>43</v>
      </c>
      <c r="G3372">
        <v>0</v>
      </c>
      <c r="H3372">
        <v>33107</v>
      </c>
      <c r="I3372" t="s">
        <v>1986</v>
      </c>
      <c r="J3372">
        <v>96</v>
      </c>
      <c r="K3372">
        <v>-314</v>
      </c>
      <c r="L3372">
        <v>98</v>
      </c>
      <c r="M3372">
        <v>668.40002441000001</v>
      </c>
      <c r="N3372" t="s">
        <v>1956</v>
      </c>
      <c r="O3372" t="s">
        <v>43</v>
      </c>
      <c r="P3372">
        <v>125</v>
      </c>
      <c r="Q3372" t="s">
        <v>43</v>
      </c>
      <c r="R3372">
        <v>-1000</v>
      </c>
      <c r="S3372">
        <v>0</v>
      </c>
      <c r="T3372">
        <v>-40</v>
      </c>
      <c r="U3372">
        <v>-40</v>
      </c>
      <c r="V3372">
        <v>-3000</v>
      </c>
      <c r="W3372">
        <v>38</v>
      </c>
      <c r="X3372">
        <v>38</v>
      </c>
      <c r="Y3372">
        <v>1</v>
      </c>
      <c r="Z3372">
        <v>8</v>
      </c>
      <c r="AA3372">
        <v>34</v>
      </c>
      <c r="AB3372">
        <v>2</v>
      </c>
      <c r="AC3372">
        <v>3</v>
      </c>
      <c r="AD3372">
        <v>3.4869999900000002</v>
      </c>
      <c r="AE3372">
        <v>4</v>
      </c>
      <c r="AF3372">
        <v>17</v>
      </c>
      <c r="AG3372">
        <v>3.4549999200000001</v>
      </c>
      <c r="AH3372">
        <v>1</v>
      </c>
      <c r="AI3372">
        <v>38</v>
      </c>
      <c r="AJ3372">
        <v>1</v>
      </c>
      <c r="AK3372">
        <v>12</v>
      </c>
      <c r="AL3372">
        <v>48</v>
      </c>
      <c r="AM3372" t="s">
        <v>43</v>
      </c>
      <c r="AN3372" t="str">
        <f>HYPERLINK("https://www.google.com/maps?q=10.76358986,79.69313049","Open Location")</f>
        <v>Open Location</v>
      </c>
    </row>
    <row r="3373" spans="1:40" x14ac:dyDescent="0.3">
      <c r="A3373" s="1">
        <v>46210.609259259261</v>
      </c>
      <c r="B3373" t="s">
        <v>40</v>
      </c>
      <c r="C3373" t="s">
        <v>41</v>
      </c>
      <c r="D3373" s="1">
        <v>46210.612071759257</v>
      </c>
      <c r="E3373" t="s">
        <v>42</v>
      </c>
      <c r="F3373" t="s">
        <v>43</v>
      </c>
      <c r="G3373">
        <v>0</v>
      </c>
      <c r="H3373">
        <v>33107</v>
      </c>
      <c r="I3373" t="s">
        <v>1987</v>
      </c>
      <c r="J3373">
        <v>96</v>
      </c>
      <c r="K3373">
        <v>-277</v>
      </c>
      <c r="L3373">
        <v>98</v>
      </c>
      <c r="M3373">
        <v>666</v>
      </c>
      <c r="N3373" t="s">
        <v>1956</v>
      </c>
      <c r="O3373" t="s">
        <v>43</v>
      </c>
      <c r="P3373">
        <v>125</v>
      </c>
      <c r="Q3373" t="s">
        <v>43</v>
      </c>
      <c r="R3373">
        <v>-1000</v>
      </c>
      <c r="S3373">
        <v>0</v>
      </c>
      <c r="T3373">
        <v>-40</v>
      </c>
      <c r="U3373">
        <v>-40</v>
      </c>
      <c r="V3373">
        <v>-3000</v>
      </c>
      <c r="W3373">
        <v>38</v>
      </c>
      <c r="X3373">
        <v>38</v>
      </c>
      <c r="Y3373">
        <v>1</v>
      </c>
      <c r="Z3373">
        <v>8</v>
      </c>
      <c r="AA3373">
        <v>34</v>
      </c>
      <c r="AB3373">
        <v>2</v>
      </c>
      <c r="AC3373">
        <v>3</v>
      </c>
      <c r="AD3373">
        <v>3.4849999</v>
      </c>
      <c r="AE3373">
        <v>4</v>
      </c>
      <c r="AF3373">
        <v>17</v>
      </c>
      <c r="AG3373">
        <v>3.4540000000000002</v>
      </c>
      <c r="AH3373">
        <v>1</v>
      </c>
      <c r="AI3373">
        <v>38</v>
      </c>
      <c r="AJ3373">
        <v>1</v>
      </c>
      <c r="AK3373">
        <v>12</v>
      </c>
      <c r="AL3373">
        <v>48</v>
      </c>
      <c r="AM3373" t="s">
        <v>43</v>
      </c>
      <c r="AN3373" t="str">
        <f>HYPERLINK("https://www.google.com/maps?q=10.76359081,79.69313049","Open Location")</f>
        <v>Open Location</v>
      </c>
    </row>
    <row r="3374" spans="1:40" x14ac:dyDescent="0.3">
      <c r="A3374" s="1">
        <v>46210.609143518515</v>
      </c>
      <c r="B3374" t="s">
        <v>40</v>
      </c>
      <c r="C3374" t="s">
        <v>41</v>
      </c>
      <c r="D3374" s="1">
        <v>46210.612037037034</v>
      </c>
      <c r="E3374" t="s">
        <v>42</v>
      </c>
      <c r="F3374" t="s">
        <v>43</v>
      </c>
      <c r="G3374">
        <v>0</v>
      </c>
      <c r="H3374" t="s">
        <v>43</v>
      </c>
      <c r="I3374" t="s">
        <v>1988</v>
      </c>
      <c r="J3374">
        <v>96</v>
      </c>
      <c r="K3374">
        <v>-279</v>
      </c>
      <c r="L3374">
        <v>98</v>
      </c>
      <c r="M3374">
        <v>665.90002441000001</v>
      </c>
      <c r="N3374" t="s">
        <v>1956</v>
      </c>
      <c r="O3374" t="s">
        <v>43</v>
      </c>
      <c r="P3374">
        <v>125</v>
      </c>
      <c r="Q3374" t="s">
        <v>43</v>
      </c>
      <c r="R3374">
        <v>-1000</v>
      </c>
      <c r="S3374">
        <v>0</v>
      </c>
      <c r="T3374">
        <v>-40</v>
      </c>
      <c r="U3374">
        <v>-40</v>
      </c>
      <c r="V3374">
        <v>-3000</v>
      </c>
      <c r="W3374">
        <v>38</v>
      </c>
      <c r="X3374">
        <v>38</v>
      </c>
      <c r="Y3374">
        <v>1</v>
      </c>
      <c r="Z3374">
        <v>8</v>
      </c>
      <c r="AA3374">
        <v>34</v>
      </c>
      <c r="AB3374">
        <v>2</v>
      </c>
      <c r="AC3374">
        <v>3</v>
      </c>
      <c r="AD3374">
        <v>3.4830000399999999</v>
      </c>
      <c r="AE3374">
        <v>4</v>
      </c>
      <c r="AF3374">
        <v>17</v>
      </c>
      <c r="AG3374">
        <v>3.4519999000000001</v>
      </c>
      <c r="AH3374">
        <v>1</v>
      </c>
      <c r="AI3374">
        <v>38</v>
      </c>
      <c r="AJ3374">
        <v>1</v>
      </c>
      <c r="AK3374">
        <v>11</v>
      </c>
      <c r="AL3374">
        <v>48</v>
      </c>
      <c r="AM3374" t="s">
        <v>43</v>
      </c>
      <c r="AN3374" t="str">
        <f>HYPERLINK("https://www.google.com/maps?q=10.76359558,79.69312286","Open Location")</f>
        <v>Open Location</v>
      </c>
    </row>
    <row r="3375" spans="1:40" x14ac:dyDescent="0.3">
      <c r="A3375" s="1">
        <v>46210.609027777777</v>
      </c>
      <c r="B3375" t="s">
        <v>40</v>
      </c>
      <c r="C3375" t="s">
        <v>41</v>
      </c>
      <c r="D3375" s="1">
        <v>46210.61209490741</v>
      </c>
      <c r="E3375" t="s">
        <v>42</v>
      </c>
      <c r="F3375" t="s">
        <v>43</v>
      </c>
      <c r="G3375">
        <v>0</v>
      </c>
      <c r="H3375">
        <v>33107</v>
      </c>
      <c r="I3375" t="s">
        <v>1989</v>
      </c>
      <c r="J3375">
        <v>95</v>
      </c>
      <c r="K3375">
        <v>-280</v>
      </c>
      <c r="L3375">
        <v>98</v>
      </c>
      <c r="M3375">
        <v>665.5</v>
      </c>
      <c r="N3375" t="s">
        <v>1956</v>
      </c>
      <c r="O3375" t="s">
        <v>43</v>
      </c>
      <c r="P3375">
        <v>125</v>
      </c>
      <c r="Q3375" t="s">
        <v>43</v>
      </c>
      <c r="R3375">
        <v>-1000</v>
      </c>
      <c r="S3375">
        <v>0</v>
      </c>
      <c r="T3375">
        <v>-40</v>
      </c>
      <c r="U3375">
        <v>-40</v>
      </c>
      <c r="V3375">
        <v>-3000</v>
      </c>
      <c r="W3375">
        <v>38</v>
      </c>
      <c r="X3375">
        <v>38</v>
      </c>
      <c r="Y3375">
        <v>1</v>
      </c>
      <c r="Z3375">
        <v>8</v>
      </c>
      <c r="AA3375">
        <v>34</v>
      </c>
      <c r="AB3375">
        <v>2</v>
      </c>
      <c r="AC3375">
        <v>3</v>
      </c>
      <c r="AD3375">
        <v>3.4800000199999999</v>
      </c>
      <c r="AE3375">
        <v>4</v>
      </c>
      <c r="AF3375">
        <v>17</v>
      </c>
      <c r="AG3375">
        <v>3.4500000499999999</v>
      </c>
      <c r="AH3375">
        <v>5</v>
      </c>
      <c r="AI3375">
        <v>38</v>
      </c>
      <c r="AJ3375">
        <v>1</v>
      </c>
      <c r="AK3375">
        <v>12</v>
      </c>
      <c r="AL3375">
        <v>48</v>
      </c>
      <c r="AM3375" t="s">
        <v>43</v>
      </c>
      <c r="AN3375" t="str">
        <f>HYPERLINK("https://www.google.com/maps?q=10.7636013,79.69313049","Open Location")</f>
        <v>Open Location</v>
      </c>
    </row>
    <row r="3376" spans="1:40" x14ac:dyDescent="0.3">
      <c r="A3376" s="1">
        <v>46210.608912037038</v>
      </c>
      <c r="B3376" t="s">
        <v>40</v>
      </c>
      <c r="C3376" t="s">
        <v>41</v>
      </c>
      <c r="D3376" s="1">
        <v>46210.61209490741</v>
      </c>
      <c r="E3376" t="s">
        <v>42</v>
      </c>
      <c r="F3376" t="s">
        <v>43</v>
      </c>
      <c r="G3376">
        <v>0</v>
      </c>
      <c r="H3376">
        <v>33107</v>
      </c>
      <c r="I3376" t="s">
        <v>43</v>
      </c>
      <c r="J3376">
        <v>95</v>
      </c>
      <c r="K3376">
        <v>-278</v>
      </c>
      <c r="L3376">
        <v>98</v>
      </c>
      <c r="M3376">
        <v>665.20001220999995</v>
      </c>
      <c r="N3376" t="s">
        <v>1956</v>
      </c>
      <c r="O3376" t="s">
        <v>43</v>
      </c>
      <c r="P3376">
        <v>125</v>
      </c>
      <c r="Q3376" t="s">
        <v>43</v>
      </c>
      <c r="R3376">
        <v>-1000</v>
      </c>
      <c r="S3376">
        <v>0</v>
      </c>
      <c r="T3376">
        <v>-40</v>
      </c>
      <c r="U3376">
        <v>-40</v>
      </c>
      <c r="V3376">
        <v>-3000</v>
      </c>
      <c r="W3376">
        <v>38</v>
      </c>
      <c r="X3376">
        <v>38</v>
      </c>
      <c r="Y3376">
        <v>1</v>
      </c>
      <c r="Z3376">
        <v>8</v>
      </c>
      <c r="AA3376">
        <v>34</v>
      </c>
      <c r="AB3376">
        <v>2</v>
      </c>
      <c r="AC3376">
        <v>3</v>
      </c>
      <c r="AD3376">
        <v>3.47900009</v>
      </c>
      <c r="AE3376">
        <v>4</v>
      </c>
      <c r="AF3376">
        <v>17</v>
      </c>
      <c r="AG3376">
        <v>3.4500000499999999</v>
      </c>
      <c r="AH3376">
        <v>1</v>
      </c>
      <c r="AI3376">
        <v>38</v>
      </c>
      <c r="AJ3376">
        <v>1</v>
      </c>
      <c r="AK3376">
        <v>12</v>
      </c>
      <c r="AL3376">
        <v>48</v>
      </c>
      <c r="AM3376" t="s">
        <v>43</v>
      </c>
      <c r="AN3376" t="s">
        <v>43</v>
      </c>
    </row>
    <row r="3377" spans="1:40" x14ac:dyDescent="0.3">
      <c r="A3377" s="1">
        <v>46210.608796296299</v>
      </c>
      <c r="B3377" t="s">
        <v>40</v>
      </c>
      <c r="C3377" t="s">
        <v>41</v>
      </c>
      <c r="D3377" s="1">
        <v>46210.611956018518</v>
      </c>
      <c r="E3377" t="s">
        <v>42</v>
      </c>
      <c r="F3377" t="s">
        <v>43</v>
      </c>
      <c r="G3377">
        <v>0</v>
      </c>
      <c r="H3377">
        <v>33107</v>
      </c>
      <c r="I3377" t="s">
        <v>1990</v>
      </c>
      <c r="J3377">
        <v>95</v>
      </c>
      <c r="K3377">
        <v>-275</v>
      </c>
      <c r="L3377">
        <v>98</v>
      </c>
      <c r="M3377">
        <v>665.09997558999999</v>
      </c>
      <c r="N3377" t="s">
        <v>1956</v>
      </c>
      <c r="O3377" t="s">
        <v>43</v>
      </c>
      <c r="P3377">
        <v>125</v>
      </c>
      <c r="Q3377" t="s">
        <v>43</v>
      </c>
      <c r="R3377">
        <v>-1000</v>
      </c>
      <c r="S3377">
        <v>0</v>
      </c>
      <c r="T3377">
        <v>-40</v>
      </c>
      <c r="U3377">
        <v>-40</v>
      </c>
      <c r="V3377">
        <v>-3000</v>
      </c>
      <c r="W3377">
        <v>38</v>
      </c>
      <c r="X3377">
        <v>38</v>
      </c>
      <c r="Y3377">
        <v>1</v>
      </c>
      <c r="Z3377">
        <v>8</v>
      </c>
      <c r="AA3377">
        <v>34</v>
      </c>
      <c r="AB3377">
        <v>2</v>
      </c>
      <c r="AC3377">
        <v>3</v>
      </c>
      <c r="AD3377">
        <v>3.4779999300000002</v>
      </c>
      <c r="AE3377">
        <v>4</v>
      </c>
      <c r="AF3377">
        <v>17</v>
      </c>
      <c r="AG3377">
        <v>3.4489998800000001</v>
      </c>
      <c r="AH3377">
        <v>1</v>
      </c>
      <c r="AI3377">
        <v>38</v>
      </c>
      <c r="AJ3377">
        <v>1</v>
      </c>
      <c r="AK3377">
        <v>12</v>
      </c>
      <c r="AL3377">
        <v>48</v>
      </c>
      <c r="AM3377" t="s">
        <v>43</v>
      </c>
      <c r="AN3377" t="str">
        <f>HYPERLINK("https://www.google.com/maps?q=10.76359844,79.69313812","Open Location")</f>
        <v>Open Location</v>
      </c>
    </row>
    <row r="3378" spans="1:40" x14ac:dyDescent="0.3">
      <c r="A3378" s="1">
        <v>46210.608680555553</v>
      </c>
      <c r="B3378" t="s">
        <v>40</v>
      </c>
      <c r="C3378" t="s">
        <v>41</v>
      </c>
      <c r="D3378" s="1">
        <v>46210.611689814818</v>
      </c>
      <c r="E3378" t="s">
        <v>42</v>
      </c>
      <c r="F3378" t="s">
        <v>43</v>
      </c>
      <c r="G3378">
        <v>0</v>
      </c>
      <c r="H3378">
        <v>33107</v>
      </c>
      <c r="I3378" t="s">
        <v>1991</v>
      </c>
      <c r="J3378">
        <v>95</v>
      </c>
      <c r="K3378">
        <v>-280</v>
      </c>
      <c r="L3378">
        <v>98</v>
      </c>
      <c r="M3378">
        <v>664.90002441000001</v>
      </c>
      <c r="N3378" t="s">
        <v>1956</v>
      </c>
      <c r="O3378" t="s">
        <v>43</v>
      </c>
      <c r="P3378">
        <v>125</v>
      </c>
      <c r="Q3378" t="s">
        <v>43</v>
      </c>
      <c r="R3378">
        <v>-1000</v>
      </c>
      <c r="S3378">
        <v>0</v>
      </c>
      <c r="T3378">
        <v>-40</v>
      </c>
      <c r="U3378">
        <v>-40</v>
      </c>
      <c r="V3378">
        <v>-3000</v>
      </c>
      <c r="W3378">
        <v>38</v>
      </c>
      <c r="X3378">
        <v>38</v>
      </c>
      <c r="Y3378">
        <v>1</v>
      </c>
      <c r="Z3378">
        <v>8</v>
      </c>
      <c r="AA3378">
        <v>34</v>
      </c>
      <c r="AB3378">
        <v>2</v>
      </c>
      <c r="AC3378">
        <v>3</v>
      </c>
      <c r="AD3378">
        <v>3.4769999999999999</v>
      </c>
      <c r="AE3378">
        <v>4</v>
      </c>
      <c r="AF3378">
        <v>17</v>
      </c>
      <c r="AG3378">
        <v>3.4479999499999998</v>
      </c>
      <c r="AH3378">
        <v>1</v>
      </c>
      <c r="AI3378">
        <v>38</v>
      </c>
      <c r="AJ3378">
        <v>1</v>
      </c>
      <c r="AK3378">
        <v>12</v>
      </c>
      <c r="AL3378">
        <v>48</v>
      </c>
      <c r="AM3378" t="s">
        <v>43</v>
      </c>
      <c r="AN3378" t="str">
        <f>HYPERLINK("https://www.google.com/maps?q=10.76359272,79.69313812","Open Location")</f>
        <v>Open Location</v>
      </c>
    </row>
    <row r="3379" spans="1:40" x14ac:dyDescent="0.3">
      <c r="A3379" s="1">
        <v>46210.608564814815</v>
      </c>
      <c r="B3379" t="s">
        <v>40</v>
      </c>
      <c r="C3379" t="s">
        <v>41</v>
      </c>
      <c r="D3379" s="1">
        <v>46210.611284722225</v>
      </c>
      <c r="E3379" t="s">
        <v>42</v>
      </c>
      <c r="F3379" t="s">
        <v>43</v>
      </c>
      <c r="G3379">
        <v>0</v>
      </c>
      <c r="H3379">
        <v>33107</v>
      </c>
      <c r="I3379" t="s">
        <v>1992</v>
      </c>
      <c r="J3379">
        <v>95</v>
      </c>
      <c r="K3379">
        <v>-280</v>
      </c>
      <c r="L3379">
        <v>98</v>
      </c>
      <c r="M3379">
        <v>664.59997558999999</v>
      </c>
      <c r="N3379" t="s">
        <v>1956</v>
      </c>
      <c r="O3379" t="s">
        <v>43</v>
      </c>
      <c r="P3379">
        <v>125</v>
      </c>
      <c r="Q3379" t="s">
        <v>43</v>
      </c>
      <c r="R3379">
        <v>-1000</v>
      </c>
      <c r="S3379">
        <v>0</v>
      </c>
      <c r="T3379">
        <v>-40</v>
      </c>
      <c r="U3379">
        <v>-40</v>
      </c>
      <c r="V3379">
        <v>-3000</v>
      </c>
      <c r="W3379">
        <v>38</v>
      </c>
      <c r="X3379">
        <v>38</v>
      </c>
      <c r="Y3379">
        <v>1</v>
      </c>
      <c r="Z3379">
        <v>8</v>
      </c>
      <c r="AA3379">
        <v>34</v>
      </c>
      <c r="AB3379">
        <v>2</v>
      </c>
      <c r="AC3379">
        <v>3</v>
      </c>
      <c r="AD3379">
        <v>3.4749998999999998</v>
      </c>
      <c r="AE3379">
        <v>4</v>
      </c>
      <c r="AF3379">
        <v>17</v>
      </c>
      <c r="AG3379">
        <v>3.4470000299999999</v>
      </c>
      <c r="AH3379">
        <v>1</v>
      </c>
      <c r="AI3379">
        <v>38</v>
      </c>
      <c r="AJ3379">
        <v>1</v>
      </c>
      <c r="AK3379">
        <v>12</v>
      </c>
      <c r="AL3379">
        <v>48</v>
      </c>
      <c r="AM3379" t="s">
        <v>43</v>
      </c>
      <c r="AN3379" t="str">
        <f>HYPERLINK("https://www.google.com/maps?q=10.76359367,79.69313812","Open Location")</f>
        <v>Open Location</v>
      </c>
    </row>
    <row r="3380" spans="1:40" x14ac:dyDescent="0.3">
      <c r="A3380" s="1">
        <v>46210.608449074076</v>
      </c>
      <c r="B3380" t="s">
        <v>40</v>
      </c>
      <c r="C3380" t="s">
        <v>41</v>
      </c>
      <c r="D3380" s="1">
        <v>46210.611284722225</v>
      </c>
      <c r="E3380" t="s">
        <v>42</v>
      </c>
      <c r="F3380" t="s">
        <v>43</v>
      </c>
      <c r="G3380">
        <v>0</v>
      </c>
      <c r="H3380">
        <v>33107</v>
      </c>
      <c r="I3380" t="s">
        <v>1993</v>
      </c>
      <c r="J3380">
        <v>95</v>
      </c>
      <c r="K3380">
        <v>-276</v>
      </c>
      <c r="L3380">
        <v>98</v>
      </c>
      <c r="M3380">
        <v>664.20001220999995</v>
      </c>
      <c r="N3380" t="s">
        <v>1956</v>
      </c>
      <c r="O3380" t="s">
        <v>43</v>
      </c>
      <c r="P3380">
        <v>125</v>
      </c>
      <c r="Q3380" t="s">
        <v>43</v>
      </c>
      <c r="R3380">
        <v>-1000</v>
      </c>
      <c r="S3380">
        <v>0</v>
      </c>
      <c r="T3380">
        <v>-40</v>
      </c>
      <c r="U3380">
        <v>-40</v>
      </c>
      <c r="V3380">
        <v>-3000</v>
      </c>
      <c r="W3380">
        <v>38</v>
      </c>
      <c r="X3380">
        <v>38</v>
      </c>
      <c r="Y3380">
        <v>1</v>
      </c>
      <c r="Z3380">
        <v>8</v>
      </c>
      <c r="AA3380">
        <v>34</v>
      </c>
      <c r="AB3380">
        <v>2</v>
      </c>
      <c r="AC3380">
        <v>3</v>
      </c>
      <c r="AD3380">
        <v>3.47300005</v>
      </c>
      <c r="AE3380">
        <v>4</v>
      </c>
      <c r="AF3380">
        <v>17</v>
      </c>
      <c r="AG3380">
        <v>3.4449999299999998</v>
      </c>
      <c r="AH3380">
        <v>1</v>
      </c>
      <c r="AI3380">
        <v>38</v>
      </c>
      <c r="AJ3380">
        <v>1</v>
      </c>
      <c r="AK3380">
        <v>12</v>
      </c>
      <c r="AL3380">
        <v>48</v>
      </c>
      <c r="AM3380" t="s">
        <v>43</v>
      </c>
      <c r="AN3380" t="str">
        <f>HYPERLINK("https://www.google.com/maps?q=10.76358891,79.69313049","Open Location")</f>
        <v>Open Location</v>
      </c>
    </row>
    <row r="3381" spans="1:40" x14ac:dyDescent="0.3">
      <c r="A3381" s="1">
        <v>46210.60833333333</v>
      </c>
      <c r="B3381" t="s">
        <v>40</v>
      </c>
      <c r="C3381" t="s">
        <v>41</v>
      </c>
      <c r="D3381" s="1">
        <v>46210.611087962963</v>
      </c>
      <c r="E3381" t="s">
        <v>42</v>
      </c>
      <c r="F3381" t="s">
        <v>43</v>
      </c>
      <c r="G3381">
        <v>0</v>
      </c>
      <c r="H3381">
        <v>33107</v>
      </c>
      <c r="I3381" t="s">
        <v>1994</v>
      </c>
      <c r="J3381">
        <v>94</v>
      </c>
      <c r="K3381">
        <v>-280</v>
      </c>
      <c r="L3381">
        <v>98</v>
      </c>
      <c r="M3381">
        <v>664.09997558999999</v>
      </c>
      <c r="N3381" t="s">
        <v>1956</v>
      </c>
      <c r="O3381" t="s">
        <v>43</v>
      </c>
      <c r="P3381">
        <v>125</v>
      </c>
      <c r="Q3381" t="s">
        <v>43</v>
      </c>
      <c r="R3381">
        <v>-1000</v>
      </c>
      <c r="S3381">
        <v>0</v>
      </c>
      <c r="T3381">
        <v>-40</v>
      </c>
      <c r="U3381">
        <v>-40</v>
      </c>
      <c r="V3381">
        <v>-3000</v>
      </c>
      <c r="W3381">
        <v>38</v>
      </c>
      <c r="X3381">
        <v>38</v>
      </c>
      <c r="Y3381">
        <v>1</v>
      </c>
      <c r="Z3381">
        <v>8</v>
      </c>
      <c r="AA3381">
        <v>34</v>
      </c>
      <c r="AB3381">
        <v>2</v>
      </c>
      <c r="AC3381">
        <v>3</v>
      </c>
      <c r="AD3381">
        <v>3.47300005</v>
      </c>
      <c r="AE3381">
        <v>4</v>
      </c>
      <c r="AF3381">
        <v>17</v>
      </c>
      <c r="AG3381">
        <v>3.4449999299999998</v>
      </c>
      <c r="AH3381">
        <v>1</v>
      </c>
      <c r="AI3381">
        <v>38</v>
      </c>
      <c r="AJ3381">
        <v>1</v>
      </c>
      <c r="AK3381">
        <v>12</v>
      </c>
      <c r="AL3381">
        <v>48</v>
      </c>
      <c r="AM3381" t="s">
        <v>43</v>
      </c>
      <c r="AN3381" t="str">
        <f>HYPERLINK("https://www.google.com/maps?q=10.76358414,79.69312286","Open Location")</f>
        <v>Open Location</v>
      </c>
    </row>
    <row r="3382" spans="1:40" x14ac:dyDescent="0.3">
      <c r="A3382" s="1">
        <v>46210.608217592591</v>
      </c>
      <c r="B3382" t="s">
        <v>40</v>
      </c>
      <c r="C3382" t="s">
        <v>41</v>
      </c>
      <c r="D3382" s="1">
        <v>46210.611030092594</v>
      </c>
      <c r="E3382" t="s">
        <v>42</v>
      </c>
      <c r="F3382" t="s">
        <v>43</v>
      </c>
      <c r="G3382">
        <v>0</v>
      </c>
      <c r="H3382" t="s">
        <v>43</v>
      </c>
      <c r="I3382" t="s">
        <v>43</v>
      </c>
      <c r="J3382">
        <v>94</v>
      </c>
      <c r="K3382">
        <v>-277</v>
      </c>
      <c r="L3382">
        <v>98</v>
      </c>
      <c r="M3382">
        <v>663.70001220999995</v>
      </c>
      <c r="N3382" t="s">
        <v>1956</v>
      </c>
      <c r="O3382" t="s">
        <v>43</v>
      </c>
      <c r="P3382">
        <v>125</v>
      </c>
      <c r="Q3382" t="s">
        <v>43</v>
      </c>
      <c r="R3382">
        <v>-1000</v>
      </c>
      <c r="S3382">
        <v>0</v>
      </c>
      <c r="T3382">
        <v>-40</v>
      </c>
      <c r="U3382">
        <v>-40</v>
      </c>
      <c r="V3382">
        <v>-3000</v>
      </c>
      <c r="W3382">
        <v>38</v>
      </c>
      <c r="X3382">
        <v>38</v>
      </c>
      <c r="Y3382">
        <v>1</v>
      </c>
      <c r="Z3382">
        <v>8</v>
      </c>
      <c r="AA3382">
        <v>34</v>
      </c>
      <c r="AB3382">
        <v>2</v>
      </c>
      <c r="AC3382">
        <v>3</v>
      </c>
      <c r="AD3382">
        <v>3.4709999599999999</v>
      </c>
      <c r="AE3382">
        <v>4</v>
      </c>
      <c r="AF3382">
        <v>17</v>
      </c>
      <c r="AG3382">
        <v>3.4440000099999999</v>
      </c>
      <c r="AH3382">
        <v>1</v>
      </c>
      <c r="AI3382">
        <v>38</v>
      </c>
      <c r="AJ3382">
        <v>1</v>
      </c>
      <c r="AK3382">
        <v>12</v>
      </c>
      <c r="AL3382">
        <v>48</v>
      </c>
      <c r="AM3382" t="s">
        <v>43</v>
      </c>
      <c r="AN3382" t="s">
        <v>43</v>
      </c>
    </row>
    <row r="3383" spans="1:40" x14ac:dyDescent="0.3">
      <c r="A3383" s="1">
        <v>46210.608101851853</v>
      </c>
      <c r="B3383" t="s">
        <v>40</v>
      </c>
      <c r="C3383" t="s">
        <v>41</v>
      </c>
      <c r="D3383" s="1">
        <v>46210.611076388886</v>
      </c>
      <c r="E3383" t="s">
        <v>42</v>
      </c>
      <c r="F3383" t="s">
        <v>43</v>
      </c>
      <c r="G3383">
        <v>0</v>
      </c>
      <c r="H3383">
        <v>33107</v>
      </c>
      <c r="I3383" t="s">
        <v>1995</v>
      </c>
      <c r="J3383">
        <v>94</v>
      </c>
      <c r="K3383">
        <v>-280</v>
      </c>
      <c r="L3383">
        <v>98</v>
      </c>
      <c r="M3383">
        <v>663.79998779000005</v>
      </c>
      <c r="N3383" t="s">
        <v>1956</v>
      </c>
      <c r="O3383" t="s">
        <v>43</v>
      </c>
      <c r="P3383">
        <v>125</v>
      </c>
      <c r="Q3383" t="s">
        <v>43</v>
      </c>
      <c r="R3383">
        <v>-1000</v>
      </c>
      <c r="S3383">
        <v>0</v>
      </c>
      <c r="T3383">
        <v>-40</v>
      </c>
      <c r="U3383">
        <v>-40</v>
      </c>
      <c r="V3383">
        <v>-3000</v>
      </c>
      <c r="W3383">
        <v>38</v>
      </c>
      <c r="X3383">
        <v>38</v>
      </c>
      <c r="Y3383">
        <v>1</v>
      </c>
      <c r="Z3383">
        <v>8</v>
      </c>
      <c r="AA3383">
        <v>34</v>
      </c>
      <c r="AB3383">
        <v>2</v>
      </c>
      <c r="AC3383">
        <v>3</v>
      </c>
      <c r="AD3383">
        <v>3.4709999599999999</v>
      </c>
      <c r="AE3383">
        <v>4</v>
      </c>
      <c r="AF3383">
        <v>17</v>
      </c>
      <c r="AG3383">
        <v>3.4440000099999999</v>
      </c>
      <c r="AH3383">
        <v>1</v>
      </c>
      <c r="AI3383">
        <v>38</v>
      </c>
      <c r="AJ3383">
        <v>1</v>
      </c>
      <c r="AK3383">
        <v>12</v>
      </c>
      <c r="AL3383">
        <v>48</v>
      </c>
      <c r="AM3383" t="s">
        <v>43</v>
      </c>
      <c r="AN3383" t="str">
        <f>HYPERLINK("https://www.google.com/maps?q=10.76358509,79.69312286","Open Location")</f>
        <v>Open Location</v>
      </c>
    </row>
    <row r="3384" spans="1:40" x14ac:dyDescent="0.3">
      <c r="A3384" s="1">
        <v>46210.607986111114</v>
      </c>
      <c r="B3384" t="s">
        <v>40</v>
      </c>
      <c r="C3384" t="s">
        <v>41</v>
      </c>
      <c r="D3384" s="1">
        <v>46210.610810185186</v>
      </c>
      <c r="E3384" t="s">
        <v>42</v>
      </c>
      <c r="F3384" t="s">
        <v>43</v>
      </c>
      <c r="G3384">
        <v>0</v>
      </c>
      <c r="H3384">
        <v>33107</v>
      </c>
      <c r="I3384" t="s">
        <v>1996</v>
      </c>
      <c r="J3384">
        <v>94</v>
      </c>
      <c r="K3384">
        <v>-281</v>
      </c>
      <c r="L3384">
        <v>98</v>
      </c>
      <c r="M3384">
        <v>663.5</v>
      </c>
      <c r="N3384" t="s">
        <v>1956</v>
      </c>
      <c r="O3384" t="s">
        <v>43</v>
      </c>
      <c r="P3384">
        <v>125</v>
      </c>
      <c r="Q3384" t="s">
        <v>43</v>
      </c>
      <c r="R3384">
        <v>-1000</v>
      </c>
      <c r="S3384">
        <v>0</v>
      </c>
      <c r="T3384">
        <v>-40</v>
      </c>
      <c r="U3384">
        <v>-40</v>
      </c>
      <c r="V3384">
        <v>-3000</v>
      </c>
      <c r="W3384">
        <v>38</v>
      </c>
      <c r="X3384">
        <v>38</v>
      </c>
      <c r="Y3384">
        <v>1</v>
      </c>
      <c r="Z3384">
        <v>8</v>
      </c>
      <c r="AA3384">
        <v>34</v>
      </c>
      <c r="AB3384">
        <v>2</v>
      </c>
      <c r="AC3384">
        <v>3</v>
      </c>
      <c r="AD3384">
        <v>3.47000003</v>
      </c>
      <c r="AE3384">
        <v>4</v>
      </c>
      <c r="AF3384">
        <v>17</v>
      </c>
      <c r="AG3384">
        <v>3.44300008</v>
      </c>
      <c r="AH3384">
        <v>1</v>
      </c>
      <c r="AI3384">
        <v>38</v>
      </c>
      <c r="AJ3384">
        <v>1</v>
      </c>
      <c r="AK3384">
        <v>12</v>
      </c>
      <c r="AL3384">
        <v>48</v>
      </c>
      <c r="AM3384" t="s">
        <v>43</v>
      </c>
      <c r="AN3384" t="str">
        <f>HYPERLINK("https://www.google.com/maps?q=10.76358986,79.69312286","Open Location")</f>
        <v>Open Location</v>
      </c>
    </row>
    <row r="3385" spans="1:40" x14ac:dyDescent="0.3">
      <c r="A3385" s="1">
        <v>46210.607870370368</v>
      </c>
      <c r="B3385" t="s">
        <v>40</v>
      </c>
      <c r="C3385" t="s">
        <v>41</v>
      </c>
      <c r="D3385" s="1">
        <v>46210.610682870371</v>
      </c>
      <c r="E3385" t="s">
        <v>42</v>
      </c>
      <c r="F3385" t="s">
        <v>43</v>
      </c>
      <c r="G3385">
        <v>0</v>
      </c>
      <c r="H3385">
        <v>33107</v>
      </c>
      <c r="I3385" t="s">
        <v>1997</v>
      </c>
      <c r="J3385">
        <v>94</v>
      </c>
      <c r="K3385">
        <v>-281</v>
      </c>
      <c r="L3385">
        <v>98</v>
      </c>
      <c r="M3385">
        <v>663.29998779000005</v>
      </c>
      <c r="N3385" t="s">
        <v>1956</v>
      </c>
      <c r="O3385" t="s">
        <v>43</v>
      </c>
      <c r="P3385">
        <v>125</v>
      </c>
      <c r="Q3385" t="s">
        <v>43</v>
      </c>
      <c r="R3385">
        <v>-1000</v>
      </c>
      <c r="S3385">
        <v>0</v>
      </c>
      <c r="T3385">
        <v>-40</v>
      </c>
      <c r="U3385">
        <v>-40</v>
      </c>
      <c r="V3385">
        <v>-3000</v>
      </c>
      <c r="W3385">
        <v>38</v>
      </c>
      <c r="X3385">
        <v>38</v>
      </c>
      <c r="Y3385">
        <v>1</v>
      </c>
      <c r="Z3385">
        <v>8</v>
      </c>
      <c r="AA3385">
        <v>34</v>
      </c>
      <c r="AB3385">
        <v>2</v>
      </c>
      <c r="AC3385">
        <v>3</v>
      </c>
      <c r="AD3385">
        <v>3.4679999399999999</v>
      </c>
      <c r="AE3385">
        <v>4</v>
      </c>
      <c r="AF3385">
        <v>17</v>
      </c>
      <c r="AG3385">
        <v>3.4419999099999998</v>
      </c>
      <c r="AH3385">
        <v>1</v>
      </c>
      <c r="AI3385">
        <v>38</v>
      </c>
      <c r="AJ3385">
        <v>1</v>
      </c>
      <c r="AK3385">
        <v>11</v>
      </c>
      <c r="AL3385">
        <v>48</v>
      </c>
      <c r="AM3385" t="s">
        <v>43</v>
      </c>
      <c r="AN3385" t="str">
        <f>HYPERLINK("https://www.google.com/maps?q=10.76358986,79.69311523","Open Location")</f>
        <v>Open Location</v>
      </c>
    </row>
    <row r="3386" spans="1:40" x14ac:dyDescent="0.3">
      <c r="A3386" s="1">
        <v>46210.607754629629</v>
      </c>
      <c r="B3386" t="s">
        <v>40</v>
      </c>
      <c r="C3386" t="s">
        <v>41</v>
      </c>
      <c r="D3386" s="1">
        <v>46210.610752314817</v>
      </c>
      <c r="E3386" t="s">
        <v>42</v>
      </c>
      <c r="F3386" t="s">
        <v>43</v>
      </c>
      <c r="G3386">
        <v>0</v>
      </c>
      <c r="H3386">
        <v>33107</v>
      </c>
      <c r="I3386" t="s">
        <v>1998</v>
      </c>
      <c r="J3386">
        <v>94</v>
      </c>
      <c r="K3386">
        <v>-281</v>
      </c>
      <c r="L3386">
        <v>98</v>
      </c>
      <c r="M3386">
        <v>663.09997558999999</v>
      </c>
      <c r="N3386" t="s">
        <v>1956</v>
      </c>
      <c r="O3386" t="s">
        <v>43</v>
      </c>
      <c r="P3386">
        <v>125</v>
      </c>
      <c r="Q3386" t="s">
        <v>43</v>
      </c>
      <c r="R3386">
        <v>-1000</v>
      </c>
      <c r="S3386">
        <v>0</v>
      </c>
      <c r="T3386">
        <v>-40</v>
      </c>
      <c r="U3386">
        <v>-40</v>
      </c>
      <c r="V3386">
        <v>-3000</v>
      </c>
      <c r="W3386">
        <v>38</v>
      </c>
      <c r="X3386">
        <v>38</v>
      </c>
      <c r="Y3386">
        <v>1</v>
      </c>
      <c r="Z3386">
        <v>8</v>
      </c>
      <c r="AA3386">
        <v>34</v>
      </c>
      <c r="AB3386">
        <v>2</v>
      </c>
      <c r="AC3386">
        <v>3</v>
      </c>
      <c r="AD3386">
        <v>3.46700001</v>
      </c>
      <c r="AE3386">
        <v>4</v>
      </c>
      <c r="AF3386">
        <v>17</v>
      </c>
      <c r="AG3386">
        <v>3.44099998</v>
      </c>
      <c r="AH3386">
        <v>1</v>
      </c>
      <c r="AI3386">
        <v>42</v>
      </c>
      <c r="AJ3386">
        <v>1</v>
      </c>
      <c r="AK3386">
        <v>12</v>
      </c>
      <c r="AL3386">
        <v>48</v>
      </c>
      <c r="AM3386" t="s">
        <v>43</v>
      </c>
      <c r="AN3386" t="str">
        <f>HYPERLINK("https://www.google.com/maps?q=10.76358891,79.69311523","Open Location")</f>
        <v>Open Location</v>
      </c>
    </row>
    <row r="3387" spans="1:40" x14ac:dyDescent="0.3">
      <c r="A3387" s="1">
        <v>46210.607638888891</v>
      </c>
      <c r="B3387" t="s">
        <v>40</v>
      </c>
      <c r="C3387" t="s">
        <v>41</v>
      </c>
      <c r="D3387" s="1">
        <v>46210.610393518517</v>
      </c>
      <c r="E3387" t="s">
        <v>42</v>
      </c>
      <c r="F3387" t="s">
        <v>43</v>
      </c>
      <c r="G3387">
        <v>0</v>
      </c>
      <c r="H3387">
        <v>33107</v>
      </c>
      <c r="I3387" t="s">
        <v>1999</v>
      </c>
      <c r="J3387">
        <v>93</v>
      </c>
      <c r="K3387">
        <v>-281</v>
      </c>
      <c r="L3387">
        <v>98</v>
      </c>
      <c r="M3387">
        <v>663.09997558999999</v>
      </c>
      <c r="N3387" t="s">
        <v>1956</v>
      </c>
      <c r="O3387" t="s">
        <v>43</v>
      </c>
      <c r="P3387">
        <v>125</v>
      </c>
      <c r="Q3387" t="s">
        <v>43</v>
      </c>
      <c r="R3387">
        <v>-1000</v>
      </c>
      <c r="S3387">
        <v>0</v>
      </c>
      <c r="T3387">
        <v>-40</v>
      </c>
      <c r="U3387">
        <v>-40</v>
      </c>
      <c r="V3387">
        <v>-3000</v>
      </c>
      <c r="W3387">
        <v>38</v>
      </c>
      <c r="X3387">
        <v>38</v>
      </c>
      <c r="Y3387">
        <v>1</v>
      </c>
      <c r="Z3387">
        <v>8</v>
      </c>
      <c r="AA3387">
        <v>34</v>
      </c>
      <c r="AB3387">
        <v>2</v>
      </c>
      <c r="AC3387">
        <v>3</v>
      </c>
      <c r="AD3387">
        <v>3.4660000800000001</v>
      </c>
      <c r="AE3387">
        <v>4</v>
      </c>
      <c r="AF3387">
        <v>17</v>
      </c>
      <c r="AG3387">
        <v>3.44000006</v>
      </c>
      <c r="AH3387">
        <v>1</v>
      </c>
      <c r="AI3387">
        <v>38</v>
      </c>
      <c r="AJ3387">
        <v>1</v>
      </c>
      <c r="AK3387">
        <v>12</v>
      </c>
      <c r="AL3387">
        <v>48</v>
      </c>
      <c r="AM3387" t="s">
        <v>43</v>
      </c>
      <c r="AN3387" t="str">
        <f>HYPERLINK("https://www.google.com/maps?q=10.76359177,79.6931076","Open Location")</f>
        <v>Open Location</v>
      </c>
    </row>
    <row r="3388" spans="1:40" x14ac:dyDescent="0.3">
      <c r="A3388" s="1">
        <v>46210.607523148145</v>
      </c>
      <c r="B3388" t="s">
        <v>40</v>
      </c>
      <c r="C3388" t="s">
        <v>41</v>
      </c>
      <c r="D3388" s="1">
        <v>46210.610474537039</v>
      </c>
      <c r="E3388" t="s">
        <v>42</v>
      </c>
      <c r="F3388" t="s">
        <v>43</v>
      </c>
      <c r="G3388">
        <v>0</v>
      </c>
      <c r="H3388">
        <v>33107</v>
      </c>
      <c r="I3388" t="s">
        <v>43</v>
      </c>
      <c r="J3388">
        <v>93</v>
      </c>
      <c r="K3388">
        <v>-279</v>
      </c>
      <c r="L3388">
        <v>98</v>
      </c>
      <c r="M3388">
        <v>662.70001220999995</v>
      </c>
      <c r="N3388" t="s">
        <v>1956</v>
      </c>
      <c r="O3388" t="s">
        <v>43</v>
      </c>
      <c r="P3388">
        <v>125</v>
      </c>
      <c r="Q3388" t="s">
        <v>43</v>
      </c>
      <c r="R3388">
        <v>-1000</v>
      </c>
      <c r="S3388">
        <v>0</v>
      </c>
      <c r="T3388">
        <v>-40</v>
      </c>
      <c r="U3388">
        <v>-40</v>
      </c>
      <c r="V3388">
        <v>-3000</v>
      </c>
      <c r="W3388">
        <v>38</v>
      </c>
      <c r="X3388">
        <v>38</v>
      </c>
      <c r="Y3388">
        <v>1</v>
      </c>
      <c r="Z3388">
        <v>8</v>
      </c>
      <c r="AA3388">
        <v>34</v>
      </c>
      <c r="AB3388">
        <v>2</v>
      </c>
      <c r="AC3388">
        <v>3</v>
      </c>
      <c r="AD3388">
        <v>3.46499991</v>
      </c>
      <c r="AE3388">
        <v>4</v>
      </c>
      <c r="AF3388">
        <v>17</v>
      </c>
      <c r="AG3388">
        <v>3.4389998899999998</v>
      </c>
      <c r="AH3388">
        <v>1</v>
      </c>
      <c r="AI3388">
        <v>42</v>
      </c>
      <c r="AJ3388">
        <v>1</v>
      </c>
      <c r="AK3388">
        <v>12</v>
      </c>
      <c r="AL3388">
        <v>48</v>
      </c>
      <c r="AM3388" t="s">
        <v>43</v>
      </c>
      <c r="AN3388" t="s">
        <v>43</v>
      </c>
    </row>
    <row r="3389" spans="1:40" x14ac:dyDescent="0.3">
      <c r="A3389" s="1">
        <v>46210.607407407406</v>
      </c>
      <c r="B3389" t="s">
        <v>40</v>
      </c>
      <c r="C3389" t="s">
        <v>41</v>
      </c>
      <c r="D3389" s="1">
        <v>46210.610266203701</v>
      </c>
      <c r="E3389" t="s">
        <v>42</v>
      </c>
      <c r="F3389" t="s">
        <v>43</v>
      </c>
      <c r="G3389">
        <v>0</v>
      </c>
      <c r="H3389" t="s">
        <v>43</v>
      </c>
      <c r="I3389" t="s">
        <v>2000</v>
      </c>
      <c r="J3389">
        <v>93</v>
      </c>
      <c r="K3389">
        <v>-279</v>
      </c>
      <c r="L3389">
        <v>98</v>
      </c>
      <c r="M3389">
        <v>662.70001220999995</v>
      </c>
      <c r="N3389" t="s">
        <v>1956</v>
      </c>
      <c r="O3389" t="s">
        <v>43</v>
      </c>
      <c r="P3389">
        <v>125</v>
      </c>
      <c r="Q3389" t="s">
        <v>43</v>
      </c>
      <c r="R3389">
        <v>-1000</v>
      </c>
      <c r="S3389">
        <v>0</v>
      </c>
      <c r="T3389">
        <v>-40</v>
      </c>
      <c r="U3389">
        <v>-40</v>
      </c>
      <c r="V3389">
        <v>-3000</v>
      </c>
      <c r="W3389">
        <v>38</v>
      </c>
      <c r="X3389">
        <v>38</v>
      </c>
      <c r="Y3389">
        <v>1</v>
      </c>
      <c r="Z3389">
        <v>8</v>
      </c>
      <c r="AA3389">
        <v>34</v>
      </c>
      <c r="AB3389">
        <v>2</v>
      </c>
      <c r="AC3389">
        <v>6</v>
      </c>
      <c r="AD3389">
        <v>3.46399999</v>
      </c>
      <c r="AE3389">
        <v>4</v>
      </c>
      <c r="AF3389">
        <v>17</v>
      </c>
      <c r="AG3389">
        <v>3.4389998899999998</v>
      </c>
      <c r="AH3389">
        <v>1</v>
      </c>
      <c r="AI3389">
        <v>38</v>
      </c>
      <c r="AJ3389">
        <v>1</v>
      </c>
      <c r="AK3389">
        <v>12</v>
      </c>
      <c r="AL3389">
        <v>48</v>
      </c>
      <c r="AM3389" t="s">
        <v>43</v>
      </c>
      <c r="AN3389" t="str">
        <f>HYPERLINK("https://www.google.com/maps?q=10.763587,79.6931076","Open Location")</f>
        <v>Open Location</v>
      </c>
    </row>
    <row r="3390" spans="1:40" x14ac:dyDescent="0.3">
      <c r="A3390" s="1">
        <v>46210.607291666667</v>
      </c>
      <c r="B3390" t="s">
        <v>40</v>
      </c>
      <c r="C3390" t="s">
        <v>41</v>
      </c>
      <c r="D3390" s="1">
        <v>46210.610451388886</v>
      </c>
      <c r="E3390" t="s">
        <v>42</v>
      </c>
      <c r="F3390" t="s">
        <v>43</v>
      </c>
      <c r="G3390">
        <v>0</v>
      </c>
      <c r="H3390">
        <v>33107</v>
      </c>
      <c r="I3390" t="s">
        <v>2000</v>
      </c>
      <c r="J3390">
        <v>93</v>
      </c>
      <c r="K3390">
        <v>-281</v>
      </c>
      <c r="L3390">
        <v>98</v>
      </c>
      <c r="M3390">
        <v>662.79998779000005</v>
      </c>
      <c r="N3390" t="s">
        <v>1956</v>
      </c>
      <c r="O3390" t="s">
        <v>43</v>
      </c>
      <c r="P3390">
        <v>125</v>
      </c>
      <c r="Q3390" t="s">
        <v>43</v>
      </c>
      <c r="R3390">
        <v>-1000</v>
      </c>
      <c r="S3390">
        <v>0</v>
      </c>
      <c r="T3390">
        <v>-40</v>
      </c>
      <c r="U3390">
        <v>-40</v>
      </c>
      <c r="V3390">
        <v>-3000</v>
      </c>
      <c r="W3390">
        <v>38</v>
      </c>
      <c r="X3390">
        <v>38</v>
      </c>
      <c r="Y3390">
        <v>1</v>
      </c>
      <c r="Z3390">
        <v>8</v>
      </c>
      <c r="AA3390">
        <v>34</v>
      </c>
      <c r="AB3390">
        <v>2</v>
      </c>
      <c r="AC3390">
        <v>6</v>
      </c>
      <c r="AD3390">
        <v>3.46499991</v>
      </c>
      <c r="AE3390">
        <v>4</v>
      </c>
      <c r="AF3390">
        <v>17</v>
      </c>
      <c r="AG3390">
        <v>3.4389998899999998</v>
      </c>
      <c r="AH3390">
        <v>1</v>
      </c>
      <c r="AI3390">
        <v>42</v>
      </c>
      <c r="AJ3390">
        <v>1</v>
      </c>
      <c r="AK3390">
        <v>12</v>
      </c>
      <c r="AL3390">
        <v>48</v>
      </c>
      <c r="AM3390" t="s">
        <v>43</v>
      </c>
      <c r="AN3390" t="str">
        <f>HYPERLINK("https://www.google.com/maps?q=10.763587,79.6931076","Open Location")</f>
        <v>Open Location</v>
      </c>
    </row>
    <row r="3391" spans="1:40" x14ac:dyDescent="0.3">
      <c r="A3391" s="1">
        <v>46210.607175925928</v>
      </c>
      <c r="B3391" t="s">
        <v>40</v>
      </c>
      <c r="C3391" t="s">
        <v>41</v>
      </c>
      <c r="D3391" s="1">
        <v>46210.610034722224</v>
      </c>
      <c r="E3391" t="s">
        <v>42</v>
      </c>
      <c r="F3391" t="s">
        <v>43</v>
      </c>
      <c r="G3391">
        <v>0</v>
      </c>
      <c r="H3391">
        <v>33107</v>
      </c>
      <c r="I3391" t="s">
        <v>2000</v>
      </c>
      <c r="J3391">
        <v>93</v>
      </c>
      <c r="K3391">
        <v>-278</v>
      </c>
      <c r="L3391">
        <v>98</v>
      </c>
      <c r="M3391">
        <v>662.59997558999999</v>
      </c>
      <c r="N3391" t="s">
        <v>1956</v>
      </c>
      <c r="O3391" t="s">
        <v>43</v>
      </c>
      <c r="P3391">
        <v>125</v>
      </c>
      <c r="Q3391" t="s">
        <v>43</v>
      </c>
      <c r="R3391">
        <v>-1000</v>
      </c>
      <c r="S3391">
        <v>0</v>
      </c>
      <c r="T3391">
        <v>-40</v>
      </c>
      <c r="U3391">
        <v>-40</v>
      </c>
      <c r="V3391">
        <v>-3000</v>
      </c>
      <c r="W3391">
        <v>38</v>
      </c>
      <c r="X3391">
        <v>38</v>
      </c>
      <c r="Y3391">
        <v>1</v>
      </c>
      <c r="Z3391">
        <v>8</v>
      </c>
      <c r="AA3391">
        <v>34</v>
      </c>
      <c r="AB3391">
        <v>2</v>
      </c>
      <c r="AC3391">
        <v>6</v>
      </c>
      <c r="AD3391">
        <v>3.46399999</v>
      </c>
      <c r="AE3391">
        <v>4</v>
      </c>
      <c r="AF3391">
        <v>17</v>
      </c>
      <c r="AG3391">
        <v>3.4389998899999998</v>
      </c>
      <c r="AH3391">
        <v>1</v>
      </c>
      <c r="AI3391">
        <v>38</v>
      </c>
      <c r="AJ3391">
        <v>1</v>
      </c>
      <c r="AK3391">
        <v>12</v>
      </c>
      <c r="AL3391">
        <v>48</v>
      </c>
      <c r="AM3391" t="s">
        <v>43</v>
      </c>
      <c r="AN3391" t="str">
        <f>HYPERLINK("https://www.google.com/maps?q=10.763587,79.6931076","Open Location")</f>
        <v>Open Location</v>
      </c>
    </row>
    <row r="3392" spans="1:40" x14ac:dyDescent="0.3">
      <c r="A3392" s="1">
        <v>46210.607060185182</v>
      </c>
      <c r="B3392" t="s">
        <v>40</v>
      </c>
      <c r="C3392" t="s">
        <v>41</v>
      </c>
      <c r="D3392" s="1">
        <v>46210.610254629632</v>
      </c>
      <c r="E3392" t="s">
        <v>42</v>
      </c>
      <c r="F3392" t="s">
        <v>43</v>
      </c>
      <c r="G3392">
        <v>0</v>
      </c>
      <c r="H3392">
        <v>33107</v>
      </c>
      <c r="I3392" t="s">
        <v>2001</v>
      </c>
      <c r="J3392">
        <v>93</v>
      </c>
      <c r="K3392">
        <v>-278</v>
      </c>
      <c r="L3392">
        <v>98</v>
      </c>
      <c r="M3392">
        <v>662.70001220999995</v>
      </c>
      <c r="N3392" t="s">
        <v>1956</v>
      </c>
      <c r="O3392" t="s">
        <v>43</v>
      </c>
      <c r="P3392">
        <v>125</v>
      </c>
      <c r="Q3392" t="s">
        <v>43</v>
      </c>
      <c r="R3392">
        <v>-1000</v>
      </c>
      <c r="S3392">
        <v>0</v>
      </c>
      <c r="T3392">
        <v>-40</v>
      </c>
      <c r="U3392">
        <v>-40</v>
      </c>
      <c r="V3392">
        <v>-3000</v>
      </c>
      <c r="W3392">
        <v>38</v>
      </c>
      <c r="X3392">
        <v>38</v>
      </c>
      <c r="Y3392">
        <v>1</v>
      </c>
      <c r="Z3392">
        <v>8</v>
      </c>
      <c r="AA3392">
        <v>34</v>
      </c>
      <c r="AB3392">
        <v>2</v>
      </c>
      <c r="AC3392">
        <v>6</v>
      </c>
      <c r="AD3392">
        <v>3.46399999</v>
      </c>
      <c r="AE3392">
        <v>4</v>
      </c>
      <c r="AF3392">
        <v>17</v>
      </c>
      <c r="AG3392">
        <v>3.4389998899999998</v>
      </c>
      <c r="AH3392">
        <v>1</v>
      </c>
      <c r="AI3392">
        <v>38</v>
      </c>
      <c r="AJ3392">
        <v>1</v>
      </c>
      <c r="AK3392">
        <v>12</v>
      </c>
      <c r="AL3392">
        <v>48</v>
      </c>
      <c r="AM3392" t="s">
        <v>43</v>
      </c>
      <c r="AN3392" t="str">
        <f>HYPERLINK("https://www.google.com/maps?q=10.76358986,79.69309235","Open Location")</f>
        <v>Open Location</v>
      </c>
    </row>
    <row r="3393" spans="1:40" x14ac:dyDescent="0.3">
      <c r="A3393" s="1">
        <v>46210.606944444444</v>
      </c>
      <c r="B3393" t="s">
        <v>40</v>
      </c>
      <c r="C3393" t="s">
        <v>41</v>
      </c>
      <c r="D3393" s="1">
        <v>46210.609537037039</v>
      </c>
      <c r="E3393" t="s">
        <v>42</v>
      </c>
      <c r="F3393" t="s">
        <v>43</v>
      </c>
      <c r="G3393">
        <v>0</v>
      </c>
      <c r="H3393" t="s">
        <v>43</v>
      </c>
      <c r="I3393" t="s">
        <v>2002</v>
      </c>
      <c r="J3393">
        <v>92</v>
      </c>
      <c r="K3393">
        <v>-278</v>
      </c>
      <c r="L3393">
        <v>98</v>
      </c>
      <c r="M3393">
        <v>662.79998779000005</v>
      </c>
      <c r="N3393" t="s">
        <v>1956</v>
      </c>
      <c r="O3393" t="s">
        <v>43</v>
      </c>
      <c r="P3393">
        <v>125</v>
      </c>
      <c r="Q3393" t="s">
        <v>43</v>
      </c>
      <c r="R3393">
        <v>-1000</v>
      </c>
      <c r="S3393">
        <v>0</v>
      </c>
      <c r="T3393">
        <v>-40</v>
      </c>
      <c r="U3393">
        <v>-40</v>
      </c>
      <c r="V3393">
        <v>-3000</v>
      </c>
      <c r="W3393">
        <v>38</v>
      </c>
      <c r="X3393">
        <v>38</v>
      </c>
      <c r="Y3393">
        <v>1</v>
      </c>
      <c r="Z3393">
        <v>8</v>
      </c>
      <c r="AA3393">
        <v>34</v>
      </c>
      <c r="AB3393">
        <v>2</v>
      </c>
      <c r="AC3393">
        <v>6</v>
      </c>
      <c r="AD3393">
        <v>3.46399999</v>
      </c>
      <c r="AE3393">
        <v>4</v>
      </c>
      <c r="AF3393">
        <v>17</v>
      </c>
      <c r="AG3393">
        <v>3.4389998899999998</v>
      </c>
      <c r="AH3393">
        <v>1</v>
      </c>
      <c r="AI3393">
        <v>42</v>
      </c>
      <c r="AJ3393">
        <v>1</v>
      </c>
      <c r="AK3393">
        <v>12</v>
      </c>
      <c r="AL3393">
        <v>48</v>
      </c>
      <c r="AM3393" t="s">
        <v>43</v>
      </c>
      <c r="AN3393" t="str">
        <f>HYPERLINK("https://www.google.com/maps?q=10.76359558,79.69308472","Open Location")</f>
        <v>Open Location</v>
      </c>
    </row>
    <row r="3394" spans="1:40" x14ac:dyDescent="0.3">
      <c r="A3394" s="1">
        <v>46210.606828703705</v>
      </c>
      <c r="B3394" t="s">
        <v>40</v>
      </c>
      <c r="C3394" t="s">
        <v>41</v>
      </c>
      <c r="D3394" s="1">
        <v>46210.609618055554</v>
      </c>
      <c r="E3394" t="s">
        <v>42</v>
      </c>
      <c r="F3394" t="s">
        <v>43</v>
      </c>
      <c r="G3394">
        <v>0</v>
      </c>
      <c r="H3394">
        <v>33107</v>
      </c>
      <c r="I3394" t="s">
        <v>43</v>
      </c>
      <c r="J3394">
        <v>92</v>
      </c>
      <c r="K3394">
        <v>-279</v>
      </c>
      <c r="L3394">
        <v>98</v>
      </c>
      <c r="M3394">
        <v>662.5</v>
      </c>
      <c r="N3394" t="s">
        <v>1956</v>
      </c>
      <c r="O3394" t="s">
        <v>43</v>
      </c>
      <c r="P3394">
        <v>125</v>
      </c>
      <c r="Q3394" t="s">
        <v>43</v>
      </c>
      <c r="R3394">
        <v>-1000</v>
      </c>
      <c r="S3394">
        <v>0</v>
      </c>
      <c r="T3394">
        <v>-40</v>
      </c>
      <c r="U3394">
        <v>-40</v>
      </c>
      <c r="V3394">
        <v>-3000</v>
      </c>
      <c r="W3394">
        <v>38</v>
      </c>
      <c r="X3394">
        <v>38</v>
      </c>
      <c r="Y3394">
        <v>1</v>
      </c>
      <c r="Z3394">
        <v>8</v>
      </c>
      <c r="AA3394">
        <v>34</v>
      </c>
      <c r="AB3394">
        <v>2</v>
      </c>
      <c r="AC3394">
        <v>3</v>
      </c>
      <c r="AD3394">
        <v>3.46499991</v>
      </c>
      <c r="AE3394">
        <v>4</v>
      </c>
      <c r="AF3394">
        <v>17</v>
      </c>
      <c r="AG3394">
        <v>3.44000006</v>
      </c>
      <c r="AH3394">
        <v>1</v>
      </c>
      <c r="AI3394">
        <v>42</v>
      </c>
      <c r="AJ3394">
        <v>1</v>
      </c>
      <c r="AK3394">
        <v>12</v>
      </c>
      <c r="AL3394">
        <v>48</v>
      </c>
      <c r="AM3394" t="s">
        <v>43</v>
      </c>
      <c r="AN3394" t="s">
        <v>43</v>
      </c>
    </row>
    <row r="3395" spans="1:40" x14ac:dyDescent="0.3">
      <c r="A3395" s="1">
        <v>46210.606712962966</v>
      </c>
      <c r="B3395" t="s">
        <v>40</v>
      </c>
      <c r="C3395" t="s">
        <v>41</v>
      </c>
      <c r="D3395" s="1">
        <v>46210.609618055554</v>
      </c>
      <c r="E3395" t="s">
        <v>42</v>
      </c>
      <c r="F3395" t="s">
        <v>43</v>
      </c>
      <c r="G3395">
        <v>0</v>
      </c>
      <c r="H3395">
        <v>33107</v>
      </c>
      <c r="I3395" t="s">
        <v>2003</v>
      </c>
      <c r="J3395">
        <v>92</v>
      </c>
      <c r="K3395">
        <v>-278</v>
      </c>
      <c r="L3395">
        <v>98</v>
      </c>
      <c r="M3395">
        <v>662.79998779000005</v>
      </c>
      <c r="N3395" t="s">
        <v>1956</v>
      </c>
      <c r="O3395" t="s">
        <v>43</v>
      </c>
      <c r="P3395">
        <v>125</v>
      </c>
      <c r="Q3395" t="s">
        <v>43</v>
      </c>
      <c r="R3395">
        <v>-1000</v>
      </c>
      <c r="S3395">
        <v>0</v>
      </c>
      <c r="T3395">
        <v>-40</v>
      </c>
      <c r="U3395">
        <v>-40</v>
      </c>
      <c r="V3395">
        <v>-3000</v>
      </c>
      <c r="W3395">
        <v>38</v>
      </c>
      <c r="X3395">
        <v>38</v>
      </c>
      <c r="Y3395">
        <v>1</v>
      </c>
      <c r="Z3395">
        <v>8</v>
      </c>
      <c r="AA3395">
        <v>34</v>
      </c>
      <c r="AB3395">
        <v>2</v>
      </c>
      <c r="AC3395">
        <v>3</v>
      </c>
      <c r="AD3395">
        <v>3.4709999599999999</v>
      </c>
      <c r="AE3395">
        <v>4</v>
      </c>
      <c r="AF3395">
        <v>17</v>
      </c>
      <c r="AG3395">
        <v>3.4449999299999998</v>
      </c>
      <c r="AH3395">
        <v>1</v>
      </c>
      <c r="AI3395">
        <v>38</v>
      </c>
      <c r="AJ3395">
        <v>1</v>
      </c>
      <c r="AK3395">
        <v>11</v>
      </c>
      <c r="AL3395">
        <v>48</v>
      </c>
      <c r="AM3395" t="s">
        <v>43</v>
      </c>
      <c r="AN3395" t="str">
        <f>HYPERLINK("https://www.google.com/maps?q=10.76359844,79.69307709","Open Location")</f>
        <v>Open Location</v>
      </c>
    </row>
    <row r="3396" spans="1:40" x14ac:dyDescent="0.3">
      <c r="A3396" s="1">
        <v>46210.60659722222</v>
      </c>
      <c r="B3396" t="s">
        <v>40</v>
      </c>
      <c r="C3396" t="s">
        <v>41</v>
      </c>
      <c r="D3396" s="1">
        <v>46210.609525462962</v>
      </c>
      <c r="E3396" t="s">
        <v>42</v>
      </c>
      <c r="F3396" t="s">
        <v>43</v>
      </c>
      <c r="G3396">
        <v>0</v>
      </c>
      <c r="H3396">
        <v>33107</v>
      </c>
      <c r="I3396" t="s">
        <v>2004</v>
      </c>
      <c r="J3396">
        <v>92</v>
      </c>
      <c r="K3396">
        <v>-312</v>
      </c>
      <c r="L3396">
        <v>98</v>
      </c>
      <c r="M3396">
        <v>664</v>
      </c>
      <c r="N3396" t="s">
        <v>1956</v>
      </c>
      <c r="O3396" t="s">
        <v>43</v>
      </c>
      <c r="P3396">
        <v>125</v>
      </c>
      <c r="Q3396" t="s">
        <v>43</v>
      </c>
      <c r="R3396">
        <v>-1000</v>
      </c>
      <c r="S3396">
        <v>0</v>
      </c>
      <c r="T3396">
        <v>-40</v>
      </c>
      <c r="U3396">
        <v>-40</v>
      </c>
      <c r="V3396">
        <v>-3000</v>
      </c>
      <c r="W3396">
        <v>38</v>
      </c>
      <c r="X3396">
        <v>38</v>
      </c>
      <c r="Y3396">
        <v>1</v>
      </c>
      <c r="Z3396">
        <v>8</v>
      </c>
      <c r="AA3396">
        <v>34</v>
      </c>
      <c r="AB3396">
        <v>2</v>
      </c>
      <c r="AC3396">
        <v>3</v>
      </c>
      <c r="AD3396">
        <v>3.47000003</v>
      </c>
      <c r="AE3396">
        <v>4</v>
      </c>
      <c r="AF3396">
        <v>17</v>
      </c>
      <c r="AG3396">
        <v>3.4440000099999999</v>
      </c>
      <c r="AH3396">
        <v>1</v>
      </c>
      <c r="AI3396">
        <v>42</v>
      </c>
      <c r="AJ3396">
        <v>1</v>
      </c>
      <c r="AK3396">
        <v>11</v>
      </c>
      <c r="AL3396">
        <v>48</v>
      </c>
      <c r="AM3396" t="s">
        <v>43</v>
      </c>
      <c r="AN3396" t="str">
        <f>HYPERLINK("https://www.google.com/maps?q=10.76358986,79.69308472","Open Location")</f>
        <v>Open Location</v>
      </c>
    </row>
    <row r="3397" spans="1:40" x14ac:dyDescent="0.3">
      <c r="A3397" s="1">
        <v>46210.606481481482</v>
      </c>
      <c r="B3397" t="s">
        <v>40</v>
      </c>
      <c r="C3397" t="s">
        <v>41</v>
      </c>
      <c r="D3397" s="1">
        <v>46210.609398148146</v>
      </c>
      <c r="E3397" t="s">
        <v>42</v>
      </c>
      <c r="F3397" t="s">
        <v>43</v>
      </c>
      <c r="G3397">
        <v>0</v>
      </c>
      <c r="H3397">
        <v>33107</v>
      </c>
      <c r="I3397" t="s">
        <v>2005</v>
      </c>
      <c r="J3397">
        <v>92</v>
      </c>
      <c r="K3397">
        <v>-313</v>
      </c>
      <c r="L3397">
        <v>98</v>
      </c>
      <c r="M3397">
        <v>664</v>
      </c>
      <c r="N3397" t="s">
        <v>1956</v>
      </c>
      <c r="O3397" t="s">
        <v>43</v>
      </c>
      <c r="P3397">
        <v>125</v>
      </c>
      <c r="Q3397" t="s">
        <v>43</v>
      </c>
      <c r="R3397">
        <v>-1000</v>
      </c>
      <c r="S3397">
        <v>0</v>
      </c>
      <c r="T3397">
        <v>-40</v>
      </c>
      <c r="U3397">
        <v>-40</v>
      </c>
      <c r="V3397">
        <v>-3000</v>
      </c>
      <c r="W3397">
        <v>38</v>
      </c>
      <c r="X3397">
        <v>38</v>
      </c>
      <c r="Y3397">
        <v>1</v>
      </c>
      <c r="Z3397">
        <v>8</v>
      </c>
      <c r="AA3397">
        <v>34</v>
      </c>
      <c r="AB3397">
        <v>2</v>
      </c>
      <c r="AC3397">
        <v>3</v>
      </c>
      <c r="AD3397">
        <v>3.47000003</v>
      </c>
      <c r="AE3397">
        <v>4</v>
      </c>
      <c r="AF3397">
        <v>17</v>
      </c>
      <c r="AG3397">
        <v>3.4440000099999999</v>
      </c>
      <c r="AH3397">
        <v>1</v>
      </c>
      <c r="AI3397">
        <v>42</v>
      </c>
      <c r="AJ3397">
        <v>1</v>
      </c>
      <c r="AK3397">
        <v>11</v>
      </c>
      <c r="AL3397">
        <v>48</v>
      </c>
      <c r="AM3397" t="s">
        <v>43</v>
      </c>
      <c r="AN3397" t="str">
        <f>HYPERLINK("https://www.google.com/maps?q=10.76359367,79.69307709","Open Location")</f>
        <v>Open Location</v>
      </c>
    </row>
    <row r="3398" spans="1:40" x14ac:dyDescent="0.3">
      <c r="A3398" s="1">
        <v>46210.606365740743</v>
      </c>
      <c r="B3398" t="s">
        <v>40</v>
      </c>
      <c r="C3398" t="s">
        <v>41</v>
      </c>
      <c r="D3398" s="1">
        <v>46210.609363425923</v>
      </c>
      <c r="E3398" t="s">
        <v>42</v>
      </c>
      <c r="F3398" t="s">
        <v>43</v>
      </c>
      <c r="G3398">
        <v>0</v>
      </c>
      <c r="H3398">
        <v>33107</v>
      </c>
      <c r="I3398" t="s">
        <v>2006</v>
      </c>
      <c r="J3398">
        <v>91</v>
      </c>
      <c r="K3398">
        <v>-314</v>
      </c>
      <c r="L3398">
        <v>98</v>
      </c>
      <c r="M3398">
        <v>663.90002441000001</v>
      </c>
      <c r="N3398" t="s">
        <v>1956</v>
      </c>
      <c r="O3398" t="s">
        <v>43</v>
      </c>
      <c r="P3398">
        <v>125</v>
      </c>
      <c r="Q3398" t="s">
        <v>43</v>
      </c>
      <c r="R3398">
        <v>-1000</v>
      </c>
      <c r="S3398">
        <v>0</v>
      </c>
      <c r="T3398">
        <v>-40</v>
      </c>
      <c r="U3398">
        <v>-40</v>
      </c>
      <c r="V3398">
        <v>-3000</v>
      </c>
      <c r="W3398">
        <v>38</v>
      </c>
      <c r="X3398">
        <v>38</v>
      </c>
      <c r="Y3398">
        <v>1</v>
      </c>
      <c r="Z3398">
        <v>8</v>
      </c>
      <c r="AA3398">
        <v>34</v>
      </c>
      <c r="AB3398">
        <v>2</v>
      </c>
      <c r="AC3398">
        <v>1</v>
      </c>
      <c r="AD3398">
        <v>3.4690001000000001</v>
      </c>
      <c r="AE3398">
        <v>4</v>
      </c>
      <c r="AF3398">
        <v>17</v>
      </c>
      <c r="AG3398">
        <v>3.44300008</v>
      </c>
      <c r="AH3398">
        <v>1</v>
      </c>
      <c r="AI3398">
        <v>42</v>
      </c>
      <c r="AJ3398">
        <v>1</v>
      </c>
      <c r="AK3398">
        <v>11</v>
      </c>
      <c r="AL3398">
        <v>48</v>
      </c>
      <c r="AM3398" t="s">
        <v>43</v>
      </c>
      <c r="AN3398" t="str">
        <f>HYPERLINK("https://www.google.com/maps?q=10.76358223,79.69309235","Open Location")</f>
        <v>Open Location</v>
      </c>
    </row>
    <row r="3399" spans="1:40" x14ac:dyDescent="0.3">
      <c r="A3399" s="1">
        <v>46210.606249999997</v>
      </c>
      <c r="B3399" t="s">
        <v>40</v>
      </c>
      <c r="C3399" t="s">
        <v>41</v>
      </c>
      <c r="D3399" s="1">
        <v>46210.609050925923</v>
      </c>
      <c r="E3399" t="s">
        <v>42</v>
      </c>
      <c r="F3399" t="s">
        <v>43</v>
      </c>
      <c r="G3399">
        <v>0</v>
      </c>
      <c r="H3399">
        <v>33107</v>
      </c>
      <c r="I3399" t="s">
        <v>43</v>
      </c>
      <c r="J3399">
        <v>91</v>
      </c>
      <c r="K3399">
        <v>-316</v>
      </c>
      <c r="L3399">
        <v>98</v>
      </c>
      <c r="M3399">
        <v>663.59997558999999</v>
      </c>
      <c r="N3399" t="s">
        <v>1956</v>
      </c>
      <c r="O3399" t="s">
        <v>43</v>
      </c>
      <c r="P3399">
        <v>125</v>
      </c>
      <c r="Q3399" t="s">
        <v>43</v>
      </c>
      <c r="R3399">
        <v>-1000</v>
      </c>
      <c r="S3399">
        <v>0</v>
      </c>
      <c r="T3399">
        <v>-40</v>
      </c>
      <c r="U3399">
        <v>-40</v>
      </c>
      <c r="V3399">
        <v>-3000</v>
      </c>
      <c r="W3399">
        <v>38</v>
      </c>
      <c r="X3399">
        <v>38</v>
      </c>
      <c r="Y3399">
        <v>1</v>
      </c>
      <c r="Z3399">
        <v>8</v>
      </c>
      <c r="AA3399">
        <v>34</v>
      </c>
      <c r="AB3399">
        <v>2</v>
      </c>
      <c r="AC3399">
        <v>1</v>
      </c>
      <c r="AD3399">
        <v>3.46700001</v>
      </c>
      <c r="AE3399">
        <v>4</v>
      </c>
      <c r="AF3399">
        <v>17</v>
      </c>
      <c r="AG3399">
        <v>3.4419999099999998</v>
      </c>
      <c r="AH3399">
        <v>1</v>
      </c>
      <c r="AI3399">
        <v>38</v>
      </c>
      <c r="AJ3399">
        <v>1</v>
      </c>
      <c r="AK3399">
        <v>11</v>
      </c>
      <c r="AL3399">
        <v>48</v>
      </c>
      <c r="AM3399" t="s">
        <v>43</v>
      </c>
      <c r="AN3399" t="s">
        <v>43</v>
      </c>
    </row>
    <row r="3400" spans="1:40" x14ac:dyDescent="0.3">
      <c r="A3400" s="1">
        <v>46210.606134259258</v>
      </c>
      <c r="B3400" t="s">
        <v>40</v>
      </c>
      <c r="C3400" t="s">
        <v>41</v>
      </c>
      <c r="D3400" s="1">
        <v>46210.609097222223</v>
      </c>
      <c r="E3400" t="s">
        <v>42</v>
      </c>
      <c r="F3400" t="s">
        <v>43</v>
      </c>
      <c r="G3400">
        <v>0</v>
      </c>
      <c r="H3400">
        <v>33107</v>
      </c>
      <c r="I3400" t="s">
        <v>2006</v>
      </c>
      <c r="J3400">
        <v>91</v>
      </c>
      <c r="K3400">
        <v>-316</v>
      </c>
      <c r="L3400">
        <v>98</v>
      </c>
      <c r="M3400">
        <v>663.40002441000001</v>
      </c>
      <c r="N3400" t="s">
        <v>1956</v>
      </c>
      <c r="O3400" t="s">
        <v>43</v>
      </c>
      <c r="P3400">
        <v>125</v>
      </c>
      <c r="Q3400" t="s">
        <v>43</v>
      </c>
      <c r="R3400">
        <v>-1000</v>
      </c>
      <c r="S3400">
        <v>0</v>
      </c>
      <c r="T3400">
        <v>-40</v>
      </c>
      <c r="U3400">
        <v>-40</v>
      </c>
      <c r="V3400">
        <v>-3000</v>
      </c>
      <c r="W3400" t="s">
        <v>43</v>
      </c>
      <c r="X3400" t="s">
        <v>43</v>
      </c>
      <c r="Y3400" t="s">
        <v>43</v>
      </c>
      <c r="Z3400" t="s">
        <v>43</v>
      </c>
      <c r="AA3400" t="s">
        <v>43</v>
      </c>
      <c r="AB3400" t="s">
        <v>43</v>
      </c>
      <c r="AC3400" t="s">
        <v>43</v>
      </c>
      <c r="AD3400" t="s">
        <v>43</v>
      </c>
      <c r="AE3400" t="s">
        <v>43</v>
      </c>
      <c r="AF3400" t="s">
        <v>43</v>
      </c>
      <c r="AG3400" t="s">
        <v>43</v>
      </c>
      <c r="AH3400" t="s">
        <v>43</v>
      </c>
      <c r="AI3400" t="s">
        <v>43</v>
      </c>
      <c r="AJ3400">
        <v>1</v>
      </c>
      <c r="AK3400">
        <v>11</v>
      </c>
      <c r="AL3400">
        <v>48</v>
      </c>
      <c r="AM3400" t="s">
        <v>43</v>
      </c>
      <c r="AN3400" t="str">
        <f>HYPERLINK("https://www.google.com/maps?q=10.76358223,79.69309235","Open Location")</f>
        <v>Open Location</v>
      </c>
    </row>
    <row r="3401" spans="1:40" x14ac:dyDescent="0.3">
      <c r="A3401" s="1">
        <v>46210.60601851852</v>
      </c>
      <c r="B3401" t="s">
        <v>40</v>
      </c>
      <c r="C3401" t="s">
        <v>41</v>
      </c>
      <c r="D3401" s="1">
        <v>46210.608958333331</v>
      </c>
      <c r="E3401" t="s">
        <v>42</v>
      </c>
      <c r="F3401" t="s">
        <v>43</v>
      </c>
      <c r="G3401">
        <v>0</v>
      </c>
      <c r="H3401">
        <v>33107</v>
      </c>
      <c r="I3401" t="s">
        <v>2007</v>
      </c>
      <c r="J3401">
        <v>91</v>
      </c>
      <c r="K3401">
        <v>-313</v>
      </c>
      <c r="L3401">
        <v>98</v>
      </c>
      <c r="M3401">
        <v>662.90002441000001</v>
      </c>
      <c r="N3401" t="s">
        <v>1956</v>
      </c>
      <c r="O3401" t="s">
        <v>43</v>
      </c>
      <c r="P3401">
        <v>125</v>
      </c>
      <c r="Q3401" t="s">
        <v>43</v>
      </c>
      <c r="R3401">
        <v>-1000</v>
      </c>
      <c r="S3401">
        <v>0</v>
      </c>
      <c r="T3401">
        <v>-40</v>
      </c>
      <c r="U3401">
        <v>-40</v>
      </c>
      <c r="V3401">
        <v>-3000</v>
      </c>
      <c r="W3401">
        <v>38</v>
      </c>
      <c r="X3401">
        <v>38</v>
      </c>
      <c r="Y3401">
        <v>1</v>
      </c>
      <c r="Z3401">
        <v>8</v>
      </c>
      <c r="AA3401">
        <v>34</v>
      </c>
      <c r="AB3401">
        <v>2</v>
      </c>
      <c r="AC3401">
        <v>1</v>
      </c>
      <c r="AD3401">
        <v>3.46399999</v>
      </c>
      <c r="AE3401">
        <v>4</v>
      </c>
      <c r="AF3401">
        <v>17</v>
      </c>
      <c r="AG3401">
        <v>3.4389998899999998</v>
      </c>
      <c r="AH3401">
        <v>1</v>
      </c>
      <c r="AI3401">
        <v>42</v>
      </c>
      <c r="AJ3401">
        <v>1</v>
      </c>
      <c r="AK3401">
        <v>11</v>
      </c>
      <c r="AL3401">
        <v>48</v>
      </c>
      <c r="AM3401" t="s">
        <v>43</v>
      </c>
      <c r="AN3401" t="str">
        <f>HYPERLINK("https://www.google.com/maps?q=10.76359272,79.69309235","Open Location")</f>
        <v>Open Location</v>
      </c>
    </row>
    <row r="3402" spans="1:40" x14ac:dyDescent="0.3">
      <c r="A3402" s="1">
        <v>46210.605902777781</v>
      </c>
      <c r="B3402" t="s">
        <v>40</v>
      </c>
      <c r="C3402" t="s">
        <v>41</v>
      </c>
      <c r="D3402" s="1">
        <v>46210.608912037038</v>
      </c>
      <c r="E3402" t="s">
        <v>42</v>
      </c>
      <c r="F3402" t="s">
        <v>43</v>
      </c>
      <c r="G3402">
        <v>0</v>
      </c>
      <c r="H3402" t="s">
        <v>43</v>
      </c>
      <c r="I3402" t="s">
        <v>2008</v>
      </c>
      <c r="J3402">
        <v>91</v>
      </c>
      <c r="K3402">
        <v>-281</v>
      </c>
      <c r="L3402">
        <v>98</v>
      </c>
      <c r="M3402">
        <v>661.40002441000001</v>
      </c>
      <c r="N3402" t="s">
        <v>1956</v>
      </c>
      <c r="O3402" t="s">
        <v>43</v>
      </c>
      <c r="P3402">
        <v>125</v>
      </c>
      <c r="Q3402" t="s">
        <v>43</v>
      </c>
      <c r="R3402">
        <v>-1000</v>
      </c>
      <c r="S3402">
        <v>0</v>
      </c>
      <c r="T3402">
        <v>-40</v>
      </c>
      <c r="U3402">
        <v>-40</v>
      </c>
      <c r="V3402">
        <v>-3000</v>
      </c>
      <c r="W3402">
        <v>38</v>
      </c>
      <c r="X3402">
        <v>38</v>
      </c>
      <c r="Y3402">
        <v>1</v>
      </c>
      <c r="Z3402">
        <v>8</v>
      </c>
      <c r="AA3402">
        <v>34</v>
      </c>
      <c r="AB3402">
        <v>2</v>
      </c>
      <c r="AC3402">
        <v>1</v>
      </c>
      <c r="AD3402">
        <v>3.4560000899999999</v>
      </c>
      <c r="AE3402">
        <v>4</v>
      </c>
      <c r="AF3402">
        <v>17</v>
      </c>
      <c r="AG3402">
        <v>3.4330000900000002</v>
      </c>
      <c r="AH3402">
        <v>1</v>
      </c>
      <c r="AI3402">
        <v>38</v>
      </c>
      <c r="AJ3402">
        <v>1</v>
      </c>
      <c r="AK3402">
        <v>11</v>
      </c>
      <c r="AL3402">
        <v>48</v>
      </c>
      <c r="AM3402" t="s">
        <v>43</v>
      </c>
      <c r="AN3402" t="str">
        <f>HYPERLINK("https://www.google.com/maps?q=10.76359653,79.69309235","Open Location")</f>
        <v>Open Location</v>
      </c>
    </row>
    <row r="3403" spans="1:40" x14ac:dyDescent="0.3">
      <c r="A3403" s="1">
        <v>46210.605787037035</v>
      </c>
      <c r="B3403" t="s">
        <v>40</v>
      </c>
      <c r="C3403" t="s">
        <v>41</v>
      </c>
      <c r="D3403" s="1">
        <v>46210.608576388891</v>
      </c>
      <c r="E3403" t="s">
        <v>42</v>
      </c>
      <c r="F3403" t="s">
        <v>43</v>
      </c>
      <c r="G3403">
        <v>0</v>
      </c>
      <c r="H3403">
        <v>33107</v>
      </c>
      <c r="I3403" t="s">
        <v>2009</v>
      </c>
      <c r="J3403">
        <v>91</v>
      </c>
      <c r="K3403">
        <v>-281</v>
      </c>
      <c r="L3403">
        <v>98</v>
      </c>
      <c r="M3403">
        <v>661.29998779000005</v>
      </c>
      <c r="N3403" t="s">
        <v>1956</v>
      </c>
      <c r="O3403" t="s">
        <v>43</v>
      </c>
      <c r="P3403">
        <v>125</v>
      </c>
      <c r="Q3403" t="s">
        <v>43</v>
      </c>
      <c r="R3403">
        <v>-1000</v>
      </c>
      <c r="S3403">
        <v>0</v>
      </c>
      <c r="T3403">
        <v>-40</v>
      </c>
      <c r="U3403">
        <v>-40</v>
      </c>
      <c r="V3403">
        <v>-3000</v>
      </c>
      <c r="W3403">
        <v>38</v>
      </c>
      <c r="X3403">
        <v>38</v>
      </c>
      <c r="Y3403">
        <v>1</v>
      </c>
      <c r="Z3403">
        <v>8</v>
      </c>
      <c r="AA3403">
        <v>34</v>
      </c>
      <c r="AB3403">
        <v>2</v>
      </c>
      <c r="AC3403">
        <v>1</v>
      </c>
      <c r="AD3403">
        <v>3.4549999200000001</v>
      </c>
      <c r="AE3403">
        <v>4</v>
      </c>
      <c r="AF3403">
        <v>17</v>
      </c>
      <c r="AG3403">
        <v>3.43199992</v>
      </c>
      <c r="AH3403">
        <v>1</v>
      </c>
      <c r="AI3403">
        <v>42</v>
      </c>
      <c r="AJ3403">
        <v>1</v>
      </c>
      <c r="AK3403">
        <v>11</v>
      </c>
      <c r="AL3403">
        <v>48</v>
      </c>
      <c r="AM3403" t="s">
        <v>43</v>
      </c>
      <c r="AN3403" t="str">
        <f>HYPERLINK("https://www.google.com/maps?q=10.76359272,79.6931076","Open Location")</f>
        <v>Open Location</v>
      </c>
    </row>
    <row r="3404" spans="1:40" x14ac:dyDescent="0.3">
      <c r="A3404" s="1">
        <v>46210.605671296296</v>
      </c>
      <c r="B3404" t="s">
        <v>40</v>
      </c>
      <c r="C3404" t="s">
        <v>41</v>
      </c>
      <c r="D3404" s="1">
        <v>46210.608946759261</v>
      </c>
      <c r="E3404" t="s">
        <v>42</v>
      </c>
      <c r="F3404" t="s">
        <v>43</v>
      </c>
      <c r="G3404">
        <v>0</v>
      </c>
      <c r="H3404">
        <v>33107</v>
      </c>
      <c r="I3404" t="s">
        <v>2010</v>
      </c>
      <c r="J3404">
        <v>90</v>
      </c>
      <c r="K3404">
        <v>-281</v>
      </c>
      <c r="L3404">
        <v>98</v>
      </c>
      <c r="M3404">
        <v>661.09997558999999</v>
      </c>
      <c r="N3404" t="s">
        <v>1956</v>
      </c>
      <c r="O3404" t="s">
        <v>43</v>
      </c>
      <c r="P3404">
        <v>125</v>
      </c>
      <c r="Q3404" t="s">
        <v>43</v>
      </c>
      <c r="R3404">
        <v>-1000</v>
      </c>
      <c r="S3404">
        <v>0</v>
      </c>
      <c r="T3404">
        <v>-40</v>
      </c>
      <c r="U3404">
        <v>-40</v>
      </c>
      <c r="V3404">
        <v>-3000</v>
      </c>
      <c r="W3404">
        <v>38</v>
      </c>
      <c r="X3404">
        <v>38</v>
      </c>
      <c r="Y3404">
        <v>1</v>
      </c>
      <c r="Z3404">
        <v>8</v>
      </c>
      <c r="AA3404">
        <v>34</v>
      </c>
      <c r="AB3404">
        <v>2</v>
      </c>
      <c r="AC3404">
        <v>1</v>
      </c>
      <c r="AD3404">
        <v>3.4549999200000001</v>
      </c>
      <c r="AE3404">
        <v>4</v>
      </c>
      <c r="AF3404">
        <v>17</v>
      </c>
      <c r="AG3404">
        <v>3.43199992</v>
      </c>
      <c r="AH3404">
        <v>1</v>
      </c>
      <c r="AI3404">
        <v>42</v>
      </c>
      <c r="AJ3404">
        <v>1</v>
      </c>
      <c r="AK3404">
        <v>11</v>
      </c>
      <c r="AL3404">
        <v>48</v>
      </c>
      <c r="AM3404" t="s">
        <v>43</v>
      </c>
      <c r="AN3404" t="str">
        <f>HYPERLINK("https://www.google.com/maps?q=10.76359081,79.69312286","Open Location")</f>
        <v>Open Location</v>
      </c>
    </row>
    <row r="3405" spans="1:40" x14ac:dyDescent="0.3">
      <c r="A3405" s="1">
        <v>46210.605555555558</v>
      </c>
      <c r="B3405" t="s">
        <v>40</v>
      </c>
      <c r="C3405" t="s">
        <v>41</v>
      </c>
      <c r="D3405" s="1">
        <v>46210.608391203707</v>
      </c>
      <c r="E3405" t="s">
        <v>42</v>
      </c>
      <c r="F3405" t="s">
        <v>43</v>
      </c>
      <c r="G3405">
        <v>0</v>
      </c>
      <c r="H3405">
        <v>33107</v>
      </c>
      <c r="I3405" t="s">
        <v>43</v>
      </c>
      <c r="J3405">
        <v>90</v>
      </c>
      <c r="K3405">
        <v>-281</v>
      </c>
      <c r="L3405">
        <v>98</v>
      </c>
      <c r="M3405">
        <v>660.70001220999995</v>
      </c>
      <c r="N3405" t="s">
        <v>1956</v>
      </c>
      <c r="O3405" t="s">
        <v>43</v>
      </c>
      <c r="P3405">
        <v>125</v>
      </c>
      <c r="Q3405" t="s">
        <v>43</v>
      </c>
      <c r="R3405">
        <v>-1000</v>
      </c>
      <c r="S3405">
        <v>0</v>
      </c>
      <c r="T3405">
        <v>-40</v>
      </c>
      <c r="U3405">
        <v>-40</v>
      </c>
      <c r="V3405">
        <v>-3000</v>
      </c>
      <c r="W3405">
        <v>38</v>
      </c>
      <c r="X3405">
        <v>38</v>
      </c>
      <c r="Y3405">
        <v>1</v>
      </c>
      <c r="Z3405">
        <v>8</v>
      </c>
      <c r="AA3405">
        <v>34</v>
      </c>
      <c r="AB3405">
        <v>2</v>
      </c>
      <c r="AC3405">
        <v>1</v>
      </c>
      <c r="AD3405">
        <v>3.4540000000000002</v>
      </c>
      <c r="AE3405">
        <v>4</v>
      </c>
      <c r="AF3405">
        <v>17</v>
      </c>
      <c r="AG3405">
        <v>3.43199992</v>
      </c>
      <c r="AH3405">
        <v>1</v>
      </c>
      <c r="AI3405">
        <v>38</v>
      </c>
      <c r="AJ3405">
        <v>1</v>
      </c>
      <c r="AK3405">
        <v>11</v>
      </c>
      <c r="AL3405">
        <v>48</v>
      </c>
      <c r="AM3405" t="s">
        <v>43</v>
      </c>
      <c r="AN3405" t="s">
        <v>43</v>
      </c>
    </row>
    <row r="3406" spans="1:40" x14ac:dyDescent="0.3">
      <c r="A3406" s="1">
        <v>46210.605439814812</v>
      </c>
      <c r="B3406" t="s">
        <v>40</v>
      </c>
      <c r="C3406" t="s">
        <v>41</v>
      </c>
      <c r="D3406" s="1">
        <v>46210.608472222222</v>
      </c>
      <c r="E3406" t="s">
        <v>42</v>
      </c>
      <c r="F3406" t="s">
        <v>43</v>
      </c>
      <c r="G3406">
        <v>0</v>
      </c>
      <c r="H3406">
        <v>33107</v>
      </c>
      <c r="I3406" t="s">
        <v>2011</v>
      </c>
      <c r="J3406">
        <v>90</v>
      </c>
      <c r="K3406">
        <v>-282</v>
      </c>
      <c r="L3406">
        <v>98</v>
      </c>
      <c r="M3406">
        <v>661</v>
      </c>
      <c r="N3406" t="s">
        <v>1956</v>
      </c>
      <c r="O3406" t="s">
        <v>43</v>
      </c>
      <c r="P3406">
        <v>125</v>
      </c>
      <c r="Q3406" t="s">
        <v>43</v>
      </c>
      <c r="R3406">
        <v>-1000</v>
      </c>
      <c r="S3406">
        <v>0</v>
      </c>
      <c r="T3406">
        <v>-40</v>
      </c>
      <c r="U3406">
        <v>-40</v>
      </c>
      <c r="V3406">
        <v>-3000</v>
      </c>
      <c r="W3406">
        <v>38</v>
      </c>
      <c r="X3406">
        <v>38</v>
      </c>
      <c r="Y3406">
        <v>1</v>
      </c>
      <c r="Z3406">
        <v>8</v>
      </c>
      <c r="AA3406">
        <v>34</v>
      </c>
      <c r="AB3406">
        <v>2</v>
      </c>
      <c r="AC3406">
        <v>1</v>
      </c>
      <c r="AD3406">
        <v>3.4540000000000002</v>
      </c>
      <c r="AE3406">
        <v>7</v>
      </c>
      <c r="AF3406">
        <v>1</v>
      </c>
      <c r="AG3406">
        <v>3.4309999900000001</v>
      </c>
      <c r="AH3406">
        <v>1</v>
      </c>
      <c r="AI3406">
        <v>42</v>
      </c>
      <c r="AJ3406">
        <v>1</v>
      </c>
      <c r="AK3406">
        <v>11</v>
      </c>
      <c r="AL3406">
        <v>48</v>
      </c>
      <c r="AM3406" t="s">
        <v>43</v>
      </c>
      <c r="AN3406" t="str">
        <f>HYPERLINK("https://www.google.com/maps?q=10.76359558,79.6931076","Open Location")</f>
        <v>Open Location</v>
      </c>
    </row>
    <row r="3407" spans="1:40" x14ac:dyDescent="0.3">
      <c r="A3407" s="1">
        <v>46210.605324074073</v>
      </c>
      <c r="B3407" t="s">
        <v>40</v>
      </c>
      <c r="C3407" t="s">
        <v>41</v>
      </c>
      <c r="D3407" s="1">
        <v>46210.608101851853</v>
      </c>
      <c r="E3407" t="s">
        <v>42</v>
      </c>
      <c r="F3407" t="s">
        <v>43</v>
      </c>
      <c r="G3407">
        <v>0</v>
      </c>
      <c r="H3407">
        <v>33107</v>
      </c>
      <c r="I3407" t="s">
        <v>2002</v>
      </c>
      <c r="J3407">
        <v>90</v>
      </c>
      <c r="K3407">
        <v>-282</v>
      </c>
      <c r="L3407">
        <v>98</v>
      </c>
      <c r="M3407">
        <v>660.79998779000005</v>
      </c>
      <c r="N3407" t="s">
        <v>1956</v>
      </c>
      <c r="O3407" t="s">
        <v>43</v>
      </c>
      <c r="P3407">
        <v>125</v>
      </c>
      <c r="Q3407" t="s">
        <v>43</v>
      </c>
      <c r="R3407">
        <v>-1000</v>
      </c>
      <c r="S3407">
        <v>0</v>
      </c>
      <c r="T3407">
        <v>-40</v>
      </c>
      <c r="U3407">
        <v>-40</v>
      </c>
      <c r="V3407">
        <v>-3000</v>
      </c>
      <c r="W3407">
        <v>38</v>
      </c>
      <c r="X3407">
        <v>38</v>
      </c>
      <c r="Y3407">
        <v>1</v>
      </c>
      <c r="Z3407">
        <v>8</v>
      </c>
      <c r="AA3407">
        <v>34</v>
      </c>
      <c r="AB3407">
        <v>2</v>
      </c>
      <c r="AC3407">
        <v>1</v>
      </c>
      <c r="AD3407">
        <v>3.4530000699999999</v>
      </c>
      <c r="AE3407">
        <v>4</v>
      </c>
      <c r="AF3407">
        <v>17</v>
      </c>
      <c r="AG3407">
        <v>3.4309999900000001</v>
      </c>
      <c r="AH3407">
        <v>1</v>
      </c>
      <c r="AI3407">
        <v>38</v>
      </c>
      <c r="AJ3407">
        <v>1</v>
      </c>
      <c r="AK3407">
        <v>11</v>
      </c>
      <c r="AL3407">
        <v>48</v>
      </c>
      <c r="AM3407" t="s">
        <v>43</v>
      </c>
      <c r="AN3407" t="str">
        <f>HYPERLINK("https://www.google.com/maps?q=10.76359558,79.69308472","Open Location")</f>
        <v>Open Location</v>
      </c>
    </row>
    <row r="3408" spans="1:40" x14ac:dyDescent="0.3">
      <c r="A3408" s="1">
        <v>46210.605208333334</v>
      </c>
      <c r="B3408" t="s">
        <v>40</v>
      </c>
      <c r="C3408" t="s">
        <v>41</v>
      </c>
      <c r="D3408" s="1">
        <v>46210.608344907407</v>
      </c>
      <c r="E3408" t="s">
        <v>42</v>
      </c>
      <c r="F3408" t="s">
        <v>43</v>
      </c>
      <c r="G3408">
        <v>0</v>
      </c>
      <c r="H3408">
        <v>33107</v>
      </c>
      <c r="I3408" t="s">
        <v>1971</v>
      </c>
      <c r="J3408">
        <v>90</v>
      </c>
      <c r="K3408">
        <v>-280</v>
      </c>
      <c r="L3408">
        <v>98</v>
      </c>
      <c r="M3408">
        <v>660.5</v>
      </c>
      <c r="N3408" t="s">
        <v>1956</v>
      </c>
      <c r="O3408" t="s">
        <v>43</v>
      </c>
      <c r="P3408">
        <v>125</v>
      </c>
      <c r="Q3408" t="s">
        <v>43</v>
      </c>
      <c r="R3408">
        <v>-1000</v>
      </c>
      <c r="S3408">
        <v>0</v>
      </c>
      <c r="T3408">
        <v>-40</v>
      </c>
      <c r="U3408">
        <v>-40</v>
      </c>
      <c r="V3408">
        <v>-3000</v>
      </c>
      <c r="W3408">
        <v>38</v>
      </c>
      <c r="X3408">
        <v>38</v>
      </c>
      <c r="Y3408">
        <v>1</v>
      </c>
      <c r="Z3408">
        <v>8</v>
      </c>
      <c r="AA3408">
        <v>34</v>
      </c>
      <c r="AB3408">
        <v>2</v>
      </c>
      <c r="AC3408">
        <v>1</v>
      </c>
      <c r="AD3408">
        <v>3.4519999000000001</v>
      </c>
      <c r="AE3408">
        <v>7</v>
      </c>
      <c r="AF3408">
        <v>1</v>
      </c>
      <c r="AG3408">
        <v>3.4289999</v>
      </c>
      <c r="AH3408">
        <v>1</v>
      </c>
      <c r="AI3408">
        <v>42</v>
      </c>
      <c r="AJ3408">
        <v>1</v>
      </c>
      <c r="AK3408">
        <v>11</v>
      </c>
      <c r="AL3408">
        <v>48</v>
      </c>
      <c r="AM3408" t="s">
        <v>43</v>
      </c>
      <c r="AN3408" t="str">
        <f>HYPERLINK("https://www.google.com/maps?q=10.76359177,79.69306946","Open Location")</f>
        <v>Open Location</v>
      </c>
    </row>
    <row r="3409" spans="1:40" x14ac:dyDescent="0.3">
      <c r="A3409" s="1">
        <v>46210.605092592596</v>
      </c>
      <c r="B3409" t="s">
        <v>40</v>
      </c>
      <c r="C3409" t="s">
        <v>41</v>
      </c>
      <c r="D3409" s="1">
        <v>46210.607789351852</v>
      </c>
      <c r="E3409" t="s">
        <v>42</v>
      </c>
      <c r="F3409" t="s">
        <v>43</v>
      </c>
      <c r="G3409">
        <v>0</v>
      </c>
      <c r="H3409">
        <v>33107</v>
      </c>
      <c r="I3409" t="s">
        <v>2012</v>
      </c>
      <c r="J3409">
        <v>89</v>
      </c>
      <c r="K3409">
        <v>-279</v>
      </c>
      <c r="L3409">
        <v>98</v>
      </c>
      <c r="M3409">
        <v>660.5</v>
      </c>
      <c r="N3409" t="s">
        <v>1956</v>
      </c>
      <c r="O3409" t="s">
        <v>43</v>
      </c>
      <c r="P3409">
        <v>125</v>
      </c>
      <c r="Q3409" t="s">
        <v>43</v>
      </c>
      <c r="R3409">
        <v>-1000</v>
      </c>
      <c r="S3409">
        <v>0</v>
      </c>
      <c r="T3409">
        <v>-40</v>
      </c>
      <c r="U3409">
        <v>-40</v>
      </c>
      <c r="V3409">
        <v>-3000</v>
      </c>
      <c r="W3409">
        <v>38</v>
      </c>
      <c r="X3409">
        <v>38</v>
      </c>
      <c r="Y3409">
        <v>1</v>
      </c>
      <c r="Z3409">
        <v>8</v>
      </c>
      <c r="AA3409">
        <v>34</v>
      </c>
      <c r="AB3409">
        <v>2</v>
      </c>
      <c r="AC3409">
        <v>1</v>
      </c>
      <c r="AD3409">
        <v>3.4519999000000001</v>
      </c>
      <c r="AE3409">
        <v>4</v>
      </c>
      <c r="AF3409">
        <v>17</v>
      </c>
      <c r="AG3409">
        <v>3.4300000700000002</v>
      </c>
      <c r="AH3409">
        <v>1</v>
      </c>
      <c r="AI3409">
        <v>38</v>
      </c>
      <c r="AJ3409">
        <v>1</v>
      </c>
      <c r="AK3409">
        <v>11</v>
      </c>
      <c r="AL3409">
        <v>48</v>
      </c>
      <c r="AM3409" t="s">
        <v>43</v>
      </c>
      <c r="AN3409" t="str">
        <f>HYPERLINK("https://www.google.com/maps?q=10.76360607,79.69306946","Open Location")</f>
        <v>Open Location</v>
      </c>
    </row>
    <row r="3410" spans="1:40" x14ac:dyDescent="0.3">
      <c r="A3410" s="1">
        <v>46210.60497685185</v>
      </c>
      <c r="B3410" t="s">
        <v>40</v>
      </c>
      <c r="C3410" t="s">
        <v>41</v>
      </c>
      <c r="D3410" s="1">
        <v>46210.60796296296</v>
      </c>
      <c r="E3410" t="s">
        <v>42</v>
      </c>
      <c r="F3410" t="s">
        <v>43</v>
      </c>
      <c r="G3410">
        <v>0</v>
      </c>
      <c r="H3410">
        <v>33107</v>
      </c>
      <c r="I3410" t="s">
        <v>2013</v>
      </c>
      <c r="J3410">
        <v>89</v>
      </c>
      <c r="K3410">
        <v>-279</v>
      </c>
      <c r="L3410">
        <v>98</v>
      </c>
      <c r="M3410">
        <v>660.29998779000005</v>
      </c>
      <c r="N3410" t="s">
        <v>1956</v>
      </c>
      <c r="O3410" t="s">
        <v>43</v>
      </c>
      <c r="P3410">
        <v>125</v>
      </c>
      <c r="Q3410" t="s">
        <v>43</v>
      </c>
      <c r="R3410">
        <v>-1000</v>
      </c>
      <c r="S3410">
        <v>0</v>
      </c>
      <c r="T3410">
        <v>-40</v>
      </c>
      <c r="U3410">
        <v>-40</v>
      </c>
      <c r="V3410">
        <v>-3000</v>
      </c>
      <c r="W3410">
        <v>38</v>
      </c>
      <c r="X3410">
        <v>38</v>
      </c>
      <c r="Y3410">
        <v>1</v>
      </c>
      <c r="Z3410">
        <v>8</v>
      </c>
      <c r="AA3410">
        <v>34</v>
      </c>
      <c r="AB3410">
        <v>2</v>
      </c>
      <c r="AC3410">
        <v>1</v>
      </c>
      <c r="AD3410">
        <v>3.4509999800000002</v>
      </c>
      <c r="AE3410">
        <v>7</v>
      </c>
      <c r="AF3410">
        <v>1</v>
      </c>
      <c r="AG3410">
        <v>3.4289999</v>
      </c>
      <c r="AH3410">
        <v>1</v>
      </c>
      <c r="AI3410">
        <v>38</v>
      </c>
      <c r="AJ3410">
        <v>1</v>
      </c>
      <c r="AK3410">
        <v>11</v>
      </c>
      <c r="AL3410">
        <v>48</v>
      </c>
      <c r="AM3410" t="s">
        <v>43</v>
      </c>
      <c r="AN3410" t="str">
        <f>HYPERLINK("https://www.google.com/maps?q=10.76358414,79.69307709","Open Location")</f>
        <v>Open Location</v>
      </c>
    </row>
    <row r="3411" spans="1:40" x14ac:dyDescent="0.3">
      <c r="A3411" s="1">
        <v>46210.604861111111</v>
      </c>
      <c r="B3411" t="s">
        <v>40</v>
      </c>
      <c r="C3411" t="s">
        <v>41</v>
      </c>
      <c r="D3411" s="1">
        <v>46210.608043981483</v>
      </c>
      <c r="E3411" t="s">
        <v>42</v>
      </c>
      <c r="F3411" t="s">
        <v>43</v>
      </c>
      <c r="G3411">
        <v>0</v>
      </c>
      <c r="H3411">
        <v>33107</v>
      </c>
      <c r="I3411" t="s">
        <v>43</v>
      </c>
      <c r="J3411">
        <v>89</v>
      </c>
      <c r="K3411">
        <v>-279</v>
      </c>
      <c r="L3411">
        <v>98</v>
      </c>
      <c r="M3411">
        <v>660.20001220999995</v>
      </c>
      <c r="N3411" t="s">
        <v>1956</v>
      </c>
      <c r="O3411" t="s">
        <v>43</v>
      </c>
      <c r="P3411">
        <v>125</v>
      </c>
      <c r="Q3411" t="s">
        <v>43</v>
      </c>
      <c r="R3411">
        <v>-1000</v>
      </c>
      <c r="S3411">
        <v>0</v>
      </c>
      <c r="T3411">
        <v>-40</v>
      </c>
      <c r="U3411">
        <v>-40</v>
      </c>
      <c r="V3411">
        <v>-3000</v>
      </c>
      <c r="W3411">
        <v>38</v>
      </c>
      <c r="X3411">
        <v>38</v>
      </c>
      <c r="Y3411">
        <v>1</v>
      </c>
      <c r="Z3411">
        <v>8</v>
      </c>
      <c r="AA3411">
        <v>34</v>
      </c>
      <c r="AB3411">
        <v>2</v>
      </c>
      <c r="AC3411">
        <v>3</v>
      </c>
      <c r="AD3411">
        <v>3.4500000499999999</v>
      </c>
      <c r="AE3411">
        <v>4</v>
      </c>
      <c r="AF3411">
        <v>17</v>
      </c>
      <c r="AG3411">
        <v>3.4279999700000001</v>
      </c>
      <c r="AH3411">
        <v>1</v>
      </c>
      <c r="AI3411">
        <v>42</v>
      </c>
      <c r="AJ3411">
        <v>1</v>
      </c>
      <c r="AK3411">
        <v>11</v>
      </c>
      <c r="AL3411">
        <v>48</v>
      </c>
      <c r="AM3411" t="s">
        <v>43</v>
      </c>
      <c r="AN3411" t="s">
        <v>43</v>
      </c>
    </row>
    <row r="3412" spans="1:40" x14ac:dyDescent="0.3">
      <c r="A3412" s="1">
        <v>46210.604745370372</v>
      </c>
      <c r="B3412" t="s">
        <v>40</v>
      </c>
      <c r="C3412" t="s">
        <v>41</v>
      </c>
      <c r="D3412" s="1">
        <v>46210.60796296296</v>
      </c>
      <c r="E3412" t="s">
        <v>42</v>
      </c>
      <c r="F3412" t="s">
        <v>43</v>
      </c>
      <c r="G3412">
        <v>0</v>
      </c>
      <c r="H3412">
        <v>33107</v>
      </c>
      <c r="I3412" t="s">
        <v>2014</v>
      </c>
      <c r="J3412">
        <v>89</v>
      </c>
      <c r="K3412">
        <v>-279</v>
      </c>
      <c r="L3412">
        <v>98</v>
      </c>
      <c r="M3412">
        <v>660.20001220999995</v>
      </c>
      <c r="N3412" t="s">
        <v>1956</v>
      </c>
      <c r="O3412" t="s">
        <v>43</v>
      </c>
      <c r="P3412">
        <v>125</v>
      </c>
      <c r="Q3412" t="s">
        <v>43</v>
      </c>
      <c r="R3412">
        <v>-1000</v>
      </c>
      <c r="S3412">
        <v>0</v>
      </c>
      <c r="T3412">
        <v>-40</v>
      </c>
      <c r="U3412">
        <v>-40</v>
      </c>
      <c r="V3412">
        <v>-3000</v>
      </c>
      <c r="W3412">
        <v>38</v>
      </c>
      <c r="X3412">
        <v>38</v>
      </c>
      <c r="Y3412">
        <v>1</v>
      </c>
      <c r="Z3412">
        <v>8</v>
      </c>
      <c r="AA3412">
        <v>34</v>
      </c>
      <c r="AB3412">
        <v>2</v>
      </c>
      <c r="AC3412">
        <v>3</v>
      </c>
      <c r="AD3412">
        <v>3.4500000499999999</v>
      </c>
      <c r="AE3412">
        <v>7</v>
      </c>
      <c r="AF3412">
        <v>1</v>
      </c>
      <c r="AG3412">
        <v>3.4279999700000001</v>
      </c>
      <c r="AH3412">
        <v>1</v>
      </c>
      <c r="AI3412">
        <v>42</v>
      </c>
      <c r="AJ3412">
        <v>1</v>
      </c>
      <c r="AK3412">
        <v>12</v>
      </c>
      <c r="AL3412">
        <v>48</v>
      </c>
      <c r="AM3412" t="s">
        <v>43</v>
      </c>
      <c r="AN3412" t="str">
        <f>HYPERLINK("https://www.google.com/maps?q=10.76357937,79.69308472","Open Location")</f>
        <v>Open Location</v>
      </c>
    </row>
    <row r="3413" spans="1:40" x14ac:dyDescent="0.3">
      <c r="A3413" s="1">
        <v>46210.604629629626</v>
      </c>
      <c r="B3413" t="s">
        <v>40</v>
      </c>
      <c r="C3413" t="s">
        <v>41</v>
      </c>
      <c r="D3413" s="1">
        <v>46210.607534722221</v>
      </c>
      <c r="E3413" t="s">
        <v>42</v>
      </c>
      <c r="F3413" t="s">
        <v>43</v>
      </c>
      <c r="G3413">
        <v>0</v>
      </c>
      <c r="H3413">
        <v>33107</v>
      </c>
      <c r="I3413" t="s">
        <v>2015</v>
      </c>
      <c r="J3413">
        <v>89</v>
      </c>
      <c r="K3413">
        <v>-279</v>
      </c>
      <c r="L3413">
        <v>98</v>
      </c>
      <c r="M3413">
        <v>660.09997558999999</v>
      </c>
      <c r="N3413" t="s">
        <v>1956</v>
      </c>
      <c r="O3413" t="s">
        <v>43</v>
      </c>
      <c r="P3413">
        <v>125</v>
      </c>
      <c r="Q3413" t="s">
        <v>43</v>
      </c>
      <c r="R3413">
        <v>-1000</v>
      </c>
      <c r="S3413">
        <v>0</v>
      </c>
      <c r="T3413">
        <v>-40</v>
      </c>
      <c r="U3413">
        <v>-40</v>
      </c>
      <c r="V3413">
        <v>-3000</v>
      </c>
      <c r="W3413">
        <v>38</v>
      </c>
      <c r="X3413">
        <v>38</v>
      </c>
      <c r="Y3413">
        <v>1</v>
      </c>
      <c r="Z3413">
        <v>8</v>
      </c>
      <c r="AA3413">
        <v>34</v>
      </c>
      <c r="AB3413">
        <v>2</v>
      </c>
      <c r="AC3413">
        <v>3</v>
      </c>
      <c r="AD3413">
        <v>3.4500000499999999</v>
      </c>
      <c r="AE3413">
        <v>4</v>
      </c>
      <c r="AF3413">
        <v>17</v>
      </c>
      <c r="AG3413">
        <v>3.4289999</v>
      </c>
      <c r="AH3413">
        <v>1</v>
      </c>
      <c r="AI3413">
        <v>38</v>
      </c>
      <c r="AJ3413">
        <v>1</v>
      </c>
      <c r="AK3413">
        <v>11</v>
      </c>
      <c r="AL3413">
        <v>48</v>
      </c>
      <c r="AM3413" t="s">
        <v>43</v>
      </c>
      <c r="AN3413" t="str">
        <f>HYPERLINK("https://www.google.com/maps?q=10.76357555,79.69308472","Open Location")</f>
        <v>Open Location</v>
      </c>
    </row>
    <row r="3414" spans="1:40" x14ac:dyDescent="0.3">
      <c r="A3414" s="1">
        <v>46210.604513888888</v>
      </c>
      <c r="B3414" t="s">
        <v>40</v>
      </c>
      <c r="C3414" t="s">
        <v>41</v>
      </c>
      <c r="D3414" s="1">
        <v>46210.607488425929</v>
      </c>
      <c r="E3414" t="s">
        <v>42</v>
      </c>
      <c r="F3414" t="s">
        <v>43</v>
      </c>
      <c r="G3414">
        <v>0</v>
      </c>
      <c r="H3414">
        <v>33107</v>
      </c>
      <c r="I3414" t="s">
        <v>2016</v>
      </c>
      <c r="J3414">
        <v>89</v>
      </c>
      <c r="K3414">
        <v>-282</v>
      </c>
      <c r="L3414">
        <v>98</v>
      </c>
      <c r="M3414">
        <v>660.29998779000005</v>
      </c>
      <c r="N3414" t="s">
        <v>1956</v>
      </c>
      <c r="O3414" t="s">
        <v>43</v>
      </c>
      <c r="P3414">
        <v>125</v>
      </c>
      <c r="Q3414" t="s">
        <v>43</v>
      </c>
      <c r="R3414">
        <v>-1000</v>
      </c>
      <c r="S3414">
        <v>0</v>
      </c>
      <c r="T3414">
        <v>-40</v>
      </c>
      <c r="U3414">
        <v>-40</v>
      </c>
      <c r="V3414">
        <v>-3000</v>
      </c>
      <c r="W3414">
        <v>38</v>
      </c>
      <c r="X3414">
        <v>38</v>
      </c>
      <c r="Y3414">
        <v>1</v>
      </c>
      <c r="Z3414">
        <v>8</v>
      </c>
      <c r="AA3414">
        <v>34</v>
      </c>
      <c r="AB3414">
        <v>2</v>
      </c>
      <c r="AC3414">
        <v>3</v>
      </c>
      <c r="AD3414">
        <v>3.4500000499999999</v>
      </c>
      <c r="AE3414">
        <v>4</v>
      </c>
      <c r="AF3414">
        <v>17</v>
      </c>
      <c r="AG3414">
        <v>3.4279999700000001</v>
      </c>
      <c r="AH3414">
        <v>1</v>
      </c>
      <c r="AI3414">
        <v>42</v>
      </c>
      <c r="AJ3414">
        <v>1</v>
      </c>
      <c r="AK3414">
        <v>11</v>
      </c>
      <c r="AL3414">
        <v>48</v>
      </c>
      <c r="AM3414" t="s">
        <v>43</v>
      </c>
      <c r="AN3414" t="str">
        <f>HYPERLINK("https://www.google.com/maps?q=10.76357746,79.69308472","Open Location")</f>
        <v>Open Location</v>
      </c>
    </row>
    <row r="3415" spans="1:40" x14ac:dyDescent="0.3">
      <c r="A3415" s="1">
        <v>46210.604398148149</v>
      </c>
      <c r="B3415" t="s">
        <v>40</v>
      </c>
      <c r="C3415" t="s">
        <v>41</v>
      </c>
      <c r="D3415" s="1">
        <v>46210.607164351852</v>
      </c>
      <c r="E3415" t="s">
        <v>42</v>
      </c>
      <c r="F3415" t="s">
        <v>43</v>
      </c>
      <c r="G3415">
        <v>0</v>
      </c>
      <c r="H3415">
        <v>33107</v>
      </c>
      <c r="I3415" t="s">
        <v>2017</v>
      </c>
      <c r="J3415">
        <v>88</v>
      </c>
      <c r="K3415">
        <v>-282</v>
      </c>
      <c r="L3415">
        <v>98</v>
      </c>
      <c r="M3415">
        <v>660.09997558999999</v>
      </c>
      <c r="N3415" t="s">
        <v>1956</v>
      </c>
      <c r="O3415" t="s">
        <v>43</v>
      </c>
      <c r="P3415">
        <v>125</v>
      </c>
      <c r="Q3415" t="s">
        <v>43</v>
      </c>
      <c r="R3415">
        <v>-1000</v>
      </c>
      <c r="S3415">
        <v>0</v>
      </c>
      <c r="T3415">
        <v>-40</v>
      </c>
      <c r="U3415">
        <v>-40</v>
      </c>
      <c r="V3415">
        <v>-3000</v>
      </c>
      <c r="W3415">
        <v>38</v>
      </c>
      <c r="X3415">
        <v>38</v>
      </c>
      <c r="Y3415">
        <v>1</v>
      </c>
      <c r="Z3415">
        <v>8</v>
      </c>
      <c r="AA3415">
        <v>34</v>
      </c>
      <c r="AB3415">
        <v>2</v>
      </c>
      <c r="AC3415">
        <v>3</v>
      </c>
      <c r="AD3415">
        <v>3.4489998800000001</v>
      </c>
      <c r="AE3415">
        <v>4</v>
      </c>
      <c r="AF3415">
        <v>17</v>
      </c>
      <c r="AG3415">
        <v>3.4279999700000001</v>
      </c>
      <c r="AH3415">
        <v>1</v>
      </c>
      <c r="AI3415">
        <v>42</v>
      </c>
      <c r="AJ3415">
        <v>1</v>
      </c>
      <c r="AK3415">
        <v>11</v>
      </c>
      <c r="AL3415">
        <v>48</v>
      </c>
      <c r="AM3415" t="s">
        <v>43</v>
      </c>
      <c r="AN3415" t="str">
        <f>HYPERLINK("https://www.google.com/maps?q=10.76359177,79.69308472","Open Location")</f>
        <v>Open Location</v>
      </c>
    </row>
    <row r="3416" spans="1:40" x14ac:dyDescent="0.3">
      <c r="A3416" s="1">
        <v>46210.60428240741</v>
      </c>
      <c r="B3416" t="s">
        <v>40</v>
      </c>
      <c r="C3416" t="s">
        <v>41</v>
      </c>
      <c r="D3416" s="1">
        <v>46210.607152777775</v>
      </c>
      <c r="E3416" t="s">
        <v>42</v>
      </c>
      <c r="F3416" t="s">
        <v>43</v>
      </c>
      <c r="G3416">
        <v>0</v>
      </c>
      <c r="H3416">
        <v>33107</v>
      </c>
      <c r="I3416" t="s">
        <v>43</v>
      </c>
      <c r="J3416">
        <v>88</v>
      </c>
      <c r="K3416">
        <v>-282</v>
      </c>
      <c r="L3416">
        <v>98</v>
      </c>
      <c r="M3416">
        <v>660.20001220999995</v>
      </c>
      <c r="N3416" t="s">
        <v>1956</v>
      </c>
      <c r="O3416" t="s">
        <v>43</v>
      </c>
      <c r="P3416">
        <v>125</v>
      </c>
      <c r="Q3416" t="s">
        <v>43</v>
      </c>
      <c r="R3416">
        <v>-1000</v>
      </c>
      <c r="S3416">
        <v>0</v>
      </c>
      <c r="T3416">
        <v>-40</v>
      </c>
      <c r="U3416">
        <v>-40</v>
      </c>
      <c r="V3416">
        <v>-3000</v>
      </c>
      <c r="W3416">
        <v>38</v>
      </c>
      <c r="X3416">
        <v>38</v>
      </c>
      <c r="Y3416">
        <v>1</v>
      </c>
      <c r="Z3416">
        <v>8</v>
      </c>
      <c r="AA3416">
        <v>34</v>
      </c>
      <c r="AB3416">
        <v>2</v>
      </c>
      <c r="AC3416">
        <v>3</v>
      </c>
      <c r="AD3416">
        <v>3.4489998800000001</v>
      </c>
      <c r="AE3416">
        <v>4</v>
      </c>
      <c r="AF3416">
        <v>17</v>
      </c>
      <c r="AG3416">
        <v>3.4279999700000001</v>
      </c>
      <c r="AH3416">
        <v>1</v>
      </c>
      <c r="AI3416">
        <v>38</v>
      </c>
      <c r="AJ3416">
        <v>1</v>
      </c>
      <c r="AK3416">
        <v>11</v>
      </c>
      <c r="AL3416">
        <v>48</v>
      </c>
      <c r="AM3416" t="s">
        <v>43</v>
      </c>
      <c r="AN3416" t="s">
        <v>43</v>
      </c>
    </row>
    <row r="3417" spans="1:40" x14ac:dyDescent="0.3">
      <c r="A3417" s="1">
        <v>46210.604166666664</v>
      </c>
      <c r="B3417" t="s">
        <v>40</v>
      </c>
      <c r="C3417" t="s">
        <v>41</v>
      </c>
      <c r="D3417" s="1">
        <v>46210.606921296298</v>
      </c>
      <c r="E3417" t="s">
        <v>42</v>
      </c>
      <c r="F3417" t="s">
        <v>43</v>
      </c>
      <c r="G3417">
        <v>0</v>
      </c>
      <c r="H3417">
        <v>33107</v>
      </c>
      <c r="I3417" t="s">
        <v>2018</v>
      </c>
      <c r="J3417">
        <v>88</v>
      </c>
      <c r="K3417">
        <v>-282</v>
      </c>
      <c r="L3417">
        <v>98</v>
      </c>
      <c r="M3417">
        <v>660.09997558999999</v>
      </c>
      <c r="N3417" t="s">
        <v>1956</v>
      </c>
      <c r="O3417" t="s">
        <v>43</v>
      </c>
      <c r="P3417">
        <v>125</v>
      </c>
      <c r="Q3417" t="s">
        <v>43</v>
      </c>
      <c r="R3417">
        <v>-1000</v>
      </c>
      <c r="S3417">
        <v>0</v>
      </c>
      <c r="T3417">
        <v>-40</v>
      </c>
      <c r="U3417">
        <v>-40</v>
      </c>
      <c r="V3417">
        <v>-3000</v>
      </c>
      <c r="W3417">
        <v>38</v>
      </c>
      <c r="X3417">
        <v>38</v>
      </c>
      <c r="Y3417">
        <v>1</v>
      </c>
      <c r="Z3417">
        <v>8</v>
      </c>
      <c r="AA3417">
        <v>34</v>
      </c>
      <c r="AB3417">
        <v>2</v>
      </c>
      <c r="AC3417">
        <v>5</v>
      </c>
      <c r="AD3417">
        <v>3.4489998800000001</v>
      </c>
      <c r="AE3417">
        <v>7</v>
      </c>
      <c r="AF3417">
        <v>1</v>
      </c>
      <c r="AG3417">
        <v>3.4279999700000001</v>
      </c>
      <c r="AH3417">
        <v>1</v>
      </c>
      <c r="AI3417">
        <v>38</v>
      </c>
      <c r="AJ3417">
        <v>1</v>
      </c>
      <c r="AK3417">
        <v>11</v>
      </c>
      <c r="AL3417">
        <v>48</v>
      </c>
      <c r="AM3417" t="s">
        <v>43</v>
      </c>
      <c r="AN3417" t="str">
        <f>HYPERLINK("https://www.google.com/maps?q=10.76358604,79.69308472","Open Location")</f>
        <v>Open Location</v>
      </c>
    </row>
    <row r="3418" spans="1:40" x14ac:dyDescent="0.3">
      <c r="A3418" s="1">
        <v>46210.604050925926</v>
      </c>
      <c r="B3418" t="s">
        <v>40</v>
      </c>
      <c r="C3418" t="s">
        <v>41</v>
      </c>
      <c r="D3418" s="1">
        <v>46210.606921296298</v>
      </c>
      <c r="E3418" t="s">
        <v>42</v>
      </c>
      <c r="F3418" t="s">
        <v>43</v>
      </c>
      <c r="G3418">
        <v>0</v>
      </c>
      <c r="H3418">
        <v>33107</v>
      </c>
      <c r="I3418" t="s">
        <v>2019</v>
      </c>
      <c r="J3418">
        <v>88</v>
      </c>
      <c r="K3418">
        <v>-282</v>
      </c>
      <c r="L3418">
        <v>98</v>
      </c>
      <c r="M3418">
        <v>660.09997558999999</v>
      </c>
      <c r="N3418" t="s">
        <v>1956</v>
      </c>
      <c r="O3418" t="s">
        <v>43</v>
      </c>
      <c r="P3418">
        <v>125</v>
      </c>
      <c r="Q3418" t="s">
        <v>43</v>
      </c>
      <c r="R3418">
        <v>-1000</v>
      </c>
      <c r="S3418">
        <v>0</v>
      </c>
      <c r="T3418">
        <v>-40</v>
      </c>
      <c r="U3418">
        <v>-40</v>
      </c>
      <c r="V3418">
        <v>-3000</v>
      </c>
      <c r="W3418">
        <v>38</v>
      </c>
      <c r="X3418">
        <v>38</v>
      </c>
      <c r="Y3418">
        <v>1</v>
      </c>
      <c r="Z3418">
        <v>8</v>
      </c>
      <c r="AA3418">
        <v>34</v>
      </c>
      <c r="AB3418">
        <v>2</v>
      </c>
      <c r="AC3418">
        <v>5</v>
      </c>
      <c r="AD3418">
        <v>3.4479999499999998</v>
      </c>
      <c r="AE3418">
        <v>4</v>
      </c>
      <c r="AF3418">
        <v>17</v>
      </c>
      <c r="AG3418">
        <v>3.4270000500000002</v>
      </c>
      <c r="AH3418">
        <v>1</v>
      </c>
      <c r="AI3418">
        <v>42</v>
      </c>
      <c r="AJ3418">
        <v>1</v>
      </c>
      <c r="AK3418">
        <v>11</v>
      </c>
      <c r="AL3418">
        <v>48</v>
      </c>
      <c r="AM3418" t="s">
        <v>43</v>
      </c>
      <c r="AN3418" t="str">
        <f>HYPERLINK("https://www.google.com/maps?q=10.76358891,79.69308472","Open Location")</f>
        <v>Open Location</v>
      </c>
    </row>
    <row r="3419" spans="1:40" x14ac:dyDescent="0.3">
      <c r="A3419" s="1">
        <v>46210.603935185187</v>
      </c>
      <c r="B3419" t="s">
        <v>40</v>
      </c>
      <c r="C3419" t="s">
        <v>41</v>
      </c>
      <c r="D3419" s="1">
        <v>46210.606759259259</v>
      </c>
      <c r="E3419" t="s">
        <v>42</v>
      </c>
      <c r="F3419" t="s">
        <v>43</v>
      </c>
      <c r="G3419">
        <v>0</v>
      </c>
      <c r="H3419">
        <v>33107</v>
      </c>
      <c r="I3419" t="s">
        <v>2020</v>
      </c>
      <c r="J3419">
        <v>88</v>
      </c>
      <c r="K3419">
        <v>-282</v>
      </c>
      <c r="L3419">
        <v>98</v>
      </c>
      <c r="M3419">
        <v>660</v>
      </c>
      <c r="N3419" t="s">
        <v>1956</v>
      </c>
      <c r="O3419" t="s">
        <v>43</v>
      </c>
      <c r="P3419">
        <v>125</v>
      </c>
      <c r="Q3419" t="s">
        <v>43</v>
      </c>
      <c r="R3419">
        <v>-1000</v>
      </c>
      <c r="S3419">
        <v>0</v>
      </c>
      <c r="T3419">
        <v>-40</v>
      </c>
      <c r="U3419">
        <v>-40</v>
      </c>
      <c r="V3419">
        <v>-3000</v>
      </c>
      <c r="W3419">
        <v>38</v>
      </c>
      <c r="X3419">
        <v>38</v>
      </c>
      <c r="Y3419">
        <v>1</v>
      </c>
      <c r="Z3419">
        <v>8</v>
      </c>
      <c r="AA3419">
        <v>34</v>
      </c>
      <c r="AB3419">
        <v>2</v>
      </c>
      <c r="AC3419">
        <v>5</v>
      </c>
      <c r="AD3419">
        <v>3.4479999499999998</v>
      </c>
      <c r="AE3419">
        <v>4</v>
      </c>
      <c r="AF3419">
        <v>17</v>
      </c>
      <c r="AG3419">
        <v>3.4270000500000002</v>
      </c>
      <c r="AH3419">
        <v>1</v>
      </c>
      <c r="AI3419">
        <v>42</v>
      </c>
      <c r="AJ3419">
        <v>1</v>
      </c>
      <c r="AK3419">
        <v>11</v>
      </c>
      <c r="AL3419">
        <v>48</v>
      </c>
      <c r="AM3419" t="s">
        <v>43</v>
      </c>
      <c r="AN3419" t="str">
        <f>HYPERLINK("https://www.google.com/maps?q=10.76358604,79.69309235","Open Location")</f>
        <v>Open Location</v>
      </c>
    </row>
    <row r="3420" spans="1:40" x14ac:dyDescent="0.3">
      <c r="A3420" s="1">
        <v>46210.603819444441</v>
      </c>
      <c r="B3420" t="s">
        <v>40</v>
      </c>
      <c r="C3420" t="s">
        <v>41</v>
      </c>
      <c r="D3420" s="1">
        <v>46210.60664351852</v>
      </c>
      <c r="E3420" t="s">
        <v>42</v>
      </c>
      <c r="F3420" t="s">
        <v>43</v>
      </c>
      <c r="G3420">
        <v>0</v>
      </c>
      <c r="H3420">
        <v>33107</v>
      </c>
      <c r="I3420" t="s">
        <v>2021</v>
      </c>
      <c r="J3420">
        <v>88</v>
      </c>
      <c r="K3420">
        <v>-282</v>
      </c>
      <c r="L3420">
        <v>98</v>
      </c>
      <c r="M3420">
        <v>660.20001220999995</v>
      </c>
      <c r="N3420" t="s">
        <v>1956</v>
      </c>
      <c r="O3420" t="s">
        <v>43</v>
      </c>
      <c r="P3420">
        <v>125</v>
      </c>
      <c r="Q3420" t="s">
        <v>43</v>
      </c>
      <c r="R3420">
        <v>-1000</v>
      </c>
      <c r="S3420">
        <v>0</v>
      </c>
      <c r="T3420">
        <v>-40</v>
      </c>
      <c r="U3420">
        <v>-40</v>
      </c>
      <c r="V3420">
        <v>-3000</v>
      </c>
      <c r="W3420">
        <v>38</v>
      </c>
      <c r="X3420">
        <v>38</v>
      </c>
      <c r="Y3420">
        <v>1</v>
      </c>
      <c r="Z3420">
        <v>8</v>
      </c>
      <c r="AA3420">
        <v>34</v>
      </c>
      <c r="AB3420">
        <v>2</v>
      </c>
      <c r="AC3420">
        <v>5</v>
      </c>
      <c r="AD3420">
        <v>3.4479999499999998</v>
      </c>
      <c r="AE3420">
        <v>4</v>
      </c>
      <c r="AF3420">
        <v>17</v>
      </c>
      <c r="AG3420">
        <v>3.4270000500000002</v>
      </c>
      <c r="AH3420">
        <v>1</v>
      </c>
      <c r="AI3420">
        <v>42</v>
      </c>
      <c r="AJ3420">
        <v>1</v>
      </c>
      <c r="AK3420">
        <v>11</v>
      </c>
      <c r="AL3420">
        <v>48</v>
      </c>
      <c r="AM3420" t="s">
        <v>43</v>
      </c>
      <c r="AN3420" t="str">
        <f>HYPERLINK("https://www.google.com/maps?q=10.76357365,79.69308472","Open Location")</f>
        <v>Open Location</v>
      </c>
    </row>
    <row r="3421" spans="1:40" x14ac:dyDescent="0.3">
      <c r="A3421" s="1">
        <v>46210.603703703702</v>
      </c>
      <c r="B3421" t="s">
        <v>40</v>
      </c>
      <c r="C3421" t="s">
        <v>41</v>
      </c>
      <c r="D3421" s="1">
        <v>46210.606400462966</v>
      </c>
      <c r="E3421" t="s">
        <v>42</v>
      </c>
      <c r="F3421" t="s">
        <v>43</v>
      </c>
      <c r="G3421">
        <v>0</v>
      </c>
      <c r="H3421" t="s">
        <v>43</v>
      </c>
      <c r="I3421" t="s">
        <v>2013</v>
      </c>
      <c r="J3421">
        <v>87</v>
      </c>
      <c r="K3421">
        <v>-282</v>
      </c>
      <c r="L3421">
        <v>98</v>
      </c>
      <c r="M3421">
        <v>660</v>
      </c>
      <c r="N3421" t="s">
        <v>1956</v>
      </c>
      <c r="O3421" t="s">
        <v>43</v>
      </c>
      <c r="P3421">
        <v>125</v>
      </c>
      <c r="Q3421" t="s">
        <v>43</v>
      </c>
      <c r="R3421">
        <v>-1000</v>
      </c>
      <c r="S3421">
        <v>0</v>
      </c>
      <c r="T3421">
        <v>-40</v>
      </c>
      <c r="U3421">
        <v>-40</v>
      </c>
      <c r="V3421">
        <v>-3000</v>
      </c>
      <c r="W3421">
        <v>38</v>
      </c>
      <c r="X3421">
        <v>38</v>
      </c>
      <c r="Y3421">
        <v>1</v>
      </c>
      <c r="Z3421">
        <v>8</v>
      </c>
      <c r="AA3421">
        <v>34</v>
      </c>
      <c r="AB3421">
        <v>2</v>
      </c>
      <c r="AC3421">
        <v>5</v>
      </c>
      <c r="AD3421">
        <v>3.4479999499999998</v>
      </c>
      <c r="AE3421">
        <v>4</v>
      </c>
      <c r="AF3421">
        <v>17</v>
      </c>
      <c r="AG3421">
        <v>3.4270000500000002</v>
      </c>
      <c r="AH3421">
        <v>1</v>
      </c>
      <c r="AI3421">
        <v>42</v>
      </c>
      <c r="AJ3421">
        <v>1</v>
      </c>
      <c r="AK3421">
        <v>11</v>
      </c>
      <c r="AL3421">
        <v>48</v>
      </c>
      <c r="AM3421" t="s">
        <v>43</v>
      </c>
      <c r="AN3421" t="str">
        <f>HYPERLINK("https://www.google.com/maps?q=10.76358414,79.69307709","Open Location")</f>
        <v>Open Location</v>
      </c>
    </row>
    <row r="3422" spans="1:40" x14ac:dyDescent="0.3">
      <c r="A3422" s="1">
        <v>46210.603587962964</v>
      </c>
      <c r="B3422" t="s">
        <v>40</v>
      </c>
      <c r="C3422" t="s">
        <v>41</v>
      </c>
      <c r="D3422" s="1">
        <v>46210.606400462966</v>
      </c>
      <c r="E3422" t="s">
        <v>42</v>
      </c>
      <c r="F3422" t="s">
        <v>43</v>
      </c>
      <c r="G3422">
        <v>0</v>
      </c>
      <c r="H3422">
        <v>33107</v>
      </c>
      <c r="I3422" t="s">
        <v>43</v>
      </c>
      <c r="J3422">
        <v>87</v>
      </c>
      <c r="K3422">
        <v>-282</v>
      </c>
      <c r="L3422">
        <v>98</v>
      </c>
      <c r="M3422">
        <v>660.29998779000005</v>
      </c>
      <c r="N3422" t="s">
        <v>1956</v>
      </c>
      <c r="O3422" t="s">
        <v>43</v>
      </c>
      <c r="P3422">
        <v>125</v>
      </c>
      <c r="Q3422" t="s">
        <v>43</v>
      </c>
      <c r="R3422">
        <v>-1000</v>
      </c>
      <c r="S3422">
        <v>0</v>
      </c>
      <c r="T3422">
        <v>-40</v>
      </c>
      <c r="U3422">
        <v>-40</v>
      </c>
      <c r="V3422">
        <v>-3000</v>
      </c>
      <c r="W3422">
        <v>38</v>
      </c>
      <c r="X3422">
        <v>38</v>
      </c>
      <c r="Y3422">
        <v>1</v>
      </c>
      <c r="Z3422">
        <v>8</v>
      </c>
      <c r="AA3422">
        <v>34</v>
      </c>
      <c r="AB3422">
        <v>2</v>
      </c>
      <c r="AC3422">
        <v>5</v>
      </c>
      <c r="AD3422">
        <v>3.4489998800000001</v>
      </c>
      <c r="AE3422">
        <v>4</v>
      </c>
      <c r="AF3422">
        <v>17</v>
      </c>
      <c r="AG3422">
        <v>3.4279999700000001</v>
      </c>
      <c r="AH3422">
        <v>1</v>
      </c>
      <c r="AI3422">
        <v>42</v>
      </c>
      <c r="AJ3422">
        <v>1</v>
      </c>
      <c r="AK3422">
        <v>11</v>
      </c>
      <c r="AL3422">
        <v>48</v>
      </c>
      <c r="AM3422" t="s">
        <v>43</v>
      </c>
      <c r="AN3422" t="s">
        <v>43</v>
      </c>
    </row>
    <row r="3423" spans="1:40" x14ac:dyDescent="0.3">
      <c r="A3423" s="1">
        <v>46210.603472222225</v>
      </c>
      <c r="B3423" t="s">
        <v>40</v>
      </c>
      <c r="C3423" t="s">
        <v>41</v>
      </c>
      <c r="D3423" s="1">
        <v>46210.606215277781</v>
      </c>
      <c r="E3423" t="s">
        <v>42</v>
      </c>
      <c r="F3423" t="s">
        <v>43</v>
      </c>
      <c r="G3423">
        <v>0</v>
      </c>
      <c r="H3423">
        <v>33107</v>
      </c>
      <c r="I3423" t="s">
        <v>2022</v>
      </c>
      <c r="J3423">
        <v>87</v>
      </c>
      <c r="K3423">
        <v>-313</v>
      </c>
      <c r="L3423">
        <v>98</v>
      </c>
      <c r="M3423">
        <v>661.40002441000001</v>
      </c>
      <c r="N3423" t="s">
        <v>1956</v>
      </c>
      <c r="O3423" t="s">
        <v>43</v>
      </c>
      <c r="P3423">
        <v>125</v>
      </c>
      <c r="Q3423" t="s">
        <v>43</v>
      </c>
      <c r="R3423">
        <v>-1000</v>
      </c>
      <c r="S3423">
        <v>0</v>
      </c>
      <c r="T3423">
        <v>-40</v>
      </c>
      <c r="U3423">
        <v>-40</v>
      </c>
      <c r="V3423">
        <v>-3000</v>
      </c>
      <c r="W3423">
        <v>38</v>
      </c>
      <c r="X3423">
        <v>38</v>
      </c>
      <c r="Y3423">
        <v>1</v>
      </c>
      <c r="Z3423">
        <v>8</v>
      </c>
      <c r="AA3423">
        <v>34</v>
      </c>
      <c r="AB3423">
        <v>2</v>
      </c>
      <c r="AC3423">
        <v>3</v>
      </c>
      <c r="AD3423">
        <v>3.4560000899999999</v>
      </c>
      <c r="AE3423">
        <v>4</v>
      </c>
      <c r="AF3423">
        <v>17</v>
      </c>
      <c r="AG3423">
        <v>3.43400002</v>
      </c>
      <c r="AH3423">
        <v>1</v>
      </c>
      <c r="AI3423">
        <v>38</v>
      </c>
      <c r="AJ3423">
        <v>1</v>
      </c>
      <c r="AK3423">
        <v>12</v>
      </c>
      <c r="AL3423">
        <v>48</v>
      </c>
      <c r="AM3423" t="s">
        <v>43</v>
      </c>
      <c r="AN3423" t="str">
        <f>HYPERLINK("https://www.google.com/maps?q=10.76357746,79.69307709","Open Location")</f>
        <v>Open Location</v>
      </c>
    </row>
    <row r="3424" spans="1:40" x14ac:dyDescent="0.3">
      <c r="A3424" s="1">
        <v>46210.603356481479</v>
      </c>
      <c r="B3424" t="s">
        <v>40</v>
      </c>
      <c r="C3424" t="s">
        <v>41</v>
      </c>
      <c r="D3424" s="1">
        <v>46210.606307870374</v>
      </c>
      <c r="E3424" t="s">
        <v>42</v>
      </c>
      <c r="F3424" t="s">
        <v>43</v>
      </c>
      <c r="G3424">
        <v>0</v>
      </c>
      <c r="H3424">
        <v>33107</v>
      </c>
      <c r="I3424" t="s">
        <v>2023</v>
      </c>
      <c r="J3424">
        <v>87</v>
      </c>
      <c r="K3424">
        <v>-317</v>
      </c>
      <c r="L3424">
        <v>98</v>
      </c>
      <c r="M3424">
        <v>661.59997558999999</v>
      </c>
      <c r="N3424" t="s">
        <v>1956</v>
      </c>
      <c r="O3424" t="s">
        <v>43</v>
      </c>
      <c r="P3424">
        <v>125</v>
      </c>
      <c r="Q3424" t="s">
        <v>43</v>
      </c>
      <c r="R3424">
        <v>-1000</v>
      </c>
      <c r="S3424">
        <v>0</v>
      </c>
      <c r="T3424">
        <v>-40</v>
      </c>
      <c r="U3424">
        <v>-40</v>
      </c>
      <c r="V3424">
        <v>-3000</v>
      </c>
      <c r="W3424">
        <v>38</v>
      </c>
      <c r="X3424">
        <v>38</v>
      </c>
      <c r="Y3424">
        <v>1</v>
      </c>
      <c r="Z3424">
        <v>8</v>
      </c>
      <c r="AA3424">
        <v>34</v>
      </c>
      <c r="AB3424">
        <v>2</v>
      </c>
      <c r="AC3424">
        <v>3</v>
      </c>
      <c r="AD3424">
        <v>3.4560000899999999</v>
      </c>
      <c r="AE3424">
        <v>4</v>
      </c>
      <c r="AF3424">
        <v>17</v>
      </c>
      <c r="AG3424">
        <v>3.43400002</v>
      </c>
      <c r="AH3424">
        <v>1</v>
      </c>
      <c r="AI3424">
        <v>38</v>
      </c>
      <c r="AJ3424">
        <v>1</v>
      </c>
      <c r="AK3424">
        <v>11</v>
      </c>
      <c r="AL3424">
        <v>48</v>
      </c>
      <c r="AM3424" t="s">
        <v>43</v>
      </c>
      <c r="AN3424" t="str">
        <f>HYPERLINK("https://www.google.com/maps?q=10.76357555,79.6930542","Open Location")</f>
        <v>Open Location</v>
      </c>
    </row>
    <row r="3425" spans="1:40" x14ac:dyDescent="0.3">
      <c r="A3425" s="1">
        <v>46210.60324074074</v>
      </c>
      <c r="B3425" t="s">
        <v>40</v>
      </c>
      <c r="C3425" t="s">
        <v>41</v>
      </c>
      <c r="D3425" s="1">
        <v>46210.606157407405</v>
      </c>
      <c r="E3425" t="s">
        <v>42</v>
      </c>
      <c r="F3425" t="s">
        <v>43</v>
      </c>
      <c r="G3425">
        <v>0</v>
      </c>
      <c r="H3425">
        <v>33107</v>
      </c>
      <c r="I3425" t="s">
        <v>2024</v>
      </c>
      <c r="J3425">
        <v>87</v>
      </c>
      <c r="K3425">
        <v>-317</v>
      </c>
      <c r="L3425">
        <v>98</v>
      </c>
      <c r="M3425">
        <v>661.59997558999999</v>
      </c>
      <c r="N3425" t="s">
        <v>1956</v>
      </c>
      <c r="O3425" t="s">
        <v>43</v>
      </c>
      <c r="P3425">
        <v>125</v>
      </c>
      <c r="Q3425" t="s">
        <v>43</v>
      </c>
      <c r="R3425">
        <v>-1000</v>
      </c>
      <c r="S3425">
        <v>0</v>
      </c>
      <c r="T3425">
        <v>-40</v>
      </c>
      <c r="U3425">
        <v>-40</v>
      </c>
      <c r="V3425">
        <v>-3000</v>
      </c>
      <c r="W3425">
        <v>37</v>
      </c>
      <c r="X3425">
        <v>37</v>
      </c>
      <c r="Y3425">
        <v>1</v>
      </c>
      <c r="Z3425">
        <v>8</v>
      </c>
      <c r="AA3425">
        <v>34</v>
      </c>
      <c r="AB3425">
        <v>2</v>
      </c>
      <c r="AC3425">
        <v>3</v>
      </c>
      <c r="AD3425">
        <v>3.4560000899999999</v>
      </c>
      <c r="AE3425">
        <v>7</v>
      </c>
      <c r="AF3425">
        <v>1</v>
      </c>
      <c r="AG3425">
        <v>3.4330000900000002</v>
      </c>
      <c r="AH3425">
        <v>1</v>
      </c>
      <c r="AI3425">
        <v>42</v>
      </c>
      <c r="AJ3425">
        <v>1</v>
      </c>
      <c r="AK3425">
        <v>11</v>
      </c>
      <c r="AL3425">
        <v>48</v>
      </c>
      <c r="AM3425" t="s">
        <v>43</v>
      </c>
      <c r="AN3425" t="str">
        <f>HYPERLINK("https://www.google.com/maps?q=10.7635746,79.6930542","Open Location")</f>
        <v>Open Location</v>
      </c>
    </row>
    <row r="3426" spans="1:40" x14ac:dyDescent="0.3">
      <c r="A3426" s="1">
        <v>46210.603125000001</v>
      </c>
      <c r="B3426" t="s">
        <v>40</v>
      </c>
      <c r="C3426" t="s">
        <v>41</v>
      </c>
      <c r="D3426" s="1">
        <v>46210.605925925927</v>
      </c>
      <c r="E3426" t="s">
        <v>42</v>
      </c>
      <c r="F3426" t="s">
        <v>43</v>
      </c>
      <c r="G3426">
        <v>0</v>
      </c>
      <c r="H3426">
        <v>33107</v>
      </c>
      <c r="I3426" t="s">
        <v>2025</v>
      </c>
      <c r="J3426">
        <v>86</v>
      </c>
      <c r="K3426">
        <v>-318</v>
      </c>
      <c r="L3426">
        <v>98</v>
      </c>
      <c r="M3426">
        <v>661.5</v>
      </c>
      <c r="N3426" t="s">
        <v>1956</v>
      </c>
      <c r="O3426" t="s">
        <v>43</v>
      </c>
      <c r="P3426">
        <v>125</v>
      </c>
      <c r="Q3426" t="s">
        <v>43</v>
      </c>
      <c r="R3426">
        <v>-1000</v>
      </c>
      <c r="S3426">
        <v>0</v>
      </c>
      <c r="T3426">
        <v>-40</v>
      </c>
      <c r="U3426">
        <v>-40</v>
      </c>
      <c r="V3426">
        <v>-3000</v>
      </c>
      <c r="W3426">
        <v>37</v>
      </c>
      <c r="X3426">
        <v>37</v>
      </c>
      <c r="Y3426">
        <v>1</v>
      </c>
      <c r="Z3426">
        <v>8</v>
      </c>
      <c r="AA3426">
        <v>34</v>
      </c>
      <c r="AB3426">
        <v>2</v>
      </c>
      <c r="AC3426">
        <v>1</v>
      </c>
      <c r="AD3426">
        <v>3.4549999200000001</v>
      </c>
      <c r="AE3426">
        <v>7</v>
      </c>
      <c r="AF3426">
        <v>1</v>
      </c>
      <c r="AG3426">
        <v>3.4330000900000002</v>
      </c>
      <c r="AH3426">
        <v>1</v>
      </c>
      <c r="AI3426">
        <v>38</v>
      </c>
      <c r="AJ3426">
        <v>1</v>
      </c>
      <c r="AK3426">
        <v>11</v>
      </c>
      <c r="AL3426">
        <v>48</v>
      </c>
      <c r="AM3426" t="s">
        <v>43</v>
      </c>
      <c r="AN3426" t="str">
        <f>HYPERLINK("https://www.google.com/maps?q=10.76357269,79.6930542","Open Location")</f>
        <v>Open Location</v>
      </c>
    </row>
    <row r="3427" spans="1:40" x14ac:dyDescent="0.3">
      <c r="A3427" s="1">
        <v>46210.603009259263</v>
      </c>
      <c r="B3427" t="s">
        <v>40</v>
      </c>
      <c r="C3427" t="s">
        <v>41</v>
      </c>
      <c r="D3427" s="1">
        <v>46210.605740740742</v>
      </c>
      <c r="E3427" t="s">
        <v>42</v>
      </c>
      <c r="F3427" t="s">
        <v>43</v>
      </c>
      <c r="G3427">
        <v>0</v>
      </c>
      <c r="H3427">
        <v>33107</v>
      </c>
      <c r="I3427" t="s">
        <v>43</v>
      </c>
      <c r="J3427">
        <v>86</v>
      </c>
      <c r="K3427">
        <v>-318</v>
      </c>
      <c r="L3427">
        <v>98</v>
      </c>
      <c r="M3427">
        <v>661.20001220999995</v>
      </c>
      <c r="N3427" t="s">
        <v>1956</v>
      </c>
      <c r="O3427" t="s">
        <v>43</v>
      </c>
      <c r="P3427">
        <v>125</v>
      </c>
      <c r="Q3427" t="s">
        <v>43</v>
      </c>
      <c r="R3427">
        <v>-1000</v>
      </c>
      <c r="S3427">
        <v>0</v>
      </c>
      <c r="T3427">
        <v>-40</v>
      </c>
      <c r="U3427">
        <v>-40</v>
      </c>
      <c r="V3427">
        <v>-3000</v>
      </c>
      <c r="W3427">
        <v>37</v>
      </c>
      <c r="X3427">
        <v>37</v>
      </c>
      <c r="Y3427">
        <v>1</v>
      </c>
      <c r="Z3427">
        <v>8</v>
      </c>
      <c r="AA3427">
        <v>34</v>
      </c>
      <c r="AB3427">
        <v>2</v>
      </c>
      <c r="AC3427">
        <v>1</v>
      </c>
      <c r="AD3427">
        <v>3.4540000000000002</v>
      </c>
      <c r="AE3427">
        <v>7</v>
      </c>
      <c r="AF3427">
        <v>1</v>
      </c>
      <c r="AG3427">
        <v>3.43199992</v>
      </c>
      <c r="AH3427">
        <v>1</v>
      </c>
      <c r="AI3427">
        <v>38</v>
      </c>
      <c r="AJ3427">
        <v>1</v>
      </c>
      <c r="AK3427">
        <v>11</v>
      </c>
      <c r="AL3427">
        <v>48</v>
      </c>
      <c r="AM3427" t="s">
        <v>43</v>
      </c>
      <c r="AN3427" t="s">
        <v>43</v>
      </c>
    </row>
    <row r="3428" spans="1:40" x14ac:dyDescent="0.3">
      <c r="A3428" s="1">
        <v>46210.602893518517</v>
      </c>
      <c r="B3428" t="s">
        <v>40</v>
      </c>
      <c r="C3428" t="s">
        <v>41</v>
      </c>
      <c r="D3428" s="1">
        <v>46210.605821759258</v>
      </c>
      <c r="E3428" t="s">
        <v>42</v>
      </c>
      <c r="F3428" t="s">
        <v>43</v>
      </c>
      <c r="G3428">
        <v>0</v>
      </c>
      <c r="H3428" t="s">
        <v>43</v>
      </c>
      <c r="I3428" t="s">
        <v>2026</v>
      </c>
      <c r="J3428">
        <v>86</v>
      </c>
      <c r="K3428">
        <v>-318</v>
      </c>
      <c r="L3428">
        <v>98</v>
      </c>
      <c r="M3428">
        <v>660.79998779000005</v>
      </c>
      <c r="N3428" t="s">
        <v>1956</v>
      </c>
      <c r="O3428" t="s">
        <v>43</v>
      </c>
      <c r="P3428">
        <v>125</v>
      </c>
      <c r="Q3428" t="s">
        <v>43</v>
      </c>
      <c r="R3428">
        <v>-1000</v>
      </c>
      <c r="S3428">
        <v>0</v>
      </c>
      <c r="T3428">
        <v>-40</v>
      </c>
      <c r="U3428">
        <v>-40</v>
      </c>
      <c r="V3428">
        <v>-3000</v>
      </c>
      <c r="W3428">
        <v>37</v>
      </c>
      <c r="X3428">
        <v>37</v>
      </c>
      <c r="Y3428">
        <v>1</v>
      </c>
      <c r="Z3428">
        <v>8</v>
      </c>
      <c r="AA3428">
        <v>34</v>
      </c>
      <c r="AB3428">
        <v>2</v>
      </c>
      <c r="AC3428">
        <v>1</v>
      </c>
      <c r="AD3428">
        <v>3.4519999000000001</v>
      </c>
      <c r="AE3428">
        <v>4</v>
      </c>
      <c r="AF3428">
        <v>17</v>
      </c>
      <c r="AG3428">
        <v>3.4309999900000001</v>
      </c>
      <c r="AH3428">
        <v>1</v>
      </c>
      <c r="AI3428">
        <v>38</v>
      </c>
      <c r="AJ3428">
        <v>1</v>
      </c>
      <c r="AK3428">
        <v>12</v>
      </c>
      <c r="AL3428">
        <v>48</v>
      </c>
      <c r="AM3428" t="s">
        <v>43</v>
      </c>
      <c r="AN3428" t="str">
        <f>HYPERLINK("https://www.google.com/maps?q=10.763587,79.6930542","Open Location")</f>
        <v>Open Location</v>
      </c>
    </row>
    <row r="3429" spans="1:40" x14ac:dyDescent="0.3">
      <c r="A3429" s="1">
        <v>46210.602777777778</v>
      </c>
      <c r="B3429" t="s">
        <v>40</v>
      </c>
      <c r="C3429" t="s">
        <v>41</v>
      </c>
      <c r="D3429" s="1">
        <v>46210.605462962965</v>
      </c>
      <c r="E3429" t="s">
        <v>42</v>
      </c>
      <c r="F3429" t="s">
        <v>43</v>
      </c>
      <c r="G3429">
        <v>0</v>
      </c>
      <c r="H3429">
        <v>33107</v>
      </c>
      <c r="I3429" t="s">
        <v>2027</v>
      </c>
      <c r="J3429">
        <v>86</v>
      </c>
      <c r="K3429">
        <v>-320</v>
      </c>
      <c r="L3429">
        <v>98</v>
      </c>
      <c r="M3429">
        <v>660.59997558999999</v>
      </c>
      <c r="N3429" t="s">
        <v>1956</v>
      </c>
      <c r="O3429" t="s">
        <v>43</v>
      </c>
      <c r="P3429">
        <v>125</v>
      </c>
      <c r="Q3429" t="s">
        <v>43</v>
      </c>
      <c r="R3429">
        <v>-1000</v>
      </c>
      <c r="S3429">
        <v>0</v>
      </c>
      <c r="T3429">
        <v>-40</v>
      </c>
      <c r="U3429">
        <v>-40</v>
      </c>
      <c r="V3429">
        <v>-3000</v>
      </c>
      <c r="W3429">
        <v>37</v>
      </c>
      <c r="X3429">
        <v>37</v>
      </c>
      <c r="Y3429">
        <v>1</v>
      </c>
      <c r="Z3429">
        <v>8</v>
      </c>
      <c r="AA3429">
        <v>34</v>
      </c>
      <c r="AB3429">
        <v>2</v>
      </c>
      <c r="AC3429">
        <v>1</v>
      </c>
      <c r="AD3429">
        <v>3.4500000499999999</v>
      </c>
      <c r="AE3429">
        <v>7</v>
      </c>
      <c r="AF3429">
        <v>1</v>
      </c>
      <c r="AG3429">
        <v>3.4289999</v>
      </c>
      <c r="AH3429">
        <v>1</v>
      </c>
      <c r="AI3429">
        <v>38</v>
      </c>
      <c r="AJ3429">
        <v>1</v>
      </c>
      <c r="AK3429">
        <v>11</v>
      </c>
      <c r="AL3429">
        <v>48</v>
      </c>
      <c r="AM3429" t="s">
        <v>43</v>
      </c>
      <c r="AN3429" t="str">
        <f>HYPERLINK("https://www.google.com/maps?q=10.76356983,79.69304657","Open Location")</f>
        <v>Open Location</v>
      </c>
    </row>
    <row r="3430" spans="1:40" x14ac:dyDescent="0.3">
      <c r="A3430" s="1">
        <v>46210.602662037039</v>
      </c>
      <c r="B3430" t="s">
        <v>40</v>
      </c>
      <c r="C3430" t="s">
        <v>41</v>
      </c>
      <c r="D3430" s="1">
        <v>46210.605729166666</v>
      </c>
      <c r="E3430" t="s">
        <v>42</v>
      </c>
      <c r="F3430" t="s">
        <v>43</v>
      </c>
      <c r="G3430">
        <v>0</v>
      </c>
      <c r="H3430">
        <v>33107</v>
      </c>
      <c r="I3430" t="s">
        <v>2028</v>
      </c>
      <c r="J3430">
        <v>86</v>
      </c>
      <c r="K3430">
        <v>-282</v>
      </c>
      <c r="L3430">
        <v>98</v>
      </c>
      <c r="M3430">
        <v>659.09997558999999</v>
      </c>
      <c r="N3430" t="s">
        <v>1956</v>
      </c>
      <c r="O3430" t="s">
        <v>43</v>
      </c>
      <c r="P3430">
        <v>125</v>
      </c>
      <c r="Q3430" t="s">
        <v>43</v>
      </c>
      <c r="R3430">
        <v>-1000</v>
      </c>
      <c r="S3430">
        <v>0</v>
      </c>
      <c r="T3430">
        <v>-40</v>
      </c>
      <c r="U3430">
        <v>-40</v>
      </c>
      <c r="V3430">
        <v>-3000</v>
      </c>
      <c r="W3430">
        <v>37</v>
      </c>
      <c r="X3430">
        <v>37</v>
      </c>
      <c r="Y3430">
        <v>1</v>
      </c>
      <c r="Z3430">
        <v>8</v>
      </c>
      <c r="AA3430">
        <v>34</v>
      </c>
      <c r="AB3430">
        <v>2</v>
      </c>
      <c r="AC3430">
        <v>1</v>
      </c>
      <c r="AD3430">
        <v>3.44300008</v>
      </c>
      <c r="AE3430">
        <v>7</v>
      </c>
      <c r="AF3430">
        <v>1</v>
      </c>
      <c r="AG3430">
        <v>3.4230000999999999</v>
      </c>
      <c r="AH3430">
        <v>1</v>
      </c>
      <c r="AI3430">
        <v>42</v>
      </c>
      <c r="AJ3430">
        <v>1</v>
      </c>
      <c r="AK3430">
        <v>11</v>
      </c>
      <c r="AL3430">
        <v>48</v>
      </c>
      <c r="AM3430" t="s">
        <v>43</v>
      </c>
      <c r="AN3430" t="str">
        <f>HYPERLINK("https://www.google.com/maps?q=10.76355457,79.69303894","Open Location")</f>
        <v>Open Location</v>
      </c>
    </row>
    <row r="3431" spans="1:40" x14ac:dyDescent="0.3">
      <c r="A3431" s="1">
        <v>46210.602546296293</v>
      </c>
      <c r="B3431" t="s">
        <v>40</v>
      </c>
      <c r="C3431" t="s">
        <v>41</v>
      </c>
      <c r="D3431" s="1">
        <v>46210.605358796296</v>
      </c>
      <c r="E3431" t="s">
        <v>42</v>
      </c>
      <c r="F3431" t="s">
        <v>43</v>
      </c>
      <c r="G3431">
        <v>0</v>
      </c>
      <c r="H3431">
        <v>33107</v>
      </c>
      <c r="I3431" t="s">
        <v>2029</v>
      </c>
      <c r="J3431">
        <v>86</v>
      </c>
      <c r="K3431">
        <v>-282</v>
      </c>
      <c r="L3431">
        <v>98</v>
      </c>
      <c r="M3431">
        <v>659.09997558999999</v>
      </c>
      <c r="N3431" t="s">
        <v>1956</v>
      </c>
      <c r="O3431" t="s">
        <v>43</v>
      </c>
      <c r="P3431">
        <v>125</v>
      </c>
      <c r="Q3431" t="s">
        <v>43</v>
      </c>
      <c r="R3431">
        <v>-1000</v>
      </c>
      <c r="S3431">
        <v>0</v>
      </c>
      <c r="T3431">
        <v>-40</v>
      </c>
      <c r="U3431">
        <v>-40</v>
      </c>
      <c r="V3431">
        <v>-3000</v>
      </c>
      <c r="W3431">
        <v>37</v>
      </c>
      <c r="X3431">
        <v>37</v>
      </c>
      <c r="Y3431">
        <v>1</v>
      </c>
      <c r="Z3431">
        <v>8</v>
      </c>
      <c r="AA3431">
        <v>34</v>
      </c>
      <c r="AB3431">
        <v>2</v>
      </c>
      <c r="AC3431">
        <v>1</v>
      </c>
      <c r="AD3431">
        <v>3.44300008</v>
      </c>
      <c r="AE3431">
        <v>7</v>
      </c>
      <c r="AF3431">
        <v>1</v>
      </c>
      <c r="AG3431">
        <v>3.4230000999999999</v>
      </c>
      <c r="AH3431">
        <v>1</v>
      </c>
      <c r="AI3431">
        <v>38</v>
      </c>
      <c r="AJ3431">
        <v>1</v>
      </c>
      <c r="AK3431">
        <v>11</v>
      </c>
      <c r="AL3431">
        <v>48</v>
      </c>
      <c r="AM3431" t="s">
        <v>43</v>
      </c>
      <c r="AN3431" t="str">
        <f>HYPERLINK("https://www.google.com/maps?q=10.76354694,79.6930542","Open Location")</f>
        <v>Open Location</v>
      </c>
    </row>
    <row r="3432" spans="1:40" x14ac:dyDescent="0.3">
      <c r="A3432" s="1">
        <v>46210.602430555555</v>
      </c>
      <c r="B3432" t="s">
        <v>40</v>
      </c>
      <c r="C3432" t="s">
        <v>41</v>
      </c>
      <c r="D3432" s="1">
        <v>46210.605462962965</v>
      </c>
      <c r="E3432" t="s">
        <v>42</v>
      </c>
      <c r="F3432" t="s">
        <v>43</v>
      </c>
      <c r="G3432">
        <v>0</v>
      </c>
      <c r="H3432">
        <v>33107</v>
      </c>
      <c r="I3432" t="s">
        <v>2030</v>
      </c>
      <c r="J3432">
        <v>85</v>
      </c>
      <c r="K3432">
        <v>-282</v>
      </c>
      <c r="L3432">
        <v>98</v>
      </c>
      <c r="M3432">
        <v>659.20001220999995</v>
      </c>
      <c r="N3432" t="s">
        <v>1956</v>
      </c>
      <c r="O3432" t="s">
        <v>43</v>
      </c>
      <c r="P3432">
        <v>125</v>
      </c>
      <c r="Q3432" t="s">
        <v>43</v>
      </c>
      <c r="R3432">
        <v>-1000</v>
      </c>
      <c r="S3432">
        <v>0</v>
      </c>
      <c r="T3432">
        <v>-40</v>
      </c>
      <c r="U3432">
        <v>-40</v>
      </c>
      <c r="V3432">
        <v>-3000</v>
      </c>
      <c r="W3432">
        <v>37</v>
      </c>
      <c r="X3432">
        <v>37</v>
      </c>
      <c r="Y3432">
        <v>1</v>
      </c>
      <c r="Z3432">
        <v>8</v>
      </c>
      <c r="AA3432">
        <v>34</v>
      </c>
      <c r="AB3432">
        <v>2</v>
      </c>
      <c r="AC3432">
        <v>1</v>
      </c>
      <c r="AD3432">
        <v>3.4419999099999998</v>
      </c>
      <c r="AE3432">
        <v>4</v>
      </c>
      <c r="AF3432">
        <v>17</v>
      </c>
      <c r="AG3432">
        <v>3.4219999300000001</v>
      </c>
      <c r="AH3432">
        <v>1</v>
      </c>
      <c r="AI3432">
        <v>42</v>
      </c>
      <c r="AJ3432">
        <v>1</v>
      </c>
      <c r="AK3432">
        <v>11</v>
      </c>
      <c r="AL3432">
        <v>48</v>
      </c>
      <c r="AM3432" t="s">
        <v>43</v>
      </c>
      <c r="AN3432" t="str">
        <f>HYPERLINK("https://www.google.com/maps?q=10.76354408,79.69307709","Open Location")</f>
        <v>Open Location</v>
      </c>
    </row>
    <row r="3433" spans="1:40" x14ac:dyDescent="0.3">
      <c r="A3433" s="1">
        <v>46210.602314814816</v>
      </c>
      <c r="B3433" t="s">
        <v>40</v>
      </c>
      <c r="C3433" t="s">
        <v>41</v>
      </c>
      <c r="D3433" s="1">
        <v>46210.605393518519</v>
      </c>
      <c r="E3433" t="s">
        <v>42</v>
      </c>
      <c r="F3433" t="s">
        <v>43</v>
      </c>
      <c r="G3433">
        <v>0</v>
      </c>
      <c r="H3433">
        <v>33107</v>
      </c>
      <c r="I3433" t="s">
        <v>43</v>
      </c>
      <c r="J3433">
        <v>85</v>
      </c>
      <c r="K3433">
        <v>-282</v>
      </c>
      <c r="L3433">
        <v>98</v>
      </c>
      <c r="M3433">
        <v>658.79998779000005</v>
      </c>
      <c r="N3433" t="s">
        <v>1956</v>
      </c>
      <c r="O3433" t="s">
        <v>43</v>
      </c>
      <c r="P3433">
        <v>125</v>
      </c>
      <c r="Q3433" t="s">
        <v>43</v>
      </c>
      <c r="R3433">
        <v>-1000</v>
      </c>
      <c r="S3433">
        <v>0</v>
      </c>
      <c r="T3433">
        <v>-40</v>
      </c>
      <c r="U3433">
        <v>-40</v>
      </c>
      <c r="V3433">
        <v>-3000</v>
      </c>
      <c r="W3433">
        <v>37</v>
      </c>
      <c r="X3433">
        <v>37</v>
      </c>
      <c r="Y3433">
        <v>1</v>
      </c>
      <c r="Z3433">
        <v>8</v>
      </c>
      <c r="AA3433">
        <v>34</v>
      </c>
      <c r="AB3433">
        <v>2</v>
      </c>
      <c r="AC3433">
        <v>1</v>
      </c>
      <c r="AD3433">
        <v>3.4419999099999998</v>
      </c>
      <c r="AE3433">
        <v>7</v>
      </c>
      <c r="AF3433">
        <v>1</v>
      </c>
      <c r="AG3433">
        <v>3.4219999300000001</v>
      </c>
      <c r="AH3433">
        <v>1</v>
      </c>
      <c r="AI3433">
        <v>42</v>
      </c>
      <c r="AJ3433">
        <v>1</v>
      </c>
      <c r="AK3433">
        <v>11</v>
      </c>
      <c r="AL3433">
        <v>48</v>
      </c>
      <c r="AM3433" t="s">
        <v>43</v>
      </c>
      <c r="AN3433" t="s">
        <v>43</v>
      </c>
    </row>
    <row r="3434" spans="1:40" x14ac:dyDescent="0.3">
      <c r="A3434" s="1">
        <v>46210.602199074077</v>
      </c>
      <c r="B3434" t="s">
        <v>40</v>
      </c>
      <c r="C3434" t="s">
        <v>41</v>
      </c>
      <c r="D3434" s="1">
        <v>46210.605162037034</v>
      </c>
      <c r="E3434" t="s">
        <v>42</v>
      </c>
      <c r="F3434" t="s">
        <v>43</v>
      </c>
      <c r="G3434">
        <v>0</v>
      </c>
      <c r="H3434">
        <v>33107</v>
      </c>
      <c r="I3434" t="s">
        <v>2031</v>
      </c>
      <c r="J3434">
        <v>85</v>
      </c>
      <c r="K3434">
        <v>-282</v>
      </c>
      <c r="L3434">
        <v>98</v>
      </c>
      <c r="M3434">
        <v>658.70001220999995</v>
      </c>
      <c r="N3434" t="s">
        <v>1956</v>
      </c>
      <c r="O3434" t="s">
        <v>43</v>
      </c>
      <c r="P3434">
        <v>125</v>
      </c>
      <c r="Q3434" t="s">
        <v>43</v>
      </c>
      <c r="R3434">
        <v>-1000</v>
      </c>
      <c r="S3434">
        <v>0</v>
      </c>
      <c r="T3434">
        <v>-40</v>
      </c>
      <c r="U3434">
        <v>-40</v>
      </c>
      <c r="V3434">
        <v>-3000</v>
      </c>
      <c r="W3434">
        <v>37</v>
      </c>
      <c r="X3434">
        <v>37</v>
      </c>
      <c r="Y3434">
        <v>1</v>
      </c>
      <c r="Z3434">
        <v>8</v>
      </c>
      <c r="AA3434">
        <v>34</v>
      </c>
      <c r="AB3434">
        <v>2</v>
      </c>
      <c r="AC3434">
        <v>1</v>
      </c>
      <c r="AD3434">
        <v>3.44099998</v>
      </c>
      <c r="AE3434">
        <v>4</v>
      </c>
      <c r="AF3434">
        <v>17</v>
      </c>
      <c r="AG3434">
        <v>3.4219999300000001</v>
      </c>
      <c r="AH3434">
        <v>1</v>
      </c>
      <c r="AI3434">
        <v>42</v>
      </c>
      <c r="AJ3434">
        <v>1</v>
      </c>
      <c r="AK3434">
        <v>12</v>
      </c>
      <c r="AL3434">
        <v>48</v>
      </c>
      <c r="AM3434" t="s">
        <v>43</v>
      </c>
      <c r="AN3434" t="str">
        <f>HYPERLINK("https://www.google.com/maps?q=10.76356316,79.69308472","Open Location")</f>
        <v>Open Location</v>
      </c>
    </row>
    <row r="3435" spans="1:40" x14ac:dyDescent="0.3">
      <c r="A3435" s="1">
        <v>46210.602083333331</v>
      </c>
      <c r="B3435" t="s">
        <v>40</v>
      </c>
      <c r="C3435" t="s">
        <v>41</v>
      </c>
      <c r="D3435" s="1">
        <v>46210.60491898148</v>
      </c>
      <c r="E3435" t="s">
        <v>42</v>
      </c>
      <c r="F3435" t="s">
        <v>43</v>
      </c>
      <c r="G3435">
        <v>0</v>
      </c>
      <c r="H3435">
        <v>33107</v>
      </c>
      <c r="I3435" t="s">
        <v>2032</v>
      </c>
      <c r="J3435">
        <v>85</v>
      </c>
      <c r="K3435">
        <v>-282</v>
      </c>
      <c r="L3435">
        <v>98</v>
      </c>
      <c r="M3435">
        <v>658.79998779000005</v>
      </c>
      <c r="N3435" t="s">
        <v>1956</v>
      </c>
      <c r="O3435" t="s">
        <v>43</v>
      </c>
      <c r="P3435">
        <v>125</v>
      </c>
      <c r="Q3435" t="s">
        <v>43</v>
      </c>
      <c r="R3435">
        <v>-1000</v>
      </c>
      <c r="S3435">
        <v>0</v>
      </c>
      <c r="T3435">
        <v>-40</v>
      </c>
      <c r="U3435">
        <v>-40</v>
      </c>
      <c r="V3435">
        <v>-3000</v>
      </c>
      <c r="W3435">
        <v>37</v>
      </c>
      <c r="X3435">
        <v>37</v>
      </c>
      <c r="Y3435">
        <v>1</v>
      </c>
      <c r="Z3435">
        <v>8</v>
      </c>
      <c r="AA3435">
        <v>34</v>
      </c>
      <c r="AB3435">
        <v>2</v>
      </c>
      <c r="AC3435">
        <v>1</v>
      </c>
      <c r="AD3435">
        <v>3.44099998</v>
      </c>
      <c r="AE3435">
        <v>4</v>
      </c>
      <c r="AF3435">
        <v>17</v>
      </c>
      <c r="AG3435">
        <v>3.4219999300000001</v>
      </c>
      <c r="AH3435">
        <v>1</v>
      </c>
      <c r="AI3435">
        <v>38</v>
      </c>
      <c r="AJ3435">
        <v>1</v>
      </c>
      <c r="AK3435">
        <v>11</v>
      </c>
      <c r="AL3435">
        <v>48</v>
      </c>
      <c r="AM3435" t="s">
        <v>43</v>
      </c>
      <c r="AN3435" t="str">
        <f>HYPERLINK("https://www.google.com/maps?q=10.76357269,79.69309235","Open Location")</f>
        <v>Open Location</v>
      </c>
    </row>
    <row r="3436" spans="1:40" x14ac:dyDescent="0.3">
      <c r="A3436" s="1">
        <v>46210.601967592593</v>
      </c>
      <c r="B3436" t="s">
        <v>40</v>
      </c>
      <c r="C3436" t="s">
        <v>41</v>
      </c>
      <c r="D3436" s="1">
        <v>46210.604895833334</v>
      </c>
      <c r="E3436" t="s">
        <v>42</v>
      </c>
      <c r="F3436" t="s">
        <v>43</v>
      </c>
      <c r="G3436">
        <v>0</v>
      </c>
      <c r="H3436">
        <v>33107</v>
      </c>
      <c r="I3436" t="s">
        <v>2033</v>
      </c>
      <c r="J3436">
        <v>85</v>
      </c>
      <c r="K3436">
        <v>-282</v>
      </c>
      <c r="L3436">
        <v>98</v>
      </c>
      <c r="M3436">
        <v>658.90002441000001</v>
      </c>
      <c r="N3436" t="s">
        <v>1956</v>
      </c>
      <c r="O3436" t="s">
        <v>43</v>
      </c>
      <c r="P3436">
        <v>125</v>
      </c>
      <c r="Q3436" t="s">
        <v>43</v>
      </c>
      <c r="R3436">
        <v>-1000</v>
      </c>
      <c r="S3436">
        <v>0</v>
      </c>
      <c r="T3436">
        <v>-40</v>
      </c>
      <c r="U3436">
        <v>-40</v>
      </c>
      <c r="V3436">
        <v>-3000</v>
      </c>
      <c r="W3436">
        <v>37</v>
      </c>
      <c r="X3436">
        <v>37</v>
      </c>
      <c r="Y3436">
        <v>1</v>
      </c>
      <c r="Z3436">
        <v>8</v>
      </c>
      <c r="AA3436">
        <v>34</v>
      </c>
      <c r="AB3436">
        <v>2</v>
      </c>
      <c r="AC3436">
        <v>1</v>
      </c>
      <c r="AD3436">
        <v>3.44099998</v>
      </c>
      <c r="AE3436">
        <v>7</v>
      </c>
      <c r="AF3436">
        <v>1</v>
      </c>
      <c r="AG3436">
        <v>3.4209999999999998</v>
      </c>
      <c r="AH3436">
        <v>1</v>
      </c>
      <c r="AI3436">
        <v>42</v>
      </c>
      <c r="AJ3436">
        <v>1</v>
      </c>
      <c r="AK3436">
        <v>11</v>
      </c>
      <c r="AL3436">
        <v>48</v>
      </c>
      <c r="AM3436" t="s">
        <v>43</v>
      </c>
      <c r="AN3436" t="str">
        <f>HYPERLINK("https://www.google.com/maps?q=10.76356506,79.69308472","Open Location")</f>
        <v>Open Location</v>
      </c>
    </row>
    <row r="3437" spans="1:40" x14ac:dyDescent="0.3">
      <c r="A3437" s="1">
        <v>46210.601851851854</v>
      </c>
      <c r="B3437" t="s">
        <v>40</v>
      </c>
      <c r="C3437" t="s">
        <v>41</v>
      </c>
      <c r="D3437" s="1">
        <v>46210.604722222219</v>
      </c>
      <c r="E3437" t="s">
        <v>42</v>
      </c>
      <c r="F3437" t="s">
        <v>43</v>
      </c>
      <c r="G3437">
        <v>0</v>
      </c>
      <c r="H3437">
        <v>33107</v>
      </c>
      <c r="I3437" t="s">
        <v>2034</v>
      </c>
      <c r="J3437">
        <v>84</v>
      </c>
      <c r="K3437">
        <v>-282</v>
      </c>
      <c r="L3437">
        <v>98</v>
      </c>
      <c r="M3437">
        <v>658.59997558999999</v>
      </c>
      <c r="N3437" t="s">
        <v>1956</v>
      </c>
      <c r="O3437" t="s">
        <v>43</v>
      </c>
      <c r="P3437">
        <v>125</v>
      </c>
      <c r="Q3437" t="s">
        <v>43</v>
      </c>
      <c r="R3437">
        <v>-1000</v>
      </c>
      <c r="S3437">
        <v>0</v>
      </c>
      <c r="T3437">
        <v>-40</v>
      </c>
      <c r="U3437">
        <v>-40</v>
      </c>
      <c r="V3437">
        <v>-3000</v>
      </c>
      <c r="W3437">
        <v>37</v>
      </c>
      <c r="X3437">
        <v>37</v>
      </c>
      <c r="Y3437">
        <v>1</v>
      </c>
      <c r="Z3437">
        <v>8</v>
      </c>
      <c r="AA3437">
        <v>34</v>
      </c>
      <c r="AB3437">
        <v>2</v>
      </c>
      <c r="AC3437">
        <v>3</v>
      </c>
      <c r="AD3437">
        <v>3.44000006</v>
      </c>
      <c r="AE3437">
        <v>4</v>
      </c>
      <c r="AF3437">
        <v>17</v>
      </c>
      <c r="AG3437">
        <v>3.4209999999999998</v>
      </c>
      <c r="AH3437">
        <v>1</v>
      </c>
      <c r="AI3437">
        <v>42</v>
      </c>
      <c r="AJ3437">
        <v>1</v>
      </c>
      <c r="AK3437">
        <v>11</v>
      </c>
      <c r="AL3437">
        <v>48</v>
      </c>
      <c r="AM3437" t="s">
        <v>43</v>
      </c>
      <c r="AN3437" t="str">
        <f>HYPERLINK("https://www.google.com/maps?q=10.76356792,79.69307709","Open Location")</f>
        <v>Open Location</v>
      </c>
    </row>
    <row r="3438" spans="1:40" x14ac:dyDescent="0.3">
      <c r="A3438" s="1">
        <v>46210.601736111108</v>
      </c>
      <c r="B3438" t="s">
        <v>40</v>
      </c>
      <c r="C3438" t="s">
        <v>41</v>
      </c>
      <c r="D3438" s="1">
        <v>46210.604513888888</v>
      </c>
      <c r="E3438" t="s">
        <v>42</v>
      </c>
      <c r="F3438" t="s">
        <v>43</v>
      </c>
      <c r="G3438">
        <v>0</v>
      </c>
      <c r="H3438">
        <v>33107</v>
      </c>
      <c r="I3438" t="s">
        <v>2035</v>
      </c>
      <c r="J3438">
        <v>84</v>
      </c>
      <c r="K3438">
        <v>-282</v>
      </c>
      <c r="L3438">
        <v>98</v>
      </c>
      <c r="M3438">
        <v>658.70001220999995</v>
      </c>
      <c r="N3438" t="s">
        <v>1956</v>
      </c>
      <c r="O3438" t="s">
        <v>43</v>
      </c>
      <c r="P3438">
        <v>125</v>
      </c>
      <c r="Q3438" t="s">
        <v>43</v>
      </c>
      <c r="R3438">
        <v>-1000</v>
      </c>
      <c r="S3438">
        <v>0</v>
      </c>
      <c r="T3438">
        <v>-40</v>
      </c>
      <c r="U3438">
        <v>-40</v>
      </c>
      <c r="V3438">
        <v>-3000</v>
      </c>
      <c r="W3438">
        <v>37</v>
      </c>
      <c r="X3438">
        <v>37</v>
      </c>
      <c r="Y3438">
        <v>1</v>
      </c>
      <c r="Z3438">
        <v>8</v>
      </c>
      <c r="AA3438">
        <v>34</v>
      </c>
      <c r="AB3438">
        <v>2</v>
      </c>
      <c r="AC3438">
        <v>3</v>
      </c>
      <c r="AD3438">
        <v>3.44000006</v>
      </c>
      <c r="AE3438">
        <v>6</v>
      </c>
      <c r="AF3438">
        <v>24</v>
      </c>
      <c r="AG3438">
        <v>3.4209999999999998</v>
      </c>
      <c r="AH3438">
        <v>1</v>
      </c>
      <c r="AI3438">
        <v>38</v>
      </c>
      <c r="AJ3438">
        <v>1</v>
      </c>
      <c r="AK3438">
        <v>11</v>
      </c>
      <c r="AL3438">
        <v>48</v>
      </c>
      <c r="AM3438" t="s">
        <v>43</v>
      </c>
      <c r="AN3438" t="str">
        <f>HYPERLINK("https://www.google.com/maps?q=10.76356697,79.69307709","Open Location")</f>
        <v>Open Location</v>
      </c>
    </row>
    <row r="3439" spans="1:40" x14ac:dyDescent="0.3">
      <c r="A3439" s="1">
        <v>46210.601620370369</v>
      </c>
      <c r="B3439" t="s">
        <v>40</v>
      </c>
      <c r="C3439" t="s">
        <v>41</v>
      </c>
      <c r="D3439" s="1">
        <v>46210.604641203703</v>
      </c>
      <c r="E3439" t="s">
        <v>42</v>
      </c>
      <c r="F3439" t="s">
        <v>43</v>
      </c>
      <c r="G3439">
        <v>0</v>
      </c>
      <c r="H3439">
        <v>33107</v>
      </c>
      <c r="I3439" t="s">
        <v>43</v>
      </c>
      <c r="J3439">
        <v>84</v>
      </c>
      <c r="K3439">
        <v>-280</v>
      </c>
      <c r="L3439">
        <v>98</v>
      </c>
      <c r="M3439">
        <v>658.70001220999995</v>
      </c>
      <c r="N3439" t="s">
        <v>1956</v>
      </c>
      <c r="O3439" t="s">
        <v>43</v>
      </c>
      <c r="P3439">
        <v>125</v>
      </c>
      <c r="Q3439" t="s">
        <v>43</v>
      </c>
      <c r="R3439">
        <v>-1000</v>
      </c>
      <c r="S3439">
        <v>0</v>
      </c>
      <c r="T3439">
        <v>-40</v>
      </c>
      <c r="U3439">
        <v>-40</v>
      </c>
      <c r="V3439">
        <v>-3000</v>
      </c>
      <c r="W3439">
        <v>37</v>
      </c>
      <c r="X3439">
        <v>37</v>
      </c>
      <c r="Y3439">
        <v>1</v>
      </c>
      <c r="Z3439">
        <v>8</v>
      </c>
      <c r="AA3439">
        <v>34</v>
      </c>
      <c r="AB3439">
        <v>2</v>
      </c>
      <c r="AC3439">
        <v>4</v>
      </c>
      <c r="AD3439">
        <v>3.4389998899999998</v>
      </c>
      <c r="AE3439">
        <v>6</v>
      </c>
      <c r="AF3439">
        <v>24</v>
      </c>
      <c r="AG3439">
        <v>3.4200000799999999</v>
      </c>
      <c r="AH3439">
        <v>1</v>
      </c>
      <c r="AI3439">
        <v>42</v>
      </c>
      <c r="AJ3439">
        <v>1</v>
      </c>
      <c r="AK3439">
        <v>11</v>
      </c>
      <c r="AL3439">
        <v>48</v>
      </c>
      <c r="AM3439" t="s">
        <v>43</v>
      </c>
      <c r="AN3439" t="s">
        <v>43</v>
      </c>
    </row>
    <row r="3440" spans="1:40" x14ac:dyDescent="0.3">
      <c r="A3440" s="1">
        <v>46210.601504629631</v>
      </c>
      <c r="B3440" t="s">
        <v>40</v>
      </c>
      <c r="C3440" t="s">
        <v>41</v>
      </c>
      <c r="D3440" s="1">
        <v>46210.604722222219</v>
      </c>
      <c r="E3440" t="s">
        <v>42</v>
      </c>
      <c r="F3440" t="s">
        <v>43</v>
      </c>
      <c r="G3440">
        <v>0</v>
      </c>
      <c r="H3440">
        <v>33107</v>
      </c>
      <c r="I3440" t="s">
        <v>2036</v>
      </c>
      <c r="J3440">
        <v>84</v>
      </c>
      <c r="K3440">
        <v>-277</v>
      </c>
      <c r="L3440">
        <v>98</v>
      </c>
      <c r="M3440">
        <v>658.40002441000001</v>
      </c>
      <c r="N3440" t="s">
        <v>1956</v>
      </c>
      <c r="O3440" t="s">
        <v>43</v>
      </c>
      <c r="P3440">
        <v>125</v>
      </c>
      <c r="Q3440" t="s">
        <v>43</v>
      </c>
      <c r="R3440">
        <v>-1000</v>
      </c>
      <c r="S3440">
        <v>0</v>
      </c>
      <c r="T3440">
        <v>-40</v>
      </c>
      <c r="U3440">
        <v>-40</v>
      </c>
      <c r="V3440">
        <v>-3000</v>
      </c>
      <c r="W3440">
        <v>37</v>
      </c>
      <c r="X3440">
        <v>37</v>
      </c>
      <c r="Y3440">
        <v>1</v>
      </c>
      <c r="Z3440">
        <v>8</v>
      </c>
      <c r="AA3440">
        <v>34</v>
      </c>
      <c r="AB3440">
        <v>2</v>
      </c>
      <c r="AC3440">
        <v>4</v>
      </c>
      <c r="AD3440">
        <v>3.4389998899999998</v>
      </c>
      <c r="AE3440">
        <v>4</v>
      </c>
      <c r="AF3440">
        <v>17</v>
      </c>
      <c r="AG3440">
        <v>3.4200000799999999</v>
      </c>
      <c r="AH3440">
        <v>1</v>
      </c>
      <c r="AI3440">
        <v>42</v>
      </c>
      <c r="AJ3440">
        <v>1</v>
      </c>
      <c r="AK3440">
        <v>11</v>
      </c>
      <c r="AL3440">
        <v>48</v>
      </c>
      <c r="AM3440" t="s">
        <v>43</v>
      </c>
      <c r="AN3440" t="str">
        <f>HYPERLINK("https://www.google.com/maps?q=10.76357555,79.69307709","Open Location")</f>
        <v>Open Location</v>
      </c>
    </row>
    <row r="3441" spans="1:40" x14ac:dyDescent="0.3">
      <c r="A3441" s="1">
        <v>46210.601388888892</v>
      </c>
      <c r="B3441" t="s">
        <v>40</v>
      </c>
      <c r="C3441" t="s">
        <v>41</v>
      </c>
      <c r="D3441" s="1">
        <v>46210.604375000003</v>
      </c>
      <c r="E3441" t="s">
        <v>42</v>
      </c>
      <c r="F3441" t="s">
        <v>43</v>
      </c>
      <c r="G3441">
        <v>0</v>
      </c>
      <c r="H3441">
        <v>33107</v>
      </c>
      <c r="I3441" t="s">
        <v>2037</v>
      </c>
      <c r="J3441">
        <v>84</v>
      </c>
      <c r="K3441">
        <v>-280</v>
      </c>
      <c r="L3441">
        <v>98</v>
      </c>
      <c r="M3441">
        <v>658.59997558999999</v>
      </c>
      <c r="N3441" t="s">
        <v>1956</v>
      </c>
      <c r="O3441" t="s">
        <v>43</v>
      </c>
      <c r="P3441">
        <v>125</v>
      </c>
      <c r="Q3441" t="s">
        <v>43</v>
      </c>
      <c r="R3441">
        <v>-1000</v>
      </c>
      <c r="S3441">
        <v>0</v>
      </c>
      <c r="T3441">
        <v>-40</v>
      </c>
      <c r="U3441">
        <v>-40</v>
      </c>
      <c r="V3441">
        <v>-3000</v>
      </c>
      <c r="W3441">
        <v>37</v>
      </c>
      <c r="X3441">
        <v>37</v>
      </c>
      <c r="Y3441">
        <v>1</v>
      </c>
      <c r="Z3441">
        <v>8</v>
      </c>
      <c r="AA3441">
        <v>34</v>
      </c>
      <c r="AB3441">
        <v>2</v>
      </c>
      <c r="AC3441">
        <v>5</v>
      </c>
      <c r="AD3441">
        <v>3.4389998899999998</v>
      </c>
      <c r="AE3441">
        <v>6</v>
      </c>
      <c r="AF3441">
        <v>24</v>
      </c>
      <c r="AG3441">
        <v>3.4200000799999999</v>
      </c>
      <c r="AH3441">
        <v>1</v>
      </c>
      <c r="AI3441">
        <v>42</v>
      </c>
      <c r="AJ3441">
        <v>1</v>
      </c>
      <c r="AK3441">
        <v>12</v>
      </c>
      <c r="AL3441">
        <v>48</v>
      </c>
      <c r="AM3441" t="s">
        <v>43</v>
      </c>
      <c r="AN3441" t="str">
        <f>HYPERLINK("https://www.google.com/maps?q=10.76357841,79.69309235","Open Location")</f>
        <v>Open Location</v>
      </c>
    </row>
    <row r="3442" spans="1:40" x14ac:dyDescent="0.3">
      <c r="A3442" s="1">
        <v>46210.601273148146</v>
      </c>
      <c r="B3442" t="s">
        <v>40</v>
      </c>
      <c r="C3442" t="s">
        <v>41</v>
      </c>
      <c r="D3442" s="1">
        <v>46210.60429398148</v>
      </c>
      <c r="E3442" t="s">
        <v>42</v>
      </c>
      <c r="F3442" t="s">
        <v>43</v>
      </c>
      <c r="G3442">
        <v>0</v>
      </c>
      <c r="H3442">
        <v>33107</v>
      </c>
      <c r="I3442" t="s">
        <v>2038</v>
      </c>
      <c r="J3442">
        <v>84</v>
      </c>
      <c r="K3442">
        <v>-282</v>
      </c>
      <c r="L3442">
        <v>98</v>
      </c>
      <c r="M3442">
        <v>658.40002441000001</v>
      </c>
      <c r="N3442" t="s">
        <v>1956</v>
      </c>
      <c r="O3442" t="s">
        <v>43</v>
      </c>
      <c r="P3442">
        <v>125</v>
      </c>
      <c r="Q3442" t="s">
        <v>43</v>
      </c>
      <c r="R3442">
        <v>-1000</v>
      </c>
      <c r="S3442">
        <v>0</v>
      </c>
      <c r="T3442">
        <v>-40</v>
      </c>
      <c r="U3442">
        <v>-40</v>
      </c>
      <c r="V3442">
        <v>-3000</v>
      </c>
      <c r="W3442">
        <v>37</v>
      </c>
      <c r="X3442">
        <v>37</v>
      </c>
      <c r="Y3442">
        <v>1</v>
      </c>
      <c r="Z3442">
        <v>7</v>
      </c>
      <c r="AA3442">
        <v>34</v>
      </c>
      <c r="AB3442">
        <v>2</v>
      </c>
      <c r="AC3442">
        <v>5</v>
      </c>
      <c r="AD3442">
        <v>3.43799996</v>
      </c>
      <c r="AE3442">
        <v>6</v>
      </c>
      <c r="AF3442">
        <v>24</v>
      </c>
      <c r="AG3442">
        <v>3.4189999100000001</v>
      </c>
      <c r="AH3442">
        <v>1</v>
      </c>
      <c r="AI3442">
        <v>42</v>
      </c>
      <c r="AJ3442">
        <v>1</v>
      </c>
      <c r="AK3442">
        <v>11</v>
      </c>
      <c r="AL3442">
        <v>48</v>
      </c>
      <c r="AM3442" t="s">
        <v>43</v>
      </c>
      <c r="AN3442" t="str">
        <f>HYPERLINK("https://www.google.com/maps?q=10.76358604,79.69311523","Open Location")</f>
        <v>Open Location</v>
      </c>
    </row>
    <row r="3443" spans="1:40" x14ac:dyDescent="0.3">
      <c r="A3443" s="1">
        <v>46210.601157407407</v>
      </c>
      <c r="B3443" t="s">
        <v>40</v>
      </c>
      <c r="C3443" t="s">
        <v>41</v>
      </c>
      <c r="D3443" s="1">
        <v>46210.603981481479</v>
      </c>
      <c r="E3443" t="s">
        <v>42</v>
      </c>
      <c r="F3443" t="s">
        <v>43</v>
      </c>
      <c r="G3443">
        <v>0</v>
      </c>
      <c r="H3443">
        <v>33107</v>
      </c>
      <c r="I3443" t="s">
        <v>2039</v>
      </c>
      <c r="J3443">
        <v>83</v>
      </c>
      <c r="K3443">
        <v>-282</v>
      </c>
      <c r="L3443">
        <v>98</v>
      </c>
      <c r="M3443">
        <v>658.5</v>
      </c>
      <c r="N3443" t="s">
        <v>1956</v>
      </c>
      <c r="O3443" t="s">
        <v>43</v>
      </c>
      <c r="P3443">
        <v>125</v>
      </c>
      <c r="Q3443" t="s">
        <v>43</v>
      </c>
      <c r="R3443">
        <v>-1000</v>
      </c>
      <c r="S3443">
        <v>0</v>
      </c>
      <c r="T3443">
        <v>-40</v>
      </c>
      <c r="U3443">
        <v>-40</v>
      </c>
      <c r="V3443">
        <v>-3000</v>
      </c>
      <c r="W3443">
        <v>37</v>
      </c>
      <c r="X3443">
        <v>37</v>
      </c>
      <c r="Y3443">
        <v>1</v>
      </c>
      <c r="Z3443">
        <v>7</v>
      </c>
      <c r="AA3443">
        <v>34</v>
      </c>
      <c r="AB3443">
        <v>2</v>
      </c>
      <c r="AC3443">
        <v>5</v>
      </c>
      <c r="AD3443">
        <v>3.43799996</v>
      </c>
      <c r="AE3443">
        <v>6</v>
      </c>
      <c r="AF3443">
        <v>24</v>
      </c>
      <c r="AG3443">
        <v>3.4189999100000001</v>
      </c>
      <c r="AH3443">
        <v>1</v>
      </c>
      <c r="AI3443">
        <v>42</v>
      </c>
      <c r="AJ3443">
        <v>1</v>
      </c>
      <c r="AK3443">
        <v>12</v>
      </c>
      <c r="AL3443">
        <v>48</v>
      </c>
      <c r="AM3443" t="s">
        <v>43</v>
      </c>
      <c r="AN3443" t="str">
        <f>HYPERLINK("https://www.google.com/maps?q=10.76358414,79.6931076","Open Location")</f>
        <v>Open Location</v>
      </c>
    </row>
    <row r="3444" spans="1:40" x14ac:dyDescent="0.3">
      <c r="A3444" s="1">
        <v>46210.601041666669</v>
      </c>
      <c r="B3444" t="s">
        <v>40</v>
      </c>
      <c r="C3444" t="s">
        <v>41</v>
      </c>
      <c r="D3444" s="1">
        <v>46210.603981481479</v>
      </c>
      <c r="E3444" t="s">
        <v>42</v>
      </c>
      <c r="F3444" t="s">
        <v>43</v>
      </c>
      <c r="G3444">
        <v>0</v>
      </c>
      <c r="H3444">
        <v>33107</v>
      </c>
      <c r="I3444" t="s">
        <v>43</v>
      </c>
      <c r="J3444">
        <v>83</v>
      </c>
      <c r="K3444">
        <v>-278</v>
      </c>
      <c r="L3444">
        <v>98</v>
      </c>
      <c r="M3444">
        <v>658.40002441000001</v>
      </c>
      <c r="N3444" t="s">
        <v>1956</v>
      </c>
      <c r="O3444" t="s">
        <v>43</v>
      </c>
      <c r="P3444">
        <v>125</v>
      </c>
      <c r="Q3444" t="s">
        <v>43</v>
      </c>
      <c r="R3444">
        <v>-1000</v>
      </c>
      <c r="S3444">
        <v>0</v>
      </c>
      <c r="T3444">
        <v>-40</v>
      </c>
      <c r="U3444">
        <v>-40</v>
      </c>
      <c r="V3444">
        <v>-3000</v>
      </c>
      <c r="W3444">
        <v>37</v>
      </c>
      <c r="X3444">
        <v>37</v>
      </c>
      <c r="Y3444">
        <v>1</v>
      </c>
      <c r="Z3444">
        <v>7</v>
      </c>
      <c r="AA3444">
        <v>34</v>
      </c>
      <c r="AB3444">
        <v>2</v>
      </c>
      <c r="AC3444">
        <v>5</v>
      </c>
      <c r="AD3444">
        <v>3.4389998899999998</v>
      </c>
      <c r="AE3444">
        <v>6</v>
      </c>
      <c r="AF3444">
        <v>24</v>
      </c>
      <c r="AG3444">
        <v>3.4200000799999999</v>
      </c>
      <c r="AH3444">
        <v>1</v>
      </c>
      <c r="AI3444">
        <v>42</v>
      </c>
      <c r="AJ3444">
        <v>1</v>
      </c>
      <c r="AK3444">
        <v>12</v>
      </c>
      <c r="AL3444">
        <v>48</v>
      </c>
      <c r="AM3444" t="s">
        <v>43</v>
      </c>
      <c r="AN3444" t="s">
        <v>43</v>
      </c>
    </row>
    <row r="3445" spans="1:40" x14ac:dyDescent="0.3">
      <c r="A3445" s="1">
        <v>46210.600925925923</v>
      </c>
      <c r="B3445" t="s">
        <v>40</v>
      </c>
      <c r="C3445" t="s">
        <v>41</v>
      </c>
      <c r="D3445" s="1">
        <v>46210.603750000002</v>
      </c>
      <c r="E3445" t="s">
        <v>42</v>
      </c>
      <c r="F3445" t="s">
        <v>43</v>
      </c>
      <c r="G3445">
        <v>0</v>
      </c>
      <c r="H3445">
        <v>33107</v>
      </c>
      <c r="I3445" t="s">
        <v>2040</v>
      </c>
      <c r="J3445">
        <v>83</v>
      </c>
      <c r="K3445">
        <v>-282</v>
      </c>
      <c r="L3445">
        <v>98</v>
      </c>
      <c r="M3445">
        <v>658.59997558999999</v>
      </c>
      <c r="N3445" t="s">
        <v>1956</v>
      </c>
      <c r="O3445" t="s">
        <v>43</v>
      </c>
      <c r="P3445">
        <v>125</v>
      </c>
      <c r="Q3445" t="s">
        <v>43</v>
      </c>
      <c r="R3445">
        <v>-1000</v>
      </c>
      <c r="S3445">
        <v>0</v>
      </c>
      <c r="T3445">
        <v>-40</v>
      </c>
      <c r="U3445">
        <v>-40</v>
      </c>
      <c r="V3445">
        <v>-3000</v>
      </c>
      <c r="W3445">
        <v>37</v>
      </c>
      <c r="X3445">
        <v>37</v>
      </c>
      <c r="Y3445">
        <v>1</v>
      </c>
      <c r="Z3445">
        <v>7</v>
      </c>
      <c r="AA3445">
        <v>34</v>
      </c>
      <c r="AB3445">
        <v>2</v>
      </c>
      <c r="AC3445">
        <v>5</v>
      </c>
      <c r="AD3445">
        <v>3.4389998899999998</v>
      </c>
      <c r="AE3445">
        <v>6</v>
      </c>
      <c r="AF3445">
        <v>24</v>
      </c>
      <c r="AG3445">
        <v>3.4200000799999999</v>
      </c>
      <c r="AH3445">
        <v>1</v>
      </c>
      <c r="AI3445">
        <v>42</v>
      </c>
      <c r="AJ3445">
        <v>1</v>
      </c>
      <c r="AK3445">
        <v>11</v>
      </c>
      <c r="AL3445">
        <v>48</v>
      </c>
      <c r="AM3445" t="s">
        <v>43</v>
      </c>
      <c r="AN3445" t="str">
        <f>HYPERLINK("https://www.google.com/maps?q=10.76358986,79.6931076","Open Location")</f>
        <v>Open Location</v>
      </c>
    </row>
    <row r="3446" spans="1:40" x14ac:dyDescent="0.3">
      <c r="A3446" s="1">
        <v>46210.600810185184</v>
      </c>
      <c r="B3446" t="s">
        <v>40</v>
      </c>
      <c r="C3446" t="s">
        <v>41</v>
      </c>
      <c r="D3446" s="1">
        <v>46210.603750000002</v>
      </c>
      <c r="E3446" t="s">
        <v>42</v>
      </c>
      <c r="F3446" t="s">
        <v>43</v>
      </c>
      <c r="G3446">
        <v>0</v>
      </c>
      <c r="H3446">
        <v>33107</v>
      </c>
      <c r="I3446" t="s">
        <v>2041</v>
      </c>
      <c r="J3446">
        <v>83</v>
      </c>
      <c r="K3446">
        <v>-279</v>
      </c>
      <c r="L3446">
        <v>98</v>
      </c>
      <c r="M3446">
        <v>658.59997558999999</v>
      </c>
      <c r="N3446" t="s">
        <v>1956</v>
      </c>
      <c r="O3446" t="s">
        <v>43</v>
      </c>
      <c r="P3446">
        <v>125</v>
      </c>
      <c r="Q3446" t="s">
        <v>43</v>
      </c>
      <c r="R3446">
        <v>-1000</v>
      </c>
      <c r="S3446">
        <v>0</v>
      </c>
      <c r="T3446">
        <v>-40</v>
      </c>
      <c r="U3446">
        <v>-40</v>
      </c>
      <c r="V3446">
        <v>-3000</v>
      </c>
      <c r="W3446">
        <v>37</v>
      </c>
      <c r="X3446">
        <v>37</v>
      </c>
      <c r="Y3446">
        <v>1</v>
      </c>
      <c r="Z3446">
        <v>7</v>
      </c>
      <c r="AA3446">
        <v>34</v>
      </c>
      <c r="AB3446">
        <v>2</v>
      </c>
      <c r="AC3446">
        <v>5</v>
      </c>
      <c r="AD3446">
        <v>3.4389998899999998</v>
      </c>
      <c r="AE3446">
        <v>4</v>
      </c>
      <c r="AF3446">
        <v>17</v>
      </c>
      <c r="AG3446">
        <v>3.4209999999999998</v>
      </c>
      <c r="AH3446">
        <v>1</v>
      </c>
      <c r="AI3446">
        <v>38</v>
      </c>
      <c r="AJ3446">
        <v>1</v>
      </c>
      <c r="AK3446">
        <v>11</v>
      </c>
      <c r="AL3446">
        <v>48</v>
      </c>
      <c r="AM3446" t="s">
        <v>43</v>
      </c>
      <c r="AN3446" t="str">
        <f>HYPERLINK("https://www.google.com/maps?q=10.76359653,79.69311523","Open Location")</f>
        <v>Open Location</v>
      </c>
    </row>
    <row r="3447" spans="1:40" x14ac:dyDescent="0.3">
      <c r="A3447" s="1">
        <v>46210.600694444445</v>
      </c>
      <c r="B3447" t="s">
        <v>40</v>
      </c>
      <c r="C3447" t="s">
        <v>41</v>
      </c>
      <c r="D3447" s="1">
        <v>46210.603692129633</v>
      </c>
      <c r="E3447" t="s">
        <v>42</v>
      </c>
      <c r="F3447" t="s">
        <v>43</v>
      </c>
      <c r="G3447">
        <v>0</v>
      </c>
      <c r="H3447">
        <v>33107</v>
      </c>
      <c r="I3447" t="s">
        <v>2042</v>
      </c>
      <c r="J3447">
        <v>83</v>
      </c>
      <c r="K3447">
        <v>-282</v>
      </c>
      <c r="L3447">
        <v>98</v>
      </c>
      <c r="M3447">
        <v>658.79998779000005</v>
      </c>
      <c r="N3447" t="s">
        <v>1956</v>
      </c>
      <c r="O3447" t="s">
        <v>43</v>
      </c>
      <c r="P3447">
        <v>125</v>
      </c>
      <c r="Q3447" t="s">
        <v>43</v>
      </c>
      <c r="R3447">
        <v>-1000</v>
      </c>
      <c r="S3447">
        <v>0</v>
      </c>
      <c r="T3447">
        <v>-40</v>
      </c>
      <c r="U3447">
        <v>-40</v>
      </c>
      <c r="V3447">
        <v>-3000</v>
      </c>
      <c r="W3447">
        <v>37</v>
      </c>
      <c r="X3447">
        <v>37</v>
      </c>
      <c r="Y3447">
        <v>1</v>
      </c>
      <c r="Z3447">
        <v>7</v>
      </c>
      <c r="AA3447">
        <v>34</v>
      </c>
      <c r="AB3447">
        <v>2</v>
      </c>
      <c r="AC3447">
        <v>5</v>
      </c>
      <c r="AD3447">
        <v>3.44099998</v>
      </c>
      <c r="AE3447">
        <v>6</v>
      </c>
      <c r="AF3447">
        <v>24</v>
      </c>
      <c r="AG3447">
        <v>3.4219999300000001</v>
      </c>
      <c r="AH3447">
        <v>1</v>
      </c>
      <c r="AI3447">
        <v>38</v>
      </c>
      <c r="AJ3447">
        <v>1</v>
      </c>
      <c r="AK3447">
        <v>11</v>
      </c>
      <c r="AL3447">
        <v>48</v>
      </c>
      <c r="AM3447" t="s">
        <v>43</v>
      </c>
      <c r="AN3447" t="str">
        <f>HYPERLINK("https://www.google.com/maps?q=10.76358414,79.69313049","Open Location")</f>
        <v>Open Location</v>
      </c>
    </row>
    <row r="3448" spans="1:40" x14ac:dyDescent="0.3">
      <c r="A3448" s="1">
        <v>46210.600578703707</v>
      </c>
      <c r="B3448" t="s">
        <v>40</v>
      </c>
      <c r="C3448" t="s">
        <v>41</v>
      </c>
      <c r="D3448" s="1">
        <v>46210.603692129633</v>
      </c>
      <c r="E3448" t="s">
        <v>42</v>
      </c>
      <c r="F3448" t="s">
        <v>43</v>
      </c>
      <c r="G3448">
        <v>0</v>
      </c>
      <c r="H3448">
        <v>33107</v>
      </c>
      <c r="I3448" t="s">
        <v>1995</v>
      </c>
      <c r="J3448">
        <v>83</v>
      </c>
      <c r="K3448">
        <v>-318</v>
      </c>
      <c r="L3448">
        <v>98</v>
      </c>
      <c r="M3448">
        <v>660.20001220999995</v>
      </c>
      <c r="N3448" t="s">
        <v>1956</v>
      </c>
      <c r="O3448" t="s">
        <v>43</v>
      </c>
      <c r="P3448">
        <v>125</v>
      </c>
      <c r="Q3448" t="s">
        <v>43</v>
      </c>
      <c r="R3448">
        <v>-1000</v>
      </c>
      <c r="S3448">
        <v>0</v>
      </c>
      <c r="T3448">
        <v>-40</v>
      </c>
      <c r="U3448">
        <v>-40</v>
      </c>
      <c r="V3448">
        <v>-3000</v>
      </c>
      <c r="W3448">
        <v>37</v>
      </c>
      <c r="X3448">
        <v>37</v>
      </c>
      <c r="Y3448">
        <v>1</v>
      </c>
      <c r="Z3448">
        <v>8</v>
      </c>
      <c r="AA3448">
        <v>34</v>
      </c>
      <c r="AB3448">
        <v>2</v>
      </c>
      <c r="AC3448">
        <v>5</v>
      </c>
      <c r="AD3448">
        <v>3.4470000299999999</v>
      </c>
      <c r="AE3448">
        <v>4</v>
      </c>
      <c r="AF3448">
        <v>17</v>
      </c>
      <c r="AG3448">
        <v>3.4270000500000002</v>
      </c>
      <c r="AH3448">
        <v>1</v>
      </c>
      <c r="AI3448">
        <v>42</v>
      </c>
      <c r="AJ3448">
        <v>1</v>
      </c>
      <c r="AK3448">
        <v>11</v>
      </c>
      <c r="AL3448">
        <v>48</v>
      </c>
      <c r="AM3448" t="s">
        <v>43</v>
      </c>
      <c r="AN3448" t="str">
        <f>HYPERLINK("https://www.google.com/maps?q=10.76358509,79.69312286","Open Location")</f>
        <v>Open Location</v>
      </c>
    </row>
    <row r="3449" spans="1:40" x14ac:dyDescent="0.3">
      <c r="A3449" s="1">
        <v>46210.600462962961</v>
      </c>
      <c r="B3449" t="s">
        <v>40</v>
      </c>
      <c r="C3449" t="s">
        <v>41</v>
      </c>
      <c r="D3449" s="1">
        <v>46210.603263888886</v>
      </c>
      <c r="E3449" t="s">
        <v>42</v>
      </c>
      <c r="F3449" t="s">
        <v>43</v>
      </c>
      <c r="G3449">
        <v>0</v>
      </c>
      <c r="H3449">
        <v>33107</v>
      </c>
      <c r="I3449" t="s">
        <v>1997</v>
      </c>
      <c r="J3449">
        <v>82</v>
      </c>
      <c r="K3449">
        <v>-318</v>
      </c>
      <c r="L3449">
        <v>98</v>
      </c>
      <c r="M3449">
        <v>660</v>
      </c>
      <c r="N3449" t="s">
        <v>1956</v>
      </c>
      <c r="O3449" t="s">
        <v>43</v>
      </c>
      <c r="P3449">
        <v>125</v>
      </c>
      <c r="Q3449" t="s">
        <v>43</v>
      </c>
      <c r="R3449">
        <v>-1000</v>
      </c>
      <c r="S3449">
        <v>0</v>
      </c>
      <c r="T3449">
        <v>-40</v>
      </c>
      <c r="U3449">
        <v>-40</v>
      </c>
      <c r="V3449">
        <v>-3000</v>
      </c>
      <c r="W3449">
        <v>37</v>
      </c>
      <c r="X3449">
        <v>37</v>
      </c>
      <c r="Y3449">
        <v>1</v>
      </c>
      <c r="Z3449">
        <v>8</v>
      </c>
      <c r="AA3449">
        <v>34</v>
      </c>
      <c r="AB3449">
        <v>2</v>
      </c>
      <c r="AC3449">
        <v>5</v>
      </c>
      <c r="AD3449">
        <v>3.4470000299999999</v>
      </c>
      <c r="AE3449">
        <v>6</v>
      </c>
      <c r="AF3449">
        <v>24</v>
      </c>
      <c r="AG3449">
        <v>3.4270000500000002</v>
      </c>
      <c r="AH3449">
        <v>1</v>
      </c>
      <c r="AI3449">
        <v>38</v>
      </c>
      <c r="AJ3449">
        <v>1</v>
      </c>
      <c r="AK3449">
        <v>11</v>
      </c>
      <c r="AL3449">
        <v>48</v>
      </c>
      <c r="AM3449" t="s">
        <v>43</v>
      </c>
      <c r="AN3449" t="str">
        <f>HYPERLINK("https://www.google.com/maps?q=10.76358986,79.69311523","Open Location")</f>
        <v>Open Location</v>
      </c>
    </row>
    <row r="3450" spans="1:40" x14ac:dyDescent="0.3">
      <c r="A3450" s="1">
        <v>46210.600347222222</v>
      </c>
      <c r="B3450" t="s">
        <v>40</v>
      </c>
      <c r="C3450" t="s">
        <v>41</v>
      </c>
      <c r="D3450" s="1">
        <v>46210.603518518517</v>
      </c>
      <c r="E3450" t="s">
        <v>42</v>
      </c>
      <c r="F3450" t="s">
        <v>43</v>
      </c>
      <c r="G3450">
        <v>0</v>
      </c>
      <c r="H3450">
        <v>33107</v>
      </c>
      <c r="I3450" t="s">
        <v>43</v>
      </c>
      <c r="J3450">
        <v>82</v>
      </c>
      <c r="K3450">
        <v>-318</v>
      </c>
      <c r="L3450">
        <v>98</v>
      </c>
      <c r="M3450">
        <v>660</v>
      </c>
      <c r="N3450" t="s">
        <v>1956</v>
      </c>
      <c r="O3450" t="s">
        <v>43</v>
      </c>
      <c r="P3450">
        <v>125</v>
      </c>
      <c r="Q3450" t="s">
        <v>43</v>
      </c>
      <c r="R3450">
        <v>-1000</v>
      </c>
      <c r="S3450">
        <v>0</v>
      </c>
      <c r="T3450">
        <v>-40</v>
      </c>
      <c r="U3450">
        <v>-40</v>
      </c>
      <c r="V3450">
        <v>-3000</v>
      </c>
      <c r="W3450">
        <v>37</v>
      </c>
      <c r="X3450">
        <v>37</v>
      </c>
      <c r="Y3450">
        <v>1</v>
      </c>
      <c r="Z3450">
        <v>8</v>
      </c>
      <c r="AA3450">
        <v>34</v>
      </c>
      <c r="AB3450">
        <v>2</v>
      </c>
      <c r="AC3450">
        <v>5</v>
      </c>
      <c r="AD3450">
        <v>3.4460001</v>
      </c>
      <c r="AE3450">
        <v>4</v>
      </c>
      <c r="AF3450">
        <v>17</v>
      </c>
      <c r="AG3450">
        <v>3.4260001199999999</v>
      </c>
      <c r="AH3450">
        <v>1</v>
      </c>
      <c r="AI3450">
        <v>42</v>
      </c>
      <c r="AJ3450">
        <v>1</v>
      </c>
      <c r="AK3450">
        <v>12</v>
      </c>
      <c r="AL3450">
        <v>48</v>
      </c>
      <c r="AM3450" t="s">
        <v>43</v>
      </c>
      <c r="AN3450" t="s">
        <v>43</v>
      </c>
    </row>
    <row r="3451" spans="1:40" x14ac:dyDescent="0.3">
      <c r="A3451" s="1">
        <v>46210.600231481483</v>
      </c>
      <c r="B3451" t="s">
        <v>40</v>
      </c>
      <c r="C3451" t="s">
        <v>41</v>
      </c>
      <c r="D3451" s="1">
        <v>46210.603020833332</v>
      </c>
      <c r="E3451" t="s">
        <v>42</v>
      </c>
      <c r="F3451" t="s">
        <v>43</v>
      </c>
      <c r="G3451">
        <v>0</v>
      </c>
      <c r="H3451" t="s">
        <v>43</v>
      </c>
      <c r="I3451" t="s">
        <v>2043</v>
      </c>
      <c r="J3451">
        <v>82</v>
      </c>
      <c r="K3451">
        <v>-318</v>
      </c>
      <c r="L3451">
        <v>98</v>
      </c>
      <c r="M3451">
        <v>659.90002441000001</v>
      </c>
      <c r="N3451" t="s">
        <v>1956</v>
      </c>
      <c r="O3451" t="s">
        <v>43</v>
      </c>
      <c r="P3451">
        <v>125</v>
      </c>
      <c r="Q3451" t="s">
        <v>43</v>
      </c>
      <c r="R3451">
        <v>-1000</v>
      </c>
      <c r="S3451">
        <v>0</v>
      </c>
      <c r="T3451">
        <v>-40</v>
      </c>
      <c r="U3451">
        <v>-40</v>
      </c>
      <c r="V3451">
        <v>-3000</v>
      </c>
      <c r="W3451">
        <v>37</v>
      </c>
      <c r="X3451">
        <v>37</v>
      </c>
      <c r="Y3451">
        <v>1</v>
      </c>
      <c r="Z3451">
        <v>8</v>
      </c>
      <c r="AA3451">
        <v>34</v>
      </c>
      <c r="AB3451">
        <v>2</v>
      </c>
      <c r="AC3451">
        <v>1</v>
      </c>
      <c r="AD3451">
        <v>3.4460001</v>
      </c>
      <c r="AE3451">
        <v>6</v>
      </c>
      <c r="AF3451">
        <v>24</v>
      </c>
      <c r="AG3451">
        <v>3.4260001199999999</v>
      </c>
      <c r="AH3451">
        <v>1</v>
      </c>
      <c r="AI3451">
        <v>42</v>
      </c>
      <c r="AJ3451">
        <v>1</v>
      </c>
      <c r="AK3451">
        <v>11</v>
      </c>
      <c r="AL3451">
        <v>48</v>
      </c>
      <c r="AM3451" t="s">
        <v>43</v>
      </c>
      <c r="AN3451" t="str">
        <f>HYPERLINK("https://www.google.com/maps?q=10.76359272,79.69311523","Open Location")</f>
        <v>Open Location</v>
      </c>
    </row>
    <row r="3452" spans="1:40" x14ac:dyDescent="0.3">
      <c r="A3452" s="1">
        <v>46210.600115740737</v>
      </c>
      <c r="B3452" t="s">
        <v>40</v>
      </c>
      <c r="C3452" t="s">
        <v>41</v>
      </c>
      <c r="D3452" s="1">
        <v>46210.603009259263</v>
      </c>
      <c r="E3452" t="s">
        <v>42</v>
      </c>
      <c r="F3452" t="s">
        <v>43</v>
      </c>
      <c r="G3452">
        <v>0</v>
      </c>
      <c r="H3452">
        <v>33107</v>
      </c>
      <c r="I3452" t="s">
        <v>2044</v>
      </c>
      <c r="J3452">
        <v>82</v>
      </c>
      <c r="K3452">
        <v>-318</v>
      </c>
      <c r="L3452">
        <v>98</v>
      </c>
      <c r="M3452">
        <v>659.79998779000005</v>
      </c>
      <c r="N3452" t="s">
        <v>1956</v>
      </c>
      <c r="O3452" t="s">
        <v>43</v>
      </c>
      <c r="P3452">
        <v>125</v>
      </c>
      <c r="Q3452" t="s">
        <v>43</v>
      </c>
      <c r="R3452">
        <v>-1000</v>
      </c>
      <c r="S3452">
        <v>0</v>
      </c>
      <c r="T3452">
        <v>-40</v>
      </c>
      <c r="U3452">
        <v>-40</v>
      </c>
      <c r="V3452">
        <v>-3000</v>
      </c>
      <c r="W3452">
        <v>37</v>
      </c>
      <c r="X3452">
        <v>37</v>
      </c>
      <c r="Y3452">
        <v>1</v>
      </c>
      <c r="Z3452">
        <v>8</v>
      </c>
      <c r="AA3452">
        <v>34</v>
      </c>
      <c r="AB3452">
        <v>2</v>
      </c>
      <c r="AC3452">
        <v>1</v>
      </c>
      <c r="AD3452">
        <v>3.4449999299999998</v>
      </c>
      <c r="AE3452">
        <v>6</v>
      </c>
      <c r="AF3452">
        <v>24</v>
      </c>
      <c r="AG3452">
        <v>3.4249999500000001</v>
      </c>
      <c r="AH3452">
        <v>1</v>
      </c>
      <c r="AI3452">
        <v>42</v>
      </c>
      <c r="AJ3452">
        <v>1</v>
      </c>
      <c r="AK3452">
        <v>12</v>
      </c>
      <c r="AL3452">
        <v>48</v>
      </c>
      <c r="AM3452" t="s">
        <v>43</v>
      </c>
      <c r="AN3452" t="str">
        <f>HYPERLINK("https://www.google.com/maps?q=10.76358604,79.69313812","Open Location")</f>
        <v>Open Location</v>
      </c>
    </row>
    <row r="3453" spans="1:40" x14ac:dyDescent="0.3">
      <c r="A3453" s="1">
        <v>46210.6</v>
      </c>
      <c r="B3453" t="s">
        <v>40</v>
      </c>
      <c r="C3453" t="s">
        <v>41</v>
      </c>
      <c r="D3453" s="1">
        <v>46210.602754629632</v>
      </c>
      <c r="E3453" t="s">
        <v>42</v>
      </c>
      <c r="F3453" t="s">
        <v>43</v>
      </c>
      <c r="G3453">
        <v>0</v>
      </c>
      <c r="H3453">
        <v>33107</v>
      </c>
      <c r="I3453" t="s">
        <v>2045</v>
      </c>
      <c r="J3453">
        <v>82</v>
      </c>
      <c r="K3453">
        <v>-313</v>
      </c>
      <c r="L3453">
        <v>98</v>
      </c>
      <c r="M3453">
        <v>659.5</v>
      </c>
      <c r="N3453" t="s">
        <v>1956</v>
      </c>
      <c r="O3453" t="s">
        <v>43</v>
      </c>
      <c r="P3453">
        <v>125</v>
      </c>
      <c r="Q3453" t="s">
        <v>43</v>
      </c>
      <c r="R3453">
        <v>-1000</v>
      </c>
      <c r="S3453">
        <v>0</v>
      </c>
      <c r="T3453">
        <v>-40</v>
      </c>
      <c r="U3453">
        <v>-40</v>
      </c>
      <c r="V3453">
        <v>-3000</v>
      </c>
      <c r="W3453">
        <v>37</v>
      </c>
      <c r="X3453">
        <v>37</v>
      </c>
      <c r="Y3453">
        <v>1</v>
      </c>
      <c r="Z3453">
        <v>8</v>
      </c>
      <c r="AA3453">
        <v>34</v>
      </c>
      <c r="AB3453">
        <v>2</v>
      </c>
      <c r="AC3453">
        <v>1</v>
      </c>
      <c r="AD3453">
        <v>3.4440000099999999</v>
      </c>
      <c r="AE3453">
        <v>4</v>
      </c>
      <c r="AF3453">
        <v>17</v>
      </c>
      <c r="AG3453">
        <v>3.4240000199999998</v>
      </c>
      <c r="AH3453">
        <v>5</v>
      </c>
      <c r="AI3453">
        <v>38</v>
      </c>
      <c r="AJ3453">
        <v>1</v>
      </c>
      <c r="AK3453">
        <v>11</v>
      </c>
      <c r="AL3453">
        <v>48</v>
      </c>
      <c r="AM3453" t="s">
        <v>43</v>
      </c>
      <c r="AN3453" t="str">
        <f>HYPERLINK("https://www.google.com/maps?q=10.7635746,79.69313812","Open Location")</f>
        <v>Open Location</v>
      </c>
    </row>
    <row r="3454" spans="1:40" x14ac:dyDescent="0.3">
      <c r="A3454" s="1">
        <v>46210.59988425926</v>
      </c>
      <c r="B3454" t="s">
        <v>40</v>
      </c>
      <c r="C3454" t="s">
        <v>41</v>
      </c>
      <c r="D3454" s="1">
        <v>46210.603020833332</v>
      </c>
      <c r="E3454" t="s">
        <v>42</v>
      </c>
      <c r="F3454" t="s">
        <v>43</v>
      </c>
      <c r="G3454">
        <v>0</v>
      </c>
      <c r="H3454">
        <v>33107</v>
      </c>
      <c r="I3454" t="s">
        <v>2046</v>
      </c>
      <c r="J3454">
        <v>81</v>
      </c>
      <c r="K3454">
        <v>-318</v>
      </c>
      <c r="L3454">
        <v>98</v>
      </c>
      <c r="M3454">
        <v>659.40002441000001</v>
      </c>
      <c r="N3454" t="s">
        <v>1956</v>
      </c>
      <c r="O3454" t="s">
        <v>43</v>
      </c>
      <c r="P3454">
        <v>125</v>
      </c>
      <c r="Q3454" t="s">
        <v>43</v>
      </c>
      <c r="R3454">
        <v>-1000</v>
      </c>
      <c r="S3454">
        <v>0</v>
      </c>
      <c r="T3454">
        <v>-40</v>
      </c>
      <c r="U3454">
        <v>-40</v>
      </c>
      <c r="V3454">
        <v>-3000</v>
      </c>
      <c r="W3454">
        <v>37</v>
      </c>
      <c r="X3454">
        <v>37</v>
      </c>
      <c r="Y3454">
        <v>1</v>
      </c>
      <c r="Z3454">
        <v>8</v>
      </c>
      <c r="AA3454">
        <v>34</v>
      </c>
      <c r="AB3454">
        <v>2</v>
      </c>
      <c r="AC3454">
        <v>1</v>
      </c>
      <c r="AD3454">
        <v>3.4419999099999998</v>
      </c>
      <c r="AE3454">
        <v>6</v>
      </c>
      <c r="AF3454">
        <v>24</v>
      </c>
      <c r="AG3454">
        <v>3.4230000999999999</v>
      </c>
      <c r="AH3454">
        <v>1</v>
      </c>
      <c r="AI3454">
        <v>42</v>
      </c>
      <c r="AJ3454">
        <v>1</v>
      </c>
      <c r="AK3454">
        <v>11</v>
      </c>
      <c r="AL3454">
        <v>48</v>
      </c>
      <c r="AM3454" t="s">
        <v>43</v>
      </c>
      <c r="AN3454" t="str">
        <f>HYPERLINK("https://www.google.com/maps?q=10.76358414,79.69313812","Open Location")</f>
        <v>Open Location</v>
      </c>
    </row>
    <row r="3455" spans="1:40" x14ac:dyDescent="0.3">
      <c r="A3455" s="1">
        <v>46210.599768518521</v>
      </c>
      <c r="B3455" t="s">
        <v>40</v>
      </c>
      <c r="C3455" t="s">
        <v>41</v>
      </c>
      <c r="D3455" s="1">
        <v>46210.60255787037</v>
      </c>
      <c r="E3455" t="s">
        <v>42</v>
      </c>
      <c r="F3455" t="s">
        <v>43</v>
      </c>
      <c r="G3455">
        <v>0</v>
      </c>
      <c r="H3455">
        <v>33107</v>
      </c>
      <c r="I3455" t="s">
        <v>2047</v>
      </c>
      <c r="J3455">
        <v>81</v>
      </c>
      <c r="K3455">
        <v>-302</v>
      </c>
      <c r="L3455">
        <v>98</v>
      </c>
      <c r="M3455">
        <v>659.29998779000005</v>
      </c>
      <c r="N3455" t="s">
        <v>1956</v>
      </c>
      <c r="O3455" t="s">
        <v>43</v>
      </c>
      <c r="P3455">
        <v>125</v>
      </c>
      <c r="Q3455" t="s">
        <v>43</v>
      </c>
      <c r="R3455">
        <v>-1000</v>
      </c>
      <c r="S3455">
        <v>0</v>
      </c>
      <c r="T3455">
        <v>-40</v>
      </c>
      <c r="U3455">
        <v>-40</v>
      </c>
      <c r="V3455">
        <v>-3000</v>
      </c>
      <c r="W3455">
        <v>37</v>
      </c>
      <c r="X3455">
        <v>37</v>
      </c>
      <c r="Y3455">
        <v>1</v>
      </c>
      <c r="Z3455">
        <v>8</v>
      </c>
      <c r="AA3455">
        <v>34</v>
      </c>
      <c r="AB3455">
        <v>2</v>
      </c>
      <c r="AC3455">
        <v>1</v>
      </c>
      <c r="AD3455">
        <v>3.43499994</v>
      </c>
      <c r="AE3455">
        <v>6</v>
      </c>
      <c r="AF3455">
        <v>24</v>
      </c>
      <c r="AG3455">
        <v>3.4170000599999999</v>
      </c>
      <c r="AH3455">
        <v>1</v>
      </c>
      <c r="AI3455">
        <v>42</v>
      </c>
      <c r="AJ3455">
        <v>1</v>
      </c>
      <c r="AK3455">
        <v>12</v>
      </c>
      <c r="AL3455">
        <v>48</v>
      </c>
      <c r="AM3455" t="s">
        <v>43</v>
      </c>
      <c r="AN3455" t="str">
        <f>HYPERLINK("https://www.google.com/maps?q=10.76359177,79.69314575","Open Location")</f>
        <v>Open Location</v>
      </c>
    </row>
    <row r="3456" spans="1:40" x14ac:dyDescent="0.3">
      <c r="A3456" s="1">
        <v>46210.599652777775</v>
      </c>
      <c r="B3456" t="s">
        <v>40</v>
      </c>
      <c r="C3456" t="s">
        <v>41</v>
      </c>
      <c r="D3456" s="1">
        <v>46210.60255787037</v>
      </c>
      <c r="E3456" t="s">
        <v>42</v>
      </c>
      <c r="F3456" t="s">
        <v>43</v>
      </c>
      <c r="G3456">
        <v>0</v>
      </c>
      <c r="H3456">
        <v>33107</v>
      </c>
      <c r="I3456" t="s">
        <v>43</v>
      </c>
      <c r="J3456">
        <v>81</v>
      </c>
      <c r="K3456">
        <v>-283</v>
      </c>
      <c r="L3456">
        <v>98</v>
      </c>
      <c r="M3456">
        <v>657.90002441000001</v>
      </c>
      <c r="N3456" t="s">
        <v>1956</v>
      </c>
      <c r="O3456" t="s">
        <v>43</v>
      </c>
      <c r="P3456">
        <v>125</v>
      </c>
      <c r="Q3456" t="s">
        <v>43</v>
      </c>
      <c r="R3456">
        <v>-1000</v>
      </c>
      <c r="S3456">
        <v>0</v>
      </c>
      <c r="T3456">
        <v>-40</v>
      </c>
      <c r="U3456">
        <v>-40</v>
      </c>
      <c r="V3456">
        <v>-3000</v>
      </c>
      <c r="W3456">
        <v>37</v>
      </c>
      <c r="X3456">
        <v>37</v>
      </c>
      <c r="Y3456">
        <v>1</v>
      </c>
      <c r="Z3456">
        <v>8</v>
      </c>
      <c r="AA3456">
        <v>34</v>
      </c>
      <c r="AB3456">
        <v>2</v>
      </c>
      <c r="AC3456">
        <v>1</v>
      </c>
      <c r="AD3456">
        <v>3.43499994</v>
      </c>
      <c r="AE3456">
        <v>6</v>
      </c>
      <c r="AF3456">
        <v>24</v>
      </c>
      <c r="AG3456">
        <v>3.4170000599999999</v>
      </c>
      <c r="AH3456">
        <v>1</v>
      </c>
      <c r="AI3456">
        <v>38</v>
      </c>
      <c r="AJ3456">
        <v>1</v>
      </c>
      <c r="AK3456">
        <v>11</v>
      </c>
      <c r="AL3456">
        <v>48</v>
      </c>
      <c r="AM3456" t="s">
        <v>43</v>
      </c>
      <c r="AN3456" t="s">
        <v>43</v>
      </c>
    </row>
    <row r="3457" spans="1:40" x14ac:dyDescent="0.3">
      <c r="A3457" s="1">
        <v>46210.599537037036</v>
      </c>
      <c r="B3457" t="s">
        <v>40</v>
      </c>
      <c r="C3457" t="s">
        <v>41</v>
      </c>
      <c r="D3457" s="1">
        <v>46210.60229166667</v>
      </c>
      <c r="E3457" t="s">
        <v>42</v>
      </c>
      <c r="F3457" t="s">
        <v>43</v>
      </c>
      <c r="G3457">
        <v>0</v>
      </c>
      <c r="H3457">
        <v>33107</v>
      </c>
      <c r="I3457" t="s">
        <v>2048</v>
      </c>
      <c r="J3457">
        <v>81</v>
      </c>
      <c r="K3457">
        <v>-283</v>
      </c>
      <c r="L3457">
        <v>98</v>
      </c>
      <c r="M3457">
        <v>657.59997558999999</v>
      </c>
      <c r="N3457" t="s">
        <v>1956</v>
      </c>
      <c r="O3457" t="s">
        <v>43</v>
      </c>
      <c r="P3457">
        <v>125</v>
      </c>
      <c r="Q3457" t="s">
        <v>43</v>
      </c>
      <c r="R3457">
        <v>-1000</v>
      </c>
      <c r="S3457">
        <v>0</v>
      </c>
      <c r="T3457">
        <v>-40</v>
      </c>
      <c r="U3457">
        <v>-40</v>
      </c>
      <c r="V3457">
        <v>-3000</v>
      </c>
      <c r="W3457">
        <v>37</v>
      </c>
      <c r="X3457">
        <v>37</v>
      </c>
      <c r="Y3457">
        <v>1</v>
      </c>
      <c r="Z3457">
        <v>8</v>
      </c>
      <c r="AA3457">
        <v>34</v>
      </c>
      <c r="AB3457">
        <v>2</v>
      </c>
      <c r="AC3457">
        <v>1</v>
      </c>
      <c r="AD3457">
        <v>3.43400002</v>
      </c>
      <c r="AE3457">
        <v>4</v>
      </c>
      <c r="AF3457">
        <v>24</v>
      </c>
      <c r="AG3457">
        <v>3.4159998900000001</v>
      </c>
      <c r="AH3457">
        <v>1</v>
      </c>
      <c r="AI3457">
        <v>42</v>
      </c>
      <c r="AJ3457">
        <v>1</v>
      </c>
      <c r="AK3457">
        <v>11</v>
      </c>
      <c r="AL3457">
        <v>48</v>
      </c>
      <c r="AM3457" t="s">
        <v>43</v>
      </c>
      <c r="AN3457" t="str">
        <f>HYPERLINK("https://www.google.com/maps?q=10.76359844,79.69315338","Open Location")</f>
        <v>Open Location</v>
      </c>
    </row>
    <row r="3458" spans="1:40" x14ac:dyDescent="0.3">
      <c r="A3458" s="1">
        <v>46210.599421296298</v>
      </c>
      <c r="B3458" t="s">
        <v>40</v>
      </c>
      <c r="C3458" t="s">
        <v>41</v>
      </c>
      <c r="D3458" s="1">
        <v>46210.602280092593</v>
      </c>
      <c r="E3458" t="s">
        <v>42</v>
      </c>
      <c r="F3458" t="s">
        <v>43</v>
      </c>
      <c r="G3458">
        <v>0</v>
      </c>
      <c r="H3458">
        <v>33107</v>
      </c>
      <c r="I3458" t="s">
        <v>2049</v>
      </c>
      <c r="J3458">
        <v>81</v>
      </c>
      <c r="K3458">
        <v>-283</v>
      </c>
      <c r="L3458">
        <v>98</v>
      </c>
      <c r="M3458">
        <v>657.59997558999999</v>
      </c>
      <c r="N3458" t="s">
        <v>1956</v>
      </c>
      <c r="O3458" t="s">
        <v>43</v>
      </c>
      <c r="P3458">
        <v>125</v>
      </c>
      <c r="Q3458" t="s">
        <v>43</v>
      </c>
      <c r="R3458">
        <v>-1000</v>
      </c>
      <c r="S3458">
        <v>0</v>
      </c>
      <c r="T3458">
        <v>-40</v>
      </c>
      <c r="U3458">
        <v>-40</v>
      </c>
      <c r="V3458">
        <v>-3000</v>
      </c>
      <c r="W3458">
        <v>37</v>
      </c>
      <c r="X3458">
        <v>37</v>
      </c>
      <c r="Y3458">
        <v>1</v>
      </c>
      <c r="Z3458">
        <v>8</v>
      </c>
      <c r="AA3458">
        <v>34</v>
      </c>
      <c r="AB3458">
        <v>2</v>
      </c>
      <c r="AC3458">
        <v>1</v>
      </c>
      <c r="AD3458">
        <v>3.43400002</v>
      </c>
      <c r="AE3458">
        <v>6</v>
      </c>
      <c r="AF3458">
        <v>24</v>
      </c>
      <c r="AG3458">
        <v>3.4159998900000001</v>
      </c>
      <c r="AH3458">
        <v>1</v>
      </c>
      <c r="AI3458">
        <v>42</v>
      </c>
      <c r="AJ3458">
        <v>1</v>
      </c>
      <c r="AK3458">
        <v>11</v>
      </c>
      <c r="AL3458">
        <v>48</v>
      </c>
      <c r="AM3458" t="s">
        <v>43</v>
      </c>
      <c r="AN3458" t="str">
        <f>HYPERLINK("https://www.google.com/maps?q=10.76359367,79.69314575","Open Location")</f>
        <v>Open Location</v>
      </c>
    </row>
    <row r="3459" spans="1:40" x14ac:dyDescent="0.3">
      <c r="A3459" s="1">
        <v>46210.599305555559</v>
      </c>
      <c r="B3459" t="s">
        <v>40</v>
      </c>
      <c r="C3459" t="s">
        <v>41</v>
      </c>
      <c r="D3459" s="1">
        <v>46210.602048611108</v>
      </c>
      <c r="E3459" t="s">
        <v>42</v>
      </c>
      <c r="F3459" t="s">
        <v>43</v>
      </c>
      <c r="G3459">
        <v>0</v>
      </c>
      <c r="H3459">
        <v>33107</v>
      </c>
      <c r="I3459" t="s">
        <v>2050</v>
      </c>
      <c r="J3459">
        <v>81</v>
      </c>
      <c r="K3459">
        <v>-283</v>
      </c>
      <c r="L3459">
        <v>98</v>
      </c>
      <c r="M3459">
        <v>657.70001220999995</v>
      </c>
      <c r="N3459" t="s">
        <v>1956</v>
      </c>
      <c r="O3459" t="s">
        <v>43</v>
      </c>
      <c r="P3459">
        <v>125</v>
      </c>
      <c r="Q3459" t="s">
        <v>43</v>
      </c>
      <c r="R3459">
        <v>-1000</v>
      </c>
      <c r="S3459">
        <v>0</v>
      </c>
      <c r="T3459">
        <v>-40</v>
      </c>
      <c r="U3459">
        <v>-40</v>
      </c>
      <c r="V3459">
        <v>-3000</v>
      </c>
      <c r="W3459">
        <v>37</v>
      </c>
      <c r="X3459">
        <v>37</v>
      </c>
      <c r="Y3459">
        <v>1</v>
      </c>
      <c r="Z3459">
        <v>8</v>
      </c>
      <c r="AA3459">
        <v>34</v>
      </c>
      <c r="AB3459">
        <v>2</v>
      </c>
      <c r="AC3459">
        <v>1</v>
      </c>
      <c r="AD3459">
        <v>3.43400002</v>
      </c>
      <c r="AE3459">
        <v>6</v>
      </c>
      <c r="AF3459">
        <v>24</v>
      </c>
      <c r="AG3459">
        <v>3.4159998900000001</v>
      </c>
      <c r="AH3459">
        <v>1</v>
      </c>
      <c r="AI3459">
        <v>42</v>
      </c>
      <c r="AJ3459">
        <v>1</v>
      </c>
      <c r="AK3459">
        <v>12</v>
      </c>
      <c r="AL3459">
        <v>47</v>
      </c>
      <c r="AM3459" t="s">
        <v>43</v>
      </c>
      <c r="AN3459" t="str">
        <f>HYPERLINK("https://www.google.com/maps?q=10.76360226,79.69313812","Open Location")</f>
        <v>Open Location</v>
      </c>
    </row>
    <row r="3460" spans="1:40" x14ac:dyDescent="0.3">
      <c r="A3460" s="1">
        <v>46210.599189814813</v>
      </c>
      <c r="B3460" t="s">
        <v>40</v>
      </c>
      <c r="C3460" t="s">
        <v>41</v>
      </c>
      <c r="D3460" s="1">
        <v>46210.602152777778</v>
      </c>
      <c r="E3460" t="s">
        <v>42</v>
      </c>
      <c r="F3460" t="s">
        <v>43</v>
      </c>
      <c r="G3460">
        <v>0</v>
      </c>
      <c r="H3460">
        <v>33107</v>
      </c>
      <c r="I3460" t="s">
        <v>2051</v>
      </c>
      <c r="J3460">
        <v>80</v>
      </c>
      <c r="K3460">
        <v>-278</v>
      </c>
      <c r="L3460">
        <v>98</v>
      </c>
      <c r="M3460">
        <v>657.29998779000005</v>
      </c>
      <c r="N3460" t="s">
        <v>1956</v>
      </c>
      <c r="O3460" t="s">
        <v>43</v>
      </c>
      <c r="P3460">
        <v>125</v>
      </c>
      <c r="Q3460" t="s">
        <v>43</v>
      </c>
      <c r="R3460">
        <v>-1000</v>
      </c>
      <c r="S3460">
        <v>0</v>
      </c>
      <c r="T3460">
        <v>-40</v>
      </c>
      <c r="U3460">
        <v>-40</v>
      </c>
      <c r="V3460">
        <v>-3000</v>
      </c>
      <c r="W3460">
        <v>37</v>
      </c>
      <c r="X3460">
        <v>37</v>
      </c>
      <c r="Y3460">
        <v>1</v>
      </c>
      <c r="Z3460">
        <v>8</v>
      </c>
      <c r="AA3460">
        <v>34</v>
      </c>
      <c r="AB3460">
        <v>2</v>
      </c>
      <c r="AC3460">
        <v>1</v>
      </c>
      <c r="AD3460">
        <v>3.4330000900000002</v>
      </c>
      <c r="AE3460">
        <v>6</v>
      </c>
      <c r="AF3460">
        <v>24</v>
      </c>
      <c r="AG3460">
        <v>3.4159998900000001</v>
      </c>
      <c r="AH3460">
        <v>1</v>
      </c>
      <c r="AI3460">
        <v>38</v>
      </c>
      <c r="AJ3460">
        <v>1</v>
      </c>
      <c r="AK3460">
        <v>11</v>
      </c>
      <c r="AL3460">
        <v>47</v>
      </c>
      <c r="AM3460" t="s">
        <v>43</v>
      </c>
      <c r="AN3460" t="str">
        <f>HYPERLINK("https://www.google.com/maps?q=10.76361465,79.69313049","Open Location")</f>
        <v>Open Location</v>
      </c>
    </row>
    <row r="3461" spans="1:40" x14ac:dyDescent="0.3">
      <c r="A3461" s="1">
        <v>46210.599074074074</v>
      </c>
      <c r="B3461" t="s">
        <v>40</v>
      </c>
      <c r="C3461" t="s">
        <v>41</v>
      </c>
      <c r="D3461" s="1">
        <v>46210.60193287037</v>
      </c>
      <c r="E3461" t="s">
        <v>42</v>
      </c>
      <c r="F3461" t="s">
        <v>43</v>
      </c>
      <c r="G3461">
        <v>0</v>
      </c>
      <c r="H3461">
        <v>33107</v>
      </c>
      <c r="I3461" t="s">
        <v>43</v>
      </c>
      <c r="J3461">
        <v>80</v>
      </c>
      <c r="K3461">
        <v>-283</v>
      </c>
      <c r="L3461">
        <v>98</v>
      </c>
      <c r="M3461">
        <v>657.59997558999999</v>
      </c>
      <c r="N3461" t="s">
        <v>1956</v>
      </c>
      <c r="O3461" t="s">
        <v>43</v>
      </c>
      <c r="P3461">
        <v>125</v>
      </c>
      <c r="Q3461" t="s">
        <v>43</v>
      </c>
      <c r="R3461">
        <v>-1000</v>
      </c>
      <c r="S3461">
        <v>0</v>
      </c>
      <c r="T3461">
        <v>-40</v>
      </c>
      <c r="U3461">
        <v>-40</v>
      </c>
      <c r="V3461">
        <v>-3000</v>
      </c>
      <c r="W3461">
        <v>37</v>
      </c>
      <c r="X3461">
        <v>37</v>
      </c>
      <c r="Y3461">
        <v>1</v>
      </c>
      <c r="Z3461">
        <v>8</v>
      </c>
      <c r="AA3461">
        <v>34</v>
      </c>
      <c r="AB3461">
        <v>2</v>
      </c>
      <c r="AC3461">
        <v>5</v>
      </c>
      <c r="AD3461">
        <v>3.43199992</v>
      </c>
      <c r="AE3461">
        <v>4</v>
      </c>
      <c r="AF3461">
        <v>24</v>
      </c>
      <c r="AG3461">
        <v>3.4149999599999998</v>
      </c>
      <c r="AH3461">
        <v>1</v>
      </c>
      <c r="AI3461">
        <v>42</v>
      </c>
      <c r="AJ3461">
        <v>1</v>
      </c>
      <c r="AK3461">
        <v>12</v>
      </c>
      <c r="AL3461">
        <v>47</v>
      </c>
      <c r="AM3461" t="s">
        <v>43</v>
      </c>
      <c r="AN3461" t="s">
        <v>43</v>
      </c>
    </row>
    <row r="3462" spans="1:40" x14ac:dyDescent="0.3">
      <c r="A3462" s="1">
        <v>46210.598958333336</v>
      </c>
      <c r="B3462" t="s">
        <v>40</v>
      </c>
      <c r="C3462" t="s">
        <v>41</v>
      </c>
      <c r="D3462" s="1">
        <v>46210.601921296293</v>
      </c>
      <c r="E3462" t="s">
        <v>42</v>
      </c>
      <c r="F3462" t="s">
        <v>43</v>
      </c>
      <c r="G3462">
        <v>0</v>
      </c>
      <c r="H3462">
        <v>33107</v>
      </c>
      <c r="I3462" t="s">
        <v>2052</v>
      </c>
      <c r="J3462">
        <v>80</v>
      </c>
      <c r="K3462">
        <v>-283</v>
      </c>
      <c r="L3462">
        <v>98</v>
      </c>
      <c r="M3462">
        <v>657.70001220999995</v>
      </c>
      <c r="N3462" t="s">
        <v>1956</v>
      </c>
      <c r="O3462" t="s">
        <v>43</v>
      </c>
      <c r="P3462">
        <v>125</v>
      </c>
      <c r="Q3462" t="s">
        <v>43</v>
      </c>
      <c r="R3462">
        <v>-1000</v>
      </c>
      <c r="S3462">
        <v>0</v>
      </c>
      <c r="T3462">
        <v>-40</v>
      </c>
      <c r="U3462">
        <v>-40</v>
      </c>
      <c r="V3462">
        <v>-3000</v>
      </c>
      <c r="W3462">
        <v>37</v>
      </c>
      <c r="X3462">
        <v>37</v>
      </c>
      <c r="Y3462">
        <v>1</v>
      </c>
      <c r="Z3462">
        <v>8</v>
      </c>
      <c r="AA3462">
        <v>34</v>
      </c>
      <c r="AB3462">
        <v>2</v>
      </c>
      <c r="AC3462">
        <v>5</v>
      </c>
      <c r="AD3462">
        <v>3.43199992</v>
      </c>
      <c r="AE3462">
        <v>6</v>
      </c>
      <c r="AF3462">
        <v>24</v>
      </c>
      <c r="AG3462">
        <v>3.4149999599999998</v>
      </c>
      <c r="AH3462">
        <v>1</v>
      </c>
      <c r="AI3462">
        <v>38</v>
      </c>
      <c r="AJ3462">
        <v>1</v>
      </c>
      <c r="AK3462">
        <v>12</v>
      </c>
      <c r="AL3462">
        <v>47</v>
      </c>
      <c r="AM3462" t="s">
        <v>43</v>
      </c>
      <c r="AN3462" t="str">
        <f>HYPERLINK("https://www.google.com/maps?q=10.76360226,79.69313049","Open Location")</f>
        <v>Open Location</v>
      </c>
    </row>
    <row r="3463" spans="1:40" x14ac:dyDescent="0.3">
      <c r="A3463" s="1">
        <v>46210.59884259259</v>
      </c>
      <c r="B3463" t="s">
        <v>40</v>
      </c>
      <c r="C3463" t="s">
        <v>41</v>
      </c>
      <c r="D3463" s="1">
        <v>46210.601747685185</v>
      </c>
      <c r="E3463" t="s">
        <v>42</v>
      </c>
      <c r="F3463" t="s">
        <v>43</v>
      </c>
      <c r="G3463">
        <v>0</v>
      </c>
      <c r="H3463">
        <v>33107</v>
      </c>
      <c r="I3463" t="s">
        <v>2053</v>
      </c>
      <c r="J3463">
        <v>80</v>
      </c>
      <c r="K3463">
        <v>-283</v>
      </c>
      <c r="L3463">
        <v>98</v>
      </c>
      <c r="M3463">
        <v>657.5</v>
      </c>
      <c r="N3463" t="s">
        <v>1956</v>
      </c>
      <c r="O3463" t="s">
        <v>43</v>
      </c>
      <c r="P3463">
        <v>125</v>
      </c>
      <c r="Q3463" t="s">
        <v>43</v>
      </c>
      <c r="R3463">
        <v>-1000</v>
      </c>
      <c r="S3463">
        <v>0</v>
      </c>
      <c r="T3463">
        <v>-40</v>
      </c>
      <c r="U3463">
        <v>-40</v>
      </c>
      <c r="V3463">
        <v>-3000</v>
      </c>
      <c r="W3463">
        <v>37</v>
      </c>
      <c r="X3463">
        <v>37</v>
      </c>
      <c r="Y3463">
        <v>1</v>
      </c>
      <c r="Z3463">
        <v>7</v>
      </c>
      <c r="AA3463">
        <v>34</v>
      </c>
      <c r="AB3463">
        <v>2</v>
      </c>
      <c r="AC3463">
        <v>5</v>
      </c>
      <c r="AD3463">
        <v>3.43199992</v>
      </c>
      <c r="AE3463">
        <v>6</v>
      </c>
      <c r="AF3463">
        <v>24</v>
      </c>
      <c r="AG3463">
        <v>3.4149999599999998</v>
      </c>
      <c r="AH3463">
        <v>1</v>
      </c>
      <c r="AI3463">
        <v>38</v>
      </c>
      <c r="AJ3463">
        <v>1</v>
      </c>
      <c r="AK3463">
        <v>12</v>
      </c>
      <c r="AL3463">
        <v>47</v>
      </c>
      <c r="AM3463" t="s">
        <v>43</v>
      </c>
      <c r="AN3463" t="str">
        <f>HYPERLINK("https://www.google.com/maps?q=10.76361084,79.69313812","Open Location")</f>
        <v>Open Location</v>
      </c>
    </row>
    <row r="3464" spans="1:40" x14ac:dyDescent="0.3">
      <c r="A3464" s="1">
        <v>46210.598726851851</v>
      </c>
      <c r="B3464" t="s">
        <v>40</v>
      </c>
      <c r="C3464" t="s">
        <v>41</v>
      </c>
      <c r="D3464" s="1">
        <v>46210.601712962962</v>
      </c>
      <c r="E3464" t="s">
        <v>42</v>
      </c>
      <c r="F3464" t="s">
        <v>43</v>
      </c>
      <c r="G3464">
        <v>0</v>
      </c>
      <c r="H3464">
        <v>33107</v>
      </c>
      <c r="I3464" t="s">
        <v>2054</v>
      </c>
      <c r="J3464">
        <v>80</v>
      </c>
      <c r="K3464">
        <v>-283</v>
      </c>
      <c r="L3464">
        <v>98</v>
      </c>
      <c r="M3464">
        <v>657.40002441000001</v>
      </c>
      <c r="N3464" t="s">
        <v>1956</v>
      </c>
      <c r="O3464" t="s">
        <v>43</v>
      </c>
      <c r="P3464">
        <v>125</v>
      </c>
      <c r="Q3464" t="s">
        <v>43</v>
      </c>
      <c r="R3464">
        <v>-1000</v>
      </c>
      <c r="S3464">
        <v>0</v>
      </c>
      <c r="T3464">
        <v>-40</v>
      </c>
      <c r="U3464">
        <v>-40</v>
      </c>
      <c r="V3464">
        <v>-3000</v>
      </c>
      <c r="W3464">
        <v>37</v>
      </c>
      <c r="X3464">
        <v>37</v>
      </c>
      <c r="Y3464">
        <v>1</v>
      </c>
      <c r="Z3464">
        <v>7</v>
      </c>
      <c r="AA3464">
        <v>34</v>
      </c>
      <c r="AB3464">
        <v>2</v>
      </c>
      <c r="AC3464">
        <v>5</v>
      </c>
      <c r="AD3464">
        <v>3.43199992</v>
      </c>
      <c r="AE3464">
        <v>6</v>
      </c>
      <c r="AF3464">
        <v>24</v>
      </c>
      <c r="AG3464">
        <v>3.41400003</v>
      </c>
      <c r="AH3464">
        <v>5</v>
      </c>
      <c r="AI3464">
        <v>38</v>
      </c>
      <c r="AJ3464">
        <v>1</v>
      </c>
      <c r="AK3464">
        <v>12</v>
      </c>
      <c r="AL3464">
        <v>47</v>
      </c>
      <c r="AM3464" t="s">
        <v>43</v>
      </c>
      <c r="AN3464" t="str">
        <f>HYPERLINK("https://www.google.com/maps?q=10.76361942,79.69313812","Open Location")</f>
        <v>Open Location</v>
      </c>
    </row>
    <row r="3465" spans="1:40" x14ac:dyDescent="0.3">
      <c r="A3465" s="1">
        <v>46210.598611111112</v>
      </c>
      <c r="B3465" t="s">
        <v>40</v>
      </c>
      <c r="C3465" t="s">
        <v>41</v>
      </c>
      <c r="D3465" s="1">
        <v>46210.601412037038</v>
      </c>
      <c r="E3465" t="s">
        <v>42</v>
      </c>
      <c r="F3465" t="s">
        <v>43</v>
      </c>
      <c r="G3465">
        <v>0</v>
      </c>
      <c r="H3465">
        <v>33107</v>
      </c>
      <c r="I3465" t="s">
        <v>2055</v>
      </c>
      <c r="J3465">
        <v>79</v>
      </c>
      <c r="K3465">
        <v>-281</v>
      </c>
      <c r="L3465">
        <v>98</v>
      </c>
      <c r="M3465">
        <v>657.40002441000001</v>
      </c>
      <c r="N3465" t="s">
        <v>1956</v>
      </c>
      <c r="O3465" t="s">
        <v>43</v>
      </c>
      <c r="P3465">
        <v>125</v>
      </c>
      <c r="Q3465" t="s">
        <v>43</v>
      </c>
      <c r="R3465">
        <v>-1000</v>
      </c>
      <c r="S3465">
        <v>0</v>
      </c>
      <c r="T3465">
        <v>-40</v>
      </c>
      <c r="U3465">
        <v>-40</v>
      </c>
      <c r="V3465">
        <v>-3000</v>
      </c>
      <c r="W3465">
        <v>37</v>
      </c>
      <c r="X3465">
        <v>37</v>
      </c>
      <c r="Y3465">
        <v>1</v>
      </c>
      <c r="Z3465">
        <v>7</v>
      </c>
      <c r="AA3465">
        <v>34</v>
      </c>
      <c r="AB3465">
        <v>2</v>
      </c>
      <c r="AC3465">
        <v>5</v>
      </c>
      <c r="AD3465">
        <v>3.4330000900000002</v>
      </c>
      <c r="AE3465">
        <v>6</v>
      </c>
      <c r="AF3465">
        <v>24</v>
      </c>
      <c r="AG3465">
        <v>3.4149999599999998</v>
      </c>
      <c r="AH3465">
        <v>1</v>
      </c>
      <c r="AI3465">
        <v>42</v>
      </c>
      <c r="AJ3465">
        <v>1</v>
      </c>
      <c r="AK3465">
        <v>11</v>
      </c>
      <c r="AL3465">
        <v>47</v>
      </c>
      <c r="AM3465" t="s">
        <v>43</v>
      </c>
      <c r="AN3465" t="str">
        <f>HYPERLINK("https://www.google.com/maps?q=10.76360893,79.69311523","Open Location")</f>
        <v>Open Location</v>
      </c>
    </row>
    <row r="3466" spans="1:40" x14ac:dyDescent="0.3">
      <c r="A3466" s="1">
        <v>46210.598495370374</v>
      </c>
      <c r="B3466" t="s">
        <v>40</v>
      </c>
      <c r="C3466" t="s">
        <v>41</v>
      </c>
      <c r="D3466" s="1">
        <v>46210.601342592592</v>
      </c>
      <c r="E3466" t="s">
        <v>42</v>
      </c>
      <c r="F3466" t="s">
        <v>43</v>
      </c>
      <c r="G3466">
        <v>0</v>
      </c>
      <c r="H3466">
        <v>33107</v>
      </c>
      <c r="I3466" t="s">
        <v>2056</v>
      </c>
      <c r="J3466">
        <v>79</v>
      </c>
      <c r="K3466">
        <v>-278</v>
      </c>
      <c r="L3466">
        <v>98</v>
      </c>
      <c r="M3466">
        <v>657.40002441000001</v>
      </c>
      <c r="N3466" t="s">
        <v>1956</v>
      </c>
      <c r="O3466" t="s">
        <v>43</v>
      </c>
      <c r="P3466">
        <v>125</v>
      </c>
      <c r="Q3466" t="s">
        <v>43</v>
      </c>
      <c r="R3466">
        <v>-1000</v>
      </c>
      <c r="S3466">
        <v>0</v>
      </c>
      <c r="T3466">
        <v>-40</v>
      </c>
      <c r="U3466">
        <v>-40</v>
      </c>
      <c r="V3466">
        <v>-3000</v>
      </c>
      <c r="W3466">
        <v>37</v>
      </c>
      <c r="X3466">
        <v>37</v>
      </c>
      <c r="Y3466">
        <v>1</v>
      </c>
      <c r="Z3466">
        <v>7</v>
      </c>
      <c r="AA3466">
        <v>34</v>
      </c>
      <c r="AB3466">
        <v>2</v>
      </c>
      <c r="AC3466">
        <v>5</v>
      </c>
      <c r="AD3466">
        <v>3.4330000900000002</v>
      </c>
      <c r="AE3466">
        <v>6</v>
      </c>
      <c r="AF3466">
        <v>24</v>
      </c>
      <c r="AG3466">
        <v>3.4149999599999998</v>
      </c>
      <c r="AH3466">
        <v>5</v>
      </c>
      <c r="AI3466">
        <v>38</v>
      </c>
      <c r="AJ3466">
        <v>1</v>
      </c>
      <c r="AK3466">
        <v>12</v>
      </c>
      <c r="AL3466">
        <v>47</v>
      </c>
      <c r="AM3466" t="s">
        <v>43</v>
      </c>
      <c r="AN3466" t="str">
        <f>HYPERLINK("https://www.google.com/maps?q=10.76361179,79.69308472","Open Location")</f>
        <v>Open Location</v>
      </c>
    </row>
    <row r="3467" spans="1:40" x14ac:dyDescent="0.3">
      <c r="A3467" s="1">
        <v>46210.598379629628</v>
      </c>
      <c r="B3467" t="s">
        <v>40</v>
      </c>
      <c r="C3467" t="s">
        <v>41</v>
      </c>
      <c r="D3467" s="1">
        <v>46210.601087962961</v>
      </c>
      <c r="E3467" t="s">
        <v>42</v>
      </c>
      <c r="F3467" t="s">
        <v>43</v>
      </c>
      <c r="G3467">
        <v>0</v>
      </c>
      <c r="H3467">
        <v>33107</v>
      </c>
      <c r="I3467" t="s">
        <v>43</v>
      </c>
      <c r="J3467">
        <v>79</v>
      </c>
      <c r="K3467">
        <v>-282</v>
      </c>
      <c r="L3467">
        <v>98</v>
      </c>
      <c r="M3467">
        <v>657.5</v>
      </c>
      <c r="N3467" t="s">
        <v>1956</v>
      </c>
      <c r="O3467" t="s">
        <v>43</v>
      </c>
      <c r="P3467">
        <v>125</v>
      </c>
      <c r="Q3467" t="s">
        <v>43</v>
      </c>
      <c r="R3467">
        <v>-1000</v>
      </c>
      <c r="S3467">
        <v>0</v>
      </c>
      <c r="T3467">
        <v>-40</v>
      </c>
      <c r="U3467">
        <v>-40</v>
      </c>
      <c r="V3467">
        <v>-3000</v>
      </c>
      <c r="W3467">
        <v>37</v>
      </c>
      <c r="X3467">
        <v>37</v>
      </c>
      <c r="Y3467">
        <v>1</v>
      </c>
      <c r="Z3467">
        <v>7</v>
      </c>
      <c r="AA3467">
        <v>34</v>
      </c>
      <c r="AB3467">
        <v>2</v>
      </c>
      <c r="AC3467">
        <v>5</v>
      </c>
      <c r="AD3467">
        <v>3.4330000900000002</v>
      </c>
      <c r="AE3467">
        <v>6</v>
      </c>
      <c r="AF3467">
        <v>24</v>
      </c>
      <c r="AG3467">
        <v>3.4149999599999998</v>
      </c>
      <c r="AH3467">
        <v>1</v>
      </c>
      <c r="AI3467">
        <v>42</v>
      </c>
      <c r="AJ3467">
        <v>1</v>
      </c>
      <c r="AK3467">
        <v>11</v>
      </c>
      <c r="AL3467">
        <v>47</v>
      </c>
      <c r="AM3467" t="s">
        <v>43</v>
      </c>
      <c r="AN3467" t="s">
        <v>43</v>
      </c>
    </row>
    <row r="3468" spans="1:40" x14ac:dyDescent="0.3">
      <c r="A3468" s="1">
        <v>46210.598263888889</v>
      </c>
      <c r="B3468" t="s">
        <v>40</v>
      </c>
      <c r="C3468" t="s">
        <v>41</v>
      </c>
      <c r="D3468" s="1">
        <v>46210.601331018515</v>
      </c>
      <c r="E3468" t="s">
        <v>42</v>
      </c>
      <c r="F3468" t="s">
        <v>43</v>
      </c>
      <c r="G3468">
        <v>0</v>
      </c>
      <c r="H3468" t="s">
        <v>43</v>
      </c>
      <c r="I3468" t="s">
        <v>2057</v>
      </c>
      <c r="J3468">
        <v>79</v>
      </c>
      <c r="K3468">
        <v>-283</v>
      </c>
      <c r="L3468">
        <v>98</v>
      </c>
      <c r="M3468">
        <v>657.90002441000001</v>
      </c>
      <c r="N3468" t="s">
        <v>1956</v>
      </c>
      <c r="O3468" t="s">
        <v>43</v>
      </c>
      <c r="P3468">
        <v>125</v>
      </c>
      <c r="Q3468" t="s">
        <v>43</v>
      </c>
      <c r="R3468">
        <v>-1000</v>
      </c>
      <c r="S3468">
        <v>0</v>
      </c>
      <c r="T3468">
        <v>-40</v>
      </c>
      <c r="U3468">
        <v>-40</v>
      </c>
      <c r="V3468">
        <v>-3000</v>
      </c>
      <c r="W3468">
        <v>37</v>
      </c>
      <c r="X3468">
        <v>37</v>
      </c>
      <c r="Y3468">
        <v>1</v>
      </c>
      <c r="Z3468">
        <v>7</v>
      </c>
      <c r="AA3468">
        <v>34</v>
      </c>
      <c r="AB3468">
        <v>2</v>
      </c>
      <c r="AC3468">
        <v>5</v>
      </c>
      <c r="AD3468">
        <v>3.43499994</v>
      </c>
      <c r="AE3468">
        <v>6</v>
      </c>
      <c r="AF3468">
        <v>24</v>
      </c>
      <c r="AG3468">
        <v>3.4170000599999999</v>
      </c>
      <c r="AH3468">
        <v>1</v>
      </c>
      <c r="AI3468">
        <v>42</v>
      </c>
      <c r="AJ3468">
        <v>1</v>
      </c>
      <c r="AK3468">
        <v>12</v>
      </c>
      <c r="AL3468">
        <v>47</v>
      </c>
      <c r="AM3468" t="s">
        <v>43</v>
      </c>
      <c r="AN3468" t="str">
        <f>HYPERLINK("https://www.google.com/maps?q=10.76361465,79.69308472","Open Location")</f>
        <v>Open Location</v>
      </c>
    </row>
    <row r="3469" spans="1:40" x14ac:dyDescent="0.3">
      <c r="A3469" s="1">
        <v>46210.59814814815</v>
      </c>
      <c r="B3469" t="s">
        <v>40</v>
      </c>
      <c r="C3469" t="s">
        <v>41</v>
      </c>
      <c r="D3469" s="1">
        <v>46210.600844907407</v>
      </c>
      <c r="E3469" t="s">
        <v>42</v>
      </c>
      <c r="F3469" t="s">
        <v>43</v>
      </c>
      <c r="G3469">
        <v>0</v>
      </c>
      <c r="H3469">
        <v>33107</v>
      </c>
      <c r="I3469" t="s">
        <v>2058</v>
      </c>
      <c r="J3469">
        <v>79</v>
      </c>
      <c r="K3469">
        <v>-319</v>
      </c>
      <c r="L3469">
        <v>98</v>
      </c>
      <c r="M3469">
        <v>659.09997558999999</v>
      </c>
      <c r="N3469" t="s">
        <v>1956</v>
      </c>
      <c r="O3469" t="s">
        <v>43</v>
      </c>
      <c r="P3469">
        <v>125</v>
      </c>
      <c r="Q3469" t="s">
        <v>43</v>
      </c>
      <c r="R3469">
        <v>-1000</v>
      </c>
      <c r="S3469">
        <v>0</v>
      </c>
      <c r="T3469">
        <v>-40</v>
      </c>
      <c r="U3469">
        <v>-40</v>
      </c>
      <c r="V3469">
        <v>-3000</v>
      </c>
      <c r="W3469">
        <v>37</v>
      </c>
      <c r="X3469">
        <v>37</v>
      </c>
      <c r="Y3469">
        <v>1</v>
      </c>
      <c r="Z3469">
        <v>8</v>
      </c>
      <c r="AA3469">
        <v>34</v>
      </c>
      <c r="AB3469">
        <v>2</v>
      </c>
      <c r="AC3469">
        <v>5</v>
      </c>
      <c r="AD3469">
        <v>3.4419999099999998</v>
      </c>
      <c r="AE3469">
        <v>6</v>
      </c>
      <c r="AF3469">
        <v>24</v>
      </c>
      <c r="AG3469">
        <v>3.4219999300000001</v>
      </c>
      <c r="AH3469">
        <v>1</v>
      </c>
      <c r="AI3469">
        <v>42</v>
      </c>
      <c r="AJ3469">
        <v>1</v>
      </c>
      <c r="AK3469">
        <v>12</v>
      </c>
      <c r="AL3469">
        <v>47</v>
      </c>
      <c r="AM3469" t="s">
        <v>43</v>
      </c>
      <c r="AN3469" t="str">
        <f>HYPERLINK("https://www.google.com/maps?q=10.76360989,79.69308472","Open Location")</f>
        <v>Open Location</v>
      </c>
    </row>
    <row r="3470" spans="1:40" x14ac:dyDescent="0.3">
      <c r="A3470" s="1">
        <v>46210.598032407404</v>
      </c>
      <c r="B3470" t="s">
        <v>40</v>
      </c>
      <c r="C3470" t="s">
        <v>41</v>
      </c>
      <c r="D3470" s="1">
        <v>46210.600937499999</v>
      </c>
      <c r="E3470" t="s">
        <v>42</v>
      </c>
      <c r="F3470" t="s">
        <v>43</v>
      </c>
      <c r="G3470">
        <v>0</v>
      </c>
      <c r="H3470">
        <v>33107</v>
      </c>
      <c r="I3470" t="s">
        <v>2059</v>
      </c>
      <c r="J3470">
        <v>79</v>
      </c>
      <c r="K3470">
        <v>-319</v>
      </c>
      <c r="L3470">
        <v>98</v>
      </c>
      <c r="M3470">
        <v>659.29998779000005</v>
      </c>
      <c r="N3470" t="s">
        <v>1956</v>
      </c>
      <c r="O3470" t="s">
        <v>43</v>
      </c>
      <c r="P3470">
        <v>125</v>
      </c>
      <c r="Q3470" t="s">
        <v>43</v>
      </c>
      <c r="R3470">
        <v>-1000</v>
      </c>
      <c r="S3470">
        <v>0</v>
      </c>
      <c r="T3470">
        <v>-40</v>
      </c>
      <c r="U3470">
        <v>-40</v>
      </c>
      <c r="V3470">
        <v>-3000</v>
      </c>
      <c r="W3470">
        <v>37</v>
      </c>
      <c r="X3470">
        <v>37</v>
      </c>
      <c r="Y3470">
        <v>1</v>
      </c>
      <c r="Z3470">
        <v>8</v>
      </c>
      <c r="AA3470">
        <v>34</v>
      </c>
      <c r="AB3470">
        <v>2</v>
      </c>
      <c r="AC3470">
        <v>2</v>
      </c>
      <c r="AD3470">
        <v>3.44099998</v>
      </c>
      <c r="AE3470">
        <v>6</v>
      </c>
      <c r="AF3470">
        <v>24</v>
      </c>
      <c r="AG3470">
        <v>3.4219999300000001</v>
      </c>
      <c r="AH3470">
        <v>1</v>
      </c>
      <c r="AI3470">
        <v>42</v>
      </c>
      <c r="AJ3470">
        <v>1</v>
      </c>
      <c r="AK3470">
        <v>11</v>
      </c>
      <c r="AL3470">
        <v>47</v>
      </c>
      <c r="AM3470" t="s">
        <v>43</v>
      </c>
      <c r="AN3470" t="str">
        <f>HYPERLINK("https://www.google.com/maps?q=10.76359272,79.69307709","Open Location")</f>
        <v>Open Location</v>
      </c>
    </row>
    <row r="3471" spans="1:40" x14ac:dyDescent="0.3">
      <c r="A3471" s="1">
        <v>46210.597916666666</v>
      </c>
      <c r="B3471" t="s">
        <v>40</v>
      </c>
      <c r="C3471" t="s">
        <v>41</v>
      </c>
      <c r="D3471" s="1">
        <v>46210.600613425922</v>
      </c>
      <c r="E3471" t="s">
        <v>42</v>
      </c>
      <c r="F3471" t="s">
        <v>43</v>
      </c>
      <c r="G3471">
        <v>0</v>
      </c>
      <c r="H3471">
        <v>33107</v>
      </c>
      <c r="I3471" t="s">
        <v>2060</v>
      </c>
      <c r="J3471">
        <v>78</v>
      </c>
      <c r="K3471">
        <v>-319</v>
      </c>
      <c r="L3471">
        <v>98</v>
      </c>
      <c r="M3471">
        <v>659.09997558999999</v>
      </c>
      <c r="N3471" t="s">
        <v>1956</v>
      </c>
      <c r="O3471" t="s">
        <v>43</v>
      </c>
      <c r="P3471">
        <v>125</v>
      </c>
      <c r="Q3471" t="s">
        <v>43</v>
      </c>
      <c r="R3471">
        <v>-1000</v>
      </c>
      <c r="S3471">
        <v>0</v>
      </c>
      <c r="T3471">
        <v>-40</v>
      </c>
      <c r="U3471">
        <v>-40</v>
      </c>
      <c r="V3471">
        <v>-3000</v>
      </c>
      <c r="W3471">
        <v>37</v>
      </c>
      <c r="X3471">
        <v>37</v>
      </c>
      <c r="Y3471">
        <v>1</v>
      </c>
      <c r="Z3471">
        <v>8</v>
      </c>
      <c r="AA3471">
        <v>34</v>
      </c>
      <c r="AB3471">
        <v>2</v>
      </c>
      <c r="AC3471">
        <v>1</v>
      </c>
      <c r="AD3471">
        <v>3.44099998</v>
      </c>
      <c r="AE3471">
        <v>6</v>
      </c>
      <c r="AF3471">
        <v>24</v>
      </c>
      <c r="AG3471">
        <v>3.4219999300000001</v>
      </c>
      <c r="AH3471">
        <v>1</v>
      </c>
      <c r="AI3471">
        <v>42</v>
      </c>
      <c r="AJ3471">
        <v>1</v>
      </c>
      <c r="AK3471">
        <v>11</v>
      </c>
      <c r="AL3471">
        <v>47</v>
      </c>
      <c r="AM3471" t="s">
        <v>43</v>
      </c>
      <c r="AN3471" t="str">
        <f>HYPERLINK("https://www.google.com/maps?q=10.76358223,79.6931076","Open Location")</f>
        <v>Open Location</v>
      </c>
    </row>
    <row r="3472" spans="1:40" x14ac:dyDescent="0.3">
      <c r="A3472" s="1">
        <v>46210.597800925927</v>
      </c>
      <c r="B3472" t="s">
        <v>40</v>
      </c>
      <c r="C3472" t="s">
        <v>41</v>
      </c>
      <c r="D3472" s="1">
        <v>46210.600682870368</v>
      </c>
      <c r="E3472" t="s">
        <v>42</v>
      </c>
      <c r="F3472" t="s">
        <v>43</v>
      </c>
      <c r="G3472">
        <v>0</v>
      </c>
      <c r="H3472">
        <v>33107</v>
      </c>
      <c r="I3472" t="s">
        <v>2061</v>
      </c>
      <c r="J3472">
        <v>78</v>
      </c>
      <c r="K3472">
        <v>-319</v>
      </c>
      <c r="L3472">
        <v>98</v>
      </c>
      <c r="M3472">
        <v>659</v>
      </c>
      <c r="N3472" t="s">
        <v>1956</v>
      </c>
      <c r="O3472" t="s">
        <v>43</v>
      </c>
      <c r="P3472">
        <v>125</v>
      </c>
      <c r="Q3472" t="s">
        <v>43</v>
      </c>
      <c r="R3472">
        <v>-1000</v>
      </c>
      <c r="S3472">
        <v>0</v>
      </c>
      <c r="T3472">
        <v>-40</v>
      </c>
      <c r="U3472">
        <v>-40</v>
      </c>
      <c r="V3472">
        <v>-3000</v>
      </c>
      <c r="W3472">
        <v>37</v>
      </c>
      <c r="X3472">
        <v>37</v>
      </c>
      <c r="Y3472">
        <v>1</v>
      </c>
      <c r="Z3472">
        <v>8</v>
      </c>
      <c r="AA3472">
        <v>34</v>
      </c>
      <c r="AB3472">
        <v>2</v>
      </c>
      <c r="AC3472">
        <v>1</v>
      </c>
      <c r="AD3472">
        <v>3.44099998</v>
      </c>
      <c r="AE3472">
        <v>6</v>
      </c>
      <c r="AF3472">
        <v>24</v>
      </c>
      <c r="AG3472">
        <v>3.4209999999999998</v>
      </c>
      <c r="AH3472">
        <v>1</v>
      </c>
      <c r="AI3472">
        <v>42</v>
      </c>
      <c r="AJ3472">
        <v>1</v>
      </c>
      <c r="AK3472">
        <v>11</v>
      </c>
      <c r="AL3472">
        <v>47</v>
      </c>
      <c r="AM3472" t="s">
        <v>43</v>
      </c>
      <c r="AN3472" t="str">
        <f>HYPERLINK("https://www.google.com/maps?q=10.76357079,79.69308472","Open Location")</f>
        <v>Open Location</v>
      </c>
    </row>
    <row r="3473" spans="1:40" x14ac:dyDescent="0.3">
      <c r="A3473" s="1">
        <v>46210.597685185188</v>
      </c>
      <c r="B3473" t="s">
        <v>40</v>
      </c>
      <c r="C3473" t="s">
        <v>41</v>
      </c>
      <c r="D3473" s="1">
        <v>46210.600289351853</v>
      </c>
      <c r="E3473" t="s">
        <v>42</v>
      </c>
      <c r="F3473" t="s">
        <v>43</v>
      </c>
      <c r="G3473">
        <v>0</v>
      </c>
      <c r="H3473">
        <v>33107</v>
      </c>
      <c r="I3473" t="s">
        <v>43</v>
      </c>
      <c r="J3473">
        <v>78</v>
      </c>
      <c r="K3473">
        <v>-319</v>
      </c>
      <c r="L3473">
        <v>98</v>
      </c>
      <c r="M3473">
        <v>658.5</v>
      </c>
      <c r="N3473" t="s">
        <v>1956</v>
      </c>
      <c r="O3473" t="s">
        <v>43</v>
      </c>
      <c r="P3473">
        <v>125</v>
      </c>
      <c r="Q3473" t="s">
        <v>43</v>
      </c>
      <c r="R3473">
        <v>-1000</v>
      </c>
      <c r="S3473">
        <v>0</v>
      </c>
      <c r="T3473">
        <v>-40</v>
      </c>
      <c r="U3473">
        <v>-40</v>
      </c>
      <c r="V3473">
        <v>-3000</v>
      </c>
      <c r="W3473">
        <v>37</v>
      </c>
      <c r="X3473">
        <v>37</v>
      </c>
      <c r="Y3473">
        <v>1</v>
      </c>
      <c r="Z3473">
        <v>8</v>
      </c>
      <c r="AA3473">
        <v>33</v>
      </c>
      <c r="AB3473">
        <v>7</v>
      </c>
      <c r="AC3473">
        <v>6</v>
      </c>
      <c r="AD3473">
        <v>3.44000006</v>
      </c>
      <c r="AE3473">
        <v>6</v>
      </c>
      <c r="AF3473">
        <v>24</v>
      </c>
      <c r="AG3473">
        <v>3.4209999999999998</v>
      </c>
      <c r="AH3473">
        <v>1</v>
      </c>
      <c r="AI3473">
        <v>42</v>
      </c>
      <c r="AJ3473">
        <v>1</v>
      </c>
      <c r="AK3473">
        <v>12</v>
      </c>
      <c r="AL3473">
        <v>47</v>
      </c>
      <c r="AM3473" t="s">
        <v>43</v>
      </c>
      <c r="AN3473" t="s">
        <v>43</v>
      </c>
    </row>
    <row r="3474" spans="1:40" x14ac:dyDescent="0.3">
      <c r="A3474" s="1">
        <v>46210.597569444442</v>
      </c>
      <c r="B3474" t="s">
        <v>40</v>
      </c>
      <c r="C3474" t="s">
        <v>41</v>
      </c>
      <c r="D3474" s="1">
        <v>46210.600347222222</v>
      </c>
      <c r="E3474" t="s">
        <v>42</v>
      </c>
      <c r="F3474" t="s">
        <v>43</v>
      </c>
      <c r="G3474">
        <v>0</v>
      </c>
      <c r="H3474">
        <v>33107</v>
      </c>
      <c r="I3474" t="s">
        <v>2061</v>
      </c>
      <c r="J3474">
        <v>78</v>
      </c>
      <c r="K3474">
        <v>-319</v>
      </c>
      <c r="L3474">
        <v>98</v>
      </c>
      <c r="M3474">
        <v>658.90002441000001</v>
      </c>
      <c r="N3474" t="s">
        <v>1956</v>
      </c>
      <c r="O3474" t="s">
        <v>43</v>
      </c>
      <c r="P3474">
        <v>125</v>
      </c>
      <c r="Q3474" t="s">
        <v>43</v>
      </c>
      <c r="R3474">
        <v>-1000</v>
      </c>
      <c r="S3474">
        <v>0</v>
      </c>
      <c r="T3474">
        <v>-40</v>
      </c>
      <c r="U3474">
        <v>-40</v>
      </c>
      <c r="V3474">
        <v>-3000</v>
      </c>
      <c r="W3474">
        <v>37</v>
      </c>
      <c r="X3474">
        <v>37</v>
      </c>
      <c r="Y3474">
        <v>1</v>
      </c>
      <c r="Z3474">
        <v>8</v>
      </c>
      <c r="AA3474">
        <v>33</v>
      </c>
      <c r="AB3474">
        <v>7</v>
      </c>
      <c r="AC3474">
        <v>6</v>
      </c>
      <c r="AD3474">
        <v>3.44000006</v>
      </c>
      <c r="AE3474">
        <v>6</v>
      </c>
      <c r="AF3474">
        <v>24</v>
      </c>
      <c r="AG3474">
        <v>3.4200000799999999</v>
      </c>
      <c r="AH3474">
        <v>5</v>
      </c>
      <c r="AI3474">
        <v>10</v>
      </c>
      <c r="AJ3474">
        <v>1</v>
      </c>
      <c r="AK3474">
        <v>12</v>
      </c>
      <c r="AL3474">
        <v>47</v>
      </c>
      <c r="AM3474" t="s">
        <v>43</v>
      </c>
      <c r="AN3474" t="str">
        <f>HYPERLINK("https://www.google.com/maps?q=10.76357079,79.69308472","Open Location")</f>
        <v>Open Location</v>
      </c>
    </row>
    <row r="3475" spans="1:40" x14ac:dyDescent="0.3">
      <c r="A3475" s="1">
        <v>46210.597453703704</v>
      </c>
      <c r="B3475" t="s">
        <v>40</v>
      </c>
      <c r="C3475" t="s">
        <v>41</v>
      </c>
      <c r="D3475" s="1">
        <v>46210.600219907406</v>
      </c>
      <c r="E3475" t="s">
        <v>42</v>
      </c>
      <c r="F3475" t="s">
        <v>43</v>
      </c>
      <c r="G3475">
        <v>0</v>
      </c>
      <c r="H3475">
        <v>33107</v>
      </c>
      <c r="I3475" t="s">
        <v>2062</v>
      </c>
      <c r="J3475">
        <v>78</v>
      </c>
      <c r="K3475">
        <v>-316</v>
      </c>
      <c r="L3475">
        <v>98</v>
      </c>
      <c r="M3475">
        <v>658.59997558999999</v>
      </c>
      <c r="N3475" t="s">
        <v>1956</v>
      </c>
      <c r="O3475" t="s">
        <v>43</v>
      </c>
      <c r="P3475">
        <v>125</v>
      </c>
      <c r="Q3475" t="s">
        <v>43</v>
      </c>
      <c r="R3475">
        <v>-1000</v>
      </c>
      <c r="S3475">
        <v>0</v>
      </c>
      <c r="T3475">
        <v>-40</v>
      </c>
      <c r="U3475">
        <v>-40</v>
      </c>
      <c r="V3475">
        <v>-3000</v>
      </c>
      <c r="W3475">
        <v>37</v>
      </c>
      <c r="X3475">
        <v>37</v>
      </c>
      <c r="Y3475">
        <v>1</v>
      </c>
      <c r="Z3475">
        <v>8</v>
      </c>
      <c r="AA3475">
        <v>33</v>
      </c>
      <c r="AB3475">
        <v>7</v>
      </c>
      <c r="AC3475">
        <v>6</v>
      </c>
      <c r="AD3475">
        <v>3.4389998899999998</v>
      </c>
      <c r="AE3475">
        <v>6</v>
      </c>
      <c r="AF3475">
        <v>24</v>
      </c>
      <c r="AG3475">
        <v>3.4200000799999999</v>
      </c>
      <c r="AH3475">
        <v>1</v>
      </c>
      <c r="AI3475">
        <v>42</v>
      </c>
      <c r="AJ3475">
        <v>1</v>
      </c>
      <c r="AK3475">
        <v>12</v>
      </c>
      <c r="AL3475">
        <v>47</v>
      </c>
      <c r="AM3475" t="s">
        <v>43</v>
      </c>
      <c r="AN3475" t="str">
        <f>HYPERLINK("https://www.google.com/maps?q=10.76355267,79.69308472","Open Location")</f>
        <v>Open Location</v>
      </c>
    </row>
    <row r="3476" spans="1:40" x14ac:dyDescent="0.3">
      <c r="A3476" s="1">
        <v>46210.597337962965</v>
      </c>
      <c r="B3476" t="s">
        <v>40</v>
      </c>
      <c r="C3476" t="s">
        <v>41</v>
      </c>
      <c r="D3476" s="1">
        <v>46210.600243055553</v>
      </c>
      <c r="E3476" t="s">
        <v>42</v>
      </c>
      <c r="F3476" t="s">
        <v>43</v>
      </c>
      <c r="G3476">
        <v>0</v>
      </c>
      <c r="H3476">
        <v>33107</v>
      </c>
      <c r="I3476" t="s">
        <v>2063</v>
      </c>
      <c r="J3476">
        <v>77</v>
      </c>
      <c r="K3476">
        <v>-316</v>
      </c>
      <c r="L3476">
        <v>98</v>
      </c>
      <c r="M3476">
        <v>658.40002441000001</v>
      </c>
      <c r="N3476" t="s">
        <v>1956</v>
      </c>
      <c r="O3476" t="s">
        <v>43</v>
      </c>
      <c r="P3476">
        <v>125</v>
      </c>
      <c r="Q3476" t="s">
        <v>43</v>
      </c>
      <c r="R3476">
        <v>-1000</v>
      </c>
      <c r="S3476">
        <v>0</v>
      </c>
      <c r="T3476">
        <v>-40</v>
      </c>
      <c r="U3476">
        <v>-40</v>
      </c>
      <c r="V3476">
        <v>-3000</v>
      </c>
      <c r="W3476">
        <v>37</v>
      </c>
      <c r="X3476">
        <v>37</v>
      </c>
      <c r="Y3476">
        <v>1</v>
      </c>
      <c r="Z3476">
        <v>8</v>
      </c>
      <c r="AA3476">
        <v>33</v>
      </c>
      <c r="AB3476">
        <v>7</v>
      </c>
      <c r="AC3476">
        <v>6</v>
      </c>
      <c r="AD3476">
        <v>3.43799996</v>
      </c>
      <c r="AE3476">
        <v>6</v>
      </c>
      <c r="AF3476">
        <v>24</v>
      </c>
      <c r="AG3476">
        <v>3.4189999100000001</v>
      </c>
      <c r="AH3476">
        <v>1</v>
      </c>
      <c r="AI3476">
        <v>42</v>
      </c>
      <c r="AJ3476">
        <v>1</v>
      </c>
      <c r="AK3476">
        <v>12</v>
      </c>
      <c r="AL3476">
        <v>47</v>
      </c>
      <c r="AM3476" t="s">
        <v>43</v>
      </c>
      <c r="AN3476" t="str">
        <f>HYPERLINK("https://www.google.com/maps?q=10.76355839,79.69308472","Open Location")</f>
        <v>Open Location</v>
      </c>
    </row>
    <row r="3477" spans="1:40" x14ac:dyDescent="0.3">
      <c r="A3477" s="1">
        <v>46210.597222222219</v>
      </c>
      <c r="B3477" t="s">
        <v>40</v>
      </c>
      <c r="C3477" t="s">
        <v>41</v>
      </c>
      <c r="D3477" s="1">
        <v>46210.600023148145</v>
      </c>
      <c r="E3477" t="s">
        <v>42</v>
      </c>
      <c r="F3477" t="s">
        <v>43</v>
      </c>
      <c r="G3477">
        <v>0</v>
      </c>
      <c r="H3477">
        <v>33107</v>
      </c>
      <c r="I3477" t="s">
        <v>2064</v>
      </c>
      <c r="J3477">
        <v>77</v>
      </c>
      <c r="K3477">
        <v>-319</v>
      </c>
      <c r="L3477">
        <v>98</v>
      </c>
      <c r="M3477">
        <v>658.29998779000005</v>
      </c>
      <c r="N3477" t="s">
        <v>1956</v>
      </c>
      <c r="O3477" t="s">
        <v>43</v>
      </c>
      <c r="P3477">
        <v>125</v>
      </c>
      <c r="Q3477" t="s">
        <v>43</v>
      </c>
      <c r="R3477">
        <v>-1000</v>
      </c>
      <c r="S3477">
        <v>0</v>
      </c>
      <c r="T3477">
        <v>-40</v>
      </c>
      <c r="U3477">
        <v>-40</v>
      </c>
      <c r="V3477">
        <v>-3000</v>
      </c>
      <c r="W3477">
        <v>37</v>
      </c>
      <c r="X3477">
        <v>37</v>
      </c>
      <c r="Y3477">
        <v>1</v>
      </c>
      <c r="Z3477">
        <v>8</v>
      </c>
      <c r="AA3477">
        <v>33</v>
      </c>
      <c r="AB3477">
        <v>7</v>
      </c>
      <c r="AC3477">
        <v>6</v>
      </c>
      <c r="AD3477">
        <v>3.4289999</v>
      </c>
      <c r="AE3477">
        <v>6</v>
      </c>
      <c r="AF3477">
        <v>24</v>
      </c>
      <c r="AG3477">
        <v>3.4119999399999998</v>
      </c>
      <c r="AH3477">
        <v>1</v>
      </c>
      <c r="AI3477">
        <v>42</v>
      </c>
      <c r="AJ3477">
        <v>1</v>
      </c>
      <c r="AK3477">
        <v>12</v>
      </c>
      <c r="AL3477">
        <v>47</v>
      </c>
      <c r="AM3477" t="s">
        <v>43</v>
      </c>
      <c r="AN3477" t="str">
        <f>HYPERLINK("https://www.google.com/maps?q=10.76356125,79.69308472","Open Location")</f>
        <v>Open Location</v>
      </c>
    </row>
    <row r="3478" spans="1:40" x14ac:dyDescent="0.3">
      <c r="A3478" s="1">
        <v>46210.59710648148</v>
      </c>
      <c r="B3478" t="s">
        <v>40</v>
      </c>
      <c r="C3478" t="s">
        <v>41</v>
      </c>
      <c r="D3478" s="1">
        <v>46210.600011574075</v>
      </c>
      <c r="E3478" t="s">
        <v>42</v>
      </c>
      <c r="F3478" t="s">
        <v>43</v>
      </c>
      <c r="G3478">
        <v>0</v>
      </c>
      <c r="H3478">
        <v>33107</v>
      </c>
      <c r="I3478" t="s">
        <v>43</v>
      </c>
      <c r="J3478">
        <v>77</v>
      </c>
      <c r="K3478">
        <v>-283</v>
      </c>
      <c r="L3478">
        <v>98</v>
      </c>
      <c r="M3478">
        <v>657</v>
      </c>
      <c r="N3478" t="s">
        <v>1956</v>
      </c>
      <c r="O3478" t="s">
        <v>43</v>
      </c>
      <c r="P3478">
        <v>125</v>
      </c>
      <c r="Q3478" t="s">
        <v>43</v>
      </c>
      <c r="R3478">
        <v>-1000</v>
      </c>
      <c r="S3478">
        <v>0</v>
      </c>
      <c r="T3478">
        <v>-40</v>
      </c>
      <c r="U3478">
        <v>-40</v>
      </c>
      <c r="V3478">
        <v>-3000</v>
      </c>
      <c r="W3478">
        <v>37</v>
      </c>
      <c r="X3478">
        <v>37</v>
      </c>
      <c r="Y3478">
        <v>1</v>
      </c>
      <c r="Z3478">
        <v>8</v>
      </c>
      <c r="AA3478">
        <v>33</v>
      </c>
      <c r="AB3478">
        <v>7</v>
      </c>
      <c r="AC3478">
        <v>6</v>
      </c>
      <c r="AD3478">
        <v>3.4289999</v>
      </c>
      <c r="AE3478">
        <v>4</v>
      </c>
      <c r="AF3478">
        <v>24</v>
      </c>
      <c r="AG3478">
        <v>3.4119999399999998</v>
      </c>
      <c r="AH3478">
        <v>1</v>
      </c>
      <c r="AI3478">
        <v>42</v>
      </c>
      <c r="AJ3478">
        <v>1</v>
      </c>
      <c r="AK3478">
        <v>12</v>
      </c>
      <c r="AL3478">
        <v>47</v>
      </c>
      <c r="AM3478" t="s">
        <v>43</v>
      </c>
      <c r="AN3478" t="s">
        <v>43</v>
      </c>
    </row>
    <row r="3479" spans="1:40" x14ac:dyDescent="0.3">
      <c r="A3479" s="1">
        <v>46210.596990740742</v>
      </c>
      <c r="B3479" t="s">
        <v>40</v>
      </c>
      <c r="C3479" t="s">
        <v>41</v>
      </c>
      <c r="D3479" s="1">
        <v>46210.600104166668</v>
      </c>
      <c r="E3479" t="s">
        <v>42</v>
      </c>
      <c r="F3479" t="s">
        <v>43</v>
      </c>
      <c r="G3479">
        <v>0</v>
      </c>
      <c r="H3479">
        <v>33107</v>
      </c>
      <c r="I3479" t="s">
        <v>2065</v>
      </c>
      <c r="J3479">
        <v>77</v>
      </c>
      <c r="K3479">
        <v>-283</v>
      </c>
      <c r="L3479">
        <v>98</v>
      </c>
      <c r="M3479">
        <v>657</v>
      </c>
      <c r="N3479" t="s">
        <v>1956</v>
      </c>
      <c r="O3479" t="s">
        <v>43</v>
      </c>
      <c r="P3479">
        <v>125</v>
      </c>
      <c r="Q3479" t="s">
        <v>43</v>
      </c>
      <c r="R3479">
        <v>-1000</v>
      </c>
      <c r="S3479">
        <v>0</v>
      </c>
      <c r="T3479">
        <v>-40</v>
      </c>
      <c r="U3479">
        <v>-40</v>
      </c>
      <c r="V3479">
        <v>-3000</v>
      </c>
      <c r="W3479">
        <v>37</v>
      </c>
      <c r="X3479">
        <v>37</v>
      </c>
      <c r="Y3479">
        <v>1</v>
      </c>
      <c r="Z3479">
        <v>8</v>
      </c>
      <c r="AA3479">
        <v>33</v>
      </c>
      <c r="AB3479">
        <v>7</v>
      </c>
      <c r="AC3479">
        <v>6</v>
      </c>
      <c r="AD3479">
        <v>3.4289999</v>
      </c>
      <c r="AE3479">
        <v>6</v>
      </c>
      <c r="AF3479">
        <v>24</v>
      </c>
      <c r="AG3479">
        <v>3.4119999399999998</v>
      </c>
      <c r="AH3479">
        <v>1</v>
      </c>
      <c r="AI3479">
        <v>42</v>
      </c>
      <c r="AJ3479">
        <v>1</v>
      </c>
      <c r="AK3479">
        <v>12</v>
      </c>
      <c r="AL3479">
        <v>47</v>
      </c>
      <c r="AM3479" t="s">
        <v>43</v>
      </c>
      <c r="AN3479" t="str">
        <f>HYPERLINK("https://www.google.com/maps?q=10.76356411,79.69308472","Open Location")</f>
        <v>Open Location</v>
      </c>
    </row>
    <row r="3480" spans="1:40" x14ac:dyDescent="0.3">
      <c r="A3480" s="1">
        <v>46210.596875000003</v>
      </c>
      <c r="B3480" t="s">
        <v>40</v>
      </c>
      <c r="C3480" t="s">
        <v>41</v>
      </c>
      <c r="D3480" s="1">
        <v>46210.600115740737</v>
      </c>
      <c r="E3480" t="s">
        <v>42</v>
      </c>
      <c r="F3480" t="s">
        <v>43</v>
      </c>
      <c r="G3480">
        <v>0</v>
      </c>
      <c r="H3480">
        <v>33107</v>
      </c>
      <c r="I3480" t="s">
        <v>2066</v>
      </c>
      <c r="J3480">
        <v>77</v>
      </c>
      <c r="K3480">
        <v>-283</v>
      </c>
      <c r="L3480">
        <v>98</v>
      </c>
      <c r="M3480">
        <v>656.90002441000001</v>
      </c>
      <c r="N3480" t="s">
        <v>1956</v>
      </c>
      <c r="O3480" t="s">
        <v>43</v>
      </c>
      <c r="P3480">
        <v>125</v>
      </c>
      <c r="Q3480" t="s">
        <v>43</v>
      </c>
      <c r="R3480">
        <v>-1000</v>
      </c>
      <c r="S3480">
        <v>0</v>
      </c>
      <c r="T3480">
        <v>-40</v>
      </c>
      <c r="U3480">
        <v>-40</v>
      </c>
      <c r="V3480">
        <v>-3000</v>
      </c>
      <c r="W3480">
        <v>37</v>
      </c>
      <c r="X3480">
        <v>37</v>
      </c>
      <c r="Y3480">
        <v>1</v>
      </c>
      <c r="Z3480">
        <v>8</v>
      </c>
      <c r="AA3480">
        <v>33</v>
      </c>
      <c r="AB3480">
        <v>7</v>
      </c>
      <c r="AC3480">
        <v>6</v>
      </c>
      <c r="AD3480">
        <v>3.4289999</v>
      </c>
      <c r="AE3480">
        <v>6</v>
      </c>
      <c r="AF3480">
        <v>24</v>
      </c>
      <c r="AG3480">
        <v>3.4119999399999998</v>
      </c>
      <c r="AH3480">
        <v>1</v>
      </c>
      <c r="AI3480">
        <v>42</v>
      </c>
      <c r="AJ3480">
        <v>1</v>
      </c>
      <c r="AK3480">
        <v>12</v>
      </c>
      <c r="AL3480">
        <v>47</v>
      </c>
      <c r="AM3480" t="s">
        <v>43</v>
      </c>
      <c r="AN3480" t="str">
        <f>HYPERLINK("https://www.google.com/maps?q=10.7635603,79.69308472","Open Location")</f>
        <v>Open Location</v>
      </c>
    </row>
    <row r="3481" spans="1:40" x14ac:dyDescent="0.3">
      <c r="A3481" s="1">
        <v>46210.596759259257</v>
      </c>
      <c r="B3481" t="s">
        <v>40</v>
      </c>
      <c r="C3481" t="s">
        <v>41</v>
      </c>
      <c r="D3481" s="1">
        <v>46210.599675925929</v>
      </c>
      <c r="E3481" t="s">
        <v>42</v>
      </c>
      <c r="F3481" t="s">
        <v>43</v>
      </c>
      <c r="G3481">
        <v>0</v>
      </c>
      <c r="H3481">
        <v>33107</v>
      </c>
      <c r="I3481" t="s">
        <v>2067</v>
      </c>
      <c r="J3481">
        <v>77</v>
      </c>
      <c r="K3481">
        <v>-283</v>
      </c>
      <c r="L3481">
        <v>98</v>
      </c>
      <c r="M3481">
        <v>656.70001220999995</v>
      </c>
      <c r="N3481" t="s">
        <v>1956</v>
      </c>
      <c r="O3481" t="s">
        <v>43</v>
      </c>
      <c r="P3481">
        <v>125</v>
      </c>
      <c r="Q3481" t="s">
        <v>43</v>
      </c>
      <c r="R3481">
        <v>-1000</v>
      </c>
      <c r="S3481">
        <v>0</v>
      </c>
      <c r="T3481">
        <v>-40</v>
      </c>
      <c r="U3481">
        <v>-40</v>
      </c>
      <c r="V3481">
        <v>-3000</v>
      </c>
      <c r="W3481">
        <v>37</v>
      </c>
      <c r="X3481">
        <v>37</v>
      </c>
      <c r="Y3481">
        <v>1</v>
      </c>
      <c r="Z3481">
        <v>8</v>
      </c>
      <c r="AA3481">
        <v>33</v>
      </c>
      <c r="AB3481">
        <v>7</v>
      </c>
      <c r="AC3481">
        <v>6</v>
      </c>
      <c r="AD3481">
        <v>3.4289999</v>
      </c>
      <c r="AE3481">
        <v>6</v>
      </c>
      <c r="AF3481">
        <v>24</v>
      </c>
      <c r="AG3481">
        <v>3.4119999399999998</v>
      </c>
      <c r="AH3481">
        <v>1</v>
      </c>
      <c r="AI3481">
        <v>42</v>
      </c>
      <c r="AJ3481">
        <v>1</v>
      </c>
      <c r="AK3481">
        <v>12</v>
      </c>
      <c r="AL3481">
        <v>47</v>
      </c>
      <c r="AM3481" t="s">
        <v>43</v>
      </c>
      <c r="AN3481" t="str">
        <f>HYPERLINK("https://www.google.com/maps?q=10.76355839,79.69307709","Open Location")</f>
        <v>Open Location</v>
      </c>
    </row>
    <row r="3482" spans="1:40" x14ac:dyDescent="0.3">
      <c r="A3482" s="1">
        <v>46210.596643518518</v>
      </c>
      <c r="B3482" t="s">
        <v>40</v>
      </c>
      <c r="C3482" t="s">
        <v>41</v>
      </c>
      <c r="D3482" s="1">
        <v>46210.599629629629</v>
      </c>
      <c r="E3482" t="s">
        <v>42</v>
      </c>
      <c r="F3482" t="s">
        <v>43</v>
      </c>
      <c r="G3482">
        <v>0</v>
      </c>
      <c r="H3482">
        <v>33107</v>
      </c>
      <c r="I3482" t="s">
        <v>2065</v>
      </c>
      <c r="J3482">
        <v>76</v>
      </c>
      <c r="K3482">
        <v>-283</v>
      </c>
      <c r="L3482">
        <v>98</v>
      </c>
      <c r="M3482">
        <v>656.79998779000005</v>
      </c>
      <c r="N3482" t="s">
        <v>1956</v>
      </c>
      <c r="O3482" t="s">
        <v>43</v>
      </c>
      <c r="P3482">
        <v>125</v>
      </c>
      <c r="Q3482" t="s">
        <v>43</v>
      </c>
      <c r="R3482">
        <v>-1000</v>
      </c>
      <c r="S3482">
        <v>0</v>
      </c>
      <c r="T3482">
        <v>-40</v>
      </c>
      <c r="U3482">
        <v>-40</v>
      </c>
      <c r="V3482">
        <v>-3000</v>
      </c>
      <c r="W3482">
        <v>37</v>
      </c>
      <c r="X3482">
        <v>37</v>
      </c>
      <c r="Y3482">
        <v>1</v>
      </c>
      <c r="Z3482">
        <v>8</v>
      </c>
      <c r="AA3482">
        <v>33</v>
      </c>
      <c r="AB3482">
        <v>7</v>
      </c>
      <c r="AC3482">
        <v>6</v>
      </c>
      <c r="AD3482">
        <v>3.4279999700000001</v>
      </c>
      <c r="AE3482">
        <v>4</v>
      </c>
      <c r="AF3482">
        <v>24</v>
      </c>
      <c r="AG3482">
        <v>3.41100001</v>
      </c>
      <c r="AH3482">
        <v>5</v>
      </c>
      <c r="AI3482">
        <v>15</v>
      </c>
      <c r="AJ3482">
        <v>1</v>
      </c>
      <c r="AK3482">
        <v>12</v>
      </c>
      <c r="AL3482">
        <v>47</v>
      </c>
      <c r="AM3482" t="s">
        <v>43</v>
      </c>
      <c r="AN3482" t="str">
        <f>HYPERLINK("https://www.google.com/maps?q=10.76356411,79.69308472","Open Location")</f>
        <v>Open Location</v>
      </c>
    </row>
    <row r="3483" spans="1:40" x14ac:dyDescent="0.3">
      <c r="A3483" s="1">
        <v>46210.59652777778</v>
      </c>
      <c r="B3483" t="s">
        <v>40</v>
      </c>
      <c r="C3483" t="s">
        <v>41</v>
      </c>
      <c r="D3483" s="1">
        <v>46210.599270833336</v>
      </c>
      <c r="E3483" t="s">
        <v>42</v>
      </c>
      <c r="F3483" t="s">
        <v>43</v>
      </c>
      <c r="G3483">
        <v>0</v>
      </c>
      <c r="H3483">
        <v>33107</v>
      </c>
      <c r="I3483" t="s">
        <v>2068</v>
      </c>
      <c r="J3483">
        <v>76</v>
      </c>
      <c r="K3483">
        <v>-283</v>
      </c>
      <c r="L3483">
        <v>98</v>
      </c>
      <c r="M3483">
        <v>656.79998779000005</v>
      </c>
      <c r="N3483" t="s">
        <v>1956</v>
      </c>
      <c r="O3483" t="s">
        <v>43</v>
      </c>
      <c r="P3483">
        <v>125</v>
      </c>
      <c r="Q3483" t="s">
        <v>43</v>
      </c>
      <c r="R3483">
        <v>-1000</v>
      </c>
      <c r="S3483">
        <v>0</v>
      </c>
      <c r="T3483">
        <v>-40</v>
      </c>
      <c r="U3483">
        <v>-40</v>
      </c>
      <c r="V3483">
        <v>-3000</v>
      </c>
      <c r="W3483">
        <v>37</v>
      </c>
      <c r="X3483">
        <v>37</v>
      </c>
      <c r="Y3483">
        <v>1</v>
      </c>
      <c r="Z3483">
        <v>8</v>
      </c>
      <c r="AA3483">
        <v>33</v>
      </c>
      <c r="AB3483">
        <v>7</v>
      </c>
      <c r="AC3483">
        <v>6</v>
      </c>
      <c r="AD3483">
        <v>3.4279999700000001</v>
      </c>
      <c r="AE3483">
        <v>6</v>
      </c>
      <c r="AF3483">
        <v>24</v>
      </c>
      <c r="AG3483">
        <v>3.41100001</v>
      </c>
      <c r="AH3483">
        <v>1</v>
      </c>
      <c r="AI3483">
        <v>42</v>
      </c>
      <c r="AJ3483">
        <v>1</v>
      </c>
      <c r="AK3483">
        <v>12</v>
      </c>
      <c r="AL3483">
        <v>47</v>
      </c>
      <c r="AM3483" t="s">
        <v>43</v>
      </c>
      <c r="AN3483" t="str">
        <f>HYPERLINK("https://www.google.com/maps?q=10.76355553,79.6931076","Open Location")</f>
        <v>Open Location</v>
      </c>
    </row>
    <row r="3484" spans="1:40" x14ac:dyDescent="0.3">
      <c r="A3484" s="1">
        <v>46210.596412037034</v>
      </c>
      <c r="B3484" t="s">
        <v>40</v>
      </c>
      <c r="C3484" t="s">
        <v>41</v>
      </c>
      <c r="D3484" s="1">
        <v>46210.599537037036</v>
      </c>
      <c r="E3484" t="s">
        <v>42</v>
      </c>
      <c r="F3484" t="s">
        <v>43</v>
      </c>
      <c r="G3484">
        <v>0</v>
      </c>
      <c r="H3484">
        <v>33107</v>
      </c>
      <c r="I3484" t="s">
        <v>43</v>
      </c>
      <c r="J3484">
        <v>76</v>
      </c>
      <c r="K3484">
        <v>-283</v>
      </c>
      <c r="L3484">
        <v>98</v>
      </c>
      <c r="M3484">
        <v>656.70001220999995</v>
      </c>
      <c r="N3484" t="s">
        <v>1956</v>
      </c>
      <c r="O3484" t="s">
        <v>43</v>
      </c>
      <c r="P3484">
        <v>125</v>
      </c>
      <c r="Q3484" t="s">
        <v>43</v>
      </c>
      <c r="R3484">
        <v>-1000</v>
      </c>
      <c r="S3484">
        <v>0</v>
      </c>
      <c r="T3484">
        <v>-40</v>
      </c>
      <c r="U3484">
        <v>-40</v>
      </c>
      <c r="V3484">
        <v>-3000</v>
      </c>
      <c r="W3484">
        <v>37</v>
      </c>
      <c r="X3484">
        <v>37</v>
      </c>
      <c r="Y3484">
        <v>1</v>
      </c>
      <c r="Z3484">
        <v>8</v>
      </c>
      <c r="AA3484">
        <v>33</v>
      </c>
      <c r="AB3484">
        <v>7</v>
      </c>
      <c r="AC3484">
        <v>6</v>
      </c>
      <c r="AD3484">
        <v>3.4279999700000001</v>
      </c>
      <c r="AE3484">
        <v>6</v>
      </c>
      <c r="AF3484">
        <v>24</v>
      </c>
      <c r="AG3484">
        <v>3.41100001</v>
      </c>
      <c r="AH3484">
        <v>1</v>
      </c>
      <c r="AI3484">
        <v>42</v>
      </c>
      <c r="AJ3484">
        <v>1</v>
      </c>
      <c r="AK3484">
        <v>12</v>
      </c>
      <c r="AL3484">
        <v>47</v>
      </c>
      <c r="AM3484" t="s">
        <v>43</v>
      </c>
      <c r="AN3484" t="s">
        <v>43</v>
      </c>
    </row>
    <row r="3485" spans="1:40" x14ac:dyDescent="0.3">
      <c r="A3485" s="1">
        <v>46210.596296296295</v>
      </c>
      <c r="B3485" t="s">
        <v>40</v>
      </c>
      <c r="C3485" t="s">
        <v>41</v>
      </c>
      <c r="D3485" s="1">
        <v>46210.59920138889</v>
      </c>
      <c r="E3485" t="s">
        <v>42</v>
      </c>
      <c r="F3485" t="s">
        <v>43</v>
      </c>
      <c r="G3485">
        <v>0</v>
      </c>
      <c r="H3485">
        <v>33107</v>
      </c>
      <c r="I3485" t="s">
        <v>2069</v>
      </c>
      <c r="J3485">
        <v>76</v>
      </c>
      <c r="K3485">
        <v>-283</v>
      </c>
      <c r="L3485">
        <v>98</v>
      </c>
      <c r="M3485">
        <v>656.59997558999999</v>
      </c>
      <c r="N3485" t="s">
        <v>1956</v>
      </c>
      <c r="O3485" t="s">
        <v>43</v>
      </c>
      <c r="P3485">
        <v>125</v>
      </c>
      <c r="Q3485" t="s">
        <v>43</v>
      </c>
      <c r="R3485">
        <v>-1000</v>
      </c>
      <c r="S3485">
        <v>0</v>
      </c>
      <c r="T3485">
        <v>-40</v>
      </c>
      <c r="U3485">
        <v>-40</v>
      </c>
      <c r="V3485">
        <v>-3000</v>
      </c>
      <c r="W3485">
        <v>37</v>
      </c>
      <c r="X3485">
        <v>37</v>
      </c>
      <c r="Y3485">
        <v>1</v>
      </c>
      <c r="Z3485">
        <v>8</v>
      </c>
      <c r="AA3485">
        <v>33</v>
      </c>
      <c r="AB3485">
        <v>7</v>
      </c>
      <c r="AC3485">
        <v>6</v>
      </c>
      <c r="AD3485">
        <v>3.4279999700000001</v>
      </c>
      <c r="AE3485">
        <v>6</v>
      </c>
      <c r="AF3485">
        <v>24</v>
      </c>
      <c r="AG3485">
        <v>3.41100001</v>
      </c>
      <c r="AH3485">
        <v>1</v>
      </c>
      <c r="AI3485">
        <v>42</v>
      </c>
      <c r="AJ3485">
        <v>1</v>
      </c>
      <c r="AK3485">
        <v>11</v>
      </c>
      <c r="AL3485">
        <v>47</v>
      </c>
      <c r="AM3485" t="s">
        <v>43</v>
      </c>
      <c r="AN3485" t="str">
        <f>HYPERLINK("https://www.google.com/maps?q=10.76356792,79.69308472","Open Location")</f>
        <v>Open Location</v>
      </c>
    </row>
    <row r="3486" spans="1:40" x14ac:dyDescent="0.3">
      <c r="A3486" s="1">
        <v>46210.596180555556</v>
      </c>
      <c r="B3486" t="s">
        <v>40</v>
      </c>
      <c r="C3486" t="s">
        <v>41</v>
      </c>
      <c r="D3486" s="1">
        <v>46210.59920138889</v>
      </c>
      <c r="E3486" t="s">
        <v>42</v>
      </c>
      <c r="F3486" t="s">
        <v>43</v>
      </c>
      <c r="G3486">
        <v>0</v>
      </c>
      <c r="H3486">
        <v>33107</v>
      </c>
      <c r="I3486" t="s">
        <v>2070</v>
      </c>
      <c r="J3486">
        <v>76</v>
      </c>
      <c r="K3486">
        <v>-283</v>
      </c>
      <c r="L3486">
        <v>98</v>
      </c>
      <c r="M3486">
        <v>656.5</v>
      </c>
      <c r="N3486" t="s">
        <v>1956</v>
      </c>
      <c r="O3486" t="s">
        <v>43</v>
      </c>
      <c r="P3486">
        <v>125</v>
      </c>
      <c r="Q3486" t="s">
        <v>43</v>
      </c>
      <c r="R3486">
        <v>-1000</v>
      </c>
      <c r="S3486">
        <v>0</v>
      </c>
      <c r="T3486">
        <v>-40</v>
      </c>
      <c r="U3486">
        <v>-40</v>
      </c>
      <c r="V3486">
        <v>-3000</v>
      </c>
      <c r="W3486">
        <v>37</v>
      </c>
      <c r="X3486">
        <v>37</v>
      </c>
      <c r="Y3486">
        <v>1</v>
      </c>
      <c r="Z3486">
        <v>8</v>
      </c>
      <c r="AA3486">
        <v>34</v>
      </c>
      <c r="AB3486">
        <v>2</v>
      </c>
      <c r="AC3486">
        <v>1</v>
      </c>
      <c r="AD3486">
        <v>3.4279999700000001</v>
      </c>
      <c r="AE3486">
        <v>6</v>
      </c>
      <c r="AF3486">
        <v>24</v>
      </c>
      <c r="AG3486">
        <v>3.41100001</v>
      </c>
      <c r="AH3486">
        <v>1</v>
      </c>
      <c r="AI3486">
        <v>42</v>
      </c>
      <c r="AJ3486">
        <v>1</v>
      </c>
      <c r="AK3486">
        <v>12</v>
      </c>
      <c r="AL3486">
        <v>47</v>
      </c>
      <c r="AM3486" t="s">
        <v>43</v>
      </c>
      <c r="AN3486" t="str">
        <f>HYPERLINK("https://www.google.com/maps?q=10.76356983,79.69308472","Open Location")</f>
        <v>Open Location</v>
      </c>
    </row>
    <row r="3487" spans="1:40" x14ac:dyDescent="0.3">
      <c r="A3487" s="1">
        <v>46210.596064814818</v>
      </c>
      <c r="B3487" t="s">
        <v>40</v>
      </c>
      <c r="C3487" t="s">
        <v>41</v>
      </c>
      <c r="D3487" s="1">
        <v>46210.598819444444</v>
      </c>
      <c r="E3487" t="s">
        <v>42</v>
      </c>
      <c r="F3487" t="s">
        <v>43</v>
      </c>
      <c r="G3487">
        <v>0</v>
      </c>
      <c r="H3487">
        <v>33107</v>
      </c>
      <c r="I3487" t="s">
        <v>2035</v>
      </c>
      <c r="J3487">
        <v>75</v>
      </c>
      <c r="K3487">
        <v>-283</v>
      </c>
      <c r="L3487">
        <v>98</v>
      </c>
      <c r="M3487">
        <v>656.40002441000001</v>
      </c>
      <c r="N3487" t="s">
        <v>1956</v>
      </c>
      <c r="O3487" t="s">
        <v>43</v>
      </c>
      <c r="P3487">
        <v>125</v>
      </c>
      <c r="Q3487" t="s">
        <v>43</v>
      </c>
      <c r="R3487">
        <v>-1000</v>
      </c>
      <c r="S3487">
        <v>0</v>
      </c>
      <c r="T3487">
        <v>-40</v>
      </c>
      <c r="U3487">
        <v>-40</v>
      </c>
      <c r="V3487">
        <v>-3000</v>
      </c>
      <c r="W3487">
        <v>37</v>
      </c>
      <c r="X3487">
        <v>37</v>
      </c>
      <c r="Y3487">
        <v>1</v>
      </c>
      <c r="Z3487">
        <v>8</v>
      </c>
      <c r="AA3487">
        <v>34</v>
      </c>
      <c r="AB3487">
        <v>2</v>
      </c>
      <c r="AC3487">
        <v>1</v>
      </c>
      <c r="AD3487">
        <v>3.4279999700000001</v>
      </c>
      <c r="AE3487">
        <v>6</v>
      </c>
      <c r="AF3487">
        <v>24</v>
      </c>
      <c r="AG3487">
        <v>3.41100001</v>
      </c>
      <c r="AH3487">
        <v>1</v>
      </c>
      <c r="AI3487">
        <v>42</v>
      </c>
      <c r="AJ3487">
        <v>1</v>
      </c>
      <c r="AK3487">
        <v>12</v>
      </c>
      <c r="AL3487">
        <v>47</v>
      </c>
      <c r="AM3487" t="s">
        <v>43</v>
      </c>
      <c r="AN3487" t="str">
        <f>HYPERLINK("https://www.google.com/maps?q=10.76356697,79.69307709","Open Location")</f>
        <v>Open Location</v>
      </c>
    </row>
    <row r="3488" spans="1:40" x14ac:dyDescent="0.3">
      <c r="A3488" s="1">
        <v>46210.595949074072</v>
      </c>
      <c r="B3488" t="s">
        <v>40</v>
      </c>
      <c r="C3488" t="s">
        <v>41</v>
      </c>
      <c r="D3488" s="1">
        <v>46210.598819444444</v>
      </c>
      <c r="E3488" t="s">
        <v>42</v>
      </c>
      <c r="F3488" t="s">
        <v>43</v>
      </c>
      <c r="G3488">
        <v>0</v>
      </c>
      <c r="H3488">
        <v>33107</v>
      </c>
      <c r="I3488" t="s">
        <v>2071</v>
      </c>
      <c r="J3488">
        <v>75</v>
      </c>
      <c r="K3488">
        <v>-283</v>
      </c>
      <c r="L3488">
        <v>98</v>
      </c>
      <c r="M3488">
        <v>656.59997558999999</v>
      </c>
      <c r="N3488" t="s">
        <v>1956</v>
      </c>
      <c r="O3488" t="s">
        <v>43</v>
      </c>
      <c r="P3488">
        <v>125</v>
      </c>
      <c r="Q3488" t="s">
        <v>43</v>
      </c>
      <c r="R3488">
        <v>-1000</v>
      </c>
      <c r="S3488">
        <v>0</v>
      </c>
      <c r="T3488">
        <v>-40</v>
      </c>
      <c r="U3488">
        <v>-40</v>
      </c>
      <c r="V3488">
        <v>-3000</v>
      </c>
      <c r="W3488">
        <v>37</v>
      </c>
      <c r="X3488">
        <v>37</v>
      </c>
      <c r="Y3488">
        <v>1</v>
      </c>
      <c r="Z3488">
        <v>8</v>
      </c>
      <c r="AA3488">
        <v>34</v>
      </c>
      <c r="AB3488">
        <v>2</v>
      </c>
      <c r="AC3488">
        <v>1</v>
      </c>
      <c r="AD3488">
        <v>3.4270000500000002</v>
      </c>
      <c r="AE3488">
        <v>4</v>
      </c>
      <c r="AF3488">
        <v>24</v>
      </c>
      <c r="AG3488">
        <v>3.41100001</v>
      </c>
      <c r="AH3488">
        <v>1</v>
      </c>
      <c r="AI3488">
        <v>42</v>
      </c>
      <c r="AJ3488">
        <v>1</v>
      </c>
      <c r="AK3488">
        <v>12</v>
      </c>
      <c r="AL3488">
        <v>47</v>
      </c>
      <c r="AM3488" t="s">
        <v>43</v>
      </c>
      <c r="AN3488" t="str">
        <f>HYPERLINK("https://www.google.com/maps?q=10.76357269,79.69307709","Open Location")</f>
        <v>Open Location</v>
      </c>
    </row>
    <row r="3489" spans="1:40" x14ac:dyDescent="0.3">
      <c r="A3489" s="1">
        <v>46210.595833333333</v>
      </c>
      <c r="B3489" t="s">
        <v>40</v>
      </c>
      <c r="C3489" t="s">
        <v>41</v>
      </c>
      <c r="D3489" s="1">
        <v>46210.598587962966</v>
      </c>
      <c r="E3489" t="s">
        <v>42</v>
      </c>
      <c r="F3489" t="s">
        <v>43</v>
      </c>
      <c r="G3489">
        <v>0</v>
      </c>
      <c r="H3489">
        <v>33107</v>
      </c>
      <c r="I3489" t="s">
        <v>2072</v>
      </c>
      <c r="J3489">
        <v>75</v>
      </c>
      <c r="K3489">
        <v>-283</v>
      </c>
      <c r="L3489">
        <v>98</v>
      </c>
      <c r="M3489">
        <v>656.5</v>
      </c>
      <c r="N3489" t="s">
        <v>1956</v>
      </c>
      <c r="O3489" t="s">
        <v>43</v>
      </c>
      <c r="P3489">
        <v>125</v>
      </c>
      <c r="Q3489" t="s">
        <v>43</v>
      </c>
      <c r="R3489">
        <v>-1000</v>
      </c>
      <c r="S3489">
        <v>0</v>
      </c>
      <c r="T3489">
        <v>-40</v>
      </c>
      <c r="U3489">
        <v>-40</v>
      </c>
      <c r="V3489">
        <v>-3000</v>
      </c>
      <c r="W3489">
        <v>37</v>
      </c>
      <c r="X3489">
        <v>37</v>
      </c>
      <c r="Y3489">
        <v>1</v>
      </c>
      <c r="Z3489">
        <v>8</v>
      </c>
      <c r="AA3489">
        <v>34</v>
      </c>
      <c r="AB3489">
        <v>2</v>
      </c>
      <c r="AC3489">
        <v>2</v>
      </c>
      <c r="AD3489">
        <v>3.4270000500000002</v>
      </c>
      <c r="AE3489">
        <v>4</v>
      </c>
      <c r="AF3489">
        <v>24</v>
      </c>
      <c r="AG3489">
        <v>3.41100001</v>
      </c>
      <c r="AH3489">
        <v>1</v>
      </c>
      <c r="AI3489">
        <v>42</v>
      </c>
      <c r="AJ3489">
        <v>1</v>
      </c>
      <c r="AK3489">
        <v>12</v>
      </c>
      <c r="AL3489">
        <v>47</v>
      </c>
      <c r="AM3489" t="s">
        <v>43</v>
      </c>
      <c r="AN3489" t="str">
        <f>HYPERLINK("https://www.google.com/maps?q=10.76357174,79.69306946","Open Location")</f>
        <v>Open Location</v>
      </c>
    </row>
    <row r="3490" spans="1:40" x14ac:dyDescent="0.3">
      <c r="A3490" s="1">
        <v>46210.595717592594</v>
      </c>
      <c r="B3490" t="s">
        <v>40</v>
      </c>
      <c r="C3490" t="s">
        <v>41</v>
      </c>
      <c r="D3490" s="1">
        <v>46210.598819444444</v>
      </c>
      <c r="E3490" t="s">
        <v>42</v>
      </c>
      <c r="F3490" t="s">
        <v>43</v>
      </c>
      <c r="G3490">
        <v>0</v>
      </c>
      <c r="H3490">
        <v>33107</v>
      </c>
      <c r="I3490" t="s">
        <v>43</v>
      </c>
      <c r="J3490">
        <v>75</v>
      </c>
      <c r="K3490">
        <v>-283</v>
      </c>
      <c r="L3490">
        <v>98</v>
      </c>
      <c r="M3490">
        <v>656.5</v>
      </c>
      <c r="N3490" t="s">
        <v>1956</v>
      </c>
      <c r="O3490" t="s">
        <v>43</v>
      </c>
      <c r="P3490">
        <v>125</v>
      </c>
      <c r="Q3490" t="s">
        <v>43</v>
      </c>
      <c r="R3490">
        <v>-1000</v>
      </c>
      <c r="S3490">
        <v>0</v>
      </c>
      <c r="T3490">
        <v>-40</v>
      </c>
      <c r="U3490">
        <v>-40</v>
      </c>
      <c r="V3490">
        <v>-3000</v>
      </c>
      <c r="W3490">
        <v>37</v>
      </c>
      <c r="X3490">
        <v>37</v>
      </c>
      <c r="Y3490">
        <v>1</v>
      </c>
      <c r="Z3490">
        <v>8</v>
      </c>
      <c r="AA3490">
        <v>34</v>
      </c>
      <c r="AB3490">
        <v>2</v>
      </c>
      <c r="AC3490">
        <v>2</v>
      </c>
      <c r="AD3490">
        <v>3.4270000500000002</v>
      </c>
      <c r="AE3490">
        <v>6</v>
      </c>
      <c r="AF3490">
        <v>24</v>
      </c>
      <c r="AG3490">
        <v>3.41100001</v>
      </c>
      <c r="AH3490">
        <v>1</v>
      </c>
      <c r="AI3490">
        <v>42</v>
      </c>
      <c r="AJ3490">
        <v>1</v>
      </c>
      <c r="AK3490">
        <v>12</v>
      </c>
      <c r="AL3490">
        <v>47</v>
      </c>
      <c r="AM3490" t="s">
        <v>43</v>
      </c>
      <c r="AN3490" t="s">
        <v>43</v>
      </c>
    </row>
    <row r="3491" spans="1:40" x14ac:dyDescent="0.3">
      <c r="A3491" s="1">
        <v>46210.595601851855</v>
      </c>
      <c r="B3491" t="s">
        <v>40</v>
      </c>
      <c r="C3491" t="s">
        <v>41</v>
      </c>
      <c r="D3491" s="1">
        <v>46210.598344907405</v>
      </c>
      <c r="E3491" t="s">
        <v>42</v>
      </c>
      <c r="F3491" t="s">
        <v>43</v>
      </c>
      <c r="G3491">
        <v>0</v>
      </c>
      <c r="H3491">
        <v>33107</v>
      </c>
      <c r="I3491" t="s">
        <v>2013</v>
      </c>
      <c r="J3491">
        <v>75</v>
      </c>
      <c r="K3491">
        <v>-283</v>
      </c>
      <c r="L3491">
        <v>98</v>
      </c>
      <c r="M3491">
        <v>656.5</v>
      </c>
      <c r="N3491" t="s">
        <v>1956</v>
      </c>
      <c r="O3491" t="s">
        <v>43</v>
      </c>
      <c r="P3491">
        <v>125</v>
      </c>
      <c r="Q3491" t="s">
        <v>43</v>
      </c>
      <c r="R3491">
        <v>-1000</v>
      </c>
      <c r="S3491">
        <v>0</v>
      </c>
      <c r="T3491">
        <v>-40</v>
      </c>
      <c r="U3491">
        <v>-40</v>
      </c>
      <c r="V3491">
        <v>-3000</v>
      </c>
      <c r="W3491">
        <v>37</v>
      </c>
      <c r="X3491">
        <v>37</v>
      </c>
      <c r="Y3491">
        <v>1</v>
      </c>
      <c r="Z3491">
        <v>8</v>
      </c>
      <c r="AA3491">
        <v>34</v>
      </c>
      <c r="AB3491">
        <v>2</v>
      </c>
      <c r="AC3491">
        <v>2</v>
      </c>
      <c r="AD3491">
        <v>3.4279999700000001</v>
      </c>
      <c r="AE3491">
        <v>6</v>
      </c>
      <c r="AF3491">
        <v>24</v>
      </c>
      <c r="AG3491">
        <v>3.41100001</v>
      </c>
      <c r="AH3491">
        <v>1</v>
      </c>
      <c r="AI3491">
        <v>42</v>
      </c>
      <c r="AJ3491">
        <v>1</v>
      </c>
      <c r="AK3491">
        <v>12</v>
      </c>
      <c r="AL3491">
        <v>47</v>
      </c>
      <c r="AM3491" t="s">
        <v>43</v>
      </c>
      <c r="AN3491" t="str">
        <f>HYPERLINK("https://www.google.com/maps?q=10.76358414,79.69307709","Open Location")</f>
        <v>Open Location</v>
      </c>
    </row>
    <row r="3492" spans="1:40" x14ac:dyDescent="0.3">
      <c r="A3492" s="1">
        <v>46210.595486111109</v>
      </c>
      <c r="B3492" t="s">
        <v>40</v>
      </c>
      <c r="C3492" t="s">
        <v>41</v>
      </c>
      <c r="D3492" s="1">
        <v>46210.598333333335</v>
      </c>
      <c r="E3492" t="s">
        <v>42</v>
      </c>
      <c r="F3492" t="s">
        <v>43</v>
      </c>
      <c r="G3492">
        <v>0</v>
      </c>
      <c r="H3492">
        <v>33107</v>
      </c>
      <c r="I3492" t="s">
        <v>2073</v>
      </c>
      <c r="J3492">
        <v>75</v>
      </c>
      <c r="K3492">
        <v>-283</v>
      </c>
      <c r="L3492">
        <v>98</v>
      </c>
      <c r="M3492">
        <v>656.70001220999995</v>
      </c>
      <c r="N3492" t="s">
        <v>1956</v>
      </c>
      <c r="O3492" t="s">
        <v>43</v>
      </c>
      <c r="P3492">
        <v>125</v>
      </c>
      <c r="Q3492" t="s">
        <v>43</v>
      </c>
      <c r="R3492">
        <v>-1000</v>
      </c>
      <c r="S3492">
        <v>0</v>
      </c>
      <c r="T3492">
        <v>-40</v>
      </c>
      <c r="U3492">
        <v>-40</v>
      </c>
      <c r="V3492">
        <v>-3000</v>
      </c>
      <c r="W3492">
        <v>37</v>
      </c>
      <c r="X3492">
        <v>37</v>
      </c>
      <c r="Y3492">
        <v>1</v>
      </c>
      <c r="Z3492">
        <v>8</v>
      </c>
      <c r="AA3492">
        <v>34</v>
      </c>
      <c r="AB3492">
        <v>2</v>
      </c>
      <c r="AC3492">
        <v>2</v>
      </c>
      <c r="AD3492">
        <v>3.4279999700000001</v>
      </c>
      <c r="AE3492">
        <v>6</v>
      </c>
      <c r="AF3492">
        <v>24</v>
      </c>
      <c r="AG3492">
        <v>3.41100001</v>
      </c>
      <c r="AH3492">
        <v>1</v>
      </c>
      <c r="AI3492">
        <v>42</v>
      </c>
      <c r="AJ3492">
        <v>1</v>
      </c>
      <c r="AK3492">
        <v>12</v>
      </c>
      <c r="AL3492">
        <v>47</v>
      </c>
      <c r="AM3492" t="s">
        <v>43</v>
      </c>
      <c r="AN3492" t="str">
        <f>HYPERLINK("https://www.google.com/maps?q=10.76359081,79.69306946","Open Location")</f>
        <v>Open Location</v>
      </c>
    </row>
    <row r="3493" spans="1:40" x14ac:dyDescent="0.3">
      <c r="A3493" s="1">
        <v>46210.595370370371</v>
      </c>
      <c r="B3493" t="s">
        <v>40</v>
      </c>
      <c r="C3493" t="s">
        <v>41</v>
      </c>
      <c r="D3493" s="1">
        <v>46210.598113425927</v>
      </c>
      <c r="E3493" t="s">
        <v>42</v>
      </c>
      <c r="F3493" t="s">
        <v>43</v>
      </c>
      <c r="G3493">
        <v>0</v>
      </c>
      <c r="H3493">
        <v>33107</v>
      </c>
      <c r="I3493" t="s">
        <v>2074</v>
      </c>
      <c r="J3493">
        <v>74</v>
      </c>
      <c r="K3493">
        <v>-283</v>
      </c>
      <c r="L3493">
        <v>98</v>
      </c>
      <c r="M3493">
        <v>656.90002441000001</v>
      </c>
      <c r="N3493" t="s">
        <v>1956</v>
      </c>
      <c r="O3493" t="s">
        <v>43</v>
      </c>
      <c r="P3493">
        <v>125</v>
      </c>
      <c r="Q3493" t="s">
        <v>43</v>
      </c>
      <c r="R3493">
        <v>-1000</v>
      </c>
      <c r="S3493">
        <v>0</v>
      </c>
      <c r="T3493">
        <v>-40</v>
      </c>
      <c r="U3493">
        <v>-40</v>
      </c>
      <c r="V3493">
        <v>-3000</v>
      </c>
      <c r="W3493">
        <v>37</v>
      </c>
      <c r="X3493">
        <v>37</v>
      </c>
      <c r="Y3493">
        <v>1</v>
      </c>
      <c r="Z3493">
        <v>8</v>
      </c>
      <c r="AA3493">
        <v>33</v>
      </c>
      <c r="AB3493">
        <v>7</v>
      </c>
      <c r="AC3493">
        <v>6</v>
      </c>
      <c r="AD3493">
        <v>3.4360001100000002</v>
      </c>
      <c r="AE3493">
        <v>6</v>
      </c>
      <c r="AF3493">
        <v>24</v>
      </c>
      <c r="AG3493">
        <v>3.4170000599999999</v>
      </c>
      <c r="AH3493">
        <v>5</v>
      </c>
      <c r="AI3493">
        <v>10</v>
      </c>
      <c r="AJ3493">
        <v>1</v>
      </c>
      <c r="AK3493">
        <v>12</v>
      </c>
      <c r="AL3493">
        <v>47</v>
      </c>
      <c r="AM3493" t="s">
        <v>43</v>
      </c>
      <c r="AN3493" t="str">
        <f>HYPERLINK("https://www.google.com/maps?q=10.76358891,79.69306183","Open Location")</f>
        <v>Open Location</v>
      </c>
    </row>
    <row r="3494" spans="1:40" x14ac:dyDescent="0.3">
      <c r="A3494" s="1">
        <v>46210.595254629632</v>
      </c>
      <c r="B3494" t="s">
        <v>40</v>
      </c>
      <c r="C3494" t="s">
        <v>41</v>
      </c>
      <c r="D3494" s="1">
        <v>46210.598113425927</v>
      </c>
      <c r="E3494" t="s">
        <v>42</v>
      </c>
      <c r="F3494" t="s">
        <v>43</v>
      </c>
      <c r="G3494">
        <v>0</v>
      </c>
      <c r="H3494">
        <v>33107</v>
      </c>
      <c r="I3494" t="s">
        <v>2075</v>
      </c>
      <c r="J3494">
        <v>74</v>
      </c>
      <c r="K3494">
        <v>-319</v>
      </c>
      <c r="L3494">
        <v>98</v>
      </c>
      <c r="M3494">
        <v>658.09997558999999</v>
      </c>
      <c r="N3494" t="s">
        <v>1956</v>
      </c>
      <c r="O3494" t="s">
        <v>43</v>
      </c>
      <c r="P3494">
        <v>125</v>
      </c>
      <c r="Q3494" t="s">
        <v>43</v>
      </c>
      <c r="R3494">
        <v>-1000</v>
      </c>
      <c r="S3494">
        <v>0</v>
      </c>
      <c r="T3494">
        <v>-40</v>
      </c>
      <c r="U3494">
        <v>-40</v>
      </c>
      <c r="V3494">
        <v>-3000</v>
      </c>
      <c r="W3494">
        <v>37</v>
      </c>
      <c r="X3494">
        <v>37</v>
      </c>
      <c r="Y3494">
        <v>1</v>
      </c>
      <c r="Z3494">
        <v>8</v>
      </c>
      <c r="AA3494">
        <v>33</v>
      </c>
      <c r="AB3494">
        <v>7</v>
      </c>
      <c r="AC3494">
        <v>6</v>
      </c>
      <c r="AD3494">
        <v>3.4360001100000002</v>
      </c>
      <c r="AE3494">
        <v>6</v>
      </c>
      <c r="AF3494">
        <v>24</v>
      </c>
      <c r="AG3494">
        <v>3.4170000599999999</v>
      </c>
      <c r="AH3494">
        <v>1</v>
      </c>
      <c r="AI3494">
        <v>42</v>
      </c>
      <c r="AJ3494">
        <v>1</v>
      </c>
      <c r="AK3494">
        <v>12</v>
      </c>
      <c r="AL3494">
        <v>47</v>
      </c>
      <c r="AM3494" t="s">
        <v>43</v>
      </c>
      <c r="AN3494" t="str">
        <f>HYPERLINK("https://www.google.com/maps?q=10.76358795,79.6930542","Open Location")</f>
        <v>Open Location</v>
      </c>
    </row>
    <row r="3495" spans="1:40" x14ac:dyDescent="0.3">
      <c r="A3495" s="1">
        <v>46210.595138888886</v>
      </c>
      <c r="B3495" t="s">
        <v>40</v>
      </c>
      <c r="C3495" t="s">
        <v>41</v>
      </c>
      <c r="D3495" s="1">
        <v>46210.597743055558</v>
      </c>
      <c r="E3495" t="s">
        <v>42</v>
      </c>
      <c r="F3495" t="s">
        <v>43</v>
      </c>
      <c r="G3495">
        <v>0</v>
      </c>
      <c r="H3495">
        <v>33107</v>
      </c>
      <c r="I3495" t="s">
        <v>43</v>
      </c>
      <c r="J3495">
        <v>74</v>
      </c>
      <c r="K3495">
        <v>-319</v>
      </c>
      <c r="L3495">
        <v>98</v>
      </c>
      <c r="M3495">
        <v>658.20001220999995</v>
      </c>
      <c r="N3495" t="s">
        <v>1956</v>
      </c>
      <c r="O3495" t="s">
        <v>43</v>
      </c>
      <c r="P3495">
        <v>125</v>
      </c>
      <c r="Q3495" t="s">
        <v>43</v>
      </c>
      <c r="R3495">
        <v>-1000</v>
      </c>
      <c r="S3495">
        <v>0</v>
      </c>
      <c r="T3495">
        <v>-40</v>
      </c>
      <c r="U3495">
        <v>-40</v>
      </c>
      <c r="V3495">
        <v>-3000</v>
      </c>
      <c r="W3495">
        <v>37</v>
      </c>
      <c r="X3495">
        <v>37</v>
      </c>
      <c r="Y3495">
        <v>1</v>
      </c>
      <c r="Z3495">
        <v>8</v>
      </c>
      <c r="AA3495">
        <v>33</v>
      </c>
      <c r="AB3495">
        <v>7</v>
      </c>
      <c r="AC3495">
        <v>6</v>
      </c>
      <c r="AD3495">
        <v>3.43499994</v>
      </c>
      <c r="AE3495">
        <v>6</v>
      </c>
      <c r="AF3495">
        <v>24</v>
      </c>
      <c r="AG3495">
        <v>3.4170000599999999</v>
      </c>
      <c r="AH3495">
        <v>1</v>
      </c>
      <c r="AI3495">
        <v>42</v>
      </c>
      <c r="AJ3495">
        <v>1</v>
      </c>
      <c r="AK3495">
        <v>12</v>
      </c>
      <c r="AL3495">
        <v>47</v>
      </c>
      <c r="AM3495" t="s">
        <v>43</v>
      </c>
      <c r="AN3495" t="s">
        <v>43</v>
      </c>
    </row>
    <row r="3496" spans="1:40" x14ac:dyDescent="0.3">
      <c r="A3496" s="1">
        <v>46210.595023148147</v>
      </c>
      <c r="B3496" t="s">
        <v>40</v>
      </c>
      <c r="C3496" t="s">
        <v>41</v>
      </c>
      <c r="D3496" s="1">
        <v>46210.597916666666</v>
      </c>
      <c r="E3496" t="s">
        <v>42</v>
      </c>
      <c r="F3496" t="s">
        <v>43</v>
      </c>
      <c r="G3496">
        <v>0</v>
      </c>
      <c r="H3496">
        <v>33107</v>
      </c>
      <c r="I3496" t="s">
        <v>2076</v>
      </c>
      <c r="J3496">
        <v>74</v>
      </c>
      <c r="K3496">
        <v>-319</v>
      </c>
      <c r="L3496">
        <v>98</v>
      </c>
      <c r="M3496">
        <v>657.90002441000001</v>
      </c>
      <c r="N3496" t="s">
        <v>1956</v>
      </c>
      <c r="O3496" t="s">
        <v>43</v>
      </c>
      <c r="P3496">
        <v>125</v>
      </c>
      <c r="Q3496" t="s">
        <v>43</v>
      </c>
      <c r="R3496">
        <v>-1000</v>
      </c>
      <c r="S3496">
        <v>0</v>
      </c>
      <c r="T3496">
        <v>-40</v>
      </c>
      <c r="U3496">
        <v>-40</v>
      </c>
      <c r="V3496">
        <v>-3000</v>
      </c>
      <c r="W3496">
        <v>37</v>
      </c>
      <c r="X3496">
        <v>37</v>
      </c>
      <c r="Y3496">
        <v>1</v>
      </c>
      <c r="Z3496">
        <v>8</v>
      </c>
      <c r="AA3496">
        <v>33</v>
      </c>
      <c r="AB3496">
        <v>7</v>
      </c>
      <c r="AC3496">
        <v>6</v>
      </c>
      <c r="AD3496">
        <v>3.43499994</v>
      </c>
      <c r="AE3496">
        <v>6</v>
      </c>
      <c r="AF3496">
        <v>24</v>
      </c>
      <c r="AG3496">
        <v>3.4159998900000001</v>
      </c>
      <c r="AH3496">
        <v>5</v>
      </c>
      <c r="AI3496">
        <v>10</v>
      </c>
      <c r="AJ3496">
        <v>1</v>
      </c>
      <c r="AK3496">
        <v>12</v>
      </c>
      <c r="AL3496">
        <v>47</v>
      </c>
      <c r="AM3496" t="s">
        <v>43</v>
      </c>
      <c r="AN3496" t="str">
        <f>HYPERLINK("https://www.google.com/maps?q=10.76358891,79.69304657","Open Location")</f>
        <v>Open Location</v>
      </c>
    </row>
    <row r="3497" spans="1:40" x14ac:dyDescent="0.3">
      <c r="A3497" s="1">
        <v>46210.594907407409</v>
      </c>
      <c r="B3497" t="s">
        <v>40</v>
      </c>
      <c r="C3497" t="s">
        <v>41</v>
      </c>
      <c r="D3497" s="1">
        <v>46210.597916666666</v>
      </c>
      <c r="E3497" t="s">
        <v>42</v>
      </c>
      <c r="F3497" t="s">
        <v>43</v>
      </c>
      <c r="G3497">
        <v>0</v>
      </c>
      <c r="H3497" t="s">
        <v>43</v>
      </c>
      <c r="I3497" t="s">
        <v>2077</v>
      </c>
      <c r="J3497">
        <v>74</v>
      </c>
      <c r="K3497">
        <v>-319</v>
      </c>
      <c r="L3497">
        <v>98</v>
      </c>
      <c r="M3497">
        <v>658.09997558999999</v>
      </c>
      <c r="N3497" t="s">
        <v>1956</v>
      </c>
      <c r="O3497" t="s">
        <v>43</v>
      </c>
      <c r="P3497">
        <v>125</v>
      </c>
      <c r="Q3497" t="s">
        <v>43</v>
      </c>
      <c r="R3497">
        <v>-1000</v>
      </c>
      <c r="S3497">
        <v>0</v>
      </c>
      <c r="T3497">
        <v>-40</v>
      </c>
      <c r="U3497">
        <v>-40</v>
      </c>
      <c r="V3497">
        <v>-3000</v>
      </c>
      <c r="W3497">
        <v>37</v>
      </c>
      <c r="X3497">
        <v>37</v>
      </c>
      <c r="Y3497">
        <v>1</v>
      </c>
      <c r="Z3497">
        <v>8</v>
      </c>
      <c r="AA3497">
        <v>33</v>
      </c>
      <c r="AB3497">
        <v>7</v>
      </c>
      <c r="AC3497">
        <v>5</v>
      </c>
      <c r="AD3497">
        <v>3.43400002</v>
      </c>
      <c r="AE3497">
        <v>6</v>
      </c>
      <c r="AF3497">
        <v>24</v>
      </c>
      <c r="AG3497">
        <v>3.4159998900000001</v>
      </c>
      <c r="AH3497">
        <v>1</v>
      </c>
      <c r="AI3497">
        <v>42</v>
      </c>
      <c r="AJ3497">
        <v>1</v>
      </c>
      <c r="AK3497">
        <v>12</v>
      </c>
      <c r="AL3497">
        <v>47</v>
      </c>
      <c r="AM3497" t="s">
        <v>43</v>
      </c>
      <c r="AN3497" t="str">
        <f>HYPERLINK("https://www.google.com/maps?q=10.76358223,79.6930542","Open Location")</f>
        <v>Open Location</v>
      </c>
    </row>
    <row r="3498" spans="1:40" x14ac:dyDescent="0.3">
      <c r="A3498" s="1">
        <v>46210.59479166667</v>
      </c>
      <c r="B3498" t="s">
        <v>40</v>
      </c>
      <c r="C3498" t="s">
        <v>41</v>
      </c>
      <c r="D3498" s="1">
        <v>46210.597696759258</v>
      </c>
      <c r="E3498" t="s">
        <v>42</v>
      </c>
      <c r="F3498" t="s">
        <v>43</v>
      </c>
      <c r="G3498">
        <v>0</v>
      </c>
      <c r="H3498">
        <v>33107</v>
      </c>
      <c r="I3498" t="s">
        <v>2078</v>
      </c>
      <c r="J3498">
        <v>73</v>
      </c>
      <c r="K3498">
        <v>-319</v>
      </c>
      <c r="L3498">
        <v>98</v>
      </c>
      <c r="M3498">
        <v>657.59997558999999</v>
      </c>
      <c r="N3498" t="s">
        <v>1956</v>
      </c>
      <c r="O3498" t="s">
        <v>43</v>
      </c>
      <c r="P3498">
        <v>125</v>
      </c>
      <c r="Q3498" t="s">
        <v>43</v>
      </c>
      <c r="R3498">
        <v>-1000</v>
      </c>
      <c r="S3498">
        <v>0</v>
      </c>
      <c r="T3498">
        <v>-40</v>
      </c>
      <c r="U3498">
        <v>-40</v>
      </c>
      <c r="V3498">
        <v>-3000</v>
      </c>
      <c r="W3498">
        <v>37</v>
      </c>
      <c r="X3498">
        <v>37</v>
      </c>
      <c r="Y3498">
        <v>1</v>
      </c>
      <c r="Z3498">
        <v>8</v>
      </c>
      <c r="AA3498">
        <v>33</v>
      </c>
      <c r="AB3498">
        <v>7</v>
      </c>
      <c r="AC3498">
        <v>5</v>
      </c>
      <c r="AD3498">
        <v>3.4330000900000002</v>
      </c>
      <c r="AE3498">
        <v>6</v>
      </c>
      <c r="AF3498">
        <v>24</v>
      </c>
      <c r="AG3498">
        <v>3.4149999599999998</v>
      </c>
      <c r="AH3498">
        <v>5</v>
      </c>
      <c r="AI3498">
        <v>10</v>
      </c>
      <c r="AJ3498">
        <v>1</v>
      </c>
      <c r="AK3498">
        <v>12</v>
      </c>
      <c r="AL3498">
        <v>47</v>
      </c>
      <c r="AM3498" t="s">
        <v>43</v>
      </c>
      <c r="AN3498" t="str">
        <f>HYPERLINK("https://www.google.com/maps?q=10.76358318,79.69307709","Open Location")</f>
        <v>Open Location</v>
      </c>
    </row>
    <row r="3499" spans="1:40" x14ac:dyDescent="0.3">
      <c r="A3499" s="1">
        <v>46210.594675925924</v>
      </c>
      <c r="B3499" t="s">
        <v>40</v>
      </c>
      <c r="C3499" t="s">
        <v>41</v>
      </c>
      <c r="D3499" s="1">
        <v>46210.597627314812</v>
      </c>
      <c r="E3499" t="s">
        <v>42</v>
      </c>
      <c r="F3499" t="s">
        <v>43</v>
      </c>
      <c r="G3499">
        <v>0</v>
      </c>
      <c r="H3499">
        <v>33107</v>
      </c>
      <c r="I3499" t="s">
        <v>2019</v>
      </c>
      <c r="J3499">
        <v>73</v>
      </c>
      <c r="K3499">
        <v>-314</v>
      </c>
      <c r="L3499">
        <v>98</v>
      </c>
      <c r="M3499">
        <v>657.40002441000001</v>
      </c>
      <c r="N3499" t="s">
        <v>1956</v>
      </c>
      <c r="O3499" t="s">
        <v>43</v>
      </c>
      <c r="P3499">
        <v>125</v>
      </c>
      <c r="Q3499" t="s">
        <v>43</v>
      </c>
      <c r="R3499">
        <v>-1000</v>
      </c>
      <c r="S3499">
        <v>0</v>
      </c>
      <c r="T3499">
        <v>-40</v>
      </c>
      <c r="U3499">
        <v>-40</v>
      </c>
      <c r="V3499">
        <v>-3000</v>
      </c>
      <c r="W3499">
        <v>37</v>
      </c>
      <c r="X3499">
        <v>37</v>
      </c>
      <c r="Y3499">
        <v>1</v>
      </c>
      <c r="Z3499">
        <v>8</v>
      </c>
      <c r="AA3499">
        <v>33</v>
      </c>
      <c r="AB3499">
        <v>7</v>
      </c>
      <c r="AC3499">
        <v>5</v>
      </c>
      <c r="AD3499">
        <v>3.4309999900000001</v>
      </c>
      <c r="AE3499">
        <v>6</v>
      </c>
      <c r="AF3499">
        <v>24</v>
      </c>
      <c r="AG3499">
        <v>3.41300011</v>
      </c>
      <c r="AH3499">
        <v>5</v>
      </c>
      <c r="AI3499">
        <v>10</v>
      </c>
      <c r="AJ3499">
        <v>1</v>
      </c>
      <c r="AK3499">
        <v>12</v>
      </c>
      <c r="AL3499">
        <v>47</v>
      </c>
      <c r="AM3499" t="s">
        <v>43</v>
      </c>
      <c r="AN3499" t="str">
        <f>HYPERLINK("https://www.google.com/maps?q=10.76358891,79.69308472","Open Location")</f>
        <v>Open Location</v>
      </c>
    </row>
    <row r="3500" spans="1:40" x14ac:dyDescent="0.3">
      <c r="A3500" s="1">
        <v>46210.594560185185</v>
      </c>
      <c r="B3500" t="s">
        <v>40</v>
      </c>
      <c r="C3500" t="s">
        <v>41</v>
      </c>
      <c r="D3500" s="1">
        <v>46210.597500000003</v>
      </c>
      <c r="E3500" t="s">
        <v>42</v>
      </c>
      <c r="F3500" t="s">
        <v>43</v>
      </c>
      <c r="G3500">
        <v>0</v>
      </c>
      <c r="H3500">
        <v>33107</v>
      </c>
      <c r="I3500" t="s">
        <v>2079</v>
      </c>
      <c r="J3500">
        <v>73</v>
      </c>
      <c r="K3500">
        <v>-283</v>
      </c>
      <c r="L3500">
        <v>98</v>
      </c>
      <c r="M3500">
        <v>656.20001220999995</v>
      </c>
      <c r="N3500" t="s">
        <v>1956</v>
      </c>
      <c r="O3500" t="s">
        <v>43</v>
      </c>
      <c r="P3500">
        <v>125</v>
      </c>
      <c r="Q3500" t="s">
        <v>43</v>
      </c>
      <c r="R3500">
        <v>-1000</v>
      </c>
      <c r="S3500">
        <v>0</v>
      </c>
      <c r="T3500">
        <v>-40</v>
      </c>
      <c r="U3500">
        <v>-40</v>
      </c>
      <c r="V3500">
        <v>-3000</v>
      </c>
      <c r="W3500">
        <v>37</v>
      </c>
      <c r="X3500">
        <v>37</v>
      </c>
      <c r="Y3500">
        <v>1</v>
      </c>
      <c r="Z3500">
        <v>8</v>
      </c>
      <c r="AA3500">
        <v>33</v>
      </c>
      <c r="AB3500">
        <v>7</v>
      </c>
      <c r="AC3500">
        <v>5</v>
      </c>
      <c r="AD3500">
        <v>3.4249999500000001</v>
      </c>
      <c r="AE3500">
        <v>6</v>
      </c>
      <c r="AF3500">
        <v>24</v>
      </c>
      <c r="AG3500">
        <v>3.40799999</v>
      </c>
      <c r="AH3500">
        <v>5</v>
      </c>
      <c r="AI3500">
        <v>15</v>
      </c>
      <c r="AJ3500">
        <v>1</v>
      </c>
      <c r="AK3500">
        <v>12</v>
      </c>
      <c r="AL3500">
        <v>47</v>
      </c>
      <c r="AM3500" t="s">
        <v>43</v>
      </c>
      <c r="AN3500" t="str">
        <f>HYPERLINK("https://www.google.com/maps?q=10.76359367,79.6931076","Open Location")</f>
        <v>Open Location</v>
      </c>
    </row>
    <row r="3501" spans="1:40" x14ac:dyDescent="0.3">
      <c r="A3501" s="1">
        <v>46210.594444444447</v>
      </c>
      <c r="B3501" t="s">
        <v>40</v>
      </c>
      <c r="C3501" t="s">
        <v>41</v>
      </c>
      <c r="D3501" s="1">
        <v>46210.597094907411</v>
      </c>
      <c r="E3501" t="s">
        <v>42</v>
      </c>
      <c r="F3501" t="s">
        <v>43</v>
      </c>
      <c r="G3501">
        <v>0</v>
      </c>
      <c r="H3501">
        <v>33107</v>
      </c>
      <c r="I3501" t="s">
        <v>43</v>
      </c>
      <c r="J3501">
        <v>73</v>
      </c>
      <c r="K3501">
        <v>-283</v>
      </c>
      <c r="L3501">
        <v>98</v>
      </c>
      <c r="M3501">
        <v>656.20001220999995</v>
      </c>
      <c r="N3501" t="s">
        <v>1956</v>
      </c>
      <c r="O3501" t="s">
        <v>43</v>
      </c>
      <c r="P3501">
        <v>125</v>
      </c>
      <c r="Q3501" t="s">
        <v>43</v>
      </c>
      <c r="R3501">
        <v>-1000</v>
      </c>
      <c r="S3501">
        <v>0</v>
      </c>
      <c r="T3501">
        <v>-40</v>
      </c>
      <c r="U3501">
        <v>-40</v>
      </c>
      <c r="V3501">
        <v>-3000</v>
      </c>
      <c r="W3501">
        <v>37</v>
      </c>
      <c r="X3501">
        <v>37</v>
      </c>
      <c r="Y3501">
        <v>1</v>
      </c>
      <c r="Z3501">
        <v>8</v>
      </c>
      <c r="AA3501">
        <v>33</v>
      </c>
      <c r="AB3501">
        <v>7</v>
      </c>
      <c r="AC3501">
        <v>5</v>
      </c>
      <c r="AD3501">
        <v>3.4249999500000001</v>
      </c>
      <c r="AE3501">
        <v>6</v>
      </c>
      <c r="AF3501">
        <v>24</v>
      </c>
      <c r="AG3501">
        <v>3.40799999</v>
      </c>
      <c r="AH3501">
        <v>5</v>
      </c>
      <c r="AI3501">
        <v>10</v>
      </c>
      <c r="AJ3501">
        <v>1</v>
      </c>
      <c r="AK3501">
        <v>12</v>
      </c>
      <c r="AL3501">
        <v>47</v>
      </c>
      <c r="AM3501" t="s">
        <v>43</v>
      </c>
      <c r="AN3501" t="s">
        <v>43</v>
      </c>
    </row>
    <row r="3502" spans="1:40" x14ac:dyDescent="0.3">
      <c r="A3502" s="1">
        <v>46210.594328703701</v>
      </c>
      <c r="B3502" t="s">
        <v>40</v>
      </c>
      <c r="C3502" t="s">
        <v>41</v>
      </c>
      <c r="D3502" s="1">
        <v>46210.59715277778</v>
      </c>
      <c r="E3502" t="s">
        <v>42</v>
      </c>
      <c r="F3502" t="s">
        <v>43</v>
      </c>
      <c r="G3502">
        <v>0</v>
      </c>
      <c r="H3502">
        <v>33107</v>
      </c>
      <c r="I3502" t="s">
        <v>2040</v>
      </c>
      <c r="J3502">
        <v>73</v>
      </c>
      <c r="K3502">
        <v>-283</v>
      </c>
      <c r="L3502">
        <v>98</v>
      </c>
      <c r="M3502">
        <v>656</v>
      </c>
      <c r="N3502" t="s">
        <v>1956</v>
      </c>
      <c r="O3502" t="s">
        <v>43</v>
      </c>
      <c r="P3502">
        <v>125</v>
      </c>
      <c r="Q3502" t="s">
        <v>43</v>
      </c>
      <c r="R3502">
        <v>-1000</v>
      </c>
      <c r="S3502">
        <v>0</v>
      </c>
      <c r="T3502">
        <v>-40</v>
      </c>
      <c r="U3502">
        <v>-40</v>
      </c>
      <c r="V3502">
        <v>-3000</v>
      </c>
      <c r="W3502">
        <v>37</v>
      </c>
      <c r="X3502">
        <v>37</v>
      </c>
      <c r="Y3502">
        <v>1</v>
      </c>
      <c r="Z3502">
        <v>8</v>
      </c>
      <c r="AA3502">
        <v>33</v>
      </c>
      <c r="AB3502">
        <v>7</v>
      </c>
      <c r="AC3502">
        <v>5</v>
      </c>
      <c r="AD3502">
        <v>3.4240000199999998</v>
      </c>
      <c r="AE3502">
        <v>4</v>
      </c>
      <c r="AF3502">
        <v>24</v>
      </c>
      <c r="AG3502">
        <v>3.40799999</v>
      </c>
      <c r="AH3502">
        <v>5</v>
      </c>
      <c r="AI3502">
        <v>8</v>
      </c>
      <c r="AJ3502">
        <v>1</v>
      </c>
      <c r="AK3502">
        <v>12</v>
      </c>
      <c r="AL3502">
        <v>47</v>
      </c>
      <c r="AM3502" t="s">
        <v>43</v>
      </c>
      <c r="AN3502" t="str">
        <f>HYPERLINK("https://www.google.com/maps?q=10.76358986,79.6931076","Open Location")</f>
        <v>Open Location</v>
      </c>
    </row>
    <row r="3503" spans="1:40" x14ac:dyDescent="0.3">
      <c r="A3503" s="1">
        <v>46210.594212962962</v>
      </c>
      <c r="B3503" t="s">
        <v>40</v>
      </c>
      <c r="C3503" t="s">
        <v>41</v>
      </c>
      <c r="D3503" s="1">
        <v>46210.597025462965</v>
      </c>
      <c r="E3503" t="s">
        <v>42</v>
      </c>
      <c r="F3503" t="s">
        <v>43</v>
      </c>
      <c r="G3503">
        <v>0</v>
      </c>
      <c r="H3503">
        <v>33107</v>
      </c>
      <c r="I3503" t="s">
        <v>2080</v>
      </c>
      <c r="J3503">
        <v>73</v>
      </c>
      <c r="K3503">
        <v>-283</v>
      </c>
      <c r="L3503">
        <v>98</v>
      </c>
      <c r="M3503">
        <v>656.20001220999995</v>
      </c>
      <c r="N3503" t="s">
        <v>1956</v>
      </c>
      <c r="O3503" t="s">
        <v>43</v>
      </c>
      <c r="P3503">
        <v>125</v>
      </c>
      <c r="Q3503" t="s">
        <v>43</v>
      </c>
      <c r="R3503">
        <v>-1000</v>
      </c>
      <c r="S3503">
        <v>0</v>
      </c>
      <c r="T3503">
        <v>-40</v>
      </c>
      <c r="U3503">
        <v>-40</v>
      </c>
      <c r="V3503">
        <v>-3000</v>
      </c>
      <c r="W3503">
        <v>37</v>
      </c>
      <c r="X3503">
        <v>37</v>
      </c>
      <c r="Y3503">
        <v>1</v>
      </c>
      <c r="Z3503">
        <v>8</v>
      </c>
      <c r="AA3503">
        <v>33</v>
      </c>
      <c r="AB3503">
        <v>7</v>
      </c>
      <c r="AC3503">
        <v>5</v>
      </c>
      <c r="AD3503">
        <v>3.4240000199999998</v>
      </c>
      <c r="AE3503">
        <v>6</v>
      </c>
      <c r="AF3503">
        <v>24</v>
      </c>
      <c r="AG3503">
        <v>3.40799999</v>
      </c>
      <c r="AH3503">
        <v>1</v>
      </c>
      <c r="AI3503">
        <v>42</v>
      </c>
      <c r="AJ3503">
        <v>1</v>
      </c>
      <c r="AK3503">
        <v>12</v>
      </c>
      <c r="AL3503">
        <v>47</v>
      </c>
      <c r="AM3503" t="s">
        <v>43</v>
      </c>
      <c r="AN3503" t="str">
        <f>HYPERLINK("https://www.google.com/maps?q=10.76357555,79.6931076","Open Location")</f>
        <v>Open Location</v>
      </c>
    </row>
    <row r="3504" spans="1:40" x14ac:dyDescent="0.3">
      <c r="A3504" s="1">
        <v>46210.594097222223</v>
      </c>
      <c r="B3504" t="s">
        <v>40</v>
      </c>
      <c r="C3504" t="s">
        <v>41</v>
      </c>
      <c r="D3504" s="1">
        <v>46210.597025462965</v>
      </c>
      <c r="E3504" t="s">
        <v>42</v>
      </c>
      <c r="F3504" t="s">
        <v>43</v>
      </c>
      <c r="G3504">
        <v>0</v>
      </c>
      <c r="H3504">
        <v>33107</v>
      </c>
      <c r="I3504" t="s">
        <v>2081</v>
      </c>
      <c r="J3504">
        <v>72</v>
      </c>
      <c r="K3504">
        <v>-283</v>
      </c>
      <c r="L3504">
        <v>98</v>
      </c>
      <c r="M3504">
        <v>656.09997558999999</v>
      </c>
      <c r="N3504" t="s">
        <v>1956</v>
      </c>
      <c r="O3504" t="s">
        <v>43</v>
      </c>
      <c r="P3504">
        <v>125</v>
      </c>
      <c r="Q3504" t="s">
        <v>43</v>
      </c>
      <c r="R3504">
        <v>-1000</v>
      </c>
      <c r="S3504">
        <v>0</v>
      </c>
      <c r="T3504">
        <v>-40</v>
      </c>
      <c r="U3504">
        <v>-40</v>
      </c>
      <c r="V3504">
        <v>-3000</v>
      </c>
      <c r="W3504">
        <v>37</v>
      </c>
      <c r="X3504">
        <v>37</v>
      </c>
      <c r="Y3504">
        <v>1</v>
      </c>
      <c r="Z3504">
        <v>8</v>
      </c>
      <c r="AA3504">
        <v>33</v>
      </c>
      <c r="AB3504">
        <v>7</v>
      </c>
      <c r="AC3504">
        <v>5</v>
      </c>
      <c r="AD3504">
        <v>3.4240000199999998</v>
      </c>
      <c r="AE3504">
        <v>6</v>
      </c>
      <c r="AF3504">
        <v>24</v>
      </c>
      <c r="AG3504">
        <v>3.40799999</v>
      </c>
      <c r="AH3504">
        <v>1</v>
      </c>
      <c r="AI3504">
        <v>42</v>
      </c>
      <c r="AJ3504">
        <v>1</v>
      </c>
      <c r="AK3504">
        <v>12</v>
      </c>
      <c r="AL3504">
        <v>47</v>
      </c>
      <c r="AM3504" t="s">
        <v>43</v>
      </c>
      <c r="AN3504" t="str">
        <f>HYPERLINK("https://www.google.com/maps?q=10.76357174,79.69309235","Open Location")</f>
        <v>Open Location</v>
      </c>
    </row>
    <row r="3505" spans="1:40" x14ac:dyDescent="0.3">
      <c r="A3505" s="1">
        <v>46210.593981481485</v>
      </c>
      <c r="B3505" t="s">
        <v>40</v>
      </c>
      <c r="C3505" t="s">
        <v>41</v>
      </c>
      <c r="D3505" s="1">
        <v>46210.596863425926</v>
      </c>
      <c r="E3505" t="s">
        <v>42</v>
      </c>
      <c r="F3505" t="s">
        <v>43</v>
      </c>
      <c r="G3505">
        <v>0</v>
      </c>
      <c r="H3505">
        <v>33107</v>
      </c>
      <c r="I3505" t="s">
        <v>2082</v>
      </c>
      <c r="J3505">
        <v>72</v>
      </c>
      <c r="K3505">
        <v>-283</v>
      </c>
      <c r="L3505">
        <v>98</v>
      </c>
      <c r="M3505">
        <v>655.90002441000001</v>
      </c>
      <c r="N3505" t="s">
        <v>1956</v>
      </c>
      <c r="O3505" t="s">
        <v>43</v>
      </c>
      <c r="P3505">
        <v>125</v>
      </c>
      <c r="Q3505" t="s">
        <v>43</v>
      </c>
      <c r="R3505">
        <v>-1000</v>
      </c>
      <c r="S3505">
        <v>0</v>
      </c>
      <c r="T3505">
        <v>-40</v>
      </c>
      <c r="U3505">
        <v>-40</v>
      </c>
      <c r="V3505">
        <v>-3000</v>
      </c>
      <c r="W3505">
        <v>37</v>
      </c>
      <c r="X3505">
        <v>37</v>
      </c>
      <c r="Y3505">
        <v>1</v>
      </c>
      <c r="Z3505">
        <v>8</v>
      </c>
      <c r="AA3505">
        <v>33</v>
      </c>
      <c r="AB3505">
        <v>7</v>
      </c>
      <c r="AC3505">
        <v>5</v>
      </c>
      <c r="AD3505">
        <v>3.4240000199999998</v>
      </c>
      <c r="AE3505">
        <v>6</v>
      </c>
      <c r="AF3505">
        <v>24</v>
      </c>
      <c r="AG3505">
        <v>3.40799999</v>
      </c>
      <c r="AH3505">
        <v>1</v>
      </c>
      <c r="AI3505">
        <v>42</v>
      </c>
      <c r="AJ3505">
        <v>1</v>
      </c>
      <c r="AK3505">
        <v>12</v>
      </c>
      <c r="AL3505">
        <v>47</v>
      </c>
      <c r="AM3505" t="s">
        <v>43</v>
      </c>
      <c r="AN3505" t="str">
        <f>HYPERLINK("https://www.google.com/maps?q=10.76357079,79.69309235","Open Location")</f>
        <v>Open Location</v>
      </c>
    </row>
    <row r="3506" spans="1:40" x14ac:dyDescent="0.3">
      <c r="A3506" s="1">
        <v>46210.593865740739</v>
      </c>
      <c r="B3506" t="s">
        <v>40</v>
      </c>
      <c r="C3506" t="s">
        <v>41</v>
      </c>
      <c r="D3506" s="1">
        <v>46210.596759259257</v>
      </c>
      <c r="E3506" t="s">
        <v>42</v>
      </c>
      <c r="F3506" t="s">
        <v>43</v>
      </c>
      <c r="G3506">
        <v>0</v>
      </c>
      <c r="H3506" t="s">
        <v>43</v>
      </c>
      <c r="I3506" t="s">
        <v>2083</v>
      </c>
      <c r="J3506">
        <v>72</v>
      </c>
      <c r="K3506">
        <v>-283</v>
      </c>
      <c r="L3506">
        <v>98</v>
      </c>
      <c r="M3506">
        <v>655.90002441000001</v>
      </c>
      <c r="N3506" t="s">
        <v>1956</v>
      </c>
      <c r="O3506" t="s">
        <v>43</v>
      </c>
      <c r="P3506">
        <v>125</v>
      </c>
      <c r="Q3506" t="s">
        <v>43</v>
      </c>
      <c r="R3506">
        <v>-1000</v>
      </c>
      <c r="S3506">
        <v>0</v>
      </c>
      <c r="T3506">
        <v>-40</v>
      </c>
      <c r="U3506">
        <v>-40</v>
      </c>
      <c r="V3506">
        <v>-3000</v>
      </c>
      <c r="W3506">
        <v>37</v>
      </c>
      <c r="X3506">
        <v>37</v>
      </c>
      <c r="Y3506">
        <v>1</v>
      </c>
      <c r="Z3506">
        <v>8</v>
      </c>
      <c r="AA3506">
        <v>33</v>
      </c>
      <c r="AB3506">
        <v>7</v>
      </c>
      <c r="AC3506">
        <v>5</v>
      </c>
      <c r="AD3506">
        <v>3.4240000199999998</v>
      </c>
      <c r="AE3506">
        <v>6</v>
      </c>
      <c r="AF3506">
        <v>24</v>
      </c>
      <c r="AG3506">
        <v>3.40799999</v>
      </c>
      <c r="AH3506">
        <v>1</v>
      </c>
      <c r="AI3506">
        <v>42</v>
      </c>
      <c r="AJ3506">
        <v>1</v>
      </c>
      <c r="AK3506">
        <v>12</v>
      </c>
      <c r="AL3506">
        <v>47</v>
      </c>
      <c r="AM3506" t="s">
        <v>43</v>
      </c>
      <c r="AN3506" t="str">
        <f>HYPERLINK("https://www.google.com/maps?q=10.76355743,79.69308472","Open Location")</f>
        <v>Open Location</v>
      </c>
    </row>
    <row r="3507" spans="1:40" x14ac:dyDescent="0.3">
      <c r="A3507" s="1">
        <v>46210.59375</v>
      </c>
      <c r="B3507" t="s">
        <v>40</v>
      </c>
      <c r="C3507" t="s">
        <v>41</v>
      </c>
      <c r="D3507" s="1">
        <v>46210.596516203703</v>
      </c>
      <c r="E3507" t="s">
        <v>42</v>
      </c>
      <c r="F3507" t="s">
        <v>43</v>
      </c>
      <c r="G3507">
        <v>0</v>
      </c>
      <c r="H3507">
        <v>33107</v>
      </c>
      <c r="I3507" t="s">
        <v>43</v>
      </c>
      <c r="J3507">
        <v>72</v>
      </c>
      <c r="K3507">
        <v>-283</v>
      </c>
      <c r="L3507">
        <v>98</v>
      </c>
      <c r="M3507">
        <v>656</v>
      </c>
      <c r="N3507" t="s">
        <v>1956</v>
      </c>
      <c r="O3507" t="s">
        <v>43</v>
      </c>
      <c r="P3507">
        <v>125</v>
      </c>
      <c r="Q3507" t="s">
        <v>43</v>
      </c>
      <c r="R3507">
        <v>-1000</v>
      </c>
      <c r="S3507">
        <v>0</v>
      </c>
      <c r="T3507">
        <v>-40</v>
      </c>
      <c r="U3507">
        <v>-40</v>
      </c>
      <c r="V3507">
        <v>-3000</v>
      </c>
      <c r="W3507">
        <v>37</v>
      </c>
      <c r="X3507">
        <v>37</v>
      </c>
      <c r="Y3507">
        <v>1</v>
      </c>
      <c r="Z3507">
        <v>8</v>
      </c>
      <c r="AA3507">
        <v>33</v>
      </c>
      <c r="AB3507">
        <v>7</v>
      </c>
      <c r="AC3507">
        <v>5</v>
      </c>
      <c r="AD3507">
        <v>3.4240000199999998</v>
      </c>
      <c r="AE3507">
        <v>6</v>
      </c>
      <c r="AF3507">
        <v>24</v>
      </c>
      <c r="AG3507">
        <v>3.4070000600000001</v>
      </c>
      <c r="AH3507">
        <v>5</v>
      </c>
      <c r="AI3507">
        <v>10</v>
      </c>
      <c r="AJ3507">
        <v>1</v>
      </c>
      <c r="AK3507">
        <v>12</v>
      </c>
      <c r="AL3507">
        <v>47</v>
      </c>
      <c r="AM3507" t="s">
        <v>43</v>
      </c>
      <c r="AN3507" t="s">
        <v>43</v>
      </c>
    </row>
    <row r="3508" spans="1:40" x14ac:dyDescent="0.3">
      <c r="A3508" s="1">
        <v>46210.593634259261</v>
      </c>
      <c r="B3508" t="s">
        <v>40</v>
      </c>
      <c r="C3508" t="s">
        <v>41</v>
      </c>
      <c r="D3508" s="1">
        <v>46210.596435185187</v>
      </c>
      <c r="E3508" t="s">
        <v>42</v>
      </c>
      <c r="F3508" t="s">
        <v>43</v>
      </c>
      <c r="G3508">
        <v>0</v>
      </c>
      <c r="H3508">
        <v>33107</v>
      </c>
      <c r="I3508" t="s">
        <v>2084</v>
      </c>
      <c r="J3508">
        <v>72</v>
      </c>
      <c r="K3508">
        <v>-283</v>
      </c>
      <c r="L3508">
        <v>98</v>
      </c>
      <c r="M3508">
        <v>656</v>
      </c>
      <c r="N3508" t="s">
        <v>1956</v>
      </c>
      <c r="O3508" t="s">
        <v>43</v>
      </c>
      <c r="P3508">
        <v>125</v>
      </c>
      <c r="Q3508" t="s">
        <v>43</v>
      </c>
      <c r="R3508">
        <v>-1000</v>
      </c>
      <c r="S3508">
        <v>0</v>
      </c>
      <c r="T3508">
        <v>-40</v>
      </c>
      <c r="U3508">
        <v>-40</v>
      </c>
      <c r="V3508">
        <v>-3000</v>
      </c>
      <c r="W3508">
        <v>37</v>
      </c>
      <c r="X3508">
        <v>37</v>
      </c>
      <c r="Y3508">
        <v>1</v>
      </c>
      <c r="Z3508">
        <v>8</v>
      </c>
      <c r="AA3508">
        <v>33</v>
      </c>
      <c r="AB3508">
        <v>7</v>
      </c>
      <c r="AC3508">
        <v>5</v>
      </c>
      <c r="AD3508">
        <v>3.4230000999999999</v>
      </c>
      <c r="AE3508">
        <v>4</v>
      </c>
      <c r="AF3508">
        <v>24</v>
      </c>
      <c r="AG3508">
        <v>3.4070000600000001</v>
      </c>
      <c r="AH3508">
        <v>5</v>
      </c>
      <c r="AI3508">
        <v>10</v>
      </c>
      <c r="AJ3508">
        <v>1</v>
      </c>
      <c r="AK3508">
        <v>12</v>
      </c>
      <c r="AL3508">
        <v>47</v>
      </c>
      <c r="AM3508" t="s">
        <v>43</v>
      </c>
      <c r="AN3508" t="str">
        <f>HYPERLINK("https://www.google.com/maps?q=10.76356602,79.69307709","Open Location")</f>
        <v>Open Location</v>
      </c>
    </row>
    <row r="3509" spans="1:40" x14ac:dyDescent="0.3">
      <c r="A3509" s="1">
        <v>46210.593518518515</v>
      </c>
      <c r="B3509" t="s">
        <v>40</v>
      </c>
      <c r="C3509" t="s">
        <v>41</v>
      </c>
      <c r="D3509" s="1">
        <v>46210.596435185187</v>
      </c>
      <c r="E3509" t="s">
        <v>42</v>
      </c>
      <c r="F3509" t="s">
        <v>43</v>
      </c>
      <c r="G3509">
        <v>0</v>
      </c>
      <c r="H3509">
        <v>33107</v>
      </c>
      <c r="I3509" t="s">
        <v>2085</v>
      </c>
      <c r="J3509">
        <v>72</v>
      </c>
      <c r="K3509">
        <v>-283</v>
      </c>
      <c r="L3509">
        <v>98</v>
      </c>
      <c r="M3509">
        <v>655.90002441000001</v>
      </c>
      <c r="N3509" t="s">
        <v>1956</v>
      </c>
      <c r="O3509" t="s">
        <v>43</v>
      </c>
      <c r="P3509">
        <v>125</v>
      </c>
      <c r="Q3509" t="s">
        <v>43</v>
      </c>
      <c r="R3509">
        <v>-1000</v>
      </c>
      <c r="S3509">
        <v>0</v>
      </c>
      <c r="T3509">
        <v>-40</v>
      </c>
      <c r="U3509">
        <v>-40</v>
      </c>
      <c r="V3509">
        <v>-3000</v>
      </c>
      <c r="W3509">
        <v>37</v>
      </c>
      <c r="X3509">
        <v>37</v>
      </c>
      <c r="Y3509">
        <v>1</v>
      </c>
      <c r="Z3509">
        <v>8</v>
      </c>
      <c r="AA3509">
        <v>33</v>
      </c>
      <c r="AB3509">
        <v>7</v>
      </c>
      <c r="AC3509">
        <v>5</v>
      </c>
      <c r="AD3509">
        <v>3.4230000999999999</v>
      </c>
      <c r="AE3509">
        <v>6</v>
      </c>
      <c r="AF3509">
        <v>24</v>
      </c>
      <c r="AG3509">
        <v>3.4070000600000001</v>
      </c>
      <c r="AH3509">
        <v>5</v>
      </c>
      <c r="AI3509">
        <v>8</v>
      </c>
      <c r="AJ3509">
        <v>1</v>
      </c>
      <c r="AK3509">
        <v>12</v>
      </c>
      <c r="AL3509">
        <v>47</v>
      </c>
      <c r="AM3509" t="s">
        <v>43</v>
      </c>
      <c r="AN3509" t="str">
        <f>HYPERLINK("https://www.google.com/maps?q=10.76357365,79.6931076","Open Location")</f>
        <v>Open Location</v>
      </c>
    </row>
    <row r="3510" spans="1:40" x14ac:dyDescent="0.3">
      <c r="A3510" s="1">
        <v>46210.593402777777</v>
      </c>
      <c r="B3510" t="s">
        <v>40</v>
      </c>
      <c r="C3510" t="s">
        <v>41</v>
      </c>
      <c r="D3510" s="1">
        <v>46210.596435185187</v>
      </c>
      <c r="E3510" t="s">
        <v>42</v>
      </c>
      <c r="F3510" t="s">
        <v>43</v>
      </c>
      <c r="G3510">
        <v>0</v>
      </c>
      <c r="H3510">
        <v>33107</v>
      </c>
      <c r="I3510" t="s">
        <v>2085</v>
      </c>
      <c r="J3510">
        <v>71</v>
      </c>
      <c r="K3510">
        <v>-283</v>
      </c>
      <c r="L3510">
        <v>98</v>
      </c>
      <c r="M3510">
        <v>655.79998779000005</v>
      </c>
      <c r="N3510" t="s">
        <v>1956</v>
      </c>
      <c r="O3510" t="s">
        <v>43</v>
      </c>
      <c r="P3510">
        <v>125</v>
      </c>
      <c r="Q3510" t="s">
        <v>43</v>
      </c>
      <c r="R3510">
        <v>-1000</v>
      </c>
      <c r="S3510">
        <v>0</v>
      </c>
      <c r="T3510">
        <v>-40</v>
      </c>
      <c r="U3510">
        <v>-40</v>
      </c>
      <c r="V3510">
        <v>-3000</v>
      </c>
      <c r="W3510">
        <v>37</v>
      </c>
      <c r="X3510">
        <v>37</v>
      </c>
      <c r="Y3510">
        <v>1</v>
      </c>
      <c r="Z3510">
        <v>8</v>
      </c>
      <c r="AA3510">
        <v>33</v>
      </c>
      <c r="AB3510">
        <v>7</v>
      </c>
      <c r="AC3510">
        <v>5</v>
      </c>
      <c r="AD3510">
        <v>3.4230000999999999</v>
      </c>
      <c r="AE3510">
        <v>6</v>
      </c>
      <c r="AF3510">
        <v>24</v>
      </c>
      <c r="AG3510">
        <v>3.4070000600000001</v>
      </c>
      <c r="AH3510">
        <v>5</v>
      </c>
      <c r="AI3510">
        <v>8</v>
      </c>
      <c r="AJ3510">
        <v>1</v>
      </c>
      <c r="AK3510">
        <v>12</v>
      </c>
      <c r="AL3510">
        <v>47</v>
      </c>
      <c r="AM3510" t="s">
        <v>43</v>
      </c>
      <c r="AN3510" t="str">
        <f>HYPERLINK("https://www.google.com/maps?q=10.76357365,79.6931076","Open Location")</f>
        <v>Open Location</v>
      </c>
    </row>
    <row r="3511" spans="1:40" x14ac:dyDescent="0.3">
      <c r="A3511" s="1">
        <v>46210.593287037038</v>
      </c>
      <c r="B3511" t="s">
        <v>40</v>
      </c>
      <c r="C3511" t="s">
        <v>41</v>
      </c>
      <c r="D3511" s="1">
        <v>46210.596134259256</v>
      </c>
      <c r="E3511" t="s">
        <v>42</v>
      </c>
      <c r="F3511" t="s">
        <v>43</v>
      </c>
      <c r="G3511">
        <v>0</v>
      </c>
      <c r="H3511">
        <v>33107</v>
      </c>
      <c r="I3511" t="s">
        <v>2086</v>
      </c>
      <c r="J3511">
        <v>71</v>
      </c>
      <c r="K3511">
        <v>-283</v>
      </c>
      <c r="L3511">
        <v>98</v>
      </c>
      <c r="M3511">
        <v>655.90002441000001</v>
      </c>
      <c r="N3511" t="s">
        <v>1956</v>
      </c>
      <c r="O3511" t="s">
        <v>43</v>
      </c>
      <c r="P3511">
        <v>125</v>
      </c>
      <c r="Q3511" t="s">
        <v>43</v>
      </c>
      <c r="R3511">
        <v>-1000</v>
      </c>
      <c r="S3511">
        <v>0</v>
      </c>
      <c r="T3511">
        <v>-40</v>
      </c>
      <c r="U3511">
        <v>-40</v>
      </c>
      <c r="V3511">
        <v>-3000</v>
      </c>
      <c r="W3511">
        <v>37</v>
      </c>
      <c r="X3511">
        <v>37</v>
      </c>
      <c r="Y3511">
        <v>1</v>
      </c>
      <c r="Z3511">
        <v>8</v>
      </c>
      <c r="AA3511">
        <v>33</v>
      </c>
      <c r="AB3511">
        <v>7</v>
      </c>
      <c r="AC3511">
        <v>5</v>
      </c>
      <c r="AD3511">
        <v>3.4230000999999999</v>
      </c>
      <c r="AE3511">
        <v>6</v>
      </c>
      <c r="AF3511">
        <v>24</v>
      </c>
      <c r="AG3511">
        <v>3.4070000600000001</v>
      </c>
      <c r="AH3511">
        <v>5</v>
      </c>
      <c r="AI3511">
        <v>8</v>
      </c>
      <c r="AJ3511">
        <v>1</v>
      </c>
      <c r="AK3511">
        <v>11</v>
      </c>
      <c r="AL3511">
        <v>47</v>
      </c>
      <c r="AM3511" t="s">
        <v>43</v>
      </c>
      <c r="AN3511" t="str">
        <f>HYPERLINK("https://www.google.com/maps?q=10.76356602,79.6931076","Open Location")</f>
        <v>Open Location</v>
      </c>
    </row>
    <row r="3512" spans="1:40" x14ac:dyDescent="0.3">
      <c r="A3512" s="1">
        <v>46210.593171296299</v>
      </c>
      <c r="B3512" t="s">
        <v>40</v>
      </c>
      <c r="C3512" t="s">
        <v>41</v>
      </c>
      <c r="D3512" s="1">
        <v>46210.596134259256</v>
      </c>
      <c r="E3512" t="s">
        <v>42</v>
      </c>
      <c r="F3512" t="s">
        <v>43</v>
      </c>
      <c r="G3512">
        <v>0</v>
      </c>
      <c r="H3512">
        <v>33107</v>
      </c>
      <c r="I3512" t="s">
        <v>43</v>
      </c>
      <c r="J3512">
        <v>71</v>
      </c>
      <c r="K3512">
        <v>-283</v>
      </c>
      <c r="L3512">
        <v>98</v>
      </c>
      <c r="M3512">
        <v>655.79998779000005</v>
      </c>
      <c r="N3512" t="s">
        <v>1956</v>
      </c>
      <c r="O3512" t="s">
        <v>43</v>
      </c>
      <c r="P3512">
        <v>125</v>
      </c>
      <c r="Q3512" t="s">
        <v>43</v>
      </c>
      <c r="R3512">
        <v>-1000</v>
      </c>
      <c r="S3512">
        <v>0</v>
      </c>
      <c r="T3512">
        <v>-40</v>
      </c>
      <c r="U3512">
        <v>-40</v>
      </c>
      <c r="V3512">
        <v>-3000</v>
      </c>
      <c r="W3512">
        <v>37</v>
      </c>
      <c r="X3512">
        <v>37</v>
      </c>
      <c r="Y3512">
        <v>1</v>
      </c>
      <c r="Z3512">
        <v>8</v>
      </c>
      <c r="AA3512">
        <v>33</v>
      </c>
      <c r="AB3512">
        <v>7</v>
      </c>
      <c r="AC3512">
        <v>5</v>
      </c>
      <c r="AD3512">
        <v>3.4230000999999999</v>
      </c>
      <c r="AE3512">
        <v>6</v>
      </c>
      <c r="AF3512">
        <v>24</v>
      </c>
      <c r="AG3512">
        <v>3.4070000600000001</v>
      </c>
      <c r="AH3512">
        <v>5</v>
      </c>
      <c r="AI3512">
        <v>8</v>
      </c>
      <c r="AJ3512">
        <v>1</v>
      </c>
      <c r="AK3512">
        <v>12</v>
      </c>
      <c r="AL3512">
        <v>47</v>
      </c>
      <c r="AM3512" t="s">
        <v>43</v>
      </c>
      <c r="AN3512" t="s">
        <v>43</v>
      </c>
    </row>
    <row r="3513" spans="1:40" x14ac:dyDescent="0.3">
      <c r="A3513" s="1">
        <v>46210.593055555553</v>
      </c>
      <c r="B3513" t="s">
        <v>40</v>
      </c>
      <c r="C3513" t="s">
        <v>41</v>
      </c>
      <c r="D3513" s="1">
        <v>46210.596099537041</v>
      </c>
      <c r="E3513" t="s">
        <v>42</v>
      </c>
      <c r="F3513" t="s">
        <v>43</v>
      </c>
      <c r="G3513">
        <v>0</v>
      </c>
      <c r="H3513">
        <v>33107</v>
      </c>
      <c r="I3513" t="s">
        <v>2087</v>
      </c>
      <c r="J3513">
        <v>71</v>
      </c>
      <c r="K3513">
        <v>-283</v>
      </c>
      <c r="L3513">
        <v>98</v>
      </c>
      <c r="M3513">
        <v>655.90002441000001</v>
      </c>
      <c r="N3513" t="s">
        <v>1956</v>
      </c>
      <c r="O3513" t="s">
        <v>43</v>
      </c>
      <c r="P3513">
        <v>125</v>
      </c>
      <c r="Q3513" t="s">
        <v>43</v>
      </c>
      <c r="R3513">
        <v>-1000</v>
      </c>
      <c r="S3513">
        <v>0</v>
      </c>
      <c r="T3513">
        <v>-40</v>
      </c>
      <c r="U3513">
        <v>-40</v>
      </c>
      <c r="V3513">
        <v>-3000</v>
      </c>
      <c r="W3513">
        <v>37</v>
      </c>
      <c r="X3513">
        <v>37</v>
      </c>
      <c r="Y3513">
        <v>1</v>
      </c>
      <c r="Z3513">
        <v>8</v>
      </c>
      <c r="AA3513">
        <v>33</v>
      </c>
      <c r="AB3513">
        <v>7</v>
      </c>
      <c r="AC3513">
        <v>5</v>
      </c>
      <c r="AD3513">
        <v>3.4230000999999999</v>
      </c>
      <c r="AE3513">
        <v>6</v>
      </c>
      <c r="AF3513">
        <v>24</v>
      </c>
      <c r="AG3513">
        <v>3.4070000600000001</v>
      </c>
      <c r="AH3513">
        <v>5</v>
      </c>
      <c r="AI3513">
        <v>8</v>
      </c>
      <c r="AJ3513">
        <v>1</v>
      </c>
      <c r="AK3513">
        <v>12</v>
      </c>
      <c r="AL3513">
        <v>47</v>
      </c>
      <c r="AM3513" t="s">
        <v>43</v>
      </c>
      <c r="AN3513" t="str">
        <f>HYPERLINK("https://www.google.com/maps?q=10.76355934,79.69309235","Open Location")</f>
        <v>Open Location</v>
      </c>
    </row>
    <row r="3514" spans="1:40" x14ac:dyDescent="0.3">
      <c r="A3514" s="1">
        <v>46210.592939814815</v>
      </c>
      <c r="B3514" t="s">
        <v>40</v>
      </c>
      <c r="C3514" t="s">
        <v>41</v>
      </c>
      <c r="D3514" s="1">
        <v>46210.595821759256</v>
      </c>
      <c r="E3514" t="s">
        <v>42</v>
      </c>
      <c r="F3514" t="s">
        <v>43</v>
      </c>
      <c r="G3514">
        <v>0</v>
      </c>
      <c r="H3514">
        <v>33107</v>
      </c>
      <c r="I3514" t="s">
        <v>2066</v>
      </c>
      <c r="J3514">
        <v>71</v>
      </c>
      <c r="K3514">
        <v>-283</v>
      </c>
      <c r="L3514">
        <v>98</v>
      </c>
      <c r="M3514">
        <v>655.70001220999995</v>
      </c>
      <c r="N3514" t="s">
        <v>1956</v>
      </c>
      <c r="O3514" t="s">
        <v>43</v>
      </c>
      <c r="P3514">
        <v>125</v>
      </c>
      <c r="Q3514" t="s">
        <v>43</v>
      </c>
      <c r="R3514">
        <v>-1000</v>
      </c>
      <c r="S3514">
        <v>0</v>
      </c>
      <c r="T3514">
        <v>-40</v>
      </c>
      <c r="U3514">
        <v>-40</v>
      </c>
      <c r="V3514">
        <v>-3000</v>
      </c>
      <c r="W3514">
        <v>37</v>
      </c>
      <c r="X3514">
        <v>37</v>
      </c>
      <c r="Y3514">
        <v>1</v>
      </c>
      <c r="Z3514">
        <v>8</v>
      </c>
      <c r="AA3514">
        <v>33</v>
      </c>
      <c r="AB3514">
        <v>7</v>
      </c>
      <c r="AC3514">
        <v>5</v>
      </c>
      <c r="AD3514">
        <v>3.4230000999999999</v>
      </c>
      <c r="AE3514">
        <v>4</v>
      </c>
      <c r="AF3514">
        <v>24</v>
      </c>
      <c r="AG3514">
        <v>3.4070000600000001</v>
      </c>
      <c r="AH3514">
        <v>5</v>
      </c>
      <c r="AI3514">
        <v>10</v>
      </c>
      <c r="AJ3514">
        <v>1</v>
      </c>
      <c r="AK3514">
        <v>12</v>
      </c>
      <c r="AL3514">
        <v>47</v>
      </c>
      <c r="AM3514" t="s">
        <v>43</v>
      </c>
      <c r="AN3514" t="str">
        <f>HYPERLINK("https://www.google.com/maps?q=10.7635603,79.69308472","Open Location")</f>
        <v>Open Location</v>
      </c>
    </row>
    <row r="3515" spans="1:40" x14ac:dyDescent="0.3">
      <c r="A3515" s="1">
        <v>46210.592824074076</v>
      </c>
      <c r="B3515" t="s">
        <v>40</v>
      </c>
      <c r="C3515" t="s">
        <v>41</v>
      </c>
      <c r="D3515" s="1">
        <v>46210.595706018517</v>
      </c>
      <c r="E3515" t="s">
        <v>42</v>
      </c>
      <c r="F3515" t="s">
        <v>43</v>
      </c>
      <c r="G3515">
        <v>0</v>
      </c>
      <c r="H3515">
        <v>33107</v>
      </c>
      <c r="I3515" t="s">
        <v>2088</v>
      </c>
      <c r="J3515">
        <v>70</v>
      </c>
      <c r="K3515">
        <v>-283</v>
      </c>
      <c r="L3515">
        <v>98</v>
      </c>
      <c r="M3515">
        <v>656.09997558999999</v>
      </c>
      <c r="N3515" t="s">
        <v>1956</v>
      </c>
      <c r="O3515" t="s">
        <v>43</v>
      </c>
      <c r="P3515">
        <v>125</v>
      </c>
      <c r="Q3515" t="s">
        <v>43</v>
      </c>
      <c r="R3515">
        <v>-1000</v>
      </c>
      <c r="S3515">
        <v>0</v>
      </c>
      <c r="T3515">
        <v>-40</v>
      </c>
      <c r="U3515">
        <v>-40</v>
      </c>
      <c r="V3515">
        <v>-3000</v>
      </c>
      <c r="W3515">
        <v>37</v>
      </c>
      <c r="X3515">
        <v>37</v>
      </c>
      <c r="Y3515">
        <v>1</v>
      </c>
      <c r="Z3515">
        <v>8</v>
      </c>
      <c r="AA3515">
        <v>33</v>
      </c>
      <c r="AB3515">
        <v>7</v>
      </c>
      <c r="AC3515">
        <v>5</v>
      </c>
      <c r="AD3515">
        <v>3.4240000199999998</v>
      </c>
      <c r="AE3515">
        <v>6</v>
      </c>
      <c r="AF3515">
        <v>24</v>
      </c>
      <c r="AG3515">
        <v>3.40799999</v>
      </c>
      <c r="AH3515">
        <v>5</v>
      </c>
      <c r="AI3515">
        <v>8</v>
      </c>
      <c r="AJ3515">
        <v>1</v>
      </c>
      <c r="AK3515">
        <v>12</v>
      </c>
      <c r="AL3515">
        <v>47</v>
      </c>
      <c r="AM3515" t="s">
        <v>43</v>
      </c>
      <c r="AN3515" t="str">
        <f>HYPERLINK("https://www.google.com/maps?q=10.7635479,79.69307709","Open Location")</f>
        <v>Open Location</v>
      </c>
    </row>
    <row r="3516" spans="1:40" x14ac:dyDescent="0.3">
      <c r="A3516" s="1">
        <v>46210.59270833333</v>
      </c>
      <c r="B3516" t="s">
        <v>40</v>
      </c>
      <c r="C3516" t="s">
        <v>41</v>
      </c>
      <c r="D3516" s="1">
        <v>46210.59584490741</v>
      </c>
      <c r="E3516" t="s">
        <v>42</v>
      </c>
      <c r="F3516" t="s">
        <v>43</v>
      </c>
      <c r="G3516">
        <v>0</v>
      </c>
      <c r="H3516">
        <v>33107</v>
      </c>
      <c r="I3516" t="s">
        <v>2089</v>
      </c>
      <c r="J3516">
        <v>70</v>
      </c>
      <c r="K3516">
        <v>-315</v>
      </c>
      <c r="L3516">
        <v>98</v>
      </c>
      <c r="M3516">
        <v>657.09997558999999</v>
      </c>
      <c r="N3516" t="s">
        <v>1956</v>
      </c>
      <c r="O3516" t="s">
        <v>43</v>
      </c>
      <c r="P3516">
        <v>125</v>
      </c>
      <c r="Q3516" t="s">
        <v>43</v>
      </c>
      <c r="R3516">
        <v>-1000</v>
      </c>
      <c r="S3516">
        <v>0</v>
      </c>
      <c r="T3516">
        <v>-40</v>
      </c>
      <c r="U3516">
        <v>-40</v>
      </c>
      <c r="V3516">
        <v>-3000</v>
      </c>
      <c r="W3516">
        <v>37</v>
      </c>
      <c r="X3516">
        <v>37</v>
      </c>
      <c r="Y3516">
        <v>1</v>
      </c>
      <c r="Z3516">
        <v>8</v>
      </c>
      <c r="AA3516">
        <v>33</v>
      </c>
      <c r="AB3516">
        <v>7</v>
      </c>
      <c r="AC3516">
        <v>5</v>
      </c>
      <c r="AD3516">
        <v>3.4309999900000001</v>
      </c>
      <c r="AE3516">
        <v>6</v>
      </c>
      <c r="AF3516">
        <v>24</v>
      </c>
      <c r="AG3516">
        <v>3.41300011</v>
      </c>
      <c r="AH3516">
        <v>5</v>
      </c>
      <c r="AI3516">
        <v>10</v>
      </c>
      <c r="AJ3516">
        <v>1</v>
      </c>
      <c r="AK3516">
        <v>12</v>
      </c>
      <c r="AL3516">
        <v>47</v>
      </c>
      <c r="AM3516" t="s">
        <v>43</v>
      </c>
      <c r="AN3516" t="str">
        <f>HYPERLINK("https://www.google.com/maps?q=10.76354313,79.69307709","Open Location")</f>
        <v>Open Location</v>
      </c>
    </row>
    <row r="3517" spans="1:40" x14ac:dyDescent="0.3">
      <c r="A3517" s="1">
        <v>46210.592592592591</v>
      </c>
      <c r="B3517" t="s">
        <v>40</v>
      </c>
      <c r="C3517" t="s">
        <v>41</v>
      </c>
      <c r="D3517" s="1">
        <v>46210.595335648148</v>
      </c>
      <c r="E3517" t="s">
        <v>42</v>
      </c>
      <c r="F3517" t="s">
        <v>43</v>
      </c>
      <c r="G3517">
        <v>0</v>
      </c>
      <c r="H3517">
        <v>33107</v>
      </c>
      <c r="I3517" t="s">
        <v>2030</v>
      </c>
      <c r="J3517">
        <v>70</v>
      </c>
      <c r="K3517">
        <v>-318</v>
      </c>
      <c r="L3517">
        <v>98</v>
      </c>
      <c r="M3517">
        <v>657.5</v>
      </c>
      <c r="N3517" t="s">
        <v>1956</v>
      </c>
      <c r="O3517" t="s">
        <v>43</v>
      </c>
      <c r="P3517">
        <v>125</v>
      </c>
      <c r="Q3517" t="s">
        <v>43</v>
      </c>
      <c r="R3517">
        <v>-1000</v>
      </c>
      <c r="S3517">
        <v>0</v>
      </c>
      <c r="T3517">
        <v>-40</v>
      </c>
      <c r="U3517">
        <v>-40</v>
      </c>
      <c r="V3517">
        <v>-3000</v>
      </c>
      <c r="W3517">
        <v>37</v>
      </c>
      <c r="X3517">
        <v>37</v>
      </c>
      <c r="Y3517">
        <v>1</v>
      </c>
      <c r="Z3517">
        <v>8</v>
      </c>
      <c r="AA3517">
        <v>33</v>
      </c>
      <c r="AB3517">
        <v>7</v>
      </c>
      <c r="AC3517">
        <v>5</v>
      </c>
      <c r="AD3517">
        <v>3.4300000700000002</v>
      </c>
      <c r="AE3517">
        <v>6</v>
      </c>
      <c r="AF3517">
        <v>24</v>
      </c>
      <c r="AG3517">
        <v>3.41300011</v>
      </c>
      <c r="AH3517">
        <v>1</v>
      </c>
      <c r="AI3517">
        <v>42</v>
      </c>
      <c r="AJ3517">
        <v>1</v>
      </c>
      <c r="AK3517">
        <v>12</v>
      </c>
      <c r="AL3517">
        <v>47</v>
      </c>
      <c r="AM3517" t="s">
        <v>43</v>
      </c>
      <c r="AN3517" t="str">
        <f>HYPERLINK("https://www.google.com/maps?q=10.76354408,79.69307709","Open Location")</f>
        <v>Open Location</v>
      </c>
    </row>
    <row r="3518" spans="1:40" x14ac:dyDescent="0.3">
      <c r="A3518" s="1">
        <v>46210.592476851853</v>
      </c>
      <c r="B3518" t="s">
        <v>40</v>
      </c>
      <c r="C3518" t="s">
        <v>41</v>
      </c>
      <c r="D3518" s="1">
        <v>46210.595335648148</v>
      </c>
      <c r="E3518" t="s">
        <v>42</v>
      </c>
      <c r="F3518" t="s">
        <v>43</v>
      </c>
      <c r="G3518">
        <v>0</v>
      </c>
      <c r="H3518">
        <v>33107</v>
      </c>
      <c r="I3518" t="s">
        <v>43</v>
      </c>
      <c r="J3518">
        <v>70</v>
      </c>
      <c r="K3518">
        <v>-315</v>
      </c>
      <c r="L3518">
        <v>98</v>
      </c>
      <c r="M3518">
        <v>657.20001220999995</v>
      </c>
      <c r="N3518" t="s">
        <v>1956</v>
      </c>
      <c r="O3518" t="s">
        <v>43</v>
      </c>
      <c r="P3518">
        <v>125</v>
      </c>
      <c r="Q3518" t="s">
        <v>43</v>
      </c>
      <c r="R3518">
        <v>-1000</v>
      </c>
      <c r="S3518">
        <v>0</v>
      </c>
      <c r="T3518">
        <v>-40</v>
      </c>
      <c r="U3518">
        <v>-40</v>
      </c>
      <c r="V3518">
        <v>-3000</v>
      </c>
      <c r="W3518">
        <v>37</v>
      </c>
      <c r="X3518">
        <v>37</v>
      </c>
      <c r="Y3518">
        <v>1</v>
      </c>
      <c r="Z3518">
        <v>8</v>
      </c>
      <c r="AA3518">
        <v>33</v>
      </c>
      <c r="AB3518">
        <v>7</v>
      </c>
      <c r="AC3518">
        <v>5</v>
      </c>
      <c r="AD3518">
        <v>3.4309999900000001</v>
      </c>
      <c r="AE3518">
        <v>6</v>
      </c>
      <c r="AF3518">
        <v>24</v>
      </c>
      <c r="AG3518">
        <v>3.41300011</v>
      </c>
      <c r="AH3518">
        <v>5</v>
      </c>
      <c r="AI3518">
        <v>8</v>
      </c>
      <c r="AJ3518">
        <v>1</v>
      </c>
      <c r="AK3518">
        <v>12</v>
      </c>
      <c r="AL3518">
        <v>47</v>
      </c>
      <c r="AM3518" t="s">
        <v>43</v>
      </c>
      <c r="AN3518" t="s">
        <v>43</v>
      </c>
    </row>
    <row r="3519" spans="1:40" x14ac:dyDescent="0.3">
      <c r="A3519" s="1">
        <v>46210.592361111114</v>
      </c>
      <c r="B3519" t="s">
        <v>40</v>
      </c>
      <c r="C3519" t="s">
        <v>41</v>
      </c>
      <c r="D3519" s="1">
        <v>46210.595231481479</v>
      </c>
      <c r="E3519" t="s">
        <v>42</v>
      </c>
      <c r="F3519" t="s">
        <v>43</v>
      </c>
      <c r="G3519">
        <v>0</v>
      </c>
      <c r="H3519">
        <v>33107</v>
      </c>
      <c r="I3519" t="s">
        <v>43</v>
      </c>
      <c r="J3519">
        <v>70</v>
      </c>
      <c r="K3519">
        <v>-319</v>
      </c>
      <c r="L3519">
        <v>98</v>
      </c>
      <c r="M3519">
        <v>657.40002441000001</v>
      </c>
      <c r="N3519" t="s">
        <v>1956</v>
      </c>
      <c r="O3519" t="s">
        <v>43</v>
      </c>
      <c r="P3519">
        <v>125</v>
      </c>
      <c r="Q3519" t="s">
        <v>43</v>
      </c>
      <c r="R3519">
        <v>-1000</v>
      </c>
      <c r="S3519">
        <v>0</v>
      </c>
      <c r="T3519">
        <v>-40</v>
      </c>
      <c r="U3519">
        <v>-40</v>
      </c>
      <c r="V3519">
        <v>-3000</v>
      </c>
      <c r="W3519">
        <v>37</v>
      </c>
      <c r="X3519">
        <v>37</v>
      </c>
      <c r="Y3519">
        <v>1</v>
      </c>
      <c r="Z3519">
        <v>9</v>
      </c>
      <c r="AA3519">
        <v>33</v>
      </c>
      <c r="AB3519">
        <v>2</v>
      </c>
      <c r="AC3519">
        <v>6</v>
      </c>
      <c r="AD3519">
        <v>3.4300000700000002</v>
      </c>
      <c r="AE3519">
        <v>6</v>
      </c>
      <c r="AF3519">
        <v>24</v>
      </c>
      <c r="AG3519">
        <v>3.41300011</v>
      </c>
      <c r="AH3519">
        <v>5</v>
      </c>
      <c r="AI3519">
        <v>8</v>
      </c>
      <c r="AJ3519">
        <v>1</v>
      </c>
      <c r="AK3519">
        <v>12</v>
      </c>
      <c r="AL3519">
        <v>47</v>
      </c>
      <c r="AM3519" t="s">
        <v>43</v>
      </c>
      <c r="AN3519" t="s">
        <v>43</v>
      </c>
    </row>
    <row r="3520" spans="1:40" x14ac:dyDescent="0.3">
      <c r="A3520" s="1">
        <v>46210.592245370368</v>
      </c>
      <c r="B3520" t="s">
        <v>40</v>
      </c>
      <c r="C3520" t="s">
        <v>41</v>
      </c>
      <c r="D3520" s="1">
        <v>46210.595219907409</v>
      </c>
      <c r="E3520" t="s">
        <v>42</v>
      </c>
      <c r="F3520" t="s">
        <v>43</v>
      </c>
      <c r="G3520">
        <v>0</v>
      </c>
      <c r="H3520" t="s">
        <v>43</v>
      </c>
      <c r="I3520" t="s">
        <v>2090</v>
      </c>
      <c r="J3520">
        <v>70</v>
      </c>
      <c r="K3520">
        <v>-318</v>
      </c>
      <c r="L3520">
        <v>98</v>
      </c>
      <c r="M3520">
        <v>656.90002441000001</v>
      </c>
      <c r="N3520" t="s">
        <v>1956</v>
      </c>
      <c r="O3520" t="s">
        <v>43</v>
      </c>
      <c r="P3520">
        <v>125</v>
      </c>
      <c r="Q3520" t="s">
        <v>43</v>
      </c>
      <c r="R3520">
        <v>-1000</v>
      </c>
      <c r="S3520">
        <v>0</v>
      </c>
      <c r="T3520">
        <v>-40</v>
      </c>
      <c r="U3520">
        <v>-40</v>
      </c>
      <c r="V3520">
        <v>-3000</v>
      </c>
      <c r="W3520">
        <v>37</v>
      </c>
      <c r="X3520">
        <v>37</v>
      </c>
      <c r="Y3520">
        <v>5</v>
      </c>
      <c r="Z3520">
        <v>3</v>
      </c>
      <c r="AA3520">
        <v>33</v>
      </c>
      <c r="AB3520">
        <v>2</v>
      </c>
      <c r="AC3520">
        <v>5</v>
      </c>
      <c r="AD3520">
        <v>3.4300000700000002</v>
      </c>
      <c r="AE3520">
        <v>6</v>
      </c>
      <c r="AF3520">
        <v>24</v>
      </c>
      <c r="AG3520">
        <v>3.41300011</v>
      </c>
      <c r="AH3520">
        <v>1</v>
      </c>
      <c r="AI3520">
        <v>42</v>
      </c>
      <c r="AJ3520">
        <v>1</v>
      </c>
      <c r="AK3520">
        <v>12</v>
      </c>
      <c r="AL3520">
        <v>47</v>
      </c>
      <c r="AM3520" t="s">
        <v>43</v>
      </c>
      <c r="AN3520" t="str">
        <f>HYPERLINK("https://www.google.com/maps?q=10.76357079,79.69306183","Open Location")</f>
        <v>Open Location</v>
      </c>
    </row>
    <row r="3521" spans="1:40" x14ac:dyDescent="0.3">
      <c r="A3521" s="1">
        <v>46210.592129629629</v>
      </c>
      <c r="B3521" t="s">
        <v>40</v>
      </c>
      <c r="C3521" t="s">
        <v>41</v>
      </c>
      <c r="D3521" s="1">
        <v>46210.594837962963</v>
      </c>
      <c r="E3521" t="s">
        <v>42</v>
      </c>
      <c r="F3521" t="s">
        <v>43</v>
      </c>
      <c r="G3521">
        <v>0</v>
      </c>
      <c r="H3521">
        <v>33107</v>
      </c>
      <c r="I3521" t="s">
        <v>43</v>
      </c>
      <c r="J3521">
        <v>69</v>
      </c>
      <c r="K3521">
        <v>-317</v>
      </c>
      <c r="L3521">
        <v>98</v>
      </c>
      <c r="M3521">
        <v>657.09997558999999</v>
      </c>
      <c r="N3521" t="s">
        <v>1956</v>
      </c>
      <c r="O3521" t="s">
        <v>43</v>
      </c>
      <c r="P3521">
        <v>125</v>
      </c>
      <c r="Q3521" t="s">
        <v>43</v>
      </c>
      <c r="R3521">
        <v>-1000</v>
      </c>
      <c r="S3521">
        <v>0</v>
      </c>
      <c r="T3521">
        <v>-40</v>
      </c>
      <c r="U3521">
        <v>-40</v>
      </c>
      <c r="V3521">
        <v>-3000</v>
      </c>
      <c r="W3521">
        <v>37</v>
      </c>
      <c r="X3521">
        <v>37</v>
      </c>
      <c r="Y3521">
        <v>5</v>
      </c>
      <c r="Z3521">
        <v>3</v>
      </c>
      <c r="AA3521">
        <v>33</v>
      </c>
      <c r="AB3521">
        <v>2</v>
      </c>
      <c r="AC3521">
        <v>5</v>
      </c>
      <c r="AD3521">
        <v>3.4289999</v>
      </c>
      <c r="AE3521">
        <v>4</v>
      </c>
      <c r="AF3521">
        <v>24</v>
      </c>
      <c r="AG3521">
        <v>3.4119999399999998</v>
      </c>
      <c r="AH3521">
        <v>5</v>
      </c>
      <c r="AI3521">
        <v>8</v>
      </c>
      <c r="AJ3521">
        <v>1</v>
      </c>
      <c r="AK3521">
        <v>12</v>
      </c>
      <c r="AL3521">
        <v>47</v>
      </c>
      <c r="AM3521" t="s">
        <v>43</v>
      </c>
      <c r="AN3521" t="s">
        <v>43</v>
      </c>
    </row>
    <row r="3522" spans="1:40" x14ac:dyDescent="0.3">
      <c r="A3522" s="1">
        <v>46210.592013888891</v>
      </c>
      <c r="B3522" t="s">
        <v>40</v>
      </c>
      <c r="C3522" t="s">
        <v>41</v>
      </c>
      <c r="D3522" s="1">
        <v>46210.594895833332</v>
      </c>
      <c r="E3522" t="s">
        <v>42</v>
      </c>
      <c r="F3522" t="s">
        <v>43</v>
      </c>
      <c r="G3522">
        <v>0</v>
      </c>
      <c r="H3522">
        <v>33107</v>
      </c>
      <c r="I3522" t="s">
        <v>2091</v>
      </c>
      <c r="J3522">
        <v>69</v>
      </c>
      <c r="K3522">
        <v>-320</v>
      </c>
      <c r="L3522">
        <v>98</v>
      </c>
      <c r="M3522">
        <v>657.09997558999999</v>
      </c>
      <c r="N3522" t="s">
        <v>1956</v>
      </c>
      <c r="O3522" t="s">
        <v>43</v>
      </c>
      <c r="P3522">
        <v>125</v>
      </c>
      <c r="Q3522" t="s">
        <v>43</v>
      </c>
      <c r="R3522">
        <v>-1000</v>
      </c>
      <c r="S3522">
        <v>0</v>
      </c>
      <c r="T3522">
        <v>-40</v>
      </c>
      <c r="U3522">
        <v>-40</v>
      </c>
      <c r="V3522">
        <v>-3000</v>
      </c>
      <c r="W3522">
        <v>37</v>
      </c>
      <c r="X3522">
        <v>37</v>
      </c>
      <c r="Y3522">
        <v>5</v>
      </c>
      <c r="Z3522">
        <v>3</v>
      </c>
      <c r="AA3522">
        <v>33</v>
      </c>
      <c r="AB3522">
        <v>2</v>
      </c>
      <c r="AC3522">
        <v>5</v>
      </c>
      <c r="AD3522">
        <v>3.4289999</v>
      </c>
      <c r="AE3522">
        <v>6</v>
      </c>
      <c r="AF3522">
        <v>24</v>
      </c>
      <c r="AG3522">
        <v>3.41100001</v>
      </c>
      <c r="AH3522">
        <v>5</v>
      </c>
      <c r="AI3522">
        <v>10</v>
      </c>
      <c r="AJ3522">
        <v>1</v>
      </c>
      <c r="AK3522">
        <v>12</v>
      </c>
      <c r="AL3522">
        <v>40</v>
      </c>
      <c r="AM3522" t="s">
        <v>43</v>
      </c>
      <c r="AN3522" t="str">
        <f>HYPERLINK("https://www.google.com/maps?q=10.7636013,79.6930542","Open Location")</f>
        <v>Open Location</v>
      </c>
    </row>
    <row r="3523" spans="1:40" x14ac:dyDescent="0.3">
      <c r="A3523" s="1">
        <v>46210.591898148145</v>
      </c>
      <c r="B3523" t="s">
        <v>40</v>
      </c>
      <c r="C3523" t="s">
        <v>41</v>
      </c>
      <c r="D3523" s="1">
        <v>46210.594861111109</v>
      </c>
      <c r="E3523" t="s">
        <v>42</v>
      </c>
      <c r="F3523" t="s">
        <v>43</v>
      </c>
      <c r="G3523">
        <v>0</v>
      </c>
      <c r="H3523">
        <v>33107</v>
      </c>
      <c r="I3523" t="s">
        <v>2092</v>
      </c>
      <c r="J3523">
        <v>69</v>
      </c>
      <c r="K3523">
        <v>-320</v>
      </c>
      <c r="L3523">
        <v>98</v>
      </c>
      <c r="M3523">
        <v>656.90002441000001</v>
      </c>
      <c r="N3523" t="s">
        <v>1956</v>
      </c>
      <c r="O3523" t="s">
        <v>43</v>
      </c>
      <c r="P3523">
        <v>125</v>
      </c>
      <c r="Q3523" t="s">
        <v>43</v>
      </c>
      <c r="R3523">
        <v>-1000</v>
      </c>
      <c r="S3523">
        <v>0</v>
      </c>
      <c r="T3523">
        <v>-40</v>
      </c>
      <c r="U3523">
        <v>-40</v>
      </c>
      <c r="V3523">
        <v>-3000</v>
      </c>
      <c r="W3523">
        <v>37</v>
      </c>
      <c r="X3523">
        <v>37</v>
      </c>
      <c r="Y3523">
        <v>5</v>
      </c>
      <c r="Z3523">
        <v>3</v>
      </c>
      <c r="AA3523">
        <v>33</v>
      </c>
      <c r="AB3523">
        <v>2</v>
      </c>
      <c r="AC3523">
        <v>5</v>
      </c>
      <c r="AD3523">
        <v>3.4200000799999999</v>
      </c>
      <c r="AE3523">
        <v>6</v>
      </c>
      <c r="AF3523">
        <v>24</v>
      </c>
      <c r="AG3523">
        <v>3.4040000400000001</v>
      </c>
      <c r="AH3523">
        <v>5</v>
      </c>
      <c r="AI3523">
        <v>10</v>
      </c>
      <c r="AJ3523">
        <v>1</v>
      </c>
      <c r="AK3523">
        <v>12</v>
      </c>
      <c r="AL3523">
        <v>40</v>
      </c>
      <c r="AM3523" t="s">
        <v>43</v>
      </c>
      <c r="AN3523" t="str">
        <f>HYPERLINK("https://www.google.com/maps?q=10.76357841,79.69304657","Open Location")</f>
        <v>Open Location</v>
      </c>
    </row>
    <row r="3524" spans="1:40" x14ac:dyDescent="0.3">
      <c r="A3524" s="1">
        <v>46210.591782407406</v>
      </c>
      <c r="B3524" t="s">
        <v>40</v>
      </c>
      <c r="C3524" t="s">
        <v>41</v>
      </c>
      <c r="D3524" s="1">
        <v>46210.595000000001</v>
      </c>
      <c r="E3524" t="s">
        <v>42</v>
      </c>
      <c r="F3524" t="s">
        <v>43</v>
      </c>
      <c r="G3524">
        <v>0</v>
      </c>
      <c r="H3524">
        <v>33107</v>
      </c>
      <c r="I3524" t="s">
        <v>2093</v>
      </c>
      <c r="J3524">
        <v>69</v>
      </c>
      <c r="K3524">
        <v>-284</v>
      </c>
      <c r="L3524">
        <v>98</v>
      </c>
      <c r="M3524">
        <v>655.59997558999999</v>
      </c>
      <c r="N3524" t="s">
        <v>1956</v>
      </c>
      <c r="O3524" t="s">
        <v>43</v>
      </c>
      <c r="P3524">
        <v>125</v>
      </c>
      <c r="Q3524" t="s">
        <v>43</v>
      </c>
      <c r="R3524">
        <v>-1000</v>
      </c>
      <c r="S3524">
        <v>0</v>
      </c>
      <c r="T3524">
        <v>-40</v>
      </c>
      <c r="U3524">
        <v>-40</v>
      </c>
      <c r="V3524">
        <v>-3000</v>
      </c>
      <c r="W3524">
        <v>37</v>
      </c>
      <c r="X3524">
        <v>37</v>
      </c>
      <c r="Y3524">
        <v>5</v>
      </c>
      <c r="Z3524">
        <v>3</v>
      </c>
      <c r="AA3524">
        <v>33</v>
      </c>
      <c r="AB3524">
        <v>2</v>
      </c>
      <c r="AC3524">
        <v>5</v>
      </c>
      <c r="AD3524">
        <v>3.4209999999999998</v>
      </c>
      <c r="AE3524">
        <v>6</v>
      </c>
      <c r="AF3524">
        <v>24</v>
      </c>
      <c r="AG3524">
        <v>3.40499997</v>
      </c>
      <c r="AH3524">
        <v>5</v>
      </c>
      <c r="AI3524">
        <v>8</v>
      </c>
      <c r="AJ3524">
        <v>1</v>
      </c>
      <c r="AK3524">
        <v>12</v>
      </c>
      <c r="AL3524">
        <v>40</v>
      </c>
      <c r="AM3524" t="s">
        <v>43</v>
      </c>
      <c r="AN3524" t="str">
        <f>HYPERLINK("https://www.google.com/maps?q=10.76355934,79.6930542","Open Location")</f>
        <v>Open Location</v>
      </c>
    </row>
    <row r="3525" spans="1:40" x14ac:dyDescent="0.3">
      <c r="A3525" s="1">
        <v>46210.591666666667</v>
      </c>
      <c r="B3525" t="s">
        <v>40</v>
      </c>
      <c r="C3525" t="s">
        <v>41</v>
      </c>
      <c r="D3525" s="1">
        <v>46210.594513888886</v>
      </c>
      <c r="E3525" t="s">
        <v>42</v>
      </c>
      <c r="F3525" t="s">
        <v>43</v>
      </c>
      <c r="G3525">
        <v>0</v>
      </c>
      <c r="H3525">
        <v>33107</v>
      </c>
      <c r="I3525" t="s">
        <v>2094</v>
      </c>
      <c r="J3525">
        <v>69</v>
      </c>
      <c r="K3525">
        <v>-284</v>
      </c>
      <c r="L3525">
        <v>98</v>
      </c>
      <c r="M3525">
        <v>655.5</v>
      </c>
      <c r="N3525" t="s">
        <v>1956</v>
      </c>
      <c r="O3525" t="s">
        <v>43</v>
      </c>
      <c r="P3525">
        <v>125</v>
      </c>
      <c r="Q3525" t="s">
        <v>43</v>
      </c>
      <c r="R3525">
        <v>-1000</v>
      </c>
      <c r="S3525">
        <v>0</v>
      </c>
      <c r="T3525">
        <v>-40</v>
      </c>
      <c r="U3525">
        <v>-40</v>
      </c>
      <c r="V3525">
        <v>-3000</v>
      </c>
      <c r="W3525">
        <v>37</v>
      </c>
      <c r="X3525">
        <v>37</v>
      </c>
      <c r="Y3525">
        <v>5</v>
      </c>
      <c r="Z3525">
        <v>3</v>
      </c>
      <c r="AA3525">
        <v>33</v>
      </c>
      <c r="AB3525">
        <v>2</v>
      </c>
      <c r="AC3525">
        <v>5</v>
      </c>
      <c r="AD3525">
        <v>3.4200000799999999</v>
      </c>
      <c r="AE3525">
        <v>4</v>
      </c>
      <c r="AF3525">
        <v>24</v>
      </c>
      <c r="AG3525">
        <v>3.40499997</v>
      </c>
      <c r="AH3525">
        <v>5</v>
      </c>
      <c r="AI3525">
        <v>8</v>
      </c>
      <c r="AJ3525">
        <v>1</v>
      </c>
      <c r="AK3525">
        <v>12</v>
      </c>
      <c r="AL3525">
        <v>40</v>
      </c>
      <c r="AM3525" t="s">
        <v>43</v>
      </c>
      <c r="AN3525" t="str">
        <f>HYPERLINK("https://www.google.com/maps?q=10.76355553,79.6930542","Open Location")</f>
        <v>Open Location</v>
      </c>
    </row>
    <row r="3526" spans="1:40" x14ac:dyDescent="0.3">
      <c r="A3526" s="1">
        <v>46210.591550925928</v>
      </c>
      <c r="B3526" t="s">
        <v>40</v>
      </c>
      <c r="C3526" t="s">
        <v>41</v>
      </c>
      <c r="D3526" s="1">
        <v>46210.594606481478</v>
      </c>
      <c r="E3526" t="s">
        <v>42</v>
      </c>
      <c r="F3526" t="s">
        <v>43</v>
      </c>
      <c r="G3526">
        <v>0</v>
      </c>
      <c r="H3526">
        <v>33107</v>
      </c>
      <c r="I3526" t="s">
        <v>43</v>
      </c>
      <c r="J3526">
        <v>68</v>
      </c>
      <c r="K3526">
        <v>-284</v>
      </c>
      <c r="L3526">
        <v>98</v>
      </c>
      <c r="M3526">
        <v>655.40002441000001</v>
      </c>
      <c r="N3526" t="s">
        <v>1956</v>
      </c>
      <c r="O3526" t="s">
        <v>43</v>
      </c>
      <c r="P3526">
        <v>125</v>
      </c>
      <c r="Q3526" t="s">
        <v>43</v>
      </c>
      <c r="R3526">
        <v>-1000</v>
      </c>
      <c r="S3526">
        <v>0</v>
      </c>
      <c r="T3526">
        <v>-40</v>
      </c>
      <c r="U3526">
        <v>-40</v>
      </c>
      <c r="V3526">
        <v>-3000</v>
      </c>
      <c r="W3526">
        <v>37</v>
      </c>
      <c r="X3526">
        <v>37</v>
      </c>
      <c r="Y3526">
        <v>5</v>
      </c>
      <c r="Z3526">
        <v>3</v>
      </c>
      <c r="AA3526">
        <v>33</v>
      </c>
      <c r="AB3526">
        <v>2</v>
      </c>
      <c r="AC3526">
        <v>5</v>
      </c>
      <c r="AD3526">
        <v>3.4200000799999999</v>
      </c>
      <c r="AE3526">
        <v>4</v>
      </c>
      <c r="AF3526">
        <v>24</v>
      </c>
      <c r="AG3526">
        <v>3.40499997</v>
      </c>
      <c r="AH3526">
        <v>1</v>
      </c>
      <c r="AI3526">
        <v>42</v>
      </c>
      <c r="AJ3526">
        <v>1</v>
      </c>
      <c r="AK3526">
        <v>12</v>
      </c>
      <c r="AL3526">
        <v>40</v>
      </c>
      <c r="AM3526" t="s">
        <v>43</v>
      </c>
      <c r="AN3526" t="s">
        <v>43</v>
      </c>
    </row>
    <row r="3527" spans="1:40" x14ac:dyDescent="0.3">
      <c r="A3527" s="1">
        <v>46210.591435185182</v>
      </c>
      <c r="B3527" t="s">
        <v>40</v>
      </c>
      <c r="C3527" t="s">
        <v>41</v>
      </c>
      <c r="D3527" s="1">
        <v>46210.594201388885</v>
      </c>
      <c r="E3527" t="s">
        <v>42</v>
      </c>
      <c r="F3527" t="s">
        <v>43</v>
      </c>
      <c r="G3527">
        <v>0</v>
      </c>
      <c r="H3527">
        <v>33107</v>
      </c>
      <c r="I3527" t="s">
        <v>2095</v>
      </c>
      <c r="J3527">
        <v>68</v>
      </c>
      <c r="K3527">
        <v>-284</v>
      </c>
      <c r="L3527">
        <v>98</v>
      </c>
      <c r="M3527">
        <v>655.5</v>
      </c>
      <c r="N3527" t="s">
        <v>1956</v>
      </c>
      <c r="O3527" t="s">
        <v>43</v>
      </c>
      <c r="P3527">
        <v>125</v>
      </c>
      <c r="Q3527" t="s">
        <v>43</v>
      </c>
      <c r="R3527">
        <v>-1000</v>
      </c>
      <c r="S3527">
        <v>0</v>
      </c>
      <c r="T3527">
        <v>-40</v>
      </c>
      <c r="U3527">
        <v>-40</v>
      </c>
      <c r="V3527">
        <v>-3000</v>
      </c>
      <c r="W3527">
        <v>37</v>
      </c>
      <c r="X3527">
        <v>37</v>
      </c>
      <c r="Y3527">
        <v>5</v>
      </c>
      <c r="Z3527">
        <v>3</v>
      </c>
      <c r="AA3527">
        <v>33</v>
      </c>
      <c r="AB3527">
        <v>2</v>
      </c>
      <c r="AC3527">
        <v>5</v>
      </c>
      <c r="AD3527">
        <v>3.4200000799999999</v>
      </c>
      <c r="AE3527">
        <v>6</v>
      </c>
      <c r="AF3527">
        <v>24</v>
      </c>
      <c r="AG3527">
        <v>3.40499997</v>
      </c>
      <c r="AH3527">
        <v>1</v>
      </c>
      <c r="AI3527">
        <v>42</v>
      </c>
      <c r="AJ3527">
        <v>1</v>
      </c>
      <c r="AK3527">
        <v>12</v>
      </c>
      <c r="AL3527">
        <v>47</v>
      </c>
      <c r="AM3527" t="s">
        <v>43</v>
      </c>
      <c r="AN3527" t="str">
        <f>HYPERLINK("https://www.google.com/maps?q=10.76355839,79.69306183","Open Location")</f>
        <v>Open Location</v>
      </c>
    </row>
    <row r="3528" spans="1:40" x14ac:dyDescent="0.3">
      <c r="A3528" s="1">
        <v>46210.591319444444</v>
      </c>
      <c r="B3528" t="s">
        <v>40</v>
      </c>
      <c r="C3528" t="s">
        <v>41</v>
      </c>
      <c r="D3528" s="1">
        <v>46210.594143518516</v>
      </c>
      <c r="E3528" t="s">
        <v>42</v>
      </c>
      <c r="F3528" t="s">
        <v>43</v>
      </c>
      <c r="G3528">
        <v>0</v>
      </c>
      <c r="H3528">
        <v>33107</v>
      </c>
      <c r="I3528" t="s">
        <v>2096</v>
      </c>
      <c r="J3528">
        <v>68</v>
      </c>
      <c r="K3528">
        <v>-284</v>
      </c>
      <c r="L3528">
        <v>98</v>
      </c>
      <c r="M3528">
        <v>655.40002441000001</v>
      </c>
      <c r="N3528" t="s">
        <v>1956</v>
      </c>
      <c r="O3528" t="s">
        <v>43</v>
      </c>
      <c r="P3528">
        <v>125</v>
      </c>
      <c r="Q3528" t="s">
        <v>43</v>
      </c>
      <c r="R3528">
        <v>-1000</v>
      </c>
      <c r="S3528">
        <v>0</v>
      </c>
      <c r="T3528">
        <v>-40</v>
      </c>
      <c r="U3528">
        <v>-40</v>
      </c>
      <c r="V3528">
        <v>-3000</v>
      </c>
      <c r="W3528">
        <v>37</v>
      </c>
      <c r="X3528">
        <v>37</v>
      </c>
      <c r="Y3528">
        <v>5</v>
      </c>
      <c r="Z3528">
        <v>3</v>
      </c>
      <c r="AA3528">
        <v>33</v>
      </c>
      <c r="AB3528">
        <v>2</v>
      </c>
      <c r="AC3528">
        <v>5</v>
      </c>
      <c r="AD3528">
        <v>3.4200000799999999</v>
      </c>
      <c r="AE3528">
        <v>6</v>
      </c>
      <c r="AF3528">
        <v>24</v>
      </c>
      <c r="AG3528">
        <v>3.4040000400000001</v>
      </c>
      <c r="AH3528">
        <v>5</v>
      </c>
      <c r="AI3528">
        <v>10</v>
      </c>
      <c r="AJ3528">
        <v>1</v>
      </c>
      <c r="AK3528">
        <v>12</v>
      </c>
      <c r="AL3528">
        <v>47</v>
      </c>
      <c r="AM3528" t="s">
        <v>43</v>
      </c>
      <c r="AN3528" t="str">
        <f>HYPERLINK("https://www.google.com/maps?q=10.76356506,79.69306183","Open Location")</f>
        <v>Open Location</v>
      </c>
    </row>
    <row r="3529" spans="1:40" x14ac:dyDescent="0.3">
      <c r="A3529" s="1">
        <v>46210.591203703705</v>
      </c>
      <c r="B3529" t="s">
        <v>40</v>
      </c>
      <c r="C3529" t="s">
        <v>41</v>
      </c>
      <c r="D3529" s="1">
        <v>46210.594004629631</v>
      </c>
      <c r="E3529" t="s">
        <v>42</v>
      </c>
      <c r="F3529" t="s">
        <v>43</v>
      </c>
      <c r="G3529">
        <v>0</v>
      </c>
      <c r="H3529">
        <v>33107</v>
      </c>
      <c r="I3529" t="s">
        <v>2097</v>
      </c>
      <c r="J3529">
        <v>68</v>
      </c>
      <c r="K3529">
        <v>-284</v>
      </c>
      <c r="L3529">
        <v>98</v>
      </c>
      <c r="M3529">
        <v>655.20001220999995</v>
      </c>
      <c r="N3529" t="s">
        <v>1956</v>
      </c>
      <c r="O3529" t="s">
        <v>43</v>
      </c>
      <c r="P3529">
        <v>125</v>
      </c>
      <c r="Q3529" t="s">
        <v>43</v>
      </c>
      <c r="R3529">
        <v>-1000</v>
      </c>
      <c r="S3529">
        <v>0</v>
      </c>
      <c r="T3529">
        <v>-40</v>
      </c>
      <c r="U3529">
        <v>-40</v>
      </c>
      <c r="V3529">
        <v>-3000</v>
      </c>
      <c r="W3529">
        <v>37</v>
      </c>
      <c r="X3529">
        <v>37</v>
      </c>
      <c r="Y3529">
        <v>5</v>
      </c>
      <c r="Z3529">
        <v>3</v>
      </c>
      <c r="AA3529">
        <v>33</v>
      </c>
      <c r="AB3529">
        <v>2</v>
      </c>
      <c r="AC3529">
        <v>5</v>
      </c>
      <c r="AD3529">
        <v>3.4200000799999999</v>
      </c>
      <c r="AE3529">
        <v>6</v>
      </c>
      <c r="AF3529">
        <v>24</v>
      </c>
      <c r="AG3529">
        <v>3.4040000400000001</v>
      </c>
      <c r="AH3529">
        <v>5</v>
      </c>
      <c r="AI3529">
        <v>8</v>
      </c>
      <c r="AJ3529">
        <v>1</v>
      </c>
      <c r="AK3529">
        <v>12</v>
      </c>
      <c r="AL3529">
        <v>47</v>
      </c>
      <c r="AM3529" t="s">
        <v>43</v>
      </c>
      <c r="AN3529" t="str">
        <f>HYPERLINK("https://www.google.com/maps?q=10.76356316,79.69306946","Open Location")</f>
        <v>Open Location</v>
      </c>
    </row>
    <row r="3530" spans="1:40" x14ac:dyDescent="0.3">
      <c r="A3530" s="1">
        <v>46210.591087962966</v>
      </c>
      <c r="B3530" t="s">
        <v>40</v>
      </c>
      <c r="C3530" t="s">
        <v>41</v>
      </c>
      <c r="D3530" s="1">
        <v>46210.594085648147</v>
      </c>
      <c r="E3530" t="s">
        <v>42</v>
      </c>
      <c r="F3530" t="s">
        <v>43</v>
      </c>
      <c r="G3530">
        <v>0</v>
      </c>
      <c r="H3530">
        <v>33107</v>
      </c>
      <c r="I3530" t="s">
        <v>2098</v>
      </c>
      <c r="J3530">
        <v>68</v>
      </c>
      <c r="K3530">
        <v>-283</v>
      </c>
      <c r="L3530">
        <v>98</v>
      </c>
      <c r="M3530">
        <v>655.09997558999999</v>
      </c>
      <c r="N3530" t="s">
        <v>1956</v>
      </c>
      <c r="O3530" t="s">
        <v>43</v>
      </c>
      <c r="P3530">
        <v>125</v>
      </c>
      <c r="Q3530" t="s">
        <v>43</v>
      </c>
      <c r="R3530">
        <v>-1000</v>
      </c>
      <c r="S3530">
        <v>0</v>
      </c>
      <c r="T3530">
        <v>-40</v>
      </c>
      <c r="U3530">
        <v>-40</v>
      </c>
      <c r="V3530">
        <v>-3000</v>
      </c>
      <c r="W3530">
        <v>37</v>
      </c>
      <c r="X3530">
        <v>37</v>
      </c>
      <c r="Y3530">
        <v>5</v>
      </c>
      <c r="Z3530">
        <v>3</v>
      </c>
      <c r="AA3530">
        <v>33</v>
      </c>
      <c r="AB3530">
        <v>2</v>
      </c>
      <c r="AC3530">
        <v>5</v>
      </c>
      <c r="AD3530">
        <v>3.4200000799999999</v>
      </c>
      <c r="AE3530">
        <v>6</v>
      </c>
      <c r="AF3530">
        <v>24</v>
      </c>
      <c r="AG3530">
        <v>3.4040000400000001</v>
      </c>
      <c r="AH3530">
        <v>5</v>
      </c>
      <c r="AI3530">
        <v>8</v>
      </c>
      <c r="AJ3530">
        <v>1</v>
      </c>
      <c r="AK3530">
        <v>11</v>
      </c>
      <c r="AL3530">
        <v>47</v>
      </c>
      <c r="AM3530" t="s">
        <v>43</v>
      </c>
      <c r="AN3530" t="str">
        <f>HYPERLINK("https://www.google.com/maps?q=10.76356125,79.69306183","Open Location")</f>
        <v>Open Location</v>
      </c>
    </row>
    <row r="3531" spans="1:40" x14ac:dyDescent="0.3">
      <c r="A3531" s="1">
        <v>46210.59097222222</v>
      </c>
      <c r="B3531" t="s">
        <v>40</v>
      </c>
      <c r="C3531" t="s">
        <v>41</v>
      </c>
      <c r="D3531" s="1">
        <v>46210.593657407408</v>
      </c>
      <c r="E3531" t="s">
        <v>42</v>
      </c>
      <c r="F3531" t="s">
        <v>43</v>
      </c>
      <c r="G3531">
        <v>0</v>
      </c>
      <c r="H3531" t="s">
        <v>43</v>
      </c>
      <c r="I3531" t="s">
        <v>2099</v>
      </c>
      <c r="J3531">
        <v>68</v>
      </c>
      <c r="K3531">
        <v>-281</v>
      </c>
      <c r="L3531">
        <v>98</v>
      </c>
      <c r="M3531">
        <v>655.09997558999999</v>
      </c>
      <c r="N3531" t="s">
        <v>1956</v>
      </c>
      <c r="O3531" t="s">
        <v>43</v>
      </c>
      <c r="P3531">
        <v>125</v>
      </c>
      <c r="Q3531" t="s">
        <v>43</v>
      </c>
      <c r="R3531">
        <v>-1000</v>
      </c>
      <c r="S3531">
        <v>0</v>
      </c>
      <c r="T3531">
        <v>-40</v>
      </c>
      <c r="U3531">
        <v>-40</v>
      </c>
      <c r="V3531">
        <v>-3000</v>
      </c>
      <c r="W3531">
        <v>37</v>
      </c>
      <c r="X3531">
        <v>37</v>
      </c>
      <c r="Y3531">
        <v>5</v>
      </c>
      <c r="Z3531">
        <v>3</v>
      </c>
      <c r="AA3531">
        <v>33</v>
      </c>
      <c r="AB3531">
        <v>2</v>
      </c>
      <c r="AC3531">
        <v>5</v>
      </c>
      <c r="AD3531">
        <v>3.4189999100000001</v>
      </c>
      <c r="AE3531">
        <v>4</v>
      </c>
      <c r="AF3531">
        <v>24</v>
      </c>
      <c r="AG3531">
        <v>3.4040000400000001</v>
      </c>
      <c r="AH3531">
        <v>5</v>
      </c>
      <c r="AI3531">
        <v>8</v>
      </c>
      <c r="AJ3531">
        <v>1</v>
      </c>
      <c r="AK3531">
        <v>12</v>
      </c>
      <c r="AL3531">
        <v>47</v>
      </c>
      <c r="AM3531" t="s">
        <v>43</v>
      </c>
      <c r="AN3531" t="str">
        <f>HYPERLINK("https://www.google.com/maps?q=10.76356697,79.69306946","Open Location")</f>
        <v>Open Location</v>
      </c>
    </row>
    <row r="3532" spans="1:40" x14ac:dyDescent="0.3">
      <c r="A3532" s="1">
        <v>46210.590856481482</v>
      </c>
      <c r="B3532" t="s">
        <v>40</v>
      </c>
      <c r="C3532" t="s">
        <v>41</v>
      </c>
      <c r="D3532" s="1">
        <v>46210.593726851854</v>
      </c>
      <c r="E3532" t="s">
        <v>42</v>
      </c>
      <c r="F3532" t="s">
        <v>43</v>
      </c>
      <c r="G3532">
        <v>0</v>
      </c>
      <c r="H3532">
        <v>33107</v>
      </c>
      <c r="I3532" t="s">
        <v>43</v>
      </c>
      <c r="J3532">
        <v>67</v>
      </c>
      <c r="K3532">
        <v>-281</v>
      </c>
      <c r="L3532">
        <v>98</v>
      </c>
      <c r="M3532">
        <v>655</v>
      </c>
      <c r="N3532" t="s">
        <v>1956</v>
      </c>
      <c r="O3532" t="s">
        <v>43</v>
      </c>
      <c r="P3532">
        <v>125</v>
      </c>
      <c r="Q3532" t="s">
        <v>43</v>
      </c>
      <c r="R3532">
        <v>-1000</v>
      </c>
      <c r="S3532">
        <v>0</v>
      </c>
      <c r="T3532">
        <v>-40</v>
      </c>
      <c r="U3532">
        <v>-40</v>
      </c>
      <c r="V3532">
        <v>-3000</v>
      </c>
      <c r="W3532">
        <v>37</v>
      </c>
      <c r="X3532">
        <v>37</v>
      </c>
      <c r="Y3532">
        <v>5</v>
      </c>
      <c r="Z3532">
        <v>3</v>
      </c>
      <c r="AA3532">
        <v>33</v>
      </c>
      <c r="AB3532">
        <v>2</v>
      </c>
      <c r="AC3532">
        <v>5</v>
      </c>
      <c r="AD3532">
        <v>3.4189999100000001</v>
      </c>
      <c r="AE3532">
        <v>4</v>
      </c>
      <c r="AF3532">
        <v>24</v>
      </c>
      <c r="AG3532">
        <v>3.4040000400000001</v>
      </c>
      <c r="AH3532">
        <v>5</v>
      </c>
      <c r="AI3532">
        <v>8</v>
      </c>
      <c r="AJ3532">
        <v>1</v>
      </c>
      <c r="AK3532">
        <v>12</v>
      </c>
      <c r="AL3532">
        <v>47</v>
      </c>
      <c r="AM3532" t="s">
        <v>43</v>
      </c>
      <c r="AN3532" t="s">
        <v>43</v>
      </c>
    </row>
    <row r="3533" spans="1:40" x14ac:dyDescent="0.3">
      <c r="A3533" s="1">
        <v>46210.590740740743</v>
      </c>
      <c r="B3533" t="s">
        <v>40</v>
      </c>
      <c r="C3533" t="s">
        <v>41</v>
      </c>
      <c r="D3533" s="1">
        <v>46210.593530092592</v>
      </c>
      <c r="E3533" t="s">
        <v>42</v>
      </c>
      <c r="F3533" t="s">
        <v>43</v>
      </c>
      <c r="G3533">
        <v>0</v>
      </c>
      <c r="H3533">
        <v>33107</v>
      </c>
      <c r="I3533" t="s">
        <v>2100</v>
      </c>
      <c r="J3533">
        <v>67</v>
      </c>
      <c r="K3533">
        <v>-284</v>
      </c>
      <c r="L3533">
        <v>98</v>
      </c>
      <c r="M3533">
        <v>655.29998779000005</v>
      </c>
      <c r="N3533" t="s">
        <v>1956</v>
      </c>
      <c r="O3533" t="s">
        <v>43</v>
      </c>
      <c r="P3533">
        <v>125</v>
      </c>
      <c r="Q3533" t="s">
        <v>43</v>
      </c>
      <c r="R3533">
        <v>-1000</v>
      </c>
      <c r="S3533">
        <v>0</v>
      </c>
      <c r="T3533">
        <v>-40</v>
      </c>
      <c r="U3533">
        <v>-40</v>
      </c>
      <c r="V3533">
        <v>-3000</v>
      </c>
      <c r="W3533">
        <v>37</v>
      </c>
      <c r="X3533">
        <v>37</v>
      </c>
      <c r="Y3533">
        <v>5</v>
      </c>
      <c r="Z3533">
        <v>3</v>
      </c>
      <c r="AA3533">
        <v>33</v>
      </c>
      <c r="AB3533">
        <v>2</v>
      </c>
      <c r="AC3533">
        <v>5</v>
      </c>
      <c r="AD3533">
        <v>3.4189999100000001</v>
      </c>
      <c r="AE3533">
        <v>4</v>
      </c>
      <c r="AF3533">
        <v>24</v>
      </c>
      <c r="AG3533">
        <v>3.4040000400000001</v>
      </c>
      <c r="AH3533">
        <v>5</v>
      </c>
      <c r="AI3533">
        <v>8</v>
      </c>
      <c r="AJ3533">
        <v>1</v>
      </c>
      <c r="AK3533">
        <v>12</v>
      </c>
      <c r="AL3533">
        <v>47</v>
      </c>
      <c r="AM3533" t="s">
        <v>43</v>
      </c>
      <c r="AN3533" t="str">
        <f>HYPERLINK("https://www.google.com/maps?q=10.76356697,79.69308472","Open Location")</f>
        <v>Open Location</v>
      </c>
    </row>
    <row r="3534" spans="1:40" x14ac:dyDescent="0.3">
      <c r="A3534" s="1">
        <v>46210.590624999997</v>
      </c>
      <c r="B3534" t="s">
        <v>40</v>
      </c>
      <c r="C3534" t="s">
        <v>41</v>
      </c>
      <c r="D3534" s="1">
        <v>46210.593599537038</v>
      </c>
      <c r="E3534" t="s">
        <v>42</v>
      </c>
      <c r="F3534" t="s">
        <v>43</v>
      </c>
      <c r="G3534">
        <v>0</v>
      </c>
      <c r="H3534">
        <v>33107</v>
      </c>
      <c r="I3534" t="s">
        <v>2101</v>
      </c>
      <c r="J3534">
        <v>67</v>
      </c>
      <c r="K3534">
        <v>-284</v>
      </c>
      <c r="L3534">
        <v>98</v>
      </c>
      <c r="M3534">
        <v>655.29998779000005</v>
      </c>
      <c r="N3534" t="s">
        <v>1956</v>
      </c>
      <c r="O3534" t="s">
        <v>43</v>
      </c>
      <c r="P3534">
        <v>125</v>
      </c>
      <c r="Q3534" t="s">
        <v>43</v>
      </c>
      <c r="R3534">
        <v>-1000</v>
      </c>
      <c r="S3534">
        <v>0</v>
      </c>
      <c r="T3534">
        <v>-40</v>
      </c>
      <c r="U3534">
        <v>-40</v>
      </c>
      <c r="V3534">
        <v>-3000</v>
      </c>
      <c r="W3534">
        <v>37</v>
      </c>
      <c r="X3534">
        <v>37</v>
      </c>
      <c r="Y3534">
        <v>5</v>
      </c>
      <c r="Z3534">
        <v>3</v>
      </c>
      <c r="AA3534">
        <v>33</v>
      </c>
      <c r="AB3534">
        <v>2</v>
      </c>
      <c r="AC3534">
        <v>5</v>
      </c>
      <c r="AD3534">
        <v>3.4189999100000001</v>
      </c>
      <c r="AE3534">
        <v>4</v>
      </c>
      <c r="AF3534">
        <v>24</v>
      </c>
      <c r="AG3534">
        <v>3.4040000400000001</v>
      </c>
      <c r="AH3534">
        <v>5</v>
      </c>
      <c r="AI3534">
        <v>8</v>
      </c>
      <c r="AJ3534">
        <v>1</v>
      </c>
      <c r="AK3534">
        <v>12</v>
      </c>
      <c r="AL3534">
        <v>47</v>
      </c>
      <c r="AM3534" t="s">
        <v>43</v>
      </c>
      <c r="AN3534" t="str">
        <f>HYPERLINK("https://www.google.com/maps?q=10.76355839,79.6931076","Open Location")</f>
        <v>Open Location</v>
      </c>
    </row>
    <row r="3535" spans="1:40" x14ac:dyDescent="0.3">
      <c r="A3535" s="1">
        <v>46210.590509259258</v>
      </c>
      <c r="B3535" t="s">
        <v>40</v>
      </c>
      <c r="C3535" t="s">
        <v>41</v>
      </c>
      <c r="D3535" s="1">
        <v>46210.593310185184</v>
      </c>
      <c r="E3535" t="s">
        <v>42</v>
      </c>
      <c r="F3535" t="s">
        <v>43</v>
      </c>
      <c r="G3535">
        <v>0</v>
      </c>
      <c r="H3535" t="s">
        <v>43</v>
      </c>
      <c r="I3535" t="s">
        <v>2102</v>
      </c>
      <c r="J3535">
        <v>67</v>
      </c>
      <c r="K3535">
        <v>-279</v>
      </c>
      <c r="L3535">
        <v>98</v>
      </c>
      <c r="M3535">
        <v>655.20001220999995</v>
      </c>
      <c r="N3535" t="s">
        <v>1956</v>
      </c>
      <c r="O3535" t="s">
        <v>43</v>
      </c>
      <c r="P3535">
        <v>125</v>
      </c>
      <c r="Q3535" t="s">
        <v>43</v>
      </c>
      <c r="R3535">
        <v>-1000</v>
      </c>
      <c r="S3535">
        <v>0</v>
      </c>
      <c r="T3535">
        <v>-40</v>
      </c>
      <c r="U3535">
        <v>-40</v>
      </c>
      <c r="V3535">
        <v>-3000</v>
      </c>
      <c r="W3535">
        <v>37</v>
      </c>
      <c r="X3535">
        <v>37</v>
      </c>
      <c r="Y3535">
        <v>5</v>
      </c>
      <c r="Z3535">
        <v>3</v>
      </c>
      <c r="AA3535">
        <v>33</v>
      </c>
      <c r="AB3535">
        <v>2</v>
      </c>
      <c r="AC3535">
        <v>5</v>
      </c>
      <c r="AD3535">
        <v>3.4200000799999999</v>
      </c>
      <c r="AE3535">
        <v>6</v>
      </c>
      <c r="AF3535">
        <v>24</v>
      </c>
      <c r="AG3535">
        <v>3.4040000400000001</v>
      </c>
      <c r="AH3535">
        <v>5</v>
      </c>
      <c r="AI3535">
        <v>8</v>
      </c>
      <c r="AJ3535">
        <v>1</v>
      </c>
      <c r="AK3535">
        <v>12</v>
      </c>
      <c r="AL3535">
        <v>47</v>
      </c>
      <c r="AM3535" t="s">
        <v>43</v>
      </c>
      <c r="AN3535" t="str">
        <f>HYPERLINK("https://www.google.com/maps?q=10.76356125,79.69311523","Open Location")</f>
        <v>Open Location</v>
      </c>
    </row>
    <row r="3536" spans="1:40" x14ac:dyDescent="0.3">
      <c r="A3536" s="1">
        <v>46210.59039351852</v>
      </c>
      <c r="B3536" t="s">
        <v>40</v>
      </c>
      <c r="C3536" t="s">
        <v>41</v>
      </c>
      <c r="D3536" s="1">
        <v>46210.593321759261</v>
      </c>
      <c r="E3536" t="s">
        <v>42</v>
      </c>
      <c r="F3536" t="s">
        <v>43</v>
      </c>
      <c r="G3536">
        <v>0</v>
      </c>
      <c r="H3536">
        <v>33107</v>
      </c>
      <c r="I3536" t="s">
        <v>2103</v>
      </c>
      <c r="J3536">
        <v>67</v>
      </c>
      <c r="K3536">
        <v>-279</v>
      </c>
      <c r="L3536">
        <v>98</v>
      </c>
      <c r="M3536">
        <v>655.09997558999999</v>
      </c>
      <c r="N3536" t="s">
        <v>1956</v>
      </c>
      <c r="O3536" t="s">
        <v>43</v>
      </c>
      <c r="P3536">
        <v>125</v>
      </c>
      <c r="Q3536" t="s">
        <v>43</v>
      </c>
      <c r="R3536">
        <v>-1000</v>
      </c>
      <c r="S3536">
        <v>0</v>
      </c>
      <c r="T3536">
        <v>-40</v>
      </c>
      <c r="U3536">
        <v>-40</v>
      </c>
      <c r="V3536">
        <v>-3000</v>
      </c>
      <c r="W3536">
        <v>37</v>
      </c>
      <c r="X3536">
        <v>37</v>
      </c>
      <c r="Y3536">
        <v>5</v>
      </c>
      <c r="Z3536">
        <v>3</v>
      </c>
      <c r="AA3536">
        <v>33</v>
      </c>
      <c r="AB3536">
        <v>2</v>
      </c>
      <c r="AC3536">
        <v>5</v>
      </c>
      <c r="AD3536">
        <v>3.4209999999999998</v>
      </c>
      <c r="AE3536">
        <v>6</v>
      </c>
      <c r="AF3536">
        <v>24</v>
      </c>
      <c r="AG3536">
        <v>3.40499997</v>
      </c>
      <c r="AH3536">
        <v>5</v>
      </c>
      <c r="AI3536">
        <v>8</v>
      </c>
      <c r="AJ3536">
        <v>1</v>
      </c>
      <c r="AK3536">
        <v>12</v>
      </c>
      <c r="AL3536">
        <v>47</v>
      </c>
      <c r="AM3536" t="s">
        <v>43</v>
      </c>
      <c r="AN3536" t="str">
        <f>HYPERLINK("https://www.google.com/maps?q=10.76356697,79.69311523","Open Location")</f>
        <v>Open Location</v>
      </c>
    </row>
    <row r="3537" spans="1:40" x14ac:dyDescent="0.3">
      <c r="A3537" s="1">
        <v>46210.590277777781</v>
      </c>
      <c r="B3537" t="s">
        <v>40</v>
      </c>
      <c r="C3537" t="s">
        <v>41</v>
      </c>
      <c r="D3537" s="1">
        <v>46210.593287037038</v>
      </c>
      <c r="E3537" t="s">
        <v>42</v>
      </c>
      <c r="F3537" t="s">
        <v>43</v>
      </c>
      <c r="G3537">
        <v>0</v>
      </c>
      <c r="H3537">
        <v>33107</v>
      </c>
      <c r="I3537" t="s">
        <v>43</v>
      </c>
      <c r="J3537">
        <v>67</v>
      </c>
      <c r="K3537">
        <v>-320</v>
      </c>
      <c r="L3537">
        <v>98</v>
      </c>
      <c r="M3537">
        <v>656.70001220999995</v>
      </c>
      <c r="N3537" t="s">
        <v>1956</v>
      </c>
      <c r="O3537" t="s">
        <v>43</v>
      </c>
      <c r="P3537">
        <v>125</v>
      </c>
      <c r="Q3537" t="s">
        <v>43</v>
      </c>
      <c r="R3537">
        <v>-1000</v>
      </c>
      <c r="S3537">
        <v>0</v>
      </c>
      <c r="T3537">
        <v>-40</v>
      </c>
      <c r="U3537">
        <v>-40</v>
      </c>
      <c r="V3537">
        <v>-3000</v>
      </c>
      <c r="W3537">
        <v>37</v>
      </c>
      <c r="X3537">
        <v>37</v>
      </c>
      <c r="Y3537">
        <v>5</v>
      </c>
      <c r="Z3537">
        <v>3</v>
      </c>
      <c r="AA3537">
        <v>33</v>
      </c>
      <c r="AB3537">
        <v>2</v>
      </c>
      <c r="AC3537">
        <v>5</v>
      </c>
      <c r="AD3537">
        <v>3.4260001199999999</v>
      </c>
      <c r="AE3537">
        <v>4</v>
      </c>
      <c r="AF3537">
        <v>24</v>
      </c>
      <c r="AG3537">
        <v>3.4089999199999999</v>
      </c>
      <c r="AH3537">
        <v>5</v>
      </c>
      <c r="AI3537">
        <v>15</v>
      </c>
      <c r="AJ3537">
        <v>1</v>
      </c>
      <c r="AK3537">
        <v>12</v>
      </c>
      <c r="AL3537">
        <v>47</v>
      </c>
      <c r="AM3537" t="s">
        <v>43</v>
      </c>
      <c r="AN3537" t="s">
        <v>43</v>
      </c>
    </row>
    <row r="3538" spans="1:40" x14ac:dyDescent="0.3">
      <c r="A3538" s="1">
        <v>46210.590162037035</v>
      </c>
      <c r="B3538" t="s">
        <v>40</v>
      </c>
      <c r="C3538" t="s">
        <v>41</v>
      </c>
      <c r="D3538" s="1">
        <v>46210.593148148146</v>
      </c>
      <c r="E3538" t="s">
        <v>42</v>
      </c>
      <c r="F3538" t="s">
        <v>43</v>
      </c>
      <c r="G3538">
        <v>0</v>
      </c>
      <c r="H3538">
        <v>33107</v>
      </c>
      <c r="I3538" t="s">
        <v>2104</v>
      </c>
      <c r="J3538">
        <v>66</v>
      </c>
      <c r="K3538">
        <v>-320</v>
      </c>
      <c r="L3538">
        <v>98</v>
      </c>
      <c r="M3538">
        <v>656.70001220999995</v>
      </c>
      <c r="N3538" t="s">
        <v>1956</v>
      </c>
      <c r="O3538" t="s">
        <v>43</v>
      </c>
      <c r="P3538">
        <v>125</v>
      </c>
      <c r="Q3538" t="s">
        <v>43</v>
      </c>
      <c r="R3538">
        <v>-1000</v>
      </c>
      <c r="S3538">
        <v>0</v>
      </c>
      <c r="T3538">
        <v>-40</v>
      </c>
      <c r="U3538">
        <v>-40</v>
      </c>
      <c r="V3538">
        <v>-3000</v>
      </c>
      <c r="W3538">
        <v>37</v>
      </c>
      <c r="X3538">
        <v>37</v>
      </c>
      <c r="Y3538">
        <v>5</v>
      </c>
      <c r="Z3538">
        <v>3</v>
      </c>
      <c r="AA3538">
        <v>33</v>
      </c>
      <c r="AB3538">
        <v>2</v>
      </c>
      <c r="AC3538">
        <v>5</v>
      </c>
      <c r="AD3538">
        <v>3.4260001199999999</v>
      </c>
      <c r="AE3538">
        <v>6</v>
      </c>
      <c r="AF3538">
        <v>24</v>
      </c>
      <c r="AG3538">
        <v>3.4089999199999999</v>
      </c>
      <c r="AH3538">
        <v>5</v>
      </c>
      <c r="AI3538">
        <v>8</v>
      </c>
      <c r="AJ3538">
        <v>1</v>
      </c>
      <c r="AK3538">
        <v>12</v>
      </c>
      <c r="AL3538">
        <v>47</v>
      </c>
      <c r="AM3538" t="s">
        <v>43</v>
      </c>
      <c r="AN3538" t="str">
        <f>HYPERLINK("https://www.google.com/maps?q=10.76356506,79.69311523","Open Location")</f>
        <v>Open Location</v>
      </c>
    </row>
    <row r="3539" spans="1:40" x14ac:dyDescent="0.3">
      <c r="A3539" s="1">
        <v>46210.590046296296</v>
      </c>
      <c r="B3539" t="s">
        <v>40</v>
      </c>
      <c r="C3539" t="s">
        <v>41</v>
      </c>
      <c r="D3539" s="1">
        <v>46210.59269675926</v>
      </c>
      <c r="E3539" t="s">
        <v>42</v>
      </c>
      <c r="F3539" t="s">
        <v>43</v>
      </c>
      <c r="G3539">
        <v>0</v>
      </c>
      <c r="H3539">
        <v>33107</v>
      </c>
      <c r="I3539" t="s">
        <v>2105</v>
      </c>
      <c r="J3539">
        <v>66</v>
      </c>
      <c r="K3539">
        <v>-318</v>
      </c>
      <c r="L3539">
        <v>98</v>
      </c>
      <c r="M3539">
        <v>656.59997558999999</v>
      </c>
      <c r="N3539" t="s">
        <v>1956</v>
      </c>
      <c r="O3539" t="s">
        <v>43</v>
      </c>
      <c r="P3539">
        <v>125</v>
      </c>
      <c r="Q3539" t="s">
        <v>43</v>
      </c>
      <c r="R3539">
        <v>-1000</v>
      </c>
      <c r="S3539">
        <v>0</v>
      </c>
      <c r="T3539">
        <v>-40</v>
      </c>
      <c r="U3539">
        <v>-40</v>
      </c>
      <c r="V3539">
        <v>-3000</v>
      </c>
      <c r="W3539">
        <v>37</v>
      </c>
      <c r="X3539">
        <v>37</v>
      </c>
      <c r="Y3539">
        <v>5</v>
      </c>
      <c r="Z3539">
        <v>3</v>
      </c>
      <c r="AA3539">
        <v>33</v>
      </c>
      <c r="AB3539">
        <v>2</v>
      </c>
      <c r="AC3539">
        <v>5</v>
      </c>
      <c r="AD3539">
        <v>3.4260001199999999</v>
      </c>
      <c r="AE3539">
        <v>6</v>
      </c>
      <c r="AF3539">
        <v>24</v>
      </c>
      <c r="AG3539">
        <v>3.4089999199999999</v>
      </c>
      <c r="AH3539">
        <v>5</v>
      </c>
      <c r="AI3539">
        <v>8</v>
      </c>
      <c r="AJ3539">
        <v>1</v>
      </c>
      <c r="AK3539">
        <v>12</v>
      </c>
      <c r="AL3539">
        <v>47</v>
      </c>
      <c r="AM3539" t="s">
        <v>43</v>
      </c>
      <c r="AN3539" t="str">
        <f>HYPERLINK("https://www.google.com/maps?q=10.76356316,79.69312286","Open Location")</f>
        <v>Open Location</v>
      </c>
    </row>
    <row r="3540" spans="1:40" x14ac:dyDescent="0.3">
      <c r="A3540" s="1">
        <v>46210.589930555558</v>
      </c>
      <c r="B3540" t="s">
        <v>40</v>
      </c>
      <c r="C3540" t="s">
        <v>41</v>
      </c>
      <c r="D3540" s="1">
        <v>46210.592905092592</v>
      </c>
      <c r="E3540" t="s">
        <v>42</v>
      </c>
      <c r="F3540" t="s">
        <v>43</v>
      </c>
      <c r="G3540">
        <v>0</v>
      </c>
      <c r="H3540">
        <v>33107</v>
      </c>
      <c r="I3540" t="s">
        <v>2106</v>
      </c>
      <c r="J3540">
        <v>66</v>
      </c>
      <c r="K3540">
        <v>-316</v>
      </c>
      <c r="L3540">
        <v>98</v>
      </c>
      <c r="M3540">
        <v>656.40002441000001</v>
      </c>
      <c r="N3540" t="s">
        <v>1956</v>
      </c>
      <c r="O3540" t="s">
        <v>43</v>
      </c>
      <c r="P3540">
        <v>125</v>
      </c>
      <c r="Q3540" t="s">
        <v>43</v>
      </c>
      <c r="R3540">
        <v>-1000</v>
      </c>
      <c r="S3540">
        <v>0</v>
      </c>
      <c r="T3540">
        <v>-40</v>
      </c>
      <c r="U3540">
        <v>-40</v>
      </c>
      <c r="V3540">
        <v>-3000</v>
      </c>
      <c r="W3540">
        <v>37</v>
      </c>
      <c r="X3540">
        <v>37</v>
      </c>
      <c r="Y3540">
        <v>5</v>
      </c>
      <c r="Z3540">
        <v>3</v>
      </c>
      <c r="AA3540">
        <v>33</v>
      </c>
      <c r="AB3540">
        <v>2</v>
      </c>
      <c r="AC3540">
        <v>2</v>
      </c>
      <c r="AD3540">
        <v>3.4260001199999999</v>
      </c>
      <c r="AE3540">
        <v>6</v>
      </c>
      <c r="AF3540">
        <v>24</v>
      </c>
      <c r="AG3540">
        <v>3.4089999199999999</v>
      </c>
      <c r="AH3540">
        <v>5</v>
      </c>
      <c r="AI3540">
        <v>8</v>
      </c>
      <c r="AJ3540">
        <v>1</v>
      </c>
      <c r="AK3540">
        <v>12</v>
      </c>
      <c r="AL3540">
        <v>47</v>
      </c>
      <c r="AM3540" t="s">
        <v>43</v>
      </c>
      <c r="AN3540" t="str">
        <f>HYPERLINK("https://www.google.com/maps?q=10.76356792,79.69312286","Open Location")</f>
        <v>Open Location</v>
      </c>
    </row>
    <row r="3541" spans="1:40" x14ac:dyDescent="0.3">
      <c r="A3541" s="1">
        <v>46210.589814814812</v>
      </c>
      <c r="B3541" t="s">
        <v>40</v>
      </c>
      <c r="C3541" t="s">
        <v>41</v>
      </c>
      <c r="D3541" s="1">
        <v>46210.592893518522</v>
      </c>
      <c r="E3541" t="s">
        <v>42</v>
      </c>
      <c r="F3541" t="s">
        <v>43</v>
      </c>
      <c r="G3541">
        <v>0</v>
      </c>
      <c r="H3541">
        <v>33107</v>
      </c>
      <c r="I3541" t="s">
        <v>2107</v>
      </c>
      <c r="J3541">
        <v>66</v>
      </c>
      <c r="K3541">
        <v>-320</v>
      </c>
      <c r="L3541">
        <v>98</v>
      </c>
      <c r="M3541">
        <v>656.59997558999999</v>
      </c>
      <c r="N3541" t="s">
        <v>1956</v>
      </c>
      <c r="O3541" t="s">
        <v>43</v>
      </c>
      <c r="P3541">
        <v>125</v>
      </c>
      <c r="Q3541" t="s">
        <v>43</v>
      </c>
      <c r="R3541">
        <v>-1000</v>
      </c>
      <c r="S3541">
        <v>0</v>
      </c>
      <c r="T3541">
        <v>-40</v>
      </c>
      <c r="U3541">
        <v>-40</v>
      </c>
      <c r="V3541">
        <v>-3000</v>
      </c>
      <c r="W3541">
        <v>37</v>
      </c>
      <c r="X3541">
        <v>37</v>
      </c>
      <c r="Y3541">
        <v>5</v>
      </c>
      <c r="Z3541">
        <v>3</v>
      </c>
      <c r="AA3541">
        <v>33</v>
      </c>
      <c r="AB3541">
        <v>2</v>
      </c>
      <c r="AC3541">
        <v>2</v>
      </c>
      <c r="AD3541">
        <v>3.4249999500000001</v>
      </c>
      <c r="AE3541">
        <v>6</v>
      </c>
      <c r="AF3541">
        <v>24</v>
      </c>
      <c r="AG3541">
        <v>3.40799999</v>
      </c>
      <c r="AH3541">
        <v>5</v>
      </c>
      <c r="AI3541">
        <v>8</v>
      </c>
      <c r="AJ3541">
        <v>1</v>
      </c>
      <c r="AK3541">
        <v>12</v>
      </c>
      <c r="AL3541">
        <v>47</v>
      </c>
      <c r="AM3541" t="s">
        <v>43</v>
      </c>
      <c r="AN3541" t="str">
        <f>HYPERLINK("https://www.google.com/maps?q=10.76357841,79.6931076","Open Location")</f>
        <v>Open Location</v>
      </c>
    </row>
    <row r="3542" spans="1:40" x14ac:dyDescent="0.3">
      <c r="A3542" s="1">
        <v>46210.589699074073</v>
      </c>
      <c r="B3542" t="s">
        <v>40</v>
      </c>
      <c r="C3542" t="s">
        <v>41</v>
      </c>
      <c r="D3542" s="1">
        <v>46210.592893518522</v>
      </c>
      <c r="E3542" t="s">
        <v>42</v>
      </c>
      <c r="F3542" t="s">
        <v>43</v>
      </c>
      <c r="G3542">
        <v>0</v>
      </c>
      <c r="H3542">
        <v>33107</v>
      </c>
      <c r="I3542" t="s">
        <v>2108</v>
      </c>
      <c r="J3542">
        <v>66</v>
      </c>
      <c r="K3542">
        <v>-318</v>
      </c>
      <c r="L3542">
        <v>98</v>
      </c>
      <c r="M3542">
        <v>656.40002441000001</v>
      </c>
      <c r="N3542" t="s">
        <v>1956</v>
      </c>
      <c r="O3542" t="s">
        <v>43</v>
      </c>
      <c r="P3542">
        <v>125</v>
      </c>
      <c r="Q3542" t="s">
        <v>43</v>
      </c>
      <c r="R3542">
        <v>-1000</v>
      </c>
      <c r="S3542">
        <v>0</v>
      </c>
      <c r="T3542">
        <v>-40</v>
      </c>
      <c r="U3542">
        <v>-40</v>
      </c>
      <c r="V3542">
        <v>-3000</v>
      </c>
      <c r="W3542">
        <v>36</v>
      </c>
      <c r="X3542">
        <v>36</v>
      </c>
      <c r="Y3542">
        <v>1</v>
      </c>
      <c r="Z3542">
        <v>3</v>
      </c>
      <c r="AA3542">
        <v>32</v>
      </c>
      <c r="AB3542">
        <v>7</v>
      </c>
      <c r="AC3542">
        <v>5</v>
      </c>
      <c r="AD3542">
        <v>3.4249999500000001</v>
      </c>
      <c r="AE3542">
        <v>6</v>
      </c>
      <c r="AF3542">
        <v>24</v>
      </c>
      <c r="AG3542">
        <v>3.40799999</v>
      </c>
      <c r="AH3542">
        <v>5</v>
      </c>
      <c r="AI3542">
        <v>8</v>
      </c>
      <c r="AJ3542">
        <v>1</v>
      </c>
      <c r="AK3542">
        <v>12</v>
      </c>
      <c r="AL3542">
        <v>47</v>
      </c>
      <c r="AM3542" t="s">
        <v>43</v>
      </c>
      <c r="AN3542" t="str">
        <f>HYPERLINK("https://www.google.com/maps?q=10.76357937,79.69309235","Open Location")</f>
        <v>Open Location</v>
      </c>
    </row>
    <row r="3543" spans="1:40" x14ac:dyDescent="0.3">
      <c r="A3543" s="1">
        <v>46210.589583333334</v>
      </c>
      <c r="B3543" t="s">
        <v>40</v>
      </c>
      <c r="C3543" t="s">
        <v>41</v>
      </c>
      <c r="D3543" s="1">
        <v>46210.592835648145</v>
      </c>
      <c r="E3543" t="s">
        <v>42</v>
      </c>
      <c r="F3543" t="s">
        <v>43</v>
      </c>
      <c r="G3543">
        <v>0</v>
      </c>
      <c r="H3543">
        <v>33107</v>
      </c>
      <c r="I3543" t="s">
        <v>43</v>
      </c>
      <c r="J3543">
        <v>65</v>
      </c>
      <c r="K3543">
        <v>-319</v>
      </c>
      <c r="L3543">
        <v>98</v>
      </c>
      <c r="M3543">
        <v>656.29998779000005</v>
      </c>
      <c r="N3543" t="s">
        <v>1956</v>
      </c>
      <c r="O3543" t="s">
        <v>43</v>
      </c>
      <c r="P3543">
        <v>125</v>
      </c>
      <c r="Q3543" t="s">
        <v>43</v>
      </c>
      <c r="R3543">
        <v>-1000</v>
      </c>
      <c r="S3543">
        <v>0</v>
      </c>
      <c r="T3543">
        <v>-40</v>
      </c>
      <c r="U3543">
        <v>-40</v>
      </c>
      <c r="V3543">
        <v>-3000</v>
      </c>
      <c r="W3543">
        <v>36</v>
      </c>
      <c r="X3543">
        <v>36</v>
      </c>
      <c r="Y3543">
        <v>1</v>
      </c>
      <c r="Z3543">
        <v>3</v>
      </c>
      <c r="AA3543">
        <v>32</v>
      </c>
      <c r="AB3543">
        <v>7</v>
      </c>
      <c r="AC3543">
        <v>5</v>
      </c>
      <c r="AD3543">
        <v>3.4230000999999999</v>
      </c>
      <c r="AE3543">
        <v>4</v>
      </c>
      <c r="AF3543">
        <v>24</v>
      </c>
      <c r="AG3543">
        <v>3.4070000600000001</v>
      </c>
      <c r="AH3543">
        <v>5</v>
      </c>
      <c r="AI3543">
        <v>8</v>
      </c>
      <c r="AJ3543">
        <v>1</v>
      </c>
      <c r="AK3543">
        <v>12</v>
      </c>
      <c r="AL3543">
        <v>47</v>
      </c>
      <c r="AM3543" t="s">
        <v>43</v>
      </c>
      <c r="AN3543" t="s">
        <v>43</v>
      </c>
    </row>
    <row r="3544" spans="1:40" x14ac:dyDescent="0.3">
      <c r="A3544" s="1">
        <v>46210.589467592596</v>
      </c>
      <c r="B3544" t="s">
        <v>40</v>
      </c>
      <c r="C3544" t="s">
        <v>41</v>
      </c>
      <c r="D3544" s="1">
        <v>46210.592685185184</v>
      </c>
      <c r="E3544" t="s">
        <v>42</v>
      </c>
      <c r="F3544" t="s">
        <v>43</v>
      </c>
      <c r="G3544">
        <v>0</v>
      </c>
      <c r="H3544">
        <v>33107</v>
      </c>
      <c r="I3544" t="s">
        <v>2109</v>
      </c>
      <c r="J3544">
        <v>65</v>
      </c>
      <c r="K3544">
        <v>-315</v>
      </c>
      <c r="L3544">
        <v>98</v>
      </c>
      <c r="M3544">
        <v>655.90002441000001</v>
      </c>
      <c r="N3544" t="s">
        <v>1956</v>
      </c>
      <c r="O3544" t="s">
        <v>43</v>
      </c>
      <c r="P3544">
        <v>125</v>
      </c>
      <c r="Q3544" t="s">
        <v>43</v>
      </c>
      <c r="R3544">
        <v>-1000</v>
      </c>
      <c r="S3544">
        <v>0</v>
      </c>
      <c r="T3544">
        <v>-40</v>
      </c>
      <c r="U3544">
        <v>-40</v>
      </c>
      <c r="V3544">
        <v>-3000</v>
      </c>
      <c r="W3544">
        <v>36</v>
      </c>
      <c r="X3544">
        <v>36</v>
      </c>
      <c r="Y3544">
        <v>1</v>
      </c>
      <c r="Z3544">
        <v>3</v>
      </c>
      <c r="AA3544">
        <v>32</v>
      </c>
      <c r="AB3544">
        <v>7</v>
      </c>
      <c r="AC3544">
        <v>5</v>
      </c>
      <c r="AD3544">
        <v>3.4159998900000001</v>
      </c>
      <c r="AE3544">
        <v>6</v>
      </c>
      <c r="AF3544">
        <v>24</v>
      </c>
      <c r="AG3544">
        <v>3.4000001000000002</v>
      </c>
      <c r="AH3544">
        <v>5</v>
      </c>
      <c r="AI3544">
        <v>15</v>
      </c>
      <c r="AJ3544">
        <v>1</v>
      </c>
      <c r="AK3544">
        <v>12</v>
      </c>
      <c r="AL3544">
        <v>47</v>
      </c>
      <c r="AM3544" t="s">
        <v>43</v>
      </c>
      <c r="AN3544" t="str">
        <f>HYPERLINK("https://www.google.com/maps?q=10.7635746,79.69309235","Open Location")</f>
        <v>Open Location</v>
      </c>
    </row>
    <row r="3545" spans="1:40" x14ac:dyDescent="0.3">
      <c r="A3545" s="1">
        <v>46210.58935185185</v>
      </c>
      <c r="B3545" t="s">
        <v>40</v>
      </c>
      <c r="C3545" t="s">
        <v>41</v>
      </c>
      <c r="D3545" s="1">
        <v>46210.592673611114</v>
      </c>
      <c r="E3545" t="s">
        <v>42</v>
      </c>
      <c r="F3545" t="s">
        <v>43</v>
      </c>
      <c r="G3545">
        <v>0</v>
      </c>
      <c r="H3545">
        <v>33107</v>
      </c>
      <c r="I3545" t="s">
        <v>2110</v>
      </c>
      <c r="J3545">
        <v>65</v>
      </c>
      <c r="K3545">
        <v>-284</v>
      </c>
      <c r="L3545">
        <v>98</v>
      </c>
      <c r="M3545">
        <v>654.70001220999995</v>
      </c>
      <c r="N3545" t="s">
        <v>1956</v>
      </c>
      <c r="O3545" t="s">
        <v>43</v>
      </c>
      <c r="P3545">
        <v>125</v>
      </c>
      <c r="Q3545" t="s">
        <v>43</v>
      </c>
      <c r="R3545">
        <v>-1000</v>
      </c>
      <c r="S3545">
        <v>0</v>
      </c>
      <c r="T3545">
        <v>-40</v>
      </c>
      <c r="U3545">
        <v>-40</v>
      </c>
      <c r="V3545">
        <v>-3000</v>
      </c>
      <c r="W3545">
        <v>36</v>
      </c>
      <c r="X3545">
        <v>36</v>
      </c>
      <c r="Y3545">
        <v>1</v>
      </c>
      <c r="Z3545">
        <v>3</v>
      </c>
      <c r="AA3545">
        <v>32</v>
      </c>
      <c r="AB3545">
        <v>7</v>
      </c>
      <c r="AC3545">
        <v>5</v>
      </c>
      <c r="AD3545">
        <v>3.4159998900000001</v>
      </c>
      <c r="AE3545">
        <v>4</v>
      </c>
      <c r="AF3545">
        <v>24</v>
      </c>
      <c r="AG3545">
        <v>3.4000001000000002</v>
      </c>
      <c r="AH3545">
        <v>5</v>
      </c>
      <c r="AI3545">
        <v>15</v>
      </c>
      <c r="AJ3545">
        <v>1</v>
      </c>
      <c r="AK3545">
        <v>12</v>
      </c>
      <c r="AL3545">
        <v>47</v>
      </c>
      <c r="AM3545" t="s">
        <v>43</v>
      </c>
      <c r="AN3545" t="str">
        <f>HYPERLINK("https://www.google.com/maps?q=10.76359177,79.69309235","Open Location")</f>
        <v>Open Location</v>
      </c>
    </row>
    <row r="3546" spans="1:40" x14ac:dyDescent="0.3">
      <c r="A3546" s="1">
        <v>46210.589236111111</v>
      </c>
      <c r="B3546" t="s">
        <v>40</v>
      </c>
      <c r="C3546" t="s">
        <v>41</v>
      </c>
      <c r="D3546" s="1">
        <v>46210.592581018522</v>
      </c>
      <c r="E3546" t="s">
        <v>42</v>
      </c>
      <c r="F3546" t="s">
        <v>43</v>
      </c>
      <c r="G3546">
        <v>0</v>
      </c>
      <c r="H3546" t="s">
        <v>43</v>
      </c>
      <c r="I3546" t="s">
        <v>2111</v>
      </c>
      <c r="J3546">
        <v>65</v>
      </c>
      <c r="K3546">
        <v>-281</v>
      </c>
      <c r="L3546">
        <v>98</v>
      </c>
      <c r="M3546">
        <v>654.5</v>
      </c>
      <c r="N3546" t="s">
        <v>1956</v>
      </c>
      <c r="O3546" t="s">
        <v>43</v>
      </c>
      <c r="P3546">
        <v>125</v>
      </c>
      <c r="Q3546" t="s">
        <v>43</v>
      </c>
      <c r="R3546">
        <v>-1000</v>
      </c>
      <c r="S3546">
        <v>0</v>
      </c>
      <c r="T3546">
        <v>-40</v>
      </c>
      <c r="U3546">
        <v>-40</v>
      </c>
      <c r="V3546">
        <v>-3000</v>
      </c>
      <c r="W3546">
        <v>36</v>
      </c>
      <c r="X3546">
        <v>36</v>
      </c>
      <c r="Y3546">
        <v>1</v>
      </c>
      <c r="Z3546">
        <v>3</v>
      </c>
      <c r="AA3546">
        <v>32</v>
      </c>
      <c r="AB3546">
        <v>7</v>
      </c>
      <c r="AC3546">
        <v>5</v>
      </c>
      <c r="AD3546">
        <v>3.4159998900000001</v>
      </c>
      <c r="AE3546">
        <v>6</v>
      </c>
      <c r="AF3546">
        <v>24</v>
      </c>
      <c r="AG3546">
        <v>3.4000001000000002</v>
      </c>
      <c r="AH3546">
        <v>5</v>
      </c>
      <c r="AI3546">
        <v>15</v>
      </c>
      <c r="AJ3546">
        <v>1</v>
      </c>
      <c r="AK3546">
        <v>12</v>
      </c>
      <c r="AL3546">
        <v>47</v>
      </c>
      <c r="AM3546" t="s">
        <v>43</v>
      </c>
      <c r="AN3546" t="str">
        <f>HYPERLINK("https://www.google.com/maps?q=10.76358604,79.69313049","Open Location")</f>
        <v>Open Location</v>
      </c>
    </row>
    <row r="3547" spans="1:40" x14ac:dyDescent="0.3">
      <c r="A3547" s="1">
        <v>46210.589120370372</v>
      </c>
      <c r="B3547" t="s">
        <v>40</v>
      </c>
      <c r="C3547" t="s">
        <v>41</v>
      </c>
      <c r="D3547" s="1">
        <v>46210.591863425929</v>
      </c>
      <c r="E3547" t="s">
        <v>42</v>
      </c>
      <c r="F3547" t="s">
        <v>43</v>
      </c>
      <c r="G3547">
        <v>0</v>
      </c>
      <c r="H3547">
        <v>33107</v>
      </c>
      <c r="I3547" t="s">
        <v>2112</v>
      </c>
      <c r="J3547">
        <v>65</v>
      </c>
      <c r="K3547">
        <v>-283</v>
      </c>
      <c r="L3547">
        <v>98</v>
      </c>
      <c r="M3547">
        <v>654.59997558999999</v>
      </c>
      <c r="N3547" t="s">
        <v>1956</v>
      </c>
      <c r="O3547" t="s">
        <v>43</v>
      </c>
      <c r="P3547">
        <v>125</v>
      </c>
      <c r="Q3547" t="s">
        <v>43</v>
      </c>
      <c r="R3547">
        <v>-1000</v>
      </c>
      <c r="S3547">
        <v>0</v>
      </c>
      <c r="T3547">
        <v>-40</v>
      </c>
      <c r="U3547">
        <v>-40</v>
      </c>
      <c r="V3547">
        <v>-3000</v>
      </c>
      <c r="W3547">
        <v>36</v>
      </c>
      <c r="X3547">
        <v>36</v>
      </c>
      <c r="Y3547">
        <v>1</v>
      </c>
      <c r="Z3547">
        <v>3</v>
      </c>
      <c r="AA3547">
        <v>32</v>
      </c>
      <c r="AB3547">
        <v>7</v>
      </c>
      <c r="AC3547">
        <v>5</v>
      </c>
      <c r="AD3547">
        <v>3.4159998900000001</v>
      </c>
      <c r="AE3547">
        <v>6</v>
      </c>
      <c r="AF3547">
        <v>24</v>
      </c>
      <c r="AG3547">
        <v>3.4000001000000002</v>
      </c>
      <c r="AH3547">
        <v>5</v>
      </c>
      <c r="AI3547">
        <v>8</v>
      </c>
      <c r="AJ3547">
        <v>1</v>
      </c>
      <c r="AK3547">
        <v>11</v>
      </c>
      <c r="AL3547">
        <v>47</v>
      </c>
      <c r="AM3547" t="s">
        <v>43</v>
      </c>
      <c r="AN3547" t="str">
        <f>HYPERLINK("https://www.google.com/maps?q=10.76358128,79.69313812","Open Location")</f>
        <v>Open Location</v>
      </c>
    </row>
    <row r="3548" spans="1:40" x14ac:dyDescent="0.3">
      <c r="A3548" s="1">
        <v>46210.589004629626</v>
      </c>
      <c r="B3548" t="s">
        <v>40</v>
      </c>
      <c r="C3548" t="s">
        <v>41</v>
      </c>
      <c r="D3548" s="1">
        <v>46210.592291666668</v>
      </c>
      <c r="E3548" t="s">
        <v>42</v>
      </c>
      <c r="F3548" t="s">
        <v>43</v>
      </c>
      <c r="G3548">
        <v>0</v>
      </c>
      <c r="H3548">
        <v>33107</v>
      </c>
      <c r="I3548" t="s">
        <v>2113</v>
      </c>
      <c r="J3548">
        <v>64</v>
      </c>
      <c r="K3548">
        <v>-284</v>
      </c>
      <c r="L3548">
        <v>98</v>
      </c>
      <c r="M3548">
        <v>654.59997558999999</v>
      </c>
      <c r="N3548" t="s">
        <v>1956</v>
      </c>
      <c r="O3548" t="s">
        <v>43</v>
      </c>
      <c r="P3548">
        <v>125</v>
      </c>
      <c r="Q3548" t="s">
        <v>43</v>
      </c>
      <c r="R3548">
        <v>-1000</v>
      </c>
      <c r="S3548">
        <v>0</v>
      </c>
      <c r="T3548">
        <v>-40</v>
      </c>
      <c r="U3548">
        <v>-40</v>
      </c>
      <c r="V3548">
        <v>-3000</v>
      </c>
      <c r="W3548">
        <v>36</v>
      </c>
      <c r="X3548">
        <v>36</v>
      </c>
      <c r="Y3548">
        <v>1</v>
      </c>
      <c r="Z3548">
        <v>3</v>
      </c>
      <c r="AA3548">
        <v>32</v>
      </c>
      <c r="AB3548">
        <v>7</v>
      </c>
      <c r="AC3548">
        <v>5</v>
      </c>
      <c r="AD3548">
        <v>3.4149999599999998</v>
      </c>
      <c r="AE3548">
        <v>4</v>
      </c>
      <c r="AF3548">
        <v>24</v>
      </c>
      <c r="AG3548">
        <v>3.39899993</v>
      </c>
      <c r="AH3548">
        <v>5</v>
      </c>
      <c r="AI3548">
        <v>15</v>
      </c>
      <c r="AJ3548">
        <v>1</v>
      </c>
      <c r="AK3548">
        <v>12</v>
      </c>
      <c r="AL3548">
        <v>47</v>
      </c>
      <c r="AM3548" t="s">
        <v>43</v>
      </c>
      <c r="AN3548" t="str">
        <f>HYPERLINK("https://www.google.com/maps?q=10.76357841,79.69315338","Open Location")</f>
        <v>Open Location</v>
      </c>
    </row>
    <row r="3549" spans="1:40" x14ac:dyDescent="0.3">
      <c r="A3549" s="1">
        <v>46210.588888888888</v>
      </c>
      <c r="B3549" t="s">
        <v>40</v>
      </c>
      <c r="C3549" t="s">
        <v>41</v>
      </c>
      <c r="D3549" s="1">
        <v>46210.592326388891</v>
      </c>
      <c r="E3549" t="s">
        <v>42</v>
      </c>
      <c r="F3549" t="s">
        <v>43</v>
      </c>
      <c r="G3549">
        <v>0</v>
      </c>
      <c r="H3549">
        <v>33107</v>
      </c>
      <c r="I3549" t="s">
        <v>43</v>
      </c>
      <c r="J3549">
        <v>64</v>
      </c>
      <c r="K3549">
        <v>-284</v>
      </c>
      <c r="L3549">
        <v>98</v>
      </c>
      <c r="M3549">
        <v>654.5</v>
      </c>
      <c r="N3549" t="s">
        <v>1956</v>
      </c>
      <c r="O3549" t="s">
        <v>43</v>
      </c>
      <c r="P3549">
        <v>125</v>
      </c>
      <c r="Q3549" t="s">
        <v>43</v>
      </c>
      <c r="R3549">
        <v>-1000</v>
      </c>
      <c r="S3549">
        <v>0</v>
      </c>
      <c r="T3549">
        <v>-40</v>
      </c>
      <c r="U3549">
        <v>-40</v>
      </c>
      <c r="V3549">
        <v>-3000</v>
      </c>
      <c r="W3549">
        <v>36</v>
      </c>
      <c r="X3549">
        <v>36</v>
      </c>
      <c r="Y3549">
        <v>1</v>
      </c>
      <c r="Z3549">
        <v>3</v>
      </c>
      <c r="AA3549">
        <v>32</v>
      </c>
      <c r="AB3549">
        <v>7</v>
      </c>
      <c r="AC3549">
        <v>5</v>
      </c>
      <c r="AD3549">
        <v>3.4149999599999998</v>
      </c>
      <c r="AE3549">
        <v>4</v>
      </c>
      <c r="AF3549">
        <v>24</v>
      </c>
      <c r="AG3549">
        <v>3.39899993</v>
      </c>
      <c r="AH3549">
        <v>5</v>
      </c>
      <c r="AI3549">
        <v>15</v>
      </c>
      <c r="AJ3549">
        <v>1</v>
      </c>
      <c r="AK3549">
        <v>12</v>
      </c>
      <c r="AL3549">
        <v>47</v>
      </c>
      <c r="AM3549" t="s">
        <v>43</v>
      </c>
      <c r="AN3549" t="s">
        <v>43</v>
      </c>
    </row>
    <row r="3550" spans="1:40" x14ac:dyDescent="0.3">
      <c r="A3550" s="1">
        <v>46210.588773148149</v>
      </c>
      <c r="B3550" t="s">
        <v>40</v>
      </c>
      <c r="C3550" t="s">
        <v>41</v>
      </c>
      <c r="D3550" s="1">
        <v>46210.59233796296</v>
      </c>
      <c r="E3550" t="s">
        <v>42</v>
      </c>
      <c r="F3550" t="s">
        <v>43</v>
      </c>
      <c r="G3550">
        <v>0</v>
      </c>
      <c r="H3550">
        <v>33107</v>
      </c>
      <c r="I3550" t="s">
        <v>2114</v>
      </c>
      <c r="J3550">
        <v>64</v>
      </c>
      <c r="K3550">
        <v>-284</v>
      </c>
      <c r="L3550">
        <v>98</v>
      </c>
      <c r="M3550">
        <v>654.20001220999995</v>
      </c>
      <c r="N3550" t="s">
        <v>1956</v>
      </c>
      <c r="O3550" t="s">
        <v>43</v>
      </c>
      <c r="P3550">
        <v>125</v>
      </c>
      <c r="Q3550" t="s">
        <v>43</v>
      </c>
      <c r="R3550">
        <v>-1000</v>
      </c>
      <c r="S3550">
        <v>0</v>
      </c>
      <c r="T3550">
        <v>-40</v>
      </c>
      <c r="U3550">
        <v>-40</v>
      </c>
      <c r="V3550">
        <v>-3000</v>
      </c>
      <c r="W3550">
        <v>36</v>
      </c>
      <c r="X3550">
        <v>36</v>
      </c>
      <c r="Y3550">
        <v>1</v>
      </c>
      <c r="Z3550">
        <v>3</v>
      </c>
      <c r="AA3550">
        <v>32</v>
      </c>
      <c r="AB3550">
        <v>7</v>
      </c>
      <c r="AC3550">
        <v>5</v>
      </c>
      <c r="AD3550">
        <v>3.4149999599999998</v>
      </c>
      <c r="AE3550">
        <v>6</v>
      </c>
      <c r="AF3550">
        <v>24</v>
      </c>
      <c r="AG3550">
        <v>3.39899993</v>
      </c>
      <c r="AH3550">
        <v>5</v>
      </c>
      <c r="AI3550">
        <v>10</v>
      </c>
      <c r="AJ3550">
        <v>1</v>
      </c>
      <c r="AK3550">
        <v>12</v>
      </c>
      <c r="AL3550">
        <v>47</v>
      </c>
      <c r="AM3550" t="s">
        <v>43</v>
      </c>
      <c r="AN3550" t="str">
        <f>HYPERLINK("https://www.google.com/maps?q=10.76358986,79.69314575","Open Location")</f>
        <v>Open Location</v>
      </c>
    </row>
    <row r="3551" spans="1:40" x14ac:dyDescent="0.3">
      <c r="A3551" s="1">
        <v>46210.58865740741</v>
      </c>
      <c r="B3551" t="s">
        <v>40</v>
      </c>
      <c r="C3551" t="s">
        <v>41</v>
      </c>
      <c r="D3551" s="1">
        <v>46210.592222222222</v>
      </c>
      <c r="E3551" t="s">
        <v>42</v>
      </c>
      <c r="F3551" t="s">
        <v>43</v>
      </c>
      <c r="G3551">
        <v>0</v>
      </c>
      <c r="H3551">
        <v>33107</v>
      </c>
      <c r="I3551" t="s">
        <v>2115</v>
      </c>
      <c r="J3551">
        <v>64</v>
      </c>
      <c r="K3551">
        <v>-280</v>
      </c>
      <c r="L3551">
        <v>98</v>
      </c>
      <c r="M3551">
        <v>654.20001220999995</v>
      </c>
      <c r="N3551" t="s">
        <v>1956</v>
      </c>
      <c r="O3551" t="s">
        <v>43</v>
      </c>
      <c r="P3551">
        <v>125</v>
      </c>
      <c r="Q3551" t="s">
        <v>43</v>
      </c>
      <c r="R3551">
        <v>-1000</v>
      </c>
      <c r="S3551">
        <v>0</v>
      </c>
      <c r="T3551">
        <v>-40</v>
      </c>
      <c r="U3551">
        <v>-40</v>
      </c>
      <c r="V3551">
        <v>-3000</v>
      </c>
      <c r="W3551">
        <v>36</v>
      </c>
      <c r="X3551">
        <v>36</v>
      </c>
      <c r="Y3551">
        <v>1</v>
      </c>
      <c r="Z3551">
        <v>3</v>
      </c>
      <c r="AA3551">
        <v>32</v>
      </c>
      <c r="AB3551">
        <v>7</v>
      </c>
      <c r="AC3551">
        <v>5</v>
      </c>
      <c r="AD3551">
        <v>3.4149999599999998</v>
      </c>
      <c r="AE3551">
        <v>6</v>
      </c>
      <c r="AF3551">
        <v>24</v>
      </c>
      <c r="AG3551">
        <v>3.3980000000000001</v>
      </c>
      <c r="AH3551">
        <v>5</v>
      </c>
      <c r="AI3551">
        <v>15</v>
      </c>
      <c r="AJ3551">
        <v>1</v>
      </c>
      <c r="AK3551">
        <v>12</v>
      </c>
      <c r="AL3551">
        <v>48</v>
      </c>
      <c r="AM3551" t="s">
        <v>43</v>
      </c>
      <c r="AN3551" t="str">
        <f>HYPERLINK("https://www.google.com/maps?q=10.7635746,79.69316101","Open Location")</f>
        <v>Open Location</v>
      </c>
    </row>
    <row r="3552" spans="1:40" x14ac:dyDescent="0.3">
      <c r="A3552" s="1">
        <v>46210.588541666664</v>
      </c>
      <c r="B3552" t="s">
        <v>40</v>
      </c>
      <c r="C3552" t="s">
        <v>41</v>
      </c>
      <c r="D3552" s="1">
        <v>46210.592222222222</v>
      </c>
      <c r="E3552" t="s">
        <v>42</v>
      </c>
      <c r="F3552" t="s">
        <v>43</v>
      </c>
      <c r="G3552">
        <v>0</v>
      </c>
      <c r="H3552">
        <v>33107</v>
      </c>
      <c r="I3552" t="s">
        <v>2116</v>
      </c>
      <c r="J3552">
        <v>64</v>
      </c>
      <c r="K3552">
        <v>-284</v>
      </c>
      <c r="L3552">
        <v>98</v>
      </c>
      <c r="M3552">
        <v>654.09997558999999</v>
      </c>
      <c r="N3552" t="s">
        <v>1956</v>
      </c>
      <c r="O3552" t="s">
        <v>43</v>
      </c>
      <c r="P3552">
        <v>125</v>
      </c>
      <c r="Q3552" t="s">
        <v>43</v>
      </c>
      <c r="R3552">
        <v>-1000</v>
      </c>
      <c r="S3552">
        <v>0</v>
      </c>
      <c r="T3552">
        <v>-40</v>
      </c>
      <c r="U3552">
        <v>-40</v>
      </c>
      <c r="V3552">
        <v>-3000</v>
      </c>
      <c r="W3552">
        <v>36</v>
      </c>
      <c r="X3552">
        <v>36</v>
      </c>
      <c r="Y3552">
        <v>1</v>
      </c>
      <c r="Z3552">
        <v>3</v>
      </c>
      <c r="AA3552">
        <v>32</v>
      </c>
      <c r="AB3552">
        <v>7</v>
      </c>
      <c r="AC3552">
        <v>5</v>
      </c>
      <c r="AD3552">
        <v>3.41400003</v>
      </c>
      <c r="AE3552">
        <v>4</v>
      </c>
      <c r="AF3552">
        <v>24</v>
      </c>
      <c r="AG3552">
        <v>3.3980000000000001</v>
      </c>
      <c r="AH3552">
        <v>5</v>
      </c>
      <c r="AI3552">
        <v>15</v>
      </c>
      <c r="AJ3552">
        <v>1</v>
      </c>
      <c r="AK3552">
        <v>12</v>
      </c>
      <c r="AL3552">
        <v>48</v>
      </c>
      <c r="AM3552" t="s">
        <v>43</v>
      </c>
      <c r="AN3552" t="str">
        <f>HYPERLINK("https://www.google.com/maps?q=10.76358795,79.69316101","Open Location")</f>
        <v>Open Location</v>
      </c>
    </row>
    <row r="3553" spans="1:40" x14ac:dyDescent="0.3">
      <c r="A3553" s="1">
        <v>46210.588425925926</v>
      </c>
      <c r="B3553" t="s">
        <v>40</v>
      </c>
      <c r="C3553" t="s">
        <v>41</v>
      </c>
      <c r="D3553" s="1">
        <v>46210.591863425929</v>
      </c>
      <c r="E3553" t="s">
        <v>42</v>
      </c>
      <c r="F3553" t="s">
        <v>43</v>
      </c>
      <c r="G3553">
        <v>0</v>
      </c>
      <c r="H3553">
        <v>33107</v>
      </c>
      <c r="I3553" t="s">
        <v>2117</v>
      </c>
      <c r="J3553">
        <v>64</v>
      </c>
      <c r="K3553">
        <v>-284</v>
      </c>
      <c r="L3553">
        <v>98</v>
      </c>
      <c r="M3553">
        <v>654.29998779000005</v>
      </c>
      <c r="N3553" t="s">
        <v>1956</v>
      </c>
      <c r="O3553" t="s">
        <v>43</v>
      </c>
      <c r="P3553">
        <v>125</v>
      </c>
      <c r="Q3553" t="s">
        <v>43</v>
      </c>
      <c r="R3553">
        <v>-1000</v>
      </c>
      <c r="S3553">
        <v>0</v>
      </c>
      <c r="T3553">
        <v>-40</v>
      </c>
      <c r="U3553">
        <v>-40</v>
      </c>
      <c r="V3553">
        <v>-3000</v>
      </c>
      <c r="W3553">
        <v>36</v>
      </c>
      <c r="X3553">
        <v>36</v>
      </c>
      <c r="Y3553">
        <v>1</v>
      </c>
      <c r="Z3553">
        <v>3</v>
      </c>
      <c r="AA3553">
        <v>32</v>
      </c>
      <c r="AB3553">
        <v>7</v>
      </c>
      <c r="AC3553">
        <v>5</v>
      </c>
      <c r="AD3553">
        <v>3.41300011</v>
      </c>
      <c r="AE3553">
        <v>4</v>
      </c>
      <c r="AF3553">
        <v>24</v>
      </c>
      <c r="AG3553">
        <v>3.3970000699999998</v>
      </c>
      <c r="AH3553">
        <v>5</v>
      </c>
      <c r="AI3553">
        <v>12</v>
      </c>
      <c r="AJ3553">
        <v>1</v>
      </c>
      <c r="AK3553">
        <v>12</v>
      </c>
      <c r="AL3553">
        <v>47</v>
      </c>
      <c r="AM3553" t="s">
        <v>43</v>
      </c>
      <c r="AN3553" t="str">
        <f>HYPERLINK("https://www.google.com/maps?q=10.76358509,79.69315338","Open Location")</f>
        <v>Open Location</v>
      </c>
    </row>
    <row r="3554" spans="1:40" x14ac:dyDescent="0.3">
      <c r="A3554" s="1">
        <v>46210.588310185187</v>
      </c>
      <c r="B3554" t="s">
        <v>40</v>
      </c>
      <c r="C3554" t="s">
        <v>41</v>
      </c>
      <c r="D3554" s="1">
        <v>46210.591828703706</v>
      </c>
      <c r="E3554" t="s">
        <v>42</v>
      </c>
      <c r="F3554" t="s">
        <v>43</v>
      </c>
      <c r="G3554">
        <v>0</v>
      </c>
      <c r="H3554">
        <v>33107</v>
      </c>
      <c r="I3554" t="s">
        <v>43</v>
      </c>
      <c r="J3554">
        <v>63</v>
      </c>
      <c r="K3554">
        <v>-284</v>
      </c>
      <c r="L3554">
        <v>98</v>
      </c>
      <c r="M3554">
        <v>654.20001220999995</v>
      </c>
      <c r="N3554" t="s">
        <v>1956</v>
      </c>
      <c r="O3554" t="s">
        <v>43</v>
      </c>
      <c r="P3554">
        <v>125</v>
      </c>
      <c r="Q3554" t="s">
        <v>43</v>
      </c>
      <c r="R3554">
        <v>-1000</v>
      </c>
      <c r="S3554">
        <v>0</v>
      </c>
      <c r="T3554">
        <v>-40</v>
      </c>
      <c r="U3554">
        <v>-40</v>
      </c>
      <c r="V3554">
        <v>-3000</v>
      </c>
      <c r="W3554">
        <v>36</v>
      </c>
      <c r="X3554">
        <v>36</v>
      </c>
      <c r="Y3554">
        <v>1</v>
      </c>
      <c r="Z3554">
        <v>3</v>
      </c>
      <c r="AA3554">
        <v>32</v>
      </c>
      <c r="AB3554">
        <v>3</v>
      </c>
      <c r="AC3554">
        <v>5</v>
      </c>
      <c r="AD3554">
        <v>3.41300011</v>
      </c>
      <c r="AE3554">
        <v>4</v>
      </c>
      <c r="AF3554">
        <v>24</v>
      </c>
      <c r="AG3554">
        <v>3.39599991</v>
      </c>
      <c r="AH3554">
        <v>5</v>
      </c>
      <c r="AI3554">
        <v>15</v>
      </c>
      <c r="AJ3554">
        <v>1</v>
      </c>
      <c r="AK3554">
        <v>12</v>
      </c>
      <c r="AL3554">
        <v>47</v>
      </c>
      <c r="AM3554" t="s">
        <v>43</v>
      </c>
      <c r="AN3554" t="s">
        <v>43</v>
      </c>
    </row>
    <row r="3555" spans="1:40" x14ac:dyDescent="0.3">
      <c r="A3555" s="1">
        <v>46210.588194444441</v>
      </c>
      <c r="B3555" t="s">
        <v>40</v>
      </c>
      <c r="C3555" t="s">
        <v>41</v>
      </c>
      <c r="D3555" s="1">
        <v>46210.591620370367</v>
      </c>
      <c r="E3555" t="s">
        <v>42</v>
      </c>
      <c r="F3555" t="s">
        <v>43</v>
      </c>
      <c r="G3555">
        <v>0</v>
      </c>
      <c r="H3555" t="s">
        <v>43</v>
      </c>
      <c r="I3555" t="s">
        <v>1992</v>
      </c>
      <c r="J3555">
        <v>63</v>
      </c>
      <c r="K3555">
        <v>-284</v>
      </c>
      <c r="L3555">
        <v>98</v>
      </c>
      <c r="M3555">
        <v>654.20001220999995</v>
      </c>
      <c r="N3555" t="s">
        <v>1956</v>
      </c>
      <c r="O3555" t="s">
        <v>43</v>
      </c>
      <c r="P3555">
        <v>125</v>
      </c>
      <c r="Q3555" t="s">
        <v>43</v>
      </c>
      <c r="R3555">
        <v>-1000</v>
      </c>
      <c r="S3555">
        <v>0</v>
      </c>
      <c r="T3555">
        <v>-40</v>
      </c>
      <c r="U3555">
        <v>-40</v>
      </c>
      <c r="V3555">
        <v>-3000</v>
      </c>
      <c r="W3555">
        <v>36</v>
      </c>
      <c r="X3555">
        <v>36</v>
      </c>
      <c r="Y3555">
        <v>1</v>
      </c>
      <c r="Z3555">
        <v>3</v>
      </c>
      <c r="AA3555">
        <v>32</v>
      </c>
      <c r="AB3555">
        <v>2</v>
      </c>
      <c r="AC3555">
        <v>5</v>
      </c>
      <c r="AD3555">
        <v>3.41400003</v>
      </c>
      <c r="AE3555">
        <v>4</v>
      </c>
      <c r="AF3555">
        <v>24</v>
      </c>
      <c r="AG3555">
        <v>3.3970000699999998</v>
      </c>
      <c r="AH3555">
        <v>5</v>
      </c>
      <c r="AI3555">
        <v>15</v>
      </c>
      <c r="AJ3555">
        <v>1</v>
      </c>
      <c r="AK3555">
        <v>12</v>
      </c>
      <c r="AL3555">
        <v>47</v>
      </c>
      <c r="AM3555" t="s">
        <v>43</v>
      </c>
      <c r="AN3555" t="str">
        <f>HYPERLINK("https://www.google.com/maps?q=10.76359367,79.69313812","Open Location")</f>
        <v>Open Location</v>
      </c>
    </row>
    <row r="3556" spans="1:40" x14ac:dyDescent="0.3">
      <c r="A3556" s="1">
        <v>46210.588078703702</v>
      </c>
      <c r="B3556" t="s">
        <v>40</v>
      </c>
      <c r="C3556" t="s">
        <v>41</v>
      </c>
      <c r="D3556" s="1">
        <v>46210.59171296296</v>
      </c>
      <c r="E3556" t="s">
        <v>42</v>
      </c>
      <c r="F3556" t="s">
        <v>43</v>
      </c>
      <c r="G3556">
        <v>0</v>
      </c>
      <c r="H3556">
        <v>33107</v>
      </c>
      <c r="I3556" t="s">
        <v>2118</v>
      </c>
      <c r="J3556">
        <v>63</v>
      </c>
      <c r="K3556">
        <v>-282</v>
      </c>
      <c r="L3556">
        <v>98</v>
      </c>
      <c r="M3556">
        <v>654.09997558999999</v>
      </c>
      <c r="N3556" t="s">
        <v>1956</v>
      </c>
      <c r="O3556" t="s">
        <v>43</v>
      </c>
      <c r="P3556">
        <v>125</v>
      </c>
      <c r="Q3556" t="s">
        <v>43</v>
      </c>
      <c r="R3556">
        <v>-1000</v>
      </c>
      <c r="S3556">
        <v>0</v>
      </c>
      <c r="T3556">
        <v>-40</v>
      </c>
      <c r="U3556">
        <v>-40</v>
      </c>
      <c r="V3556">
        <v>-3000</v>
      </c>
      <c r="W3556">
        <v>36</v>
      </c>
      <c r="X3556">
        <v>36</v>
      </c>
      <c r="Y3556">
        <v>1</v>
      </c>
      <c r="Z3556">
        <v>3</v>
      </c>
      <c r="AA3556">
        <v>32</v>
      </c>
      <c r="AB3556">
        <v>2</v>
      </c>
      <c r="AC3556">
        <v>5</v>
      </c>
      <c r="AD3556">
        <v>3.4149999599999998</v>
      </c>
      <c r="AE3556">
        <v>6</v>
      </c>
      <c r="AF3556">
        <v>24</v>
      </c>
      <c r="AG3556">
        <v>3.3970000699999998</v>
      </c>
      <c r="AH3556">
        <v>5</v>
      </c>
      <c r="AI3556">
        <v>15</v>
      </c>
      <c r="AJ3556">
        <v>1</v>
      </c>
      <c r="AK3556">
        <v>12</v>
      </c>
      <c r="AL3556">
        <v>47</v>
      </c>
      <c r="AM3556" t="s">
        <v>43</v>
      </c>
      <c r="AN3556" t="str">
        <f>HYPERLINK("https://www.google.com/maps?q=10.76359653,79.69312286","Open Location")</f>
        <v>Open Location</v>
      </c>
    </row>
    <row r="3557" spans="1:40" x14ac:dyDescent="0.3">
      <c r="A3557" s="1">
        <v>46210.587962962964</v>
      </c>
      <c r="B3557" t="s">
        <v>40</v>
      </c>
      <c r="C3557" t="s">
        <v>41</v>
      </c>
      <c r="D3557" s="1">
        <v>46210.591435185182</v>
      </c>
      <c r="E3557" t="s">
        <v>42</v>
      </c>
      <c r="F3557" t="s">
        <v>43</v>
      </c>
      <c r="G3557">
        <v>0</v>
      </c>
      <c r="H3557">
        <v>33107</v>
      </c>
      <c r="I3557" t="s">
        <v>2119</v>
      </c>
      <c r="J3557">
        <v>63</v>
      </c>
      <c r="K3557">
        <v>-280</v>
      </c>
      <c r="L3557">
        <v>98</v>
      </c>
      <c r="M3557">
        <v>654.20001220999995</v>
      </c>
      <c r="N3557" t="s">
        <v>1956</v>
      </c>
      <c r="O3557" t="s">
        <v>43</v>
      </c>
      <c r="P3557">
        <v>125</v>
      </c>
      <c r="Q3557" t="s">
        <v>43</v>
      </c>
      <c r="R3557">
        <v>-1000</v>
      </c>
      <c r="S3557">
        <v>0</v>
      </c>
      <c r="T3557">
        <v>-40</v>
      </c>
      <c r="U3557">
        <v>-40</v>
      </c>
      <c r="V3557">
        <v>-3000</v>
      </c>
      <c r="W3557">
        <v>36</v>
      </c>
      <c r="X3557">
        <v>36</v>
      </c>
      <c r="Y3557">
        <v>1</v>
      </c>
      <c r="Z3557">
        <v>3</v>
      </c>
      <c r="AA3557">
        <v>32</v>
      </c>
      <c r="AB3557">
        <v>2</v>
      </c>
      <c r="AC3557">
        <v>5</v>
      </c>
      <c r="AD3557">
        <v>3.4219999300000001</v>
      </c>
      <c r="AE3557">
        <v>6</v>
      </c>
      <c r="AF3557">
        <v>24</v>
      </c>
      <c r="AG3557">
        <v>3.4030001200000002</v>
      </c>
      <c r="AH3557">
        <v>5</v>
      </c>
      <c r="AI3557">
        <v>15</v>
      </c>
      <c r="AJ3557">
        <v>1</v>
      </c>
      <c r="AK3557">
        <v>12</v>
      </c>
      <c r="AL3557">
        <v>47</v>
      </c>
      <c r="AM3557" t="s">
        <v>43</v>
      </c>
      <c r="AN3557" t="str">
        <f>HYPERLINK("https://www.google.com/maps?q=10.76359463,79.69311523","Open Location")</f>
        <v>Open Location</v>
      </c>
    </row>
    <row r="3558" spans="1:40" x14ac:dyDescent="0.3">
      <c r="A3558" s="1">
        <v>46210.587847222225</v>
      </c>
      <c r="B3558" t="s">
        <v>40</v>
      </c>
      <c r="C3558" t="s">
        <v>41</v>
      </c>
      <c r="D3558" s="1">
        <v>46210.591574074075</v>
      </c>
      <c r="E3558" t="s">
        <v>42</v>
      </c>
      <c r="F3558" t="s">
        <v>43</v>
      </c>
      <c r="G3558">
        <v>0</v>
      </c>
      <c r="H3558" t="s">
        <v>43</v>
      </c>
      <c r="I3558" t="s">
        <v>2120</v>
      </c>
      <c r="J3558">
        <v>63</v>
      </c>
      <c r="K3558">
        <v>-320</v>
      </c>
      <c r="L3558">
        <v>98</v>
      </c>
      <c r="M3558">
        <v>655.59997558999999</v>
      </c>
      <c r="N3558" t="s">
        <v>1956</v>
      </c>
      <c r="O3558" t="s">
        <v>43</v>
      </c>
      <c r="P3558">
        <v>125</v>
      </c>
      <c r="Q3558" t="s">
        <v>43</v>
      </c>
      <c r="R3558">
        <v>-1000</v>
      </c>
      <c r="S3558">
        <v>0</v>
      </c>
      <c r="T3558">
        <v>-40</v>
      </c>
      <c r="U3558">
        <v>-40</v>
      </c>
      <c r="V3558">
        <v>-3000</v>
      </c>
      <c r="W3558">
        <v>36</v>
      </c>
      <c r="X3558">
        <v>36</v>
      </c>
      <c r="Y3558">
        <v>1</v>
      </c>
      <c r="Z3558">
        <v>3</v>
      </c>
      <c r="AA3558">
        <v>32</v>
      </c>
      <c r="AB3558">
        <v>2</v>
      </c>
      <c r="AC3558">
        <v>5</v>
      </c>
      <c r="AD3558">
        <v>3.4219999300000001</v>
      </c>
      <c r="AE3558">
        <v>6</v>
      </c>
      <c r="AF3558">
        <v>24</v>
      </c>
      <c r="AG3558">
        <v>3.40199995</v>
      </c>
      <c r="AH3558">
        <v>5</v>
      </c>
      <c r="AI3558">
        <v>15</v>
      </c>
      <c r="AJ3558">
        <v>1</v>
      </c>
      <c r="AK3558">
        <v>12</v>
      </c>
      <c r="AL3558">
        <v>47</v>
      </c>
      <c r="AM3558" t="s">
        <v>43</v>
      </c>
      <c r="AN3558" t="str">
        <f>HYPERLINK("https://www.google.com/maps?q=10.7636013,79.6931076","Open Location")</f>
        <v>Open Location</v>
      </c>
    </row>
    <row r="3559" spans="1:40" x14ac:dyDescent="0.3">
      <c r="A3559" s="1">
        <v>46210.587731481479</v>
      </c>
      <c r="B3559" t="s">
        <v>40</v>
      </c>
      <c r="C3559" t="s">
        <v>41</v>
      </c>
      <c r="D3559" s="1">
        <v>46210.590590277781</v>
      </c>
      <c r="E3559" t="s">
        <v>42</v>
      </c>
      <c r="F3559" t="s">
        <v>43</v>
      </c>
      <c r="G3559">
        <v>0</v>
      </c>
      <c r="H3559">
        <v>33107</v>
      </c>
      <c r="I3559" t="s">
        <v>2121</v>
      </c>
      <c r="J3559">
        <v>63</v>
      </c>
      <c r="K3559">
        <v>-320</v>
      </c>
      <c r="L3559">
        <v>98</v>
      </c>
      <c r="M3559">
        <v>655.5</v>
      </c>
      <c r="N3559" t="s">
        <v>1956</v>
      </c>
      <c r="O3559" t="s">
        <v>43</v>
      </c>
      <c r="P3559">
        <v>125</v>
      </c>
      <c r="Q3559" t="s">
        <v>43</v>
      </c>
      <c r="R3559">
        <v>-1000</v>
      </c>
      <c r="S3559">
        <v>0</v>
      </c>
      <c r="T3559">
        <v>-40</v>
      </c>
      <c r="U3559">
        <v>-40</v>
      </c>
      <c r="V3559">
        <v>-3000</v>
      </c>
      <c r="W3559">
        <v>36</v>
      </c>
      <c r="X3559">
        <v>36</v>
      </c>
      <c r="Y3559">
        <v>1</v>
      </c>
      <c r="Z3559">
        <v>3</v>
      </c>
      <c r="AA3559">
        <v>32</v>
      </c>
      <c r="AB3559">
        <v>2</v>
      </c>
      <c r="AC3559">
        <v>5</v>
      </c>
      <c r="AD3559">
        <v>3.4209999999999998</v>
      </c>
      <c r="AE3559">
        <v>4</v>
      </c>
      <c r="AF3559">
        <v>24</v>
      </c>
      <c r="AG3559">
        <v>3.4010000200000001</v>
      </c>
      <c r="AH3559">
        <v>5</v>
      </c>
      <c r="AI3559">
        <v>15</v>
      </c>
      <c r="AJ3559">
        <v>1</v>
      </c>
      <c r="AK3559">
        <v>12</v>
      </c>
      <c r="AL3559">
        <v>47</v>
      </c>
      <c r="AM3559" t="s">
        <v>43</v>
      </c>
      <c r="AN3559" t="str">
        <f>HYPERLINK("https://www.google.com/maps?q=10.76360703,79.6931076","Open Location")</f>
        <v>Open Location</v>
      </c>
    </row>
    <row r="3560" spans="1:40" x14ac:dyDescent="0.3">
      <c r="A3560" s="1">
        <v>46210.58761574074</v>
      </c>
      <c r="B3560" t="s">
        <v>40</v>
      </c>
      <c r="C3560" t="s">
        <v>41</v>
      </c>
      <c r="D3560" s="1">
        <v>46210.590590277781</v>
      </c>
      <c r="E3560" t="s">
        <v>42</v>
      </c>
      <c r="F3560" t="s">
        <v>43</v>
      </c>
      <c r="G3560">
        <v>0</v>
      </c>
      <c r="H3560">
        <v>33107</v>
      </c>
      <c r="I3560" t="s">
        <v>43</v>
      </c>
      <c r="J3560">
        <v>62</v>
      </c>
      <c r="K3560">
        <v>-320</v>
      </c>
      <c r="L3560">
        <v>98</v>
      </c>
      <c r="M3560">
        <v>655.40002441000001</v>
      </c>
      <c r="N3560" t="s">
        <v>1956</v>
      </c>
      <c r="O3560" t="s">
        <v>43</v>
      </c>
      <c r="P3560">
        <v>125</v>
      </c>
      <c r="Q3560" t="s">
        <v>43</v>
      </c>
      <c r="R3560">
        <v>-1000</v>
      </c>
      <c r="S3560">
        <v>0</v>
      </c>
      <c r="T3560">
        <v>-40</v>
      </c>
      <c r="U3560">
        <v>-40</v>
      </c>
      <c r="V3560">
        <v>-3000</v>
      </c>
      <c r="W3560">
        <v>36</v>
      </c>
      <c r="X3560">
        <v>36</v>
      </c>
      <c r="Y3560">
        <v>1</v>
      </c>
      <c r="Z3560">
        <v>7</v>
      </c>
      <c r="AA3560">
        <v>32</v>
      </c>
      <c r="AB3560">
        <v>2</v>
      </c>
      <c r="AC3560">
        <v>5</v>
      </c>
      <c r="AD3560">
        <v>3.4200000799999999</v>
      </c>
      <c r="AE3560">
        <v>6</v>
      </c>
      <c r="AF3560">
        <v>24</v>
      </c>
      <c r="AG3560">
        <v>3.4000001000000002</v>
      </c>
      <c r="AH3560">
        <v>5</v>
      </c>
      <c r="AI3560">
        <v>15</v>
      </c>
      <c r="AJ3560">
        <v>1</v>
      </c>
      <c r="AK3560">
        <v>12</v>
      </c>
      <c r="AL3560">
        <v>47</v>
      </c>
      <c r="AM3560" t="s">
        <v>43</v>
      </c>
      <c r="AN3560" t="s">
        <v>43</v>
      </c>
    </row>
    <row r="3561" spans="1:40" x14ac:dyDescent="0.3">
      <c r="A3561" s="1">
        <v>46210.587500000001</v>
      </c>
      <c r="B3561" t="s">
        <v>40</v>
      </c>
      <c r="C3561" t="s">
        <v>41</v>
      </c>
      <c r="D3561" s="1">
        <v>46210.590358796297</v>
      </c>
      <c r="E3561" t="s">
        <v>42</v>
      </c>
      <c r="F3561" t="s">
        <v>43</v>
      </c>
      <c r="G3561" t="s">
        <v>43</v>
      </c>
      <c r="H3561">
        <v>33107</v>
      </c>
      <c r="I3561" t="s">
        <v>2122</v>
      </c>
      <c r="J3561">
        <v>62</v>
      </c>
      <c r="K3561">
        <v>-320</v>
      </c>
      <c r="L3561">
        <v>98</v>
      </c>
      <c r="M3561">
        <v>655.29998779000005</v>
      </c>
      <c r="N3561" t="s">
        <v>1956</v>
      </c>
      <c r="O3561" t="s">
        <v>43</v>
      </c>
      <c r="P3561" t="s">
        <v>43</v>
      </c>
      <c r="Q3561" t="s">
        <v>43</v>
      </c>
      <c r="R3561">
        <v>-1000</v>
      </c>
      <c r="S3561">
        <v>0</v>
      </c>
      <c r="T3561" t="s">
        <v>43</v>
      </c>
      <c r="U3561" t="s">
        <v>43</v>
      </c>
      <c r="V3561">
        <v>-3000</v>
      </c>
      <c r="W3561">
        <v>36</v>
      </c>
      <c r="X3561">
        <v>36</v>
      </c>
      <c r="Y3561">
        <v>1</v>
      </c>
      <c r="Z3561">
        <v>9</v>
      </c>
      <c r="AA3561">
        <v>32</v>
      </c>
      <c r="AB3561">
        <v>2</v>
      </c>
      <c r="AC3561">
        <v>5</v>
      </c>
      <c r="AD3561">
        <v>3.4200000799999999</v>
      </c>
      <c r="AE3561">
        <v>4</v>
      </c>
      <c r="AF3561">
        <v>24</v>
      </c>
      <c r="AG3561">
        <v>3.4000001000000002</v>
      </c>
      <c r="AH3561">
        <v>5</v>
      </c>
      <c r="AI3561">
        <v>15</v>
      </c>
      <c r="AJ3561">
        <v>1</v>
      </c>
      <c r="AK3561">
        <v>12</v>
      </c>
      <c r="AL3561">
        <v>47</v>
      </c>
      <c r="AM3561" t="s">
        <v>43</v>
      </c>
      <c r="AN3561" t="str">
        <f>HYPERLINK("https://www.google.com/maps?q=10.76361561,79.69309235","Open Location")</f>
        <v>Open Location</v>
      </c>
    </row>
    <row r="3562" spans="1:40" x14ac:dyDescent="0.3">
      <c r="A3562" s="1">
        <v>46210.587384259263</v>
      </c>
      <c r="B3562" t="s">
        <v>40</v>
      </c>
      <c r="C3562" t="s">
        <v>41</v>
      </c>
      <c r="D3562" s="1">
        <v>46210.590358796297</v>
      </c>
      <c r="E3562" t="s">
        <v>42</v>
      </c>
      <c r="F3562" t="s">
        <v>43</v>
      </c>
      <c r="G3562">
        <v>0</v>
      </c>
      <c r="H3562">
        <v>33107</v>
      </c>
      <c r="I3562" t="s">
        <v>2123</v>
      </c>
      <c r="J3562">
        <v>62</v>
      </c>
      <c r="K3562">
        <v>-317</v>
      </c>
      <c r="L3562">
        <v>98</v>
      </c>
      <c r="M3562">
        <v>654.90002441000001</v>
      </c>
      <c r="N3562" t="s">
        <v>1956</v>
      </c>
      <c r="O3562" t="s">
        <v>43</v>
      </c>
      <c r="P3562">
        <v>125</v>
      </c>
      <c r="Q3562" t="s">
        <v>43</v>
      </c>
      <c r="R3562" t="s">
        <v>43</v>
      </c>
      <c r="S3562" t="s">
        <v>43</v>
      </c>
      <c r="T3562">
        <v>-40</v>
      </c>
      <c r="U3562">
        <v>-40</v>
      </c>
      <c r="V3562" t="s">
        <v>43</v>
      </c>
      <c r="W3562">
        <v>36</v>
      </c>
      <c r="X3562">
        <v>36</v>
      </c>
      <c r="Y3562">
        <v>1</v>
      </c>
      <c r="Z3562">
        <v>9</v>
      </c>
      <c r="AA3562">
        <v>32</v>
      </c>
      <c r="AB3562">
        <v>2</v>
      </c>
      <c r="AC3562">
        <v>5</v>
      </c>
      <c r="AD3562">
        <v>3.4200000799999999</v>
      </c>
      <c r="AE3562">
        <v>6</v>
      </c>
      <c r="AF3562">
        <v>24</v>
      </c>
      <c r="AG3562">
        <v>3.39899993</v>
      </c>
      <c r="AH3562">
        <v>5</v>
      </c>
      <c r="AI3562">
        <v>15</v>
      </c>
      <c r="AJ3562">
        <v>1</v>
      </c>
      <c r="AK3562">
        <v>12</v>
      </c>
      <c r="AL3562">
        <v>47</v>
      </c>
      <c r="AM3562" t="s">
        <v>43</v>
      </c>
      <c r="AN3562" t="str">
        <f>HYPERLINK("https://www.google.com/maps?q=10.76361656,79.69309235","Open Location")</f>
        <v>Open Location</v>
      </c>
    </row>
    <row r="3563" spans="1:40" x14ac:dyDescent="0.3">
      <c r="A3563" s="1">
        <v>46210.587268518517</v>
      </c>
      <c r="B3563" t="s">
        <v>40</v>
      </c>
      <c r="C3563" t="s">
        <v>41</v>
      </c>
      <c r="D3563" s="1">
        <v>46210.590358796297</v>
      </c>
      <c r="E3563" t="s">
        <v>42</v>
      </c>
      <c r="F3563" t="s">
        <v>43</v>
      </c>
      <c r="G3563">
        <v>0</v>
      </c>
      <c r="H3563">
        <v>33107</v>
      </c>
      <c r="I3563" t="s">
        <v>2124</v>
      </c>
      <c r="J3563">
        <v>62</v>
      </c>
      <c r="K3563">
        <v>-320</v>
      </c>
      <c r="L3563">
        <v>98</v>
      </c>
      <c r="M3563">
        <v>655</v>
      </c>
      <c r="N3563" t="s">
        <v>1956</v>
      </c>
      <c r="O3563" t="s">
        <v>43</v>
      </c>
      <c r="P3563">
        <v>125</v>
      </c>
      <c r="Q3563" t="s">
        <v>43</v>
      </c>
      <c r="R3563">
        <v>-1000</v>
      </c>
      <c r="S3563">
        <v>0</v>
      </c>
      <c r="T3563">
        <v>-40</v>
      </c>
      <c r="U3563">
        <v>-40</v>
      </c>
      <c r="V3563">
        <v>-3000</v>
      </c>
      <c r="W3563">
        <v>36</v>
      </c>
      <c r="X3563">
        <v>36</v>
      </c>
      <c r="Y3563">
        <v>1</v>
      </c>
      <c r="Z3563">
        <v>9</v>
      </c>
      <c r="AA3563">
        <v>32</v>
      </c>
      <c r="AB3563">
        <v>2</v>
      </c>
      <c r="AC3563">
        <v>5</v>
      </c>
      <c r="AD3563">
        <v>3.4189999100000001</v>
      </c>
      <c r="AE3563">
        <v>6</v>
      </c>
      <c r="AF3563">
        <v>24</v>
      </c>
      <c r="AG3563">
        <v>3.3980000000000001</v>
      </c>
      <c r="AH3563">
        <v>5</v>
      </c>
      <c r="AI3563">
        <v>15</v>
      </c>
      <c r="AJ3563">
        <v>1</v>
      </c>
      <c r="AK3563">
        <v>12</v>
      </c>
      <c r="AL3563">
        <v>47</v>
      </c>
      <c r="AM3563" t="s">
        <v>43</v>
      </c>
      <c r="AN3563" t="str">
        <f>HYPERLINK("https://www.google.com/maps?q=10.76361942,79.6931076","Open Location")</f>
        <v>Open Location</v>
      </c>
    </row>
    <row r="3564" spans="1:40" x14ac:dyDescent="0.3">
      <c r="A3564" s="1">
        <v>46210.587152777778</v>
      </c>
      <c r="B3564" t="s">
        <v>40</v>
      </c>
      <c r="C3564" t="s">
        <v>41</v>
      </c>
      <c r="D3564" s="1">
        <v>46210.59</v>
      </c>
      <c r="E3564" t="s">
        <v>42</v>
      </c>
      <c r="F3564" t="s">
        <v>43</v>
      </c>
      <c r="G3564">
        <v>0</v>
      </c>
      <c r="H3564">
        <v>33107</v>
      </c>
      <c r="I3564" t="s">
        <v>2125</v>
      </c>
      <c r="J3564">
        <v>62</v>
      </c>
      <c r="K3564">
        <v>-320</v>
      </c>
      <c r="L3564">
        <v>98</v>
      </c>
      <c r="M3564">
        <v>654.5</v>
      </c>
      <c r="N3564" t="s">
        <v>1956</v>
      </c>
      <c r="O3564" t="s">
        <v>43</v>
      </c>
      <c r="P3564">
        <v>125</v>
      </c>
      <c r="Q3564" t="s">
        <v>43</v>
      </c>
      <c r="R3564">
        <v>-1000</v>
      </c>
      <c r="S3564">
        <v>0</v>
      </c>
      <c r="T3564">
        <v>-40</v>
      </c>
      <c r="U3564">
        <v>-40</v>
      </c>
      <c r="V3564">
        <v>-3000</v>
      </c>
      <c r="W3564">
        <v>36</v>
      </c>
      <c r="X3564">
        <v>36</v>
      </c>
      <c r="Y3564">
        <v>5</v>
      </c>
      <c r="Z3564">
        <v>3</v>
      </c>
      <c r="AA3564">
        <v>32</v>
      </c>
      <c r="AB3564">
        <v>2</v>
      </c>
      <c r="AC3564">
        <v>2</v>
      </c>
      <c r="AD3564">
        <v>3.4189999100000001</v>
      </c>
      <c r="AE3564">
        <v>6</v>
      </c>
      <c r="AF3564">
        <v>24</v>
      </c>
      <c r="AG3564">
        <v>3.3970000699999998</v>
      </c>
      <c r="AH3564">
        <v>5</v>
      </c>
      <c r="AI3564">
        <v>15</v>
      </c>
      <c r="AJ3564">
        <v>1</v>
      </c>
      <c r="AK3564">
        <v>12</v>
      </c>
      <c r="AL3564">
        <v>47</v>
      </c>
      <c r="AM3564" t="s">
        <v>43</v>
      </c>
      <c r="AN3564" t="str">
        <f>HYPERLINK("https://www.google.com/maps?q=10.7636137,79.6931076","Open Location")</f>
        <v>Open Location</v>
      </c>
    </row>
    <row r="3565" spans="1:40" x14ac:dyDescent="0.3">
      <c r="A3565" s="1">
        <v>46210.587037037039</v>
      </c>
      <c r="B3565" t="s">
        <v>40</v>
      </c>
      <c r="C3565" t="s">
        <v>41</v>
      </c>
      <c r="D3565" s="1">
        <v>46210.59</v>
      </c>
      <c r="E3565" t="s">
        <v>42</v>
      </c>
      <c r="F3565" t="s">
        <v>43</v>
      </c>
      <c r="G3565">
        <v>0</v>
      </c>
      <c r="H3565">
        <v>33107</v>
      </c>
      <c r="I3565" t="s">
        <v>2126</v>
      </c>
      <c r="J3565">
        <v>61</v>
      </c>
      <c r="K3565">
        <v>-319</v>
      </c>
      <c r="L3565">
        <v>98</v>
      </c>
      <c r="M3565">
        <v>654.59997558999999</v>
      </c>
      <c r="N3565" t="s">
        <v>1956</v>
      </c>
      <c r="O3565" t="s">
        <v>43</v>
      </c>
      <c r="P3565">
        <v>125</v>
      </c>
      <c r="Q3565" t="s">
        <v>43</v>
      </c>
      <c r="R3565">
        <v>-1000</v>
      </c>
      <c r="S3565">
        <v>0</v>
      </c>
      <c r="T3565">
        <v>-40</v>
      </c>
      <c r="U3565">
        <v>-40</v>
      </c>
      <c r="V3565">
        <v>-3000</v>
      </c>
      <c r="W3565">
        <v>36</v>
      </c>
      <c r="X3565">
        <v>36</v>
      </c>
      <c r="Y3565">
        <v>5</v>
      </c>
      <c r="Z3565">
        <v>3</v>
      </c>
      <c r="AA3565">
        <v>32</v>
      </c>
      <c r="AB3565">
        <v>2</v>
      </c>
      <c r="AC3565">
        <v>2</v>
      </c>
      <c r="AD3565">
        <v>3.4179999799999998</v>
      </c>
      <c r="AE3565">
        <v>6</v>
      </c>
      <c r="AF3565">
        <v>24</v>
      </c>
      <c r="AG3565">
        <v>3.39599991</v>
      </c>
      <c r="AH3565">
        <v>5</v>
      </c>
      <c r="AI3565">
        <v>15</v>
      </c>
      <c r="AJ3565">
        <v>1</v>
      </c>
      <c r="AK3565">
        <v>12</v>
      </c>
      <c r="AL3565">
        <v>47</v>
      </c>
      <c r="AM3565" t="s">
        <v>43</v>
      </c>
      <c r="AN3565" t="str">
        <f>HYPERLINK("https://www.google.com/maps?q=10.76361465,79.69309235","Open Location")</f>
        <v>Open Location</v>
      </c>
    </row>
    <row r="3566" spans="1:40" x14ac:dyDescent="0.3">
      <c r="A3566" s="1">
        <v>46210.586921296293</v>
      </c>
      <c r="B3566" t="s">
        <v>40</v>
      </c>
      <c r="C3566" t="s">
        <v>41</v>
      </c>
      <c r="D3566" s="1">
        <v>46210.589861111112</v>
      </c>
      <c r="E3566" t="s">
        <v>42</v>
      </c>
      <c r="F3566" t="s">
        <v>43</v>
      </c>
      <c r="G3566">
        <v>0</v>
      </c>
      <c r="H3566">
        <v>33107</v>
      </c>
      <c r="I3566" t="s">
        <v>43</v>
      </c>
      <c r="J3566">
        <v>61</v>
      </c>
      <c r="K3566">
        <v>-321</v>
      </c>
      <c r="L3566">
        <v>98</v>
      </c>
      <c r="M3566">
        <v>654.59997558999999</v>
      </c>
      <c r="N3566" t="s">
        <v>1956</v>
      </c>
      <c r="O3566" t="s">
        <v>43</v>
      </c>
      <c r="P3566">
        <v>125</v>
      </c>
      <c r="Q3566" t="s">
        <v>43</v>
      </c>
      <c r="R3566">
        <v>-1000</v>
      </c>
      <c r="S3566">
        <v>0</v>
      </c>
      <c r="T3566">
        <v>-40</v>
      </c>
      <c r="U3566">
        <v>-40</v>
      </c>
      <c r="V3566">
        <v>-3000</v>
      </c>
      <c r="W3566">
        <v>36</v>
      </c>
      <c r="X3566">
        <v>36</v>
      </c>
      <c r="Y3566">
        <v>5</v>
      </c>
      <c r="Z3566">
        <v>3</v>
      </c>
      <c r="AA3566">
        <v>32</v>
      </c>
      <c r="AB3566">
        <v>2</v>
      </c>
      <c r="AC3566">
        <v>2</v>
      </c>
      <c r="AD3566">
        <v>3.4159998900000001</v>
      </c>
      <c r="AE3566">
        <v>4</v>
      </c>
      <c r="AF3566">
        <v>24</v>
      </c>
      <c r="AG3566">
        <v>3.3949999800000001</v>
      </c>
      <c r="AH3566">
        <v>5</v>
      </c>
      <c r="AI3566">
        <v>15</v>
      </c>
      <c r="AJ3566">
        <v>1</v>
      </c>
      <c r="AK3566">
        <v>12</v>
      </c>
      <c r="AL3566">
        <v>47</v>
      </c>
      <c r="AM3566" t="s">
        <v>43</v>
      </c>
      <c r="AN3566" t="s">
        <v>43</v>
      </c>
    </row>
    <row r="3567" spans="1:40" x14ac:dyDescent="0.3">
      <c r="A3567" s="1">
        <v>46210.586805555555</v>
      </c>
      <c r="B3567" t="s">
        <v>40</v>
      </c>
      <c r="C3567" t="s">
        <v>41</v>
      </c>
      <c r="D3567" s="1">
        <v>46210.589953703704</v>
      </c>
      <c r="E3567" t="s">
        <v>42</v>
      </c>
      <c r="F3567" t="s">
        <v>43</v>
      </c>
      <c r="G3567">
        <v>0</v>
      </c>
      <c r="H3567">
        <v>33107</v>
      </c>
      <c r="I3567" t="s">
        <v>2127</v>
      </c>
      <c r="J3567">
        <v>61</v>
      </c>
      <c r="K3567">
        <v>-284</v>
      </c>
      <c r="L3567">
        <v>98</v>
      </c>
      <c r="M3567">
        <v>652.79998779000005</v>
      </c>
      <c r="N3567" t="s">
        <v>1956</v>
      </c>
      <c r="O3567" t="s">
        <v>43</v>
      </c>
      <c r="P3567">
        <v>125</v>
      </c>
      <c r="Q3567" t="s">
        <v>43</v>
      </c>
      <c r="R3567">
        <v>-1000</v>
      </c>
      <c r="S3567">
        <v>0</v>
      </c>
      <c r="T3567">
        <v>-40</v>
      </c>
      <c r="U3567">
        <v>-40</v>
      </c>
      <c r="V3567">
        <v>-3000</v>
      </c>
      <c r="W3567">
        <v>36</v>
      </c>
      <c r="X3567">
        <v>36</v>
      </c>
      <c r="Y3567">
        <v>5</v>
      </c>
      <c r="Z3567">
        <v>3</v>
      </c>
      <c r="AA3567">
        <v>31</v>
      </c>
      <c r="AB3567">
        <v>7</v>
      </c>
      <c r="AC3567">
        <v>5</v>
      </c>
      <c r="AD3567">
        <v>3.4089999199999999</v>
      </c>
      <c r="AE3567">
        <v>6</v>
      </c>
      <c r="AF3567">
        <v>24</v>
      </c>
      <c r="AG3567">
        <v>3.3880000099999998</v>
      </c>
      <c r="AH3567">
        <v>5</v>
      </c>
      <c r="AI3567">
        <v>15</v>
      </c>
      <c r="AJ3567">
        <v>1</v>
      </c>
      <c r="AK3567">
        <v>12</v>
      </c>
      <c r="AL3567">
        <v>47</v>
      </c>
      <c r="AM3567" t="s">
        <v>43</v>
      </c>
      <c r="AN3567" t="str">
        <f>HYPERLINK("https://www.google.com/maps?q=10.76361561,79.69311523","Open Location")</f>
        <v>Open Location</v>
      </c>
    </row>
    <row r="3568" spans="1:40" x14ac:dyDescent="0.3">
      <c r="A3568" s="1">
        <v>46210.586689814816</v>
      </c>
      <c r="B3568" t="s">
        <v>40</v>
      </c>
      <c r="C3568" t="s">
        <v>41</v>
      </c>
      <c r="D3568" s="1">
        <v>46210.589837962965</v>
      </c>
      <c r="E3568" t="s">
        <v>42</v>
      </c>
      <c r="F3568" t="s">
        <v>43</v>
      </c>
      <c r="G3568">
        <v>0</v>
      </c>
      <c r="H3568">
        <v>33107</v>
      </c>
      <c r="I3568" t="s">
        <v>2128</v>
      </c>
      <c r="J3568">
        <v>61</v>
      </c>
      <c r="K3568">
        <v>-281</v>
      </c>
      <c r="L3568">
        <v>98</v>
      </c>
      <c r="M3568">
        <v>652.5</v>
      </c>
      <c r="N3568" t="s">
        <v>1956</v>
      </c>
      <c r="O3568" t="s">
        <v>43</v>
      </c>
      <c r="P3568">
        <v>125</v>
      </c>
      <c r="Q3568" t="s">
        <v>43</v>
      </c>
      <c r="R3568">
        <v>-1000</v>
      </c>
      <c r="S3568">
        <v>0</v>
      </c>
      <c r="T3568">
        <v>-40</v>
      </c>
      <c r="U3568">
        <v>-40</v>
      </c>
      <c r="V3568">
        <v>-3000</v>
      </c>
      <c r="W3568">
        <v>36</v>
      </c>
      <c r="X3568">
        <v>36</v>
      </c>
      <c r="Y3568">
        <v>5</v>
      </c>
      <c r="Z3568">
        <v>3</v>
      </c>
      <c r="AA3568">
        <v>31</v>
      </c>
      <c r="AB3568">
        <v>7</v>
      </c>
      <c r="AC3568">
        <v>5</v>
      </c>
      <c r="AD3568">
        <v>3.40799999</v>
      </c>
      <c r="AE3568">
        <v>6</v>
      </c>
      <c r="AF3568">
        <v>24</v>
      </c>
      <c r="AG3568">
        <v>3.38700008</v>
      </c>
      <c r="AH3568">
        <v>5</v>
      </c>
      <c r="AI3568">
        <v>15</v>
      </c>
      <c r="AJ3568">
        <v>1</v>
      </c>
      <c r="AK3568">
        <v>12</v>
      </c>
      <c r="AL3568">
        <v>47</v>
      </c>
      <c r="AM3568" t="s">
        <v>43</v>
      </c>
      <c r="AN3568" t="str">
        <f>HYPERLINK("https://www.google.com/maps?q=10.76361561,79.69313812","Open Location")</f>
        <v>Open Location</v>
      </c>
    </row>
    <row r="3569" spans="1:40" x14ac:dyDescent="0.3">
      <c r="A3569" s="1">
        <v>46210.586574074077</v>
      </c>
      <c r="B3569" t="s">
        <v>40</v>
      </c>
      <c r="C3569" t="s">
        <v>41</v>
      </c>
      <c r="D3569" s="1">
        <v>46210.58929398148</v>
      </c>
      <c r="E3569" t="s">
        <v>42</v>
      </c>
      <c r="F3569" t="s">
        <v>43</v>
      </c>
      <c r="G3569">
        <v>0</v>
      </c>
      <c r="H3569">
        <v>33107</v>
      </c>
      <c r="I3569" t="s">
        <v>2129</v>
      </c>
      <c r="J3569">
        <v>61</v>
      </c>
      <c r="K3569">
        <v>-280</v>
      </c>
      <c r="L3569">
        <v>98</v>
      </c>
      <c r="M3569">
        <v>652.5</v>
      </c>
      <c r="N3569" t="s">
        <v>1956</v>
      </c>
      <c r="O3569" t="s">
        <v>43</v>
      </c>
      <c r="P3569">
        <v>125</v>
      </c>
      <c r="Q3569" t="s">
        <v>43</v>
      </c>
      <c r="R3569">
        <v>-1000</v>
      </c>
      <c r="S3569">
        <v>0</v>
      </c>
      <c r="T3569">
        <v>-40</v>
      </c>
      <c r="U3569">
        <v>-40</v>
      </c>
      <c r="V3569">
        <v>-3000</v>
      </c>
      <c r="W3569">
        <v>36</v>
      </c>
      <c r="X3569">
        <v>36</v>
      </c>
      <c r="Y3569">
        <v>5</v>
      </c>
      <c r="Z3569">
        <v>3</v>
      </c>
      <c r="AA3569">
        <v>31</v>
      </c>
      <c r="AB3569">
        <v>7</v>
      </c>
      <c r="AC3569">
        <v>5</v>
      </c>
      <c r="AD3569">
        <v>3.40799999</v>
      </c>
      <c r="AE3569">
        <v>6</v>
      </c>
      <c r="AF3569">
        <v>24</v>
      </c>
      <c r="AG3569">
        <v>3.38700008</v>
      </c>
      <c r="AH3569">
        <v>5</v>
      </c>
      <c r="AI3569">
        <v>15</v>
      </c>
      <c r="AJ3569">
        <v>1</v>
      </c>
      <c r="AK3569">
        <v>12</v>
      </c>
      <c r="AL3569">
        <v>47</v>
      </c>
      <c r="AM3569" t="s">
        <v>43</v>
      </c>
      <c r="AN3569" t="str">
        <f>HYPERLINK("https://www.google.com/maps?q=10.76360703,79.69314575","Open Location")</f>
        <v>Open Location</v>
      </c>
    </row>
    <row r="3570" spans="1:40" x14ac:dyDescent="0.3">
      <c r="A3570" s="1">
        <v>46210.586458333331</v>
      </c>
      <c r="B3570" t="s">
        <v>40</v>
      </c>
      <c r="C3570" t="s">
        <v>41</v>
      </c>
      <c r="D3570" s="1">
        <v>46210.589444444442</v>
      </c>
      <c r="E3570" t="s">
        <v>42</v>
      </c>
      <c r="F3570" t="s">
        <v>43</v>
      </c>
      <c r="G3570">
        <v>0</v>
      </c>
      <c r="H3570">
        <v>33107</v>
      </c>
      <c r="I3570" t="s">
        <v>2130</v>
      </c>
      <c r="J3570">
        <v>60</v>
      </c>
      <c r="K3570">
        <v>-284</v>
      </c>
      <c r="L3570">
        <v>98</v>
      </c>
      <c r="M3570">
        <v>652.29998779000005</v>
      </c>
      <c r="N3570" t="s">
        <v>1956</v>
      </c>
      <c r="O3570" t="s">
        <v>43</v>
      </c>
      <c r="P3570">
        <v>125</v>
      </c>
      <c r="Q3570" t="s">
        <v>43</v>
      </c>
      <c r="R3570">
        <v>-1000</v>
      </c>
      <c r="S3570">
        <v>0</v>
      </c>
      <c r="T3570">
        <v>-40</v>
      </c>
      <c r="U3570">
        <v>-40</v>
      </c>
      <c r="V3570">
        <v>-3000</v>
      </c>
      <c r="W3570">
        <v>36</v>
      </c>
      <c r="X3570">
        <v>36</v>
      </c>
      <c r="Y3570">
        <v>5</v>
      </c>
      <c r="Z3570">
        <v>3</v>
      </c>
      <c r="AA3570">
        <v>31</v>
      </c>
      <c r="AB3570">
        <v>7</v>
      </c>
      <c r="AC3570">
        <v>5</v>
      </c>
      <c r="AD3570">
        <v>3.40799999</v>
      </c>
      <c r="AE3570">
        <v>6</v>
      </c>
      <c r="AF3570">
        <v>24</v>
      </c>
      <c r="AG3570">
        <v>3.38700008</v>
      </c>
      <c r="AH3570">
        <v>5</v>
      </c>
      <c r="AI3570">
        <v>15</v>
      </c>
      <c r="AJ3570">
        <v>1</v>
      </c>
      <c r="AK3570">
        <v>11</v>
      </c>
      <c r="AL3570">
        <v>47</v>
      </c>
      <c r="AM3570" t="s">
        <v>43</v>
      </c>
      <c r="AN3570" t="str">
        <f>HYPERLINK("https://www.google.com/maps?q=10.7636137,79.69314575","Open Location")</f>
        <v>Open Location</v>
      </c>
    </row>
    <row r="3571" spans="1:40" x14ac:dyDescent="0.3">
      <c r="A3571" s="1">
        <v>46210.586342592593</v>
      </c>
      <c r="B3571" t="s">
        <v>40</v>
      </c>
      <c r="C3571" t="s">
        <v>41</v>
      </c>
      <c r="D3571" s="1">
        <v>46210.589212962965</v>
      </c>
      <c r="E3571" t="s">
        <v>42</v>
      </c>
      <c r="F3571" t="s">
        <v>43</v>
      </c>
      <c r="G3571">
        <v>0</v>
      </c>
      <c r="H3571">
        <v>33107</v>
      </c>
      <c r="I3571" t="s">
        <v>43</v>
      </c>
      <c r="J3571">
        <v>60</v>
      </c>
      <c r="K3571">
        <v>-285</v>
      </c>
      <c r="L3571">
        <v>98</v>
      </c>
      <c r="M3571">
        <v>652.40002441000001</v>
      </c>
      <c r="N3571" t="s">
        <v>1956</v>
      </c>
      <c r="O3571" t="s">
        <v>43</v>
      </c>
      <c r="P3571">
        <v>125</v>
      </c>
      <c r="Q3571" t="s">
        <v>43</v>
      </c>
      <c r="R3571">
        <v>-1000</v>
      </c>
      <c r="S3571">
        <v>0</v>
      </c>
      <c r="T3571">
        <v>-40</v>
      </c>
      <c r="U3571">
        <v>-40</v>
      </c>
      <c r="V3571">
        <v>-3000</v>
      </c>
      <c r="W3571">
        <v>36</v>
      </c>
      <c r="X3571">
        <v>36</v>
      </c>
      <c r="Y3571">
        <v>5</v>
      </c>
      <c r="Z3571">
        <v>3</v>
      </c>
      <c r="AA3571">
        <v>31</v>
      </c>
      <c r="AB3571">
        <v>7</v>
      </c>
      <c r="AC3571">
        <v>5</v>
      </c>
      <c r="AD3571">
        <v>3.4070000600000001</v>
      </c>
      <c r="AE3571">
        <v>6</v>
      </c>
      <c r="AF3571">
        <v>24</v>
      </c>
      <c r="AG3571">
        <v>3.3859999200000002</v>
      </c>
      <c r="AH3571">
        <v>5</v>
      </c>
      <c r="AI3571">
        <v>15</v>
      </c>
      <c r="AJ3571">
        <v>1</v>
      </c>
      <c r="AK3571">
        <v>12</v>
      </c>
      <c r="AL3571">
        <v>47</v>
      </c>
      <c r="AM3571" t="s">
        <v>43</v>
      </c>
      <c r="AN3571" t="s">
        <v>43</v>
      </c>
    </row>
    <row r="3572" spans="1:40" x14ac:dyDescent="0.3">
      <c r="A3572" s="1">
        <v>46210.586226851854</v>
      </c>
      <c r="B3572" t="s">
        <v>40</v>
      </c>
      <c r="C3572" t="s">
        <v>41</v>
      </c>
      <c r="D3572" s="1">
        <v>46210.589189814818</v>
      </c>
      <c r="E3572" t="s">
        <v>42</v>
      </c>
      <c r="F3572" t="s">
        <v>43</v>
      </c>
      <c r="G3572">
        <v>0</v>
      </c>
      <c r="H3572">
        <v>33107</v>
      </c>
      <c r="I3572" t="s">
        <v>2131</v>
      </c>
      <c r="J3572">
        <v>60</v>
      </c>
      <c r="K3572">
        <v>-285</v>
      </c>
      <c r="L3572">
        <v>98</v>
      </c>
      <c r="M3572">
        <v>652.40002441000001</v>
      </c>
      <c r="N3572" t="s">
        <v>1956</v>
      </c>
      <c r="O3572" t="s">
        <v>43</v>
      </c>
      <c r="P3572">
        <v>125</v>
      </c>
      <c r="Q3572" t="s">
        <v>43</v>
      </c>
      <c r="R3572">
        <v>-1000</v>
      </c>
      <c r="S3572">
        <v>0</v>
      </c>
      <c r="T3572">
        <v>-40</v>
      </c>
      <c r="U3572">
        <v>-40</v>
      </c>
      <c r="V3572">
        <v>-3000</v>
      </c>
      <c r="W3572">
        <v>36</v>
      </c>
      <c r="X3572">
        <v>36</v>
      </c>
      <c r="Y3572">
        <v>5</v>
      </c>
      <c r="Z3572">
        <v>3</v>
      </c>
      <c r="AA3572">
        <v>31</v>
      </c>
      <c r="AB3572">
        <v>7</v>
      </c>
      <c r="AC3572">
        <v>5</v>
      </c>
      <c r="AD3572">
        <v>3.4070000600000001</v>
      </c>
      <c r="AE3572">
        <v>6</v>
      </c>
      <c r="AF3572">
        <v>24</v>
      </c>
      <c r="AG3572">
        <v>3.3859999200000002</v>
      </c>
      <c r="AH3572">
        <v>5</v>
      </c>
      <c r="AI3572">
        <v>15</v>
      </c>
      <c r="AJ3572">
        <v>1</v>
      </c>
      <c r="AK3572">
        <v>12</v>
      </c>
      <c r="AL3572">
        <v>47</v>
      </c>
      <c r="AM3572" t="s">
        <v>43</v>
      </c>
      <c r="AN3572" t="str">
        <f>HYPERLINK("https://www.google.com/maps?q=10.76361179,79.69313812","Open Location")</f>
        <v>Open Location</v>
      </c>
    </row>
    <row r="3573" spans="1:40" x14ac:dyDescent="0.3">
      <c r="A3573" s="1">
        <v>46210.586111111108</v>
      </c>
      <c r="B3573" t="s">
        <v>40</v>
      </c>
      <c r="C3573" t="s">
        <v>41</v>
      </c>
      <c r="D3573" s="1">
        <v>46210.589212962965</v>
      </c>
      <c r="E3573" t="s">
        <v>42</v>
      </c>
      <c r="F3573" t="s">
        <v>43</v>
      </c>
      <c r="G3573">
        <v>0</v>
      </c>
      <c r="H3573">
        <v>33107</v>
      </c>
      <c r="I3573" t="s">
        <v>2132</v>
      </c>
      <c r="J3573">
        <v>60</v>
      </c>
      <c r="K3573">
        <v>-285</v>
      </c>
      <c r="L3573">
        <v>98</v>
      </c>
      <c r="M3573">
        <v>652.09997558999999</v>
      </c>
      <c r="N3573" t="s">
        <v>1956</v>
      </c>
      <c r="O3573" t="s">
        <v>43</v>
      </c>
      <c r="P3573">
        <v>125</v>
      </c>
      <c r="Q3573" t="s">
        <v>43</v>
      </c>
      <c r="R3573">
        <v>-1000</v>
      </c>
      <c r="S3573">
        <v>0</v>
      </c>
      <c r="T3573">
        <v>-40</v>
      </c>
      <c r="U3573">
        <v>-40</v>
      </c>
      <c r="V3573">
        <v>-3000</v>
      </c>
      <c r="W3573">
        <v>36</v>
      </c>
      <c r="X3573">
        <v>36</v>
      </c>
      <c r="Y3573">
        <v>5</v>
      </c>
      <c r="Z3573">
        <v>3</v>
      </c>
      <c r="AA3573">
        <v>31</v>
      </c>
      <c r="AB3573">
        <v>7</v>
      </c>
      <c r="AC3573">
        <v>5</v>
      </c>
      <c r="AD3573">
        <v>3.4070000600000001</v>
      </c>
      <c r="AE3573">
        <v>6</v>
      </c>
      <c r="AF3573">
        <v>24</v>
      </c>
      <c r="AG3573">
        <v>3.3859999200000002</v>
      </c>
      <c r="AH3573">
        <v>5</v>
      </c>
      <c r="AI3573">
        <v>15</v>
      </c>
      <c r="AJ3573">
        <v>1</v>
      </c>
      <c r="AK3573">
        <v>12</v>
      </c>
      <c r="AL3573">
        <v>47</v>
      </c>
      <c r="AM3573" t="s">
        <v>43</v>
      </c>
      <c r="AN3573" t="str">
        <f>HYPERLINK("https://www.google.com/maps?q=10.76361465,79.69315338","Open Location")</f>
        <v>Open Location</v>
      </c>
    </row>
    <row r="3574" spans="1:40" x14ac:dyDescent="0.3">
      <c r="A3574" s="1">
        <v>46210.585995370369</v>
      </c>
      <c r="B3574" t="s">
        <v>40</v>
      </c>
      <c r="C3574" t="s">
        <v>41</v>
      </c>
      <c r="D3574" s="1">
        <v>46210.588865740741</v>
      </c>
      <c r="E3574" t="s">
        <v>42</v>
      </c>
      <c r="F3574" t="s">
        <v>43</v>
      </c>
      <c r="G3574">
        <v>0</v>
      </c>
      <c r="H3574">
        <v>33107</v>
      </c>
      <c r="I3574" t="s">
        <v>2133</v>
      </c>
      <c r="J3574">
        <v>60</v>
      </c>
      <c r="K3574">
        <v>-285</v>
      </c>
      <c r="L3574">
        <v>98</v>
      </c>
      <c r="M3574">
        <v>652.29998779000005</v>
      </c>
      <c r="N3574" t="s">
        <v>1956</v>
      </c>
      <c r="O3574" t="s">
        <v>43</v>
      </c>
      <c r="P3574">
        <v>125</v>
      </c>
      <c r="Q3574" t="s">
        <v>43</v>
      </c>
      <c r="R3574">
        <v>-1000</v>
      </c>
      <c r="S3574">
        <v>0</v>
      </c>
      <c r="T3574">
        <v>-40</v>
      </c>
      <c r="U3574">
        <v>-40</v>
      </c>
      <c r="V3574">
        <v>-3000</v>
      </c>
      <c r="W3574">
        <v>36</v>
      </c>
      <c r="X3574">
        <v>36</v>
      </c>
      <c r="Y3574">
        <v>5</v>
      </c>
      <c r="Z3574">
        <v>3</v>
      </c>
      <c r="AA3574">
        <v>31</v>
      </c>
      <c r="AB3574">
        <v>7</v>
      </c>
      <c r="AC3574">
        <v>5</v>
      </c>
      <c r="AD3574">
        <v>3.4070000600000001</v>
      </c>
      <c r="AE3574">
        <v>6</v>
      </c>
      <c r="AF3574">
        <v>24</v>
      </c>
      <c r="AG3574">
        <v>3.3849999899999998</v>
      </c>
      <c r="AH3574">
        <v>5</v>
      </c>
      <c r="AI3574">
        <v>48</v>
      </c>
      <c r="AJ3574">
        <v>1</v>
      </c>
      <c r="AK3574">
        <v>13</v>
      </c>
      <c r="AL3574">
        <v>47</v>
      </c>
      <c r="AM3574" t="s">
        <v>43</v>
      </c>
      <c r="AN3574" t="str">
        <f>HYPERLINK("https://www.google.com/maps?q=10.76362419,79.69313812","Open Location")</f>
        <v>Open Location</v>
      </c>
    </row>
    <row r="3575" spans="1:40" x14ac:dyDescent="0.3">
      <c r="A3575" s="1">
        <v>46210.585879629631</v>
      </c>
      <c r="B3575" t="s">
        <v>40</v>
      </c>
      <c r="C3575" t="s">
        <v>41</v>
      </c>
      <c r="D3575" s="1">
        <v>46210.588750000003</v>
      </c>
      <c r="E3575" t="s">
        <v>42</v>
      </c>
      <c r="F3575" t="s">
        <v>43</v>
      </c>
      <c r="G3575">
        <v>0</v>
      </c>
      <c r="H3575">
        <v>33107</v>
      </c>
      <c r="I3575" t="s">
        <v>2134</v>
      </c>
      <c r="J3575">
        <v>60</v>
      </c>
      <c r="K3575">
        <v>-285</v>
      </c>
      <c r="L3575">
        <v>98</v>
      </c>
      <c r="M3575">
        <v>652.29998779000005</v>
      </c>
      <c r="N3575" t="s">
        <v>1956</v>
      </c>
      <c r="O3575" t="s">
        <v>43</v>
      </c>
      <c r="P3575">
        <v>125</v>
      </c>
      <c r="Q3575" t="s">
        <v>43</v>
      </c>
      <c r="R3575">
        <v>-1000</v>
      </c>
      <c r="S3575">
        <v>0</v>
      </c>
      <c r="T3575">
        <v>-40</v>
      </c>
      <c r="U3575">
        <v>-40</v>
      </c>
      <c r="V3575">
        <v>-3000</v>
      </c>
      <c r="W3575">
        <v>36</v>
      </c>
      <c r="X3575">
        <v>36</v>
      </c>
      <c r="Y3575">
        <v>5</v>
      </c>
      <c r="Z3575">
        <v>3</v>
      </c>
      <c r="AA3575">
        <v>31</v>
      </c>
      <c r="AB3575">
        <v>7</v>
      </c>
      <c r="AC3575">
        <v>5</v>
      </c>
      <c r="AD3575">
        <v>3.4070000600000001</v>
      </c>
      <c r="AE3575">
        <v>6</v>
      </c>
      <c r="AF3575">
        <v>24</v>
      </c>
      <c r="AG3575">
        <v>3.3849999899999998</v>
      </c>
      <c r="AH3575">
        <v>5</v>
      </c>
      <c r="AI3575">
        <v>48</v>
      </c>
      <c r="AJ3575">
        <v>1</v>
      </c>
      <c r="AK3575">
        <v>12</v>
      </c>
      <c r="AL3575">
        <v>47</v>
      </c>
      <c r="AM3575" t="s">
        <v>43</v>
      </c>
      <c r="AN3575" t="str">
        <f>HYPERLINK("https://www.google.com/maps?q=10.76362038,79.69313049","Open Location")</f>
        <v>Open Location</v>
      </c>
    </row>
    <row r="3576" spans="1:40" x14ac:dyDescent="0.3">
      <c r="A3576" s="1">
        <v>46210.585763888892</v>
      </c>
      <c r="B3576" t="s">
        <v>40</v>
      </c>
      <c r="C3576" t="s">
        <v>41</v>
      </c>
      <c r="D3576" s="1">
        <v>46210.588599537034</v>
      </c>
      <c r="E3576" t="s">
        <v>42</v>
      </c>
      <c r="F3576" t="s">
        <v>43</v>
      </c>
      <c r="G3576">
        <v>0</v>
      </c>
      <c r="H3576">
        <v>33107</v>
      </c>
      <c r="I3576" t="s">
        <v>2135</v>
      </c>
      <c r="J3576">
        <v>59</v>
      </c>
      <c r="K3576">
        <v>-285</v>
      </c>
      <c r="L3576">
        <v>98</v>
      </c>
      <c r="M3576">
        <v>652.20001220999995</v>
      </c>
      <c r="N3576" t="s">
        <v>1956</v>
      </c>
      <c r="O3576" t="s">
        <v>43</v>
      </c>
      <c r="P3576">
        <v>125</v>
      </c>
      <c r="Q3576" t="s">
        <v>43</v>
      </c>
      <c r="R3576">
        <v>-1000</v>
      </c>
      <c r="S3576">
        <v>0</v>
      </c>
      <c r="T3576">
        <v>-40</v>
      </c>
      <c r="U3576">
        <v>-40</v>
      </c>
      <c r="V3576">
        <v>-3000</v>
      </c>
      <c r="W3576">
        <v>36</v>
      </c>
      <c r="X3576">
        <v>36</v>
      </c>
      <c r="Y3576">
        <v>5</v>
      </c>
      <c r="Z3576">
        <v>3</v>
      </c>
      <c r="AA3576">
        <v>31</v>
      </c>
      <c r="AB3576">
        <v>3</v>
      </c>
      <c r="AC3576">
        <v>5</v>
      </c>
      <c r="AD3576">
        <v>3.40799999</v>
      </c>
      <c r="AE3576">
        <v>6</v>
      </c>
      <c r="AF3576">
        <v>24</v>
      </c>
      <c r="AG3576">
        <v>3.3859999200000002</v>
      </c>
      <c r="AH3576">
        <v>5</v>
      </c>
      <c r="AI3576">
        <v>48</v>
      </c>
      <c r="AJ3576">
        <v>1</v>
      </c>
      <c r="AK3576">
        <v>12</v>
      </c>
      <c r="AL3576">
        <v>47</v>
      </c>
      <c r="AM3576" t="s">
        <v>43</v>
      </c>
      <c r="AN3576" t="str">
        <f>HYPERLINK("https://www.google.com/maps?q=10.76361275,79.69313049","Open Location")</f>
        <v>Open Location</v>
      </c>
    </row>
    <row r="3577" spans="1:40" x14ac:dyDescent="0.3">
      <c r="A3577" s="1">
        <v>46210.585648148146</v>
      </c>
      <c r="B3577" t="s">
        <v>40</v>
      </c>
      <c r="C3577" t="s">
        <v>41</v>
      </c>
      <c r="D3577" s="1">
        <v>46210.588750000003</v>
      </c>
      <c r="E3577" t="s">
        <v>42</v>
      </c>
      <c r="F3577" t="s">
        <v>43</v>
      </c>
      <c r="G3577">
        <v>0</v>
      </c>
      <c r="H3577">
        <v>33107</v>
      </c>
      <c r="I3577" t="s">
        <v>43</v>
      </c>
      <c r="J3577">
        <v>59</v>
      </c>
      <c r="K3577">
        <v>-318</v>
      </c>
      <c r="L3577">
        <v>98</v>
      </c>
      <c r="M3577">
        <v>653.5</v>
      </c>
      <c r="N3577" t="s">
        <v>1956</v>
      </c>
      <c r="O3577" t="s">
        <v>43</v>
      </c>
      <c r="P3577">
        <v>125</v>
      </c>
      <c r="Q3577" t="s">
        <v>43</v>
      </c>
      <c r="R3577">
        <v>-1000</v>
      </c>
      <c r="S3577">
        <v>0</v>
      </c>
      <c r="T3577">
        <v>-40</v>
      </c>
      <c r="U3577">
        <v>-40</v>
      </c>
      <c r="V3577">
        <v>-3000</v>
      </c>
      <c r="W3577">
        <v>36</v>
      </c>
      <c r="X3577">
        <v>36</v>
      </c>
      <c r="Y3577">
        <v>5</v>
      </c>
      <c r="Z3577">
        <v>3</v>
      </c>
      <c r="AA3577">
        <v>31</v>
      </c>
      <c r="AB3577">
        <v>2</v>
      </c>
      <c r="AC3577">
        <v>5</v>
      </c>
      <c r="AD3577">
        <v>3.41400003</v>
      </c>
      <c r="AE3577">
        <v>6</v>
      </c>
      <c r="AF3577">
        <v>24</v>
      </c>
      <c r="AG3577">
        <v>3.3910000299999998</v>
      </c>
      <c r="AH3577">
        <v>5</v>
      </c>
      <c r="AI3577">
        <v>15</v>
      </c>
      <c r="AJ3577">
        <v>1</v>
      </c>
      <c r="AK3577">
        <v>12</v>
      </c>
      <c r="AL3577">
        <v>47</v>
      </c>
      <c r="AM3577" t="s">
        <v>43</v>
      </c>
      <c r="AN3577" t="s">
        <v>43</v>
      </c>
    </row>
    <row r="3578" spans="1:40" x14ac:dyDescent="0.3">
      <c r="A3578" s="1">
        <v>46210.585532407407</v>
      </c>
      <c r="B3578" t="s">
        <v>40</v>
      </c>
      <c r="C3578" t="s">
        <v>41</v>
      </c>
      <c r="D3578" s="1">
        <v>46210.588750000003</v>
      </c>
      <c r="E3578" t="s">
        <v>42</v>
      </c>
      <c r="F3578" t="s">
        <v>43</v>
      </c>
      <c r="G3578">
        <v>0</v>
      </c>
      <c r="H3578">
        <v>33107</v>
      </c>
      <c r="I3578" t="s">
        <v>2136</v>
      </c>
      <c r="J3578">
        <v>59</v>
      </c>
      <c r="K3578">
        <v>-321</v>
      </c>
      <c r="L3578">
        <v>98</v>
      </c>
      <c r="M3578">
        <v>653.5</v>
      </c>
      <c r="N3578" t="s">
        <v>1956</v>
      </c>
      <c r="O3578" t="s">
        <v>43</v>
      </c>
      <c r="P3578">
        <v>125</v>
      </c>
      <c r="Q3578" t="s">
        <v>43</v>
      </c>
      <c r="R3578">
        <v>-1000</v>
      </c>
      <c r="S3578">
        <v>0</v>
      </c>
      <c r="T3578">
        <v>-40</v>
      </c>
      <c r="U3578">
        <v>-40</v>
      </c>
      <c r="V3578">
        <v>-3000</v>
      </c>
      <c r="W3578">
        <v>36</v>
      </c>
      <c r="X3578">
        <v>36</v>
      </c>
      <c r="Y3578">
        <v>5</v>
      </c>
      <c r="Z3578">
        <v>9</v>
      </c>
      <c r="AA3578">
        <v>31</v>
      </c>
      <c r="AB3578">
        <v>2</v>
      </c>
      <c r="AC3578">
        <v>5</v>
      </c>
      <c r="AD3578">
        <v>3.41300011</v>
      </c>
      <c r="AE3578">
        <v>6</v>
      </c>
      <c r="AF3578">
        <v>24</v>
      </c>
      <c r="AG3578">
        <v>3.3889999400000002</v>
      </c>
      <c r="AH3578">
        <v>5</v>
      </c>
      <c r="AI3578">
        <v>48</v>
      </c>
      <c r="AJ3578">
        <v>1</v>
      </c>
      <c r="AK3578">
        <v>11</v>
      </c>
      <c r="AL3578">
        <v>47</v>
      </c>
      <c r="AM3578" t="s">
        <v>43</v>
      </c>
      <c r="AN3578" t="str">
        <f>HYPERLINK("https://www.google.com/maps?q=10.76360893,79.69313049","Open Location")</f>
        <v>Open Location</v>
      </c>
    </row>
    <row r="3579" spans="1:40" x14ac:dyDescent="0.3">
      <c r="A3579" s="1">
        <v>46210.585416666669</v>
      </c>
      <c r="B3579" t="s">
        <v>40</v>
      </c>
      <c r="C3579" t="s">
        <v>41</v>
      </c>
      <c r="D3579" s="1">
        <v>46210.588761574072</v>
      </c>
      <c r="E3579" t="s">
        <v>42</v>
      </c>
      <c r="F3579" t="s">
        <v>43</v>
      </c>
      <c r="G3579">
        <v>0</v>
      </c>
      <c r="H3579">
        <v>33107</v>
      </c>
      <c r="I3579" t="s">
        <v>2121</v>
      </c>
      <c r="J3579">
        <v>59</v>
      </c>
      <c r="K3579">
        <v>-321</v>
      </c>
      <c r="L3579">
        <v>98</v>
      </c>
      <c r="M3579">
        <v>653.20001220999995</v>
      </c>
      <c r="N3579" t="s">
        <v>1956</v>
      </c>
      <c r="O3579" t="s">
        <v>43</v>
      </c>
      <c r="P3579">
        <v>125</v>
      </c>
      <c r="Q3579" t="s">
        <v>43</v>
      </c>
      <c r="R3579">
        <v>-1000</v>
      </c>
      <c r="S3579">
        <v>0</v>
      </c>
      <c r="T3579">
        <v>-40</v>
      </c>
      <c r="U3579">
        <v>-40</v>
      </c>
      <c r="V3579">
        <v>-3000</v>
      </c>
      <c r="W3579">
        <v>36</v>
      </c>
      <c r="X3579">
        <v>36</v>
      </c>
      <c r="Y3579">
        <v>5</v>
      </c>
      <c r="Z3579">
        <v>9</v>
      </c>
      <c r="AA3579">
        <v>31</v>
      </c>
      <c r="AB3579">
        <v>2</v>
      </c>
      <c r="AC3579">
        <v>5</v>
      </c>
      <c r="AD3579">
        <v>3.4119999399999998</v>
      </c>
      <c r="AE3579">
        <v>6</v>
      </c>
      <c r="AF3579">
        <v>24</v>
      </c>
      <c r="AG3579">
        <v>3.3889999400000002</v>
      </c>
      <c r="AH3579">
        <v>5</v>
      </c>
      <c r="AI3579">
        <v>15</v>
      </c>
      <c r="AJ3579">
        <v>1</v>
      </c>
      <c r="AK3579">
        <v>11</v>
      </c>
      <c r="AL3579">
        <v>47</v>
      </c>
      <c r="AM3579" t="s">
        <v>43</v>
      </c>
      <c r="AN3579" t="str">
        <f>HYPERLINK("https://www.google.com/maps?q=10.76360703,79.6931076","Open Location")</f>
        <v>Open Location</v>
      </c>
    </row>
    <row r="3580" spans="1:40" x14ac:dyDescent="0.3">
      <c r="A3580" s="1">
        <v>46210.585300925923</v>
      </c>
      <c r="B3580" t="s">
        <v>40</v>
      </c>
      <c r="C3580" t="s">
        <v>41</v>
      </c>
      <c r="D3580" s="1">
        <v>46210.588761574072</v>
      </c>
      <c r="E3580" t="s">
        <v>42</v>
      </c>
      <c r="F3580" t="s">
        <v>43</v>
      </c>
      <c r="G3580">
        <v>0</v>
      </c>
      <c r="H3580">
        <v>33107</v>
      </c>
      <c r="I3580" t="s">
        <v>2125</v>
      </c>
      <c r="J3580">
        <v>59</v>
      </c>
      <c r="K3580">
        <v>-321</v>
      </c>
      <c r="L3580">
        <v>98</v>
      </c>
      <c r="M3580">
        <v>653.40002441000001</v>
      </c>
      <c r="N3580" t="s">
        <v>1956</v>
      </c>
      <c r="O3580" t="s">
        <v>43</v>
      </c>
      <c r="P3580">
        <v>125</v>
      </c>
      <c r="Q3580" t="s">
        <v>43</v>
      </c>
      <c r="R3580">
        <v>-1000</v>
      </c>
      <c r="S3580">
        <v>0</v>
      </c>
      <c r="T3580">
        <v>-40</v>
      </c>
      <c r="U3580">
        <v>-40</v>
      </c>
      <c r="V3580">
        <v>-3000</v>
      </c>
      <c r="W3580">
        <v>36</v>
      </c>
      <c r="X3580">
        <v>36</v>
      </c>
      <c r="Y3580">
        <v>5</v>
      </c>
      <c r="Z3580">
        <v>9</v>
      </c>
      <c r="AA3580">
        <v>31</v>
      </c>
      <c r="AB3580">
        <v>2</v>
      </c>
      <c r="AC3580">
        <v>5</v>
      </c>
      <c r="AD3580">
        <v>3.4119999399999998</v>
      </c>
      <c r="AE3580">
        <v>6</v>
      </c>
      <c r="AF3580">
        <v>24</v>
      </c>
      <c r="AG3580">
        <v>3.3880000099999998</v>
      </c>
      <c r="AH3580">
        <v>5</v>
      </c>
      <c r="AI3580">
        <v>48</v>
      </c>
      <c r="AJ3580">
        <v>1</v>
      </c>
      <c r="AK3580">
        <v>11</v>
      </c>
      <c r="AL3580">
        <v>47</v>
      </c>
      <c r="AM3580" t="s">
        <v>43</v>
      </c>
      <c r="AN3580" t="str">
        <f>HYPERLINK("https://www.google.com/maps?q=10.7636137,79.6931076","Open Location")</f>
        <v>Open Location</v>
      </c>
    </row>
    <row r="3581" spans="1:40" x14ac:dyDescent="0.3">
      <c r="A3581" s="1">
        <v>46210.585185185184</v>
      </c>
      <c r="B3581" t="s">
        <v>40</v>
      </c>
      <c r="C3581" t="s">
        <v>41</v>
      </c>
      <c r="D3581" s="1">
        <v>46210.588113425925</v>
      </c>
      <c r="E3581" t="s">
        <v>42</v>
      </c>
      <c r="F3581" t="s">
        <v>43</v>
      </c>
      <c r="G3581">
        <v>0</v>
      </c>
      <c r="H3581">
        <v>33107</v>
      </c>
      <c r="I3581" t="s">
        <v>2121</v>
      </c>
      <c r="J3581">
        <v>58</v>
      </c>
      <c r="K3581">
        <v>-322</v>
      </c>
      <c r="L3581">
        <v>98</v>
      </c>
      <c r="M3581">
        <v>653.09997558999999</v>
      </c>
      <c r="N3581" t="s">
        <v>1956</v>
      </c>
      <c r="O3581" t="s">
        <v>43</v>
      </c>
      <c r="P3581">
        <v>125</v>
      </c>
      <c r="Q3581" t="s">
        <v>43</v>
      </c>
      <c r="R3581">
        <v>-1000</v>
      </c>
      <c r="S3581">
        <v>0</v>
      </c>
      <c r="T3581">
        <v>-40</v>
      </c>
      <c r="U3581">
        <v>-40</v>
      </c>
      <c r="V3581">
        <v>-3000</v>
      </c>
      <c r="W3581">
        <v>36</v>
      </c>
      <c r="X3581">
        <v>36</v>
      </c>
      <c r="Y3581">
        <v>5</v>
      </c>
      <c r="Z3581">
        <v>9</v>
      </c>
      <c r="AA3581">
        <v>31</v>
      </c>
      <c r="AB3581">
        <v>2</v>
      </c>
      <c r="AC3581">
        <v>5</v>
      </c>
      <c r="AD3581">
        <v>3.4119999399999998</v>
      </c>
      <c r="AE3581">
        <v>6</v>
      </c>
      <c r="AF3581">
        <v>24</v>
      </c>
      <c r="AG3581">
        <v>3.3880000099999998</v>
      </c>
      <c r="AH3581">
        <v>5</v>
      </c>
      <c r="AI3581">
        <v>48</v>
      </c>
      <c r="AJ3581">
        <v>1</v>
      </c>
      <c r="AK3581">
        <v>11</v>
      </c>
      <c r="AL3581">
        <v>47</v>
      </c>
      <c r="AM3581" t="s">
        <v>43</v>
      </c>
      <c r="AN3581" t="str">
        <f>HYPERLINK("https://www.google.com/maps?q=10.76360703,79.6931076","Open Location")</f>
        <v>Open Location</v>
      </c>
    </row>
    <row r="3582" spans="1:40" x14ac:dyDescent="0.3">
      <c r="A3582" s="1">
        <v>46210.585069444445</v>
      </c>
      <c r="B3582" t="s">
        <v>40</v>
      </c>
      <c r="C3582" t="s">
        <v>41</v>
      </c>
      <c r="D3582" s="1">
        <v>46210.58834490741</v>
      </c>
      <c r="E3582" t="s">
        <v>42</v>
      </c>
      <c r="F3582" t="s">
        <v>43</v>
      </c>
      <c r="G3582">
        <v>0</v>
      </c>
      <c r="H3582">
        <v>33107</v>
      </c>
      <c r="I3582" t="s">
        <v>2137</v>
      </c>
      <c r="J3582">
        <v>58</v>
      </c>
      <c r="K3582">
        <v>-321</v>
      </c>
      <c r="L3582">
        <v>98</v>
      </c>
      <c r="M3582">
        <v>652.79998779000005</v>
      </c>
      <c r="N3582" t="s">
        <v>1956</v>
      </c>
      <c r="O3582" t="s">
        <v>43</v>
      </c>
      <c r="P3582">
        <v>125</v>
      </c>
      <c r="Q3582" t="s">
        <v>43</v>
      </c>
      <c r="R3582">
        <v>-1000</v>
      </c>
      <c r="S3582">
        <v>0</v>
      </c>
      <c r="T3582">
        <v>-40</v>
      </c>
      <c r="U3582">
        <v>-40</v>
      </c>
      <c r="V3582">
        <v>-3000</v>
      </c>
      <c r="W3582">
        <v>36</v>
      </c>
      <c r="X3582">
        <v>36</v>
      </c>
      <c r="Y3582">
        <v>5</v>
      </c>
      <c r="Z3582">
        <v>9</v>
      </c>
      <c r="AA3582">
        <v>31</v>
      </c>
      <c r="AB3582">
        <v>2</v>
      </c>
      <c r="AC3582">
        <v>5</v>
      </c>
      <c r="AD3582">
        <v>3.4119999399999998</v>
      </c>
      <c r="AE3582">
        <v>6</v>
      </c>
      <c r="AF3582">
        <v>24</v>
      </c>
      <c r="AG3582">
        <v>3.3880000099999998</v>
      </c>
      <c r="AH3582">
        <v>5</v>
      </c>
      <c r="AI3582">
        <v>15</v>
      </c>
      <c r="AJ3582">
        <v>1</v>
      </c>
      <c r="AK3582">
        <v>11</v>
      </c>
      <c r="AL3582">
        <v>47</v>
      </c>
      <c r="AM3582" t="s">
        <v>43</v>
      </c>
      <c r="AN3582" t="str">
        <f>HYPERLINK("https://www.google.com/maps?q=10.76361179,79.69311523","Open Location")</f>
        <v>Open Location</v>
      </c>
    </row>
    <row r="3583" spans="1:40" x14ac:dyDescent="0.3">
      <c r="A3583" s="1">
        <v>46210.584953703707</v>
      </c>
      <c r="B3583" t="s">
        <v>40</v>
      </c>
      <c r="C3583" t="s">
        <v>41</v>
      </c>
      <c r="D3583" s="1">
        <v>46210.587858796294</v>
      </c>
      <c r="E3583" t="s">
        <v>42</v>
      </c>
      <c r="F3583" t="s">
        <v>43</v>
      </c>
      <c r="G3583">
        <v>0</v>
      </c>
      <c r="H3583">
        <v>33107</v>
      </c>
      <c r="I3583" t="s">
        <v>43</v>
      </c>
      <c r="J3583">
        <v>58</v>
      </c>
      <c r="K3583">
        <v>-319</v>
      </c>
      <c r="L3583">
        <v>98</v>
      </c>
      <c r="M3583">
        <v>652.70001220999995</v>
      </c>
      <c r="N3583" t="s">
        <v>1956</v>
      </c>
      <c r="O3583" t="s">
        <v>43</v>
      </c>
      <c r="P3583">
        <v>125</v>
      </c>
      <c r="Q3583" t="s">
        <v>43</v>
      </c>
      <c r="R3583">
        <v>-1000</v>
      </c>
      <c r="S3583">
        <v>0</v>
      </c>
      <c r="T3583">
        <v>-40</v>
      </c>
      <c r="U3583">
        <v>-40</v>
      </c>
      <c r="V3583">
        <v>-3000</v>
      </c>
      <c r="W3583">
        <v>35</v>
      </c>
      <c r="X3583">
        <v>35</v>
      </c>
      <c r="Y3583">
        <v>1</v>
      </c>
      <c r="Z3583">
        <v>3</v>
      </c>
      <c r="AA3583">
        <v>31</v>
      </c>
      <c r="AB3583">
        <v>2</v>
      </c>
      <c r="AC3583">
        <v>5</v>
      </c>
      <c r="AD3583">
        <v>3.41000009</v>
      </c>
      <c r="AE3583">
        <v>6</v>
      </c>
      <c r="AF3583">
        <v>24</v>
      </c>
      <c r="AG3583">
        <v>3.3859999200000002</v>
      </c>
      <c r="AH3583">
        <v>5</v>
      </c>
      <c r="AI3583">
        <v>48</v>
      </c>
      <c r="AJ3583">
        <v>1</v>
      </c>
      <c r="AK3583">
        <v>12</v>
      </c>
      <c r="AL3583">
        <v>47</v>
      </c>
      <c r="AM3583" t="s">
        <v>43</v>
      </c>
      <c r="AN3583" t="s">
        <v>43</v>
      </c>
    </row>
    <row r="3584" spans="1:40" x14ac:dyDescent="0.3">
      <c r="A3584" s="1">
        <v>46210.584837962961</v>
      </c>
      <c r="B3584" t="s">
        <v>40</v>
      </c>
      <c r="C3584" t="s">
        <v>41</v>
      </c>
      <c r="D3584" s="1">
        <v>46210.58797453704</v>
      </c>
      <c r="E3584" t="s">
        <v>42</v>
      </c>
      <c r="F3584" t="s">
        <v>43</v>
      </c>
      <c r="G3584">
        <v>0</v>
      </c>
      <c r="H3584">
        <v>33107</v>
      </c>
      <c r="I3584" t="s">
        <v>2138</v>
      </c>
      <c r="J3584">
        <v>58</v>
      </c>
      <c r="K3584">
        <v>-321</v>
      </c>
      <c r="L3584">
        <v>98</v>
      </c>
      <c r="M3584">
        <v>652.59997558999999</v>
      </c>
      <c r="N3584" t="s">
        <v>1956</v>
      </c>
      <c r="O3584" t="s">
        <v>43</v>
      </c>
      <c r="P3584">
        <v>125</v>
      </c>
      <c r="Q3584" t="s">
        <v>43</v>
      </c>
      <c r="R3584">
        <v>-1000</v>
      </c>
      <c r="S3584">
        <v>0</v>
      </c>
      <c r="T3584">
        <v>-40</v>
      </c>
      <c r="U3584">
        <v>-40</v>
      </c>
      <c r="V3584">
        <v>-3000</v>
      </c>
      <c r="W3584">
        <v>35</v>
      </c>
      <c r="X3584">
        <v>35</v>
      </c>
      <c r="Y3584">
        <v>1</v>
      </c>
      <c r="Z3584">
        <v>3</v>
      </c>
      <c r="AA3584">
        <v>31</v>
      </c>
      <c r="AB3584">
        <v>2</v>
      </c>
      <c r="AC3584">
        <v>5</v>
      </c>
      <c r="AD3584">
        <v>3.41100001</v>
      </c>
      <c r="AE3584">
        <v>6</v>
      </c>
      <c r="AF3584">
        <v>24</v>
      </c>
      <c r="AG3584">
        <v>3.3859999200000002</v>
      </c>
      <c r="AH3584">
        <v>5</v>
      </c>
      <c r="AI3584">
        <v>48</v>
      </c>
      <c r="AJ3584">
        <v>1</v>
      </c>
      <c r="AK3584">
        <v>13</v>
      </c>
      <c r="AL3584">
        <v>47</v>
      </c>
      <c r="AM3584" t="s">
        <v>43</v>
      </c>
      <c r="AN3584" t="str">
        <f>HYPERLINK("https://www.google.com/maps?q=10.76360989,79.69311523","Open Location")</f>
        <v>Open Location</v>
      </c>
    </row>
    <row r="3585" spans="1:40" x14ac:dyDescent="0.3">
      <c r="A3585" s="1">
        <v>46210.584722222222</v>
      </c>
      <c r="B3585" t="s">
        <v>40</v>
      </c>
      <c r="C3585" t="s">
        <v>41</v>
      </c>
      <c r="D3585" s="1">
        <v>46210.587800925925</v>
      </c>
      <c r="E3585" t="s">
        <v>42</v>
      </c>
      <c r="F3585" t="s">
        <v>43</v>
      </c>
      <c r="G3585">
        <v>0</v>
      </c>
      <c r="H3585">
        <v>33107</v>
      </c>
      <c r="I3585" t="s">
        <v>2139</v>
      </c>
      <c r="J3585">
        <v>58</v>
      </c>
      <c r="K3585">
        <v>-320</v>
      </c>
      <c r="L3585">
        <v>98</v>
      </c>
      <c r="M3585">
        <v>652.5</v>
      </c>
      <c r="N3585" t="s">
        <v>1956</v>
      </c>
      <c r="O3585" t="s">
        <v>43</v>
      </c>
      <c r="P3585">
        <v>125</v>
      </c>
      <c r="Q3585" t="s">
        <v>43</v>
      </c>
      <c r="R3585">
        <v>-1000</v>
      </c>
      <c r="S3585">
        <v>0</v>
      </c>
      <c r="T3585">
        <v>-40</v>
      </c>
      <c r="U3585">
        <v>-40</v>
      </c>
      <c r="V3585">
        <v>-3000</v>
      </c>
      <c r="W3585">
        <v>35</v>
      </c>
      <c r="X3585">
        <v>35</v>
      </c>
      <c r="Y3585">
        <v>1</v>
      </c>
      <c r="Z3585">
        <v>7</v>
      </c>
      <c r="AA3585">
        <v>31</v>
      </c>
      <c r="AB3585">
        <v>2</v>
      </c>
      <c r="AC3585">
        <v>5</v>
      </c>
      <c r="AD3585">
        <v>3.41000009</v>
      </c>
      <c r="AE3585">
        <v>6</v>
      </c>
      <c r="AF3585">
        <v>24</v>
      </c>
      <c r="AG3585">
        <v>3.3859999200000002</v>
      </c>
      <c r="AH3585">
        <v>5</v>
      </c>
      <c r="AI3585">
        <v>48</v>
      </c>
      <c r="AJ3585">
        <v>1</v>
      </c>
      <c r="AK3585">
        <v>12</v>
      </c>
      <c r="AL3585">
        <v>47</v>
      </c>
      <c r="AM3585" t="s">
        <v>43</v>
      </c>
      <c r="AN3585" t="str">
        <f>HYPERLINK("https://www.google.com/maps?q=10.7635994,79.69312286","Open Location")</f>
        <v>Open Location</v>
      </c>
    </row>
    <row r="3586" spans="1:40" x14ac:dyDescent="0.3">
      <c r="A3586" s="1">
        <v>46210.584606481483</v>
      </c>
      <c r="B3586" t="s">
        <v>40</v>
      </c>
      <c r="C3586" t="s">
        <v>41</v>
      </c>
      <c r="D3586" s="1">
        <v>46210.58797453704</v>
      </c>
      <c r="E3586" t="s">
        <v>42</v>
      </c>
      <c r="F3586" t="s">
        <v>43</v>
      </c>
      <c r="G3586">
        <v>0</v>
      </c>
      <c r="H3586">
        <v>33107</v>
      </c>
      <c r="I3586" t="s">
        <v>2140</v>
      </c>
      <c r="J3586">
        <v>57</v>
      </c>
      <c r="K3586">
        <v>-322</v>
      </c>
      <c r="L3586">
        <v>98</v>
      </c>
      <c r="M3586">
        <v>652.5</v>
      </c>
      <c r="N3586" t="s">
        <v>1956</v>
      </c>
      <c r="O3586" t="s">
        <v>43</v>
      </c>
      <c r="P3586">
        <v>125</v>
      </c>
      <c r="Q3586" t="s">
        <v>43</v>
      </c>
      <c r="R3586">
        <v>-1000</v>
      </c>
      <c r="S3586">
        <v>0</v>
      </c>
      <c r="T3586">
        <v>-40</v>
      </c>
      <c r="U3586">
        <v>-40</v>
      </c>
      <c r="V3586">
        <v>-3000</v>
      </c>
      <c r="W3586">
        <v>35</v>
      </c>
      <c r="X3586">
        <v>35</v>
      </c>
      <c r="Y3586">
        <v>1</v>
      </c>
      <c r="Z3586">
        <v>7</v>
      </c>
      <c r="AA3586">
        <v>31</v>
      </c>
      <c r="AB3586">
        <v>2</v>
      </c>
      <c r="AC3586">
        <v>2</v>
      </c>
      <c r="AD3586">
        <v>3.4089999199999999</v>
      </c>
      <c r="AE3586">
        <v>6</v>
      </c>
      <c r="AF3586">
        <v>24</v>
      </c>
      <c r="AG3586">
        <v>3.3849999899999998</v>
      </c>
      <c r="AH3586">
        <v>5</v>
      </c>
      <c r="AI3586">
        <v>48</v>
      </c>
      <c r="AJ3586">
        <v>1</v>
      </c>
      <c r="AK3586">
        <v>12</v>
      </c>
      <c r="AL3586">
        <v>47</v>
      </c>
      <c r="AM3586" t="s">
        <v>43</v>
      </c>
      <c r="AN3586" t="str">
        <f>HYPERLINK("https://www.google.com/maps?q=10.76358891,79.69312286","Open Location")</f>
        <v>Open Location</v>
      </c>
    </row>
    <row r="3587" spans="1:40" x14ac:dyDescent="0.3">
      <c r="A3587" s="1">
        <v>46210.584490740737</v>
      </c>
      <c r="B3587" t="s">
        <v>40</v>
      </c>
      <c r="C3587" t="s">
        <v>41</v>
      </c>
      <c r="D3587" s="1">
        <v>46210.587627314817</v>
      </c>
      <c r="E3587" t="s">
        <v>42</v>
      </c>
      <c r="F3587" t="s">
        <v>43</v>
      </c>
      <c r="G3587">
        <v>0</v>
      </c>
      <c r="H3587">
        <v>33107</v>
      </c>
      <c r="I3587" t="s">
        <v>1978</v>
      </c>
      <c r="J3587">
        <v>57</v>
      </c>
      <c r="K3587">
        <v>-322</v>
      </c>
      <c r="L3587">
        <v>98</v>
      </c>
      <c r="M3587">
        <v>652.40002441000001</v>
      </c>
      <c r="N3587" t="s">
        <v>1956</v>
      </c>
      <c r="O3587" t="s">
        <v>43</v>
      </c>
      <c r="P3587">
        <v>125</v>
      </c>
      <c r="Q3587" t="s">
        <v>43</v>
      </c>
      <c r="R3587">
        <v>-1000</v>
      </c>
      <c r="S3587">
        <v>0</v>
      </c>
      <c r="T3587">
        <v>-40</v>
      </c>
      <c r="U3587">
        <v>-40</v>
      </c>
      <c r="V3587">
        <v>-3000</v>
      </c>
      <c r="W3587">
        <v>35</v>
      </c>
      <c r="X3587">
        <v>35</v>
      </c>
      <c r="Y3587">
        <v>1</v>
      </c>
      <c r="Z3587">
        <v>9</v>
      </c>
      <c r="AA3587">
        <v>31</v>
      </c>
      <c r="AB3587">
        <v>2</v>
      </c>
      <c r="AC3587">
        <v>2</v>
      </c>
      <c r="AD3587">
        <v>3.40799999</v>
      </c>
      <c r="AE3587">
        <v>6</v>
      </c>
      <c r="AF3587">
        <v>24</v>
      </c>
      <c r="AG3587">
        <v>3.38400006</v>
      </c>
      <c r="AH3587">
        <v>5</v>
      </c>
      <c r="AI3587">
        <v>48</v>
      </c>
      <c r="AJ3587">
        <v>1</v>
      </c>
      <c r="AK3587">
        <v>11</v>
      </c>
      <c r="AL3587">
        <v>47</v>
      </c>
      <c r="AM3587" t="s">
        <v>43</v>
      </c>
      <c r="AN3587" t="str">
        <f>HYPERLINK("https://www.google.com/maps?q=10.76359177,79.69312286","Open Location")</f>
        <v>Open Location</v>
      </c>
    </row>
    <row r="3588" spans="1:40" x14ac:dyDescent="0.3">
      <c r="A3588" s="1">
        <v>46210.584374999999</v>
      </c>
      <c r="B3588" t="s">
        <v>40</v>
      </c>
      <c r="C3588" t="s">
        <v>41</v>
      </c>
      <c r="D3588" s="1">
        <v>46210.587337962963</v>
      </c>
      <c r="E3588" t="s">
        <v>42</v>
      </c>
      <c r="F3588" t="s">
        <v>43</v>
      </c>
      <c r="G3588">
        <v>0</v>
      </c>
      <c r="H3588">
        <v>33107</v>
      </c>
      <c r="I3588" t="s">
        <v>2041</v>
      </c>
      <c r="J3588">
        <v>57</v>
      </c>
      <c r="K3588">
        <v>-322</v>
      </c>
      <c r="L3588">
        <v>98</v>
      </c>
      <c r="M3588">
        <v>652</v>
      </c>
      <c r="N3588" t="s">
        <v>1956</v>
      </c>
      <c r="O3588" t="s">
        <v>43</v>
      </c>
      <c r="P3588">
        <v>125</v>
      </c>
      <c r="Q3588" t="s">
        <v>43</v>
      </c>
      <c r="R3588">
        <v>-1000</v>
      </c>
      <c r="S3588">
        <v>0</v>
      </c>
      <c r="T3588">
        <v>-40</v>
      </c>
      <c r="U3588">
        <v>-40</v>
      </c>
      <c r="V3588">
        <v>-3000</v>
      </c>
      <c r="W3588">
        <v>35</v>
      </c>
      <c r="X3588">
        <v>35</v>
      </c>
      <c r="Y3588">
        <v>1</v>
      </c>
      <c r="Z3588">
        <v>9</v>
      </c>
      <c r="AA3588">
        <v>31</v>
      </c>
      <c r="AB3588">
        <v>2</v>
      </c>
      <c r="AC3588">
        <v>2</v>
      </c>
      <c r="AD3588">
        <v>3.3980000000000001</v>
      </c>
      <c r="AE3588">
        <v>6</v>
      </c>
      <c r="AF3588">
        <v>24</v>
      </c>
      <c r="AG3588">
        <v>3.3770000900000001</v>
      </c>
      <c r="AH3588">
        <v>5</v>
      </c>
      <c r="AI3588">
        <v>48</v>
      </c>
      <c r="AJ3588">
        <v>1</v>
      </c>
      <c r="AK3588">
        <v>12</v>
      </c>
      <c r="AL3588">
        <v>47</v>
      </c>
      <c r="AM3588" t="s">
        <v>43</v>
      </c>
      <c r="AN3588" t="str">
        <f>HYPERLINK("https://www.google.com/maps?q=10.76359653,79.69311523","Open Location")</f>
        <v>Open Location</v>
      </c>
    </row>
    <row r="3589" spans="1:40" x14ac:dyDescent="0.3">
      <c r="A3589" s="1">
        <v>46210.58425925926</v>
      </c>
      <c r="B3589" t="s">
        <v>40</v>
      </c>
      <c r="C3589" t="s">
        <v>41</v>
      </c>
      <c r="D3589" s="1">
        <v>46210.587164351855</v>
      </c>
      <c r="E3589" t="s">
        <v>42</v>
      </c>
      <c r="F3589" t="s">
        <v>43</v>
      </c>
      <c r="G3589">
        <v>0</v>
      </c>
      <c r="H3589">
        <v>33107</v>
      </c>
      <c r="I3589" t="s">
        <v>43</v>
      </c>
      <c r="J3589">
        <v>57</v>
      </c>
      <c r="K3589">
        <v>-286</v>
      </c>
      <c r="L3589">
        <v>98</v>
      </c>
      <c r="M3589">
        <v>650.59997558999999</v>
      </c>
      <c r="N3589" t="s">
        <v>1956</v>
      </c>
      <c r="O3589" t="s">
        <v>43</v>
      </c>
      <c r="P3589">
        <v>125</v>
      </c>
      <c r="Q3589" t="s">
        <v>43</v>
      </c>
      <c r="R3589">
        <v>-1000</v>
      </c>
      <c r="S3589">
        <v>0</v>
      </c>
      <c r="T3589">
        <v>-40</v>
      </c>
      <c r="U3589">
        <v>-40</v>
      </c>
      <c r="V3589">
        <v>-3000</v>
      </c>
      <c r="W3589">
        <v>35</v>
      </c>
      <c r="X3589">
        <v>35</v>
      </c>
      <c r="Y3589">
        <v>1</v>
      </c>
      <c r="Z3589">
        <v>9</v>
      </c>
      <c r="AA3589">
        <v>31</v>
      </c>
      <c r="AB3589">
        <v>2</v>
      </c>
      <c r="AC3589">
        <v>2</v>
      </c>
      <c r="AD3589">
        <v>3.39899993</v>
      </c>
      <c r="AE3589">
        <v>6</v>
      </c>
      <c r="AF3589">
        <v>24</v>
      </c>
      <c r="AG3589">
        <v>3.3770000900000001</v>
      </c>
      <c r="AH3589">
        <v>5</v>
      </c>
      <c r="AI3589">
        <v>48</v>
      </c>
      <c r="AJ3589">
        <v>1</v>
      </c>
      <c r="AK3589">
        <v>12</v>
      </c>
      <c r="AL3589">
        <v>47</v>
      </c>
      <c r="AM3589" t="s">
        <v>43</v>
      </c>
      <c r="AN3589" t="s">
        <v>43</v>
      </c>
    </row>
    <row r="3590" spans="1:40" x14ac:dyDescent="0.3">
      <c r="A3590" s="1">
        <v>46210.584143518521</v>
      </c>
      <c r="B3590" t="s">
        <v>40</v>
      </c>
      <c r="C3590" t="s">
        <v>41</v>
      </c>
      <c r="D3590" s="1">
        <v>46210.587141203701</v>
      </c>
      <c r="E3590" t="s">
        <v>42</v>
      </c>
      <c r="F3590" t="s">
        <v>43</v>
      </c>
      <c r="G3590">
        <v>0</v>
      </c>
      <c r="H3590">
        <v>33107</v>
      </c>
      <c r="I3590" t="s">
        <v>2141</v>
      </c>
      <c r="J3590">
        <v>57</v>
      </c>
      <c r="K3590">
        <v>-285</v>
      </c>
      <c r="L3590">
        <v>98</v>
      </c>
      <c r="M3590">
        <v>650.40002441000001</v>
      </c>
      <c r="N3590" t="s">
        <v>1956</v>
      </c>
      <c r="O3590" t="s">
        <v>43</v>
      </c>
      <c r="P3590">
        <v>125</v>
      </c>
      <c r="Q3590" t="s">
        <v>43</v>
      </c>
      <c r="R3590">
        <v>-1000</v>
      </c>
      <c r="S3590">
        <v>0</v>
      </c>
      <c r="T3590">
        <v>-40</v>
      </c>
      <c r="U3590">
        <v>-40</v>
      </c>
      <c r="V3590">
        <v>-3000</v>
      </c>
      <c r="W3590">
        <v>35</v>
      </c>
      <c r="X3590">
        <v>35</v>
      </c>
      <c r="Y3590">
        <v>1</v>
      </c>
      <c r="Z3590">
        <v>9</v>
      </c>
      <c r="AA3590">
        <v>31</v>
      </c>
      <c r="AB3590">
        <v>2</v>
      </c>
      <c r="AC3590">
        <v>2</v>
      </c>
      <c r="AD3590">
        <v>3.39899993</v>
      </c>
      <c r="AE3590">
        <v>6</v>
      </c>
      <c r="AF3590">
        <v>24</v>
      </c>
      <c r="AG3590">
        <v>3.3770000900000001</v>
      </c>
      <c r="AH3590">
        <v>5</v>
      </c>
      <c r="AI3590">
        <v>16</v>
      </c>
      <c r="AJ3590">
        <v>1</v>
      </c>
      <c r="AK3590">
        <v>12</v>
      </c>
      <c r="AL3590">
        <v>47</v>
      </c>
      <c r="AM3590" t="s">
        <v>43</v>
      </c>
      <c r="AN3590" t="str">
        <f>HYPERLINK("https://www.google.com/maps?q=10.76360703,79.69311523","Open Location")</f>
        <v>Open Location</v>
      </c>
    </row>
    <row r="3591" spans="1:40" x14ac:dyDescent="0.3">
      <c r="A3591" s="1">
        <v>46210.584027777775</v>
      </c>
      <c r="B3591" t="s">
        <v>40</v>
      </c>
      <c r="C3591" t="s">
        <v>41</v>
      </c>
      <c r="D3591" s="1">
        <v>46210.587141203701</v>
      </c>
      <c r="E3591" t="s">
        <v>42</v>
      </c>
      <c r="F3591" t="s">
        <v>43</v>
      </c>
      <c r="G3591">
        <v>0</v>
      </c>
      <c r="H3591">
        <v>33107</v>
      </c>
      <c r="I3591" t="s">
        <v>2142</v>
      </c>
      <c r="J3591">
        <v>57</v>
      </c>
      <c r="K3591">
        <v>-282</v>
      </c>
      <c r="L3591">
        <v>98</v>
      </c>
      <c r="M3591">
        <v>650.29998779000005</v>
      </c>
      <c r="N3591" t="s">
        <v>1956</v>
      </c>
      <c r="O3591" t="s">
        <v>43</v>
      </c>
      <c r="P3591">
        <v>125</v>
      </c>
      <c r="Q3591" t="s">
        <v>43</v>
      </c>
      <c r="R3591">
        <v>-1000</v>
      </c>
      <c r="S3591">
        <v>0</v>
      </c>
      <c r="T3591">
        <v>-40</v>
      </c>
      <c r="U3591">
        <v>-40</v>
      </c>
      <c r="V3591">
        <v>-3000</v>
      </c>
      <c r="W3591">
        <v>35</v>
      </c>
      <c r="X3591">
        <v>35</v>
      </c>
      <c r="Y3591">
        <v>1</v>
      </c>
      <c r="Z3591">
        <v>9</v>
      </c>
      <c r="AA3591">
        <v>31</v>
      </c>
      <c r="AB3591">
        <v>2</v>
      </c>
      <c r="AC3591">
        <v>2</v>
      </c>
      <c r="AD3591">
        <v>3.3980000000000001</v>
      </c>
      <c r="AE3591">
        <v>6</v>
      </c>
      <c r="AF3591">
        <v>24</v>
      </c>
      <c r="AG3591">
        <v>3.3759999299999999</v>
      </c>
      <c r="AH3591">
        <v>5</v>
      </c>
      <c r="AI3591">
        <v>48</v>
      </c>
      <c r="AJ3591">
        <v>1</v>
      </c>
      <c r="AK3591">
        <v>12</v>
      </c>
      <c r="AL3591">
        <v>47</v>
      </c>
      <c r="AM3591" t="s">
        <v>43</v>
      </c>
      <c r="AN3591" t="str">
        <f>HYPERLINK("https://www.google.com/maps?q=10.76360416,79.6931076","Open Location")</f>
        <v>Open Location</v>
      </c>
    </row>
    <row r="3592" spans="1:40" x14ac:dyDescent="0.3">
      <c r="A3592" s="1">
        <v>46210.583912037036</v>
      </c>
      <c r="B3592" t="s">
        <v>40</v>
      </c>
      <c r="C3592" t="s">
        <v>41</v>
      </c>
      <c r="D3592" s="1">
        <v>46210.587141203701</v>
      </c>
      <c r="E3592" t="s">
        <v>42</v>
      </c>
      <c r="F3592" t="s">
        <v>43</v>
      </c>
      <c r="G3592">
        <v>0</v>
      </c>
      <c r="H3592" t="s">
        <v>43</v>
      </c>
      <c r="I3592" t="s">
        <v>2143</v>
      </c>
      <c r="J3592">
        <v>56</v>
      </c>
      <c r="K3592">
        <v>-283</v>
      </c>
      <c r="L3592">
        <v>98</v>
      </c>
      <c r="M3592">
        <v>650.09997558999999</v>
      </c>
      <c r="N3592" t="s">
        <v>1956</v>
      </c>
      <c r="O3592" t="s">
        <v>43</v>
      </c>
      <c r="P3592">
        <v>125</v>
      </c>
      <c r="Q3592" t="s">
        <v>43</v>
      </c>
      <c r="R3592">
        <v>-1000</v>
      </c>
      <c r="S3592">
        <v>0</v>
      </c>
      <c r="T3592">
        <v>-40</v>
      </c>
      <c r="U3592">
        <v>-40</v>
      </c>
      <c r="V3592">
        <v>-3000</v>
      </c>
      <c r="W3592">
        <v>35</v>
      </c>
      <c r="X3592">
        <v>35</v>
      </c>
      <c r="Y3592">
        <v>1</v>
      </c>
      <c r="Z3592">
        <v>7</v>
      </c>
      <c r="AA3592">
        <v>31</v>
      </c>
      <c r="AB3592">
        <v>2</v>
      </c>
      <c r="AC3592">
        <v>2</v>
      </c>
      <c r="AD3592">
        <v>3.3980000000000001</v>
      </c>
      <c r="AE3592">
        <v>6</v>
      </c>
      <c r="AF3592">
        <v>24</v>
      </c>
      <c r="AG3592">
        <v>3.3759999299999999</v>
      </c>
      <c r="AH3592">
        <v>5</v>
      </c>
      <c r="AI3592">
        <v>48</v>
      </c>
      <c r="AJ3592">
        <v>1</v>
      </c>
      <c r="AK3592">
        <v>12</v>
      </c>
      <c r="AL3592">
        <v>47</v>
      </c>
      <c r="AM3592" t="s">
        <v>43</v>
      </c>
      <c r="AN3592" t="str">
        <f>HYPERLINK("https://www.google.com/maps?q=10.76360226,79.69309235","Open Location")</f>
        <v>Open Location</v>
      </c>
    </row>
    <row r="3593" spans="1:40" x14ac:dyDescent="0.3">
      <c r="A3593" s="1">
        <v>46210.583796296298</v>
      </c>
      <c r="B3593" t="s">
        <v>40</v>
      </c>
      <c r="C3593" t="s">
        <v>41</v>
      </c>
      <c r="D3593" s="1">
        <v>46210.586956018517</v>
      </c>
      <c r="E3593" t="s">
        <v>42</v>
      </c>
      <c r="F3593" t="s">
        <v>43</v>
      </c>
      <c r="G3593">
        <v>0</v>
      </c>
      <c r="H3593">
        <v>33107</v>
      </c>
      <c r="I3593" t="s">
        <v>2144</v>
      </c>
      <c r="J3593">
        <v>56</v>
      </c>
      <c r="K3593">
        <v>-286</v>
      </c>
      <c r="L3593">
        <v>98</v>
      </c>
      <c r="M3593">
        <v>650.5</v>
      </c>
      <c r="N3593" t="s">
        <v>1956</v>
      </c>
      <c r="O3593" t="s">
        <v>43</v>
      </c>
      <c r="P3593">
        <v>125</v>
      </c>
      <c r="Q3593" t="s">
        <v>43</v>
      </c>
      <c r="R3593">
        <v>-1000</v>
      </c>
      <c r="S3593">
        <v>0</v>
      </c>
      <c r="T3593">
        <v>-40</v>
      </c>
      <c r="U3593">
        <v>-40</v>
      </c>
      <c r="V3593">
        <v>-3000</v>
      </c>
      <c r="W3593">
        <v>35</v>
      </c>
      <c r="X3593">
        <v>35</v>
      </c>
      <c r="Y3593">
        <v>1</v>
      </c>
      <c r="Z3593">
        <v>7</v>
      </c>
      <c r="AA3593">
        <v>31</v>
      </c>
      <c r="AB3593">
        <v>2</v>
      </c>
      <c r="AC3593">
        <v>2</v>
      </c>
      <c r="AD3593">
        <v>3.3970000699999998</v>
      </c>
      <c r="AE3593">
        <v>6</v>
      </c>
      <c r="AF3593">
        <v>24</v>
      </c>
      <c r="AG3593">
        <v>3.375</v>
      </c>
      <c r="AH3593">
        <v>5</v>
      </c>
      <c r="AI3593">
        <v>48</v>
      </c>
      <c r="AJ3593">
        <v>1</v>
      </c>
      <c r="AK3593">
        <v>12</v>
      </c>
      <c r="AL3593">
        <v>47</v>
      </c>
      <c r="AM3593" t="s">
        <v>43</v>
      </c>
      <c r="AN3593" t="str">
        <f>HYPERLINK("https://www.google.com/maps?q=10.76360321,79.6931076","Open Location")</f>
        <v>Open Location</v>
      </c>
    </row>
    <row r="3594" spans="1:40" x14ac:dyDescent="0.3">
      <c r="A3594" s="1">
        <v>46210.583680555559</v>
      </c>
      <c r="B3594" t="s">
        <v>40</v>
      </c>
      <c r="C3594" t="s">
        <v>41</v>
      </c>
      <c r="D3594" s="1">
        <v>46210.586944444447</v>
      </c>
      <c r="E3594" t="s">
        <v>42</v>
      </c>
      <c r="F3594" t="s">
        <v>43</v>
      </c>
      <c r="G3594">
        <v>0</v>
      </c>
      <c r="H3594">
        <v>33107</v>
      </c>
      <c r="I3594" t="s">
        <v>43</v>
      </c>
      <c r="J3594">
        <v>56</v>
      </c>
      <c r="K3594">
        <v>-285</v>
      </c>
      <c r="L3594">
        <v>98</v>
      </c>
      <c r="M3594">
        <v>650.40002441000001</v>
      </c>
      <c r="N3594" t="s">
        <v>1956</v>
      </c>
      <c r="O3594" t="s">
        <v>43</v>
      </c>
      <c r="P3594">
        <v>125</v>
      </c>
      <c r="Q3594" t="s">
        <v>43</v>
      </c>
      <c r="R3594">
        <v>-1000</v>
      </c>
      <c r="S3594">
        <v>0</v>
      </c>
      <c r="T3594">
        <v>-40</v>
      </c>
      <c r="U3594">
        <v>-40</v>
      </c>
      <c r="V3594">
        <v>-3000</v>
      </c>
      <c r="W3594">
        <v>35</v>
      </c>
      <c r="X3594">
        <v>35</v>
      </c>
      <c r="Y3594">
        <v>1</v>
      </c>
      <c r="Z3594">
        <v>7</v>
      </c>
      <c r="AA3594">
        <v>31</v>
      </c>
      <c r="AB3594">
        <v>2</v>
      </c>
      <c r="AC3594">
        <v>2</v>
      </c>
      <c r="AD3594">
        <v>3.3970000699999998</v>
      </c>
      <c r="AE3594">
        <v>6</v>
      </c>
      <c r="AF3594">
        <v>24</v>
      </c>
      <c r="AG3594">
        <v>3.375</v>
      </c>
      <c r="AH3594">
        <v>5</v>
      </c>
      <c r="AI3594">
        <v>48</v>
      </c>
      <c r="AJ3594">
        <v>1</v>
      </c>
      <c r="AK3594">
        <v>12</v>
      </c>
      <c r="AL3594">
        <v>47</v>
      </c>
      <c r="AM3594" t="s">
        <v>43</v>
      </c>
      <c r="AN3594" t="s">
        <v>43</v>
      </c>
    </row>
    <row r="3595" spans="1:40" x14ac:dyDescent="0.3">
      <c r="A3595" s="1">
        <v>46210.583564814813</v>
      </c>
      <c r="B3595" t="s">
        <v>40</v>
      </c>
      <c r="C3595" t="s">
        <v>41</v>
      </c>
      <c r="D3595" s="1">
        <v>46210.586342592593</v>
      </c>
      <c r="E3595" t="s">
        <v>42</v>
      </c>
      <c r="F3595" t="s">
        <v>43</v>
      </c>
      <c r="G3595">
        <v>0</v>
      </c>
      <c r="H3595">
        <v>33107</v>
      </c>
      <c r="I3595" t="s">
        <v>2145</v>
      </c>
      <c r="J3595">
        <v>56</v>
      </c>
      <c r="K3595">
        <v>-285</v>
      </c>
      <c r="L3595">
        <v>98</v>
      </c>
      <c r="M3595">
        <v>650.40002441000001</v>
      </c>
      <c r="N3595" t="s">
        <v>1956</v>
      </c>
      <c r="O3595" t="s">
        <v>43</v>
      </c>
      <c r="P3595">
        <v>125</v>
      </c>
      <c r="Q3595" t="s">
        <v>43</v>
      </c>
      <c r="R3595">
        <v>-1000</v>
      </c>
      <c r="S3595">
        <v>0</v>
      </c>
      <c r="T3595">
        <v>-40</v>
      </c>
      <c r="U3595">
        <v>-40</v>
      </c>
      <c r="V3595">
        <v>-3000</v>
      </c>
      <c r="W3595">
        <v>35</v>
      </c>
      <c r="X3595">
        <v>35</v>
      </c>
      <c r="Y3595">
        <v>1</v>
      </c>
      <c r="Z3595">
        <v>7</v>
      </c>
      <c r="AA3595">
        <v>31</v>
      </c>
      <c r="AB3595">
        <v>2</v>
      </c>
      <c r="AC3595">
        <v>2</v>
      </c>
      <c r="AD3595">
        <v>3.3970000699999998</v>
      </c>
      <c r="AE3595">
        <v>6</v>
      </c>
      <c r="AF3595">
        <v>24</v>
      </c>
      <c r="AG3595">
        <v>3.375</v>
      </c>
      <c r="AH3595">
        <v>5</v>
      </c>
      <c r="AI3595">
        <v>48</v>
      </c>
      <c r="AJ3595">
        <v>1</v>
      </c>
      <c r="AK3595">
        <v>12</v>
      </c>
      <c r="AL3595">
        <v>47</v>
      </c>
      <c r="AM3595" t="s">
        <v>43</v>
      </c>
      <c r="AN3595" t="str">
        <f>HYPERLINK("https://www.google.com/maps?q=10.76360512,79.6931076","Open Location")</f>
        <v>Open Location</v>
      </c>
    </row>
    <row r="3596" spans="1:40" x14ac:dyDescent="0.3">
      <c r="A3596" s="1">
        <v>46210.583449074074</v>
      </c>
      <c r="B3596" t="s">
        <v>40</v>
      </c>
      <c r="C3596" t="s">
        <v>41</v>
      </c>
      <c r="D3596" s="1">
        <v>46210.586782407408</v>
      </c>
      <c r="E3596" t="s">
        <v>42</v>
      </c>
      <c r="F3596" t="s">
        <v>43</v>
      </c>
      <c r="G3596">
        <v>0</v>
      </c>
      <c r="H3596">
        <v>33107</v>
      </c>
      <c r="I3596" t="s">
        <v>2146</v>
      </c>
      <c r="J3596">
        <v>56</v>
      </c>
      <c r="K3596">
        <v>-287</v>
      </c>
      <c r="L3596">
        <v>98</v>
      </c>
      <c r="M3596">
        <v>650.40002441000001</v>
      </c>
      <c r="N3596" t="s">
        <v>1956</v>
      </c>
      <c r="O3596" t="s">
        <v>43</v>
      </c>
      <c r="P3596">
        <v>125</v>
      </c>
      <c r="Q3596" t="s">
        <v>43</v>
      </c>
      <c r="R3596">
        <v>-1000</v>
      </c>
      <c r="S3596">
        <v>0</v>
      </c>
      <c r="T3596">
        <v>-40</v>
      </c>
      <c r="U3596">
        <v>-40</v>
      </c>
      <c r="V3596">
        <v>-3000</v>
      </c>
      <c r="W3596">
        <v>35</v>
      </c>
      <c r="X3596">
        <v>35</v>
      </c>
      <c r="Y3596">
        <v>1</v>
      </c>
      <c r="Z3596">
        <v>7</v>
      </c>
      <c r="AA3596">
        <v>31</v>
      </c>
      <c r="AB3596">
        <v>2</v>
      </c>
      <c r="AC3596">
        <v>2</v>
      </c>
      <c r="AD3596">
        <v>3.3980000000000001</v>
      </c>
      <c r="AE3596">
        <v>6</v>
      </c>
      <c r="AF3596">
        <v>24</v>
      </c>
      <c r="AG3596">
        <v>3.3759999299999999</v>
      </c>
      <c r="AH3596">
        <v>5</v>
      </c>
      <c r="AI3596">
        <v>48</v>
      </c>
      <c r="AJ3596">
        <v>1</v>
      </c>
      <c r="AK3596">
        <v>13</v>
      </c>
      <c r="AL3596">
        <v>47</v>
      </c>
      <c r="AM3596" t="s">
        <v>43</v>
      </c>
      <c r="AN3596" t="str">
        <f>HYPERLINK("https://www.google.com/maps?q=10.76360607,79.69308472","Open Location")</f>
        <v>Open Location</v>
      </c>
    </row>
    <row r="3597" spans="1:40" x14ac:dyDescent="0.3">
      <c r="A3597" s="1">
        <v>46210.583333333336</v>
      </c>
      <c r="B3597" t="s">
        <v>40</v>
      </c>
      <c r="C3597" t="s">
        <v>41</v>
      </c>
      <c r="D3597" s="1">
        <v>46210.586006944446</v>
      </c>
      <c r="E3597" t="s">
        <v>42</v>
      </c>
      <c r="F3597" t="s">
        <v>43</v>
      </c>
      <c r="G3597">
        <v>0</v>
      </c>
      <c r="H3597" t="s">
        <v>43</v>
      </c>
      <c r="I3597" t="s">
        <v>2147</v>
      </c>
      <c r="J3597">
        <v>55</v>
      </c>
      <c r="K3597">
        <v>-284</v>
      </c>
      <c r="L3597">
        <v>98</v>
      </c>
      <c r="M3597">
        <v>650.29998779000005</v>
      </c>
      <c r="N3597" t="s">
        <v>1956</v>
      </c>
      <c r="O3597" t="s">
        <v>43</v>
      </c>
      <c r="P3597">
        <v>125</v>
      </c>
      <c r="Q3597" t="s">
        <v>43</v>
      </c>
      <c r="R3597">
        <v>-1000</v>
      </c>
      <c r="S3597">
        <v>0</v>
      </c>
      <c r="T3597">
        <v>-40</v>
      </c>
      <c r="U3597">
        <v>-40</v>
      </c>
      <c r="V3597">
        <v>-3000</v>
      </c>
      <c r="W3597">
        <v>35</v>
      </c>
      <c r="X3597">
        <v>35</v>
      </c>
      <c r="Y3597">
        <v>1</v>
      </c>
      <c r="Z3597">
        <v>9</v>
      </c>
      <c r="AA3597">
        <v>30</v>
      </c>
      <c r="AB3597">
        <v>7</v>
      </c>
      <c r="AC3597">
        <v>5</v>
      </c>
      <c r="AD3597">
        <v>3.3980000000000001</v>
      </c>
      <c r="AE3597">
        <v>6</v>
      </c>
      <c r="AF3597">
        <v>24</v>
      </c>
      <c r="AG3597">
        <v>3.3759999299999999</v>
      </c>
      <c r="AH3597">
        <v>5</v>
      </c>
      <c r="AI3597">
        <v>48</v>
      </c>
      <c r="AJ3597">
        <v>1</v>
      </c>
      <c r="AK3597">
        <v>12</v>
      </c>
      <c r="AL3597">
        <v>40</v>
      </c>
      <c r="AM3597" t="s">
        <v>43</v>
      </c>
      <c r="AN3597" t="str">
        <f>HYPERLINK("https://www.google.com/maps?q=10.76360798,79.69308472","Open Location")</f>
        <v>Open Location</v>
      </c>
    </row>
    <row r="3598" spans="1:40" x14ac:dyDescent="0.3">
      <c r="A3598" s="1">
        <v>46210.58321759259</v>
      </c>
      <c r="B3598" t="s">
        <v>40</v>
      </c>
      <c r="C3598" t="s">
        <v>41</v>
      </c>
      <c r="D3598" s="1">
        <v>46210.586331018516</v>
      </c>
      <c r="E3598" t="s">
        <v>42</v>
      </c>
      <c r="F3598" t="s">
        <v>43</v>
      </c>
      <c r="G3598">
        <v>0</v>
      </c>
      <c r="H3598">
        <v>33107</v>
      </c>
      <c r="I3598" t="s">
        <v>2148</v>
      </c>
      <c r="J3598">
        <v>55</v>
      </c>
      <c r="K3598">
        <v>-287</v>
      </c>
      <c r="L3598">
        <v>98</v>
      </c>
      <c r="M3598">
        <v>650.59997558999999</v>
      </c>
      <c r="N3598" t="s">
        <v>1956</v>
      </c>
      <c r="O3598" t="s">
        <v>43</v>
      </c>
      <c r="P3598">
        <v>125</v>
      </c>
      <c r="Q3598" t="s">
        <v>43</v>
      </c>
      <c r="R3598">
        <v>-1000</v>
      </c>
      <c r="S3598">
        <v>0</v>
      </c>
      <c r="T3598">
        <v>-40</v>
      </c>
      <c r="U3598">
        <v>-40</v>
      </c>
      <c r="V3598">
        <v>-3000</v>
      </c>
      <c r="W3598">
        <v>35</v>
      </c>
      <c r="X3598">
        <v>35</v>
      </c>
      <c r="Y3598">
        <v>1</v>
      </c>
      <c r="Z3598">
        <v>9</v>
      </c>
      <c r="AA3598">
        <v>30</v>
      </c>
      <c r="AB3598">
        <v>7</v>
      </c>
      <c r="AC3598">
        <v>5</v>
      </c>
      <c r="AD3598">
        <v>3.4059998999999999</v>
      </c>
      <c r="AE3598">
        <v>6</v>
      </c>
      <c r="AF3598">
        <v>24</v>
      </c>
      <c r="AG3598">
        <v>3.38100004</v>
      </c>
      <c r="AH3598">
        <v>5</v>
      </c>
      <c r="AI3598">
        <v>48</v>
      </c>
      <c r="AJ3598">
        <v>1</v>
      </c>
      <c r="AK3598">
        <v>12</v>
      </c>
      <c r="AL3598">
        <v>40</v>
      </c>
      <c r="AM3598" t="s">
        <v>43</v>
      </c>
      <c r="AN3598" t="str">
        <f>HYPERLINK("https://www.google.com/maps?q=10.76361275,79.69308472","Open Location")</f>
        <v>Open Location</v>
      </c>
    </row>
    <row r="3599" spans="1:40" x14ac:dyDescent="0.3">
      <c r="A3599" s="1">
        <v>46210.583101851851</v>
      </c>
      <c r="B3599" t="s">
        <v>40</v>
      </c>
      <c r="C3599" t="s">
        <v>41</v>
      </c>
      <c r="D3599" s="1">
        <v>46210.586064814815</v>
      </c>
      <c r="E3599" t="s">
        <v>42</v>
      </c>
      <c r="F3599" t="s">
        <v>43</v>
      </c>
      <c r="G3599">
        <v>0</v>
      </c>
      <c r="H3599">
        <v>33107</v>
      </c>
      <c r="I3599" t="s">
        <v>2123</v>
      </c>
      <c r="J3599">
        <v>55</v>
      </c>
      <c r="K3599">
        <v>-322</v>
      </c>
      <c r="L3599">
        <v>98</v>
      </c>
      <c r="M3599">
        <v>651.79998779000005</v>
      </c>
      <c r="N3599" t="s">
        <v>1956</v>
      </c>
      <c r="O3599" t="s">
        <v>43</v>
      </c>
      <c r="P3599">
        <v>125</v>
      </c>
      <c r="Q3599" t="s">
        <v>43</v>
      </c>
      <c r="R3599">
        <v>-1000</v>
      </c>
      <c r="S3599">
        <v>0</v>
      </c>
      <c r="T3599">
        <v>-40</v>
      </c>
      <c r="U3599">
        <v>-40</v>
      </c>
      <c r="V3599">
        <v>-3000</v>
      </c>
      <c r="W3599">
        <v>35</v>
      </c>
      <c r="X3599">
        <v>35</v>
      </c>
      <c r="Y3599">
        <v>1</v>
      </c>
      <c r="Z3599">
        <v>9</v>
      </c>
      <c r="AA3599">
        <v>30</v>
      </c>
      <c r="AB3599">
        <v>7</v>
      </c>
      <c r="AC3599">
        <v>5</v>
      </c>
      <c r="AD3599">
        <v>3.4059998999999999</v>
      </c>
      <c r="AE3599">
        <v>6</v>
      </c>
      <c r="AF3599">
        <v>24</v>
      </c>
      <c r="AG3599">
        <v>3.38100004</v>
      </c>
      <c r="AH3599">
        <v>5</v>
      </c>
      <c r="AI3599">
        <v>48</v>
      </c>
      <c r="AJ3599">
        <v>1</v>
      </c>
      <c r="AK3599">
        <v>12</v>
      </c>
      <c r="AL3599">
        <v>40</v>
      </c>
      <c r="AM3599" t="s">
        <v>43</v>
      </c>
      <c r="AN3599" t="str">
        <f>HYPERLINK("https://www.google.com/maps?q=10.76361656,79.69309235","Open Location")</f>
        <v>Open Location</v>
      </c>
    </row>
    <row r="3600" spans="1:40" x14ac:dyDescent="0.3">
      <c r="A3600" s="1">
        <v>46210.582986111112</v>
      </c>
      <c r="B3600" t="s">
        <v>40</v>
      </c>
      <c r="C3600" t="s">
        <v>41</v>
      </c>
      <c r="D3600" s="1">
        <v>46210.586064814815</v>
      </c>
      <c r="E3600" t="s">
        <v>42</v>
      </c>
      <c r="F3600" t="s">
        <v>43</v>
      </c>
      <c r="G3600">
        <v>0</v>
      </c>
      <c r="H3600">
        <v>33107</v>
      </c>
      <c r="I3600" t="s">
        <v>43</v>
      </c>
      <c r="J3600">
        <v>55</v>
      </c>
      <c r="K3600">
        <v>-323</v>
      </c>
      <c r="L3600">
        <v>98</v>
      </c>
      <c r="M3600">
        <v>651.90002441000001</v>
      </c>
      <c r="N3600" t="s">
        <v>1956</v>
      </c>
      <c r="O3600" t="s">
        <v>43</v>
      </c>
      <c r="P3600">
        <v>125</v>
      </c>
      <c r="Q3600" t="s">
        <v>43</v>
      </c>
      <c r="R3600">
        <v>-1000</v>
      </c>
      <c r="S3600">
        <v>0</v>
      </c>
      <c r="T3600">
        <v>-40</v>
      </c>
      <c r="U3600">
        <v>-40</v>
      </c>
      <c r="V3600">
        <v>-3000</v>
      </c>
      <c r="W3600">
        <v>35</v>
      </c>
      <c r="X3600">
        <v>35</v>
      </c>
      <c r="Y3600">
        <v>1</v>
      </c>
      <c r="Z3600">
        <v>9</v>
      </c>
      <c r="AA3600">
        <v>30</v>
      </c>
      <c r="AB3600">
        <v>7</v>
      </c>
      <c r="AC3600">
        <v>5</v>
      </c>
      <c r="AD3600">
        <v>3.4070000600000001</v>
      </c>
      <c r="AE3600">
        <v>6</v>
      </c>
      <c r="AF3600">
        <v>24</v>
      </c>
      <c r="AG3600">
        <v>3.3819999699999999</v>
      </c>
      <c r="AH3600">
        <v>5</v>
      </c>
      <c r="AI3600">
        <v>48</v>
      </c>
      <c r="AJ3600">
        <v>1</v>
      </c>
      <c r="AK3600">
        <v>12</v>
      </c>
      <c r="AL3600">
        <v>40</v>
      </c>
      <c r="AM3600" t="s">
        <v>43</v>
      </c>
      <c r="AN3600" t="s">
        <v>43</v>
      </c>
    </row>
    <row r="3601" spans="1:40" x14ac:dyDescent="0.3">
      <c r="A3601" s="1">
        <v>46210.582870370374</v>
      </c>
      <c r="B3601" t="s">
        <v>40</v>
      </c>
      <c r="C3601" t="s">
        <v>41</v>
      </c>
      <c r="D3601" s="1">
        <v>46210.585902777777</v>
      </c>
      <c r="E3601" t="s">
        <v>42</v>
      </c>
      <c r="F3601" t="s">
        <v>43</v>
      </c>
      <c r="G3601">
        <v>0</v>
      </c>
      <c r="H3601">
        <v>33107</v>
      </c>
      <c r="I3601" t="s">
        <v>2149</v>
      </c>
      <c r="J3601">
        <v>55</v>
      </c>
      <c r="K3601">
        <v>-356</v>
      </c>
      <c r="L3601">
        <v>98</v>
      </c>
      <c r="M3601">
        <v>653.29998779000005</v>
      </c>
      <c r="N3601" t="s">
        <v>1956</v>
      </c>
      <c r="O3601" t="s">
        <v>43</v>
      </c>
      <c r="P3601">
        <v>125</v>
      </c>
      <c r="Q3601" t="s">
        <v>43</v>
      </c>
      <c r="R3601">
        <v>-1000</v>
      </c>
      <c r="S3601">
        <v>0</v>
      </c>
      <c r="T3601">
        <v>-40</v>
      </c>
      <c r="U3601">
        <v>-40</v>
      </c>
      <c r="V3601">
        <v>-3000</v>
      </c>
      <c r="W3601">
        <v>35</v>
      </c>
      <c r="X3601">
        <v>35</v>
      </c>
      <c r="Y3601">
        <v>1</v>
      </c>
      <c r="Z3601">
        <v>9</v>
      </c>
      <c r="AA3601">
        <v>30</v>
      </c>
      <c r="AB3601">
        <v>3</v>
      </c>
      <c r="AC3601">
        <v>5</v>
      </c>
      <c r="AD3601">
        <v>3.4149999599999998</v>
      </c>
      <c r="AE3601">
        <v>6</v>
      </c>
      <c r="AF3601">
        <v>24</v>
      </c>
      <c r="AG3601">
        <v>3.38700008</v>
      </c>
      <c r="AH3601">
        <v>5</v>
      </c>
      <c r="AI3601">
        <v>48</v>
      </c>
      <c r="AJ3601">
        <v>1</v>
      </c>
      <c r="AK3601">
        <v>12</v>
      </c>
      <c r="AL3601">
        <v>40</v>
      </c>
      <c r="AM3601" t="s">
        <v>43</v>
      </c>
      <c r="AN3601" t="str">
        <f>HYPERLINK("https://www.google.com/maps?q=10.76361847,79.69308472","Open Location")</f>
        <v>Open Location</v>
      </c>
    </row>
    <row r="3602" spans="1:40" x14ac:dyDescent="0.3">
      <c r="A3602" s="1">
        <v>46210.582754629628</v>
      </c>
      <c r="B3602" t="s">
        <v>40</v>
      </c>
      <c r="C3602" t="s">
        <v>41</v>
      </c>
      <c r="D3602" s="1">
        <v>46210.585601851853</v>
      </c>
      <c r="E3602" t="s">
        <v>42</v>
      </c>
      <c r="F3602" t="s">
        <v>43</v>
      </c>
      <c r="G3602">
        <v>0</v>
      </c>
      <c r="H3602">
        <v>33107</v>
      </c>
      <c r="I3602" t="s">
        <v>2150</v>
      </c>
      <c r="J3602">
        <v>55</v>
      </c>
      <c r="K3602">
        <v>-356</v>
      </c>
      <c r="L3602">
        <v>98</v>
      </c>
      <c r="M3602">
        <v>653.29998779000005</v>
      </c>
      <c r="N3602" t="s">
        <v>1956</v>
      </c>
      <c r="O3602" t="s">
        <v>43</v>
      </c>
      <c r="P3602">
        <v>125</v>
      </c>
      <c r="Q3602" t="s">
        <v>43</v>
      </c>
      <c r="R3602">
        <v>-1000</v>
      </c>
      <c r="S3602">
        <v>0</v>
      </c>
      <c r="T3602">
        <v>-40</v>
      </c>
      <c r="U3602">
        <v>-40</v>
      </c>
      <c r="V3602">
        <v>-3000</v>
      </c>
      <c r="W3602">
        <v>35</v>
      </c>
      <c r="X3602">
        <v>35</v>
      </c>
      <c r="Y3602">
        <v>5</v>
      </c>
      <c r="Z3602">
        <v>3</v>
      </c>
      <c r="AA3602">
        <v>30</v>
      </c>
      <c r="AB3602">
        <v>2</v>
      </c>
      <c r="AC3602">
        <v>5</v>
      </c>
      <c r="AD3602">
        <v>3.41400003</v>
      </c>
      <c r="AE3602">
        <v>6</v>
      </c>
      <c r="AF3602">
        <v>24</v>
      </c>
      <c r="AG3602">
        <v>3.3859999200000002</v>
      </c>
      <c r="AH3602">
        <v>5</v>
      </c>
      <c r="AI3602">
        <v>48</v>
      </c>
      <c r="AJ3602">
        <v>1</v>
      </c>
      <c r="AK3602">
        <v>12</v>
      </c>
      <c r="AL3602">
        <v>40</v>
      </c>
      <c r="AM3602" t="s">
        <v>43</v>
      </c>
      <c r="AN3602" t="str">
        <f>HYPERLINK("https://www.google.com/maps?q=10.76360989,79.69307709","Open Location")</f>
        <v>Open Location</v>
      </c>
    </row>
    <row r="3603" spans="1:40" x14ac:dyDescent="0.3">
      <c r="A3603" s="1">
        <v>46210.582638888889</v>
      </c>
      <c r="B3603" t="s">
        <v>40</v>
      </c>
      <c r="C3603" t="s">
        <v>41</v>
      </c>
      <c r="D3603" s="1">
        <v>46210.585601851853</v>
      </c>
      <c r="E3603" t="s">
        <v>42</v>
      </c>
      <c r="F3603" t="s">
        <v>43</v>
      </c>
      <c r="G3603">
        <v>0</v>
      </c>
      <c r="H3603">
        <v>33107</v>
      </c>
      <c r="I3603" t="s">
        <v>2151</v>
      </c>
      <c r="J3603">
        <v>54</v>
      </c>
      <c r="K3603">
        <v>-359</v>
      </c>
      <c r="L3603">
        <v>98</v>
      </c>
      <c r="M3603">
        <v>653.09997558999999</v>
      </c>
      <c r="N3603" t="s">
        <v>1956</v>
      </c>
      <c r="O3603" t="s">
        <v>43</v>
      </c>
      <c r="P3603">
        <v>125</v>
      </c>
      <c r="Q3603" t="s">
        <v>43</v>
      </c>
      <c r="R3603">
        <v>-1000</v>
      </c>
      <c r="S3603">
        <v>0</v>
      </c>
      <c r="T3603">
        <v>-40</v>
      </c>
      <c r="U3603">
        <v>-40</v>
      </c>
      <c r="V3603">
        <v>-3000</v>
      </c>
      <c r="W3603">
        <v>35</v>
      </c>
      <c r="X3603">
        <v>35</v>
      </c>
      <c r="Y3603">
        <v>5</v>
      </c>
      <c r="Z3603">
        <v>3</v>
      </c>
      <c r="AA3603">
        <v>30</v>
      </c>
      <c r="AB3603">
        <v>2</v>
      </c>
      <c r="AC3603">
        <v>5</v>
      </c>
      <c r="AD3603">
        <v>3.41400003</v>
      </c>
      <c r="AE3603">
        <v>6</v>
      </c>
      <c r="AF3603">
        <v>24</v>
      </c>
      <c r="AG3603">
        <v>3.38700008</v>
      </c>
      <c r="AH3603">
        <v>5</v>
      </c>
      <c r="AI3603">
        <v>48</v>
      </c>
      <c r="AJ3603">
        <v>1</v>
      </c>
      <c r="AK3603">
        <v>12</v>
      </c>
      <c r="AL3603">
        <v>40</v>
      </c>
      <c r="AM3603" t="s">
        <v>43</v>
      </c>
      <c r="AN3603" t="str">
        <f>HYPERLINK("https://www.google.com/maps?q=10.76360512,79.69308472","Open Location")</f>
        <v>Open Location</v>
      </c>
    </row>
    <row r="3604" spans="1:40" x14ac:dyDescent="0.3">
      <c r="A3604" s="1">
        <v>46210.58252314815</v>
      </c>
      <c r="B3604" t="s">
        <v>40</v>
      </c>
      <c r="C3604" t="s">
        <v>41</v>
      </c>
      <c r="D3604" s="1">
        <v>46210.585486111115</v>
      </c>
      <c r="E3604" t="s">
        <v>42</v>
      </c>
      <c r="F3604" t="s">
        <v>43</v>
      </c>
      <c r="G3604">
        <v>0</v>
      </c>
      <c r="H3604">
        <v>33107</v>
      </c>
      <c r="I3604" t="s">
        <v>2142</v>
      </c>
      <c r="J3604">
        <v>54</v>
      </c>
      <c r="K3604">
        <v>-358</v>
      </c>
      <c r="L3604">
        <v>98</v>
      </c>
      <c r="M3604">
        <v>652.90002441000001</v>
      </c>
      <c r="N3604" t="s">
        <v>1956</v>
      </c>
      <c r="O3604" t="s">
        <v>43</v>
      </c>
      <c r="P3604">
        <v>125</v>
      </c>
      <c r="Q3604" t="s">
        <v>43</v>
      </c>
      <c r="R3604">
        <v>-1000</v>
      </c>
      <c r="S3604">
        <v>0</v>
      </c>
      <c r="T3604">
        <v>-40</v>
      </c>
      <c r="U3604">
        <v>-40</v>
      </c>
      <c r="V3604">
        <v>-3000</v>
      </c>
      <c r="W3604">
        <v>35</v>
      </c>
      <c r="X3604">
        <v>35</v>
      </c>
      <c r="Y3604">
        <v>5</v>
      </c>
      <c r="Z3604">
        <v>3</v>
      </c>
      <c r="AA3604">
        <v>30</v>
      </c>
      <c r="AB3604">
        <v>2</v>
      </c>
      <c r="AC3604">
        <v>5</v>
      </c>
      <c r="AD3604">
        <v>3.41400003</v>
      </c>
      <c r="AE3604">
        <v>6</v>
      </c>
      <c r="AF3604">
        <v>24</v>
      </c>
      <c r="AG3604">
        <v>3.3859999200000002</v>
      </c>
      <c r="AH3604">
        <v>5</v>
      </c>
      <c r="AI3604">
        <v>48</v>
      </c>
      <c r="AJ3604" t="s">
        <v>43</v>
      </c>
      <c r="AK3604" t="s">
        <v>43</v>
      </c>
      <c r="AL3604" t="s">
        <v>43</v>
      </c>
      <c r="AM3604" t="s">
        <v>43</v>
      </c>
      <c r="AN3604" t="str">
        <f>HYPERLINK("https://www.google.com/maps?q=10.76360416,79.6931076","Open Location")</f>
        <v>Open Location</v>
      </c>
    </row>
    <row r="3605" spans="1:40" x14ac:dyDescent="0.3">
      <c r="A3605" s="1">
        <v>46210.582407407404</v>
      </c>
      <c r="B3605" t="s">
        <v>40</v>
      </c>
      <c r="C3605" t="s">
        <v>41</v>
      </c>
      <c r="D3605" s="1">
        <v>46210.585486111115</v>
      </c>
      <c r="E3605" t="s">
        <v>42</v>
      </c>
      <c r="F3605" t="s">
        <v>43</v>
      </c>
      <c r="G3605">
        <v>0</v>
      </c>
      <c r="H3605">
        <v>33107</v>
      </c>
      <c r="I3605" t="s">
        <v>43</v>
      </c>
      <c r="J3605">
        <v>54</v>
      </c>
      <c r="K3605">
        <v>-355</v>
      </c>
      <c r="L3605">
        <v>98</v>
      </c>
      <c r="M3605">
        <v>652.70001220999995</v>
      </c>
      <c r="N3605" t="s">
        <v>1956</v>
      </c>
      <c r="O3605" t="s">
        <v>43</v>
      </c>
      <c r="P3605">
        <v>125</v>
      </c>
      <c r="Q3605" t="s">
        <v>43</v>
      </c>
      <c r="R3605">
        <v>-1000</v>
      </c>
      <c r="S3605">
        <v>0</v>
      </c>
      <c r="T3605">
        <v>-40</v>
      </c>
      <c r="U3605">
        <v>-40</v>
      </c>
      <c r="V3605">
        <v>-3000</v>
      </c>
      <c r="W3605">
        <v>35</v>
      </c>
      <c r="X3605">
        <v>35</v>
      </c>
      <c r="Y3605">
        <v>5</v>
      </c>
      <c r="Z3605">
        <v>9</v>
      </c>
      <c r="AA3605">
        <v>30</v>
      </c>
      <c r="AB3605">
        <v>2</v>
      </c>
      <c r="AC3605">
        <v>5</v>
      </c>
      <c r="AD3605">
        <v>3.41300011</v>
      </c>
      <c r="AE3605">
        <v>6</v>
      </c>
      <c r="AF3605">
        <v>24</v>
      </c>
      <c r="AG3605">
        <v>3.3859999200000002</v>
      </c>
      <c r="AH3605">
        <v>5</v>
      </c>
      <c r="AI3605">
        <v>48</v>
      </c>
      <c r="AJ3605">
        <v>1</v>
      </c>
      <c r="AK3605">
        <v>12</v>
      </c>
      <c r="AL3605">
        <v>40</v>
      </c>
      <c r="AM3605" t="s">
        <v>43</v>
      </c>
      <c r="AN3605" t="s">
        <v>43</v>
      </c>
    </row>
    <row r="3606" spans="1:40" x14ac:dyDescent="0.3">
      <c r="A3606" s="1">
        <v>46210.582291666666</v>
      </c>
      <c r="B3606" t="s">
        <v>40</v>
      </c>
      <c r="C3606" t="s">
        <v>41</v>
      </c>
      <c r="D3606" s="1">
        <v>46210.585590277777</v>
      </c>
      <c r="E3606" t="s">
        <v>42</v>
      </c>
      <c r="F3606" t="s">
        <v>43</v>
      </c>
      <c r="G3606">
        <v>0</v>
      </c>
      <c r="H3606">
        <v>33107</v>
      </c>
      <c r="I3606" t="s">
        <v>2152</v>
      </c>
      <c r="J3606">
        <v>54</v>
      </c>
      <c r="K3606">
        <v>-359</v>
      </c>
      <c r="L3606">
        <v>98</v>
      </c>
      <c r="M3606">
        <v>653</v>
      </c>
      <c r="N3606" t="s">
        <v>1956</v>
      </c>
      <c r="O3606" t="s">
        <v>43</v>
      </c>
      <c r="P3606">
        <v>125</v>
      </c>
      <c r="Q3606" t="s">
        <v>43</v>
      </c>
      <c r="R3606">
        <v>-1000</v>
      </c>
      <c r="S3606">
        <v>0</v>
      </c>
      <c r="T3606">
        <v>-40</v>
      </c>
      <c r="U3606">
        <v>-40</v>
      </c>
      <c r="V3606">
        <v>-3000</v>
      </c>
      <c r="W3606">
        <v>35</v>
      </c>
      <c r="X3606">
        <v>35</v>
      </c>
      <c r="Y3606">
        <v>5</v>
      </c>
      <c r="Z3606">
        <v>9</v>
      </c>
      <c r="AA3606">
        <v>30</v>
      </c>
      <c r="AB3606">
        <v>2</v>
      </c>
      <c r="AC3606">
        <v>5</v>
      </c>
      <c r="AD3606">
        <v>3.4119999399999998</v>
      </c>
      <c r="AE3606">
        <v>6</v>
      </c>
      <c r="AF3606">
        <v>24</v>
      </c>
      <c r="AG3606">
        <v>3.3849999899999998</v>
      </c>
      <c r="AH3606">
        <v>5</v>
      </c>
      <c r="AI3606">
        <v>48</v>
      </c>
      <c r="AJ3606">
        <v>1</v>
      </c>
      <c r="AK3606">
        <v>12</v>
      </c>
      <c r="AL3606">
        <v>40</v>
      </c>
      <c r="AM3606" t="s">
        <v>43</v>
      </c>
      <c r="AN3606" t="str">
        <f>HYPERLINK("https://www.google.com/maps?q=10.76359844,79.6931076","Open Location")</f>
        <v>Open Location</v>
      </c>
    </row>
    <row r="3607" spans="1:40" x14ac:dyDescent="0.3">
      <c r="A3607" s="1">
        <v>46210.582175925927</v>
      </c>
      <c r="B3607" t="s">
        <v>40</v>
      </c>
      <c r="C3607" t="s">
        <v>41</v>
      </c>
      <c r="D3607" s="1">
        <v>46210.585127314815</v>
      </c>
      <c r="E3607" t="s">
        <v>42</v>
      </c>
      <c r="F3607" t="s">
        <v>43</v>
      </c>
      <c r="G3607">
        <v>0</v>
      </c>
      <c r="H3607">
        <v>33107</v>
      </c>
      <c r="I3607" t="s">
        <v>1976</v>
      </c>
      <c r="J3607">
        <v>53</v>
      </c>
      <c r="K3607">
        <v>-359</v>
      </c>
      <c r="L3607">
        <v>98</v>
      </c>
      <c r="M3607">
        <v>653</v>
      </c>
      <c r="N3607" t="s">
        <v>1956</v>
      </c>
      <c r="O3607" t="s">
        <v>43</v>
      </c>
      <c r="P3607">
        <v>125</v>
      </c>
      <c r="Q3607" t="s">
        <v>43</v>
      </c>
      <c r="R3607">
        <v>-1000</v>
      </c>
      <c r="S3607">
        <v>0</v>
      </c>
      <c r="T3607">
        <v>-40</v>
      </c>
      <c r="U3607">
        <v>-40</v>
      </c>
      <c r="V3607">
        <v>-3000</v>
      </c>
      <c r="W3607">
        <v>35</v>
      </c>
      <c r="X3607">
        <v>35</v>
      </c>
      <c r="Y3607">
        <v>5</v>
      </c>
      <c r="Z3607">
        <v>9</v>
      </c>
      <c r="AA3607">
        <v>30</v>
      </c>
      <c r="AB3607">
        <v>2</v>
      </c>
      <c r="AC3607">
        <v>5</v>
      </c>
      <c r="AD3607">
        <v>3.4119999399999998</v>
      </c>
      <c r="AE3607">
        <v>6</v>
      </c>
      <c r="AF3607">
        <v>24</v>
      </c>
      <c r="AG3607">
        <v>3.3849999899999998</v>
      </c>
      <c r="AH3607">
        <v>5</v>
      </c>
      <c r="AI3607">
        <v>48</v>
      </c>
      <c r="AJ3607">
        <v>1</v>
      </c>
      <c r="AK3607">
        <v>12</v>
      </c>
      <c r="AL3607">
        <v>40</v>
      </c>
      <c r="AM3607" t="s">
        <v>43</v>
      </c>
      <c r="AN3607" t="str">
        <f>HYPERLINK("https://www.google.com/maps?q=10.76360512,79.69309235","Open Location")</f>
        <v>Open Location</v>
      </c>
    </row>
    <row r="3608" spans="1:40" x14ac:dyDescent="0.3">
      <c r="A3608" s="1">
        <v>46210.582060185188</v>
      </c>
      <c r="B3608" t="s">
        <v>40</v>
      </c>
      <c r="C3608" t="s">
        <v>41</v>
      </c>
      <c r="D3608" s="1">
        <v>46210.585011574076</v>
      </c>
      <c r="E3608" t="s">
        <v>42</v>
      </c>
      <c r="F3608" t="s">
        <v>43</v>
      </c>
      <c r="G3608">
        <v>0</v>
      </c>
      <c r="H3608">
        <v>33107</v>
      </c>
      <c r="I3608" t="s">
        <v>2153</v>
      </c>
      <c r="J3608">
        <v>53</v>
      </c>
      <c r="K3608">
        <v>-356</v>
      </c>
      <c r="L3608">
        <v>98</v>
      </c>
      <c r="M3608">
        <v>652.79998779000005</v>
      </c>
      <c r="N3608" t="s">
        <v>1956</v>
      </c>
      <c r="O3608" t="s">
        <v>43</v>
      </c>
      <c r="P3608">
        <v>125</v>
      </c>
      <c r="Q3608" t="s">
        <v>43</v>
      </c>
      <c r="R3608">
        <v>-1000</v>
      </c>
      <c r="S3608">
        <v>0</v>
      </c>
      <c r="T3608">
        <v>-40</v>
      </c>
      <c r="U3608">
        <v>-40</v>
      </c>
      <c r="V3608">
        <v>-3000</v>
      </c>
      <c r="W3608">
        <v>35</v>
      </c>
      <c r="X3608">
        <v>35</v>
      </c>
      <c r="Y3608">
        <v>5</v>
      </c>
      <c r="Z3608">
        <v>9</v>
      </c>
      <c r="AA3608">
        <v>30</v>
      </c>
      <c r="AB3608">
        <v>2</v>
      </c>
      <c r="AC3608">
        <v>2</v>
      </c>
      <c r="AD3608">
        <v>3.41100001</v>
      </c>
      <c r="AE3608">
        <v>6</v>
      </c>
      <c r="AF3608">
        <v>24</v>
      </c>
      <c r="AG3608">
        <v>3.38400006</v>
      </c>
      <c r="AH3608">
        <v>5</v>
      </c>
      <c r="AI3608">
        <v>48</v>
      </c>
      <c r="AJ3608">
        <v>1</v>
      </c>
      <c r="AK3608">
        <v>12</v>
      </c>
      <c r="AL3608">
        <v>40</v>
      </c>
      <c r="AM3608" t="s">
        <v>43</v>
      </c>
      <c r="AN3608" t="str">
        <f>HYPERLINK("https://www.google.com/maps?q=10.76360035,79.69311523","Open Location")</f>
        <v>Open Location</v>
      </c>
    </row>
    <row r="3609" spans="1:40" x14ac:dyDescent="0.3">
      <c r="A3609" s="1">
        <v>46210.581944444442</v>
      </c>
      <c r="B3609" t="s">
        <v>40</v>
      </c>
      <c r="C3609" t="s">
        <v>41</v>
      </c>
      <c r="D3609" s="1">
        <v>46210.584780092591</v>
      </c>
      <c r="E3609" t="s">
        <v>42</v>
      </c>
      <c r="F3609" t="s">
        <v>43</v>
      </c>
      <c r="G3609">
        <v>0</v>
      </c>
      <c r="H3609" t="s">
        <v>43</v>
      </c>
      <c r="I3609" t="s">
        <v>2154</v>
      </c>
      <c r="J3609">
        <v>53</v>
      </c>
      <c r="K3609">
        <v>-359</v>
      </c>
      <c r="L3609">
        <v>98</v>
      </c>
      <c r="M3609">
        <v>653</v>
      </c>
      <c r="N3609" t="s">
        <v>1956</v>
      </c>
      <c r="O3609" t="s">
        <v>43</v>
      </c>
      <c r="P3609">
        <v>125</v>
      </c>
      <c r="Q3609" t="s">
        <v>43</v>
      </c>
      <c r="R3609">
        <v>-1000</v>
      </c>
      <c r="S3609">
        <v>0</v>
      </c>
      <c r="T3609">
        <v>-40</v>
      </c>
      <c r="U3609">
        <v>-40</v>
      </c>
      <c r="V3609">
        <v>-3000</v>
      </c>
      <c r="W3609">
        <v>35</v>
      </c>
      <c r="X3609">
        <v>35</v>
      </c>
      <c r="Y3609">
        <v>5</v>
      </c>
      <c r="Z3609">
        <v>9</v>
      </c>
      <c r="AA3609">
        <v>29</v>
      </c>
      <c r="AB3609">
        <v>7</v>
      </c>
      <c r="AC3609">
        <v>5</v>
      </c>
      <c r="AD3609">
        <v>3.4119999399999998</v>
      </c>
      <c r="AE3609">
        <v>6</v>
      </c>
      <c r="AF3609">
        <v>24</v>
      </c>
      <c r="AG3609">
        <v>3.38400006</v>
      </c>
      <c r="AH3609">
        <v>5</v>
      </c>
      <c r="AI3609">
        <v>48</v>
      </c>
      <c r="AJ3609">
        <v>1</v>
      </c>
      <c r="AK3609">
        <v>12</v>
      </c>
      <c r="AL3609">
        <v>40</v>
      </c>
      <c r="AM3609" t="s">
        <v>43</v>
      </c>
      <c r="AN3609" t="str">
        <f>HYPERLINK("https://www.google.com/maps?q=10.7636013,79.69312286","Open Location")</f>
        <v>Open Location</v>
      </c>
    </row>
    <row r="3610" spans="1:40" x14ac:dyDescent="0.3">
      <c r="A3610" s="1">
        <v>46210.581828703704</v>
      </c>
      <c r="B3610" t="s">
        <v>40</v>
      </c>
      <c r="C3610" t="s">
        <v>41</v>
      </c>
      <c r="D3610" s="1">
        <v>46210.584780092591</v>
      </c>
      <c r="E3610" t="s">
        <v>42</v>
      </c>
      <c r="F3610" t="s">
        <v>43</v>
      </c>
      <c r="G3610">
        <v>0</v>
      </c>
      <c r="H3610">
        <v>33107</v>
      </c>
      <c r="I3610" t="s">
        <v>2155</v>
      </c>
      <c r="J3610">
        <v>53</v>
      </c>
      <c r="K3610">
        <v>-358</v>
      </c>
      <c r="L3610">
        <v>98</v>
      </c>
      <c r="M3610">
        <v>652.79998779000005</v>
      </c>
      <c r="N3610" t="s">
        <v>1956</v>
      </c>
      <c r="O3610" t="s">
        <v>43</v>
      </c>
      <c r="P3610">
        <v>125</v>
      </c>
      <c r="Q3610" t="s">
        <v>43</v>
      </c>
      <c r="R3610">
        <v>-1000</v>
      </c>
      <c r="S3610">
        <v>0</v>
      </c>
      <c r="T3610">
        <v>-40</v>
      </c>
      <c r="U3610">
        <v>-40</v>
      </c>
      <c r="V3610">
        <v>-3000</v>
      </c>
      <c r="W3610">
        <v>34</v>
      </c>
      <c r="X3610">
        <v>34</v>
      </c>
      <c r="Y3610">
        <v>1</v>
      </c>
      <c r="Z3610">
        <v>3</v>
      </c>
      <c r="AA3610">
        <v>29</v>
      </c>
      <c r="AB3610">
        <v>7</v>
      </c>
      <c r="AC3610">
        <v>5</v>
      </c>
      <c r="AD3610">
        <v>3.41100001</v>
      </c>
      <c r="AE3610">
        <v>6</v>
      </c>
      <c r="AF3610">
        <v>24</v>
      </c>
      <c r="AG3610">
        <v>3.38400006</v>
      </c>
      <c r="AH3610">
        <v>5</v>
      </c>
      <c r="AI3610">
        <v>48</v>
      </c>
      <c r="AJ3610">
        <v>1</v>
      </c>
      <c r="AK3610">
        <v>12</v>
      </c>
      <c r="AL3610">
        <v>40</v>
      </c>
      <c r="AM3610" t="s">
        <v>43</v>
      </c>
      <c r="AN3610" t="str">
        <f>HYPERLINK("https://www.google.com/maps?q=10.76360035,79.69312286","Open Location")</f>
        <v>Open Location</v>
      </c>
    </row>
    <row r="3611" spans="1:40" x14ac:dyDescent="0.3">
      <c r="A3611" s="1">
        <v>46210.581712962965</v>
      </c>
      <c r="B3611" t="s">
        <v>40</v>
      </c>
      <c r="C3611" t="s">
        <v>41</v>
      </c>
      <c r="D3611" s="1">
        <v>46210.584768518522</v>
      </c>
      <c r="E3611" t="s">
        <v>42</v>
      </c>
      <c r="F3611" t="s">
        <v>43</v>
      </c>
      <c r="G3611">
        <v>0</v>
      </c>
      <c r="H3611">
        <v>33107</v>
      </c>
      <c r="I3611" t="s">
        <v>43</v>
      </c>
      <c r="J3611">
        <v>53</v>
      </c>
      <c r="K3611">
        <v>-357</v>
      </c>
      <c r="L3611">
        <v>98</v>
      </c>
      <c r="M3611">
        <v>652.59997558999999</v>
      </c>
      <c r="N3611" t="s">
        <v>1956</v>
      </c>
      <c r="O3611" t="s">
        <v>43</v>
      </c>
      <c r="P3611">
        <v>125</v>
      </c>
      <c r="Q3611" t="s">
        <v>43</v>
      </c>
      <c r="R3611">
        <v>-1000</v>
      </c>
      <c r="S3611">
        <v>0</v>
      </c>
      <c r="T3611">
        <v>-40</v>
      </c>
      <c r="U3611">
        <v>-40</v>
      </c>
      <c r="V3611">
        <v>-3000</v>
      </c>
      <c r="W3611">
        <v>34</v>
      </c>
      <c r="X3611">
        <v>34</v>
      </c>
      <c r="Y3611">
        <v>1</v>
      </c>
      <c r="Z3611">
        <v>9</v>
      </c>
      <c r="AA3611">
        <v>29</v>
      </c>
      <c r="AB3611">
        <v>3</v>
      </c>
      <c r="AC3611">
        <v>5</v>
      </c>
      <c r="AD3611">
        <v>3.41000009</v>
      </c>
      <c r="AE3611">
        <v>6</v>
      </c>
      <c r="AF3611">
        <v>24</v>
      </c>
      <c r="AG3611">
        <v>3.3829999000000002</v>
      </c>
      <c r="AH3611">
        <v>5</v>
      </c>
      <c r="AI3611">
        <v>48</v>
      </c>
      <c r="AJ3611">
        <v>1</v>
      </c>
      <c r="AK3611">
        <v>12</v>
      </c>
      <c r="AL3611">
        <v>40</v>
      </c>
      <c r="AM3611" t="s">
        <v>43</v>
      </c>
      <c r="AN3611" t="s">
        <v>43</v>
      </c>
    </row>
    <row r="3612" spans="1:40" x14ac:dyDescent="0.3">
      <c r="A3612" s="1">
        <v>46210.581597222219</v>
      </c>
      <c r="B3612" t="s">
        <v>40</v>
      </c>
      <c r="C3612" t="s">
        <v>41</v>
      </c>
      <c r="D3612" s="1">
        <v>46210.584768518522</v>
      </c>
      <c r="E3612" t="s">
        <v>42</v>
      </c>
      <c r="F3612" t="s">
        <v>43</v>
      </c>
      <c r="G3612">
        <v>0</v>
      </c>
      <c r="H3612">
        <v>33107</v>
      </c>
      <c r="I3612" t="s">
        <v>2010</v>
      </c>
      <c r="J3612">
        <v>52</v>
      </c>
      <c r="K3612">
        <v>-357</v>
      </c>
      <c r="L3612">
        <v>98</v>
      </c>
      <c r="M3612">
        <v>652.70001220999995</v>
      </c>
      <c r="N3612" t="s">
        <v>1956</v>
      </c>
      <c r="O3612" t="s">
        <v>43</v>
      </c>
      <c r="P3612">
        <v>125</v>
      </c>
      <c r="Q3612" t="s">
        <v>43</v>
      </c>
      <c r="R3612">
        <v>-1000</v>
      </c>
      <c r="S3612">
        <v>0</v>
      </c>
      <c r="T3612">
        <v>-40</v>
      </c>
      <c r="U3612">
        <v>-40</v>
      </c>
      <c r="V3612">
        <v>-3000</v>
      </c>
      <c r="W3612">
        <v>34</v>
      </c>
      <c r="X3612">
        <v>34</v>
      </c>
      <c r="Y3612">
        <v>1</v>
      </c>
      <c r="Z3612">
        <v>9</v>
      </c>
      <c r="AA3612">
        <v>29</v>
      </c>
      <c r="AB3612">
        <v>2</v>
      </c>
      <c r="AC3612">
        <v>5</v>
      </c>
      <c r="AD3612">
        <v>3.41000009</v>
      </c>
      <c r="AE3612">
        <v>6</v>
      </c>
      <c r="AF3612">
        <v>24</v>
      </c>
      <c r="AG3612">
        <v>3.3829999000000002</v>
      </c>
      <c r="AH3612">
        <v>5</v>
      </c>
      <c r="AI3612">
        <v>48</v>
      </c>
      <c r="AJ3612">
        <v>1</v>
      </c>
      <c r="AK3612">
        <v>12</v>
      </c>
      <c r="AL3612">
        <v>40</v>
      </c>
      <c r="AM3612" t="s">
        <v>43</v>
      </c>
      <c r="AN3612" t="str">
        <f>HYPERLINK("https://www.google.com/maps?q=10.76359081,79.69312286","Open Location")</f>
        <v>Open Location</v>
      </c>
    </row>
    <row r="3613" spans="1:40" x14ac:dyDescent="0.3">
      <c r="A3613" s="1">
        <v>46210.58148148148</v>
      </c>
      <c r="B3613" t="s">
        <v>40</v>
      </c>
      <c r="C3613" t="s">
        <v>41</v>
      </c>
      <c r="D3613" s="1">
        <v>46210.584421296298</v>
      </c>
      <c r="E3613" t="s">
        <v>42</v>
      </c>
      <c r="F3613" t="s">
        <v>43</v>
      </c>
      <c r="G3613">
        <v>0</v>
      </c>
      <c r="H3613">
        <v>33107</v>
      </c>
      <c r="I3613" t="s">
        <v>1987</v>
      </c>
      <c r="J3613">
        <v>52</v>
      </c>
      <c r="K3613">
        <v>-359</v>
      </c>
      <c r="L3613">
        <v>98</v>
      </c>
      <c r="M3613">
        <v>652.5</v>
      </c>
      <c r="N3613" t="s">
        <v>1956</v>
      </c>
      <c r="O3613" t="s">
        <v>43</v>
      </c>
      <c r="P3613">
        <v>125</v>
      </c>
      <c r="Q3613" t="s">
        <v>43</v>
      </c>
      <c r="R3613">
        <v>-1000</v>
      </c>
      <c r="S3613">
        <v>0</v>
      </c>
      <c r="T3613">
        <v>-40</v>
      </c>
      <c r="U3613">
        <v>-40</v>
      </c>
      <c r="V3613">
        <v>-3000</v>
      </c>
      <c r="W3613">
        <v>34</v>
      </c>
      <c r="X3613">
        <v>34</v>
      </c>
      <c r="Y3613">
        <v>5</v>
      </c>
      <c r="Z3613">
        <v>3</v>
      </c>
      <c r="AA3613">
        <v>29</v>
      </c>
      <c r="AB3613">
        <v>2</v>
      </c>
      <c r="AC3613">
        <v>5</v>
      </c>
      <c r="AD3613">
        <v>3.41000009</v>
      </c>
      <c r="AE3613">
        <v>6</v>
      </c>
      <c r="AF3613">
        <v>24</v>
      </c>
      <c r="AG3613">
        <v>3.3829999000000002</v>
      </c>
      <c r="AH3613">
        <v>5</v>
      </c>
      <c r="AI3613">
        <v>48</v>
      </c>
      <c r="AJ3613">
        <v>1</v>
      </c>
      <c r="AK3613">
        <v>12</v>
      </c>
      <c r="AL3613">
        <v>40</v>
      </c>
      <c r="AM3613" t="s">
        <v>43</v>
      </c>
      <c r="AN3613" t="str">
        <f>HYPERLINK("https://www.google.com/maps?q=10.76359081,79.69313049","Open Location")</f>
        <v>Open Location</v>
      </c>
    </row>
    <row r="3614" spans="1:40" x14ac:dyDescent="0.3">
      <c r="A3614" s="1">
        <v>46210.581365740742</v>
      </c>
      <c r="B3614" t="s">
        <v>40</v>
      </c>
      <c r="C3614" t="s">
        <v>41</v>
      </c>
      <c r="D3614" s="1">
        <v>46210.584432870368</v>
      </c>
      <c r="E3614" t="s">
        <v>42</v>
      </c>
      <c r="F3614" t="s">
        <v>43</v>
      </c>
      <c r="G3614">
        <v>0</v>
      </c>
      <c r="H3614">
        <v>33107</v>
      </c>
      <c r="I3614" t="s">
        <v>2156</v>
      </c>
      <c r="J3614">
        <v>52</v>
      </c>
      <c r="K3614">
        <v>-359</v>
      </c>
      <c r="L3614">
        <v>98</v>
      </c>
      <c r="M3614">
        <v>652.5</v>
      </c>
      <c r="N3614" t="s">
        <v>1956</v>
      </c>
      <c r="O3614" t="s">
        <v>43</v>
      </c>
      <c r="P3614">
        <v>125</v>
      </c>
      <c r="Q3614" t="s">
        <v>43</v>
      </c>
      <c r="R3614">
        <v>-1000</v>
      </c>
      <c r="S3614">
        <v>0</v>
      </c>
      <c r="T3614">
        <v>-40</v>
      </c>
      <c r="U3614">
        <v>-40</v>
      </c>
      <c r="V3614">
        <v>-3000</v>
      </c>
      <c r="W3614">
        <v>34</v>
      </c>
      <c r="X3614">
        <v>34</v>
      </c>
      <c r="Y3614">
        <v>5</v>
      </c>
      <c r="Z3614">
        <v>3</v>
      </c>
      <c r="AA3614">
        <v>29</v>
      </c>
      <c r="AB3614">
        <v>2</v>
      </c>
      <c r="AC3614">
        <v>5</v>
      </c>
      <c r="AD3614">
        <v>3.41000009</v>
      </c>
      <c r="AE3614">
        <v>6</v>
      </c>
      <c r="AF3614">
        <v>24</v>
      </c>
      <c r="AG3614">
        <v>3.3829999000000002</v>
      </c>
      <c r="AH3614">
        <v>5</v>
      </c>
      <c r="AI3614">
        <v>48</v>
      </c>
      <c r="AJ3614">
        <v>1</v>
      </c>
      <c r="AK3614">
        <v>13</v>
      </c>
      <c r="AL3614">
        <v>40</v>
      </c>
      <c r="AM3614" t="s">
        <v>43</v>
      </c>
      <c r="AN3614" t="str">
        <f>HYPERLINK("https://www.google.com/maps?q=10.76358032,79.69312286","Open Location")</f>
        <v>Open Location</v>
      </c>
    </row>
    <row r="3615" spans="1:40" x14ac:dyDescent="0.3">
      <c r="A3615" s="1">
        <v>46210.581250000003</v>
      </c>
      <c r="B3615" t="s">
        <v>40</v>
      </c>
      <c r="C3615" t="s">
        <v>41</v>
      </c>
      <c r="D3615" s="1">
        <v>46210.584050925929</v>
      </c>
      <c r="E3615" t="s">
        <v>42</v>
      </c>
      <c r="F3615" t="s">
        <v>43</v>
      </c>
      <c r="G3615">
        <v>0</v>
      </c>
      <c r="H3615">
        <v>33107</v>
      </c>
      <c r="I3615" t="s">
        <v>2157</v>
      </c>
      <c r="J3615">
        <v>52</v>
      </c>
      <c r="K3615">
        <v>-358</v>
      </c>
      <c r="L3615">
        <v>98</v>
      </c>
      <c r="M3615">
        <v>652.5</v>
      </c>
      <c r="N3615" t="s">
        <v>1956</v>
      </c>
      <c r="O3615" t="s">
        <v>43</v>
      </c>
      <c r="P3615">
        <v>125</v>
      </c>
      <c r="Q3615" t="s">
        <v>43</v>
      </c>
      <c r="R3615">
        <v>-1000</v>
      </c>
      <c r="S3615">
        <v>0</v>
      </c>
      <c r="T3615">
        <v>-40</v>
      </c>
      <c r="U3615">
        <v>-40</v>
      </c>
      <c r="V3615">
        <v>-3000</v>
      </c>
      <c r="W3615">
        <v>34</v>
      </c>
      <c r="X3615">
        <v>34</v>
      </c>
      <c r="Y3615">
        <v>5</v>
      </c>
      <c r="Z3615">
        <v>9</v>
      </c>
      <c r="AA3615">
        <v>29</v>
      </c>
      <c r="AB3615">
        <v>2</v>
      </c>
      <c r="AC3615">
        <v>5</v>
      </c>
      <c r="AD3615">
        <v>3.41000009</v>
      </c>
      <c r="AE3615">
        <v>6</v>
      </c>
      <c r="AF3615">
        <v>24</v>
      </c>
      <c r="AG3615">
        <v>3.3829999000000002</v>
      </c>
      <c r="AH3615">
        <v>5</v>
      </c>
      <c r="AI3615">
        <v>48</v>
      </c>
      <c r="AJ3615">
        <v>1</v>
      </c>
      <c r="AK3615">
        <v>13</v>
      </c>
      <c r="AL3615">
        <v>40</v>
      </c>
      <c r="AM3615" t="s">
        <v>43</v>
      </c>
      <c r="AN3615" t="str">
        <f>HYPERLINK("https://www.google.com/maps?q=10.76357746,79.69312286","Open Location")</f>
        <v>Open Location</v>
      </c>
    </row>
    <row r="3616" spans="1:40" x14ac:dyDescent="0.3">
      <c r="A3616" s="1">
        <v>46210.581134259257</v>
      </c>
      <c r="B3616" t="s">
        <v>40</v>
      </c>
      <c r="C3616" t="s">
        <v>41</v>
      </c>
      <c r="D3616" s="1">
        <v>46210.584050925929</v>
      </c>
      <c r="E3616" t="s">
        <v>42</v>
      </c>
      <c r="F3616" t="s">
        <v>43</v>
      </c>
      <c r="G3616">
        <v>0</v>
      </c>
      <c r="H3616">
        <v>33107</v>
      </c>
      <c r="I3616" t="s">
        <v>2158</v>
      </c>
      <c r="J3616">
        <v>51</v>
      </c>
      <c r="K3616">
        <v>-360</v>
      </c>
      <c r="L3616">
        <v>98</v>
      </c>
      <c r="M3616">
        <v>652.5</v>
      </c>
      <c r="N3616" t="s">
        <v>1956</v>
      </c>
      <c r="O3616" t="s">
        <v>43</v>
      </c>
      <c r="P3616">
        <v>125</v>
      </c>
      <c r="Q3616" t="s">
        <v>43</v>
      </c>
      <c r="R3616">
        <v>-1000</v>
      </c>
      <c r="S3616">
        <v>0</v>
      </c>
      <c r="T3616">
        <v>-40</v>
      </c>
      <c r="U3616">
        <v>-40</v>
      </c>
      <c r="V3616">
        <v>-3000</v>
      </c>
      <c r="W3616">
        <v>34</v>
      </c>
      <c r="X3616">
        <v>34</v>
      </c>
      <c r="Y3616">
        <v>5</v>
      </c>
      <c r="Z3616">
        <v>9</v>
      </c>
      <c r="AA3616">
        <v>29</v>
      </c>
      <c r="AB3616">
        <v>2</v>
      </c>
      <c r="AC3616">
        <v>5</v>
      </c>
      <c r="AD3616">
        <v>3.41000009</v>
      </c>
      <c r="AE3616">
        <v>6</v>
      </c>
      <c r="AF3616">
        <v>24</v>
      </c>
      <c r="AG3616">
        <v>3.3829999000000002</v>
      </c>
      <c r="AH3616">
        <v>5</v>
      </c>
      <c r="AI3616">
        <v>48</v>
      </c>
      <c r="AJ3616">
        <v>1</v>
      </c>
      <c r="AK3616">
        <v>13</v>
      </c>
      <c r="AL3616">
        <v>40</v>
      </c>
      <c r="AM3616" t="s">
        <v>43</v>
      </c>
      <c r="AN3616" t="str">
        <f>HYPERLINK("https://www.google.com/maps?q=10.76357365,79.69312286","Open Location")</f>
        <v>Open Location</v>
      </c>
    </row>
    <row r="3617" spans="1:40" x14ac:dyDescent="0.3">
      <c r="A3617" s="1">
        <v>46210.581018518518</v>
      </c>
      <c r="B3617" t="s">
        <v>40</v>
      </c>
      <c r="C3617" t="s">
        <v>41</v>
      </c>
      <c r="D3617" s="1">
        <v>46210.584166666667</v>
      </c>
      <c r="E3617" t="s">
        <v>42</v>
      </c>
      <c r="F3617" t="s">
        <v>43</v>
      </c>
      <c r="G3617">
        <v>0</v>
      </c>
      <c r="H3617">
        <v>33107</v>
      </c>
      <c r="I3617" t="s">
        <v>43</v>
      </c>
      <c r="J3617">
        <v>51</v>
      </c>
      <c r="K3617">
        <v>-360</v>
      </c>
      <c r="L3617">
        <v>98</v>
      </c>
      <c r="M3617">
        <v>652.5</v>
      </c>
      <c r="N3617" t="s">
        <v>1956</v>
      </c>
      <c r="O3617" t="s">
        <v>43</v>
      </c>
      <c r="P3617">
        <v>125</v>
      </c>
      <c r="Q3617" t="s">
        <v>43</v>
      </c>
      <c r="R3617">
        <v>-1000</v>
      </c>
      <c r="S3617">
        <v>0</v>
      </c>
      <c r="T3617">
        <v>-40</v>
      </c>
      <c r="U3617">
        <v>-40</v>
      </c>
      <c r="V3617">
        <v>-3000</v>
      </c>
      <c r="W3617">
        <v>34</v>
      </c>
      <c r="X3617">
        <v>34</v>
      </c>
      <c r="Y3617">
        <v>5</v>
      </c>
      <c r="Z3617">
        <v>9</v>
      </c>
      <c r="AA3617">
        <v>29</v>
      </c>
      <c r="AB3617">
        <v>2</v>
      </c>
      <c r="AC3617">
        <v>2</v>
      </c>
      <c r="AD3617">
        <v>3.4089999199999999</v>
      </c>
      <c r="AE3617">
        <v>6</v>
      </c>
      <c r="AF3617">
        <v>24</v>
      </c>
      <c r="AG3617">
        <v>3.3819999699999999</v>
      </c>
      <c r="AH3617">
        <v>5</v>
      </c>
      <c r="AI3617">
        <v>48</v>
      </c>
      <c r="AJ3617">
        <v>1</v>
      </c>
      <c r="AK3617">
        <v>15</v>
      </c>
      <c r="AL3617">
        <v>40</v>
      </c>
      <c r="AM3617" t="s">
        <v>43</v>
      </c>
      <c r="AN3617" t="s">
        <v>43</v>
      </c>
    </row>
    <row r="3618" spans="1:40" x14ac:dyDescent="0.3">
      <c r="A3618" s="1">
        <v>46210.58090277778</v>
      </c>
      <c r="B3618" t="s">
        <v>40</v>
      </c>
      <c r="C3618" t="s">
        <v>41</v>
      </c>
      <c r="D3618" s="1">
        <v>46210.584282407406</v>
      </c>
      <c r="E3618" t="s">
        <v>42</v>
      </c>
      <c r="F3618" t="s">
        <v>43</v>
      </c>
      <c r="G3618">
        <v>0</v>
      </c>
      <c r="H3618">
        <v>33107</v>
      </c>
      <c r="I3618" t="s">
        <v>2159</v>
      </c>
      <c r="J3618">
        <v>51</v>
      </c>
      <c r="K3618">
        <v>-360</v>
      </c>
      <c r="L3618">
        <v>98</v>
      </c>
      <c r="M3618">
        <v>652.5</v>
      </c>
      <c r="N3618" t="s">
        <v>1956</v>
      </c>
      <c r="O3618" t="s">
        <v>43</v>
      </c>
      <c r="P3618">
        <v>125</v>
      </c>
      <c r="Q3618" t="s">
        <v>43</v>
      </c>
      <c r="R3618">
        <v>-1000</v>
      </c>
      <c r="S3618">
        <v>0</v>
      </c>
      <c r="T3618">
        <v>-40</v>
      </c>
      <c r="U3618">
        <v>-40</v>
      </c>
      <c r="V3618">
        <v>-3000</v>
      </c>
      <c r="W3618">
        <v>34</v>
      </c>
      <c r="X3618">
        <v>34</v>
      </c>
      <c r="Y3618">
        <v>5</v>
      </c>
      <c r="Z3618">
        <v>9</v>
      </c>
      <c r="AA3618">
        <v>28</v>
      </c>
      <c r="AB3618">
        <v>7</v>
      </c>
      <c r="AC3618">
        <v>5</v>
      </c>
      <c r="AD3618">
        <v>3.4089999199999999</v>
      </c>
      <c r="AE3618">
        <v>6</v>
      </c>
      <c r="AF3618">
        <v>24</v>
      </c>
      <c r="AG3618">
        <v>3.3819999699999999</v>
      </c>
      <c r="AH3618">
        <v>5</v>
      </c>
      <c r="AI3618">
        <v>48</v>
      </c>
      <c r="AJ3618">
        <v>1</v>
      </c>
      <c r="AK3618">
        <v>15</v>
      </c>
      <c r="AL3618">
        <v>40</v>
      </c>
      <c r="AM3618" t="s">
        <v>43</v>
      </c>
      <c r="AN3618" t="str">
        <f>HYPERLINK("https://www.google.com/maps?q=10.76356411,79.69312286","Open Location")</f>
        <v>Open Location</v>
      </c>
    </row>
    <row r="3619" spans="1:40" x14ac:dyDescent="0.3">
      <c r="A3619" s="1">
        <v>46210.580787037034</v>
      </c>
      <c r="B3619" t="s">
        <v>40</v>
      </c>
      <c r="C3619" t="s">
        <v>41</v>
      </c>
      <c r="D3619" s="1">
        <v>46210.583831018521</v>
      </c>
      <c r="E3619" t="s">
        <v>42</v>
      </c>
      <c r="F3619" t="s">
        <v>43</v>
      </c>
      <c r="G3619">
        <v>0</v>
      </c>
      <c r="H3619">
        <v>33107</v>
      </c>
      <c r="I3619" t="s">
        <v>2160</v>
      </c>
      <c r="J3619">
        <v>51</v>
      </c>
      <c r="K3619">
        <v>-360</v>
      </c>
      <c r="L3619">
        <v>98</v>
      </c>
      <c r="M3619">
        <v>652.40002441000001</v>
      </c>
      <c r="N3619" t="s">
        <v>1956</v>
      </c>
      <c r="O3619" t="s">
        <v>43</v>
      </c>
      <c r="P3619">
        <v>125</v>
      </c>
      <c r="Q3619" t="s">
        <v>43</v>
      </c>
      <c r="R3619">
        <v>-1000</v>
      </c>
      <c r="S3619">
        <v>0</v>
      </c>
      <c r="T3619">
        <v>-40</v>
      </c>
      <c r="U3619">
        <v>-40</v>
      </c>
      <c r="V3619">
        <v>-3000</v>
      </c>
      <c r="W3619">
        <v>33</v>
      </c>
      <c r="X3619">
        <v>33</v>
      </c>
      <c r="Y3619">
        <v>1</v>
      </c>
      <c r="Z3619">
        <v>3</v>
      </c>
      <c r="AA3619">
        <v>28</v>
      </c>
      <c r="AB3619">
        <v>7</v>
      </c>
      <c r="AC3619">
        <v>5</v>
      </c>
      <c r="AD3619">
        <v>3.4089999199999999</v>
      </c>
      <c r="AE3619">
        <v>6</v>
      </c>
      <c r="AF3619">
        <v>24</v>
      </c>
      <c r="AG3619">
        <v>3.3819999699999999</v>
      </c>
      <c r="AH3619">
        <v>5</v>
      </c>
      <c r="AI3619">
        <v>48</v>
      </c>
      <c r="AJ3619">
        <v>1</v>
      </c>
      <c r="AK3619">
        <v>15</v>
      </c>
      <c r="AL3619">
        <v>40</v>
      </c>
      <c r="AM3619" t="s">
        <v>43</v>
      </c>
      <c r="AN3619" t="str">
        <f>HYPERLINK("https://www.google.com/maps?q=10.76356125,79.69312286","Open Location")</f>
        <v>Open Location</v>
      </c>
    </row>
    <row r="3620" spans="1:40" x14ac:dyDescent="0.3">
      <c r="A3620" s="1">
        <v>46210.580671296295</v>
      </c>
      <c r="B3620" t="s">
        <v>40</v>
      </c>
      <c r="C3620" t="s">
        <v>41</v>
      </c>
      <c r="D3620" s="1">
        <v>46210.583865740744</v>
      </c>
      <c r="E3620" t="s">
        <v>42</v>
      </c>
      <c r="F3620" t="s">
        <v>43</v>
      </c>
      <c r="G3620">
        <v>0</v>
      </c>
      <c r="H3620">
        <v>33107</v>
      </c>
      <c r="I3620" t="s">
        <v>2161</v>
      </c>
      <c r="J3620">
        <v>51</v>
      </c>
      <c r="K3620">
        <v>-360</v>
      </c>
      <c r="L3620">
        <v>98</v>
      </c>
      <c r="M3620">
        <v>652.20001220999995</v>
      </c>
      <c r="N3620" t="s">
        <v>1956</v>
      </c>
      <c r="O3620" t="s">
        <v>43</v>
      </c>
      <c r="P3620">
        <v>125</v>
      </c>
      <c r="Q3620" t="s">
        <v>43</v>
      </c>
      <c r="R3620">
        <v>-1000</v>
      </c>
      <c r="S3620">
        <v>0</v>
      </c>
      <c r="T3620">
        <v>-40</v>
      </c>
      <c r="U3620">
        <v>-40</v>
      </c>
      <c r="V3620">
        <v>-3000</v>
      </c>
      <c r="W3620">
        <v>33</v>
      </c>
      <c r="X3620">
        <v>33</v>
      </c>
      <c r="Y3620">
        <v>1</v>
      </c>
      <c r="Z3620">
        <v>9</v>
      </c>
      <c r="AA3620">
        <v>28</v>
      </c>
      <c r="AB3620">
        <v>3</v>
      </c>
      <c r="AC3620">
        <v>5</v>
      </c>
      <c r="AD3620">
        <v>3.40799999</v>
      </c>
      <c r="AE3620">
        <v>6</v>
      </c>
      <c r="AF3620">
        <v>24</v>
      </c>
      <c r="AG3620">
        <v>3.38100004</v>
      </c>
      <c r="AH3620">
        <v>5</v>
      </c>
      <c r="AI3620">
        <v>48</v>
      </c>
      <c r="AJ3620">
        <v>1</v>
      </c>
      <c r="AK3620">
        <v>15</v>
      </c>
      <c r="AL3620">
        <v>40</v>
      </c>
      <c r="AM3620" t="s">
        <v>43</v>
      </c>
      <c r="AN3620" t="str">
        <f>HYPERLINK("https://www.google.com/maps?q=10.76356316,79.69311523","Open Location")</f>
        <v>Open Location</v>
      </c>
    </row>
    <row r="3621" spans="1:40" x14ac:dyDescent="0.3">
      <c r="A3621" s="1">
        <v>46210.580555555556</v>
      </c>
      <c r="B3621" t="s">
        <v>40</v>
      </c>
      <c r="C3621" t="s">
        <v>41</v>
      </c>
      <c r="D3621" s="1">
        <v>46210.583587962959</v>
      </c>
      <c r="E3621" t="s">
        <v>42</v>
      </c>
      <c r="F3621" t="s">
        <v>43</v>
      </c>
      <c r="G3621">
        <v>0</v>
      </c>
      <c r="H3621">
        <v>33107</v>
      </c>
      <c r="I3621" t="s">
        <v>2162</v>
      </c>
      <c r="J3621">
        <v>50</v>
      </c>
      <c r="K3621">
        <v>-360</v>
      </c>
      <c r="L3621">
        <v>98</v>
      </c>
      <c r="M3621">
        <v>652.29998779000005</v>
      </c>
      <c r="N3621" t="s">
        <v>1956</v>
      </c>
      <c r="O3621" t="s">
        <v>43</v>
      </c>
      <c r="P3621">
        <v>125</v>
      </c>
      <c r="Q3621" t="s">
        <v>43</v>
      </c>
      <c r="R3621">
        <v>-1000</v>
      </c>
      <c r="S3621">
        <v>0</v>
      </c>
      <c r="T3621">
        <v>-40</v>
      </c>
      <c r="U3621">
        <v>-40</v>
      </c>
      <c r="V3621">
        <v>-3000</v>
      </c>
      <c r="W3621">
        <v>33</v>
      </c>
      <c r="X3621">
        <v>33</v>
      </c>
      <c r="Y3621">
        <v>5</v>
      </c>
      <c r="Z3621">
        <v>3</v>
      </c>
      <c r="AA3621">
        <v>28</v>
      </c>
      <c r="AB3621">
        <v>2</v>
      </c>
      <c r="AC3621">
        <v>5</v>
      </c>
      <c r="AD3621">
        <v>3.40799999</v>
      </c>
      <c r="AE3621">
        <v>6</v>
      </c>
      <c r="AF3621">
        <v>24</v>
      </c>
      <c r="AG3621">
        <v>3.38100004</v>
      </c>
      <c r="AH3621">
        <v>5</v>
      </c>
      <c r="AI3621">
        <v>48</v>
      </c>
      <c r="AJ3621">
        <v>1</v>
      </c>
      <c r="AK3621">
        <v>15</v>
      </c>
      <c r="AL3621">
        <v>40</v>
      </c>
      <c r="AM3621" t="s">
        <v>43</v>
      </c>
      <c r="AN3621" t="str">
        <f>HYPERLINK("https://www.google.com/maps?q=10.76356888,79.6931076","Open Location")</f>
        <v>Open Location</v>
      </c>
    </row>
    <row r="3622" spans="1:40" x14ac:dyDescent="0.3">
      <c r="A3622" s="1">
        <v>46210.580439814818</v>
      </c>
      <c r="B3622" t="s">
        <v>40</v>
      </c>
      <c r="C3622" t="s">
        <v>41</v>
      </c>
      <c r="D3622" s="1">
        <v>46210.583692129629</v>
      </c>
      <c r="E3622" t="s">
        <v>42</v>
      </c>
      <c r="F3622" t="s">
        <v>43</v>
      </c>
      <c r="G3622">
        <v>0</v>
      </c>
      <c r="H3622">
        <v>33107</v>
      </c>
      <c r="I3622" t="s">
        <v>2061</v>
      </c>
      <c r="J3622">
        <v>50</v>
      </c>
      <c r="K3622">
        <v>-360</v>
      </c>
      <c r="L3622">
        <v>98</v>
      </c>
      <c r="M3622">
        <v>652.29998779000005</v>
      </c>
      <c r="N3622" t="s">
        <v>1956</v>
      </c>
      <c r="O3622" t="s">
        <v>43</v>
      </c>
      <c r="P3622">
        <v>125</v>
      </c>
      <c r="Q3622" t="s">
        <v>43</v>
      </c>
      <c r="R3622">
        <v>-1000</v>
      </c>
      <c r="S3622">
        <v>0</v>
      </c>
      <c r="T3622">
        <v>-40</v>
      </c>
      <c r="U3622">
        <v>-40</v>
      </c>
      <c r="V3622">
        <v>-3000</v>
      </c>
      <c r="W3622">
        <v>33</v>
      </c>
      <c r="X3622">
        <v>33</v>
      </c>
      <c r="Y3622">
        <v>5</v>
      </c>
      <c r="Z3622">
        <v>9</v>
      </c>
      <c r="AA3622">
        <v>28</v>
      </c>
      <c r="AB3622">
        <v>2</v>
      </c>
      <c r="AC3622">
        <v>5</v>
      </c>
      <c r="AD3622">
        <v>3.40799999</v>
      </c>
      <c r="AE3622">
        <v>6</v>
      </c>
      <c r="AF3622">
        <v>24</v>
      </c>
      <c r="AG3622">
        <v>3.38100004</v>
      </c>
      <c r="AH3622">
        <v>5</v>
      </c>
      <c r="AI3622">
        <v>48</v>
      </c>
      <c r="AJ3622">
        <v>1</v>
      </c>
      <c r="AK3622">
        <v>15</v>
      </c>
      <c r="AL3622">
        <v>40</v>
      </c>
      <c r="AM3622" t="s">
        <v>43</v>
      </c>
      <c r="AN3622" t="str">
        <f>HYPERLINK("https://www.google.com/maps?q=10.76357079,79.69308472","Open Location")</f>
        <v>Open Location</v>
      </c>
    </row>
    <row r="3623" spans="1:40" x14ac:dyDescent="0.3">
      <c r="A3623" s="1">
        <v>46210.580324074072</v>
      </c>
      <c r="B3623" t="s">
        <v>40</v>
      </c>
      <c r="C3623" t="s">
        <v>41</v>
      </c>
      <c r="D3623" s="1">
        <v>46210.583287037036</v>
      </c>
      <c r="E3623" t="s">
        <v>42</v>
      </c>
      <c r="F3623" t="s">
        <v>43</v>
      </c>
      <c r="G3623">
        <v>0</v>
      </c>
      <c r="H3623">
        <v>33107</v>
      </c>
      <c r="I3623" t="s">
        <v>43</v>
      </c>
      <c r="J3623">
        <v>50</v>
      </c>
      <c r="K3623">
        <v>-360</v>
      </c>
      <c r="L3623">
        <v>98</v>
      </c>
      <c r="M3623">
        <v>652.20001220999995</v>
      </c>
      <c r="N3623" t="s">
        <v>1956</v>
      </c>
      <c r="O3623" t="s">
        <v>43</v>
      </c>
      <c r="P3623">
        <v>125</v>
      </c>
      <c r="Q3623" t="s">
        <v>43</v>
      </c>
      <c r="R3623">
        <v>-1000</v>
      </c>
      <c r="S3623">
        <v>0</v>
      </c>
      <c r="T3623">
        <v>-40</v>
      </c>
      <c r="U3623">
        <v>-40</v>
      </c>
      <c r="V3623">
        <v>-3000</v>
      </c>
      <c r="W3623">
        <v>33</v>
      </c>
      <c r="X3623">
        <v>33</v>
      </c>
      <c r="Y3623">
        <v>5</v>
      </c>
      <c r="Z3623">
        <v>9</v>
      </c>
      <c r="AA3623">
        <v>28</v>
      </c>
      <c r="AB3623">
        <v>2</v>
      </c>
      <c r="AC3623">
        <v>5</v>
      </c>
      <c r="AD3623">
        <v>3.40799999</v>
      </c>
      <c r="AE3623">
        <v>6</v>
      </c>
      <c r="AF3623">
        <v>24</v>
      </c>
      <c r="AG3623">
        <v>3.38100004</v>
      </c>
      <c r="AH3623">
        <v>5</v>
      </c>
      <c r="AI3623">
        <v>48</v>
      </c>
      <c r="AJ3623">
        <v>1</v>
      </c>
      <c r="AK3623">
        <v>15</v>
      </c>
      <c r="AL3623">
        <v>40</v>
      </c>
      <c r="AM3623" t="s">
        <v>43</v>
      </c>
      <c r="AN3623" t="s">
        <v>43</v>
      </c>
    </row>
    <row r="3624" spans="1:40" x14ac:dyDescent="0.3">
      <c r="A3624" s="1">
        <v>46210.580208333333</v>
      </c>
      <c r="B3624" t="s">
        <v>40</v>
      </c>
      <c r="C3624" t="s">
        <v>41</v>
      </c>
      <c r="D3624" s="1">
        <v>46210.583344907405</v>
      </c>
      <c r="E3624" t="s">
        <v>42</v>
      </c>
      <c r="F3624" t="s">
        <v>43</v>
      </c>
      <c r="G3624">
        <v>0</v>
      </c>
      <c r="H3624">
        <v>33107</v>
      </c>
      <c r="I3624" t="s">
        <v>2071</v>
      </c>
      <c r="J3624">
        <v>50</v>
      </c>
      <c r="K3624">
        <v>-360</v>
      </c>
      <c r="L3624">
        <v>98</v>
      </c>
      <c r="M3624">
        <v>652.09997558999999</v>
      </c>
      <c r="N3624" t="s">
        <v>1956</v>
      </c>
      <c r="O3624" t="s">
        <v>43</v>
      </c>
      <c r="P3624">
        <v>125</v>
      </c>
      <c r="Q3624" t="s">
        <v>43</v>
      </c>
      <c r="R3624">
        <v>-1000</v>
      </c>
      <c r="S3624">
        <v>0</v>
      </c>
      <c r="T3624">
        <v>-40</v>
      </c>
      <c r="U3624">
        <v>-40</v>
      </c>
      <c r="V3624">
        <v>-3000</v>
      </c>
      <c r="W3624">
        <v>33</v>
      </c>
      <c r="X3624">
        <v>33</v>
      </c>
      <c r="Y3624">
        <v>5</v>
      </c>
      <c r="Z3624">
        <v>9</v>
      </c>
      <c r="AA3624">
        <v>28</v>
      </c>
      <c r="AB3624">
        <v>2</v>
      </c>
      <c r="AC3624">
        <v>2</v>
      </c>
      <c r="AD3624">
        <v>3.40799999</v>
      </c>
      <c r="AE3624">
        <v>6</v>
      </c>
      <c r="AF3624">
        <v>24</v>
      </c>
      <c r="AG3624">
        <v>3.38100004</v>
      </c>
      <c r="AH3624">
        <v>5</v>
      </c>
      <c r="AI3624">
        <v>48</v>
      </c>
      <c r="AJ3624">
        <v>1</v>
      </c>
      <c r="AK3624">
        <v>15</v>
      </c>
      <c r="AL3624">
        <v>40</v>
      </c>
      <c r="AM3624" t="s">
        <v>43</v>
      </c>
      <c r="AN3624" t="str">
        <f>HYPERLINK("https://www.google.com/maps?q=10.76357269,79.69307709","Open Location")</f>
        <v>Open Location</v>
      </c>
    </row>
    <row r="3625" spans="1:40" x14ac:dyDescent="0.3">
      <c r="A3625" s="1">
        <v>46210.580092592594</v>
      </c>
      <c r="B3625" t="s">
        <v>40</v>
      </c>
      <c r="C3625" t="s">
        <v>41</v>
      </c>
      <c r="D3625" s="1">
        <v>46210.583182870374</v>
      </c>
      <c r="E3625" t="s">
        <v>42</v>
      </c>
      <c r="F3625" t="s">
        <v>43</v>
      </c>
      <c r="G3625">
        <v>0</v>
      </c>
      <c r="H3625">
        <v>33107</v>
      </c>
      <c r="I3625" t="s">
        <v>2163</v>
      </c>
      <c r="J3625">
        <v>49</v>
      </c>
      <c r="K3625">
        <v>-361</v>
      </c>
      <c r="L3625">
        <v>98</v>
      </c>
      <c r="M3625">
        <v>652.09997558999999</v>
      </c>
      <c r="N3625" t="s">
        <v>1956</v>
      </c>
      <c r="O3625" t="s">
        <v>43</v>
      </c>
      <c r="P3625">
        <v>125</v>
      </c>
      <c r="Q3625" t="s">
        <v>43</v>
      </c>
      <c r="R3625">
        <v>-1000</v>
      </c>
      <c r="S3625">
        <v>0</v>
      </c>
      <c r="T3625">
        <v>-40</v>
      </c>
      <c r="U3625">
        <v>-40</v>
      </c>
      <c r="V3625">
        <v>-3000</v>
      </c>
      <c r="W3625">
        <v>32</v>
      </c>
      <c r="X3625">
        <v>32</v>
      </c>
      <c r="Y3625">
        <v>1</v>
      </c>
      <c r="Z3625">
        <v>3</v>
      </c>
      <c r="AA3625">
        <v>27</v>
      </c>
      <c r="AB3625">
        <v>7</v>
      </c>
      <c r="AC3625">
        <v>5</v>
      </c>
      <c r="AD3625">
        <v>3.40799999</v>
      </c>
      <c r="AE3625">
        <v>6</v>
      </c>
      <c r="AF3625">
        <v>24</v>
      </c>
      <c r="AG3625">
        <v>3.3800001100000001</v>
      </c>
      <c r="AH3625">
        <v>5</v>
      </c>
      <c r="AI3625">
        <v>48</v>
      </c>
      <c r="AJ3625">
        <v>1</v>
      </c>
      <c r="AK3625">
        <v>15</v>
      </c>
      <c r="AL3625">
        <v>40</v>
      </c>
      <c r="AM3625" t="s">
        <v>43</v>
      </c>
      <c r="AN3625" t="str">
        <f>HYPERLINK("https://www.google.com/maps?q=10.7635746,79.69307709","Open Location")</f>
        <v>Open Location</v>
      </c>
    </row>
    <row r="3626" spans="1:40" x14ac:dyDescent="0.3">
      <c r="A3626" s="1">
        <v>46210.579976851855</v>
      </c>
      <c r="B3626" t="s">
        <v>40</v>
      </c>
      <c r="C3626" t="s">
        <v>41</v>
      </c>
      <c r="D3626" s="1">
        <v>46210.583414351851</v>
      </c>
      <c r="E3626" t="s">
        <v>42</v>
      </c>
      <c r="F3626" t="s">
        <v>43</v>
      </c>
      <c r="G3626">
        <v>0</v>
      </c>
      <c r="H3626">
        <v>33107</v>
      </c>
      <c r="I3626" t="s">
        <v>2164</v>
      </c>
      <c r="J3626">
        <v>49</v>
      </c>
      <c r="K3626">
        <v>-361</v>
      </c>
      <c r="L3626">
        <v>98</v>
      </c>
      <c r="M3626">
        <v>652</v>
      </c>
      <c r="N3626" t="s">
        <v>1956</v>
      </c>
      <c r="O3626" t="s">
        <v>43</v>
      </c>
      <c r="P3626">
        <v>125</v>
      </c>
      <c r="Q3626" t="s">
        <v>43</v>
      </c>
      <c r="R3626">
        <v>-1000</v>
      </c>
      <c r="S3626">
        <v>0</v>
      </c>
      <c r="T3626">
        <v>-40</v>
      </c>
      <c r="U3626">
        <v>-40</v>
      </c>
      <c r="V3626">
        <v>-3000</v>
      </c>
      <c r="W3626">
        <v>32</v>
      </c>
      <c r="X3626">
        <v>32</v>
      </c>
      <c r="Y3626">
        <v>1</v>
      </c>
      <c r="Z3626">
        <v>9</v>
      </c>
      <c r="AA3626">
        <v>27</v>
      </c>
      <c r="AB3626">
        <v>3</v>
      </c>
      <c r="AC3626">
        <v>5</v>
      </c>
      <c r="AD3626">
        <v>3.40799999</v>
      </c>
      <c r="AE3626">
        <v>6</v>
      </c>
      <c r="AF3626">
        <v>24</v>
      </c>
      <c r="AG3626">
        <v>3.3800001100000001</v>
      </c>
      <c r="AH3626">
        <v>5</v>
      </c>
      <c r="AI3626">
        <v>48</v>
      </c>
      <c r="AJ3626">
        <v>1</v>
      </c>
      <c r="AK3626">
        <v>15</v>
      </c>
      <c r="AL3626">
        <v>40</v>
      </c>
      <c r="AM3626" t="s">
        <v>43</v>
      </c>
      <c r="AN3626" t="str">
        <f>HYPERLINK("https://www.google.com/maps?q=10.76358795,79.69307709","Open Location")</f>
        <v>Open Location</v>
      </c>
    </row>
    <row r="3627" spans="1:40" x14ac:dyDescent="0.3">
      <c r="A3627" s="1">
        <v>46210.579861111109</v>
      </c>
      <c r="B3627" t="s">
        <v>40</v>
      </c>
      <c r="C3627" t="s">
        <v>41</v>
      </c>
      <c r="D3627" s="1">
        <v>46210.583113425928</v>
      </c>
      <c r="E3627" t="s">
        <v>42</v>
      </c>
      <c r="F3627" t="s">
        <v>43</v>
      </c>
      <c r="G3627">
        <v>0</v>
      </c>
      <c r="H3627">
        <v>33107</v>
      </c>
      <c r="I3627" t="s">
        <v>2165</v>
      </c>
      <c r="J3627">
        <v>49</v>
      </c>
      <c r="K3627">
        <v>-359</v>
      </c>
      <c r="L3627">
        <v>98</v>
      </c>
      <c r="M3627">
        <v>652.09997558999999</v>
      </c>
      <c r="N3627" t="s">
        <v>1956</v>
      </c>
      <c r="O3627" t="s">
        <v>43</v>
      </c>
      <c r="P3627">
        <v>125</v>
      </c>
      <c r="Q3627" t="s">
        <v>43</v>
      </c>
      <c r="R3627">
        <v>-1000</v>
      </c>
      <c r="S3627">
        <v>0</v>
      </c>
      <c r="T3627">
        <v>-40</v>
      </c>
      <c r="U3627">
        <v>-40</v>
      </c>
      <c r="V3627">
        <v>-3000</v>
      </c>
      <c r="W3627">
        <v>32</v>
      </c>
      <c r="X3627">
        <v>32</v>
      </c>
      <c r="Y3627">
        <v>5</v>
      </c>
      <c r="Z3627">
        <v>3</v>
      </c>
      <c r="AA3627">
        <v>27</v>
      </c>
      <c r="AB3627">
        <v>2</v>
      </c>
      <c r="AC3627">
        <v>5</v>
      </c>
      <c r="AD3627">
        <v>3.4070000600000001</v>
      </c>
      <c r="AE3627">
        <v>6</v>
      </c>
      <c r="AF3627">
        <v>24</v>
      </c>
      <c r="AG3627">
        <v>3.3789999499999999</v>
      </c>
      <c r="AH3627">
        <v>5</v>
      </c>
      <c r="AI3627">
        <v>48</v>
      </c>
      <c r="AJ3627">
        <v>1</v>
      </c>
      <c r="AK3627">
        <v>15</v>
      </c>
      <c r="AL3627">
        <v>40</v>
      </c>
      <c r="AM3627" t="s">
        <v>43</v>
      </c>
      <c r="AN3627" t="str">
        <f>HYPERLINK("https://www.google.com/maps?q=10.76358128,79.69307709","Open Location")</f>
        <v>Open Location</v>
      </c>
    </row>
    <row r="3628" spans="1:40" x14ac:dyDescent="0.3">
      <c r="A3628" s="1">
        <v>46210.579745370371</v>
      </c>
      <c r="B3628" t="s">
        <v>40</v>
      </c>
      <c r="C3628" t="s">
        <v>41</v>
      </c>
      <c r="D3628" s="1">
        <v>46210.582986111112</v>
      </c>
      <c r="E3628" t="s">
        <v>42</v>
      </c>
      <c r="F3628" t="s">
        <v>43</v>
      </c>
      <c r="G3628">
        <v>0</v>
      </c>
      <c r="H3628">
        <v>33107</v>
      </c>
      <c r="I3628" t="s">
        <v>43</v>
      </c>
      <c r="J3628">
        <v>49</v>
      </c>
      <c r="K3628">
        <v>-360</v>
      </c>
      <c r="L3628">
        <v>98</v>
      </c>
      <c r="M3628">
        <v>652</v>
      </c>
      <c r="N3628" t="s">
        <v>1956</v>
      </c>
      <c r="O3628" t="s">
        <v>43</v>
      </c>
      <c r="P3628">
        <v>125</v>
      </c>
      <c r="Q3628" t="s">
        <v>43</v>
      </c>
      <c r="R3628">
        <v>-1000</v>
      </c>
      <c r="S3628">
        <v>0</v>
      </c>
      <c r="T3628">
        <v>-40</v>
      </c>
      <c r="U3628">
        <v>-40</v>
      </c>
      <c r="V3628">
        <v>-3000</v>
      </c>
      <c r="W3628">
        <v>32</v>
      </c>
      <c r="X3628">
        <v>32</v>
      </c>
      <c r="Y3628">
        <v>5</v>
      </c>
      <c r="Z3628">
        <v>9</v>
      </c>
      <c r="AA3628">
        <v>27</v>
      </c>
      <c r="AB3628">
        <v>2</v>
      </c>
      <c r="AC3628">
        <v>5</v>
      </c>
      <c r="AD3628">
        <v>3.4070000600000001</v>
      </c>
      <c r="AE3628">
        <v>6</v>
      </c>
      <c r="AF3628">
        <v>24</v>
      </c>
      <c r="AG3628">
        <v>3.3800001100000001</v>
      </c>
      <c r="AH3628">
        <v>5</v>
      </c>
      <c r="AI3628">
        <v>48</v>
      </c>
      <c r="AJ3628">
        <v>1</v>
      </c>
      <c r="AK3628">
        <v>15</v>
      </c>
      <c r="AL3628">
        <v>40</v>
      </c>
      <c r="AM3628" t="s">
        <v>43</v>
      </c>
      <c r="AN3628" t="s">
        <v>43</v>
      </c>
    </row>
    <row r="3629" spans="1:40" x14ac:dyDescent="0.3">
      <c r="A3629" s="1">
        <v>46210.579629629632</v>
      </c>
      <c r="B3629" t="s">
        <v>40</v>
      </c>
      <c r="C3629" t="s">
        <v>41</v>
      </c>
      <c r="D3629" s="1">
        <v>46210.583009259259</v>
      </c>
      <c r="E3629" t="s">
        <v>42</v>
      </c>
      <c r="F3629" t="s">
        <v>43</v>
      </c>
      <c r="G3629">
        <v>0</v>
      </c>
      <c r="H3629">
        <v>33107</v>
      </c>
      <c r="I3629" t="s">
        <v>2166</v>
      </c>
      <c r="J3629">
        <v>49</v>
      </c>
      <c r="K3629">
        <v>-359</v>
      </c>
      <c r="L3629">
        <v>98</v>
      </c>
      <c r="M3629">
        <v>651.90002441000001</v>
      </c>
      <c r="N3629" t="s">
        <v>1956</v>
      </c>
      <c r="O3629" t="s">
        <v>43</v>
      </c>
      <c r="P3629">
        <v>125</v>
      </c>
      <c r="Q3629" t="s">
        <v>43</v>
      </c>
      <c r="R3629">
        <v>-1000</v>
      </c>
      <c r="S3629">
        <v>0</v>
      </c>
      <c r="T3629">
        <v>-40</v>
      </c>
      <c r="U3629">
        <v>-40</v>
      </c>
      <c r="V3629">
        <v>-3000</v>
      </c>
      <c r="W3629">
        <v>32</v>
      </c>
      <c r="X3629">
        <v>32</v>
      </c>
      <c r="Y3629">
        <v>5</v>
      </c>
      <c r="Z3629">
        <v>9</v>
      </c>
      <c r="AA3629">
        <v>26</v>
      </c>
      <c r="AB3629">
        <v>7</v>
      </c>
      <c r="AC3629">
        <v>5</v>
      </c>
      <c r="AD3629">
        <v>3.4059998999999999</v>
      </c>
      <c r="AE3629">
        <v>6</v>
      </c>
      <c r="AF3629">
        <v>24</v>
      </c>
      <c r="AG3629">
        <v>3.3789999499999999</v>
      </c>
      <c r="AH3629">
        <v>5</v>
      </c>
      <c r="AI3629">
        <v>48</v>
      </c>
      <c r="AJ3629">
        <v>1</v>
      </c>
      <c r="AK3629">
        <v>15</v>
      </c>
      <c r="AL3629">
        <v>40</v>
      </c>
      <c r="AM3629" t="s">
        <v>43</v>
      </c>
      <c r="AN3629" t="str">
        <f>HYPERLINK("https://www.google.com/maps?q=10.76357365,79.69307709","Open Location")</f>
        <v>Open Location</v>
      </c>
    </row>
    <row r="3630" spans="1:40" x14ac:dyDescent="0.3">
      <c r="A3630" s="1">
        <v>46210.579513888886</v>
      </c>
      <c r="B3630" t="s">
        <v>40</v>
      </c>
      <c r="C3630" t="s">
        <v>41</v>
      </c>
      <c r="D3630" s="1">
        <v>46210.582928240743</v>
      </c>
      <c r="E3630" t="s">
        <v>42</v>
      </c>
      <c r="F3630" t="s">
        <v>43</v>
      </c>
      <c r="G3630">
        <v>0</v>
      </c>
      <c r="H3630">
        <v>33107</v>
      </c>
      <c r="I3630" t="s">
        <v>2167</v>
      </c>
      <c r="J3630">
        <v>48</v>
      </c>
      <c r="K3630">
        <v>-361</v>
      </c>
      <c r="L3630">
        <v>98</v>
      </c>
      <c r="M3630">
        <v>652</v>
      </c>
      <c r="N3630" t="s">
        <v>1956</v>
      </c>
      <c r="O3630" t="s">
        <v>43</v>
      </c>
      <c r="P3630">
        <v>125</v>
      </c>
      <c r="Q3630" t="s">
        <v>43</v>
      </c>
      <c r="R3630">
        <v>-1000</v>
      </c>
      <c r="S3630">
        <v>0</v>
      </c>
      <c r="T3630">
        <v>-40</v>
      </c>
      <c r="U3630">
        <v>-40</v>
      </c>
      <c r="V3630">
        <v>-3000</v>
      </c>
      <c r="W3630">
        <v>31</v>
      </c>
      <c r="X3630">
        <v>31</v>
      </c>
      <c r="Y3630">
        <v>1</v>
      </c>
      <c r="Z3630">
        <v>9</v>
      </c>
      <c r="AA3630">
        <v>26</v>
      </c>
      <c r="AB3630">
        <v>3</v>
      </c>
      <c r="AC3630">
        <v>5</v>
      </c>
      <c r="AD3630">
        <v>3.4070000600000001</v>
      </c>
      <c r="AE3630">
        <v>6</v>
      </c>
      <c r="AF3630">
        <v>24</v>
      </c>
      <c r="AG3630">
        <v>3.37800002</v>
      </c>
      <c r="AH3630">
        <v>5</v>
      </c>
      <c r="AI3630">
        <v>48</v>
      </c>
      <c r="AJ3630">
        <v>1</v>
      </c>
      <c r="AK3630">
        <v>15</v>
      </c>
      <c r="AL3630">
        <v>39</v>
      </c>
      <c r="AM3630" t="s">
        <v>43</v>
      </c>
      <c r="AN3630" t="str">
        <f>HYPERLINK("https://www.google.com/maps?q=10.76357269,79.69308472","Open Location")</f>
        <v>Open Location</v>
      </c>
    </row>
    <row r="3631" spans="1:40" x14ac:dyDescent="0.3">
      <c r="A3631" s="1">
        <v>46210.579398148147</v>
      </c>
      <c r="B3631" t="s">
        <v>40</v>
      </c>
      <c r="C3631" t="s">
        <v>41</v>
      </c>
      <c r="D3631" s="1">
        <v>46210.582430555558</v>
      </c>
      <c r="E3631" t="s">
        <v>42</v>
      </c>
      <c r="F3631" t="s">
        <v>43</v>
      </c>
      <c r="G3631">
        <v>0</v>
      </c>
      <c r="H3631">
        <v>33107</v>
      </c>
      <c r="I3631" t="s">
        <v>2168</v>
      </c>
      <c r="J3631">
        <v>48</v>
      </c>
      <c r="K3631">
        <v>-359</v>
      </c>
      <c r="L3631">
        <v>98</v>
      </c>
      <c r="M3631">
        <v>651.5</v>
      </c>
      <c r="N3631" t="s">
        <v>1956</v>
      </c>
      <c r="O3631" t="s">
        <v>43</v>
      </c>
      <c r="P3631">
        <v>125</v>
      </c>
      <c r="Q3631" t="s">
        <v>43</v>
      </c>
      <c r="R3631">
        <v>-1000</v>
      </c>
      <c r="S3631">
        <v>0</v>
      </c>
      <c r="T3631">
        <v>-40</v>
      </c>
      <c r="U3631">
        <v>-40</v>
      </c>
      <c r="V3631">
        <v>-3000</v>
      </c>
      <c r="W3631">
        <v>31</v>
      </c>
      <c r="X3631">
        <v>31</v>
      </c>
      <c r="Y3631">
        <v>5</v>
      </c>
      <c r="Z3631">
        <v>3</v>
      </c>
      <c r="AA3631">
        <v>26</v>
      </c>
      <c r="AB3631">
        <v>2</v>
      </c>
      <c r="AC3631">
        <v>5</v>
      </c>
      <c r="AD3631">
        <v>3.40499997</v>
      </c>
      <c r="AE3631">
        <v>6</v>
      </c>
      <c r="AF3631">
        <v>24</v>
      </c>
      <c r="AG3631">
        <v>3.3770000900000001</v>
      </c>
      <c r="AH3631">
        <v>5</v>
      </c>
      <c r="AI3631">
        <v>48</v>
      </c>
      <c r="AJ3631">
        <v>1</v>
      </c>
      <c r="AK3631">
        <v>15</v>
      </c>
      <c r="AL3631">
        <v>39</v>
      </c>
      <c r="AM3631" t="s">
        <v>43</v>
      </c>
      <c r="AN3631" t="str">
        <f>HYPERLINK("https://www.google.com/maps?q=10.76356602,79.69309235","Open Location")</f>
        <v>Open Location</v>
      </c>
    </row>
    <row r="3632" spans="1:40" x14ac:dyDescent="0.3">
      <c r="A3632" s="1">
        <v>46210.579282407409</v>
      </c>
      <c r="B3632" t="s">
        <v>40</v>
      </c>
      <c r="C3632" t="s">
        <v>41</v>
      </c>
      <c r="D3632" s="1">
        <v>46210.582245370373</v>
      </c>
      <c r="E3632" t="s">
        <v>42</v>
      </c>
      <c r="F3632" t="s">
        <v>43</v>
      </c>
      <c r="G3632">
        <v>0</v>
      </c>
      <c r="H3632">
        <v>33107</v>
      </c>
      <c r="I3632" t="s">
        <v>2169</v>
      </c>
      <c r="J3632">
        <v>48</v>
      </c>
      <c r="K3632">
        <v>-362</v>
      </c>
      <c r="L3632">
        <v>98</v>
      </c>
      <c r="M3632">
        <v>651.5</v>
      </c>
      <c r="N3632" t="s">
        <v>1956</v>
      </c>
      <c r="O3632" t="s">
        <v>43</v>
      </c>
      <c r="P3632">
        <v>125</v>
      </c>
      <c r="Q3632" t="s">
        <v>43</v>
      </c>
      <c r="R3632">
        <v>-1000</v>
      </c>
      <c r="S3632">
        <v>0</v>
      </c>
      <c r="T3632">
        <v>-40</v>
      </c>
      <c r="U3632">
        <v>-40</v>
      </c>
      <c r="V3632">
        <v>-3000</v>
      </c>
      <c r="W3632">
        <v>31</v>
      </c>
      <c r="X3632">
        <v>31</v>
      </c>
      <c r="Y3632">
        <v>5</v>
      </c>
      <c r="Z3632">
        <v>9</v>
      </c>
      <c r="AA3632">
        <v>26</v>
      </c>
      <c r="AB3632">
        <v>2</v>
      </c>
      <c r="AC3632">
        <v>5</v>
      </c>
      <c r="AD3632">
        <v>3.40499997</v>
      </c>
      <c r="AE3632">
        <v>6</v>
      </c>
      <c r="AF3632">
        <v>24</v>
      </c>
      <c r="AG3632">
        <v>3.3759999299999999</v>
      </c>
      <c r="AH3632">
        <v>5</v>
      </c>
      <c r="AI3632">
        <v>48</v>
      </c>
      <c r="AJ3632">
        <v>1</v>
      </c>
      <c r="AK3632">
        <v>15</v>
      </c>
      <c r="AL3632">
        <v>39</v>
      </c>
      <c r="AM3632" t="s">
        <v>43</v>
      </c>
      <c r="AN3632" t="str">
        <f>HYPERLINK("https://www.google.com/maps?q=10.7635746,79.69311523","Open Location")</f>
        <v>Open Location</v>
      </c>
    </row>
    <row r="3633" spans="1:40" x14ac:dyDescent="0.3">
      <c r="A3633" s="1">
        <v>46210.57916666667</v>
      </c>
      <c r="B3633" t="s">
        <v>40</v>
      </c>
      <c r="C3633" t="s">
        <v>41</v>
      </c>
      <c r="D3633" s="1">
        <v>46210.582187499997</v>
      </c>
      <c r="E3633" t="s">
        <v>42</v>
      </c>
      <c r="F3633" t="s">
        <v>43</v>
      </c>
      <c r="G3633">
        <v>0</v>
      </c>
      <c r="H3633">
        <v>33107</v>
      </c>
      <c r="I3633" t="s">
        <v>2170</v>
      </c>
      <c r="J3633">
        <v>48</v>
      </c>
      <c r="K3633">
        <v>-362</v>
      </c>
      <c r="L3633">
        <v>98</v>
      </c>
      <c r="M3633">
        <v>651.29998779000005</v>
      </c>
      <c r="N3633" t="s">
        <v>1956</v>
      </c>
      <c r="O3633" t="s">
        <v>43</v>
      </c>
      <c r="P3633">
        <v>125</v>
      </c>
      <c r="Q3633" t="s">
        <v>43</v>
      </c>
      <c r="R3633">
        <v>-1000</v>
      </c>
      <c r="S3633">
        <v>0</v>
      </c>
      <c r="T3633">
        <v>-40</v>
      </c>
      <c r="U3633">
        <v>-40</v>
      </c>
      <c r="V3633">
        <v>-3000</v>
      </c>
      <c r="W3633">
        <v>30</v>
      </c>
      <c r="X3633">
        <v>30</v>
      </c>
      <c r="Y3633">
        <v>1</v>
      </c>
      <c r="Z3633">
        <v>3</v>
      </c>
      <c r="AA3633">
        <v>25</v>
      </c>
      <c r="AB3633">
        <v>7</v>
      </c>
      <c r="AC3633">
        <v>5</v>
      </c>
      <c r="AD3633">
        <v>3.40199995</v>
      </c>
      <c r="AE3633">
        <v>6</v>
      </c>
      <c r="AF3633">
        <v>24</v>
      </c>
      <c r="AG3633">
        <v>3.3729999099999999</v>
      </c>
      <c r="AH3633">
        <v>5</v>
      </c>
      <c r="AI3633">
        <v>48</v>
      </c>
      <c r="AJ3633">
        <v>1</v>
      </c>
      <c r="AK3633">
        <v>15</v>
      </c>
      <c r="AL3633">
        <v>39</v>
      </c>
      <c r="AM3633" t="s">
        <v>43</v>
      </c>
      <c r="AN3633" t="str">
        <f>HYPERLINK("https://www.google.com/maps?q=10.763587,79.69311523","Open Location")</f>
        <v>Open Location</v>
      </c>
    </row>
    <row r="3634" spans="1:40" x14ac:dyDescent="0.3">
      <c r="A3634" s="1">
        <v>46210.579050925924</v>
      </c>
      <c r="B3634" t="s">
        <v>40</v>
      </c>
      <c r="C3634" t="s">
        <v>41</v>
      </c>
      <c r="D3634" s="1">
        <v>46210.582511574074</v>
      </c>
      <c r="E3634" t="s">
        <v>42</v>
      </c>
      <c r="F3634" t="s">
        <v>43</v>
      </c>
      <c r="G3634">
        <v>0</v>
      </c>
      <c r="H3634">
        <v>33107</v>
      </c>
      <c r="I3634" t="s">
        <v>43</v>
      </c>
      <c r="J3634">
        <v>47</v>
      </c>
      <c r="K3634">
        <v>-360</v>
      </c>
      <c r="L3634">
        <v>98</v>
      </c>
      <c r="M3634">
        <v>650.70001220999995</v>
      </c>
      <c r="N3634" t="s">
        <v>1956</v>
      </c>
      <c r="O3634" t="s">
        <v>43</v>
      </c>
      <c r="P3634">
        <v>125</v>
      </c>
      <c r="Q3634" t="s">
        <v>43</v>
      </c>
      <c r="R3634">
        <v>-1000</v>
      </c>
      <c r="S3634">
        <v>0</v>
      </c>
      <c r="T3634">
        <v>-40</v>
      </c>
      <c r="U3634">
        <v>-40</v>
      </c>
      <c r="V3634">
        <v>-3000</v>
      </c>
      <c r="W3634">
        <v>30</v>
      </c>
      <c r="X3634">
        <v>30</v>
      </c>
      <c r="Y3634">
        <v>1</v>
      </c>
      <c r="Z3634">
        <v>9</v>
      </c>
      <c r="AA3634">
        <v>25</v>
      </c>
      <c r="AB3634">
        <v>7</v>
      </c>
      <c r="AC3634">
        <v>5</v>
      </c>
      <c r="AD3634">
        <v>3.3970000699999998</v>
      </c>
      <c r="AE3634">
        <v>6</v>
      </c>
      <c r="AF3634">
        <v>24</v>
      </c>
      <c r="AG3634">
        <v>3.36899996</v>
      </c>
      <c r="AH3634">
        <v>5</v>
      </c>
      <c r="AI3634">
        <v>48</v>
      </c>
      <c r="AJ3634">
        <v>1</v>
      </c>
      <c r="AK3634">
        <v>16</v>
      </c>
      <c r="AL3634">
        <v>39</v>
      </c>
      <c r="AM3634" t="s">
        <v>43</v>
      </c>
      <c r="AN3634" t="s">
        <v>43</v>
      </c>
    </row>
    <row r="3635" spans="1:40" x14ac:dyDescent="0.3">
      <c r="A3635" s="1">
        <v>46210.578935185185</v>
      </c>
      <c r="B3635" t="s">
        <v>40</v>
      </c>
      <c r="C3635" t="s">
        <v>41</v>
      </c>
      <c r="D3635" s="1">
        <v>46210.582187499997</v>
      </c>
      <c r="E3635" t="s">
        <v>42</v>
      </c>
      <c r="F3635" t="s">
        <v>43</v>
      </c>
      <c r="G3635">
        <v>0</v>
      </c>
      <c r="H3635">
        <v>33107</v>
      </c>
      <c r="I3635" t="s">
        <v>2171</v>
      </c>
      <c r="J3635">
        <v>47</v>
      </c>
      <c r="K3635">
        <v>-363</v>
      </c>
      <c r="L3635">
        <v>98</v>
      </c>
      <c r="M3635">
        <v>649.70001220999995</v>
      </c>
      <c r="N3635" t="s">
        <v>1956</v>
      </c>
      <c r="O3635" t="s">
        <v>43</v>
      </c>
      <c r="P3635">
        <v>125</v>
      </c>
      <c r="Q3635" t="s">
        <v>43</v>
      </c>
      <c r="R3635">
        <v>-1000</v>
      </c>
      <c r="S3635">
        <v>0</v>
      </c>
      <c r="T3635">
        <v>-40</v>
      </c>
      <c r="U3635">
        <v>-40</v>
      </c>
      <c r="V3635">
        <v>-3000</v>
      </c>
      <c r="W3635">
        <v>30</v>
      </c>
      <c r="X3635">
        <v>30</v>
      </c>
      <c r="Y3635">
        <v>5</v>
      </c>
      <c r="Z3635">
        <v>3</v>
      </c>
      <c r="AA3635">
        <v>25</v>
      </c>
      <c r="AB3635">
        <v>2</v>
      </c>
      <c r="AC3635">
        <v>5</v>
      </c>
      <c r="AD3635">
        <v>3.3880000099999998</v>
      </c>
      <c r="AE3635">
        <v>6</v>
      </c>
      <c r="AF3635">
        <v>24</v>
      </c>
      <c r="AG3635">
        <v>3.3610000599999998</v>
      </c>
      <c r="AH3635">
        <v>5</v>
      </c>
      <c r="AI3635">
        <v>48</v>
      </c>
      <c r="AJ3635">
        <v>1</v>
      </c>
      <c r="AK3635">
        <v>16</v>
      </c>
      <c r="AL3635">
        <v>39</v>
      </c>
      <c r="AM3635" t="s">
        <v>43</v>
      </c>
      <c r="AN3635" t="str">
        <f>HYPERLINK("https://www.google.com/maps?q=10.76359081,79.69308472","Open Location")</f>
        <v>Open Location</v>
      </c>
    </row>
    <row r="3636" spans="1:40" x14ac:dyDescent="0.3">
      <c r="A3636" s="1">
        <v>46210.578819444447</v>
      </c>
      <c r="B3636" t="s">
        <v>40</v>
      </c>
      <c r="C3636" t="s">
        <v>41</v>
      </c>
      <c r="D3636" s="1">
        <v>46210.582071759258</v>
      </c>
      <c r="E3636" t="s">
        <v>42</v>
      </c>
      <c r="F3636" t="s">
        <v>43</v>
      </c>
      <c r="G3636">
        <v>0</v>
      </c>
      <c r="H3636">
        <v>33107</v>
      </c>
      <c r="I3636" t="s">
        <v>2172</v>
      </c>
      <c r="J3636">
        <v>47</v>
      </c>
      <c r="K3636">
        <v>-340</v>
      </c>
      <c r="L3636">
        <v>98</v>
      </c>
      <c r="M3636">
        <v>647</v>
      </c>
      <c r="N3636" t="s">
        <v>1956</v>
      </c>
      <c r="O3636" t="s">
        <v>43</v>
      </c>
      <c r="P3636">
        <v>125</v>
      </c>
      <c r="Q3636" t="s">
        <v>43</v>
      </c>
      <c r="R3636">
        <v>-1000</v>
      </c>
      <c r="S3636">
        <v>0</v>
      </c>
      <c r="T3636">
        <v>-40</v>
      </c>
      <c r="U3636">
        <v>-40</v>
      </c>
      <c r="V3636">
        <v>-3000</v>
      </c>
      <c r="W3636">
        <v>30</v>
      </c>
      <c r="X3636">
        <v>30</v>
      </c>
      <c r="Y3636">
        <v>5</v>
      </c>
      <c r="Z3636">
        <v>3</v>
      </c>
      <c r="AA3636">
        <v>25</v>
      </c>
      <c r="AB3636">
        <v>2</v>
      </c>
      <c r="AC3636">
        <v>5</v>
      </c>
      <c r="AD3636">
        <v>3.3290000000000002</v>
      </c>
      <c r="AE3636">
        <v>6</v>
      </c>
      <c r="AF3636">
        <v>24</v>
      </c>
      <c r="AG3636">
        <v>3.31800008</v>
      </c>
      <c r="AH3636">
        <v>5</v>
      </c>
      <c r="AI3636">
        <v>48</v>
      </c>
      <c r="AJ3636">
        <v>1</v>
      </c>
      <c r="AK3636">
        <v>17</v>
      </c>
      <c r="AL3636">
        <v>39</v>
      </c>
      <c r="AM3636" t="s">
        <v>43</v>
      </c>
      <c r="AN3636" t="str">
        <f>HYPERLINK("https://www.google.com/maps?q=10.76359367,79.69306946","Open Location")</f>
        <v>Open Location</v>
      </c>
    </row>
    <row r="3637" spans="1:40" x14ac:dyDescent="0.3">
      <c r="A3637" s="1">
        <v>46210.578703703701</v>
      </c>
      <c r="B3637" t="s">
        <v>40</v>
      </c>
      <c r="C3637" t="s">
        <v>41</v>
      </c>
      <c r="D3637" s="1">
        <v>46210.581793981481</v>
      </c>
      <c r="E3637" t="s">
        <v>42</v>
      </c>
      <c r="F3637" t="s">
        <v>43</v>
      </c>
      <c r="G3637">
        <v>0</v>
      </c>
      <c r="H3637">
        <v>33107</v>
      </c>
      <c r="I3637" t="s">
        <v>2173</v>
      </c>
      <c r="J3637">
        <v>47</v>
      </c>
      <c r="K3637">
        <v>-110</v>
      </c>
      <c r="L3637">
        <v>98</v>
      </c>
      <c r="M3637">
        <v>635.59997558999999</v>
      </c>
      <c r="N3637" t="s">
        <v>1956</v>
      </c>
      <c r="O3637" t="s">
        <v>43</v>
      </c>
      <c r="P3637">
        <v>125</v>
      </c>
      <c r="Q3637" t="s">
        <v>43</v>
      </c>
      <c r="R3637">
        <v>-1000</v>
      </c>
      <c r="S3637">
        <v>0</v>
      </c>
      <c r="T3637">
        <v>-40</v>
      </c>
      <c r="U3637">
        <v>-40</v>
      </c>
      <c r="V3637">
        <v>-3000</v>
      </c>
      <c r="W3637">
        <v>30</v>
      </c>
      <c r="X3637">
        <v>30</v>
      </c>
      <c r="Y3637">
        <v>5</v>
      </c>
      <c r="Z3637">
        <v>3</v>
      </c>
      <c r="AA3637">
        <v>25</v>
      </c>
      <c r="AB3637">
        <v>2</v>
      </c>
      <c r="AC3637">
        <v>5</v>
      </c>
      <c r="AD3637">
        <v>3.2899999599999998</v>
      </c>
      <c r="AE3637">
        <v>1</v>
      </c>
      <c r="AF3637">
        <v>1</v>
      </c>
      <c r="AG3637">
        <v>3.28800011</v>
      </c>
      <c r="AH3637">
        <v>1</v>
      </c>
      <c r="AI3637">
        <v>4</v>
      </c>
      <c r="AJ3637">
        <v>1</v>
      </c>
      <c r="AK3637">
        <v>21</v>
      </c>
      <c r="AL3637">
        <v>39</v>
      </c>
      <c r="AM3637" t="s">
        <v>43</v>
      </c>
      <c r="AN3637" t="str">
        <f>HYPERLINK("https://www.google.com/maps?q=10.76359177,79.69307709","Open Location")</f>
        <v>Open Location</v>
      </c>
    </row>
    <row r="3638" spans="1:40" x14ac:dyDescent="0.3">
      <c r="A3638" s="1">
        <v>46210.578587962962</v>
      </c>
      <c r="B3638" t="s">
        <v>40</v>
      </c>
      <c r="C3638" t="s">
        <v>41</v>
      </c>
      <c r="D3638" s="1">
        <v>46210.581631944442</v>
      </c>
      <c r="E3638" t="s">
        <v>42</v>
      </c>
      <c r="F3638" t="s">
        <v>43</v>
      </c>
      <c r="G3638">
        <v>0</v>
      </c>
      <c r="H3638">
        <v>33107</v>
      </c>
      <c r="I3638" t="s">
        <v>2165</v>
      </c>
      <c r="J3638">
        <v>47</v>
      </c>
      <c r="K3638">
        <v>0</v>
      </c>
      <c r="L3638">
        <v>98</v>
      </c>
      <c r="M3638">
        <v>630.79998779000005</v>
      </c>
      <c r="N3638" t="s">
        <v>81</v>
      </c>
      <c r="O3638" t="s">
        <v>43</v>
      </c>
      <c r="P3638">
        <v>125</v>
      </c>
      <c r="Q3638" t="s">
        <v>43</v>
      </c>
      <c r="R3638">
        <v>-1000</v>
      </c>
      <c r="S3638">
        <v>0</v>
      </c>
      <c r="T3638">
        <v>-40</v>
      </c>
      <c r="U3638">
        <v>-40</v>
      </c>
      <c r="V3638">
        <v>-3000</v>
      </c>
      <c r="W3638">
        <v>30</v>
      </c>
      <c r="X3638">
        <v>30</v>
      </c>
      <c r="Y3638">
        <v>5</v>
      </c>
      <c r="Z3638">
        <v>3</v>
      </c>
      <c r="AA3638">
        <v>25</v>
      </c>
      <c r="AB3638">
        <v>2</v>
      </c>
      <c r="AC3638">
        <v>5</v>
      </c>
      <c r="AD3638">
        <v>3.2899999599999998</v>
      </c>
      <c r="AE3638">
        <v>1</v>
      </c>
      <c r="AF3638">
        <v>1</v>
      </c>
      <c r="AG3638">
        <v>3.28800011</v>
      </c>
      <c r="AH3638">
        <v>1</v>
      </c>
      <c r="AI3638">
        <v>4</v>
      </c>
      <c r="AJ3638">
        <v>0</v>
      </c>
      <c r="AK3638">
        <v>0</v>
      </c>
      <c r="AL3638">
        <v>39</v>
      </c>
      <c r="AM3638" t="s">
        <v>43</v>
      </c>
      <c r="AN3638" t="str">
        <f>HYPERLINK("https://www.google.com/maps?q=10.76358128,79.69307709","Open Location")</f>
        <v>Open Location</v>
      </c>
    </row>
    <row r="3639" spans="1:40" x14ac:dyDescent="0.3">
      <c r="A3639" s="1">
        <v>46210.578472222223</v>
      </c>
      <c r="B3639" t="s">
        <v>40</v>
      </c>
      <c r="C3639" t="s">
        <v>41</v>
      </c>
      <c r="D3639" s="1">
        <v>46210.581493055557</v>
      </c>
      <c r="E3639" t="s">
        <v>42</v>
      </c>
      <c r="F3639" t="s">
        <v>43</v>
      </c>
      <c r="G3639">
        <v>0</v>
      </c>
      <c r="H3639" t="s">
        <v>43</v>
      </c>
      <c r="I3639" t="s">
        <v>43</v>
      </c>
      <c r="J3639">
        <v>0</v>
      </c>
      <c r="K3639">
        <v>-3200</v>
      </c>
      <c r="L3639">
        <v>0</v>
      </c>
      <c r="M3639">
        <v>0</v>
      </c>
      <c r="N3639" t="s">
        <v>81</v>
      </c>
      <c r="O3639" t="s">
        <v>43</v>
      </c>
      <c r="P3639">
        <v>125</v>
      </c>
      <c r="Q3639" t="s">
        <v>43</v>
      </c>
      <c r="R3639">
        <v>-1000</v>
      </c>
      <c r="S3639">
        <v>0</v>
      </c>
      <c r="T3639">
        <v>-40</v>
      </c>
      <c r="U3639">
        <v>-40</v>
      </c>
      <c r="V3639">
        <v>-3000</v>
      </c>
      <c r="W3639" t="s">
        <v>43</v>
      </c>
      <c r="X3639" t="s">
        <v>43</v>
      </c>
      <c r="Y3639" t="s">
        <v>43</v>
      </c>
      <c r="Z3639" t="s">
        <v>43</v>
      </c>
      <c r="AA3639" t="s">
        <v>43</v>
      </c>
      <c r="AB3639" t="s">
        <v>43</v>
      </c>
      <c r="AC3639" t="s">
        <v>43</v>
      </c>
      <c r="AD3639" t="s">
        <v>43</v>
      </c>
      <c r="AE3639" t="s">
        <v>43</v>
      </c>
      <c r="AF3639" t="s">
        <v>43</v>
      </c>
      <c r="AG3639" t="s">
        <v>43</v>
      </c>
      <c r="AH3639" t="s">
        <v>43</v>
      </c>
      <c r="AI3639" t="s">
        <v>43</v>
      </c>
      <c r="AJ3639">
        <v>0</v>
      </c>
      <c r="AK3639">
        <v>0</v>
      </c>
      <c r="AL3639">
        <v>39</v>
      </c>
      <c r="AM3639" t="s">
        <v>43</v>
      </c>
      <c r="AN3639" t="s">
        <v>43</v>
      </c>
    </row>
    <row r="3640" spans="1:40" x14ac:dyDescent="0.3">
      <c r="A3640" s="1">
        <v>46210.578356481485</v>
      </c>
      <c r="B3640" t="s">
        <v>40</v>
      </c>
      <c r="C3640" t="s">
        <v>41</v>
      </c>
      <c r="D3640" s="1">
        <v>46210.581319444442</v>
      </c>
      <c r="E3640" t="s">
        <v>42</v>
      </c>
      <c r="F3640" t="s">
        <v>43</v>
      </c>
      <c r="G3640" t="s">
        <v>43</v>
      </c>
      <c r="H3640" t="s">
        <v>43</v>
      </c>
      <c r="I3640" t="s">
        <v>2174</v>
      </c>
      <c r="J3640" t="s">
        <v>43</v>
      </c>
      <c r="K3640" t="s">
        <v>43</v>
      </c>
      <c r="L3640" t="s">
        <v>43</v>
      </c>
      <c r="M3640" t="s">
        <v>43</v>
      </c>
      <c r="N3640" t="s">
        <v>45</v>
      </c>
      <c r="O3640" t="s">
        <v>43</v>
      </c>
      <c r="P3640" t="s">
        <v>43</v>
      </c>
      <c r="Q3640" t="s">
        <v>43</v>
      </c>
      <c r="R3640" t="s">
        <v>43</v>
      </c>
      <c r="S3640" t="s">
        <v>43</v>
      </c>
      <c r="T3640" t="s">
        <v>43</v>
      </c>
      <c r="U3640" t="s">
        <v>43</v>
      </c>
      <c r="V3640" t="s">
        <v>43</v>
      </c>
      <c r="W3640" t="s">
        <v>43</v>
      </c>
      <c r="X3640" t="s">
        <v>43</v>
      </c>
      <c r="Y3640" t="s">
        <v>43</v>
      </c>
      <c r="Z3640" t="s">
        <v>43</v>
      </c>
      <c r="AA3640" t="s">
        <v>43</v>
      </c>
      <c r="AB3640" t="s">
        <v>43</v>
      </c>
      <c r="AC3640" t="s">
        <v>43</v>
      </c>
      <c r="AD3640" t="s">
        <v>43</v>
      </c>
      <c r="AE3640" t="s">
        <v>43</v>
      </c>
      <c r="AF3640" t="s">
        <v>43</v>
      </c>
      <c r="AG3640" t="s">
        <v>43</v>
      </c>
      <c r="AH3640" t="s">
        <v>43</v>
      </c>
      <c r="AI3640" t="s">
        <v>43</v>
      </c>
      <c r="AJ3640" t="s">
        <v>43</v>
      </c>
      <c r="AK3640" t="s">
        <v>43</v>
      </c>
      <c r="AL3640" t="s">
        <v>43</v>
      </c>
      <c r="AM3640" t="s">
        <v>43</v>
      </c>
      <c r="AN3640" t="str">
        <f>HYPERLINK("https://www.google.com/maps?q=10.76358223,79.69308472","Open Location")</f>
        <v>Open Location</v>
      </c>
    </row>
    <row r="3641" spans="1:40" x14ac:dyDescent="0.3">
      <c r="A3641" s="1">
        <v>46210.578240740739</v>
      </c>
      <c r="B3641" t="s">
        <v>40</v>
      </c>
      <c r="C3641" t="s">
        <v>41</v>
      </c>
      <c r="D3641" s="1">
        <v>46210.581145833334</v>
      </c>
      <c r="E3641" t="s">
        <v>42</v>
      </c>
      <c r="F3641" t="s">
        <v>43</v>
      </c>
      <c r="G3641" t="s">
        <v>43</v>
      </c>
      <c r="H3641" t="s">
        <v>43</v>
      </c>
      <c r="I3641" t="s">
        <v>2175</v>
      </c>
      <c r="J3641" t="s">
        <v>43</v>
      </c>
      <c r="K3641" t="s">
        <v>43</v>
      </c>
      <c r="L3641" t="s">
        <v>43</v>
      </c>
      <c r="M3641" t="s">
        <v>43</v>
      </c>
      <c r="N3641" t="s">
        <v>45</v>
      </c>
      <c r="O3641" t="s">
        <v>43</v>
      </c>
      <c r="P3641" t="s">
        <v>43</v>
      </c>
      <c r="Q3641" t="s">
        <v>43</v>
      </c>
      <c r="R3641" t="s">
        <v>43</v>
      </c>
      <c r="S3641" t="s">
        <v>43</v>
      </c>
      <c r="T3641" t="s">
        <v>43</v>
      </c>
      <c r="U3641" t="s">
        <v>43</v>
      </c>
      <c r="V3641" t="s">
        <v>43</v>
      </c>
      <c r="W3641" t="s">
        <v>43</v>
      </c>
      <c r="X3641" t="s">
        <v>43</v>
      </c>
      <c r="Y3641" t="s">
        <v>43</v>
      </c>
      <c r="Z3641" t="s">
        <v>43</v>
      </c>
      <c r="AA3641" t="s">
        <v>43</v>
      </c>
      <c r="AB3641" t="s">
        <v>43</v>
      </c>
      <c r="AC3641" t="s">
        <v>43</v>
      </c>
      <c r="AD3641" t="s">
        <v>43</v>
      </c>
      <c r="AE3641" t="s">
        <v>43</v>
      </c>
      <c r="AF3641" t="s">
        <v>43</v>
      </c>
      <c r="AG3641" t="s">
        <v>43</v>
      </c>
      <c r="AH3641" t="s">
        <v>43</v>
      </c>
      <c r="AI3641" t="s">
        <v>43</v>
      </c>
      <c r="AJ3641" t="s">
        <v>43</v>
      </c>
      <c r="AK3641" t="s">
        <v>43</v>
      </c>
      <c r="AL3641" t="s">
        <v>43</v>
      </c>
      <c r="AM3641" t="s">
        <v>43</v>
      </c>
      <c r="AN3641" t="str">
        <f>HYPERLINK("https://www.google.com/maps?q=10.76358032,79.69308472","Open Location")</f>
        <v>Open Location</v>
      </c>
    </row>
    <row r="3642" spans="1:40" x14ac:dyDescent="0.3">
      <c r="A3642" s="1">
        <v>46210.578125</v>
      </c>
      <c r="B3642" t="s">
        <v>40</v>
      </c>
      <c r="C3642" t="s">
        <v>41</v>
      </c>
      <c r="D3642" s="1">
        <v>46210.581550925926</v>
      </c>
      <c r="E3642" t="s">
        <v>42</v>
      </c>
      <c r="F3642" t="s">
        <v>43</v>
      </c>
      <c r="G3642" t="s">
        <v>43</v>
      </c>
      <c r="H3642" t="s">
        <v>43</v>
      </c>
      <c r="I3642" t="s">
        <v>2176</v>
      </c>
      <c r="J3642" t="s">
        <v>43</v>
      </c>
      <c r="K3642" t="s">
        <v>43</v>
      </c>
      <c r="L3642" t="s">
        <v>43</v>
      </c>
      <c r="M3642" t="s">
        <v>43</v>
      </c>
      <c r="N3642" t="s">
        <v>45</v>
      </c>
      <c r="O3642" t="s">
        <v>43</v>
      </c>
      <c r="P3642" t="s">
        <v>43</v>
      </c>
      <c r="Q3642" t="s">
        <v>43</v>
      </c>
      <c r="R3642" t="s">
        <v>43</v>
      </c>
      <c r="S3642" t="s">
        <v>43</v>
      </c>
      <c r="T3642" t="s">
        <v>43</v>
      </c>
      <c r="U3642" t="s">
        <v>43</v>
      </c>
      <c r="V3642" t="s">
        <v>43</v>
      </c>
      <c r="W3642" t="s">
        <v>43</v>
      </c>
      <c r="X3642" t="s">
        <v>43</v>
      </c>
      <c r="Y3642" t="s">
        <v>43</v>
      </c>
      <c r="Z3642" t="s">
        <v>43</v>
      </c>
      <c r="AA3642" t="s">
        <v>43</v>
      </c>
      <c r="AB3642" t="s">
        <v>43</v>
      </c>
      <c r="AC3642" t="s">
        <v>43</v>
      </c>
      <c r="AD3642" t="s">
        <v>43</v>
      </c>
      <c r="AE3642" t="s">
        <v>43</v>
      </c>
      <c r="AF3642" t="s">
        <v>43</v>
      </c>
      <c r="AG3642" t="s">
        <v>43</v>
      </c>
      <c r="AH3642" t="s">
        <v>43</v>
      </c>
      <c r="AI3642" t="s">
        <v>43</v>
      </c>
      <c r="AJ3642" t="s">
        <v>43</v>
      </c>
      <c r="AK3642" t="s">
        <v>43</v>
      </c>
      <c r="AL3642" t="s">
        <v>43</v>
      </c>
      <c r="AM3642" t="s">
        <v>43</v>
      </c>
      <c r="AN3642" t="str">
        <f>HYPERLINK("https://www.google.com/maps?q=10.76357841,79.69307709","Open Location")</f>
        <v>Open Location</v>
      </c>
    </row>
    <row r="3643" spans="1:40" x14ac:dyDescent="0.3">
      <c r="A3643" s="1">
        <v>46210.578009259261</v>
      </c>
      <c r="B3643" t="s">
        <v>40</v>
      </c>
      <c r="C3643" t="s">
        <v>41</v>
      </c>
      <c r="D3643" s="1">
        <v>46210.581111111111</v>
      </c>
      <c r="E3643" t="s">
        <v>42</v>
      </c>
      <c r="F3643" t="s">
        <v>43</v>
      </c>
      <c r="G3643" t="s">
        <v>43</v>
      </c>
      <c r="H3643" t="s">
        <v>43</v>
      </c>
      <c r="I3643" t="s">
        <v>2177</v>
      </c>
      <c r="J3643" t="s">
        <v>43</v>
      </c>
      <c r="K3643" t="s">
        <v>43</v>
      </c>
      <c r="L3643" t="s">
        <v>43</v>
      </c>
      <c r="M3643" t="s">
        <v>43</v>
      </c>
      <c r="N3643" t="s">
        <v>45</v>
      </c>
      <c r="O3643" t="s">
        <v>43</v>
      </c>
      <c r="P3643" t="s">
        <v>43</v>
      </c>
      <c r="Q3643" t="s">
        <v>43</v>
      </c>
      <c r="R3643" t="s">
        <v>43</v>
      </c>
      <c r="S3643" t="s">
        <v>43</v>
      </c>
      <c r="T3643" t="s">
        <v>43</v>
      </c>
      <c r="U3643" t="s">
        <v>43</v>
      </c>
      <c r="V3643" t="s">
        <v>43</v>
      </c>
      <c r="W3643" t="s">
        <v>43</v>
      </c>
      <c r="X3643" t="s">
        <v>43</v>
      </c>
      <c r="Y3643" t="s">
        <v>43</v>
      </c>
      <c r="Z3643" t="s">
        <v>43</v>
      </c>
      <c r="AA3643" t="s">
        <v>43</v>
      </c>
      <c r="AB3643" t="s">
        <v>43</v>
      </c>
      <c r="AC3643" t="s">
        <v>43</v>
      </c>
      <c r="AD3643" t="s">
        <v>43</v>
      </c>
      <c r="AE3643" t="s">
        <v>43</v>
      </c>
      <c r="AF3643" t="s">
        <v>43</v>
      </c>
      <c r="AG3643" t="s">
        <v>43</v>
      </c>
      <c r="AH3643" t="s">
        <v>43</v>
      </c>
      <c r="AI3643" t="s">
        <v>43</v>
      </c>
      <c r="AJ3643" t="s">
        <v>43</v>
      </c>
      <c r="AK3643" t="s">
        <v>43</v>
      </c>
      <c r="AL3643" t="s">
        <v>43</v>
      </c>
      <c r="AM3643" t="s">
        <v>43</v>
      </c>
      <c r="AN3643" t="str">
        <f>HYPERLINK("https://www.google.com/maps?q=10.76359367,79.69308472","Open Location")</f>
        <v>Open Location</v>
      </c>
    </row>
    <row r="3644" spans="1:40" x14ac:dyDescent="0.3">
      <c r="A3644" s="1">
        <v>46210.577893518515</v>
      </c>
      <c r="B3644" t="s">
        <v>40</v>
      </c>
      <c r="C3644" t="s">
        <v>41</v>
      </c>
      <c r="D3644" s="1">
        <v>46210.580995370372</v>
      </c>
      <c r="E3644" t="s">
        <v>42</v>
      </c>
      <c r="F3644" t="s">
        <v>43</v>
      </c>
      <c r="G3644" t="s">
        <v>43</v>
      </c>
      <c r="H3644" t="s">
        <v>43</v>
      </c>
      <c r="I3644" t="s">
        <v>2178</v>
      </c>
      <c r="J3644" t="s">
        <v>43</v>
      </c>
      <c r="K3644" t="s">
        <v>43</v>
      </c>
      <c r="L3644" t="s">
        <v>43</v>
      </c>
      <c r="M3644" t="s">
        <v>43</v>
      </c>
      <c r="N3644" t="s">
        <v>45</v>
      </c>
      <c r="O3644" t="s">
        <v>43</v>
      </c>
      <c r="P3644" t="s">
        <v>43</v>
      </c>
      <c r="Q3644" t="s">
        <v>43</v>
      </c>
      <c r="R3644" t="s">
        <v>43</v>
      </c>
      <c r="S3644" t="s">
        <v>43</v>
      </c>
      <c r="T3644" t="s">
        <v>43</v>
      </c>
      <c r="U3644" t="s">
        <v>43</v>
      </c>
      <c r="V3644" t="s">
        <v>43</v>
      </c>
      <c r="W3644" t="s">
        <v>43</v>
      </c>
      <c r="X3644" t="s">
        <v>43</v>
      </c>
      <c r="Y3644" t="s">
        <v>43</v>
      </c>
      <c r="Z3644" t="s">
        <v>43</v>
      </c>
      <c r="AA3644" t="s">
        <v>43</v>
      </c>
      <c r="AB3644" t="s">
        <v>43</v>
      </c>
      <c r="AC3644" t="s">
        <v>43</v>
      </c>
      <c r="AD3644" t="s">
        <v>43</v>
      </c>
      <c r="AE3644" t="s">
        <v>43</v>
      </c>
      <c r="AF3644" t="s">
        <v>43</v>
      </c>
      <c r="AG3644" t="s">
        <v>43</v>
      </c>
      <c r="AH3644" t="s">
        <v>43</v>
      </c>
      <c r="AI3644" t="s">
        <v>43</v>
      </c>
      <c r="AJ3644" t="s">
        <v>43</v>
      </c>
      <c r="AK3644" t="s">
        <v>43</v>
      </c>
      <c r="AL3644" t="s">
        <v>43</v>
      </c>
      <c r="AM3644" t="s">
        <v>43</v>
      </c>
      <c r="AN3644" t="str">
        <f>HYPERLINK("https://www.google.com/maps?q=10.76359653,79.69307709","Open Location")</f>
        <v>Open Location</v>
      </c>
    </row>
    <row r="3645" spans="1:40" x14ac:dyDescent="0.3">
      <c r="A3645" s="1">
        <v>46210.577777777777</v>
      </c>
      <c r="B3645" t="s">
        <v>40</v>
      </c>
      <c r="C3645" t="s">
        <v>41</v>
      </c>
      <c r="D3645" s="1">
        <v>46210.580590277779</v>
      </c>
      <c r="E3645" t="s">
        <v>42</v>
      </c>
      <c r="F3645" t="s">
        <v>43</v>
      </c>
      <c r="G3645" t="s">
        <v>43</v>
      </c>
      <c r="H3645" t="s">
        <v>43</v>
      </c>
      <c r="I3645" t="s">
        <v>43</v>
      </c>
      <c r="J3645" t="s">
        <v>43</v>
      </c>
      <c r="K3645" t="s">
        <v>43</v>
      </c>
      <c r="L3645" t="s">
        <v>43</v>
      </c>
      <c r="M3645" t="s">
        <v>43</v>
      </c>
      <c r="N3645" t="s">
        <v>45</v>
      </c>
      <c r="O3645" t="s">
        <v>43</v>
      </c>
      <c r="P3645" t="s">
        <v>43</v>
      </c>
      <c r="Q3645" t="s">
        <v>43</v>
      </c>
      <c r="R3645" t="s">
        <v>43</v>
      </c>
      <c r="S3645" t="s">
        <v>43</v>
      </c>
      <c r="T3645" t="s">
        <v>43</v>
      </c>
      <c r="U3645" t="s">
        <v>43</v>
      </c>
      <c r="V3645" t="s">
        <v>43</v>
      </c>
      <c r="W3645" t="s">
        <v>43</v>
      </c>
      <c r="X3645" t="s">
        <v>43</v>
      </c>
      <c r="Y3645" t="s">
        <v>43</v>
      </c>
      <c r="Z3645" t="s">
        <v>43</v>
      </c>
      <c r="AA3645" t="s">
        <v>43</v>
      </c>
      <c r="AB3645" t="s">
        <v>43</v>
      </c>
      <c r="AC3645" t="s">
        <v>43</v>
      </c>
      <c r="AD3645" t="s">
        <v>43</v>
      </c>
      <c r="AE3645" t="s">
        <v>43</v>
      </c>
      <c r="AF3645" t="s">
        <v>43</v>
      </c>
      <c r="AG3645" t="s">
        <v>43</v>
      </c>
      <c r="AH3645" t="s">
        <v>43</v>
      </c>
      <c r="AI3645" t="s">
        <v>43</v>
      </c>
      <c r="AJ3645" t="s">
        <v>43</v>
      </c>
      <c r="AK3645" t="s">
        <v>43</v>
      </c>
      <c r="AL3645" t="s">
        <v>43</v>
      </c>
      <c r="AM3645" t="s">
        <v>43</v>
      </c>
      <c r="AN3645" t="s">
        <v>43</v>
      </c>
    </row>
    <row r="3646" spans="1:40" x14ac:dyDescent="0.3">
      <c r="A3646" s="1">
        <v>46210.577662037038</v>
      </c>
      <c r="B3646" t="s">
        <v>40</v>
      </c>
      <c r="C3646" t="s">
        <v>41</v>
      </c>
      <c r="D3646" s="1">
        <v>46210.580694444441</v>
      </c>
      <c r="E3646" t="s">
        <v>42</v>
      </c>
      <c r="F3646" t="s">
        <v>43</v>
      </c>
      <c r="G3646" t="s">
        <v>43</v>
      </c>
      <c r="H3646" t="s">
        <v>43</v>
      </c>
      <c r="I3646" t="s">
        <v>2179</v>
      </c>
      <c r="J3646" t="s">
        <v>43</v>
      </c>
      <c r="K3646" t="s">
        <v>43</v>
      </c>
      <c r="L3646" t="s">
        <v>43</v>
      </c>
      <c r="M3646" t="s">
        <v>43</v>
      </c>
      <c r="N3646" t="s">
        <v>45</v>
      </c>
      <c r="O3646" t="s">
        <v>43</v>
      </c>
      <c r="P3646" t="s">
        <v>43</v>
      </c>
      <c r="Q3646" t="s">
        <v>43</v>
      </c>
      <c r="R3646" t="s">
        <v>43</v>
      </c>
      <c r="S3646" t="s">
        <v>43</v>
      </c>
      <c r="T3646" t="s">
        <v>43</v>
      </c>
      <c r="U3646" t="s">
        <v>43</v>
      </c>
      <c r="V3646" t="s">
        <v>43</v>
      </c>
      <c r="W3646" t="s">
        <v>43</v>
      </c>
      <c r="X3646" t="s">
        <v>43</v>
      </c>
      <c r="Y3646" t="s">
        <v>43</v>
      </c>
      <c r="Z3646" t="s">
        <v>43</v>
      </c>
      <c r="AA3646" t="s">
        <v>43</v>
      </c>
      <c r="AB3646" t="s">
        <v>43</v>
      </c>
      <c r="AC3646" t="s">
        <v>43</v>
      </c>
      <c r="AD3646" t="s">
        <v>43</v>
      </c>
      <c r="AE3646" t="s">
        <v>43</v>
      </c>
      <c r="AF3646" t="s">
        <v>43</v>
      </c>
      <c r="AG3646" t="s">
        <v>43</v>
      </c>
      <c r="AH3646" t="s">
        <v>43</v>
      </c>
      <c r="AI3646" t="s">
        <v>43</v>
      </c>
      <c r="AJ3646" t="s">
        <v>43</v>
      </c>
      <c r="AK3646" t="s">
        <v>43</v>
      </c>
      <c r="AL3646" t="s">
        <v>43</v>
      </c>
      <c r="AM3646" t="s">
        <v>43</v>
      </c>
      <c r="AN3646" t="str">
        <f>HYPERLINK("https://www.google.com/maps?q=10.76360703,79.69309235","Open Location")</f>
        <v>Open Location</v>
      </c>
    </row>
    <row r="3647" spans="1:40" x14ac:dyDescent="0.3">
      <c r="A3647" s="1">
        <v>46210.577546296299</v>
      </c>
      <c r="B3647" t="s">
        <v>40</v>
      </c>
      <c r="C3647" t="s">
        <v>41</v>
      </c>
      <c r="D3647" s="1">
        <v>46210.580752314818</v>
      </c>
      <c r="E3647" t="s">
        <v>42</v>
      </c>
      <c r="F3647" t="s">
        <v>43</v>
      </c>
      <c r="G3647" t="s">
        <v>43</v>
      </c>
      <c r="H3647" t="s">
        <v>43</v>
      </c>
      <c r="I3647" t="s">
        <v>2180</v>
      </c>
      <c r="J3647" t="s">
        <v>43</v>
      </c>
      <c r="K3647" t="s">
        <v>43</v>
      </c>
      <c r="L3647" t="s">
        <v>43</v>
      </c>
      <c r="M3647" t="s">
        <v>43</v>
      </c>
      <c r="N3647" t="s">
        <v>45</v>
      </c>
      <c r="O3647" t="s">
        <v>43</v>
      </c>
      <c r="P3647" t="s">
        <v>43</v>
      </c>
      <c r="Q3647" t="s">
        <v>43</v>
      </c>
      <c r="R3647" t="s">
        <v>43</v>
      </c>
      <c r="S3647" t="s">
        <v>43</v>
      </c>
      <c r="T3647" t="s">
        <v>43</v>
      </c>
      <c r="U3647" t="s">
        <v>43</v>
      </c>
      <c r="V3647" t="s">
        <v>43</v>
      </c>
      <c r="W3647" t="s">
        <v>43</v>
      </c>
      <c r="X3647" t="s">
        <v>43</v>
      </c>
      <c r="Y3647" t="s">
        <v>43</v>
      </c>
      <c r="Z3647" t="s">
        <v>43</v>
      </c>
      <c r="AA3647" t="s">
        <v>43</v>
      </c>
      <c r="AB3647" t="s">
        <v>43</v>
      </c>
      <c r="AC3647" t="s">
        <v>43</v>
      </c>
      <c r="AD3647" t="s">
        <v>43</v>
      </c>
      <c r="AE3647" t="s">
        <v>43</v>
      </c>
      <c r="AF3647" t="s">
        <v>43</v>
      </c>
      <c r="AG3647" t="s">
        <v>43</v>
      </c>
      <c r="AH3647" t="s">
        <v>43</v>
      </c>
      <c r="AI3647" t="s">
        <v>43</v>
      </c>
      <c r="AJ3647" t="s">
        <v>43</v>
      </c>
      <c r="AK3647" t="s">
        <v>43</v>
      </c>
      <c r="AL3647" t="s">
        <v>43</v>
      </c>
      <c r="AM3647" t="s">
        <v>43</v>
      </c>
      <c r="AN3647" t="str">
        <f>HYPERLINK("https://www.google.com/maps?q=10.76361942,79.69309235","Open Location")</f>
        <v>Open Location</v>
      </c>
    </row>
    <row r="3648" spans="1:40" x14ac:dyDescent="0.3">
      <c r="A3648" s="1">
        <v>46210.577430555553</v>
      </c>
      <c r="B3648" t="s">
        <v>40</v>
      </c>
      <c r="C3648" t="s">
        <v>41</v>
      </c>
      <c r="D3648" s="1">
        <v>46210.580810185187</v>
      </c>
      <c r="E3648" t="s">
        <v>42</v>
      </c>
      <c r="F3648" t="s">
        <v>43</v>
      </c>
      <c r="G3648" t="s">
        <v>43</v>
      </c>
      <c r="H3648" t="s">
        <v>43</v>
      </c>
      <c r="I3648" t="s">
        <v>2181</v>
      </c>
      <c r="J3648" t="s">
        <v>43</v>
      </c>
      <c r="K3648" t="s">
        <v>43</v>
      </c>
      <c r="L3648" t="s">
        <v>43</v>
      </c>
      <c r="M3648" t="s">
        <v>43</v>
      </c>
      <c r="N3648" t="s">
        <v>45</v>
      </c>
      <c r="O3648" t="s">
        <v>43</v>
      </c>
      <c r="P3648" t="s">
        <v>43</v>
      </c>
      <c r="Q3648" t="s">
        <v>43</v>
      </c>
      <c r="R3648" t="s">
        <v>43</v>
      </c>
      <c r="S3648" t="s">
        <v>43</v>
      </c>
      <c r="T3648" t="s">
        <v>43</v>
      </c>
      <c r="U3648" t="s">
        <v>43</v>
      </c>
      <c r="V3648" t="s">
        <v>43</v>
      </c>
      <c r="W3648" t="s">
        <v>43</v>
      </c>
      <c r="X3648" t="s">
        <v>43</v>
      </c>
      <c r="Y3648" t="s">
        <v>43</v>
      </c>
      <c r="Z3648" t="s">
        <v>43</v>
      </c>
      <c r="AA3648" t="s">
        <v>43</v>
      </c>
      <c r="AB3648" t="s">
        <v>43</v>
      </c>
      <c r="AC3648" t="s">
        <v>43</v>
      </c>
      <c r="AD3648" t="s">
        <v>43</v>
      </c>
      <c r="AE3648" t="s">
        <v>43</v>
      </c>
      <c r="AF3648" t="s">
        <v>43</v>
      </c>
      <c r="AG3648" t="s">
        <v>43</v>
      </c>
      <c r="AH3648" t="s">
        <v>43</v>
      </c>
      <c r="AI3648" t="s">
        <v>43</v>
      </c>
      <c r="AJ3648" t="s">
        <v>43</v>
      </c>
      <c r="AK3648" t="s">
        <v>43</v>
      </c>
      <c r="AL3648" t="s">
        <v>43</v>
      </c>
      <c r="AM3648" t="s">
        <v>43</v>
      </c>
      <c r="AN3648" t="str">
        <f>HYPERLINK("https://www.google.com/maps?q=10.76361275,79.69309235","Open Location")</f>
        <v>Open Location</v>
      </c>
    </row>
    <row r="3649" spans="1:40" x14ac:dyDescent="0.3">
      <c r="A3649" s="1">
        <v>46210.577314814815</v>
      </c>
      <c r="B3649" t="s">
        <v>40</v>
      </c>
      <c r="C3649" t="s">
        <v>41</v>
      </c>
      <c r="D3649" s="1">
        <v>46210.580335648148</v>
      </c>
      <c r="E3649" t="s">
        <v>42</v>
      </c>
      <c r="F3649" t="s">
        <v>43</v>
      </c>
      <c r="G3649" t="s">
        <v>43</v>
      </c>
      <c r="H3649" t="s">
        <v>43</v>
      </c>
      <c r="I3649" t="s">
        <v>2182</v>
      </c>
      <c r="J3649" t="s">
        <v>43</v>
      </c>
      <c r="K3649" t="s">
        <v>43</v>
      </c>
      <c r="L3649" t="s">
        <v>43</v>
      </c>
      <c r="M3649" t="s">
        <v>43</v>
      </c>
      <c r="N3649" t="s">
        <v>45</v>
      </c>
      <c r="O3649" t="s">
        <v>43</v>
      </c>
      <c r="P3649" t="s">
        <v>43</v>
      </c>
      <c r="Q3649" t="s">
        <v>43</v>
      </c>
      <c r="R3649" t="s">
        <v>43</v>
      </c>
      <c r="S3649" t="s">
        <v>43</v>
      </c>
      <c r="T3649" t="s">
        <v>43</v>
      </c>
      <c r="U3649" t="s">
        <v>43</v>
      </c>
      <c r="V3649" t="s">
        <v>43</v>
      </c>
      <c r="W3649" t="s">
        <v>43</v>
      </c>
      <c r="X3649" t="s">
        <v>43</v>
      </c>
      <c r="Y3649" t="s">
        <v>43</v>
      </c>
      <c r="Z3649" t="s">
        <v>43</v>
      </c>
      <c r="AA3649" t="s">
        <v>43</v>
      </c>
      <c r="AB3649" t="s">
        <v>43</v>
      </c>
      <c r="AC3649" t="s">
        <v>43</v>
      </c>
      <c r="AD3649" t="s">
        <v>43</v>
      </c>
      <c r="AE3649" t="s">
        <v>43</v>
      </c>
      <c r="AF3649" t="s">
        <v>43</v>
      </c>
      <c r="AG3649" t="s">
        <v>43</v>
      </c>
      <c r="AH3649" t="s">
        <v>43</v>
      </c>
      <c r="AI3649" t="s">
        <v>43</v>
      </c>
      <c r="AJ3649" t="s">
        <v>43</v>
      </c>
      <c r="AK3649" t="s">
        <v>43</v>
      </c>
      <c r="AL3649" t="s">
        <v>43</v>
      </c>
      <c r="AM3649" t="s">
        <v>43</v>
      </c>
      <c r="AN3649" t="str">
        <f>HYPERLINK("https://www.google.com/maps?q=10.76360607,79.6931076","Open Location")</f>
        <v>Open Location</v>
      </c>
    </row>
    <row r="3650" spans="1:40" x14ac:dyDescent="0.3">
      <c r="A3650" s="1">
        <v>46210.577199074076</v>
      </c>
      <c r="B3650" t="s">
        <v>40</v>
      </c>
      <c r="C3650" t="s">
        <v>41</v>
      </c>
      <c r="D3650" s="1">
        <v>46210.58011574074</v>
      </c>
      <c r="E3650" t="s">
        <v>42</v>
      </c>
      <c r="F3650" t="s">
        <v>43</v>
      </c>
      <c r="G3650" t="s">
        <v>43</v>
      </c>
      <c r="H3650" t="s">
        <v>43</v>
      </c>
      <c r="I3650" t="s">
        <v>2183</v>
      </c>
      <c r="J3650" t="s">
        <v>43</v>
      </c>
      <c r="K3650" t="s">
        <v>43</v>
      </c>
      <c r="L3650" t="s">
        <v>43</v>
      </c>
      <c r="M3650" t="s">
        <v>43</v>
      </c>
      <c r="N3650" t="s">
        <v>45</v>
      </c>
      <c r="O3650" t="s">
        <v>43</v>
      </c>
      <c r="P3650" t="s">
        <v>43</v>
      </c>
      <c r="Q3650" t="s">
        <v>43</v>
      </c>
      <c r="R3650" t="s">
        <v>43</v>
      </c>
      <c r="S3650" t="s">
        <v>43</v>
      </c>
      <c r="T3650" t="s">
        <v>43</v>
      </c>
      <c r="U3650" t="s">
        <v>43</v>
      </c>
      <c r="V3650" t="s">
        <v>43</v>
      </c>
      <c r="W3650" t="s">
        <v>43</v>
      </c>
      <c r="X3650" t="s">
        <v>43</v>
      </c>
      <c r="Y3650" t="s">
        <v>43</v>
      </c>
      <c r="Z3650" t="s">
        <v>43</v>
      </c>
      <c r="AA3650" t="s">
        <v>43</v>
      </c>
      <c r="AB3650" t="s">
        <v>43</v>
      </c>
      <c r="AC3650" t="s">
        <v>43</v>
      </c>
      <c r="AD3650" t="s">
        <v>43</v>
      </c>
      <c r="AE3650" t="s">
        <v>43</v>
      </c>
      <c r="AF3650" t="s">
        <v>43</v>
      </c>
      <c r="AG3650" t="s">
        <v>43</v>
      </c>
      <c r="AH3650" t="s">
        <v>43</v>
      </c>
      <c r="AI3650" t="s">
        <v>43</v>
      </c>
      <c r="AJ3650" t="s">
        <v>43</v>
      </c>
      <c r="AK3650" t="s">
        <v>43</v>
      </c>
      <c r="AL3650" t="s">
        <v>43</v>
      </c>
      <c r="AM3650" t="s">
        <v>43</v>
      </c>
      <c r="AN3650" t="str">
        <f>HYPERLINK("https://www.google.com/maps?q=10.76360512,79.69311523","Open Location")</f>
        <v>Open Location</v>
      </c>
    </row>
    <row r="3651" spans="1:40" x14ac:dyDescent="0.3">
      <c r="A3651" s="1">
        <v>46210.57708333333</v>
      </c>
      <c r="B3651" t="s">
        <v>40</v>
      </c>
      <c r="C3651" t="s">
        <v>41</v>
      </c>
      <c r="D3651" s="1">
        <v>46210.57984953704</v>
      </c>
      <c r="E3651" t="s">
        <v>42</v>
      </c>
      <c r="F3651" t="s">
        <v>43</v>
      </c>
      <c r="G3651" t="s">
        <v>43</v>
      </c>
      <c r="H3651" t="s">
        <v>43</v>
      </c>
      <c r="I3651" t="s">
        <v>43</v>
      </c>
      <c r="J3651" t="s">
        <v>43</v>
      </c>
      <c r="K3651" t="s">
        <v>43</v>
      </c>
      <c r="L3651" t="s">
        <v>43</v>
      </c>
      <c r="M3651" t="s">
        <v>43</v>
      </c>
      <c r="N3651" t="s">
        <v>45</v>
      </c>
      <c r="O3651" t="s">
        <v>43</v>
      </c>
      <c r="P3651" t="s">
        <v>43</v>
      </c>
      <c r="Q3651" t="s">
        <v>43</v>
      </c>
      <c r="R3651" t="s">
        <v>43</v>
      </c>
      <c r="S3651">
        <v>0</v>
      </c>
      <c r="T3651">
        <v>-40</v>
      </c>
      <c r="U3651">
        <v>45</v>
      </c>
      <c r="V3651">
        <v>0</v>
      </c>
      <c r="W3651" t="s">
        <v>43</v>
      </c>
      <c r="X3651" t="s">
        <v>43</v>
      </c>
      <c r="Y3651" t="s">
        <v>43</v>
      </c>
      <c r="Z3651" t="s">
        <v>43</v>
      </c>
      <c r="AA3651" t="s">
        <v>43</v>
      </c>
      <c r="AB3651" t="s">
        <v>43</v>
      </c>
      <c r="AC3651" t="s">
        <v>43</v>
      </c>
      <c r="AD3651" t="s">
        <v>43</v>
      </c>
      <c r="AE3651" t="s">
        <v>43</v>
      </c>
      <c r="AF3651" t="s">
        <v>43</v>
      </c>
      <c r="AG3651" t="s">
        <v>43</v>
      </c>
      <c r="AH3651" t="s">
        <v>43</v>
      </c>
      <c r="AI3651" t="s">
        <v>43</v>
      </c>
      <c r="AJ3651" t="s">
        <v>43</v>
      </c>
      <c r="AK3651" t="s">
        <v>43</v>
      </c>
      <c r="AL3651" t="s">
        <v>43</v>
      </c>
      <c r="AM3651" t="s">
        <v>43</v>
      </c>
      <c r="AN3651" t="s">
        <v>43</v>
      </c>
    </row>
    <row r="3652" spans="1:40" x14ac:dyDescent="0.3">
      <c r="A3652" s="1">
        <v>46210.576967592591</v>
      </c>
      <c r="B3652" t="s">
        <v>40</v>
      </c>
      <c r="C3652" t="s">
        <v>41</v>
      </c>
      <c r="D3652" s="1">
        <v>46210.580069444448</v>
      </c>
      <c r="E3652" t="s">
        <v>42</v>
      </c>
      <c r="F3652" t="s">
        <v>43</v>
      </c>
      <c r="G3652" t="s">
        <v>43</v>
      </c>
      <c r="H3652" t="s">
        <v>43</v>
      </c>
      <c r="I3652" t="s">
        <v>1977</v>
      </c>
      <c r="J3652" t="s">
        <v>43</v>
      </c>
      <c r="K3652" t="s">
        <v>43</v>
      </c>
      <c r="L3652" t="s">
        <v>43</v>
      </c>
      <c r="M3652" t="s">
        <v>43</v>
      </c>
      <c r="N3652" t="s">
        <v>45</v>
      </c>
      <c r="O3652" t="s">
        <v>43</v>
      </c>
      <c r="P3652" t="s">
        <v>43</v>
      </c>
      <c r="Q3652" t="s">
        <v>43</v>
      </c>
      <c r="R3652" t="s">
        <v>43</v>
      </c>
      <c r="S3652">
        <v>0</v>
      </c>
      <c r="T3652">
        <v>-40</v>
      </c>
      <c r="U3652">
        <v>45</v>
      </c>
      <c r="V3652">
        <v>0</v>
      </c>
      <c r="W3652" t="s">
        <v>43</v>
      </c>
      <c r="X3652" t="s">
        <v>43</v>
      </c>
      <c r="Y3652" t="s">
        <v>43</v>
      </c>
      <c r="Z3652" t="s">
        <v>43</v>
      </c>
      <c r="AA3652" t="s">
        <v>43</v>
      </c>
      <c r="AB3652" t="s">
        <v>43</v>
      </c>
      <c r="AC3652" t="s">
        <v>43</v>
      </c>
      <c r="AD3652" t="s">
        <v>43</v>
      </c>
      <c r="AE3652" t="s">
        <v>43</v>
      </c>
      <c r="AF3652" t="s">
        <v>43</v>
      </c>
      <c r="AG3652" t="s">
        <v>43</v>
      </c>
      <c r="AH3652" t="s">
        <v>43</v>
      </c>
      <c r="AI3652" t="s">
        <v>43</v>
      </c>
      <c r="AJ3652" t="s">
        <v>43</v>
      </c>
      <c r="AK3652" t="s">
        <v>43</v>
      </c>
      <c r="AL3652" t="s">
        <v>43</v>
      </c>
      <c r="AM3652" t="s">
        <v>43</v>
      </c>
      <c r="AN3652" t="str">
        <f>HYPERLINK("https://www.google.com/maps?q=10.76359653,79.6931076","Open Location")</f>
        <v>Open Location</v>
      </c>
    </row>
    <row r="3653" spans="1:40" x14ac:dyDescent="0.3">
      <c r="A3653" s="1">
        <v>46210.576851851853</v>
      </c>
      <c r="B3653" t="s">
        <v>40</v>
      </c>
      <c r="C3653" t="s">
        <v>41</v>
      </c>
      <c r="D3653" s="1">
        <v>46210.579710648148</v>
      </c>
      <c r="E3653" t="s">
        <v>42</v>
      </c>
      <c r="F3653" t="s">
        <v>43</v>
      </c>
      <c r="G3653" t="s">
        <v>43</v>
      </c>
      <c r="H3653" t="s">
        <v>43</v>
      </c>
      <c r="I3653" t="s">
        <v>2040</v>
      </c>
      <c r="J3653" t="s">
        <v>43</v>
      </c>
      <c r="K3653" t="s">
        <v>43</v>
      </c>
      <c r="L3653" t="s">
        <v>43</v>
      </c>
      <c r="M3653" t="s">
        <v>43</v>
      </c>
      <c r="N3653" t="s">
        <v>45</v>
      </c>
      <c r="O3653" t="s">
        <v>43</v>
      </c>
      <c r="P3653" t="s">
        <v>43</v>
      </c>
      <c r="Q3653" t="s">
        <v>43</v>
      </c>
      <c r="R3653" t="s">
        <v>43</v>
      </c>
      <c r="S3653">
        <v>0</v>
      </c>
      <c r="T3653">
        <v>-40</v>
      </c>
      <c r="U3653">
        <v>45</v>
      </c>
      <c r="V3653">
        <v>0</v>
      </c>
      <c r="W3653" t="s">
        <v>43</v>
      </c>
      <c r="X3653" t="s">
        <v>43</v>
      </c>
      <c r="Y3653" t="s">
        <v>43</v>
      </c>
      <c r="Z3653" t="s">
        <v>43</v>
      </c>
      <c r="AA3653" t="s">
        <v>43</v>
      </c>
      <c r="AB3653" t="s">
        <v>43</v>
      </c>
      <c r="AC3653" t="s">
        <v>43</v>
      </c>
      <c r="AD3653" t="s">
        <v>43</v>
      </c>
      <c r="AE3653" t="s">
        <v>43</v>
      </c>
      <c r="AF3653" t="s">
        <v>43</v>
      </c>
      <c r="AG3653" t="s">
        <v>43</v>
      </c>
      <c r="AH3653" t="s">
        <v>43</v>
      </c>
      <c r="AI3653" t="s">
        <v>43</v>
      </c>
      <c r="AJ3653" t="s">
        <v>43</v>
      </c>
      <c r="AK3653" t="s">
        <v>43</v>
      </c>
      <c r="AL3653" t="s">
        <v>43</v>
      </c>
      <c r="AM3653" t="s">
        <v>43</v>
      </c>
      <c r="AN3653" t="str">
        <f>HYPERLINK("https://www.google.com/maps?q=10.76358986,79.6931076","Open Location")</f>
        <v>Open Location</v>
      </c>
    </row>
    <row r="3654" spans="1:40" x14ac:dyDescent="0.3">
      <c r="A3654" s="1">
        <v>46210.576736111114</v>
      </c>
      <c r="B3654" t="s">
        <v>40</v>
      </c>
      <c r="C3654" t="s">
        <v>41</v>
      </c>
      <c r="D3654" s="1">
        <v>46210.579652777778</v>
      </c>
      <c r="E3654" t="s">
        <v>42</v>
      </c>
      <c r="F3654" t="s">
        <v>43</v>
      </c>
      <c r="G3654">
        <v>0</v>
      </c>
      <c r="H3654">
        <v>33107</v>
      </c>
      <c r="I3654" t="s">
        <v>2184</v>
      </c>
      <c r="J3654" t="s">
        <v>43</v>
      </c>
      <c r="K3654" t="s">
        <v>43</v>
      </c>
      <c r="L3654" t="s">
        <v>43</v>
      </c>
      <c r="M3654" t="s">
        <v>43</v>
      </c>
      <c r="N3654" t="s">
        <v>81</v>
      </c>
      <c r="O3654" t="s">
        <v>43</v>
      </c>
      <c r="P3654">
        <v>125</v>
      </c>
      <c r="Q3654" t="s">
        <v>43</v>
      </c>
      <c r="R3654">
        <v>0</v>
      </c>
      <c r="S3654">
        <v>0</v>
      </c>
      <c r="T3654">
        <v>-40</v>
      </c>
      <c r="U3654">
        <v>45</v>
      </c>
      <c r="V3654">
        <v>0</v>
      </c>
      <c r="W3654" t="s">
        <v>43</v>
      </c>
      <c r="X3654" t="s">
        <v>43</v>
      </c>
      <c r="Y3654" t="s">
        <v>43</v>
      </c>
      <c r="Z3654" t="s">
        <v>43</v>
      </c>
      <c r="AA3654" t="s">
        <v>43</v>
      </c>
      <c r="AB3654" t="s">
        <v>43</v>
      </c>
      <c r="AC3654" t="s">
        <v>43</v>
      </c>
      <c r="AD3654" t="s">
        <v>43</v>
      </c>
      <c r="AE3654" t="s">
        <v>43</v>
      </c>
      <c r="AF3654" t="s">
        <v>43</v>
      </c>
      <c r="AG3654" t="s">
        <v>43</v>
      </c>
      <c r="AH3654" t="s">
        <v>43</v>
      </c>
      <c r="AI3654" t="s">
        <v>43</v>
      </c>
      <c r="AJ3654" t="s">
        <v>43</v>
      </c>
      <c r="AK3654" t="s">
        <v>43</v>
      </c>
      <c r="AL3654" t="s">
        <v>43</v>
      </c>
      <c r="AM3654" t="s">
        <v>43</v>
      </c>
      <c r="AN3654" t="str">
        <f>HYPERLINK("https://www.google.com/maps?q=10.76359367,79.69309235","Open Location")</f>
        <v>Open Location</v>
      </c>
    </row>
    <row r="3655" spans="1:40" x14ac:dyDescent="0.3">
      <c r="A3655" s="1">
        <v>46210.576620370368</v>
      </c>
      <c r="B3655" t="s">
        <v>40</v>
      </c>
      <c r="C3655" t="s">
        <v>41</v>
      </c>
      <c r="D3655" s="1">
        <v>46210.579444444447</v>
      </c>
      <c r="E3655" t="s">
        <v>42</v>
      </c>
      <c r="F3655" t="s">
        <v>83</v>
      </c>
      <c r="G3655">
        <v>0</v>
      </c>
      <c r="H3655">
        <v>33107</v>
      </c>
      <c r="I3655" t="s">
        <v>2004</v>
      </c>
      <c r="J3655">
        <v>47</v>
      </c>
      <c r="K3655">
        <v>1</v>
      </c>
      <c r="L3655">
        <v>98</v>
      </c>
      <c r="M3655">
        <v>630.59997558999999</v>
      </c>
      <c r="N3655" t="s">
        <v>81</v>
      </c>
      <c r="O3655" t="s">
        <v>82</v>
      </c>
      <c r="P3655">
        <v>125</v>
      </c>
      <c r="Q3655" t="s">
        <v>82</v>
      </c>
      <c r="R3655">
        <v>0</v>
      </c>
      <c r="S3655">
        <v>0</v>
      </c>
      <c r="T3655">
        <v>-40</v>
      </c>
      <c r="U3655">
        <v>45</v>
      </c>
      <c r="V3655">
        <v>0</v>
      </c>
      <c r="W3655">
        <v>30</v>
      </c>
      <c r="X3655">
        <v>30</v>
      </c>
      <c r="Y3655">
        <v>5</v>
      </c>
      <c r="Z3655">
        <v>3</v>
      </c>
      <c r="AA3655">
        <v>25</v>
      </c>
      <c r="AB3655">
        <v>2</v>
      </c>
      <c r="AC3655">
        <v>5</v>
      </c>
      <c r="AD3655">
        <v>3.28800011</v>
      </c>
      <c r="AE3655">
        <v>1</v>
      </c>
      <c r="AF3655">
        <v>1</v>
      </c>
      <c r="AG3655">
        <v>3.28600001</v>
      </c>
      <c r="AH3655">
        <v>2</v>
      </c>
      <c r="AI3655">
        <v>3</v>
      </c>
      <c r="AJ3655">
        <v>1</v>
      </c>
      <c r="AK3655">
        <v>16</v>
      </c>
      <c r="AL3655">
        <v>39</v>
      </c>
      <c r="AM3655" t="s">
        <v>43</v>
      </c>
      <c r="AN3655" t="str">
        <f>HYPERLINK("https://www.google.com/maps?q=10.76358986,79.69308472","Open Location")</f>
        <v>Open Location</v>
      </c>
    </row>
    <row r="3656" spans="1:40" x14ac:dyDescent="0.3">
      <c r="A3656" s="1">
        <v>46210.576504629629</v>
      </c>
      <c r="B3656" t="s">
        <v>40</v>
      </c>
      <c r="C3656" t="s">
        <v>41</v>
      </c>
      <c r="D3656" s="1">
        <v>46210.57953703704</v>
      </c>
      <c r="E3656" t="s">
        <v>42</v>
      </c>
      <c r="F3656" t="s">
        <v>83</v>
      </c>
      <c r="G3656">
        <v>0</v>
      </c>
      <c r="H3656">
        <v>33107</v>
      </c>
      <c r="I3656" t="s">
        <v>43</v>
      </c>
      <c r="J3656">
        <v>47</v>
      </c>
      <c r="K3656">
        <v>1</v>
      </c>
      <c r="L3656">
        <v>98</v>
      </c>
      <c r="M3656">
        <v>630.59997558999999</v>
      </c>
      <c r="N3656" t="s">
        <v>81</v>
      </c>
      <c r="O3656" t="s">
        <v>82</v>
      </c>
      <c r="P3656">
        <v>125</v>
      </c>
      <c r="Q3656" t="s">
        <v>82</v>
      </c>
      <c r="R3656">
        <v>0</v>
      </c>
      <c r="S3656">
        <v>0</v>
      </c>
      <c r="T3656">
        <v>-40</v>
      </c>
      <c r="U3656">
        <v>45</v>
      </c>
      <c r="V3656">
        <v>0</v>
      </c>
      <c r="W3656">
        <v>30</v>
      </c>
      <c r="X3656">
        <v>30</v>
      </c>
      <c r="Y3656">
        <v>5</v>
      </c>
      <c r="Z3656">
        <v>3</v>
      </c>
      <c r="AA3656">
        <v>25</v>
      </c>
      <c r="AB3656">
        <v>2</v>
      </c>
      <c r="AC3656">
        <v>5</v>
      </c>
      <c r="AD3656">
        <v>3.28800011</v>
      </c>
      <c r="AE3656">
        <v>1</v>
      </c>
      <c r="AF3656">
        <v>1</v>
      </c>
      <c r="AG3656">
        <v>3.28500009</v>
      </c>
      <c r="AH3656">
        <v>7</v>
      </c>
      <c r="AI3656">
        <v>27</v>
      </c>
      <c r="AJ3656">
        <v>1</v>
      </c>
      <c r="AK3656">
        <v>16</v>
      </c>
      <c r="AL3656">
        <v>39</v>
      </c>
      <c r="AM3656" t="s">
        <v>43</v>
      </c>
      <c r="AN3656" t="s">
        <v>43</v>
      </c>
    </row>
    <row r="3657" spans="1:40" x14ac:dyDescent="0.3">
      <c r="A3657" s="1">
        <v>46210.576388888891</v>
      </c>
      <c r="B3657" t="s">
        <v>40</v>
      </c>
      <c r="C3657" t="s">
        <v>41</v>
      </c>
      <c r="D3657" s="1">
        <v>46210.578981481478</v>
      </c>
      <c r="E3657" t="s">
        <v>42</v>
      </c>
      <c r="F3657" t="s">
        <v>83</v>
      </c>
      <c r="G3657">
        <v>0</v>
      </c>
      <c r="H3657">
        <v>33107</v>
      </c>
      <c r="I3657" t="s">
        <v>1958</v>
      </c>
      <c r="J3657">
        <v>47</v>
      </c>
      <c r="K3657">
        <v>11</v>
      </c>
      <c r="L3657">
        <v>98</v>
      </c>
      <c r="M3657">
        <v>630.29998779000005</v>
      </c>
      <c r="N3657" t="s">
        <v>81</v>
      </c>
      <c r="O3657" t="s">
        <v>82</v>
      </c>
      <c r="P3657">
        <v>125</v>
      </c>
      <c r="Q3657" t="s">
        <v>82</v>
      </c>
      <c r="R3657">
        <v>0</v>
      </c>
      <c r="S3657">
        <v>0</v>
      </c>
      <c r="T3657">
        <v>-40</v>
      </c>
      <c r="U3657">
        <v>45</v>
      </c>
      <c r="V3657">
        <v>0</v>
      </c>
      <c r="W3657">
        <v>30</v>
      </c>
      <c r="X3657">
        <v>30</v>
      </c>
      <c r="Y3657">
        <v>5</v>
      </c>
      <c r="Z3657">
        <v>3</v>
      </c>
      <c r="AA3657">
        <v>25</v>
      </c>
      <c r="AB3657">
        <v>2</v>
      </c>
      <c r="AC3657">
        <v>5</v>
      </c>
      <c r="AD3657">
        <v>3.28600001</v>
      </c>
      <c r="AE3657">
        <v>1</v>
      </c>
      <c r="AF3657">
        <v>1</v>
      </c>
      <c r="AG3657">
        <v>3.2809998999999999</v>
      </c>
      <c r="AH3657">
        <v>5</v>
      </c>
      <c r="AI3657">
        <v>17</v>
      </c>
      <c r="AJ3657">
        <v>1</v>
      </c>
      <c r="AK3657">
        <v>16</v>
      </c>
      <c r="AL3657">
        <v>39</v>
      </c>
      <c r="AM3657" t="s">
        <v>43</v>
      </c>
      <c r="AN3657" t="str">
        <f>HYPERLINK("https://www.google.com/maps?q=10.76357269,79.69306183","Open Location")</f>
        <v>Open Location</v>
      </c>
    </row>
    <row r="3658" spans="1:40" x14ac:dyDescent="0.3">
      <c r="A3658" s="1">
        <v>46210.576273148145</v>
      </c>
      <c r="B3658" t="s">
        <v>40</v>
      </c>
      <c r="C3658" t="s">
        <v>41</v>
      </c>
      <c r="D3658" s="1">
        <v>46210.578981481478</v>
      </c>
      <c r="E3658" t="s">
        <v>42</v>
      </c>
      <c r="F3658" t="s">
        <v>83</v>
      </c>
      <c r="G3658">
        <v>0</v>
      </c>
      <c r="H3658">
        <v>33107</v>
      </c>
      <c r="I3658" t="s">
        <v>43</v>
      </c>
      <c r="J3658">
        <v>47</v>
      </c>
      <c r="K3658">
        <v>10</v>
      </c>
      <c r="L3658">
        <v>98</v>
      </c>
      <c r="M3658">
        <v>630.09997558999999</v>
      </c>
      <c r="N3658" t="s">
        <v>81</v>
      </c>
      <c r="O3658" t="s">
        <v>82</v>
      </c>
      <c r="P3658">
        <v>125</v>
      </c>
      <c r="Q3658" t="s">
        <v>82</v>
      </c>
      <c r="R3658">
        <v>0</v>
      </c>
      <c r="S3658">
        <v>0</v>
      </c>
      <c r="T3658">
        <v>-40</v>
      </c>
      <c r="U3658">
        <v>45</v>
      </c>
      <c r="V3658">
        <v>0</v>
      </c>
      <c r="W3658">
        <v>30</v>
      </c>
      <c r="X3658">
        <v>30</v>
      </c>
      <c r="Y3658">
        <v>5</v>
      </c>
      <c r="Z3658">
        <v>3</v>
      </c>
      <c r="AA3658">
        <v>25</v>
      </c>
      <c r="AB3658">
        <v>2</v>
      </c>
      <c r="AC3658">
        <v>5</v>
      </c>
      <c r="AD3658">
        <v>3.28600001</v>
      </c>
      <c r="AE3658">
        <v>1</v>
      </c>
      <c r="AF3658">
        <v>1</v>
      </c>
      <c r="AG3658">
        <v>3.2820000600000001</v>
      </c>
      <c r="AH3658">
        <v>5</v>
      </c>
      <c r="AI3658">
        <v>10</v>
      </c>
      <c r="AJ3658">
        <v>1</v>
      </c>
      <c r="AK3658">
        <v>17</v>
      </c>
      <c r="AL3658">
        <v>39</v>
      </c>
      <c r="AM3658" t="s">
        <v>43</v>
      </c>
      <c r="AN3658" t="s">
        <v>43</v>
      </c>
    </row>
    <row r="3659" spans="1:40" x14ac:dyDescent="0.3">
      <c r="A3659" s="1">
        <v>46210.576157407406</v>
      </c>
      <c r="B3659" t="s">
        <v>40</v>
      </c>
      <c r="C3659" t="s">
        <v>41</v>
      </c>
      <c r="D3659" s="1">
        <v>46210.579097222224</v>
      </c>
      <c r="E3659" t="s">
        <v>42</v>
      </c>
      <c r="F3659" t="s">
        <v>83</v>
      </c>
      <c r="G3659">
        <v>0</v>
      </c>
      <c r="H3659" t="s">
        <v>43</v>
      </c>
      <c r="I3659" t="s">
        <v>2185</v>
      </c>
      <c r="J3659">
        <v>47</v>
      </c>
      <c r="K3659">
        <v>6</v>
      </c>
      <c r="L3659">
        <v>98</v>
      </c>
      <c r="M3659">
        <v>630.20001220999995</v>
      </c>
      <c r="N3659" t="s">
        <v>81</v>
      </c>
      <c r="O3659" t="s">
        <v>82</v>
      </c>
      <c r="P3659">
        <v>125</v>
      </c>
      <c r="Q3659" t="s">
        <v>82</v>
      </c>
      <c r="R3659">
        <v>0</v>
      </c>
      <c r="S3659">
        <v>0</v>
      </c>
      <c r="T3659">
        <v>-40</v>
      </c>
      <c r="U3659">
        <v>45</v>
      </c>
      <c r="V3659">
        <v>0</v>
      </c>
      <c r="W3659">
        <v>30</v>
      </c>
      <c r="X3659">
        <v>30</v>
      </c>
      <c r="Y3659">
        <v>5</v>
      </c>
      <c r="Z3659">
        <v>3</v>
      </c>
      <c r="AA3659">
        <v>25</v>
      </c>
      <c r="AB3659">
        <v>2</v>
      </c>
      <c r="AC3659">
        <v>5</v>
      </c>
      <c r="AD3659">
        <v>3.2869999399999998</v>
      </c>
      <c r="AE3659">
        <v>1</v>
      </c>
      <c r="AF3659">
        <v>1</v>
      </c>
      <c r="AG3659">
        <v>3.2820000600000001</v>
      </c>
      <c r="AH3659">
        <v>5</v>
      </c>
      <c r="AI3659">
        <v>10</v>
      </c>
      <c r="AJ3659">
        <v>1</v>
      </c>
      <c r="AK3659">
        <v>18</v>
      </c>
      <c r="AL3659">
        <v>39</v>
      </c>
      <c r="AM3659" t="s">
        <v>43</v>
      </c>
      <c r="AN3659" t="str">
        <f>HYPERLINK("https://www.google.com/maps?q=10.76356125,79.6930542","Open Location")</f>
        <v>Open Location</v>
      </c>
    </row>
    <row r="3660" spans="1:40" x14ac:dyDescent="0.3">
      <c r="A3660" s="1">
        <v>46210.576041666667</v>
      </c>
      <c r="B3660" t="s">
        <v>40</v>
      </c>
      <c r="C3660" t="s">
        <v>41</v>
      </c>
      <c r="D3660" s="1">
        <v>46210.578877314816</v>
      </c>
      <c r="E3660" t="s">
        <v>42</v>
      </c>
      <c r="F3660" t="s">
        <v>83</v>
      </c>
      <c r="G3660">
        <v>0</v>
      </c>
      <c r="H3660">
        <v>33107</v>
      </c>
      <c r="I3660" t="s">
        <v>2186</v>
      </c>
      <c r="J3660">
        <v>47</v>
      </c>
      <c r="K3660">
        <v>12</v>
      </c>
      <c r="L3660">
        <v>98</v>
      </c>
      <c r="M3660">
        <v>630.20001220999995</v>
      </c>
      <c r="N3660" t="s">
        <v>85</v>
      </c>
      <c r="O3660" t="s">
        <v>82</v>
      </c>
      <c r="P3660">
        <v>125</v>
      </c>
      <c r="Q3660" t="s">
        <v>82</v>
      </c>
      <c r="R3660">
        <v>0</v>
      </c>
      <c r="S3660">
        <v>0</v>
      </c>
      <c r="T3660">
        <v>-40</v>
      </c>
      <c r="U3660">
        <v>45</v>
      </c>
      <c r="V3660">
        <v>0</v>
      </c>
      <c r="W3660">
        <v>30</v>
      </c>
      <c r="X3660">
        <v>30</v>
      </c>
      <c r="Y3660">
        <v>5</v>
      </c>
      <c r="Z3660">
        <v>3</v>
      </c>
      <c r="AA3660">
        <v>25</v>
      </c>
      <c r="AB3660">
        <v>2</v>
      </c>
      <c r="AC3660">
        <v>5</v>
      </c>
      <c r="AD3660">
        <v>3.28600001</v>
      </c>
      <c r="AE3660">
        <v>1</v>
      </c>
      <c r="AF3660">
        <v>1</v>
      </c>
      <c r="AG3660">
        <v>3.2820000600000001</v>
      </c>
      <c r="AH3660">
        <v>4</v>
      </c>
      <c r="AI3660">
        <v>17</v>
      </c>
      <c r="AJ3660">
        <v>1</v>
      </c>
      <c r="AK3660">
        <v>25</v>
      </c>
      <c r="AL3660">
        <v>39</v>
      </c>
      <c r="AM3660" t="s">
        <v>43</v>
      </c>
      <c r="AN3660" t="str">
        <f>HYPERLINK("https://www.google.com/maps?q=10.76355553,79.69304657","Open Location")</f>
        <v>Open Location</v>
      </c>
    </row>
    <row r="3661" spans="1:40" x14ac:dyDescent="0.3">
      <c r="A3661" s="1">
        <v>46210.575925925928</v>
      </c>
      <c r="B3661" t="s">
        <v>40</v>
      </c>
      <c r="C3661" t="s">
        <v>41</v>
      </c>
      <c r="D3661" s="1">
        <v>46210.578877314816</v>
      </c>
      <c r="E3661" t="s">
        <v>42</v>
      </c>
      <c r="F3661" t="s">
        <v>83</v>
      </c>
      <c r="G3661">
        <v>4</v>
      </c>
      <c r="H3661">
        <v>33107</v>
      </c>
      <c r="I3661" t="s">
        <v>43</v>
      </c>
      <c r="J3661">
        <v>47</v>
      </c>
      <c r="K3661">
        <v>7</v>
      </c>
      <c r="L3661">
        <v>98</v>
      </c>
      <c r="M3661">
        <v>630.20001220999995</v>
      </c>
      <c r="N3661" t="s">
        <v>87</v>
      </c>
      <c r="O3661" t="s">
        <v>86</v>
      </c>
      <c r="P3661">
        <v>127</v>
      </c>
      <c r="Q3661">
        <v>2</v>
      </c>
      <c r="R3661">
        <v>-1</v>
      </c>
      <c r="S3661">
        <v>992</v>
      </c>
      <c r="T3661">
        <v>-40</v>
      </c>
      <c r="U3661">
        <v>45</v>
      </c>
      <c r="V3661">
        <v>5</v>
      </c>
      <c r="W3661">
        <v>30</v>
      </c>
      <c r="X3661">
        <v>30</v>
      </c>
      <c r="Y3661">
        <v>5</v>
      </c>
      <c r="Z3661">
        <v>3</v>
      </c>
      <c r="AA3661">
        <v>25</v>
      </c>
      <c r="AB3661">
        <v>2</v>
      </c>
      <c r="AC3661">
        <v>5</v>
      </c>
      <c r="AD3661">
        <v>3.2869999399999998</v>
      </c>
      <c r="AE3661">
        <v>1</v>
      </c>
      <c r="AF3661">
        <v>1</v>
      </c>
      <c r="AG3661">
        <v>3.2839999199999999</v>
      </c>
      <c r="AH3661">
        <v>2</v>
      </c>
      <c r="AI3661">
        <v>26</v>
      </c>
      <c r="AJ3661">
        <v>1</v>
      </c>
      <c r="AK3661">
        <v>26</v>
      </c>
      <c r="AL3661">
        <v>39</v>
      </c>
      <c r="AM3661" t="s">
        <v>43</v>
      </c>
      <c r="AN3661" t="s">
        <v>43</v>
      </c>
    </row>
    <row r="3662" spans="1:40" x14ac:dyDescent="0.3">
      <c r="A3662" s="1">
        <v>46210.575810185182</v>
      </c>
      <c r="B3662" t="s">
        <v>40</v>
      </c>
      <c r="C3662" t="s">
        <v>41</v>
      </c>
      <c r="D3662" s="1">
        <v>46210.578425925924</v>
      </c>
      <c r="E3662" t="s">
        <v>43</v>
      </c>
      <c r="F3662" t="s">
        <v>83</v>
      </c>
      <c r="G3662">
        <v>8</v>
      </c>
      <c r="H3662" t="s">
        <v>43</v>
      </c>
      <c r="I3662" t="s">
        <v>43</v>
      </c>
      <c r="J3662">
        <v>47</v>
      </c>
      <c r="K3662">
        <v>-58</v>
      </c>
      <c r="L3662">
        <v>98</v>
      </c>
      <c r="M3662">
        <v>630.70001220999995</v>
      </c>
      <c r="N3662" t="s">
        <v>87</v>
      </c>
      <c r="O3662" t="s">
        <v>86</v>
      </c>
      <c r="P3662">
        <v>127</v>
      </c>
      <c r="Q3662">
        <v>2</v>
      </c>
      <c r="R3662">
        <v>0</v>
      </c>
      <c r="S3662">
        <v>1665</v>
      </c>
      <c r="T3662">
        <v>-40</v>
      </c>
      <c r="U3662">
        <v>46</v>
      </c>
      <c r="V3662">
        <v>-200</v>
      </c>
      <c r="W3662">
        <v>30</v>
      </c>
      <c r="X3662">
        <v>30</v>
      </c>
      <c r="Y3662">
        <v>5</v>
      </c>
      <c r="Z3662">
        <v>3</v>
      </c>
      <c r="AA3662">
        <v>25</v>
      </c>
      <c r="AB3662">
        <v>2</v>
      </c>
      <c r="AC3662">
        <v>5</v>
      </c>
      <c r="AD3662">
        <v>3.2869999399999998</v>
      </c>
      <c r="AE3662">
        <v>1</v>
      </c>
      <c r="AF3662">
        <v>1</v>
      </c>
      <c r="AG3662">
        <v>3.28500009</v>
      </c>
      <c r="AH3662">
        <v>1</v>
      </c>
      <c r="AI3662">
        <v>21</v>
      </c>
      <c r="AJ3662">
        <v>1</v>
      </c>
      <c r="AK3662">
        <v>27</v>
      </c>
      <c r="AL3662">
        <v>39</v>
      </c>
      <c r="AM3662" t="s">
        <v>43</v>
      </c>
      <c r="AN3662" t="s">
        <v>43</v>
      </c>
    </row>
    <row r="3663" spans="1:40" x14ac:dyDescent="0.3">
      <c r="A3663" s="1">
        <v>46210.575694444444</v>
      </c>
      <c r="B3663" t="s">
        <v>40</v>
      </c>
      <c r="C3663" t="s">
        <v>41</v>
      </c>
      <c r="D3663" s="1">
        <v>46210.578449074077</v>
      </c>
      <c r="E3663" t="s">
        <v>42</v>
      </c>
      <c r="F3663" t="s">
        <v>83</v>
      </c>
      <c r="G3663">
        <v>6</v>
      </c>
      <c r="H3663">
        <v>33107</v>
      </c>
      <c r="I3663" t="s">
        <v>2187</v>
      </c>
      <c r="J3663">
        <v>47</v>
      </c>
      <c r="K3663">
        <v>5</v>
      </c>
      <c r="L3663">
        <v>98</v>
      </c>
      <c r="M3663">
        <v>630.20001220999995</v>
      </c>
      <c r="N3663" t="s">
        <v>87</v>
      </c>
      <c r="O3663" t="s">
        <v>86</v>
      </c>
      <c r="P3663">
        <v>127</v>
      </c>
      <c r="Q3663">
        <v>2</v>
      </c>
      <c r="R3663">
        <v>-1</v>
      </c>
      <c r="S3663">
        <v>1306</v>
      </c>
      <c r="T3663">
        <v>-40</v>
      </c>
      <c r="U3663">
        <v>45</v>
      </c>
      <c r="V3663">
        <v>-5</v>
      </c>
      <c r="W3663">
        <v>30</v>
      </c>
      <c r="X3663">
        <v>30</v>
      </c>
      <c r="Y3663">
        <v>5</v>
      </c>
      <c r="Z3663">
        <v>3</v>
      </c>
      <c r="AA3663">
        <v>25</v>
      </c>
      <c r="AB3663">
        <v>2</v>
      </c>
      <c r="AC3663">
        <v>5</v>
      </c>
      <c r="AD3663">
        <v>3.28600001</v>
      </c>
      <c r="AE3663">
        <v>1</v>
      </c>
      <c r="AF3663">
        <v>1</v>
      </c>
      <c r="AG3663">
        <v>3.28299999</v>
      </c>
      <c r="AH3663">
        <v>2</v>
      </c>
      <c r="AI3663">
        <v>26</v>
      </c>
      <c r="AJ3663">
        <v>1</v>
      </c>
      <c r="AK3663">
        <v>28</v>
      </c>
      <c r="AL3663">
        <v>39</v>
      </c>
      <c r="AM3663" t="s">
        <v>43</v>
      </c>
      <c r="AN3663" t="str">
        <f>HYPERLINK("https://www.google.com/maps?q=10.76319599,79.69302368","Open Location")</f>
        <v>Open Location</v>
      </c>
    </row>
    <row r="3664" spans="1:40" x14ac:dyDescent="0.3">
      <c r="A3664" s="1">
        <v>46210.575578703705</v>
      </c>
      <c r="B3664" t="s">
        <v>40</v>
      </c>
      <c r="C3664" t="s">
        <v>41</v>
      </c>
      <c r="D3664" s="1">
        <v>46210.578530092593</v>
      </c>
      <c r="E3664" t="s">
        <v>43</v>
      </c>
      <c r="F3664" t="s">
        <v>83</v>
      </c>
      <c r="G3664">
        <v>7</v>
      </c>
      <c r="H3664">
        <v>33107</v>
      </c>
      <c r="I3664" t="s">
        <v>2188</v>
      </c>
      <c r="J3664">
        <v>47</v>
      </c>
      <c r="K3664">
        <v>-22</v>
      </c>
      <c r="L3664">
        <v>98</v>
      </c>
      <c r="M3664">
        <v>630.79998779000005</v>
      </c>
      <c r="N3664" t="s">
        <v>87</v>
      </c>
      <c r="O3664" t="s">
        <v>86</v>
      </c>
      <c r="P3664">
        <v>128</v>
      </c>
      <c r="Q3664">
        <v>2</v>
      </c>
      <c r="R3664">
        <v>0</v>
      </c>
      <c r="S3664">
        <v>689</v>
      </c>
      <c r="T3664">
        <v>-40</v>
      </c>
      <c r="U3664">
        <v>46</v>
      </c>
      <c r="V3664">
        <v>-252</v>
      </c>
      <c r="W3664">
        <v>30</v>
      </c>
      <c r="X3664">
        <v>30</v>
      </c>
      <c r="Y3664">
        <v>5</v>
      </c>
      <c r="Z3664">
        <v>3</v>
      </c>
      <c r="AA3664">
        <v>25</v>
      </c>
      <c r="AB3664">
        <v>2</v>
      </c>
      <c r="AC3664">
        <v>5</v>
      </c>
      <c r="AD3664">
        <v>3.2869999399999998</v>
      </c>
      <c r="AE3664">
        <v>1</v>
      </c>
      <c r="AF3664">
        <v>1</v>
      </c>
      <c r="AG3664">
        <v>3.2839999199999999</v>
      </c>
      <c r="AH3664">
        <v>2</v>
      </c>
      <c r="AI3664">
        <v>26</v>
      </c>
      <c r="AJ3664">
        <v>1</v>
      </c>
      <c r="AK3664">
        <v>30</v>
      </c>
      <c r="AL3664">
        <v>39</v>
      </c>
      <c r="AM3664" t="s">
        <v>43</v>
      </c>
      <c r="AN3664" t="str">
        <f>HYPERLINK("https://www.google.com/maps?q=10.76305866,79.69315338","Open Location")</f>
        <v>Open Location</v>
      </c>
    </row>
    <row r="3665" spans="1:40" x14ac:dyDescent="0.3">
      <c r="A3665" s="1">
        <v>46210.575462962966</v>
      </c>
      <c r="B3665" t="s">
        <v>40</v>
      </c>
      <c r="C3665" t="s">
        <v>41</v>
      </c>
      <c r="D3665" s="1">
        <v>46210.578645833331</v>
      </c>
      <c r="E3665" t="s">
        <v>42</v>
      </c>
      <c r="F3665" t="s">
        <v>83</v>
      </c>
      <c r="G3665">
        <v>11</v>
      </c>
      <c r="H3665">
        <v>33107</v>
      </c>
      <c r="I3665" t="s">
        <v>2189</v>
      </c>
      <c r="J3665">
        <v>47</v>
      </c>
      <c r="K3665">
        <v>51</v>
      </c>
      <c r="L3665">
        <v>98</v>
      </c>
      <c r="M3665">
        <v>628.90002441000001</v>
      </c>
      <c r="N3665" t="s">
        <v>87</v>
      </c>
      <c r="O3665" t="s">
        <v>86</v>
      </c>
      <c r="P3665">
        <v>128</v>
      </c>
      <c r="Q3665">
        <v>3</v>
      </c>
      <c r="R3665">
        <v>-3</v>
      </c>
      <c r="S3665">
        <v>1461</v>
      </c>
      <c r="T3665">
        <v>-40</v>
      </c>
      <c r="U3665">
        <v>46</v>
      </c>
      <c r="V3665">
        <v>160</v>
      </c>
      <c r="W3665">
        <v>30</v>
      </c>
      <c r="X3665">
        <v>30</v>
      </c>
      <c r="Y3665">
        <v>5</v>
      </c>
      <c r="Z3665">
        <v>3</v>
      </c>
      <c r="AA3665">
        <v>25</v>
      </c>
      <c r="AB3665">
        <v>2</v>
      </c>
      <c r="AC3665">
        <v>5</v>
      </c>
      <c r="AD3665">
        <v>3.28800011</v>
      </c>
      <c r="AE3665">
        <v>1</v>
      </c>
      <c r="AF3665">
        <v>1</v>
      </c>
      <c r="AG3665">
        <v>3.28500009</v>
      </c>
      <c r="AH3665">
        <v>7</v>
      </c>
      <c r="AI3665">
        <v>27</v>
      </c>
      <c r="AJ3665">
        <v>1</v>
      </c>
      <c r="AK3665">
        <v>28</v>
      </c>
      <c r="AL3665">
        <v>39</v>
      </c>
      <c r="AM3665" t="s">
        <v>43</v>
      </c>
      <c r="AN3665" t="str">
        <f>HYPERLINK("https://www.google.com/maps?q=10.76305771,79.69345093","Open Location")</f>
        <v>Open Location</v>
      </c>
    </row>
    <row r="3666" spans="1:40" x14ac:dyDescent="0.3">
      <c r="A3666" s="1">
        <v>46210.57534722222</v>
      </c>
      <c r="B3666" t="s">
        <v>40</v>
      </c>
      <c r="C3666" t="s">
        <v>41</v>
      </c>
      <c r="D3666" s="1">
        <v>46210.578645833331</v>
      </c>
      <c r="E3666" t="s">
        <v>42</v>
      </c>
      <c r="F3666" t="s">
        <v>83</v>
      </c>
      <c r="G3666">
        <v>10</v>
      </c>
      <c r="H3666">
        <v>33107</v>
      </c>
      <c r="I3666" t="s">
        <v>2190</v>
      </c>
      <c r="J3666">
        <v>47</v>
      </c>
      <c r="K3666">
        <v>54</v>
      </c>
      <c r="L3666">
        <v>98</v>
      </c>
      <c r="M3666">
        <v>628</v>
      </c>
      <c r="N3666" t="s">
        <v>87</v>
      </c>
      <c r="O3666" t="s">
        <v>86</v>
      </c>
      <c r="P3666">
        <v>128</v>
      </c>
      <c r="Q3666">
        <v>3</v>
      </c>
      <c r="R3666">
        <v>30</v>
      </c>
      <c r="S3666">
        <v>1273</v>
      </c>
      <c r="T3666">
        <v>-40</v>
      </c>
      <c r="U3666">
        <v>46</v>
      </c>
      <c r="V3666">
        <v>220</v>
      </c>
      <c r="W3666">
        <v>30</v>
      </c>
      <c r="X3666">
        <v>30</v>
      </c>
      <c r="Y3666">
        <v>5</v>
      </c>
      <c r="Z3666">
        <v>3</v>
      </c>
      <c r="AA3666">
        <v>25</v>
      </c>
      <c r="AB3666">
        <v>2</v>
      </c>
      <c r="AC3666">
        <v>5</v>
      </c>
      <c r="AD3666">
        <v>3.2820000600000001</v>
      </c>
      <c r="AE3666">
        <v>1</v>
      </c>
      <c r="AF3666">
        <v>1</v>
      </c>
      <c r="AG3666">
        <v>3.2780001200000002</v>
      </c>
      <c r="AH3666">
        <v>2</v>
      </c>
      <c r="AI3666">
        <v>26</v>
      </c>
      <c r="AJ3666">
        <v>1</v>
      </c>
      <c r="AK3666">
        <v>29</v>
      </c>
      <c r="AL3666">
        <v>39</v>
      </c>
      <c r="AM3666" t="s">
        <v>43</v>
      </c>
      <c r="AN3666" t="str">
        <f>HYPERLINK("https://www.google.com/maps?q=10.76305008,79.69377136","Open Location")</f>
        <v>Open Location</v>
      </c>
    </row>
    <row r="3667" spans="1:40" x14ac:dyDescent="0.3">
      <c r="A3667" s="1">
        <v>46210.575231481482</v>
      </c>
      <c r="B3667" t="s">
        <v>40</v>
      </c>
      <c r="C3667" t="s">
        <v>41</v>
      </c>
      <c r="D3667" s="1">
        <v>46210.578194444446</v>
      </c>
      <c r="E3667" t="s">
        <v>42</v>
      </c>
      <c r="F3667" t="s">
        <v>83</v>
      </c>
      <c r="G3667">
        <v>6</v>
      </c>
      <c r="H3667">
        <v>33107</v>
      </c>
      <c r="I3667" t="s">
        <v>43</v>
      </c>
      <c r="J3667">
        <v>47</v>
      </c>
      <c r="K3667">
        <v>8</v>
      </c>
      <c r="L3667">
        <v>98</v>
      </c>
      <c r="M3667">
        <v>630.40002441000001</v>
      </c>
      <c r="N3667" t="s">
        <v>87</v>
      </c>
      <c r="O3667" t="s">
        <v>86</v>
      </c>
      <c r="P3667">
        <v>127</v>
      </c>
      <c r="Q3667">
        <v>2</v>
      </c>
      <c r="R3667">
        <v>10</v>
      </c>
      <c r="S3667">
        <v>1348</v>
      </c>
      <c r="T3667">
        <v>-40</v>
      </c>
      <c r="U3667">
        <v>44</v>
      </c>
      <c r="V3667">
        <v>5</v>
      </c>
      <c r="W3667">
        <v>30</v>
      </c>
      <c r="X3667">
        <v>30</v>
      </c>
      <c r="Y3667">
        <v>5</v>
      </c>
      <c r="Z3667">
        <v>3</v>
      </c>
      <c r="AA3667">
        <v>25</v>
      </c>
      <c r="AB3667">
        <v>2</v>
      </c>
      <c r="AC3667">
        <v>5</v>
      </c>
      <c r="AD3667">
        <v>3.2809998999999999</v>
      </c>
      <c r="AE3667">
        <v>1</v>
      </c>
      <c r="AF3667">
        <v>1</v>
      </c>
      <c r="AG3667">
        <v>3.2760000200000001</v>
      </c>
      <c r="AH3667">
        <v>6</v>
      </c>
      <c r="AI3667">
        <v>24</v>
      </c>
      <c r="AJ3667">
        <v>1</v>
      </c>
      <c r="AK3667">
        <v>31</v>
      </c>
      <c r="AL3667">
        <v>39</v>
      </c>
      <c r="AM3667" t="s">
        <v>43</v>
      </c>
      <c r="AN3667" t="s">
        <v>43</v>
      </c>
    </row>
    <row r="3668" spans="1:40" x14ac:dyDescent="0.3">
      <c r="A3668" s="1">
        <v>46210.575115740743</v>
      </c>
      <c r="B3668" t="s">
        <v>40</v>
      </c>
      <c r="C3668" t="s">
        <v>41</v>
      </c>
      <c r="D3668" s="1">
        <v>46210.578020833331</v>
      </c>
      <c r="E3668" t="s">
        <v>43</v>
      </c>
      <c r="F3668" t="s">
        <v>83</v>
      </c>
      <c r="G3668">
        <v>8</v>
      </c>
      <c r="H3668">
        <v>33107</v>
      </c>
      <c r="I3668" t="s">
        <v>43</v>
      </c>
      <c r="J3668">
        <v>47</v>
      </c>
      <c r="K3668">
        <v>21</v>
      </c>
      <c r="L3668">
        <v>98</v>
      </c>
      <c r="M3668">
        <v>629.79998779000005</v>
      </c>
      <c r="N3668" t="s">
        <v>87</v>
      </c>
      <c r="O3668" t="s">
        <v>86</v>
      </c>
      <c r="P3668">
        <v>127</v>
      </c>
      <c r="Q3668">
        <v>2</v>
      </c>
      <c r="R3668">
        <v>0</v>
      </c>
      <c r="S3668">
        <v>1554</v>
      </c>
      <c r="T3668">
        <v>-40</v>
      </c>
      <c r="U3668">
        <v>43</v>
      </c>
      <c r="V3668">
        <v>5</v>
      </c>
      <c r="W3668">
        <v>30</v>
      </c>
      <c r="X3668">
        <v>30</v>
      </c>
      <c r="Y3668">
        <v>5</v>
      </c>
      <c r="Z3668">
        <v>3</v>
      </c>
      <c r="AA3668">
        <v>25</v>
      </c>
      <c r="AB3668">
        <v>2</v>
      </c>
      <c r="AC3668">
        <v>5</v>
      </c>
      <c r="AD3668">
        <v>3.2869999399999998</v>
      </c>
      <c r="AE3668">
        <v>1</v>
      </c>
      <c r="AF3668">
        <v>16</v>
      </c>
      <c r="AG3668">
        <v>3.28299999</v>
      </c>
      <c r="AH3668">
        <v>4</v>
      </c>
      <c r="AI3668">
        <v>17</v>
      </c>
      <c r="AJ3668">
        <v>2</v>
      </c>
      <c r="AK3668">
        <v>33</v>
      </c>
      <c r="AL3668">
        <v>38</v>
      </c>
      <c r="AM3668" t="s">
        <v>43</v>
      </c>
      <c r="AN3668" t="s">
        <v>43</v>
      </c>
    </row>
    <row r="3669" spans="1:40" x14ac:dyDescent="0.3">
      <c r="A3669" s="1">
        <v>46210.574999999997</v>
      </c>
      <c r="B3669" t="s">
        <v>40</v>
      </c>
      <c r="C3669" t="s">
        <v>41</v>
      </c>
      <c r="D3669" s="1">
        <v>46210.577824074076</v>
      </c>
      <c r="E3669" t="s">
        <v>42</v>
      </c>
      <c r="F3669" t="s">
        <v>83</v>
      </c>
      <c r="G3669">
        <v>5</v>
      </c>
      <c r="H3669">
        <v>33107</v>
      </c>
      <c r="I3669" t="s">
        <v>2191</v>
      </c>
      <c r="J3669">
        <v>47</v>
      </c>
      <c r="K3669">
        <v>39</v>
      </c>
      <c r="L3669">
        <v>98</v>
      </c>
      <c r="M3669">
        <v>629.70001220999995</v>
      </c>
      <c r="N3669" t="s">
        <v>87</v>
      </c>
      <c r="O3669" t="s">
        <v>86</v>
      </c>
      <c r="P3669">
        <v>127</v>
      </c>
      <c r="Q3669">
        <v>2</v>
      </c>
      <c r="R3669">
        <v>12</v>
      </c>
      <c r="S3669">
        <v>1151</v>
      </c>
      <c r="T3669">
        <v>-40</v>
      </c>
      <c r="U3669">
        <v>44</v>
      </c>
      <c r="V3669">
        <v>120</v>
      </c>
      <c r="W3669">
        <v>30</v>
      </c>
      <c r="X3669">
        <v>30</v>
      </c>
      <c r="Y3669">
        <v>5</v>
      </c>
      <c r="Z3669">
        <v>3</v>
      </c>
      <c r="AA3669">
        <v>25</v>
      </c>
      <c r="AB3669">
        <v>2</v>
      </c>
      <c r="AC3669">
        <v>5</v>
      </c>
      <c r="AD3669">
        <v>3.2839999199999999</v>
      </c>
      <c r="AE3669">
        <v>1</v>
      </c>
      <c r="AF3669">
        <v>1</v>
      </c>
      <c r="AG3669">
        <v>3.27999997</v>
      </c>
      <c r="AH3669">
        <v>2</v>
      </c>
      <c r="AI3669">
        <v>26</v>
      </c>
      <c r="AJ3669">
        <v>1</v>
      </c>
      <c r="AK3669">
        <v>30</v>
      </c>
      <c r="AL3669">
        <v>38</v>
      </c>
      <c r="AM3669" t="s">
        <v>43</v>
      </c>
      <c r="AN3669" t="str">
        <f>HYPERLINK("https://www.google.com/maps?q=10.76305199,79.69424438","Open Location")</f>
        <v>Open Location</v>
      </c>
    </row>
    <row r="3670" spans="1:40" x14ac:dyDescent="0.3">
      <c r="A3670" s="1">
        <v>46210.574884259258</v>
      </c>
      <c r="B3670" t="s">
        <v>40</v>
      </c>
      <c r="C3670" t="s">
        <v>41</v>
      </c>
      <c r="D3670" s="1">
        <v>46210.577534722222</v>
      </c>
      <c r="E3670" t="s">
        <v>43</v>
      </c>
      <c r="F3670" t="s">
        <v>83</v>
      </c>
      <c r="G3670">
        <v>0</v>
      </c>
      <c r="H3670">
        <v>33107</v>
      </c>
      <c r="I3670" t="s">
        <v>2192</v>
      </c>
      <c r="J3670">
        <v>47</v>
      </c>
      <c r="K3670">
        <v>10</v>
      </c>
      <c r="L3670">
        <v>98</v>
      </c>
      <c r="M3670">
        <v>629.90002441000001</v>
      </c>
      <c r="N3670" t="s">
        <v>85</v>
      </c>
      <c r="O3670" t="s">
        <v>86</v>
      </c>
      <c r="P3670">
        <v>127</v>
      </c>
      <c r="Q3670">
        <v>2</v>
      </c>
      <c r="R3670">
        <v>0</v>
      </c>
      <c r="S3670">
        <v>0</v>
      </c>
      <c r="T3670">
        <v>-40</v>
      </c>
      <c r="U3670">
        <v>42</v>
      </c>
      <c r="V3670">
        <v>5</v>
      </c>
      <c r="W3670">
        <v>30</v>
      </c>
      <c r="X3670">
        <v>30</v>
      </c>
      <c r="Y3670">
        <v>5</v>
      </c>
      <c r="Z3670">
        <v>3</v>
      </c>
      <c r="AA3670">
        <v>25</v>
      </c>
      <c r="AB3670">
        <v>2</v>
      </c>
      <c r="AC3670">
        <v>5</v>
      </c>
      <c r="AD3670">
        <v>3.2869999399999998</v>
      </c>
      <c r="AE3670">
        <v>1</v>
      </c>
      <c r="AF3670">
        <v>1</v>
      </c>
      <c r="AG3670">
        <v>3.2839999199999999</v>
      </c>
      <c r="AH3670">
        <v>2</v>
      </c>
      <c r="AI3670">
        <v>38</v>
      </c>
      <c r="AJ3670">
        <v>2</v>
      </c>
      <c r="AK3670">
        <v>38</v>
      </c>
      <c r="AL3670">
        <v>38</v>
      </c>
      <c r="AM3670" t="s">
        <v>43</v>
      </c>
      <c r="AN3670" t="str">
        <f>HYPERLINK("https://www.google.com/maps?q=10.76305008,79.69435883","Open Location")</f>
        <v>Open Location</v>
      </c>
    </row>
    <row r="3671" spans="1:40" x14ac:dyDescent="0.3">
      <c r="A3671" s="1">
        <v>46210.57476851852</v>
      </c>
      <c r="B3671" t="s">
        <v>40</v>
      </c>
      <c r="C3671" t="s">
        <v>41</v>
      </c>
      <c r="D3671" s="1">
        <v>46210.577824074076</v>
      </c>
      <c r="E3671" t="s">
        <v>42</v>
      </c>
      <c r="F3671" t="s">
        <v>83</v>
      </c>
      <c r="G3671">
        <v>0</v>
      </c>
      <c r="H3671" t="s">
        <v>43</v>
      </c>
      <c r="I3671" t="s">
        <v>2193</v>
      </c>
      <c r="J3671">
        <v>47</v>
      </c>
      <c r="K3671">
        <v>4</v>
      </c>
      <c r="L3671">
        <v>98</v>
      </c>
      <c r="M3671">
        <v>630.79998779000005</v>
      </c>
      <c r="N3671" t="s">
        <v>81</v>
      </c>
      <c r="O3671" t="s">
        <v>82</v>
      </c>
      <c r="P3671">
        <v>125</v>
      </c>
      <c r="Q3671" t="s">
        <v>82</v>
      </c>
      <c r="R3671">
        <v>0</v>
      </c>
      <c r="S3671">
        <v>0</v>
      </c>
      <c r="T3671">
        <v>-40</v>
      </c>
      <c r="U3671">
        <v>41</v>
      </c>
      <c r="V3671">
        <v>0</v>
      </c>
      <c r="W3671">
        <v>30</v>
      </c>
      <c r="X3671">
        <v>30</v>
      </c>
      <c r="Y3671">
        <v>5</v>
      </c>
      <c r="Z3671">
        <v>3</v>
      </c>
      <c r="AA3671">
        <v>25</v>
      </c>
      <c r="AB3671">
        <v>2</v>
      </c>
      <c r="AC3671">
        <v>5</v>
      </c>
      <c r="AD3671">
        <v>3.28900003</v>
      </c>
      <c r="AE3671">
        <v>1</v>
      </c>
      <c r="AF3671">
        <v>1</v>
      </c>
      <c r="AG3671">
        <v>3.28500009</v>
      </c>
      <c r="AH3671">
        <v>5</v>
      </c>
      <c r="AI3671">
        <v>10</v>
      </c>
      <c r="AJ3671">
        <v>3</v>
      </c>
      <c r="AK3671">
        <v>57</v>
      </c>
      <c r="AL3671">
        <v>38</v>
      </c>
      <c r="AM3671" t="s">
        <v>43</v>
      </c>
      <c r="AN3671" t="str">
        <f>HYPERLINK("https://www.google.com/maps?q=10.76305008,79.69436646","Open Location")</f>
        <v>Open Location</v>
      </c>
    </row>
    <row r="3672" spans="1:40" x14ac:dyDescent="0.3">
      <c r="A3672" s="1">
        <v>46210.574652777781</v>
      </c>
      <c r="B3672" t="s">
        <v>40</v>
      </c>
      <c r="C3672" t="s">
        <v>41</v>
      </c>
      <c r="D3672" s="1">
        <v>46210.577824074076</v>
      </c>
      <c r="E3672" t="s">
        <v>42</v>
      </c>
      <c r="F3672" t="s">
        <v>83</v>
      </c>
      <c r="G3672">
        <v>0</v>
      </c>
      <c r="H3672">
        <v>33107</v>
      </c>
      <c r="I3672" t="s">
        <v>2194</v>
      </c>
      <c r="J3672">
        <v>0</v>
      </c>
      <c r="K3672">
        <v>-3200</v>
      </c>
      <c r="L3672">
        <v>0</v>
      </c>
      <c r="M3672">
        <v>0</v>
      </c>
      <c r="N3672" t="s">
        <v>81</v>
      </c>
      <c r="O3672" t="s">
        <v>82</v>
      </c>
      <c r="P3672">
        <v>125</v>
      </c>
      <c r="Q3672" t="s">
        <v>43</v>
      </c>
      <c r="R3672">
        <v>0</v>
      </c>
      <c r="S3672">
        <v>0</v>
      </c>
      <c r="T3672">
        <v>-40</v>
      </c>
      <c r="U3672">
        <v>41</v>
      </c>
      <c r="V3672">
        <v>0</v>
      </c>
      <c r="W3672">
        <v>30</v>
      </c>
      <c r="X3672">
        <v>30</v>
      </c>
      <c r="Y3672">
        <v>5</v>
      </c>
      <c r="Z3672">
        <v>3</v>
      </c>
      <c r="AA3672">
        <v>25</v>
      </c>
      <c r="AB3672">
        <v>2</v>
      </c>
      <c r="AC3672">
        <v>5</v>
      </c>
      <c r="AD3672">
        <v>3.2909998900000001</v>
      </c>
      <c r="AE3672">
        <v>1</v>
      </c>
      <c r="AF3672">
        <v>1</v>
      </c>
      <c r="AG3672">
        <v>3.28900003</v>
      </c>
      <c r="AH3672">
        <v>2</v>
      </c>
      <c r="AI3672">
        <v>3</v>
      </c>
      <c r="AJ3672">
        <v>0</v>
      </c>
      <c r="AK3672">
        <v>0</v>
      </c>
      <c r="AL3672">
        <v>38</v>
      </c>
      <c r="AM3672" t="s">
        <v>43</v>
      </c>
      <c r="AN3672" t="str">
        <f>HYPERLINK("https://www.google.com/maps?q=10.76304913,79.69437408","Open Location")</f>
        <v>Open Location</v>
      </c>
    </row>
    <row r="3673" spans="1:40" x14ac:dyDescent="0.3">
      <c r="A3673" s="1">
        <v>46210.574537037035</v>
      </c>
      <c r="B3673" t="s">
        <v>40</v>
      </c>
      <c r="C3673" t="s">
        <v>41</v>
      </c>
      <c r="D3673" s="1">
        <v>46210.577430555553</v>
      </c>
      <c r="E3673" t="s">
        <v>42</v>
      </c>
      <c r="F3673" t="s">
        <v>43</v>
      </c>
      <c r="G3673" t="s">
        <v>43</v>
      </c>
      <c r="H3673" t="s">
        <v>43</v>
      </c>
      <c r="I3673" t="s">
        <v>43</v>
      </c>
      <c r="J3673" t="s">
        <v>43</v>
      </c>
      <c r="K3673" t="s">
        <v>43</v>
      </c>
      <c r="L3673" t="s">
        <v>43</v>
      </c>
      <c r="M3673" t="s">
        <v>43</v>
      </c>
      <c r="N3673" t="s">
        <v>45</v>
      </c>
      <c r="O3673" t="s">
        <v>43</v>
      </c>
      <c r="P3673" t="s">
        <v>43</v>
      </c>
      <c r="Q3673" t="s">
        <v>43</v>
      </c>
      <c r="R3673" t="s">
        <v>43</v>
      </c>
      <c r="S3673" t="s">
        <v>43</v>
      </c>
      <c r="T3673" t="s">
        <v>43</v>
      </c>
      <c r="U3673" t="s">
        <v>43</v>
      </c>
      <c r="V3673" t="s">
        <v>43</v>
      </c>
      <c r="W3673" t="s">
        <v>43</v>
      </c>
      <c r="X3673" t="s">
        <v>43</v>
      </c>
      <c r="Y3673" t="s">
        <v>43</v>
      </c>
      <c r="Z3673" t="s">
        <v>43</v>
      </c>
      <c r="AA3673" t="s">
        <v>43</v>
      </c>
      <c r="AB3673" t="s">
        <v>43</v>
      </c>
      <c r="AC3673" t="s">
        <v>43</v>
      </c>
      <c r="AD3673" t="s">
        <v>43</v>
      </c>
      <c r="AE3673" t="s">
        <v>43</v>
      </c>
      <c r="AF3673" t="s">
        <v>43</v>
      </c>
      <c r="AG3673" t="s">
        <v>43</v>
      </c>
      <c r="AH3673" t="s">
        <v>43</v>
      </c>
      <c r="AI3673" t="s">
        <v>43</v>
      </c>
      <c r="AJ3673" t="s">
        <v>43</v>
      </c>
      <c r="AK3673" t="s">
        <v>43</v>
      </c>
      <c r="AL3673" t="s">
        <v>43</v>
      </c>
      <c r="AM3673" t="s">
        <v>43</v>
      </c>
      <c r="AN3673" t="s">
        <v>43</v>
      </c>
    </row>
    <row r="3674" spans="1:40" x14ac:dyDescent="0.3">
      <c r="A3674" s="1">
        <v>46210.574421296296</v>
      </c>
      <c r="B3674" t="s">
        <v>40</v>
      </c>
      <c r="C3674" t="s">
        <v>41</v>
      </c>
      <c r="D3674" s="1">
        <v>46210.577534722222</v>
      </c>
      <c r="E3674" t="s">
        <v>42</v>
      </c>
      <c r="F3674" t="s">
        <v>43</v>
      </c>
      <c r="G3674" t="s">
        <v>43</v>
      </c>
      <c r="H3674" t="s">
        <v>43</v>
      </c>
      <c r="I3674" t="s">
        <v>2195</v>
      </c>
      <c r="J3674" t="s">
        <v>43</v>
      </c>
      <c r="K3674" t="s">
        <v>43</v>
      </c>
      <c r="L3674" t="s">
        <v>43</v>
      </c>
      <c r="M3674" t="s">
        <v>43</v>
      </c>
      <c r="N3674" t="s">
        <v>45</v>
      </c>
      <c r="O3674" t="s">
        <v>43</v>
      </c>
      <c r="P3674" t="s">
        <v>43</v>
      </c>
      <c r="Q3674" t="s">
        <v>43</v>
      </c>
      <c r="R3674" t="s">
        <v>43</v>
      </c>
      <c r="S3674" t="s">
        <v>43</v>
      </c>
      <c r="T3674" t="s">
        <v>43</v>
      </c>
      <c r="U3674" t="s">
        <v>43</v>
      </c>
      <c r="V3674" t="s">
        <v>43</v>
      </c>
      <c r="W3674" t="s">
        <v>43</v>
      </c>
      <c r="X3674" t="s">
        <v>43</v>
      </c>
      <c r="Y3674" t="s">
        <v>43</v>
      </c>
      <c r="Z3674" t="s">
        <v>43</v>
      </c>
      <c r="AA3674" t="s">
        <v>43</v>
      </c>
      <c r="AB3674" t="s">
        <v>43</v>
      </c>
      <c r="AC3674" t="s">
        <v>43</v>
      </c>
      <c r="AD3674" t="s">
        <v>43</v>
      </c>
      <c r="AE3674" t="s">
        <v>43</v>
      </c>
      <c r="AF3674" t="s">
        <v>43</v>
      </c>
      <c r="AG3674" t="s">
        <v>43</v>
      </c>
      <c r="AH3674" t="s">
        <v>43</v>
      </c>
      <c r="AI3674" t="s">
        <v>43</v>
      </c>
      <c r="AJ3674" t="s">
        <v>43</v>
      </c>
      <c r="AK3674" t="s">
        <v>43</v>
      </c>
      <c r="AL3674" t="s">
        <v>43</v>
      </c>
      <c r="AM3674" t="s">
        <v>43</v>
      </c>
      <c r="AN3674" t="str">
        <f>HYPERLINK("https://www.google.com/maps?q=10.76305294,79.69438171","Open Location")</f>
        <v>Open Location</v>
      </c>
    </row>
    <row r="3675" spans="1:40" x14ac:dyDescent="0.3">
      <c r="A3675" s="1">
        <v>46210.574305555558</v>
      </c>
      <c r="B3675" t="s">
        <v>40</v>
      </c>
      <c r="C3675" t="s">
        <v>41</v>
      </c>
      <c r="D3675" s="1">
        <v>46210.577048611114</v>
      </c>
      <c r="E3675" t="s">
        <v>42</v>
      </c>
      <c r="F3675" t="s">
        <v>43</v>
      </c>
      <c r="G3675" t="s">
        <v>43</v>
      </c>
      <c r="H3675" t="s">
        <v>43</v>
      </c>
      <c r="I3675" t="s">
        <v>2196</v>
      </c>
      <c r="J3675" t="s">
        <v>43</v>
      </c>
      <c r="K3675" t="s">
        <v>43</v>
      </c>
      <c r="L3675" t="s">
        <v>43</v>
      </c>
      <c r="M3675" t="s">
        <v>43</v>
      </c>
      <c r="N3675" t="s">
        <v>45</v>
      </c>
      <c r="O3675" t="s">
        <v>43</v>
      </c>
      <c r="P3675" t="s">
        <v>43</v>
      </c>
      <c r="Q3675" t="s">
        <v>43</v>
      </c>
      <c r="R3675" t="s">
        <v>43</v>
      </c>
      <c r="S3675" t="s">
        <v>43</v>
      </c>
      <c r="T3675" t="s">
        <v>43</v>
      </c>
      <c r="U3675" t="s">
        <v>43</v>
      </c>
      <c r="V3675" t="s">
        <v>43</v>
      </c>
      <c r="W3675" t="s">
        <v>43</v>
      </c>
      <c r="X3675" t="s">
        <v>43</v>
      </c>
      <c r="Y3675" t="s">
        <v>43</v>
      </c>
      <c r="Z3675" t="s">
        <v>43</v>
      </c>
      <c r="AA3675" t="s">
        <v>43</v>
      </c>
      <c r="AB3675" t="s">
        <v>43</v>
      </c>
      <c r="AC3675" t="s">
        <v>43</v>
      </c>
      <c r="AD3675" t="s">
        <v>43</v>
      </c>
      <c r="AE3675" t="s">
        <v>43</v>
      </c>
      <c r="AF3675" t="s">
        <v>43</v>
      </c>
      <c r="AG3675" t="s">
        <v>43</v>
      </c>
      <c r="AH3675" t="s">
        <v>43</v>
      </c>
      <c r="AI3675" t="s">
        <v>43</v>
      </c>
      <c r="AJ3675" t="s">
        <v>43</v>
      </c>
      <c r="AK3675" t="s">
        <v>43</v>
      </c>
      <c r="AL3675" t="s">
        <v>43</v>
      </c>
      <c r="AM3675" t="s">
        <v>43</v>
      </c>
      <c r="AN3675" t="str">
        <f>HYPERLINK("https://www.google.com/maps?q=10.76305389,79.69437408","Open Location")</f>
        <v>Open Location</v>
      </c>
    </row>
    <row r="3676" spans="1:40" x14ac:dyDescent="0.3">
      <c r="A3676" s="1">
        <v>46210.574189814812</v>
      </c>
      <c r="B3676" t="s">
        <v>40</v>
      </c>
      <c r="C3676" t="s">
        <v>41</v>
      </c>
      <c r="D3676" s="1">
        <v>46210.577175925922</v>
      </c>
      <c r="E3676" t="s">
        <v>42</v>
      </c>
      <c r="F3676" t="s">
        <v>43</v>
      </c>
      <c r="G3676" t="s">
        <v>43</v>
      </c>
      <c r="H3676" t="s">
        <v>43</v>
      </c>
      <c r="I3676" t="s">
        <v>2195</v>
      </c>
      <c r="J3676" t="s">
        <v>43</v>
      </c>
      <c r="K3676" t="s">
        <v>43</v>
      </c>
      <c r="L3676" t="s">
        <v>43</v>
      </c>
      <c r="M3676" t="s">
        <v>43</v>
      </c>
      <c r="N3676" t="s">
        <v>45</v>
      </c>
      <c r="O3676" t="s">
        <v>43</v>
      </c>
      <c r="P3676" t="s">
        <v>43</v>
      </c>
      <c r="Q3676" t="s">
        <v>43</v>
      </c>
      <c r="R3676" t="s">
        <v>43</v>
      </c>
      <c r="S3676" t="s">
        <v>43</v>
      </c>
      <c r="T3676" t="s">
        <v>43</v>
      </c>
      <c r="U3676" t="s">
        <v>43</v>
      </c>
      <c r="V3676" t="s">
        <v>43</v>
      </c>
      <c r="W3676" t="s">
        <v>43</v>
      </c>
      <c r="X3676" t="s">
        <v>43</v>
      </c>
      <c r="Y3676" t="s">
        <v>43</v>
      </c>
      <c r="Z3676" t="s">
        <v>43</v>
      </c>
      <c r="AA3676" t="s">
        <v>43</v>
      </c>
      <c r="AB3676" t="s">
        <v>43</v>
      </c>
      <c r="AC3676" t="s">
        <v>43</v>
      </c>
      <c r="AD3676" t="s">
        <v>43</v>
      </c>
      <c r="AE3676" t="s">
        <v>43</v>
      </c>
      <c r="AF3676" t="s">
        <v>43</v>
      </c>
      <c r="AG3676" t="s">
        <v>43</v>
      </c>
      <c r="AH3676" t="s">
        <v>43</v>
      </c>
      <c r="AI3676" t="s">
        <v>43</v>
      </c>
      <c r="AJ3676" t="s">
        <v>43</v>
      </c>
      <c r="AK3676" t="s">
        <v>43</v>
      </c>
      <c r="AL3676" t="s">
        <v>43</v>
      </c>
      <c r="AM3676" t="s">
        <v>43</v>
      </c>
      <c r="AN3676" t="str">
        <f>HYPERLINK("https://www.google.com/maps?q=10.76305294,79.69438171","Open Location")</f>
        <v>Open Location</v>
      </c>
    </row>
    <row r="3677" spans="1:40" x14ac:dyDescent="0.3">
      <c r="A3677" s="1">
        <v>46210.574074074073</v>
      </c>
      <c r="B3677" t="s">
        <v>40</v>
      </c>
      <c r="C3677" t="s">
        <v>41</v>
      </c>
      <c r="D3677" s="1">
        <v>46210.576840277776</v>
      </c>
      <c r="E3677" t="s">
        <v>42</v>
      </c>
      <c r="F3677" t="s">
        <v>43</v>
      </c>
      <c r="G3677" t="s">
        <v>43</v>
      </c>
      <c r="H3677" t="s">
        <v>43</v>
      </c>
      <c r="I3677" t="s">
        <v>2197</v>
      </c>
      <c r="J3677" t="s">
        <v>43</v>
      </c>
      <c r="K3677" t="s">
        <v>43</v>
      </c>
      <c r="L3677" t="s">
        <v>43</v>
      </c>
      <c r="M3677" t="s">
        <v>43</v>
      </c>
      <c r="N3677" t="s">
        <v>45</v>
      </c>
      <c r="O3677" t="s">
        <v>43</v>
      </c>
      <c r="P3677" t="s">
        <v>43</v>
      </c>
      <c r="Q3677" t="s">
        <v>43</v>
      </c>
      <c r="R3677" t="s">
        <v>43</v>
      </c>
      <c r="S3677" t="s">
        <v>43</v>
      </c>
      <c r="T3677" t="s">
        <v>43</v>
      </c>
      <c r="U3677" t="s">
        <v>43</v>
      </c>
      <c r="V3677" t="s">
        <v>43</v>
      </c>
      <c r="W3677" t="s">
        <v>43</v>
      </c>
      <c r="X3677" t="s">
        <v>43</v>
      </c>
      <c r="Y3677" t="s">
        <v>43</v>
      </c>
      <c r="Z3677" t="s">
        <v>43</v>
      </c>
      <c r="AA3677" t="s">
        <v>43</v>
      </c>
      <c r="AB3677" t="s">
        <v>43</v>
      </c>
      <c r="AC3677" t="s">
        <v>43</v>
      </c>
      <c r="AD3677" t="s">
        <v>43</v>
      </c>
      <c r="AE3677" t="s">
        <v>43</v>
      </c>
      <c r="AF3677" t="s">
        <v>43</v>
      </c>
      <c r="AG3677" t="s">
        <v>43</v>
      </c>
      <c r="AH3677" t="s">
        <v>43</v>
      </c>
      <c r="AI3677" t="s">
        <v>43</v>
      </c>
      <c r="AJ3677" t="s">
        <v>43</v>
      </c>
      <c r="AK3677" t="s">
        <v>43</v>
      </c>
      <c r="AL3677" t="s">
        <v>43</v>
      </c>
      <c r="AM3677" t="s">
        <v>43</v>
      </c>
      <c r="AN3677" t="str">
        <f>HYPERLINK("https://www.google.com/maps?q=10.76304913,79.69438171","Open Location")</f>
        <v>Open Location</v>
      </c>
    </row>
    <row r="3678" spans="1:40" x14ac:dyDescent="0.3">
      <c r="A3678" s="1">
        <v>46210.573958333334</v>
      </c>
      <c r="B3678" t="s">
        <v>40</v>
      </c>
      <c r="C3678" t="s">
        <v>41</v>
      </c>
      <c r="D3678" s="1">
        <v>46210.576990740738</v>
      </c>
      <c r="E3678" t="s">
        <v>42</v>
      </c>
      <c r="F3678" t="s">
        <v>43</v>
      </c>
      <c r="G3678" t="s">
        <v>43</v>
      </c>
      <c r="H3678" t="s">
        <v>43</v>
      </c>
      <c r="I3678" t="s">
        <v>2197</v>
      </c>
      <c r="J3678" t="s">
        <v>43</v>
      </c>
      <c r="K3678" t="s">
        <v>43</v>
      </c>
      <c r="L3678" t="s">
        <v>43</v>
      </c>
      <c r="M3678" t="s">
        <v>43</v>
      </c>
      <c r="N3678" t="s">
        <v>45</v>
      </c>
      <c r="O3678" t="s">
        <v>43</v>
      </c>
      <c r="P3678" t="s">
        <v>43</v>
      </c>
      <c r="Q3678" t="s">
        <v>43</v>
      </c>
      <c r="R3678" t="s">
        <v>43</v>
      </c>
      <c r="S3678" t="s">
        <v>43</v>
      </c>
      <c r="T3678" t="s">
        <v>43</v>
      </c>
      <c r="U3678" t="s">
        <v>43</v>
      </c>
      <c r="V3678" t="s">
        <v>43</v>
      </c>
      <c r="W3678" t="s">
        <v>43</v>
      </c>
      <c r="X3678" t="s">
        <v>43</v>
      </c>
      <c r="Y3678" t="s">
        <v>43</v>
      </c>
      <c r="Z3678" t="s">
        <v>43</v>
      </c>
      <c r="AA3678" t="s">
        <v>43</v>
      </c>
      <c r="AB3678" t="s">
        <v>43</v>
      </c>
      <c r="AC3678" t="s">
        <v>43</v>
      </c>
      <c r="AD3678" t="s">
        <v>43</v>
      </c>
      <c r="AE3678" t="s">
        <v>43</v>
      </c>
      <c r="AF3678" t="s">
        <v>43</v>
      </c>
      <c r="AG3678" t="s">
        <v>43</v>
      </c>
      <c r="AH3678" t="s">
        <v>43</v>
      </c>
      <c r="AI3678" t="s">
        <v>43</v>
      </c>
      <c r="AJ3678" t="s">
        <v>43</v>
      </c>
      <c r="AK3678" t="s">
        <v>43</v>
      </c>
      <c r="AL3678" t="s">
        <v>43</v>
      </c>
      <c r="AM3678" t="s">
        <v>43</v>
      </c>
      <c r="AN3678" t="str">
        <f>HYPERLINK("https://www.google.com/maps?q=10.76304913,79.69438171","Open Location")</f>
        <v>Open Location</v>
      </c>
    </row>
    <row r="3679" spans="1:40" x14ac:dyDescent="0.3">
      <c r="A3679" s="1">
        <v>46210.573842592596</v>
      </c>
      <c r="B3679" t="s">
        <v>40</v>
      </c>
      <c r="C3679" t="s">
        <v>41</v>
      </c>
      <c r="D3679" s="1">
        <v>46210.576620370368</v>
      </c>
      <c r="E3679" t="s">
        <v>42</v>
      </c>
      <c r="F3679" t="s">
        <v>43</v>
      </c>
      <c r="G3679" t="s">
        <v>43</v>
      </c>
      <c r="H3679" t="s">
        <v>43</v>
      </c>
      <c r="I3679" t="s">
        <v>43</v>
      </c>
      <c r="J3679" t="s">
        <v>43</v>
      </c>
      <c r="K3679" t="s">
        <v>43</v>
      </c>
      <c r="L3679" t="s">
        <v>43</v>
      </c>
      <c r="M3679" t="s">
        <v>43</v>
      </c>
      <c r="N3679" t="s">
        <v>45</v>
      </c>
      <c r="O3679" t="s">
        <v>43</v>
      </c>
      <c r="P3679" t="s">
        <v>43</v>
      </c>
      <c r="Q3679" t="s">
        <v>43</v>
      </c>
      <c r="R3679" t="s">
        <v>43</v>
      </c>
      <c r="S3679" t="s">
        <v>43</v>
      </c>
      <c r="T3679" t="s">
        <v>43</v>
      </c>
      <c r="U3679" t="s">
        <v>43</v>
      </c>
      <c r="V3679" t="s">
        <v>43</v>
      </c>
      <c r="W3679" t="s">
        <v>43</v>
      </c>
      <c r="X3679" t="s">
        <v>43</v>
      </c>
      <c r="Y3679" t="s">
        <v>43</v>
      </c>
      <c r="Z3679" t="s">
        <v>43</v>
      </c>
      <c r="AA3679" t="s">
        <v>43</v>
      </c>
      <c r="AB3679" t="s">
        <v>43</v>
      </c>
      <c r="AC3679" t="s">
        <v>43</v>
      </c>
      <c r="AD3679" t="s">
        <v>43</v>
      </c>
      <c r="AE3679" t="s">
        <v>43</v>
      </c>
      <c r="AF3679" t="s">
        <v>43</v>
      </c>
      <c r="AG3679" t="s">
        <v>43</v>
      </c>
      <c r="AH3679" t="s">
        <v>43</v>
      </c>
      <c r="AI3679" t="s">
        <v>43</v>
      </c>
      <c r="AJ3679" t="s">
        <v>43</v>
      </c>
      <c r="AK3679" t="s">
        <v>43</v>
      </c>
      <c r="AL3679" t="s">
        <v>43</v>
      </c>
      <c r="AM3679" t="s">
        <v>43</v>
      </c>
      <c r="AN3679" t="s">
        <v>43</v>
      </c>
    </row>
    <row r="3680" spans="1:40" x14ac:dyDescent="0.3">
      <c r="A3680" s="1">
        <v>46210.57372685185</v>
      </c>
      <c r="B3680" t="s">
        <v>40</v>
      </c>
      <c r="C3680" t="s">
        <v>41</v>
      </c>
      <c r="D3680" s="1">
        <v>46210.576678240737</v>
      </c>
      <c r="E3680" t="s">
        <v>42</v>
      </c>
      <c r="F3680" t="s">
        <v>43</v>
      </c>
      <c r="G3680" t="s">
        <v>43</v>
      </c>
      <c r="H3680" t="s">
        <v>43</v>
      </c>
      <c r="I3680" t="s">
        <v>2195</v>
      </c>
      <c r="J3680" t="s">
        <v>43</v>
      </c>
      <c r="K3680" t="s">
        <v>43</v>
      </c>
      <c r="L3680" t="s">
        <v>43</v>
      </c>
      <c r="M3680" t="s">
        <v>43</v>
      </c>
      <c r="N3680" t="s">
        <v>45</v>
      </c>
      <c r="O3680" t="s">
        <v>43</v>
      </c>
      <c r="P3680" t="s">
        <v>43</v>
      </c>
      <c r="Q3680" t="s">
        <v>43</v>
      </c>
      <c r="R3680" t="s">
        <v>43</v>
      </c>
      <c r="S3680" t="s">
        <v>43</v>
      </c>
      <c r="T3680" t="s">
        <v>43</v>
      </c>
      <c r="U3680" t="s">
        <v>43</v>
      </c>
      <c r="V3680" t="s">
        <v>43</v>
      </c>
      <c r="W3680" t="s">
        <v>43</v>
      </c>
      <c r="X3680" t="s">
        <v>43</v>
      </c>
      <c r="Y3680" t="s">
        <v>43</v>
      </c>
      <c r="Z3680" t="s">
        <v>43</v>
      </c>
      <c r="AA3680" t="s">
        <v>43</v>
      </c>
      <c r="AB3680" t="s">
        <v>43</v>
      </c>
      <c r="AC3680" t="s">
        <v>43</v>
      </c>
      <c r="AD3680" t="s">
        <v>43</v>
      </c>
      <c r="AE3680" t="s">
        <v>43</v>
      </c>
      <c r="AF3680" t="s">
        <v>43</v>
      </c>
      <c r="AG3680" t="s">
        <v>43</v>
      </c>
      <c r="AH3680" t="s">
        <v>43</v>
      </c>
      <c r="AI3680" t="s">
        <v>43</v>
      </c>
      <c r="AJ3680" t="s">
        <v>43</v>
      </c>
      <c r="AK3680" t="s">
        <v>43</v>
      </c>
      <c r="AL3680" t="s">
        <v>43</v>
      </c>
      <c r="AM3680" t="s">
        <v>43</v>
      </c>
      <c r="AN3680" t="str">
        <f>HYPERLINK("https://www.google.com/maps?q=10.76305294,79.69438171","Open Location")</f>
        <v>Open Location</v>
      </c>
    </row>
    <row r="3681" spans="1:40" x14ac:dyDescent="0.3">
      <c r="A3681" s="1">
        <v>46210.573611111111</v>
      </c>
      <c r="B3681" t="s">
        <v>40</v>
      </c>
      <c r="C3681" t="s">
        <v>41</v>
      </c>
      <c r="D3681" s="1">
        <v>46210.576597222222</v>
      </c>
      <c r="E3681" t="s">
        <v>42</v>
      </c>
      <c r="F3681" t="s">
        <v>43</v>
      </c>
      <c r="G3681" t="s">
        <v>43</v>
      </c>
      <c r="H3681" t="s">
        <v>43</v>
      </c>
      <c r="I3681" t="s">
        <v>2195</v>
      </c>
      <c r="J3681" t="s">
        <v>43</v>
      </c>
      <c r="K3681" t="s">
        <v>43</v>
      </c>
      <c r="L3681" t="s">
        <v>43</v>
      </c>
      <c r="M3681" t="s">
        <v>43</v>
      </c>
      <c r="N3681" t="s">
        <v>45</v>
      </c>
      <c r="O3681" t="s">
        <v>43</v>
      </c>
      <c r="P3681" t="s">
        <v>43</v>
      </c>
      <c r="Q3681" t="s">
        <v>43</v>
      </c>
      <c r="R3681" t="s">
        <v>43</v>
      </c>
      <c r="S3681" t="s">
        <v>43</v>
      </c>
      <c r="T3681" t="s">
        <v>43</v>
      </c>
      <c r="U3681" t="s">
        <v>43</v>
      </c>
      <c r="V3681" t="s">
        <v>43</v>
      </c>
      <c r="W3681" t="s">
        <v>43</v>
      </c>
      <c r="X3681" t="s">
        <v>43</v>
      </c>
      <c r="Y3681" t="s">
        <v>43</v>
      </c>
      <c r="Z3681" t="s">
        <v>43</v>
      </c>
      <c r="AA3681" t="s">
        <v>43</v>
      </c>
      <c r="AB3681" t="s">
        <v>43</v>
      </c>
      <c r="AC3681" t="s">
        <v>43</v>
      </c>
      <c r="AD3681" t="s">
        <v>43</v>
      </c>
      <c r="AE3681" t="s">
        <v>43</v>
      </c>
      <c r="AF3681" t="s">
        <v>43</v>
      </c>
      <c r="AG3681" t="s">
        <v>43</v>
      </c>
      <c r="AH3681" t="s">
        <v>43</v>
      </c>
      <c r="AI3681" t="s">
        <v>43</v>
      </c>
      <c r="AJ3681" t="s">
        <v>43</v>
      </c>
      <c r="AK3681" t="s">
        <v>43</v>
      </c>
      <c r="AL3681" t="s">
        <v>43</v>
      </c>
      <c r="AM3681" t="s">
        <v>43</v>
      </c>
      <c r="AN3681" t="str">
        <f>HYPERLINK("https://www.google.com/maps?q=10.76305294,79.69438171","Open Location")</f>
        <v>Open Location</v>
      </c>
    </row>
    <row r="3682" spans="1:40" x14ac:dyDescent="0.3">
      <c r="A3682" s="1">
        <v>46210.573495370372</v>
      </c>
      <c r="B3682" t="s">
        <v>40</v>
      </c>
      <c r="C3682" t="s">
        <v>41</v>
      </c>
      <c r="D3682" s="1">
        <v>46210.576331018521</v>
      </c>
      <c r="E3682" t="s">
        <v>42</v>
      </c>
      <c r="F3682" t="s">
        <v>43</v>
      </c>
      <c r="G3682" t="s">
        <v>43</v>
      </c>
      <c r="H3682" t="s">
        <v>43</v>
      </c>
      <c r="I3682" t="s">
        <v>2198</v>
      </c>
      <c r="J3682" t="s">
        <v>43</v>
      </c>
      <c r="K3682" t="s">
        <v>43</v>
      </c>
      <c r="L3682" t="s">
        <v>43</v>
      </c>
      <c r="M3682" t="s">
        <v>43</v>
      </c>
      <c r="N3682" t="s">
        <v>45</v>
      </c>
      <c r="O3682" t="s">
        <v>43</v>
      </c>
      <c r="P3682" t="s">
        <v>43</v>
      </c>
      <c r="Q3682" t="s">
        <v>43</v>
      </c>
      <c r="R3682" t="s">
        <v>43</v>
      </c>
      <c r="S3682" t="s">
        <v>43</v>
      </c>
      <c r="T3682" t="s">
        <v>43</v>
      </c>
      <c r="U3682" t="s">
        <v>43</v>
      </c>
      <c r="V3682" t="s">
        <v>43</v>
      </c>
      <c r="W3682" t="s">
        <v>43</v>
      </c>
      <c r="X3682" t="s">
        <v>43</v>
      </c>
      <c r="Y3682" t="s">
        <v>43</v>
      </c>
      <c r="Z3682" t="s">
        <v>43</v>
      </c>
      <c r="AA3682" t="s">
        <v>43</v>
      </c>
      <c r="AB3682" t="s">
        <v>43</v>
      </c>
      <c r="AC3682" t="s">
        <v>43</v>
      </c>
      <c r="AD3682" t="s">
        <v>43</v>
      </c>
      <c r="AE3682" t="s">
        <v>43</v>
      </c>
      <c r="AF3682" t="s">
        <v>43</v>
      </c>
      <c r="AG3682" t="s">
        <v>43</v>
      </c>
      <c r="AH3682" t="s">
        <v>43</v>
      </c>
      <c r="AI3682" t="s">
        <v>43</v>
      </c>
      <c r="AJ3682" t="s">
        <v>43</v>
      </c>
      <c r="AK3682" t="s">
        <v>43</v>
      </c>
      <c r="AL3682" t="s">
        <v>43</v>
      </c>
      <c r="AM3682" t="s">
        <v>43</v>
      </c>
      <c r="AN3682" t="str">
        <f>HYPERLINK("https://www.google.com/maps?q=10.76305389,79.69438171","Open Location")</f>
        <v>Open Location</v>
      </c>
    </row>
    <row r="3683" spans="1:40" x14ac:dyDescent="0.3">
      <c r="A3683" s="1">
        <v>46210.573379629626</v>
      </c>
      <c r="B3683" t="s">
        <v>40</v>
      </c>
      <c r="C3683" t="s">
        <v>41</v>
      </c>
      <c r="D3683" s="1">
        <v>46210.576342592591</v>
      </c>
      <c r="E3683" t="s">
        <v>42</v>
      </c>
      <c r="F3683" t="s">
        <v>43</v>
      </c>
      <c r="G3683" t="s">
        <v>43</v>
      </c>
      <c r="H3683" t="s">
        <v>43</v>
      </c>
      <c r="I3683" t="s">
        <v>2199</v>
      </c>
      <c r="J3683" t="s">
        <v>43</v>
      </c>
      <c r="K3683" t="s">
        <v>43</v>
      </c>
      <c r="L3683" t="s">
        <v>43</v>
      </c>
      <c r="M3683" t="s">
        <v>43</v>
      </c>
      <c r="N3683" t="s">
        <v>45</v>
      </c>
      <c r="O3683" t="s">
        <v>43</v>
      </c>
      <c r="P3683" t="s">
        <v>43</v>
      </c>
      <c r="Q3683" t="s">
        <v>43</v>
      </c>
      <c r="R3683" t="s">
        <v>43</v>
      </c>
      <c r="S3683" t="s">
        <v>43</v>
      </c>
      <c r="T3683" t="s">
        <v>43</v>
      </c>
      <c r="U3683" t="s">
        <v>43</v>
      </c>
      <c r="V3683" t="s">
        <v>43</v>
      </c>
      <c r="W3683" t="s">
        <v>43</v>
      </c>
      <c r="X3683" t="s">
        <v>43</v>
      </c>
      <c r="Y3683" t="s">
        <v>43</v>
      </c>
      <c r="Z3683" t="s">
        <v>43</v>
      </c>
      <c r="AA3683" t="s">
        <v>43</v>
      </c>
      <c r="AB3683" t="s">
        <v>43</v>
      </c>
      <c r="AC3683" t="s">
        <v>43</v>
      </c>
      <c r="AD3683" t="s">
        <v>43</v>
      </c>
      <c r="AE3683" t="s">
        <v>43</v>
      </c>
      <c r="AF3683" t="s">
        <v>43</v>
      </c>
      <c r="AG3683" t="s">
        <v>43</v>
      </c>
      <c r="AH3683" t="s">
        <v>43</v>
      </c>
      <c r="AI3683" t="s">
        <v>43</v>
      </c>
      <c r="AJ3683" t="s">
        <v>43</v>
      </c>
      <c r="AK3683" t="s">
        <v>43</v>
      </c>
      <c r="AL3683" t="s">
        <v>43</v>
      </c>
      <c r="AM3683" t="s">
        <v>43</v>
      </c>
      <c r="AN3683" t="str">
        <f>HYPERLINK("https://www.google.com/maps?q=10.76305199,79.69438171","Open Location")</f>
        <v>Open Location</v>
      </c>
    </row>
    <row r="3684" spans="1:40" x14ac:dyDescent="0.3">
      <c r="A3684" s="1">
        <v>46210.573263888888</v>
      </c>
      <c r="B3684" t="s">
        <v>40</v>
      </c>
      <c r="C3684" t="s">
        <v>41</v>
      </c>
      <c r="D3684" s="1">
        <v>46210.576342592591</v>
      </c>
      <c r="E3684" t="s">
        <v>42</v>
      </c>
      <c r="F3684" t="s">
        <v>43</v>
      </c>
      <c r="G3684" t="s">
        <v>43</v>
      </c>
      <c r="H3684" t="s">
        <v>43</v>
      </c>
      <c r="I3684" t="s">
        <v>2200</v>
      </c>
      <c r="J3684" t="s">
        <v>43</v>
      </c>
      <c r="K3684" t="s">
        <v>43</v>
      </c>
      <c r="L3684" t="s">
        <v>43</v>
      </c>
      <c r="M3684" t="s">
        <v>43</v>
      </c>
      <c r="N3684" t="s">
        <v>45</v>
      </c>
      <c r="O3684" t="s">
        <v>43</v>
      </c>
      <c r="P3684" t="s">
        <v>43</v>
      </c>
      <c r="Q3684" t="s">
        <v>43</v>
      </c>
      <c r="R3684" t="s">
        <v>43</v>
      </c>
      <c r="S3684" t="s">
        <v>43</v>
      </c>
      <c r="T3684" t="s">
        <v>43</v>
      </c>
      <c r="U3684" t="s">
        <v>43</v>
      </c>
      <c r="V3684" t="s">
        <v>43</v>
      </c>
      <c r="W3684" t="s">
        <v>43</v>
      </c>
      <c r="X3684" t="s">
        <v>43</v>
      </c>
      <c r="Y3684" t="s">
        <v>43</v>
      </c>
      <c r="Z3684" t="s">
        <v>43</v>
      </c>
      <c r="AA3684" t="s">
        <v>43</v>
      </c>
      <c r="AB3684" t="s">
        <v>43</v>
      </c>
      <c r="AC3684" t="s">
        <v>43</v>
      </c>
      <c r="AD3684" t="s">
        <v>43</v>
      </c>
      <c r="AE3684" t="s">
        <v>43</v>
      </c>
      <c r="AF3684" t="s">
        <v>43</v>
      </c>
      <c r="AG3684" t="s">
        <v>43</v>
      </c>
      <c r="AH3684" t="s">
        <v>43</v>
      </c>
      <c r="AI3684" t="s">
        <v>43</v>
      </c>
      <c r="AJ3684" t="s">
        <v>43</v>
      </c>
      <c r="AK3684" t="s">
        <v>43</v>
      </c>
      <c r="AL3684" t="s">
        <v>43</v>
      </c>
      <c r="AM3684" t="s">
        <v>43</v>
      </c>
      <c r="AN3684" t="str">
        <f>HYPERLINK("https://www.google.com/maps?q=10.76305294,79.69437408","Open Location")</f>
        <v>Open Location</v>
      </c>
    </row>
    <row r="3685" spans="1:40" x14ac:dyDescent="0.3">
      <c r="A3685" s="1">
        <v>46210.573148148149</v>
      </c>
      <c r="B3685" t="s">
        <v>40</v>
      </c>
      <c r="C3685" t="s">
        <v>41</v>
      </c>
      <c r="D3685" s="1">
        <v>46210.575891203705</v>
      </c>
      <c r="E3685" t="s">
        <v>42</v>
      </c>
      <c r="F3685" t="s">
        <v>43</v>
      </c>
      <c r="G3685" t="s">
        <v>43</v>
      </c>
      <c r="H3685" t="s">
        <v>43</v>
      </c>
      <c r="I3685" t="s">
        <v>43</v>
      </c>
      <c r="J3685" t="s">
        <v>43</v>
      </c>
      <c r="K3685" t="s">
        <v>43</v>
      </c>
      <c r="L3685" t="s">
        <v>43</v>
      </c>
      <c r="M3685" t="s">
        <v>43</v>
      </c>
      <c r="N3685" t="s">
        <v>45</v>
      </c>
      <c r="O3685" t="s">
        <v>43</v>
      </c>
      <c r="P3685" t="s">
        <v>43</v>
      </c>
      <c r="Q3685" t="s">
        <v>43</v>
      </c>
      <c r="R3685" t="s">
        <v>43</v>
      </c>
      <c r="S3685" t="s">
        <v>43</v>
      </c>
      <c r="T3685" t="s">
        <v>43</v>
      </c>
      <c r="U3685" t="s">
        <v>43</v>
      </c>
      <c r="V3685" t="s">
        <v>43</v>
      </c>
      <c r="W3685" t="s">
        <v>43</v>
      </c>
      <c r="X3685" t="s">
        <v>43</v>
      </c>
      <c r="Y3685" t="s">
        <v>43</v>
      </c>
      <c r="Z3685" t="s">
        <v>43</v>
      </c>
      <c r="AA3685" t="s">
        <v>43</v>
      </c>
      <c r="AB3685" t="s">
        <v>43</v>
      </c>
      <c r="AC3685" t="s">
        <v>43</v>
      </c>
      <c r="AD3685" t="s">
        <v>43</v>
      </c>
      <c r="AE3685" t="s">
        <v>43</v>
      </c>
      <c r="AF3685" t="s">
        <v>43</v>
      </c>
      <c r="AG3685" t="s">
        <v>43</v>
      </c>
      <c r="AH3685" t="s">
        <v>43</v>
      </c>
      <c r="AI3685" t="s">
        <v>43</v>
      </c>
      <c r="AJ3685" t="s">
        <v>43</v>
      </c>
      <c r="AK3685" t="s">
        <v>43</v>
      </c>
      <c r="AL3685" t="s">
        <v>43</v>
      </c>
      <c r="AM3685" t="s">
        <v>43</v>
      </c>
      <c r="AN3685" t="s">
        <v>43</v>
      </c>
    </row>
    <row r="3686" spans="1:40" x14ac:dyDescent="0.3">
      <c r="A3686" s="1">
        <v>46210.57303240741</v>
      </c>
      <c r="B3686" t="s">
        <v>40</v>
      </c>
      <c r="C3686" t="s">
        <v>41</v>
      </c>
      <c r="D3686" s="1">
        <v>46210.575740740744</v>
      </c>
      <c r="E3686" t="s">
        <v>42</v>
      </c>
      <c r="F3686" t="s">
        <v>43</v>
      </c>
      <c r="G3686" t="s">
        <v>43</v>
      </c>
      <c r="H3686" t="s">
        <v>43</v>
      </c>
      <c r="I3686" t="s">
        <v>2201</v>
      </c>
      <c r="J3686" t="s">
        <v>43</v>
      </c>
      <c r="K3686" t="s">
        <v>43</v>
      </c>
      <c r="L3686" t="s">
        <v>43</v>
      </c>
      <c r="M3686" t="s">
        <v>43</v>
      </c>
      <c r="N3686" t="s">
        <v>45</v>
      </c>
      <c r="O3686" t="s">
        <v>43</v>
      </c>
      <c r="P3686" t="s">
        <v>43</v>
      </c>
      <c r="Q3686" t="s">
        <v>43</v>
      </c>
      <c r="R3686" t="s">
        <v>43</v>
      </c>
      <c r="S3686" t="s">
        <v>43</v>
      </c>
      <c r="T3686" t="s">
        <v>43</v>
      </c>
      <c r="U3686" t="s">
        <v>43</v>
      </c>
      <c r="V3686" t="s">
        <v>43</v>
      </c>
      <c r="W3686" t="s">
        <v>43</v>
      </c>
      <c r="X3686" t="s">
        <v>43</v>
      </c>
      <c r="Y3686" t="s">
        <v>43</v>
      </c>
      <c r="Z3686" t="s">
        <v>43</v>
      </c>
      <c r="AA3686" t="s">
        <v>43</v>
      </c>
      <c r="AB3686" t="s">
        <v>43</v>
      </c>
      <c r="AC3686" t="s">
        <v>43</v>
      </c>
      <c r="AD3686" t="s">
        <v>43</v>
      </c>
      <c r="AE3686" t="s">
        <v>43</v>
      </c>
      <c r="AF3686" t="s">
        <v>43</v>
      </c>
      <c r="AG3686" t="s">
        <v>43</v>
      </c>
      <c r="AH3686" t="s">
        <v>43</v>
      </c>
      <c r="AI3686" t="s">
        <v>43</v>
      </c>
      <c r="AJ3686" t="s">
        <v>43</v>
      </c>
      <c r="AK3686" t="s">
        <v>43</v>
      </c>
      <c r="AL3686" t="s">
        <v>43</v>
      </c>
      <c r="AM3686" t="s">
        <v>43</v>
      </c>
      <c r="AN3686" t="str">
        <f>HYPERLINK("https://www.google.com/maps?q=10.76304722,79.69436646","Open Location")</f>
        <v>Open Location</v>
      </c>
    </row>
    <row r="3687" spans="1:40" x14ac:dyDescent="0.3">
      <c r="A3687" s="1">
        <v>46210.572916666664</v>
      </c>
      <c r="B3687" t="s">
        <v>40</v>
      </c>
      <c r="C3687" t="s">
        <v>41</v>
      </c>
      <c r="D3687" s="1">
        <v>46210.575949074075</v>
      </c>
      <c r="E3687" t="s">
        <v>42</v>
      </c>
      <c r="F3687" t="s">
        <v>43</v>
      </c>
      <c r="G3687" t="s">
        <v>43</v>
      </c>
      <c r="H3687" t="s">
        <v>43</v>
      </c>
      <c r="I3687" t="s">
        <v>2202</v>
      </c>
      <c r="J3687" t="s">
        <v>43</v>
      </c>
      <c r="K3687" t="s">
        <v>43</v>
      </c>
      <c r="L3687" t="s">
        <v>43</v>
      </c>
      <c r="M3687" t="s">
        <v>43</v>
      </c>
      <c r="N3687" t="s">
        <v>45</v>
      </c>
      <c r="O3687" t="s">
        <v>43</v>
      </c>
      <c r="P3687" t="s">
        <v>43</v>
      </c>
      <c r="Q3687" t="s">
        <v>43</v>
      </c>
      <c r="R3687" t="s">
        <v>43</v>
      </c>
      <c r="S3687" t="s">
        <v>43</v>
      </c>
      <c r="T3687" t="s">
        <v>43</v>
      </c>
      <c r="U3687" t="s">
        <v>43</v>
      </c>
      <c r="V3687" t="s">
        <v>43</v>
      </c>
      <c r="W3687" t="s">
        <v>43</v>
      </c>
      <c r="X3687" t="s">
        <v>43</v>
      </c>
      <c r="Y3687" t="s">
        <v>43</v>
      </c>
      <c r="Z3687" t="s">
        <v>43</v>
      </c>
      <c r="AA3687" t="s">
        <v>43</v>
      </c>
      <c r="AB3687" t="s">
        <v>43</v>
      </c>
      <c r="AC3687" t="s">
        <v>43</v>
      </c>
      <c r="AD3687" t="s">
        <v>43</v>
      </c>
      <c r="AE3687" t="s">
        <v>43</v>
      </c>
      <c r="AF3687" t="s">
        <v>43</v>
      </c>
      <c r="AG3687" t="s">
        <v>43</v>
      </c>
      <c r="AH3687" t="s">
        <v>43</v>
      </c>
      <c r="AI3687" t="s">
        <v>43</v>
      </c>
      <c r="AJ3687" t="s">
        <v>43</v>
      </c>
      <c r="AK3687" t="s">
        <v>43</v>
      </c>
      <c r="AL3687" t="s">
        <v>43</v>
      </c>
      <c r="AM3687" t="s">
        <v>43</v>
      </c>
      <c r="AN3687" t="str">
        <f>HYPERLINK("https://www.google.com/maps?q=10.76304531,79.69437408","Open Location")</f>
        <v>Open Location</v>
      </c>
    </row>
    <row r="3688" spans="1:40" x14ac:dyDescent="0.3">
      <c r="A3688" s="1">
        <v>46210.572800925926</v>
      </c>
      <c r="B3688" t="s">
        <v>40</v>
      </c>
      <c r="C3688" t="s">
        <v>41</v>
      </c>
      <c r="D3688" s="1">
        <v>46210.575648148151</v>
      </c>
      <c r="E3688" t="s">
        <v>42</v>
      </c>
      <c r="F3688" t="s">
        <v>43</v>
      </c>
      <c r="G3688" t="s">
        <v>43</v>
      </c>
      <c r="H3688" t="s">
        <v>43</v>
      </c>
      <c r="I3688" t="s">
        <v>2203</v>
      </c>
      <c r="J3688" t="s">
        <v>43</v>
      </c>
      <c r="K3688" t="s">
        <v>43</v>
      </c>
      <c r="L3688" t="s">
        <v>43</v>
      </c>
      <c r="M3688" t="s">
        <v>43</v>
      </c>
      <c r="N3688" t="s">
        <v>45</v>
      </c>
      <c r="O3688" t="s">
        <v>43</v>
      </c>
      <c r="P3688" t="s">
        <v>43</v>
      </c>
      <c r="Q3688" t="s">
        <v>43</v>
      </c>
      <c r="R3688" t="s">
        <v>43</v>
      </c>
      <c r="S3688" t="s">
        <v>43</v>
      </c>
      <c r="T3688" t="s">
        <v>43</v>
      </c>
      <c r="U3688" t="s">
        <v>43</v>
      </c>
      <c r="V3688" t="s">
        <v>43</v>
      </c>
      <c r="W3688" t="s">
        <v>43</v>
      </c>
      <c r="X3688" t="s">
        <v>43</v>
      </c>
      <c r="Y3688" t="s">
        <v>43</v>
      </c>
      <c r="Z3688" t="s">
        <v>43</v>
      </c>
      <c r="AA3688" t="s">
        <v>43</v>
      </c>
      <c r="AB3688" t="s">
        <v>43</v>
      </c>
      <c r="AC3688" t="s">
        <v>43</v>
      </c>
      <c r="AD3688" t="s">
        <v>43</v>
      </c>
      <c r="AE3688" t="s">
        <v>43</v>
      </c>
      <c r="AF3688" t="s">
        <v>43</v>
      </c>
      <c r="AG3688" t="s">
        <v>43</v>
      </c>
      <c r="AH3688" t="s">
        <v>43</v>
      </c>
      <c r="AI3688" t="s">
        <v>43</v>
      </c>
      <c r="AJ3688" t="s">
        <v>43</v>
      </c>
      <c r="AK3688" t="s">
        <v>43</v>
      </c>
      <c r="AL3688" t="s">
        <v>43</v>
      </c>
      <c r="AM3688" t="s">
        <v>43</v>
      </c>
      <c r="AN3688" t="str">
        <f>HYPERLINK("https://www.google.com/maps?q=10.76304626,79.69437408","Open Location")</f>
        <v>Open Location</v>
      </c>
    </row>
    <row r="3689" spans="1:40" x14ac:dyDescent="0.3">
      <c r="A3689" s="1">
        <v>46210.572685185187</v>
      </c>
      <c r="B3689" t="s">
        <v>40</v>
      </c>
      <c r="C3689" t="s">
        <v>41</v>
      </c>
      <c r="D3689" s="1">
        <v>46210.575381944444</v>
      </c>
      <c r="E3689" t="s">
        <v>42</v>
      </c>
      <c r="F3689" t="s">
        <v>43</v>
      </c>
      <c r="G3689" t="s">
        <v>43</v>
      </c>
      <c r="H3689" t="s">
        <v>43</v>
      </c>
      <c r="I3689" t="s">
        <v>2203</v>
      </c>
      <c r="J3689" t="s">
        <v>43</v>
      </c>
      <c r="K3689" t="s">
        <v>43</v>
      </c>
      <c r="L3689" t="s">
        <v>43</v>
      </c>
      <c r="M3689" t="s">
        <v>43</v>
      </c>
      <c r="N3689" t="s">
        <v>45</v>
      </c>
      <c r="O3689" t="s">
        <v>43</v>
      </c>
      <c r="P3689" t="s">
        <v>43</v>
      </c>
      <c r="Q3689" t="s">
        <v>43</v>
      </c>
      <c r="R3689" t="s">
        <v>43</v>
      </c>
      <c r="S3689" t="s">
        <v>43</v>
      </c>
      <c r="T3689" t="s">
        <v>43</v>
      </c>
      <c r="U3689" t="s">
        <v>43</v>
      </c>
      <c r="V3689" t="s">
        <v>43</v>
      </c>
      <c r="W3689" t="s">
        <v>43</v>
      </c>
      <c r="X3689" t="s">
        <v>43</v>
      </c>
      <c r="Y3689" t="s">
        <v>43</v>
      </c>
      <c r="Z3689" t="s">
        <v>43</v>
      </c>
      <c r="AA3689" t="s">
        <v>43</v>
      </c>
      <c r="AB3689" t="s">
        <v>43</v>
      </c>
      <c r="AC3689" t="s">
        <v>43</v>
      </c>
      <c r="AD3689" t="s">
        <v>43</v>
      </c>
      <c r="AE3689" t="s">
        <v>43</v>
      </c>
      <c r="AF3689" t="s">
        <v>43</v>
      </c>
      <c r="AG3689" t="s">
        <v>43</v>
      </c>
      <c r="AH3689" t="s">
        <v>43</v>
      </c>
      <c r="AI3689" t="s">
        <v>43</v>
      </c>
      <c r="AJ3689" t="s">
        <v>43</v>
      </c>
      <c r="AK3689" t="s">
        <v>43</v>
      </c>
      <c r="AL3689" t="s">
        <v>43</v>
      </c>
      <c r="AM3689" t="s">
        <v>43</v>
      </c>
      <c r="AN3689" t="str">
        <f>HYPERLINK("https://www.google.com/maps?q=10.76304626,79.69437408","Open Location")</f>
        <v>Open Location</v>
      </c>
    </row>
    <row r="3690" spans="1:40" x14ac:dyDescent="0.3">
      <c r="A3690" s="1">
        <v>46210.572569444441</v>
      </c>
      <c r="B3690" t="s">
        <v>40</v>
      </c>
      <c r="C3690" t="s">
        <v>41</v>
      </c>
      <c r="D3690" s="1">
        <v>46210.575520833336</v>
      </c>
      <c r="E3690" t="s">
        <v>42</v>
      </c>
      <c r="F3690" t="s">
        <v>43</v>
      </c>
      <c r="G3690" t="s">
        <v>43</v>
      </c>
      <c r="H3690" t="s">
        <v>43</v>
      </c>
      <c r="I3690" t="s">
        <v>2202</v>
      </c>
      <c r="J3690" t="s">
        <v>43</v>
      </c>
      <c r="K3690" t="s">
        <v>43</v>
      </c>
      <c r="L3690" t="s">
        <v>43</v>
      </c>
      <c r="M3690" t="s">
        <v>43</v>
      </c>
      <c r="N3690" t="s">
        <v>45</v>
      </c>
      <c r="O3690" t="s">
        <v>43</v>
      </c>
      <c r="P3690" t="s">
        <v>43</v>
      </c>
      <c r="Q3690" t="s">
        <v>43</v>
      </c>
      <c r="R3690" t="s">
        <v>43</v>
      </c>
      <c r="S3690" t="s">
        <v>43</v>
      </c>
      <c r="T3690" t="s">
        <v>43</v>
      </c>
      <c r="U3690" t="s">
        <v>43</v>
      </c>
      <c r="V3690" t="s">
        <v>43</v>
      </c>
      <c r="W3690" t="s">
        <v>43</v>
      </c>
      <c r="X3690" t="s">
        <v>43</v>
      </c>
      <c r="Y3690" t="s">
        <v>43</v>
      </c>
      <c r="Z3690" t="s">
        <v>43</v>
      </c>
      <c r="AA3690" t="s">
        <v>43</v>
      </c>
      <c r="AB3690" t="s">
        <v>43</v>
      </c>
      <c r="AC3690" t="s">
        <v>43</v>
      </c>
      <c r="AD3690" t="s">
        <v>43</v>
      </c>
      <c r="AE3690" t="s">
        <v>43</v>
      </c>
      <c r="AF3690" t="s">
        <v>43</v>
      </c>
      <c r="AG3690" t="s">
        <v>43</v>
      </c>
      <c r="AH3690" t="s">
        <v>43</v>
      </c>
      <c r="AI3690" t="s">
        <v>43</v>
      </c>
      <c r="AJ3690" t="s">
        <v>43</v>
      </c>
      <c r="AK3690" t="s">
        <v>43</v>
      </c>
      <c r="AL3690" t="s">
        <v>43</v>
      </c>
      <c r="AM3690" t="s">
        <v>43</v>
      </c>
      <c r="AN3690" t="str">
        <f>HYPERLINK("https://www.google.com/maps?q=10.76304531,79.69437408","Open Location")</f>
        <v>Open Location</v>
      </c>
    </row>
    <row r="3691" spans="1:40" x14ac:dyDescent="0.3">
      <c r="A3691" s="1">
        <v>46210.572453703702</v>
      </c>
      <c r="B3691" t="s">
        <v>40</v>
      </c>
      <c r="C3691" t="s">
        <v>41</v>
      </c>
      <c r="D3691" s="1">
        <v>46210.575555555559</v>
      </c>
      <c r="E3691" t="s">
        <v>42</v>
      </c>
      <c r="F3691" t="s">
        <v>43</v>
      </c>
      <c r="G3691" t="s">
        <v>43</v>
      </c>
      <c r="H3691" t="s">
        <v>43</v>
      </c>
      <c r="I3691" t="s">
        <v>43</v>
      </c>
      <c r="J3691" t="s">
        <v>43</v>
      </c>
      <c r="K3691" t="s">
        <v>43</v>
      </c>
      <c r="L3691" t="s">
        <v>43</v>
      </c>
      <c r="M3691" t="s">
        <v>43</v>
      </c>
      <c r="N3691" t="s">
        <v>45</v>
      </c>
      <c r="O3691" t="s">
        <v>43</v>
      </c>
      <c r="P3691" t="s">
        <v>43</v>
      </c>
      <c r="Q3691" t="s">
        <v>43</v>
      </c>
      <c r="R3691" t="s">
        <v>43</v>
      </c>
      <c r="S3691" t="s">
        <v>43</v>
      </c>
      <c r="T3691" t="s">
        <v>43</v>
      </c>
      <c r="U3691" t="s">
        <v>43</v>
      </c>
      <c r="V3691" t="s">
        <v>43</v>
      </c>
      <c r="W3691" t="s">
        <v>43</v>
      </c>
      <c r="X3691" t="s">
        <v>43</v>
      </c>
      <c r="Y3691" t="s">
        <v>43</v>
      </c>
      <c r="Z3691" t="s">
        <v>43</v>
      </c>
      <c r="AA3691" t="s">
        <v>43</v>
      </c>
      <c r="AB3691" t="s">
        <v>43</v>
      </c>
      <c r="AC3691" t="s">
        <v>43</v>
      </c>
      <c r="AD3691" t="s">
        <v>43</v>
      </c>
      <c r="AE3691" t="s">
        <v>43</v>
      </c>
      <c r="AF3691" t="s">
        <v>43</v>
      </c>
      <c r="AG3691" t="s">
        <v>43</v>
      </c>
      <c r="AH3691" t="s">
        <v>43</v>
      </c>
      <c r="AI3691" t="s">
        <v>43</v>
      </c>
      <c r="AJ3691" t="s">
        <v>43</v>
      </c>
      <c r="AK3691" t="s">
        <v>43</v>
      </c>
      <c r="AL3691" t="s">
        <v>43</v>
      </c>
      <c r="AM3691" t="s">
        <v>43</v>
      </c>
      <c r="AN3691" t="s">
        <v>43</v>
      </c>
    </row>
    <row r="3692" spans="1:40" x14ac:dyDescent="0.3">
      <c r="A3692" s="1">
        <v>46210.572337962964</v>
      </c>
      <c r="B3692" t="s">
        <v>40</v>
      </c>
      <c r="C3692" t="s">
        <v>41</v>
      </c>
      <c r="D3692" s="1">
        <v>46210.575520833336</v>
      </c>
      <c r="E3692" t="s">
        <v>42</v>
      </c>
      <c r="F3692" t="s">
        <v>43</v>
      </c>
      <c r="G3692" t="s">
        <v>43</v>
      </c>
      <c r="H3692" t="s">
        <v>43</v>
      </c>
      <c r="I3692" t="s">
        <v>2204</v>
      </c>
      <c r="J3692" t="s">
        <v>43</v>
      </c>
      <c r="K3692" t="s">
        <v>43</v>
      </c>
      <c r="L3692" t="s">
        <v>43</v>
      </c>
      <c r="M3692" t="s">
        <v>43</v>
      </c>
      <c r="N3692" t="s">
        <v>45</v>
      </c>
      <c r="O3692" t="s">
        <v>43</v>
      </c>
      <c r="P3692" t="s">
        <v>43</v>
      </c>
      <c r="Q3692" t="s">
        <v>43</v>
      </c>
      <c r="R3692" t="s">
        <v>43</v>
      </c>
      <c r="S3692" t="s">
        <v>43</v>
      </c>
      <c r="T3692" t="s">
        <v>43</v>
      </c>
      <c r="U3692" t="s">
        <v>43</v>
      </c>
      <c r="V3692" t="s">
        <v>43</v>
      </c>
      <c r="W3692" t="s">
        <v>43</v>
      </c>
      <c r="X3692" t="s">
        <v>43</v>
      </c>
      <c r="Y3692" t="s">
        <v>43</v>
      </c>
      <c r="Z3692" t="s">
        <v>43</v>
      </c>
      <c r="AA3692" t="s">
        <v>43</v>
      </c>
      <c r="AB3692" t="s">
        <v>43</v>
      </c>
      <c r="AC3692" t="s">
        <v>43</v>
      </c>
      <c r="AD3692" t="s">
        <v>43</v>
      </c>
      <c r="AE3692" t="s">
        <v>43</v>
      </c>
      <c r="AF3692" t="s">
        <v>43</v>
      </c>
      <c r="AG3692" t="s">
        <v>43</v>
      </c>
      <c r="AH3692" t="s">
        <v>43</v>
      </c>
      <c r="AI3692" t="s">
        <v>43</v>
      </c>
      <c r="AJ3692" t="s">
        <v>43</v>
      </c>
      <c r="AK3692" t="s">
        <v>43</v>
      </c>
      <c r="AL3692" t="s">
        <v>43</v>
      </c>
      <c r="AM3692" t="s">
        <v>43</v>
      </c>
      <c r="AN3692" t="str">
        <f>HYPERLINK("https://www.google.com/maps?q=10.76304626,79.69438171","Open Location")</f>
        <v>Open Location</v>
      </c>
    </row>
    <row r="3693" spans="1:40" x14ac:dyDescent="0.3">
      <c r="A3693" s="1">
        <v>46210.572222222225</v>
      </c>
      <c r="B3693" t="s">
        <v>40</v>
      </c>
      <c r="C3693" t="s">
        <v>41</v>
      </c>
      <c r="D3693" s="1">
        <v>46210.574999999997</v>
      </c>
      <c r="E3693" t="s">
        <v>42</v>
      </c>
      <c r="F3693" t="s">
        <v>43</v>
      </c>
      <c r="G3693" t="s">
        <v>43</v>
      </c>
      <c r="H3693" t="s">
        <v>43</v>
      </c>
      <c r="I3693" t="s">
        <v>2205</v>
      </c>
      <c r="J3693" t="s">
        <v>43</v>
      </c>
      <c r="K3693" t="s">
        <v>43</v>
      </c>
      <c r="L3693" t="s">
        <v>43</v>
      </c>
      <c r="M3693" t="s">
        <v>43</v>
      </c>
      <c r="N3693" t="s">
        <v>45</v>
      </c>
      <c r="O3693" t="s">
        <v>43</v>
      </c>
      <c r="P3693" t="s">
        <v>43</v>
      </c>
      <c r="Q3693" t="s">
        <v>43</v>
      </c>
      <c r="R3693" t="s">
        <v>43</v>
      </c>
      <c r="S3693" t="s">
        <v>43</v>
      </c>
      <c r="T3693" t="s">
        <v>43</v>
      </c>
      <c r="U3693" t="s">
        <v>43</v>
      </c>
      <c r="V3693" t="s">
        <v>43</v>
      </c>
      <c r="W3693" t="s">
        <v>43</v>
      </c>
      <c r="X3693" t="s">
        <v>43</v>
      </c>
      <c r="Y3693" t="s">
        <v>43</v>
      </c>
      <c r="Z3693" t="s">
        <v>43</v>
      </c>
      <c r="AA3693" t="s">
        <v>43</v>
      </c>
      <c r="AB3693" t="s">
        <v>43</v>
      </c>
      <c r="AC3693" t="s">
        <v>43</v>
      </c>
      <c r="AD3693" t="s">
        <v>43</v>
      </c>
      <c r="AE3693" t="s">
        <v>43</v>
      </c>
      <c r="AF3693" t="s">
        <v>43</v>
      </c>
      <c r="AG3693" t="s">
        <v>43</v>
      </c>
      <c r="AH3693" t="s">
        <v>43</v>
      </c>
      <c r="AI3693" t="s">
        <v>43</v>
      </c>
      <c r="AJ3693" t="s">
        <v>43</v>
      </c>
      <c r="AK3693" t="s">
        <v>43</v>
      </c>
      <c r="AL3693" t="s">
        <v>43</v>
      </c>
      <c r="AM3693" t="s">
        <v>43</v>
      </c>
      <c r="AN3693" t="str">
        <f>HYPERLINK("https://www.google.com/maps?q=10.76304817,79.69437408","Open Location")</f>
        <v>Open Location</v>
      </c>
    </row>
    <row r="3694" spans="1:40" x14ac:dyDescent="0.3">
      <c r="A3694" s="1">
        <v>46210.572106481479</v>
      </c>
      <c r="B3694" t="s">
        <v>40</v>
      </c>
      <c r="C3694" t="s">
        <v>41</v>
      </c>
      <c r="D3694" s="1">
        <v>46210.574965277781</v>
      </c>
      <c r="E3694" t="s">
        <v>42</v>
      </c>
      <c r="F3694" t="s">
        <v>43</v>
      </c>
      <c r="G3694" t="s">
        <v>43</v>
      </c>
      <c r="H3694" t="s">
        <v>43</v>
      </c>
      <c r="I3694" t="s">
        <v>2194</v>
      </c>
      <c r="J3694" t="s">
        <v>43</v>
      </c>
      <c r="K3694" t="s">
        <v>43</v>
      </c>
      <c r="L3694" t="s">
        <v>43</v>
      </c>
      <c r="M3694" t="s">
        <v>43</v>
      </c>
      <c r="N3694" t="s">
        <v>45</v>
      </c>
      <c r="O3694" t="s">
        <v>43</v>
      </c>
      <c r="P3694" t="s">
        <v>43</v>
      </c>
      <c r="Q3694" t="s">
        <v>43</v>
      </c>
      <c r="R3694" t="s">
        <v>43</v>
      </c>
      <c r="S3694" t="s">
        <v>43</v>
      </c>
      <c r="T3694" t="s">
        <v>43</v>
      </c>
      <c r="U3694" t="s">
        <v>43</v>
      </c>
      <c r="V3694" t="s">
        <v>43</v>
      </c>
      <c r="W3694" t="s">
        <v>43</v>
      </c>
      <c r="X3694" t="s">
        <v>43</v>
      </c>
      <c r="Y3694" t="s">
        <v>43</v>
      </c>
      <c r="Z3694" t="s">
        <v>43</v>
      </c>
      <c r="AA3694" t="s">
        <v>43</v>
      </c>
      <c r="AB3694" t="s">
        <v>43</v>
      </c>
      <c r="AC3694" t="s">
        <v>43</v>
      </c>
      <c r="AD3694" t="s">
        <v>43</v>
      </c>
      <c r="AE3694" t="s">
        <v>43</v>
      </c>
      <c r="AF3694" t="s">
        <v>43</v>
      </c>
      <c r="AG3694" t="s">
        <v>43</v>
      </c>
      <c r="AH3694" t="s">
        <v>43</v>
      </c>
      <c r="AI3694" t="s">
        <v>43</v>
      </c>
      <c r="AJ3694" t="s">
        <v>43</v>
      </c>
      <c r="AK3694" t="s">
        <v>43</v>
      </c>
      <c r="AL3694" t="s">
        <v>43</v>
      </c>
      <c r="AM3694" t="s">
        <v>43</v>
      </c>
      <c r="AN3694" t="str">
        <f>HYPERLINK("https://www.google.com/maps?q=10.76304913,79.69437408","Open Location")</f>
        <v>Open Location</v>
      </c>
    </row>
    <row r="3695" spans="1:40" x14ac:dyDescent="0.3">
      <c r="A3695" s="1">
        <v>46210.57199074074</v>
      </c>
      <c r="B3695" t="s">
        <v>40</v>
      </c>
      <c r="C3695" t="s">
        <v>41</v>
      </c>
      <c r="D3695" s="1">
        <v>46210.574965277781</v>
      </c>
      <c r="E3695" t="s">
        <v>42</v>
      </c>
      <c r="F3695" t="s">
        <v>43</v>
      </c>
      <c r="G3695" t="s">
        <v>43</v>
      </c>
      <c r="H3695" t="s">
        <v>43</v>
      </c>
      <c r="I3695" t="s">
        <v>2206</v>
      </c>
      <c r="J3695" t="s">
        <v>43</v>
      </c>
      <c r="K3695" t="s">
        <v>43</v>
      </c>
      <c r="L3695" t="s">
        <v>43</v>
      </c>
      <c r="M3695" t="s">
        <v>43</v>
      </c>
      <c r="N3695" t="s">
        <v>45</v>
      </c>
      <c r="O3695" t="s">
        <v>43</v>
      </c>
      <c r="P3695" t="s">
        <v>43</v>
      </c>
      <c r="Q3695" t="s">
        <v>43</v>
      </c>
      <c r="R3695" t="s">
        <v>43</v>
      </c>
      <c r="S3695" t="s">
        <v>43</v>
      </c>
      <c r="T3695" t="s">
        <v>43</v>
      </c>
      <c r="U3695" t="s">
        <v>43</v>
      </c>
      <c r="V3695" t="s">
        <v>43</v>
      </c>
      <c r="W3695" t="s">
        <v>43</v>
      </c>
      <c r="X3695" t="s">
        <v>43</v>
      </c>
      <c r="Y3695" t="s">
        <v>43</v>
      </c>
      <c r="Z3695" t="s">
        <v>43</v>
      </c>
      <c r="AA3695" t="s">
        <v>43</v>
      </c>
      <c r="AB3695" t="s">
        <v>43</v>
      </c>
      <c r="AC3695" t="s">
        <v>43</v>
      </c>
      <c r="AD3695" t="s">
        <v>43</v>
      </c>
      <c r="AE3695" t="s">
        <v>43</v>
      </c>
      <c r="AF3695" t="s">
        <v>43</v>
      </c>
      <c r="AG3695" t="s">
        <v>43</v>
      </c>
      <c r="AH3695" t="s">
        <v>43</v>
      </c>
      <c r="AI3695" t="s">
        <v>43</v>
      </c>
      <c r="AJ3695" t="s">
        <v>43</v>
      </c>
      <c r="AK3695" t="s">
        <v>43</v>
      </c>
      <c r="AL3695" t="s">
        <v>43</v>
      </c>
      <c r="AM3695" t="s">
        <v>43</v>
      </c>
      <c r="AN3695" t="str">
        <f>HYPERLINK("https://www.google.com/maps?q=10.76304626,79.69436646","Open Location")</f>
        <v>Open Location</v>
      </c>
    </row>
    <row r="3696" spans="1:40" x14ac:dyDescent="0.3">
      <c r="A3696" s="1">
        <v>46210.571875000001</v>
      </c>
      <c r="B3696" t="s">
        <v>40</v>
      </c>
      <c r="C3696" t="s">
        <v>41</v>
      </c>
      <c r="D3696" s="1">
        <v>46210.574918981481</v>
      </c>
      <c r="E3696" t="s">
        <v>42</v>
      </c>
      <c r="F3696" t="s">
        <v>43</v>
      </c>
      <c r="G3696" t="s">
        <v>43</v>
      </c>
      <c r="H3696" t="s">
        <v>43</v>
      </c>
      <c r="I3696" t="s">
        <v>43</v>
      </c>
      <c r="J3696" t="s">
        <v>43</v>
      </c>
      <c r="K3696" t="s">
        <v>43</v>
      </c>
      <c r="L3696" t="s">
        <v>43</v>
      </c>
      <c r="M3696" t="s">
        <v>43</v>
      </c>
      <c r="N3696" t="s">
        <v>45</v>
      </c>
      <c r="O3696" t="s">
        <v>43</v>
      </c>
      <c r="P3696" t="s">
        <v>43</v>
      </c>
      <c r="Q3696" t="s">
        <v>43</v>
      </c>
      <c r="R3696" t="s">
        <v>43</v>
      </c>
      <c r="S3696" t="s">
        <v>43</v>
      </c>
      <c r="T3696" t="s">
        <v>43</v>
      </c>
      <c r="U3696" t="s">
        <v>43</v>
      </c>
      <c r="V3696" t="s">
        <v>43</v>
      </c>
      <c r="W3696" t="s">
        <v>43</v>
      </c>
      <c r="X3696" t="s">
        <v>43</v>
      </c>
      <c r="Y3696" t="s">
        <v>43</v>
      </c>
      <c r="Z3696" t="s">
        <v>43</v>
      </c>
      <c r="AA3696" t="s">
        <v>43</v>
      </c>
      <c r="AB3696" t="s">
        <v>43</v>
      </c>
      <c r="AC3696" t="s">
        <v>43</v>
      </c>
      <c r="AD3696" t="s">
        <v>43</v>
      </c>
      <c r="AE3696" t="s">
        <v>43</v>
      </c>
      <c r="AF3696" t="s">
        <v>43</v>
      </c>
      <c r="AG3696" t="s">
        <v>43</v>
      </c>
      <c r="AH3696" t="s">
        <v>43</v>
      </c>
      <c r="AI3696" t="s">
        <v>43</v>
      </c>
      <c r="AJ3696" t="s">
        <v>43</v>
      </c>
      <c r="AK3696" t="s">
        <v>43</v>
      </c>
      <c r="AL3696" t="s">
        <v>43</v>
      </c>
      <c r="AM3696" t="s">
        <v>43</v>
      </c>
      <c r="AN3696" t="s">
        <v>43</v>
      </c>
    </row>
    <row r="3697" spans="1:40" x14ac:dyDescent="0.3">
      <c r="A3697" s="1">
        <v>46210.571759259263</v>
      </c>
      <c r="B3697" t="s">
        <v>40</v>
      </c>
      <c r="C3697" t="s">
        <v>41</v>
      </c>
      <c r="D3697" s="1">
        <v>46210.574652777781</v>
      </c>
      <c r="E3697" t="s">
        <v>42</v>
      </c>
      <c r="F3697" t="s">
        <v>43</v>
      </c>
      <c r="G3697" t="s">
        <v>43</v>
      </c>
      <c r="H3697" t="s">
        <v>43</v>
      </c>
      <c r="I3697" t="s">
        <v>2207</v>
      </c>
      <c r="J3697" t="s">
        <v>43</v>
      </c>
      <c r="K3697" t="s">
        <v>43</v>
      </c>
      <c r="L3697" t="s">
        <v>43</v>
      </c>
      <c r="M3697" t="s">
        <v>43</v>
      </c>
      <c r="N3697" t="s">
        <v>45</v>
      </c>
      <c r="O3697" t="s">
        <v>43</v>
      </c>
      <c r="P3697" t="s">
        <v>43</v>
      </c>
      <c r="Q3697" t="s">
        <v>43</v>
      </c>
      <c r="R3697" t="s">
        <v>43</v>
      </c>
      <c r="S3697" t="s">
        <v>43</v>
      </c>
      <c r="T3697" t="s">
        <v>43</v>
      </c>
      <c r="U3697" t="s">
        <v>43</v>
      </c>
      <c r="V3697" t="s">
        <v>43</v>
      </c>
      <c r="W3697" t="s">
        <v>43</v>
      </c>
      <c r="X3697" t="s">
        <v>43</v>
      </c>
      <c r="Y3697" t="s">
        <v>43</v>
      </c>
      <c r="Z3697" t="s">
        <v>43</v>
      </c>
      <c r="AA3697" t="s">
        <v>43</v>
      </c>
      <c r="AB3697" t="s">
        <v>43</v>
      </c>
      <c r="AC3697" t="s">
        <v>43</v>
      </c>
      <c r="AD3697" t="s">
        <v>43</v>
      </c>
      <c r="AE3697" t="s">
        <v>43</v>
      </c>
      <c r="AF3697" t="s">
        <v>43</v>
      </c>
      <c r="AG3697" t="s">
        <v>43</v>
      </c>
      <c r="AH3697" t="s">
        <v>43</v>
      </c>
      <c r="AI3697" t="s">
        <v>43</v>
      </c>
      <c r="AJ3697" t="s">
        <v>43</v>
      </c>
      <c r="AK3697" t="s">
        <v>43</v>
      </c>
      <c r="AL3697" t="s">
        <v>43</v>
      </c>
      <c r="AM3697" t="s">
        <v>43</v>
      </c>
      <c r="AN3697" t="str">
        <f>HYPERLINK("https://www.google.com/maps?q=10.76304436,79.69437408","Open Location")</f>
        <v>Open Location</v>
      </c>
    </row>
    <row r="3698" spans="1:40" x14ac:dyDescent="0.3">
      <c r="A3698" s="1">
        <v>46210.571643518517</v>
      </c>
      <c r="B3698" t="s">
        <v>40</v>
      </c>
      <c r="C3698" t="s">
        <v>41</v>
      </c>
      <c r="D3698" s="1">
        <v>46210.574652777781</v>
      </c>
      <c r="E3698" t="s">
        <v>42</v>
      </c>
      <c r="F3698" t="s">
        <v>43</v>
      </c>
      <c r="G3698" t="s">
        <v>43</v>
      </c>
      <c r="H3698" t="s">
        <v>43</v>
      </c>
      <c r="I3698" t="s">
        <v>2207</v>
      </c>
      <c r="J3698" t="s">
        <v>43</v>
      </c>
      <c r="K3698" t="s">
        <v>43</v>
      </c>
      <c r="L3698" t="s">
        <v>43</v>
      </c>
      <c r="M3698" t="s">
        <v>43</v>
      </c>
      <c r="N3698" t="s">
        <v>45</v>
      </c>
      <c r="O3698" t="s">
        <v>43</v>
      </c>
      <c r="P3698" t="s">
        <v>43</v>
      </c>
      <c r="Q3698" t="s">
        <v>43</v>
      </c>
      <c r="R3698" t="s">
        <v>43</v>
      </c>
      <c r="S3698" t="s">
        <v>43</v>
      </c>
      <c r="T3698" t="s">
        <v>43</v>
      </c>
      <c r="U3698" t="s">
        <v>43</v>
      </c>
      <c r="V3698" t="s">
        <v>43</v>
      </c>
      <c r="W3698" t="s">
        <v>43</v>
      </c>
      <c r="X3698" t="s">
        <v>43</v>
      </c>
      <c r="Y3698" t="s">
        <v>43</v>
      </c>
      <c r="Z3698" t="s">
        <v>43</v>
      </c>
      <c r="AA3698" t="s">
        <v>43</v>
      </c>
      <c r="AB3698" t="s">
        <v>43</v>
      </c>
      <c r="AC3698" t="s">
        <v>43</v>
      </c>
      <c r="AD3698" t="s">
        <v>43</v>
      </c>
      <c r="AE3698" t="s">
        <v>43</v>
      </c>
      <c r="AF3698" t="s">
        <v>43</v>
      </c>
      <c r="AG3698" t="s">
        <v>43</v>
      </c>
      <c r="AH3698" t="s">
        <v>43</v>
      </c>
      <c r="AI3698" t="s">
        <v>43</v>
      </c>
      <c r="AJ3698" t="s">
        <v>43</v>
      </c>
      <c r="AK3698" t="s">
        <v>43</v>
      </c>
      <c r="AL3698" t="s">
        <v>43</v>
      </c>
      <c r="AM3698" t="s">
        <v>43</v>
      </c>
      <c r="AN3698" t="str">
        <f>HYPERLINK("https://www.google.com/maps?q=10.76304436,79.69437408","Open Location")</f>
        <v>Open Location</v>
      </c>
    </row>
    <row r="3699" spans="1:40" x14ac:dyDescent="0.3">
      <c r="A3699" s="1">
        <v>46210.571527777778</v>
      </c>
      <c r="B3699" t="s">
        <v>40</v>
      </c>
      <c r="C3699" t="s">
        <v>41</v>
      </c>
      <c r="D3699" s="1">
        <v>46210.574583333335</v>
      </c>
      <c r="E3699" t="s">
        <v>42</v>
      </c>
      <c r="F3699" t="s">
        <v>43</v>
      </c>
      <c r="G3699" t="s">
        <v>43</v>
      </c>
      <c r="H3699" t="s">
        <v>43</v>
      </c>
      <c r="I3699" t="s">
        <v>2207</v>
      </c>
      <c r="J3699" t="s">
        <v>43</v>
      </c>
      <c r="K3699" t="s">
        <v>43</v>
      </c>
      <c r="L3699" t="s">
        <v>43</v>
      </c>
      <c r="M3699" t="s">
        <v>43</v>
      </c>
      <c r="N3699" t="s">
        <v>45</v>
      </c>
      <c r="O3699" t="s">
        <v>43</v>
      </c>
      <c r="P3699" t="s">
        <v>43</v>
      </c>
      <c r="Q3699" t="s">
        <v>43</v>
      </c>
      <c r="R3699" t="s">
        <v>43</v>
      </c>
      <c r="S3699" t="s">
        <v>43</v>
      </c>
      <c r="T3699" t="s">
        <v>43</v>
      </c>
      <c r="U3699" t="s">
        <v>43</v>
      </c>
      <c r="V3699" t="s">
        <v>43</v>
      </c>
      <c r="W3699" t="s">
        <v>43</v>
      </c>
      <c r="X3699" t="s">
        <v>43</v>
      </c>
      <c r="Y3699" t="s">
        <v>43</v>
      </c>
      <c r="Z3699" t="s">
        <v>43</v>
      </c>
      <c r="AA3699" t="s">
        <v>43</v>
      </c>
      <c r="AB3699" t="s">
        <v>43</v>
      </c>
      <c r="AC3699" t="s">
        <v>43</v>
      </c>
      <c r="AD3699" t="s">
        <v>43</v>
      </c>
      <c r="AE3699" t="s">
        <v>43</v>
      </c>
      <c r="AF3699" t="s">
        <v>43</v>
      </c>
      <c r="AG3699" t="s">
        <v>43</v>
      </c>
      <c r="AH3699" t="s">
        <v>43</v>
      </c>
      <c r="AI3699" t="s">
        <v>43</v>
      </c>
      <c r="AJ3699" t="s">
        <v>43</v>
      </c>
      <c r="AK3699" t="s">
        <v>43</v>
      </c>
      <c r="AL3699" t="s">
        <v>43</v>
      </c>
      <c r="AM3699" t="s">
        <v>43</v>
      </c>
      <c r="AN3699" t="str">
        <f>HYPERLINK("https://www.google.com/maps?q=10.76304436,79.69437408","Open Location")</f>
        <v>Open Location</v>
      </c>
    </row>
    <row r="3700" spans="1:40" x14ac:dyDescent="0.3">
      <c r="A3700" s="1">
        <v>46210.571412037039</v>
      </c>
      <c r="B3700" t="s">
        <v>40</v>
      </c>
      <c r="C3700" t="s">
        <v>41</v>
      </c>
      <c r="D3700" s="1">
        <v>46210.574305555558</v>
      </c>
      <c r="E3700" t="s">
        <v>42</v>
      </c>
      <c r="F3700" t="s">
        <v>43</v>
      </c>
      <c r="G3700" t="s">
        <v>43</v>
      </c>
      <c r="H3700" t="s">
        <v>43</v>
      </c>
      <c r="I3700" t="s">
        <v>2205</v>
      </c>
      <c r="J3700" t="s">
        <v>43</v>
      </c>
      <c r="K3700" t="s">
        <v>43</v>
      </c>
      <c r="L3700" t="s">
        <v>43</v>
      </c>
      <c r="M3700" t="s">
        <v>43</v>
      </c>
      <c r="N3700" t="s">
        <v>45</v>
      </c>
      <c r="O3700" t="s">
        <v>43</v>
      </c>
      <c r="P3700" t="s">
        <v>43</v>
      </c>
      <c r="Q3700" t="s">
        <v>43</v>
      </c>
      <c r="R3700" t="s">
        <v>43</v>
      </c>
      <c r="S3700" t="s">
        <v>43</v>
      </c>
      <c r="T3700" t="s">
        <v>43</v>
      </c>
      <c r="U3700" t="s">
        <v>43</v>
      </c>
      <c r="V3700" t="s">
        <v>43</v>
      </c>
      <c r="W3700" t="s">
        <v>43</v>
      </c>
      <c r="X3700" t="s">
        <v>43</v>
      </c>
      <c r="Y3700" t="s">
        <v>43</v>
      </c>
      <c r="Z3700" t="s">
        <v>43</v>
      </c>
      <c r="AA3700" t="s">
        <v>43</v>
      </c>
      <c r="AB3700" t="s">
        <v>43</v>
      </c>
      <c r="AC3700" t="s">
        <v>43</v>
      </c>
      <c r="AD3700" t="s">
        <v>43</v>
      </c>
      <c r="AE3700" t="s">
        <v>43</v>
      </c>
      <c r="AF3700" t="s">
        <v>43</v>
      </c>
      <c r="AG3700" t="s">
        <v>43</v>
      </c>
      <c r="AH3700" t="s">
        <v>43</v>
      </c>
      <c r="AI3700" t="s">
        <v>43</v>
      </c>
      <c r="AJ3700" t="s">
        <v>43</v>
      </c>
      <c r="AK3700" t="s">
        <v>43</v>
      </c>
      <c r="AL3700" t="s">
        <v>43</v>
      </c>
      <c r="AM3700" t="s">
        <v>43</v>
      </c>
      <c r="AN3700" t="str">
        <f>HYPERLINK("https://www.google.com/maps?q=10.76304817,79.69437408","Open Location")</f>
        <v>Open Location</v>
      </c>
    </row>
    <row r="3701" spans="1:40" x14ac:dyDescent="0.3">
      <c r="A3701" s="1">
        <v>46210.571296296293</v>
      </c>
      <c r="B3701" t="s">
        <v>40</v>
      </c>
      <c r="C3701" t="s">
        <v>41</v>
      </c>
      <c r="D3701" s="1">
        <v>46210.574305555558</v>
      </c>
      <c r="E3701" t="s">
        <v>42</v>
      </c>
      <c r="F3701" t="s">
        <v>43</v>
      </c>
      <c r="G3701" t="s">
        <v>43</v>
      </c>
      <c r="H3701" t="s">
        <v>43</v>
      </c>
      <c r="I3701" t="s">
        <v>2205</v>
      </c>
      <c r="J3701" t="s">
        <v>43</v>
      </c>
      <c r="K3701" t="s">
        <v>43</v>
      </c>
      <c r="L3701" t="s">
        <v>43</v>
      </c>
      <c r="M3701" t="s">
        <v>43</v>
      </c>
      <c r="N3701" t="s">
        <v>45</v>
      </c>
      <c r="O3701" t="s">
        <v>43</v>
      </c>
      <c r="P3701" t="s">
        <v>43</v>
      </c>
      <c r="Q3701" t="s">
        <v>43</v>
      </c>
      <c r="R3701" t="s">
        <v>43</v>
      </c>
      <c r="S3701" t="s">
        <v>43</v>
      </c>
      <c r="T3701" t="s">
        <v>43</v>
      </c>
      <c r="U3701" t="s">
        <v>43</v>
      </c>
      <c r="V3701" t="s">
        <v>43</v>
      </c>
      <c r="W3701" t="s">
        <v>43</v>
      </c>
      <c r="X3701" t="s">
        <v>43</v>
      </c>
      <c r="Y3701" t="s">
        <v>43</v>
      </c>
      <c r="Z3701" t="s">
        <v>43</v>
      </c>
      <c r="AA3701" t="s">
        <v>43</v>
      </c>
      <c r="AB3701" t="s">
        <v>43</v>
      </c>
      <c r="AC3701" t="s">
        <v>43</v>
      </c>
      <c r="AD3701" t="s">
        <v>43</v>
      </c>
      <c r="AE3701" t="s">
        <v>43</v>
      </c>
      <c r="AF3701" t="s">
        <v>43</v>
      </c>
      <c r="AG3701" t="s">
        <v>43</v>
      </c>
      <c r="AH3701" t="s">
        <v>43</v>
      </c>
      <c r="AI3701" t="s">
        <v>43</v>
      </c>
      <c r="AJ3701" t="s">
        <v>43</v>
      </c>
      <c r="AK3701" t="s">
        <v>43</v>
      </c>
      <c r="AL3701" t="s">
        <v>43</v>
      </c>
      <c r="AM3701" t="s">
        <v>43</v>
      </c>
      <c r="AN3701" t="str">
        <f>HYPERLINK("https://www.google.com/maps?q=10.76304817,79.69437408","Open Location")</f>
        <v>Open Location</v>
      </c>
    </row>
    <row r="3702" spans="1:40" x14ac:dyDescent="0.3">
      <c r="A3702" s="1">
        <v>46210.571180555555</v>
      </c>
      <c r="B3702" t="s">
        <v>40</v>
      </c>
      <c r="C3702" t="s">
        <v>41</v>
      </c>
      <c r="D3702" s="1">
        <v>46210.574120370373</v>
      </c>
      <c r="E3702" t="s">
        <v>42</v>
      </c>
      <c r="F3702" t="s">
        <v>43</v>
      </c>
      <c r="G3702" t="s">
        <v>43</v>
      </c>
      <c r="H3702" t="s">
        <v>43</v>
      </c>
      <c r="I3702" t="s">
        <v>43</v>
      </c>
      <c r="J3702" t="s">
        <v>43</v>
      </c>
      <c r="K3702" t="s">
        <v>43</v>
      </c>
      <c r="L3702" t="s">
        <v>43</v>
      </c>
      <c r="M3702" t="s">
        <v>43</v>
      </c>
      <c r="N3702" t="s">
        <v>45</v>
      </c>
      <c r="O3702" t="s">
        <v>43</v>
      </c>
      <c r="P3702" t="s">
        <v>43</v>
      </c>
      <c r="Q3702" t="s">
        <v>43</v>
      </c>
      <c r="R3702" t="s">
        <v>43</v>
      </c>
      <c r="S3702" t="s">
        <v>43</v>
      </c>
      <c r="T3702" t="s">
        <v>43</v>
      </c>
      <c r="U3702" t="s">
        <v>43</v>
      </c>
      <c r="V3702" t="s">
        <v>43</v>
      </c>
      <c r="W3702" t="s">
        <v>43</v>
      </c>
      <c r="X3702" t="s">
        <v>43</v>
      </c>
      <c r="Y3702" t="s">
        <v>43</v>
      </c>
      <c r="Z3702" t="s">
        <v>43</v>
      </c>
      <c r="AA3702" t="s">
        <v>43</v>
      </c>
      <c r="AB3702" t="s">
        <v>43</v>
      </c>
      <c r="AC3702" t="s">
        <v>43</v>
      </c>
      <c r="AD3702" t="s">
        <v>43</v>
      </c>
      <c r="AE3702" t="s">
        <v>43</v>
      </c>
      <c r="AF3702" t="s">
        <v>43</v>
      </c>
      <c r="AG3702" t="s">
        <v>43</v>
      </c>
      <c r="AH3702" t="s">
        <v>43</v>
      </c>
      <c r="AI3702" t="s">
        <v>43</v>
      </c>
      <c r="AJ3702" t="s">
        <v>43</v>
      </c>
      <c r="AK3702" t="s">
        <v>43</v>
      </c>
      <c r="AL3702" t="s">
        <v>43</v>
      </c>
      <c r="AM3702" t="s">
        <v>43</v>
      </c>
      <c r="AN3702" t="s">
        <v>43</v>
      </c>
    </row>
    <row r="3703" spans="1:40" x14ac:dyDescent="0.3">
      <c r="A3703" s="1">
        <v>46210.571064814816</v>
      </c>
      <c r="B3703" t="s">
        <v>40</v>
      </c>
      <c r="C3703" t="s">
        <v>41</v>
      </c>
      <c r="D3703" s="1">
        <v>46210.574120370373</v>
      </c>
      <c r="E3703" t="s">
        <v>42</v>
      </c>
      <c r="F3703" t="s">
        <v>43</v>
      </c>
      <c r="G3703" t="s">
        <v>43</v>
      </c>
      <c r="H3703" t="s">
        <v>43</v>
      </c>
      <c r="I3703" t="s">
        <v>2202</v>
      </c>
      <c r="J3703" t="s">
        <v>43</v>
      </c>
      <c r="K3703" t="s">
        <v>43</v>
      </c>
      <c r="L3703" t="s">
        <v>43</v>
      </c>
      <c r="M3703" t="s">
        <v>43</v>
      </c>
      <c r="N3703" t="s">
        <v>45</v>
      </c>
      <c r="O3703" t="s">
        <v>43</v>
      </c>
      <c r="P3703" t="s">
        <v>43</v>
      </c>
      <c r="Q3703" t="s">
        <v>43</v>
      </c>
      <c r="R3703" t="s">
        <v>43</v>
      </c>
      <c r="S3703" t="s">
        <v>43</v>
      </c>
      <c r="T3703" t="s">
        <v>43</v>
      </c>
      <c r="U3703" t="s">
        <v>43</v>
      </c>
      <c r="V3703" t="s">
        <v>43</v>
      </c>
      <c r="W3703" t="s">
        <v>43</v>
      </c>
      <c r="X3703" t="s">
        <v>43</v>
      </c>
      <c r="Y3703" t="s">
        <v>43</v>
      </c>
      <c r="Z3703" t="s">
        <v>43</v>
      </c>
      <c r="AA3703" t="s">
        <v>43</v>
      </c>
      <c r="AB3703" t="s">
        <v>43</v>
      </c>
      <c r="AC3703" t="s">
        <v>43</v>
      </c>
      <c r="AD3703" t="s">
        <v>43</v>
      </c>
      <c r="AE3703" t="s">
        <v>43</v>
      </c>
      <c r="AF3703" t="s">
        <v>43</v>
      </c>
      <c r="AG3703" t="s">
        <v>43</v>
      </c>
      <c r="AH3703" t="s">
        <v>43</v>
      </c>
      <c r="AI3703" t="s">
        <v>43</v>
      </c>
      <c r="AJ3703" t="s">
        <v>43</v>
      </c>
      <c r="AK3703" t="s">
        <v>43</v>
      </c>
      <c r="AL3703" t="s">
        <v>43</v>
      </c>
      <c r="AM3703" t="s">
        <v>43</v>
      </c>
      <c r="AN3703" t="str">
        <f>HYPERLINK("https://www.google.com/maps?q=10.76304531,79.69437408","Open Location")</f>
        <v>Open Location</v>
      </c>
    </row>
    <row r="3704" spans="1:40" x14ac:dyDescent="0.3">
      <c r="A3704" s="1">
        <v>46210.570949074077</v>
      </c>
      <c r="B3704" t="s">
        <v>40</v>
      </c>
      <c r="C3704" t="s">
        <v>41</v>
      </c>
      <c r="D3704" s="1">
        <v>46210.573981481481</v>
      </c>
      <c r="E3704" t="s">
        <v>42</v>
      </c>
      <c r="F3704" t="s">
        <v>43</v>
      </c>
      <c r="G3704" t="s">
        <v>43</v>
      </c>
      <c r="H3704" t="s">
        <v>43</v>
      </c>
      <c r="I3704" t="s">
        <v>2208</v>
      </c>
      <c r="J3704" t="s">
        <v>43</v>
      </c>
      <c r="K3704" t="s">
        <v>43</v>
      </c>
      <c r="L3704" t="s">
        <v>43</v>
      </c>
      <c r="M3704" t="s">
        <v>43</v>
      </c>
      <c r="N3704" t="s">
        <v>45</v>
      </c>
      <c r="O3704" t="s">
        <v>43</v>
      </c>
      <c r="P3704" t="s">
        <v>43</v>
      </c>
      <c r="Q3704" t="s">
        <v>43</v>
      </c>
      <c r="R3704" t="s">
        <v>43</v>
      </c>
      <c r="S3704" t="s">
        <v>43</v>
      </c>
      <c r="T3704" t="s">
        <v>43</v>
      </c>
      <c r="U3704" t="s">
        <v>43</v>
      </c>
      <c r="V3704" t="s">
        <v>43</v>
      </c>
      <c r="W3704" t="s">
        <v>43</v>
      </c>
      <c r="X3704" t="s">
        <v>43</v>
      </c>
      <c r="Y3704" t="s">
        <v>43</v>
      </c>
      <c r="Z3704" t="s">
        <v>43</v>
      </c>
      <c r="AA3704" t="s">
        <v>43</v>
      </c>
      <c r="AB3704" t="s">
        <v>43</v>
      </c>
      <c r="AC3704" t="s">
        <v>43</v>
      </c>
      <c r="AD3704" t="s">
        <v>43</v>
      </c>
      <c r="AE3704" t="s">
        <v>43</v>
      </c>
      <c r="AF3704" t="s">
        <v>43</v>
      </c>
      <c r="AG3704" t="s">
        <v>43</v>
      </c>
      <c r="AH3704" t="s">
        <v>43</v>
      </c>
      <c r="AI3704" t="s">
        <v>43</v>
      </c>
      <c r="AJ3704" t="s">
        <v>43</v>
      </c>
      <c r="AK3704" t="s">
        <v>43</v>
      </c>
      <c r="AL3704" t="s">
        <v>43</v>
      </c>
      <c r="AM3704" t="s">
        <v>43</v>
      </c>
      <c r="AN3704" t="str">
        <f>HYPERLINK("https://www.google.com/maps?q=10.76304245,79.69437408","Open Location")</f>
        <v>Open Location</v>
      </c>
    </row>
    <row r="3705" spans="1:40" x14ac:dyDescent="0.3">
      <c r="A3705" s="1">
        <v>46210.570833333331</v>
      </c>
      <c r="B3705" t="s">
        <v>40</v>
      </c>
      <c r="C3705" t="s">
        <v>41</v>
      </c>
      <c r="D3705" s="1">
        <v>46210.57371527778</v>
      </c>
      <c r="E3705" t="s">
        <v>42</v>
      </c>
      <c r="F3705" t="s">
        <v>43</v>
      </c>
      <c r="G3705" t="s">
        <v>43</v>
      </c>
      <c r="H3705" t="s">
        <v>43</v>
      </c>
      <c r="I3705" t="s">
        <v>2209</v>
      </c>
      <c r="J3705" t="s">
        <v>43</v>
      </c>
      <c r="K3705" t="s">
        <v>43</v>
      </c>
      <c r="L3705" t="s">
        <v>43</v>
      </c>
      <c r="M3705" t="s">
        <v>43</v>
      </c>
      <c r="N3705" t="s">
        <v>45</v>
      </c>
      <c r="O3705" t="s">
        <v>43</v>
      </c>
      <c r="P3705" t="s">
        <v>43</v>
      </c>
      <c r="Q3705" t="s">
        <v>43</v>
      </c>
      <c r="R3705" t="s">
        <v>43</v>
      </c>
      <c r="S3705" t="s">
        <v>43</v>
      </c>
      <c r="T3705" t="s">
        <v>43</v>
      </c>
      <c r="U3705" t="s">
        <v>43</v>
      </c>
      <c r="V3705" t="s">
        <v>43</v>
      </c>
      <c r="W3705" t="s">
        <v>43</v>
      </c>
      <c r="X3705" t="s">
        <v>43</v>
      </c>
      <c r="Y3705" t="s">
        <v>43</v>
      </c>
      <c r="Z3705" t="s">
        <v>43</v>
      </c>
      <c r="AA3705" t="s">
        <v>43</v>
      </c>
      <c r="AB3705" t="s">
        <v>43</v>
      </c>
      <c r="AC3705" t="s">
        <v>43</v>
      </c>
      <c r="AD3705" t="s">
        <v>43</v>
      </c>
      <c r="AE3705" t="s">
        <v>43</v>
      </c>
      <c r="AF3705" t="s">
        <v>43</v>
      </c>
      <c r="AG3705" t="s">
        <v>43</v>
      </c>
      <c r="AH3705" t="s">
        <v>43</v>
      </c>
      <c r="AI3705" t="s">
        <v>43</v>
      </c>
      <c r="AJ3705" t="s">
        <v>43</v>
      </c>
      <c r="AK3705" t="s">
        <v>43</v>
      </c>
      <c r="AL3705" t="s">
        <v>43</v>
      </c>
      <c r="AM3705" t="s">
        <v>43</v>
      </c>
      <c r="AN3705" t="str">
        <f>HYPERLINK("https://www.google.com/maps?q=10.76303959,79.69437408","Open Location")</f>
        <v>Open Location</v>
      </c>
    </row>
    <row r="3706" spans="1:40" x14ac:dyDescent="0.3">
      <c r="A3706" s="1">
        <v>46210.570717592593</v>
      </c>
      <c r="B3706" t="s">
        <v>40</v>
      </c>
      <c r="C3706" t="s">
        <v>41</v>
      </c>
      <c r="D3706" s="1">
        <v>46210.573587962965</v>
      </c>
      <c r="E3706" t="s">
        <v>42</v>
      </c>
      <c r="F3706" t="s">
        <v>43</v>
      </c>
      <c r="G3706" t="s">
        <v>43</v>
      </c>
      <c r="H3706" t="s">
        <v>43</v>
      </c>
      <c r="I3706" t="s">
        <v>2210</v>
      </c>
      <c r="J3706" t="s">
        <v>43</v>
      </c>
      <c r="K3706" t="s">
        <v>43</v>
      </c>
      <c r="L3706" t="s">
        <v>43</v>
      </c>
      <c r="M3706" t="s">
        <v>43</v>
      </c>
      <c r="N3706" t="s">
        <v>45</v>
      </c>
      <c r="O3706" t="s">
        <v>43</v>
      </c>
      <c r="P3706" t="s">
        <v>43</v>
      </c>
      <c r="Q3706" t="s">
        <v>43</v>
      </c>
      <c r="R3706" t="s">
        <v>43</v>
      </c>
      <c r="S3706" t="s">
        <v>43</v>
      </c>
      <c r="T3706" t="s">
        <v>43</v>
      </c>
      <c r="U3706" t="s">
        <v>43</v>
      </c>
      <c r="V3706" t="s">
        <v>43</v>
      </c>
      <c r="W3706" t="s">
        <v>43</v>
      </c>
      <c r="X3706" t="s">
        <v>43</v>
      </c>
      <c r="Y3706" t="s">
        <v>43</v>
      </c>
      <c r="Z3706" t="s">
        <v>43</v>
      </c>
      <c r="AA3706" t="s">
        <v>43</v>
      </c>
      <c r="AB3706" t="s">
        <v>43</v>
      </c>
      <c r="AC3706" t="s">
        <v>43</v>
      </c>
      <c r="AD3706" t="s">
        <v>43</v>
      </c>
      <c r="AE3706" t="s">
        <v>43</v>
      </c>
      <c r="AF3706" t="s">
        <v>43</v>
      </c>
      <c r="AG3706" t="s">
        <v>43</v>
      </c>
      <c r="AH3706" t="s">
        <v>43</v>
      </c>
      <c r="AI3706" t="s">
        <v>43</v>
      </c>
      <c r="AJ3706" t="s">
        <v>43</v>
      </c>
      <c r="AK3706" t="s">
        <v>43</v>
      </c>
      <c r="AL3706" t="s">
        <v>43</v>
      </c>
      <c r="AM3706" t="s">
        <v>43</v>
      </c>
      <c r="AN3706" t="str">
        <f>HYPERLINK("https://www.google.com/maps?q=10.76304245,79.69436646","Open Location")</f>
        <v>Open Location</v>
      </c>
    </row>
    <row r="3707" spans="1:40" x14ac:dyDescent="0.3">
      <c r="A3707" s="1">
        <v>46210.570601851854</v>
      </c>
      <c r="B3707" t="s">
        <v>40</v>
      </c>
      <c r="C3707" t="s">
        <v>41</v>
      </c>
      <c r="D3707" s="1">
        <v>46210.573541666665</v>
      </c>
      <c r="E3707" t="s">
        <v>42</v>
      </c>
      <c r="F3707" t="s">
        <v>43</v>
      </c>
      <c r="G3707" t="s">
        <v>43</v>
      </c>
      <c r="H3707" t="s">
        <v>43</v>
      </c>
      <c r="I3707" t="s">
        <v>2210</v>
      </c>
      <c r="J3707" t="s">
        <v>43</v>
      </c>
      <c r="K3707" t="s">
        <v>43</v>
      </c>
      <c r="L3707" t="s">
        <v>43</v>
      </c>
      <c r="M3707" t="s">
        <v>43</v>
      </c>
      <c r="N3707" t="s">
        <v>45</v>
      </c>
      <c r="O3707" t="s">
        <v>43</v>
      </c>
      <c r="P3707" t="s">
        <v>43</v>
      </c>
      <c r="Q3707" t="s">
        <v>43</v>
      </c>
      <c r="R3707" t="s">
        <v>43</v>
      </c>
      <c r="S3707" t="s">
        <v>43</v>
      </c>
      <c r="T3707" t="s">
        <v>43</v>
      </c>
      <c r="U3707" t="s">
        <v>43</v>
      </c>
      <c r="V3707" t="s">
        <v>43</v>
      </c>
      <c r="W3707" t="s">
        <v>43</v>
      </c>
      <c r="X3707" t="s">
        <v>43</v>
      </c>
      <c r="Y3707" t="s">
        <v>43</v>
      </c>
      <c r="Z3707" t="s">
        <v>43</v>
      </c>
      <c r="AA3707" t="s">
        <v>43</v>
      </c>
      <c r="AB3707" t="s">
        <v>43</v>
      </c>
      <c r="AC3707" t="s">
        <v>43</v>
      </c>
      <c r="AD3707" t="s">
        <v>43</v>
      </c>
      <c r="AE3707" t="s">
        <v>43</v>
      </c>
      <c r="AF3707" t="s">
        <v>43</v>
      </c>
      <c r="AG3707" t="s">
        <v>43</v>
      </c>
      <c r="AH3707" t="s">
        <v>43</v>
      </c>
      <c r="AI3707" t="s">
        <v>43</v>
      </c>
      <c r="AJ3707" t="s">
        <v>43</v>
      </c>
      <c r="AK3707" t="s">
        <v>43</v>
      </c>
      <c r="AL3707" t="s">
        <v>43</v>
      </c>
      <c r="AM3707" t="s">
        <v>43</v>
      </c>
      <c r="AN3707" t="str">
        <f>HYPERLINK("https://www.google.com/maps?q=10.76304245,79.69436646","Open Location")</f>
        <v>Open Location</v>
      </c>
    </row>
    <row r="3708" spans="1:40" x14ac:dyDescent="0.3">
      <c r="A3708" s="1">
        <v>46210.570486111108</v>
      </c>
      <c r="B3708" t="s">
        <v>40</v>
      </c>
      <c r="C3708" t="s">
        <v>41</v>
      </c>
      <c r="D3708" s="1">
        <v>46210.573587962965</v>
      </c>
      <c r="E3708" t="s">
        <v>42</v>
      </c>
      <c r="F3708" t="s">
        <v>43</v>
      </c>
      <c r="G3708" t="s">
        <v>43</v>
      </c>
      <c r="H3708" t="s">
        <v>43</v>
      </c>
      <c r="I3708" t="s">
        <v>43</v>
      </c>
      <c r="J3708" t="s">
        <v>43</v>
      </c>
      <c r="K3708" t="s">
        <v>43</v>
      </c>
      <c r="L3708" t="s">
        <v>43</v>
      </c>
      <c r="M3708" t="s">
        <v>43</v>
      </c>
      <c r="N3708" t="s">
        <v>45</v>
      </c>
      <c r="O3708" t="s">
        <v>43</v>
      </c>
      <c r="P3708" t="s">
        <v>43</v>
      </c>
      <c r="Q3708" t="s">
        <v>43</v>
      </c>
      <c r="R3708" t="s">
        <v>43</v>
      </c>
      <c r="S3708" t="s">
        <v>43</v>
      </c>
      <c r="T3708" t="s">
        <v>43</v>
      </c>
      <c r="U3708" t="s">
        <v>43</v>
      </c>
      <c r="V3708" t="s">
        <v>43</v>
      </c>
      <c r="W3708" t="s">
        <v>43</v>
      </c>
      <c r="X3708" t="s">
        <v>43</v>
      </c>
      <c r="Y3708" t="s">
        <v>43</v>
      </c>
      <c r="Z3708" t="s">
        <v>43</v>
      </c>
      <c r="AA3708" t="s">
        <v>43</v>
      </c>
      <c r="AB3708" t="s">
        <v>43</v>
      </c>
      <c r="AC3708" t="s">
        <v>43</v>
      </c>
      <c r="AD3708" t="s">
        <v>43</v>
      </c>
      <c r="AE3708" t="s">
        <v>43</v>
      </c>
      <c r="AF3708" t="s">
        <v>43</v>
      </c>
      <c r="AG3708" t="s">
        <v>43</v>
      </c>
      <c r="AH3708" t="s">
        <v>43</v>
      </c>
      <c r="AI3708" t="s">
        <v>43</v>
      </c>
      <c r="AJ3708" t="s">
        <v>43</v>
      </c>
      <c r="AK3708" t="s">
        <v>43</v>
      </c>
      <c r="AL3708" t="s">
        <v>43</v>
      </c>
      <c r="AM3708" t="s">
        <v>43</v>
      </c>
      <c r="AN3708" t="s">
        <v>43</v>
      </c>
    </row>
    <row r="3709" spans="1:40" x14ac:dyDescent="0.3">
      <c r="A3709" s="1">
        <v>46210.570370370369</v>
      </c>
      <c r="B3709" t="s">
        <v>40</v>
      </c>
      <c r="C3709" t="s">
        <v>41</v>
      </c>
      <c r="D3709" s="1">
        <v>46210.573194444441</v>
      </c>
      <c r="E3709" t="s">
        <v>42</v>
      </c>
      <c r="F3709" t="s">
        <v>43</v>
      </c>
      <c r="G3709" t="s">
        <v>43</v>
      </c>
      <c r="H3709" t="s">
        <v>43</v>
      </c>
      <c r="I3709" t="s">
        <v>2211</v>
      </c>
      <c r="J3709" t="s">
        <v>43</v>
      </c>
      <c r="K3709" t="s">
        <v>43</v>
      </c>
      <c r="L3709" t="s">
        <v>43</v>
      </c>
      <c r="M3709" t="s">
        <v>43</v>
      </c>
      <c r="N3709" t="s">
        <v>45</v>
      </c>
      <c r="O3709" t="s">
        <v>43</v>
      </c>
      <c r="P3709" t="s">
        <v>43</v>
      </c>
      <c r="Q3709" t="s">
        <v>43</v>
      </c>
      <c r="R3709" t="s">
        <v>43</v>
      </c>
      <c r="S3709" t="s">
        <v>43</v>
      </c>
      <c r="T3709" t="s">
        <v>43</v>
      </c>
      <c r="U3709" t="s">
        <v>43</v>
      </c>
      <c r="V3709" t="s">
        <v>43</v>
      </c>
      <c r="W3709" t="s">
        <v>43</v>
      </c>
      <c r="X3709" t="s">
        <v>43</v>
      </c>
      <c r="Y3709" t="s">
        <v>43</v>
      </c>
      <c r="Z3709" t="s">
        <v>43</v>
      </c>
      <c r="AA3709" t="s">
        <v>43</v>
      </c>
      <c r="AB3709" t="s">
        <v>43</v>
      </c>
      <c r="AC3709" t="s">
        <v>43</v>
      </c>
      <c r="AD3709" t="s">
        <v>43</v>
      </c>
      <c r="AE3709" t="s">
        <v>43</v>
      </c>
      <c r="AF3709" t="s">
        <v>43</v>
      </c>
      <c r="AG3709" t="s">
        <v>43</v>
      </c>
      <c r="AH3709" t="s">
        <v>43</v>
      </c>
      <c r="AI3709" t="s">
        <v>43</v>
      </c>
      <c r="AJ3709" t="s">
        <v>43</v>
      </c>
      <c r="AK3709" t="s">
        <v>43</v>
      </c>
      <c r="AL3709" t="s">
        <v>43</v>
      </c>
      <c r="AM3709" t="s">
        <v>43</v>
      </c>
      <c r="AN3709" t="str">
        <f>HYPERLINK("https://www.google.com/maps?q=10.7630434,79.69436646","Open Location")</f>
        <v>Open Location</v>
      </c>
    </row>
    <row r="3710" spans="1:40" x14ac:dyDescent="0.3">
      <c r="A3710" s="1">
        <v>46210.570254629631</v>
      </c>
      <c r="B3710" t="s">
        <v>40</v>
      </c>
      <c r="C3710" t="s">
        <v>41</v>
      </c>
      <c r="D3710" s="1">
        <v>46210.573067129626</v>
      </c>
      <c r="E3710" t="s">
        <v>42</v>
      </c>
      <c r="F3710" t="s">
        <v>43</v>
      </c>
      <c r="G3710" t="s">
        <v>43</v>
      </c>
      <c r="H3710" t="s">
        <v>43</v>
      </c>
      <c r="I3710" t="s">
        <v>2212</v>
      </c>
      <c r="J3710" t="s">
        <v>43</v>
      </c>
      <c r="K3710" t="s">
        <v>43</v>
      </c>
      <c r="L3710" t="s">
        <v>43</v>
      </c>
      <c r="M3710" t="s">
        <v>43</v>
      </c>
      <c r="N3710" t="s">
        <v>45</v>
      </c>
      <c r="O3710" t="s">
        <v>43</v>
      </c>
      <c r="P3710" t="s">
        <v>43</v>
      </c>
      <c r="Q3710" t="s">
        <v>43</v>
      </c>
      <c r="R3710" t="s">
        <v>43</v>
      </c>
      <c r="S3710" t="s">
        <v>43</v>
      </c>
      <c r="T3710" t="s">
        <v>43</v>
      </c>
      <c r="U3710" t="s">
        <v>43</v>
      </c>
      <c r="V3710" t="s">
        <v>43</v>
      </c>
      <c r="W3710" t="s">
        <v>43</v>
      </c>
      <c r="X3710" t="s">
        <v>43</v>
      </c>
      <c r="Y3710" t="s">
        <v>43</v>
      </c>
      <c r="Z3710" t="s">
        <v>43</v>
      </c>
      <c r="AA3710" t="s">
        <v>43</v>
      </c>
      <c r="AB3710" t="s">
        <v>43</v>
      </c>
      <c r="AC3710" t="s">
        <v>43</v>
      </c>
      <c r="AD3710" t="s">
        <v>43</v>
      </c>
      <c r="AE3710" t="s">
        <v>43</v>
      </c>
      <c r="AF3710" t="s">
        <v>43</v>
      </c>
      <c r="AG3710" t="s">
        <v>43</v>
      </c>
      <c r="AH3710" t="s">
        <v>43</v>
      </c>
      <c r="AI3710" t="s">
        <v>43</v>
      </c>
      <c r="AJ3710" t="s">
        <v>43</v>
      </c>
      <c r="AK3710" t="s">
        <v>43</v>
      </c>
      <c r="AL3710" t="s">
        <v>43</v>
      </c>
      <c r="AM3710" t="s">
        <v>43</v>
      </c>
      <c r="AN3710" t="str">
        <f>HYPERLINK("https://www.google.com/maps?q=10.76304531,79.69436646","Open Location")</f>
        <v>Open Location</v>
      </c>
    </row>
    <row r="3711" spans="1:40" x14ac:dyDescent="0.3">
      <c r="A3711" s="1">
        <v>46210.570138888892</v>
      </c>
      <c r="B3711" t="s">
        <v>40</v>
      </c>
      <c r="C3711" t="s">
        <v>41</v>
      </c>
      <c r="D3711" s="1">
        <v>46210.572824074072</v>
      </c>
      <c r="E3711" t="s">
        <v>42</v>
      </c>
      <c r="F3711" t="s">
        <v>43</v>
      </c>
      <c r="G3711" t="s">
        <v>43</v>
      </c>
      <c r="H3711" t="s">
        <v>43</v>
      </c>
      <c r="I3711" t="s">
        <v>2193</v>
      </c>
      <c r="J3711" t="s">
        <v>43</v>
      </c>
      <c r="K3711" t="s">
        <v>43</v>
      </c>
      <c r="L3711" t="s">
        <v>43</v>
      </c>
      <c r="M3711" t="s">
        <v>43</v>
      </c>
      <c r="N3711" t="s">
        <v>45</v>
      </c>
      <c r="O3711" t="s">
        <v>43</v>
      </c>
      <c r="P3711" t="s">
        <v>43</v>
      </c>
      <c r="Q3711" t="s">
        <v>43</v>
      </c>
      <c r="R3711" t="s">
        <v>43</v>
      </c>
      <c r="S3711" t="s">
        <v>43</v>
      </c>
      <c r="T3711" t="s">
        <v>43</v>
      </c>
      <c r="U3711" t="s">
        <v>43</v>
      </c>
      <c r="V3711" t="s">
        <v>43</v>
      </c>
      <c r="W3711" t="s">
        <v>43</v>
      </c>
      <c r="X3711" t="s">
        <v>43</v>
      </c>
      <c r="Y3711" t="s">
        <v>43</v>
      </c>
      <c r="Z3711" t="s">
        <v>43</v>
      </c>
      <c r="AA3711" t="s">
        <v>43</v>
      </c>
      <c r="AB3711" t="s">
        <v>43</v>
      </c>
      <c r="AC3711" t="s">
        <v>43</v>
      </c>
      <c r="AD3711" t="s">
        <v>43</v>
      </c>
      <c r="AE3711" t="s">
        <v>43</v>
      </c>
      <c r="AF3711" t="s">
        <v>43</v>
      </c>
      <c r="AG3711" t="s">
        <v>43</v>
      </c>
      <c r="AH3711" t="s">
        <v>43</v>
      </c>
      <c r="AI3711" t="s">
        <v>43</v>
      </c>
      <c r="AJ3711" t="s">
        <v>43</v>
      </c>
      <c r="AK3711" t="s">
        <v>43</v>
      </c>
      <c r="AL3711" t="s">
        <v>43</v>
      </c>
      <c r="AM3711" t="s">
        <v>43</v>
      </c>
      <c r="AN3711" t="str">
        <f>HYPERLINK("https://www.google.com/maps?q=10.76305008,79.69436646","Open Location")</f>
        <v>Open Location</v>
      </c>
    </row>
    <row r="3712" spans="1:40" x14ac:dyDescent="0.3">
      <c r="A3712" s="1">
        <v>46210.570023148146</v>
      </c>
      <c r="B3712" t="s">
        <v>40</v>
      </c>
      <c r="C3712" t="s">
        <v>41</v>
      </c>
      <c r="D3712" s="1">
        <v>46210.572824074072</v>
      </c>
      <c r="E3712" t="s">
        <v>42</v>
      </c>
      <c r="F3712" t="s">
        <v>43</v>
      </c>
      <c r="G3712" t="s">
        <v>43</v>
      </c>
      <c r="H3712" t="s">
        <v>43</v>
      </c>
      <c r="I3712" t="s">
        <v>2213</v>
      </c>
      <c r="J3712" t="s">
        <v>43</v>
      </c>
      <c r="K3712" t="s">
        <v>43</v>
      </c>
      <c r="L3712" t="s">
        <v>43</v>
      </c>
      <c r="M3712" t="s">
        <v>43</v>
      </c>
      <c r="N3712" t="s">
        <v>45</v>
      </c>
      <c r="O3712" t="s">
        <v>43</v>
      </c>
      <c r="P3712" t="s">
        <v>43</v>
      </c>
      <c r="Q3712" t="s">
        <v>43</v>
      </c>
      <c r="R3712" t="s">
        <v>43</v>
      </c>
      <c r="S3712" t="s">
        <v>43</v>
      </c>
      <c r="T3712" t="s">
        <v>43</v>
      </c>
      <c r="U3712" t="s">
        <v>43</v>
      </c>
      <c r="V3712" t="s">
        <v>43</v>
      </c>
      <c r="W3712" t="s">
        <v>43</v>
      </c>
      <c r="X3712" t="s">
        <v>43</v>
      </c>
      <c r="Y3712" t="s">
        <v>43</v>
      </c>
      <c r="Z3712" t="s">
        <v>43</v>
      </c>
      <c r="AA3712" t="s">
        <v>43</v>
      </c>
      <c r="AB3712" t="s">
        <v>43</v>
      </c>
      <c r="AC3712" t="s">
        <v>43</v>
      </c>
      <c r="AD3712" t="s">
        <v>43</v>
      </c>
      <c r="AE3712" t="s">
        <v>43</v>
      </c>
      <c r="AF3712" t="s">
        <v>43</v>
      </c>
      <c r="AG3712" t="s">
        <v>43</v>
      </c>
      <c r="AH3712" t="s">
        <v>43</v>
      </c>
      <c r="AI3712" t="s">
        <v>43</v>
      </c>
      <c r="AJ3712" t="s">
        <v>43</v>
      </c>
      <c r="AK3712" t="s">
        <v>43</v>
      </c>
      <c r="AL3712" t="s">
        <v>43</v>
      </c>
      <c r="AM3712" t="s">
        <v>43</v>
      </c>
      <c r="AN3712" t="str">
        <f>HYPERLINK("https://www.google.com/maps?q=10.76305294,79.69436646","Open Location")</f>
        <v>Open Location</v>
      </c>
    </row>
    <row r="3713" spans="1:40" x14ac:dyDescent="0.3">
      <c r="A3713" s="1">
        <v>46210.569907407407</v>
      </c>
      <c r="B3713" t="s">
        <v>40</v>
      </c>
      <c r="C3713" t="s">
        <v>41</v>
      </c>
      <c r="D3713" s="1">
        <v>46210.572789351849</v>
      </c>
      <c r="E3713" t="s">
        <v>42</v>
      </c>
      <c r="F3713" t="s">
        <v>43</v>
      </c>
      <c r="G3713" t="s">
        <v>43</v>
      </c>
      <c r="H3713" t="s">
        <v>43</v>
      </c>
      <c r="I3713" t="s">
        <v>43</v>
      </c>
      <c r="J3713" t="s">
        <v>43</v>
      </c>
      <c r="K3713" t="s">
        <v>43</v>
      </c>
      <c r="L3713" t="s">
        <v>43</v>
      </c>
      <c r="M3713" t="s">
        <v>43</v>
      </c>
      <c r="N3713" t="s">
        <v>45</v>
      </c>
      <c r="O3713" t="s">
        <v>43</v>
      </c>
      <c r="P3713" t="s">
        <v>43</v>
      </c>
      <c r="Q3713" t="s">
        <v>43</v>
      </c>
      <c r="R3713" t="s">
        <v>43</v>
      </c>
      <c r="S3713" t="s">
        <v>43</v>
      </c>
      <c r="T3713" t="s">
        <v>43</v>
      </c>
      <c r="U3713" t="s">
        <v>43</v>
      </c>
      <c r="V3713" t="s">
        <v>43</v>
      </c>
      <c r="W3713" t="s">
        <v>43</v>
      </c>
      <c r="X3713" t="s">
        <v>43</v>
      </c>
      <c r="Y3713" t="s">
        <v>43</v>
      </c>
      <c r="Z3713" t="s">
        <v>43</v>
      </c>
      <c r="AA3713" t="s">
        <v>43</v>
      </c>
      <c r="AB3713" t="s">
        <v>43</v>
      </c>
      <c r="AC3713" t="s">
        <v>43</v>
      </c>
      <c r="AD3713" t="s">
        <v>43</v>
      </c>
      <c r="AE3713" t="s">
        <v>43</v>
      </c>
      <c r="AF3713" t="s">
        <v>43</v>
      </c>
      <c r="AG3713" t="s">
        <v>43</v>
      </c>
      <c r="AH3713" t="s">
        <v>43</v>
      </c>
      <c r="AI3713" t="s">
        <v>43</v>
      </c>
      <c r="AJ3713" t="s">
        <v>43</v>
      </c>
      <c r="AK3713" t="s">
        <v>43</v>
      </c>
      <c r="AL3713" t="s">
        <v>43</v>
      </c>
      <c r="AM3713" t="s">
        <v>43</v>
      </c>
      <c r="AN3713" t="s">
        <v>43</v>
      </c>
    </row>
    <row r="3714" spans="1:40" x14ac:dyDescent="0.3">
      <c r="A3714" s="1">
        <v>46210.569791666669</v>
      </c>
      <c r="B3714" t="s">
        <v>40</v>
      </c>
      <c r="C3714" t="s">
        <v>41</v>
      </c>
      <c r="D3714" s="1">
        <v>46210.572754629633</v>
      </c>
      <c r="E3714" t="s">
        <v>42</v>
      </c>
      <c r="F3714" t="s">
        <v>43</v>
      </c>
      <c r="G3714" t="s">
        <v>43</v>
      </c>
      <c r="H3714" t="s">
        <v>43</v>
      </c>
      <c r="I3714" t="s">
        <v>2214</v>
      </c>
      <c r="J3714" t="s">
        <v>43</v>
      </c>
      <c r="K3714" t="s">
        <v>43</v>
      </c>
      <c r="L3714" t="s">
        <v>43</v>
      </c>
      <c r="M3714" t="s">
        <v>43</v>
      </c>
      <c r="N3714" t="s">
        <v>45</v>
      </c>
      <c r="O3714" t="s">
        <v>43</v>
      </c>
      <c r="P3714" t="s">
        <v>43</v>
      </c>
      <c r="Q3714" t="s">
        <v>43</v>
      </c>
      <c r="R3714" t="s">
        <v>43</v>
      </c>
      <c r="S3714" t="s">
        <v>43</v>
      </c>
      <c r="T3714" t="s">
        <v>43</v>
      </c>
      <c r="U3714" t="s">
        <v>43</v>
      </c>
      <c r="V3714" t="s">
        <v>43</v>
      </c>
      <c r="W3714" t="s">
        <v>43</v>
      </c>
      <c r="X3714" t="s">
        <v>43</v>
      </c>
      <c r="Y3714" t="s">
        <v>43</v>
      </c>
      <c r="Z3714" t="s">
        <v>43</v>
      </c>
      <c r="AA3714" t="s">
        <v>43</v>
      </c>
      <c r="AB3714" t="s">
        <v>43</v>
      </c>
      <c r="AC3714" t="s">
        <v>43</v>
      </c>
      <c r="AD3714" t="s">
        <v>43</v>
      </c>
      <c r="AE3714" t="s">
        <v>43</v>
      </c>
      <c r="AF3714" t="s">
        <v>43</v>
      </c>
      <c r="AG3714" t="s">
        <v>43</v>
      </c>
      <c r="AH3714" t="s">
        <v>43</v>
      </c>
      <c r="AI3714" t="s">
        <v>43</v>
      </c>
      <c r="AJ3714" t="s">
        <v>43</v>
      </c>
      <c r="AK3714" t="s">
        <v>43</v>
      </c>
      <c r="AL3714" t="s">
        <v>43</v>
      </c>
      <c r="AM3714" t="s">
        <v>43</v>
      </c>
      <c r="AN3714" t="str">
        <f>HYPERLINK("https://www.google.com/maps?q=10.76305866,79.69437408","Open Location")</f>
        <v>Open Location</v>
      </c>
    </row>
    <row r="3715" spans="1:40" x14ac:dyDescent="0.3">
      <c r="A3715" s="1">
        <v>46210.569675925923</v>
      </c>
      <c r="B3715" t="s">
        <v>40</v>
      </c>
      <c r="C3715" t="s">
        <v>41</v>
      </c>
      <c r="D3715" s="1">
        <v>46210.572523148148</v>
      </c>
      <c r="E3715" t="s">
        <v>42</v>
      </c>
      <c r="F3715" t="s">
        <v>43</v>
      </c>
      <c r="G3715" t="s">
        <v>43</v>
      </c>
      <c r="H3715" t="s">
        <v>43</v>
      </c>
      <c r="I3715" t="s">
        <v>2215</v>
      </c>
      <c r="J3715" t="s">
        <v>43</v>
      </c>
      <c r="K3715" t="s">
        <v>43</v>
      </c>
      <c r="L3715" t="s">
        <v>43</v>
      </c>
      <c r="M3715" t="s">
        <v>43</v>
      </c>
      <c r="N3715" t="s">
        <v>45</v>
      </c>
      <c r="O3715" t="s">
        <v>43</v>
      </c>
      <c r="P3715" t="s">
        <v>43</v>
      </c>
      <c r="Q3715" t="s">
        <v>43</v>
      </c>
      <c r="R3715" t="s">
        <v>43</v>
      </c>
      <c r="S3715" t="s">
        <v>43</v>
      </c>
      <c r="T3715" t="s">
        <v>43</v>
      </c>
      <c r="U3715" t="s">
        <v>43</v>
      </c>
      <c r="V3715" t="s">
        <v>43</v>
      </c>
      <c r="W3715" t="s">
        <v>43</v>
      </c>
      <c r="X3715" t="s">
        <v>43</v>
      </c>
      <c r="Y3715" t="s">
        <v>43</v>
      </c>
      <c r="Z3715" t="s">
        <v>43</v>
      </c>
      <c r="AA3715" t="s">
        <v>43</v>
      </c>
      <c r="AB3715" t="s">
        <v>43</v>
      </c>
      <c r="AC3715" t="s">
        <v>43</v>
      </c>
      <c r="AD3715" t="s">
        <v>43</v>
      </c>
      <c r="AE3715" t="s">
        <v>43</v>
      </c>
      <c r="AF3715" t="s">
        <v>43</v>
      </c>
      <c r="AG3715" t="s">
        <v>43</v>
      </c>
      <c r="AH3715" t="s">
        <v>43</v>
      </c>
      <c r="AI3715" t="s">
        <v>43</v>
      </c>
      <c r="AJ3715" t="s">
        <v>43</v>
      </c>
      <c r="AK3715" t="s">
        <v>43</v>
      </c>
      <c r="AL3715" t="s">
        <v>43</v>
      </c>
      <c r="AM3715" t="s">
        <v>43</v>
      </c>
      <c r="AN3715" t="str">
        <f>HYPERLINK("https://www.google.com/maps?q=10.76305962,79.69437408","Open Location")</f>
        <v>Open Location</v>
      </c>
    </row>
    <row r="3716" spans="1:40" x14ac:dyDescent="0.3">
      <c r="A3716" s="1">
        <v>46210.569560185184</v>
      </c>
      <c r="B3716" t="s">
        <v>40</v>
      </c>
      <c r="C3716" t="s">
        <v>41</v>
      </c>
      <c r="D3716" s="1">
        <v>46210.572465277779</v>
      </c>
      <c r="E3716" t="s">
        <v>42</v>
      </c>
      <c r="F3716" t="s">
        <v>43</v>
      </c>
      <c r="G3716" t="s">
        <v>43</v>
      </c>
      <c r="H3716" t="s">
        <v>43</v>
      </c>
      <c r="I3716" t="s">
        <v>2216</v>
      </c>
      <c r="J3716" t="s">
        <v>43</v>
      </c>
      <c r="K3716" t="s">
        <v>43</v>
      </c>
      <c r="L3716" t="s">
        <v>43</v>
      </c>
      <c r="M3716" t="s">
        <v>43</v>
      </c>
      <c r="N3716" t="s">
        <v>45</v>
      </c>
      <c r="O3716" t="s">
        <v>43</v>
      </c>
      <c r="P3716" t="s">
        <v>43</v>
      </c>
      <c r="Q3716" t="s">
        <v>43</v>
      </c>
      <c r="R3716" t="s">
        <v>43</v>
      </c>
      <c r="S3716" t="s">
        <v>43</v>
      </c>
      <c r="T3716" t="s">
        <v>43</v>
      </c>
      <c r="U3716" t="s">
        <v>43</v>
      </c>
      <c r="V3716" t="s">
        <v>43</v>
      </c>
      <c r="W3716" t="s">
        <v>43</v>
      </c>
      <c r="X3716" t="s">
        <v>43</v>
      </c>
      <c r="Y3716" t="s">
        <v>43</v>
      </c>
      <c r="Z3716" t="s">
        <v>43</v>
      </c>
      <c r="AA3716" t="s">
        <v>43</v>
      </c>
      <c r="AB3716" t="s">
        <v>43</v>
      </c>
      <c r="AC3716" t="s">
        <v>43</v>
      </c>
      <c r="AD3716" t="s">
        <v>43</v>
      </c>
      <c r="AE3716" t="s">
        <v>43</v>
      </c>
      <c r="AF3716" t="s">
        <v>43</v>
      </c>
      <c r="AG3716" t="s">
        <v>43</v>
      </c>
      <c r="AH3716" t="s">
        <v>43</v>
      </c>
      <c r="AI3716" t="s">
        <v>43</v>
      </c>
      <c r="AJ3716" t="s">
        <v>43</v>
      </c>
      <c r="AK3716" t="s">
        <v>43</v>
      </c>
      <c r="AL3716" t="s">
        <v>43</v>
      </c>
      <c r="AM3716" t="s">
        <v>43</v>
      </c>
      <c r="AN3716" t="str">
        <f>HYPERLINK("https://www.google.com/maps?q=10.76306629,79.69437408","Open Location")</f>
        <v>Open Location</v>
      </c>
    </row>
    <row r="3717" spans="1:40" x14ac:dyDescent="0.3">
      <c r="A3717" s="1">
        <v>46210.569444444445</v>
      </c>
      <c r="B3717" t="s">
        <v>40</v>
      </c>
      <c r="C3717" t="s">
        <v>41</v>
      </c>
      <c r="D3717" s="1">
        <v>46210.572465277779</v>
      </c>
      <c r="E3717" t="s">
        <v>42</v>
      </c>
      <c r="F3717" t="s">
        <v>43</v>
      </c>
      <c r="G3717" t="s">
        <v>43</v>
      </c>
      <c r="H3717" t="s">
        <v>43</v>
      </c>
      <c r="I3717" t="s">
        <v>2217</v>
      </c>
      <c r="J3717" t="s">
        <v>43</v>
      </c>
      <c r="K3717" t="s">
        <v>43</v>
      </c>
      <c r="L3717" t="s">
        <v>43</v>
      </c>
      <c r="M3717" t="s">
        <v>43</v>
      </c>
      <c r="N3717" t="s">
        <v>45</v>
      </c>
      <c r="O3717" t="s">
        <v>43</v>
      </c>
      <c r="P3717" t="s">
        <v>43</v>
      </c>
      <c r="Q3717" t="s">
        <v>43</v>
      </c>
      <c r="R3717" t="s">
        <v>43</v>
      </c>
      <c r="S3717" t="s">
        <v>43</v>
      </c>
      <c r="T3717" t="s">
        <v>43</v>
      </c>
      <c r="U3717" t="s">
        <v>43</v>
      </c>
      <c r="V3717" t="s">
        <v>43</v>
      </c>
      <c r="W3717" t="s">
        <v>43</v>
      </c>
      <c r="X3717" t="s">
        <v>43</v>
      </c>
      <c r="Y3717" t="s">
        <v>43</v>
      </c>
      <c r="Z3717" t="s">
        <v>43</v>
      </c>
      <c r="AA3717" t="s">
        <v>43</v>
      </c>
      <c r="AB3717" t="s">
        <v>43</v>
      </c>
      <c r="AC3717" t="s">
        <v>43</v>
      </c>
      <c r="AD3717" t="s">
        <v>43</v>
      </c>
      <c r="AE3717" t="s">
        <v>43</v>
      </c>
      <c r="AF3717" t="s">
        <v>43</v>
      </c>
      <c r="AG3717" t="s">
        <v>43</v>
      </c>
      <c r="AH3717" t="s">
        <v>43</v>
      </c>
      <c r="AI3717" t="s">
        <v>43</v>
      </c>
      <c r="AJ3717" t="s">
        <v>43</v>
      </c>
      <c r="AK3717" t="s">
        <v>43</v>
      </c>
      <c r="AL3717" t="s">
        <v>43</v>
      </c>
      <c r="AM3717" t="s">
        <v>43</v>
      </c>
      <c r="AN3717" t="str">
        <f>HYPERLINK("https://www.google.com/maps?q=10.76306725,79.69437408","Open Location")</f>
        <v>Open Location</v>
      </c>
    </row>
    <row r="3718" spans="1:40" x14ac:dyDescent="0.3">
      <c r="A3718" s="1">
        <v>46210.569328703707</v>
      </c>
      <c r="B3718" t="s">
        <v>40</v>
      </c>
      <c r="C3718" t="s">
        <v>41</v>
      </c>
      <c r="D3718" s="1">
        <v>46210.572326388887</v>
      </c>
      <c r="E3718" t="s">
        <v>42</v>
      </c>
      <c r="F3718" t="s">
        <v>43</v>
      </c>
      <c r="G3718" t="s">
        <v>43</v>
      </c>
      <c r="H3718" t="s">
        <v>43</v>
      </c>
      <c r="I3718" t="s">
        <v>2218</v>
      </c>
      <c r="J3718" t="s">
        <v>43</v>
      </c>
      <c r="K3718" t="s">
        <v>43</v>
      </c>
      <c r="L3718" t="s">
        <v>43</v>
      </c>
      <c r="M3718" t="s">
        <v>43</v>
      </c>
      <c r="N3718" t="s">
        <v>45</v>
      </c>
      <c r="O3718" t="s">
        <v>43</v>
      </c>
      <c r="P3718" t="s">
        <v>43</v>
      </c>
      <c r="Q3718" t="s">
        <v>43</v>
      </c>
      <c r="R3718" t="s">
        <v>43</v>
      </c>
      <c r="S3718" t="s">
        <v>43</v>
      </c>
      <c r="T3718" t="s">
        <v>43</v>
      </c>
      <c r="U3718" t="s">
        <v>43</v>
      </c>
      <c r="V3718" t="s">
        <v>43</v>
      </c>
      <c r="W3718" t="s">
        <v>43</v>
      </c>
      <c r="X3718" t="s">
        <v>43</v>
      </c>
      <c r="Y3718" t="s">
        <v>43</v>
      </c>
      <c r="Z3718" t="s">
        <v>43</v>
      </c>
      <c r="AA3718" t="s">
        <v>43</v>
      </c>
      <c r="AB3718" t="s">
        <v>43</v>
      </c>
      <c r="AC3718" t="s">
        <v>43</v>
      </c>
      <c r="AD3718" t="s">
        <v>43</v>
      </c>
      <c r="AE3718" t="s">
        <v>43</v>
      </c>
      <c r="AF3718" t="s">
        <v>43</v>
      </c>
      <c r="AG3718" t="s">
        <v>43</v>
      </c>
      <c r="AH3718" t="s">
        <v>43</v>
      </c>
      <c r="AI3718" t="s">
        <v>43</v>
      </c>
      <c r="AJ3718" t="s">
        <v>43</v>
      </c>
      <c r="AK3718" t="s">
        <v>43</v>
      </c>
      <c r="AL3718" t="s">
        <v>43</v>
      </c>
      <c r="AM3718" t="s">
        <v>43</v>
      </c>
      <c r="AN3718" t="str">
        <f>HYPERLINK("https://www.google.com/maps?q=10.76306534,79.69436646","Open Location")</f>
        <v>Open Location</v>
      </c>
    </row>
    <row r="3719" spans="1:40" x14ac:dyDescent="0.3">
      <c r="A3719" s="1">
        <v>46210.569212962961</v>
      </c>
      <c r="B3719" t="s">
        <v>40</v>
      </c>
      <c r="C3719" t="s">
        <v>41</v>
      </c>
      <c r="D3719" s="1">
        <v>46210.572013888886</v>
      </c>
      <c r="E3719" t="s">
        <v>42</v>
      </c>
      <c r="F3719" t="s">
        <v>43</v>
      </c>
      <c r="G3719" t="s">
        <v>43</v>
      </c>
      <c r="H3719" t="s">
        <v>43</v>
      </c>
      <c r="I3719" t="s">
        <v>43</v>
      </c>
      <c r="J3719" t="s">
        <v>43</v>
      </c>
      <c r="K3719" t="s">
        <v>43</v>
      </c>
      <c r="L3719" t="s">
        <v>43</v>
      </c>
      <c r="M3719" t="s">
        <v>43</v>
      </c>
      <c r="N3719" t="s">
        <v>45</v>
      </c>
      <c r="O3719" t="s">
        <v>43</v>
      </c>
      <c r="P3719" t="s">
        <v>43</v>
      </c>
      <c r="Q3719" t="s">
        <v>43</v>
      </c>
      <c r="R3719" t="s">
        <v>43</v>
      </c>
      <c r="S3719" t="s">
        <v>43</v>
      </c>
      <c r="T3719" t="s">
        <v>43</v>
      </c>
      <c r="U3719" t="s">
        <v>43</v>
      </c>
      <c r="V3719" t="s">
        <v>43</v>
      </c>
      <c r="W3719" t="s">
        <v>43</v>
      </c>
      <c r="X3719" t="s">
        <v>43</v>
      </c>
      <c r="Y3719" t="s">
        <v>43</v>
      </c>
      <c r="Z3719" t="s">
        <v>43</v>
      </c>
      <c r="AA3719" t="s">
        <v>43</v>
      </c>
      <c r="AB3719" t="s">
        <v>43</v>
      </c>
      <c r="AC3719" t="s">
        <v>43</v>
      </c>
      <c r="AD3719" t="s">
        <v>43</v>
      </c>
      <c r="AE3719" t="s">
        <v>43</v>
      </c>
      <c r="AF3719" t="s">
        <v>43</v>
      </c>
      <c r="AG3719" t="s">
        <v>43</v>
      </c>
      <c r="AH3719" t="s">
        <v>43</v>
      </c>
      <c r="AI3719" t="s">
        <v>43</v>
      </c>
      <c r="AJ3719" t="s">
        <v>43</v>
      </c>
      <c r="AK3719" t="s">
        <v>43</v>
      </c>
      <c r="AL3719" t="s">
        <v>43</v>
      </c>
      <c r="AM3719" t="s">
        <v>43</v>
      </c>
      <c r="AN3719" t="s">
        <v>43</v>
      </c>
    </row>
    <row r="3720" spans="1:40" x14ac:dyDescent="0.3">
      <c r="A3720" s="1">
        <v>46210.569097222222</v>
      </c>
      <c r="B3720" t="s">
        <v>40</v>
      </c>
      <c r="C3720" t="s">
        <v>41</v>
      </c>
      <c r="D3720" s="1">
        <v>46210.572060185186</v>
      </c>
      <c r="E3720" t="s">
        <v>42</v>
      </c>
      <c r="F3720" t="s">
        <v>43</v>
      </c>
      <c r="G3720" t="s">
        <v>43</v>
      </c>
      <c r="H3720" t="s">
        <v>43</v>
      </c>
      <c r="I3720" t="s">
        <v>2219</v>
      </c>
      <c r="J3720" t="s">
        <v>43</v>
      </c>
      <c r="K3720" t="s">
        <v>43</v>
      </c>
      <c r="L3720" t="s">
        <v>43</v>
      </c>
      <c r="M3720" t="s">
        <v>43</v>
      </c>
      <c r="N3720" t="s">
        <v>45</v>
      </c>
      <c r="O3720" t="s">
        <v>43</v>
      </c>
      <c r="P3720" t="s">
        <v>43</v>
      </c>
      <c r="Q3720" t="s">
        <v>43</v>
      </c>
      <c r="R3720" t="s">
        <v>43</v>
      </c>
      <c r="S3720" t="s">
        <v>43</v>
      </c>
      <c r="T3720" t="s">
        <v>43</v>
      </c>
      <c r="U3720" t="s">
        <v>43</v>
      </c>
      <c r="V3720" t="s">
        <v>43</v>
      </c>
      <c r="W3720" t="s">
        <v>43</v>
      </c>
      <c r="X3720" t="s">
        <v>43</v>
      </c>
      <c r="Y3720" t="s">
        <v>43</v>
      </c>
      <c r="Z3720" t="s">
        <v>43</v>
      </c>
      <c r="AA3720" t="s">
        <v>43</v>
      </c>
      <c r="AB3720" t="s">
        <v>43</v>
      </c>
      <c r="AC3720" t="s">
        <v>43</v>
      </c>
      <c r="AD3720" t="s">
        <v>43</v>
      </c>
      <c r="AE3720" t="s">
        <v>43</v>
      </c>
      <c r="AF3720" t="s">
        <v>43</v>
      </c>
      <c r="AG3720" t="s">
        <v>43</v>
      </c>
      <c r="AH3720" t="s">
        <v>43</v>
      </c>
      <c r="AI3720" t="s">
        <v>43</v>
      </c>
      <c r="AJ3720" t="s">
        <v>43</v>
      </c>
      <c r="AK3720" t="s">
        <v>43</v>
      </c>
      <c r="AL3720" t="s">
        <v>43</v>
      </c>
      <c r="AM3720" t="s">
        <v>43</v>
      </c>
      <c r="AN3720" t="str">
        <f>HYPERLINK("https://www.google.com/maps?q=10.76306629,79.69436646","Open Location")</f>
        <v>Open Location</v>
      </c>
    </row>
    <row r="3721" spans="1:40" x14ac:dyDescent="0.3">
      <c r="A3721" s="1">
        <v>46210.568981481483</v>
      </c>
      <c r="B3721" t="s">
        <v>40</v>
      </c>
      <c r="C3721" t="s">
        <v>41</v>
      </c>
      <c r="D3721" s="1">
        <v>46210.571898148148</v>
      </c>
      <c r="E3721" t="s">
        <v>42</v>
      </c>
      <c r="F3721" t="s">
        <v>43</v>
      </c>
      <c r="G3721" t="s">
        <v>43</v>
      </c>
      <c r="H3721" t="s">
        <v>43</v>
      </c>
      <c r="I3721" t="s">
        <v>2219</v>
      </c>
      <c r="J3721" t="s">
        <v>43</v>
      </c>
      <c r="K3721" t="s">
        <v>43</v>
      </c>
      <c r="L3721" t="s">
        <v>43</v>
      </c>
      <c r="M3721" t="s">
        <v>43</v>
      </c>
      <c r="N3721" t="s">
        <v>45</v>
      </c>
      <c r="O3721" t="s">
        <v>43</v>
      </c>
      <c r="P3721" t="s">
        <v>43</v>
      </c>
      <c r="Q3721" t="s">
        <v>43</v>
      </c>
      <c r="R3721" t="s">
        <v>43</v>
      </c>
      <c r="S3721" t="s">
        <v>43</v>
      </c>
      <c r="T3721" t="s">
        <v>43</v>
      </c>
      <c r="U3721" t="s">
        <v>43</v>
      </c>
      <c r="V3721" t="s">
        <v>43</v>
      </c>
      <c r="W3721" t="s">
        <v>43</v>
      </c>
      <c r="X3721" t="s">
        <v>43</v>
      </c>
      <c r="Y3721" t="s">
        <v>43</v>
      </c>
      <c r="Z3721" t="s">
        <v>43</v>
      </c>
      <c r="AA3721" t="s">
        <v>43</v>
      </c>
      <c r="AB3721" t="s">
        <v>43</v>
      </c>
      <c r="AC3721" t="s">
        <v>43</v>
      </c>
      <c r="AD3721" t="s">
        <v>43</v>
      </c>
      <c r="AE3721" t="s">
        <v>43</v>
      </c>
      <c r="AF3721" t="s">
        <v>43</v>
      </c>
      <c r="AG3721" t="s">
        <v>43</v>
      </c>
      <c r="AH3721" t="s">
        <v>43</v>
      </c>
      <c r="AI3721" t="s">
        <v>43</v>
      </c>
      <c r="AJ3721" t="s">
        <v>43</v>
      </c>
      <c r="AK3721" t="s">
        <v>43</v>
      </c>
      <c r="AL3721" t="s">
        <v>43</v>
      </c>
      <c r="AM3721" t="s">
        <v>43</v>
      </c>
      <c r="AN3721" t="str">
        <f>HYPERLINK("https://www.google.com/maps?q=10.76306629,79.69436646","Open Location")</f>
        <v>Open Location</v>
      </c>
    </row>
    <row r="3722" spans="1:40" x14ac:dyDescent="0.3">
      <c r="A3722" s="1">
        <v>46210.568865740737</v>
      </c>
      <c r="B3722" t="s">
        <v>40</v>
      </c>
      <c r="C3722" t="s">
        <v>41</v>
      </c>
      <c r="D3722" s="1">
        <v>46210.57172453704</v>
      </c>
      <c r="E3722" t="s">
        <v>42</v>
      </c>
      <c r="F3722" t="s">
        <v>43</v>
      </c>
      <c r="G3722" t="s">
        <v>43</v>
      </c>
      <c r="H3722" t="s">
        <v>43</v>
      </c>
      <c r="I3722" t="s">
        <v>2220</v>
      </c>
      <c r="J3722" t="s">
        <v>43</v>
      </c>
      <c r="K3722" t="s">
        <v>43</v>
      </c>
      <c r="L3722" t="s">
        <v>43</v>
      </c>
      <c r="M3722" t="s">
        <v>43</v>
      </c>
      <c r="N3722" t="s">
        <v>45</v>
      </c>
      <c r="O3722" t="s">
        <v>43</v>
      </c>
      <c r="P3722" t="s">
        <v>43</v>
      </c>
      <c r="Q3722" t="s">
        <v>43</v>
      </c>
      <c r="R3722" t="s">
        <v>43</v>
      </c>
      <c r="S3722" t="s">
        <v>43</v>
      </c>
      <c r="T3722" t="s">
        <v>43</v>
      </c>
      <c r="U3722" t="s">
        <v>43</v>
      </c>
      <c r="V3722" t="s">
        <v>43</v>
      </c>
      <c r="W3722" t="s">
        <v>43</v>
      </c>
      <c r="X3722" t="s">
        <v>43</v>
      </c>
      <c r="Y3722" t="s">
        <v>43</v>
      </c>
      <c r="Z3722" t="s">
        <v>43</v>
      </c>
      <c r="AA3722" t="s">
        <v>43</v>
      </c>
      <c r="AB3722" t="s">
        <v>43</v>
      </c>
      <c r="AC3722" t="s">
        <v>43</v>
      </c>
      <c r="AD3722" t="s">
        <v>43</v>
      </c>
      <c r="AE3722" t="s">
        <v>43</v>
      </c>
      <c r="AF3722" t="s">
        <v>43</v>
      </c>
      <c r="AG3722" t="s">
        <v>43</v>
      </c>
      <c r="AH3722" t="s">
        <v>43</v>
      </c>
      <c r="AI3722" t="s">
        <v>43</v>
      </c>
      <c r="AJ3722" t="s">
        <v>43</v>
      </c>
      <c r="AK3722" t="s">
        <v>43</v>
      </c>
      <c r="AL3722" t="s">
        <v>43</v>
      </c>
      <c r="AM3722" t="s">
        <v>43</v>
      </c>
      <c r="AN3722" t="str">
        <f>HYPERLINK("https://www.google.com/maps?q=10.76306725,79.69436646","Open Location")</f>
        <v>Open Location</v>
      </c>
    </row>
    <row r="3723" spans="1:40" x14ac:dyDescent="0.3">
      <c r="A3723" s="1">
        <v>46210.568749999999</v>
      </c>
      <c r="B3723" t="s">
        <v>40</v>
      </c>
      <c r="C3723" t="s">
        <v>41</v>
      </c>
      <c r="D3723" s="1">
        <v>46210.571446759262</v>
      </c>
      <c r="E3723" t="s">
        <v>42</v>
      </c>
      <c r="F3723" t="s">
        <v>43</v>
      </c>
      <c r="G3723" t="s">
        <v>43</v>
      </c>
      <c r="H3723" t="s">
        <v>43</v>
      </c>
      <c r="I3723" t="s">
        <v>2217</v>
      </c>
      <c r="J3723" t="s">
        <v>43</v>
      </c>
      <c r="K3723" t="s">
        <v>43</v>
      </c>
      <c r="L3723" t="s">
        <v>43</v>
      </c>
      <c r="M3723" t="s">
        <v>43</v>
      </c>
      <c r="N3723" t="s">
        <v>45</v>
      </c>
      <c r="O3723" t="s">
        <v>43</v>
      </c>
      <c r="P3723" t="s">
        <v>43</v>
      </c>
      <c r="Q3723" t="s">
        <v>43</v>
      </c>
      <c r="R3723" t="s">
        <v>43</v>
      </c>
      <c r="S3723" t="s">
        <v>43</v>
      </c>
      <c r="T3723" t="s">
        <v>43</v>
      </c>
      <c r="U3723" t="s">
        <v>43</v>
      </c>
      <c r="V3723" t="s">
        <v>43</v>
      </c>
      <c r="W3723" t="s">
        <v>43</v>
      </c>
      <c r="X3723" t="s">
        <v>43</v>
      </c>
      <c r="Y3723" t="s">
        <v>43</v>
      </c>
      <c r="Z3723" t="s">
        <v>43</v>
      </c>
      <c r="AA3723" t="s">
        <v>43</v>
      </c>
      <c r="AB3723" t="s">
        <v>43</v>
      </c>
      <c r="AC3723" t="s">
        <v>43</v>
      </c>
      <c r="AD3723" t="s">
        <v>43</v>
      </c>
      <c r="AE3723" t="s">
        <v>43</v>
      </c>
      <c r="AF3723" t="s">
        <v>43</v>
      </c>
      <c r="AG3723" t="s">
        <v>43</v>
      </c>
      <c r="AH3723" t="s">
        <v>43</v>
      </c>
      <c r="AI3723" t="s">
        <v>43</v>
      </c>
      <c r="AJ3723" t="s">
        <v>43</v>
      </c>
      <c r="AK3723" t="s">
        <v>43</v>
      </c>
      <c r="AL3723" t="s">
        <v>43</v>
      </c>
      <c r="AM3723" t="s">
        <v>43</v>
      </c>
      <c r="AN3723" t="str">
        <f>HYPERLINK("https://www.google.com/maps?q=10.76306725,79.69437408","Open Location")</f>
        <v>Open Location</v>
      </c>
    </row>
    <row r="3724" spans="1:40" x14ac:dyDescent="0.3">
      <c r="A3724" s="1">
        <v>46210.56863425926</v>
      </c>
      <c r="B3724" t="s">
        <v>40</v>
      </c>
      <c r="C3724" t="s">
        <v>41</v>
      </c>
      <c r="D3724" s="1">
        <v>46210.571550925924</v>
      </c>
      <c r="E3724" t="s">
        <v>42</v>
      </c>
      <c r="F3724" t="s">
        <v>43</v>
      </c>
      <c r="G3724" t="s">
        <v>43</v>
      </c>
      <c r="H3724" t="s">
        <v>43</v>
      </c>
      <c r="I3724" t="s">
        <v>2221</v>
      </c>
      <c r="J3724" t="s">
        <v>43</v>
      </c>
      <c r="K3724" t="s">
        <v>43</v>
      </c>
      <c r="L3724" t="s">
        <v>43</v>
      </c>
      <c r="M3724" t="s">
        <v>43</v>
      </c>
      <c r="N3724" t="s">
        <v>45</v>
      </c>
      <c r="O3724" t="s">
        <v>43</v>
      </c>
      <c r="P3724" t="s">
        <v>43</v>
      </c>
      <c r="Q3724" t="s">
        <v>43</v>
      </c>
      <c r="R3724" t="s">
        <v>43</v>
      </c>
      <c r="S3724" t="s">
        <v>43</v>
      </c>
      <c r="T3724" t="s">
        <v>43</v>
      </c>
      <c r="U3724" t="s">
        <v>43</v>
      </c>
      <c r="V3724" t="s">
        <v>43</v>
      </c>
      <c r="W3724" t="s">
        <v>43</v>
      </c>
      <c r="X3724" t="s">
        <v>43</v>
      </c>
      <c r="Y3724" t="s">
        <v>43</v>
      </c>
      <c r="Z3724" t="s">
        <v>43</v>
      </c>
      <c r="AA3724" t="s">
        <v>43</v>
      </c>
      <c r="AB3724" t="s">
        <v>43</v>
      </c>
      <c r="AC3724" t="s">
        <v>43</v>
      </c>
      <c r="AD3724" t="s">
        <v>43</v>
      </c>
      <c r="AE3724" t="s">
        <v>43</v>
      </c>
      <c r="AF3724" t="s">
        <v>43</v>
      </c>
      <c r="AG3724" t="s">
        <v>43</v>
      </c>
      <c r="AH3724" t="s">
        <v>43</v>
      </c>
      <c r="AI3724" t="s">
        <v>43</v>
      </c>
      <c r="AJ3724" t="s">
        <v>43</v>
      </c>
      <c r="AK3724" t="s">
        <v>43</v>
      </c>
      <c r="AL3724" t="s">
        <v>43</v>
      </c>
      <c r="AM3724" t="s">
        <v>43</v>
      </c>
      <c r="AN3724" t="str">
        <f>HYPERLINK("https://www.google.com/maps?q=10.76306343,79.69438171","Open Location")</f>
        <v>Open Location</v>
      </c>
    </row>
    <row r="3725" spans="1:40" x14ac:dyDescent="0.3">
      <c r="A3725" s="1">
        <v>46210.568518518521</v>
      </c>
      <c r="B3725" t="s">
        <v>40</v>
      </c>
      <c r="C3725" t="s">
        <v>41</v>
      </c>
      <c r="D3725" s="1">
        <v>46210.571145833332</v>
      </c>
      <c r="E3725" t="s">
        <v>42</v>
      </c>
      <c r="F3725" t="s">
        <v>43</v>
      </c>
      <c r="G3725" t="s">
        <v>43</v>
      </c>
      <c r="H3725" t="s">
        <v>43</v>
      </c>
      <c r="I3725" t="s">
        <v>43</v>
      </c>
      <c r="J3725" t="s">
        <v>43</v>
      </c>
      <c r="K3725" t="s">
        <v>43</v>
      </c>
      <c r="L3725" t="s">
        <v>43</v>
      </c>
      <c r="M3725" t="s">
        <v>43</v>
      </c>
      <c r="N3725" t="s">
        <v>45</v>
      </c>
      <c r="O3725" t="s">
        <v>43</v>
      </c>
      <c r="P3725" t="s">
        <v>43</v>
      </c>
      <c r="Q3725" t="s">
        <v>43</v>
      </c>
      <c r="R3725" t="s">
        <v>43</v>
      </c>
      <c r="S3725" t="s">
        <v>43</v>
      </c>
      <c r="T3725" t="s">
        <v>43</v>
      </c>
      <c r="U3725" t="s">
        <v>43</v>
      </c>
      <c r="V3725" t="s">
        <v>43</v>
      </c>
      <c r="W3725" t="s">
        <v>43</v>
      </c>
      <c r="X3725" t="s">
        <v>43</v>
      </c>
      <c r="Y3725" t="s">
        <v>43</v>
      </c>
      <c r="Z3725" t="s">
        <v>43</v>
      </c>
      <c r="AA3725" t="s">
        <v>43</v>
      </c>
      <c r="AB3725" t="s">
        <v>43</v>
      </c>
      <c r="AC3725" t="s">
        <v>43</v>
      </c>
      <c r="AD3725" t="s">
        <v>43</v>
      </c>
      <c r="AE3725" t="s">
        <v>43</v>
      </c>
      <c r="AF3725" t="s">
        <v>43</v>
      </c>
      <c r="AG3725" t="s">
        <v>43</v>
      </c>
      <c r="AH3725" t="s">
        <v>43</v>
      </c>
      <c r="AI3725" t="s">
        <v>43</v>
      </c>
      <c r="AJ3725" t="s">
        <v>43</v>
      </c>
      <c r="AK3725" t="s">
        <v>43</v>
      </c>
      <c r="AL3725" t="s">
        <v>43</v>
      </c>
      <c r="AM3725" t="s">
        <v>43</v>
      </c>
      <c r="AN3725" t="s">
        <v>43</v>
      </c>
    </row>
    <row r="3726" spans="1:40" x14ac:dyDescent="0.3">
      <c r="A3726" s="1">
        <v>46210.568402777775</v>
      </c>
      <c r="B3726" t="s">
        <v>40</v>
      </c>
      <c r="C3726" t="s">
        <v>41</v>
      </c>
      <c r="D3726" s="1">
        <v>46210.571550925924</v>
      </c>
      <c r="E3726" t="s">
        <v>42</v>
      </c>
      <c r="F3726" t="s">
        <v>43</v>
      </c>
      <c r="G3726" t="s">
        <v>43</v>
      </c>
      <c r="H3726" t="s">
        <v>43</v>
      </c>
      <c r="I3726" t="s">
        <v>2222</v>
      </c>
      <c r="J3726" t="s">
        <v>43</v>
      </c>
      <c r="K3726" t="s">
        <v>43</v>
      </c>
      <c r="L3726" t="s">
        <v>43</v>
      </c>
      <c r="M3726" t="s">
        <v>43</v>
      </c>
      <c r="N3726" t="s">
        <v>45</v>
      </c>
      <c r="O3726" t="s">
        <v>43</v>
      </c>
      <c r="P3726" t="s">
        <v>43</v>
      </c>
      <c r="Q3726" t="s">
        <v>43</v>
      </c>
      <c r="R3726" t="s">
        <v>43</v>
      </c>
      <c r="S3726" t="s">
        <v>43</v>
      </c>
      <c r="T3726" t="s">
        <v>43</v>
      </c>
      <c r="U3726" t="s">
        <v>43</v>
      </c>
      <c r="V3726" t="s">
        <v>43</v>
      </c>
      <c r="W3726" t="s">
        <v>43</v>
      </c>
      <c r="X3726" t="s">
        <v>43</v>
      </c>
      <c r="Y3726" t="s">
        <v>43</v>
      </c>
      <c r="Z3726" t="s">
        <v>43</v>
      </c>
      <c r="AA3726" t="s">
        <v>43</v>
      </c>
      <c r="AB3726" t="s">
        <v>43</v>
      </c>
      <c r="AC3726" t="s">
        <v>43</v>
      </c>
      <c r="AD3726" t="s">
        <v>43</v>
      </c>
      <c r="AE3726" t="s">
        <v>43</v>
      </c>
      <c r="AF3726" t="s">
        <v>43</v>
      </c>
      <c r="AG3726" t="s">
        <v>43</v>
      </c>
      <c r="AH3726" t="s">
        <v>43</v>
      </c>
      <c r="AI3726" t="s">
        <v>43</v>
      </c>
      <c r="AJ3726" t="s">
        <v>43</v>
      </c>
      <c r="AK3726" t="s">
        <v>43</v>
      </c>
      <c r="AL3726" t="s">
        <v>43</v>
      </c>
      <c r="AM3726" t="s">
        <v>43</v>
      </c>
      <c r="AN3726" t="str">
        <f>HYPERLINK("https://www.google.com/maps?q=10.76306438,79.69438171","Open Location")</f>
        <v>Open Location</v>
      </c>
    </row>
    <row r="3727" spans="1:40" x14ac:dyDescent="0.3">
      <c r="A3727" s="1">
        <v>46210.568287037036</v>
      </c>
      <c r="B3727" t="s">
        <v>40</v>
      </c>
      <c r="C3727" t="s">
        <v>41</v>
      </c>
      <c r="D3727" s="1">
        <v>46210.571099537039</v>
      </c>
      <c r="E3727" t="s">
        <v>42</v>
      </c>
      <c r="F3727" t="s">
        <v>43</v>
      </c>
      <c r="G3727" t="s">
        <v>43</v>
      </c>
      <c r="H3727" t="s">
        <v>43</v>
      </c>
      <c r="I3727" t="s">
        <v>2221</v>
      </c>
      <c r="J3727" t="s">
        <v>43</v>
      </c>
      <c r="K3727" t="s">
        <v>43</v>
      </c>
      <c r="L3727" t="s">
        <v>43</v>
      </c>
      <c r="M3727" t="s">
        <v>43</v>
      </c>
      <c r="N3727" t="s">
        <v>45</v>
      </c>
      <c r="O3727" t="s">
        <v>43</v>
      </c>
      <c r="P3727" t="s">
        <v>43</v>
      </c>
      <c r="Q3727" t="s">
        <v>43</v>
      </c>
      <c r="R3727" t="s">
        <v>43</v>
      </c>
      <c r="S3727" t="s">
        <v>43</v>
      </c>
      <c r="T3727" t="s">
        <v>43</v>
      </c>
      <c r="U3727" t="s">
        <v>43</v>
      </c>
      <c r="V3727" t="s">
        <v>43</v>
      </c>
      <c r="W3727" t="s">
        <v>43</v>
      </c>
      <c r="X3727" t="s">
        <v>43</v>
      </c>
      <c r="Y3727" t="s">
        <v>43</v>
      </c>
      <c r="Z3727" t="s">
        <v>43</v>
      </c>
      <c r="AA3727" t="s">
        <v>43</v>
      </c>
      <c r="AB3727" t="s">
        <v>43</v>
      </c>
      <c r="AC3727" t="s">
        <v>43</v>
      </c>
      <c r="AD3727" t="s">
        <v>43</v>
      </c>
      <c r="AE3727" t="s">
        <v>43</v>
      </c>
      <c r="AF3727" t="s">
        <v>43</v>
      </c>
      <c r="AG3727" t="s">
        <v>43</v>
      </c>
      <c r="AH3727" t="s">
        <v>43</v>
      </c>
      <c r="AI3727" t="s">
        <v>43</v>
      </c>
      <c r="AJ3727" t="s">
        <v>43</v>
      </c>
      <c r="AK3727" t="s">
        <v>43</v>
      </c>
      <c r="AL3727" t="s">
        <v>43</v>
      </c>
      <c r="AM3727" t="s">
        <v>43</v>
      </c>
      <c r="AN3727" t="str">
        <f>HYPERLINK("https://www.google.com/maps?q=10.76306343,79.69438171","Open Location")</f>
        <v>Open Location</v>
      </c>
    </row>
    <row r="3728" spans="1:40" x14ac:dyDescent="0.3">
      <c r="A3728" s="1">
        <v>46210.568171296298</v>
      </c>
      <c r="B3728" t="s">
        <v>40</v>
      </c>
      <c r="C3728" t="s">
        <v>41</v>
      </c>
      <c r="D3728" s="1">
        <v>46210.571122685185</v>
      </c>
      <c r="E3728" t="s">
        <v>42</v>
      </c>
      <c r="F3728" t="s">
        <v>43</v>
      </c>
      <c r="G3728" t="s">
        <v>43</v>
      </c>
      <c r="H3728" t="s">
        <v>43</v>
      </c>
      <c r="I3728" t="s">
        <v>2223</v>
      </c>
      <c r="J3728" t="s">
        <v>43</v>
      </c>
      <c r="K3728" t="s">
        <v>43</v>
      </c>
      <c r="L3728" t="s">
        <v>43</v>
      </c>
      <c r="M3728" t="s">
        <v>43</v>
      </c>
      <c r="N3728" t="s">
        <v>45</v>
      </c>
      <c r="O3728" t="s">
        <v>43</v>
      </c>
      <c r="P3728" t="s">
        <v>43</v>
      </c>
      <c r="Q3728" t="s">
        <v>43</v>
      </c>
      <c r="R3728" t="s">
        <v>43</v>
      </c>
      <c r="S3728" t="s">
        <v>43</v>
      </c>
      <c r="T3728" t="s">
        <v>43</v>
      </c>
      <c r="U3728" t="s">
        <v>43</v>
      </c>
      <c r="V3728" t="s">
        <v>43</v>
      </c>
      <c r="W3728" t="s">
        <v>43</v>
      </c>
      <c r="X3728" t="s">
        <v>43</v>
      </c>
      <c r="Y3728" t="s">
        <v>43</v>
      </c>
      <c r="Z3728" t="s">
        <v>43</v>
      </c>
      <c r="AA3728" t="s">
        <v>43</v>
      </c>
      <c r="AB3728" t="s">
        <v>43</v>
      </c>
      <c r="AC3728" t="s">
        <v>43</v>
      </c>
      <c r="AD3728" t="s">
        <v>43</v>
      </c>
      <c r="AE3728" t="s">
        <v>43</v>
      </c>
      <c r="AF3728" t="s">
        <v>43</v>
      </c>
      <c r="AG3728" t="s">
        <v>43</v>
      </c>
      <c r="AH3728" t="s">
        <v>43</v>
      </c>
      <c r="AI3728" t="s">
        <v>43</v>
      </c>
      <c r="AJ3728" t="s">
        <v>43</v>
      </c>
      <c r="AK3728" t="s">
        <v>43</v>
      </c>
      <c r="AL3728" t="s">
        <v>43</v>
      </c>
      <c r="AM3728" t="s">
        <v>43</v>
      </c>
      <c r="AN3728" t="str">
        <f>HYPERLINK("https://www.google.com/maps?q=10.76306534,79.69438171","Open Location")</f>
        <v>Open Location</v>
      </c>
    </row>
    <row r="3729" spans="1:40" x14ac:dyDescent="0.3">
      <c r="A3729" s="1">
        <v>46210.568055555559</v>
      </c>
      <c r="B3729" t="s">
        <v>40</v>
      </c>
      <c r="C3729" t="s">
        <v>41</v>
      </c>
      <c r="D3729" s="1">
        <v>46210.570763888885</v>
      </c>
      <c r="E3729" t="s">
        <v>42</v>
      </c>
      <c r="F3729" t="s">
        <v>43</v>
      </c>
      <c r="G3729" t="s">
        <v>43</v>
      </c>
      <c r="H3729" t="s">
        <v>43</v>
      </c>
      <c r="I3729" t="s">
        <v>2216</v>
      </c>
      <c r="J3729" t="s">
        <v>43</v>
      </c>
      <c r="K3729" t="s">
        <v>43</v>
      </c>
      <c r="L3729" t="s">
        <v>43</v>
      </c>
      <c r="M3729" t="s">
        <v>43</v>
      </c>
      <c r="N3729" t="s">
        <v>45</v>
      </c>
      <c r="O3729" t="s">
        <v>43</v>
      </c>
      <c r="P3729" t="s">
        <v>43</v>
      </c>
      <c r="Q3729" t="s">
        <v>43</v>
      </c>
      <c r="R3729" t="s">
        <v>43</v>
      </c>
      <c r="S3729" t="s">
        <v>43</v>
      </c>
      <c r="T3729" t="s">
        <v>43</v>
      </c>
      <c r="U3729" t="s">
        <v>43</v>
      </c>
      <c r="V3729" t="s">
        <v>43</v>
      </c>
      <c r="W3729" t="s">
        <v>43</v>
      </c>
      <c r="X3729" t="s">
        <v>43</v>
      </c>
      <c r="Y3729" t="s">
        <v>43</v>
      </c>
      <c r="Z3729" t="s">
        <v>43</v>
      </c>
      <c r="AA3729" t="s">
        <v>43</v>
      </c>
      <c r="AB3729" t="s">
        <v>43</v>
      </c>
      <c r="AC3729" t="s">
        <v>43</v>
      </c>
      <c r="AD3729" t="s">
        <v>43</v>
      </c>
      <c r="AE3729" t="s">
        <v>43</v>
      </c>
      <c r="AF3729" t="s">
        <v>43</v>
      </c>
      <c r="AG3729" t="s">
        <v>43</v>
      </c>
      <c r="AH3729" t="s">
        <v>43</v>
      </c>
      <c r="AI3729" t="s">
        <v>43</v>
      </c>
      <c r="AJ3729" t="s">
        <v>43</v>
      </c>
      <c r="AK3729" t="s">
        <v>43</v>
      </c>
      <c r="AL3729" t="s">
        <v>43</v>
      </c>
      <c r="AM3729" t="s">
        <v>43</v>
      </c>
      <c r="AN3729" t="str">
        <f>HYPERLINK("https://www.google.com/maps?q=10.76306629,79.69437408","Open Location")</f>
        <v>Open Location</v>
      </c>
    </row>
    <row r="3730" spans="1:40" x14ac:dyDescent="0.3">
      <c r="A3730" s="1">
        <v>46210.567939814813</v>
      </c>
      <c r="B3730" t="s">
        <v>40</v>
      </c>
      <c r="C3730" t="s">
        <v>41</v>
      </c>
      <c r="D3730" s="1">
        <v>46210.571076388886</v>
      </c>
      <c r="E3730" t="s">
        <v>42</v>
      </c>
      <c r="F3730" t="s">
        <v>43</v>
      </c>
      <c r="G3730" t="s">
        <v>43</v>
      </c>
      <c r="H3730" t="s">
        <v>43</v>
      </c>
      <c r="I3730" t="s">
        <v>43</v>
      </c>
      <c r="J3730" t="s">
        <v>43</v>
      </c>
      <c r="K3730" t="s">
        <v>43</v>
      </c>
      <c r="L3730" t="s">
        <v>43</v>
      </c>
      <c r="M3730" t="s">
        <v>43</v>
      </c>
      <c r="N3730" t="s">
        <v>45</v>
      </c>
      <c r="O3730" t="s">
        <v>43</v>
      </c>
      <c r="P3730" t="s">
        <v>43</v>
      </c>
      <c r="Q3730" t="s">
        <v>43</v>
      </c>
      <c r="R3730" t="s">
        <v>43</v>
      </c>
      <c r="S3730" t="s">
        <v>43</v>
      </c>
      <c r="T3730" t="s">
        <v>43</v>
      </c>
      <c r="U3730" t="s">
        <v>43</v>
      </c>
      <c r="V3730" t="s">
        <v>43</v>
      </c>
      <c r="W3730" t="s">
        <v>43</v>
      </c>
      <c r="X3730" t="s">
        <v>43</v>
      </c>
      <c r="Y3730" t="s">
        <v>43</v>
      </c>
      <c r="Z3730" t="s">
        <v>43</v>
      </c>
      <c r="AA3730" t="s">
        <v>43</v>
      </c>
      <c r="AB3730" t="s">
        <v>43</v>
      </c>
      <c r="AC3730" t="s">
        <v>43</v>
      </c>
      <c r="AD3730" t="s">
        <v>43</v>
      </c>
      <c r="AE3730" t="s">
        <v>43</v>
      </c>
      <c r="AF3730" t="s">
        <v>43</v>
      </c>
      <c r="AG3730" t="s">
        <v>43</v>
      </c>
      <c r="AH3730" t="s">
        <v>43</v>
      </c>
      <c r="AI3730" t="s">
        <v>43</v>
      </c>
      <c r="AJ3730" t="s">
        <v>43</v>
      </c>
      <c r="AK3730" t="s">
        <v>43</v>
      </c>
      <c r="AL3730" t="s">
        <v>43</v>
      </c>
      <c r="AM3730" t="s">
        <v>43</v>
      </c>
      <c r="AN3730" t="s">
        <v>43</v>
      </c>
    </row>
    <row r="3731" spans="1:40" x14ac:dyDescent="0.3">
      <c r="A3731" s="1">
        <v>46210.567824074074</v>
      </c>
      <c r="B3731" t="s">
        <v>40</v>
      </c>
      <c r="C3731" t="s">
        <v>41</v>
      </c>
      <c r="D3731" s="1">
        <v>46210.570787037039</v>
      </c>
      <c r="E3731" t="s">
        <v>42</v>
      </c>
      <c r="F3731" t="s">
        <v>43</v>
      </c>
      <c r="G3731" t="s">
        <v>43</v>
      </c>
      <c r="H3731" t="s">
        <v>43</v>
      </c>
      <c r="I3731" t="s">
        <v>2224</v>
      </c>
      <c r="J3731" t="s">
        <v>43</v>
      </c>
      <c r="K3731" t="s">
        <v>43</v>
      </c>
      <c r="L3731" t="s">
        <v>43</v>
      </c>
      <c r="M3731" t="s">
        <v>43</v>
      </c>
      <c r="N3731" t="s">
        <v>45</v>
      </c>
      <c r="O3731" t="s">
        <v>43</v>
      </c>
      <c r="P3731" t="s">
        <v>43</v>
      </c>
      <c r="Q3731" t="s">
        <v>43</v>
      </c>
      <c r="R3731" t="s">
        <v>43</v>
      </c>
      <c r="S3731" t="s">
        <v>43</v>
      </c>
      <c r="T3731" t="s">
        <v>43</v>
      </c>
      <c r="U3731" t="s">
        <v>43</v>
      </c>
      <c r="V3731" t="s">
        <v>43</v>
      </c>
      <c r="W3731" t="s">
        <v>43</v>
      </c>
      <c r="X3731" t="s">
        <v>43</v>
      </c>
      <c r="Y3731" t="s">
        <v>43</v>
      </c>
      <c r="Z3731" t="s">
        <v>43</v>
      </c>
      <c r="AA3731" t="s">
        <v>43</v>
      </c>
      <c r="AB3731" t="s">
        <v>43</v>
      </c>
      <c r="AC3731" t="s">
        <v>43</v>
      </c>
      <c r="AD3731" t="s">
        <v>43</v>
      </c>
      <c r="AE3731" t="s">
        <v>43</v>
      </c>
      <c r="AF3731" t="s">
        <v>43</v>
      </c>
      <c r="AG3731" t="s">
        <v>43</v>
      </c>
      <c r="AH3731" t="s">
        <v>43</v>
      </c>
      <c r="AI3731" t="s">
        <v>43</v>
      </c>
      <c r="AJ3731" t="s">
        <v>43</v>
      </c>
      <c r="AK3731" t="s">
        <v>43</v>
      </c>
      <c r="AL3731" t="s">
        <v>43</v>
      </c>
      <c r="AM3731" t="s">
        <v>43</v>
      </c>
      <c r="AN3731" t="str">
        <f>HYPERLINK("https://www.google.com/maps?q=10.76306915,79.69437408","Open Location")</f>
        <v>Open Location</v>
      </c>
    </row>
    <row r="3732" spans="1:40" x14ac:dyDescent="0.3">
      <c r="A3732" s="1">
        <v>46210.567708333336</v>
      </c>
      <c r="B3732" t="s">
        <v>40</v>
      </c>
      <c r="C3732" t="s">
        <v>41</v>
      </c>
      <c r="D3732" s="1">
        <v>46210.570787037039</v>
      </c>
      <c r="E3732" t="s">
        <v>42</v>
      </c>
      <c r="F3732" t="s">
        <v>43</v>
      </c>
      <c r="G3732" t="s">
        <v>43</v>
      </c>
      <c r="H3732" t="s">
        <v>43</v>
      </c>
      <c r="I3732" t="s">
        <v>2225</v>
      </c>
      <c r="J3732" t="s">
        <v>43</v>
      </c>
      <c r="K3732" t="s">
        <v>43</v>
      </c>
      <c r="L3732" t="s">
        <v>43</v>
      </c>
      <c r="M3732" t="s">
        <v>43</v>
      </c>
      <c r="N3732" t="s">
        <v>45</v>
      </c>
      <c r="O3732" t="s">
        <v>43</v>
      </c>
      <c r="P3732" t="s">
        <v>43</v>
      </c>
      <c r="Q3732" t="s">
        <v>43</v>
      </c>
      <c r="R3732" t="s">
        <v>43</v>
      </c>
      <c r="S3732" t="s">
        <v>43</v>
      </c>
      <c r="T3732" t="s">
        <v>43</v>
      </c>
      <c r="U3732" t="s">
        <v>43</v>
      </c>
      <c r="V3732" t="s">
        <v>43</v>
      </c>
      <c r="W3732" t="s">
        <v>43</v>
      </c>
      <c r="X3732" t="s">
        <v>43</v>
      </c>
      <c r="Y3732" t="s">
        <v>43</v>
      </c>
      <c r="Z3732" t="s">
        <v>43</v>
      </c>
      <c r="AA3732" t="s">
        <v>43</v>
      </c>
      <c r="AB3732" t="s">
        <v>43</v>
      </c>
      <c r="AC3732" t="s">
        <v>43</v>
      </c>
      <c r="AD3732" t="s">
        <v>43</v>
      </c>
      <c r="AE3732" t="s">
        <v>43</v>
      </c>
      <c r="AF3732" t="s">
        <v>43</v>
      </c>
      <c r="AG3732" t="s">
        <v>43</v>
      </c>
      <c r="AH3732" t="s">
        <v>43</v>
      </c>
      <c r="AI3732" t="s">
        <v>43</v>
      </c>
      <c r="AJ3732" t="s">
        <v>43</v>
      </c>
      <c r="AK3732" t="s">
        <v>43</v>
      </c>
      <c r="AL3732" t="s">
        <v>43</v>
      </c>
      <c r="AM3732" t="s">
        <v>43</v>
      </c>
      <c r="AN3732" t="str">
        <f>HYPERLINK("https://www.google.com/maps?q=10.76307106,79.69437408","Open Location")</f>
        <v>Open Location</v>
      </c>
    </row>
    <row r="3733" spans="1:40" x14ac:dyDescent="0.3">
      <c r="A3733" s="1">
        <v>46210.56759259259</v>
      </c>
      <c r="B3733" t="s">
        <v>40</v>
      </c>
      <c r="C3733" t="s">
        <v>41</v>
      </c>
      <c r="D3733" s="1">
        <v>46210.570370370369</v>
      </c>
      <c r="E3733" t="s">
        <v>42</v>
      </c>
      <c r="F3733" t="s">
        <v>43</v>
      </c>
      <c r="G3733" t="s">
        <v>43</v>
      </c>
      <c r="H3733" t="s">
        <v>43</v>
      </c>
      <c r="I3733" t="s">
        <v>2226</v>
      </c>
      <c r="J3733" t="s">
        <v>43</v>
      </c>
      <c r="K3733" t="s">
        <v>43</v>
      </c>
      <c r="L3733" t="s">
        <v>43</v>
      </c>
      <c r="M3733" t="s">
        <v>43</v>
      </c>
      <c r="N3733" t="s">
        <v>45</v>
      </c>
      <c r="O3733" t="s">
        <v>43</v>
      </c>
      <c r="P3733" t="s">
        <v>43</v>
      </c>
      <c r="Q3733" t="s">
        <v>43</v>
      </c>
      <c r="R3733" t="s">
        <v>43</v>
      </c>
      <c r="S3733" t="s">
        <v>43</v>
      </c>
      <c r="T3733" t="s">
        <v>43</v>
      </c>
      <c r="U3733" t="s">
        <v>43</v>
      </c>
      <c r="V3733" t="s">
        <v>43</v>
      </c>
      <c r="W3733" t="s">
        <v>43</v>
      </c>
      <c r="X3733" t="s">
        <v>43</v>
      </c>
      <c r="Y3733" t="s">
        <v>43</v>
      </c>
      <c r="Z3733" t="s">
        <v>43</v>
      </c>
      <c r="AA3733" t="s">
        <v>43</v>
      </c>
      <c r="AB3733" t="s">
        <v>43</v>
      </c>
      <c r="AC3733" t="s">
        <v>43</v>
      </c>
      <c r="AD3733" t="s">
        <v>43</v>
      </c>
      <c r="AE3733" t="s">
        <v>43</v>
      </c>
      <c r="AF3733" t="s">
        <v>43</v>
      </c>
      <c r="AG3733" t="s">
        <v>43</v>
      </c>
      <c r="AH3733" t="s">
        <v>43</v>
      </c>
      <c r="AI3733" t="s">
        <v>43</v>
      </c>
      <c r="AJ3733" t="s">
        <v>43</v>
      </c>
      <c r="AK3733" t="s">
        <v>43</v>
      </c>
      <c r="AL3733" t="s">
        <v>43</v>
      </c>
      <c r="AM3733" t="s">
        <v>43</v>
      </c>
      <c r="AN3733" t="str">
        <f>HYPERLINK("https://www.google.com/maps?q=10.76307297,79.69438171","Open Location")</f>
        <v>Open Location</v>
      </c>
    </row>
    <row r="3734" spans="1:40" x14ac:dyDescent="0.3">
      <c r="A3734" s="1">
        <v>46210.567476851851</v>
      </c>
      <c r="B3734" t="s">
        <v>40</v>
      </c>
      <c r="C3734" t="s">
        <v>41</v>
      </c>
      <c r="D3734" s="1">
        <v>46210.570659722223</v>
      </c>
      <c r="E3734" t="s">
        <v>42</v>
      </c>
      <c r="F3734" t="s">
        <v>43</v>
      </c>
      <c r="G3734" t="s">
        <v>43</v>
      </c>
      <c r="H3734" t="s">
        <v>43</v>
      </c>
      <c r="I3734" t="s">
        <v>2226</v>
      </c>
      <c r="J3734" t="s">
        <v>43</v>
      </c>
      <c r="K3734" t="s">
        <v>43</v>
      </c>
      <c r="L3734" t="s">
        <v>43</v>
      </c>
      <c r="M3734" t="s">
        <v>43</v>
      </c>
      <c r="N3734" t="s">
        <v>45</v>
      </c>
      <c r="O3734" t="s">
        <v>43</v>
      </c>
      <c r="P3734" t="s">
        <v>43</v>
      </c>
      <c r="Q3734" t="s">
        <v>43</v>
      </c>
      <c r="R3734" t="s">
        <v>43</v>
      </c>
      <c r="S3734" t="s">
        <v>43</v>
      </c>
      <c r="T3734" t="s">
        <v>43</v>
      </c>
      <c r="U3734" t="s">
        <v>43</v>
      </c>
      <c r="V3734" t="s">
        <v>43</v>
      </c>
      <c r="W3734" t="s">
        <v>43</v>
      </c>
      <c r="X3734" t="s">
        <v>43</v>
      </c>
      <c r="Y3734" t="s">
        <v>43</v>
      </c>
      <c r="Z3734" t="s">
        <v>43</v>
      </c>
      <c r="AA3734" t="s">
        <v>43</v>
      </c>
      <c r="AB3734" t="s">
        <v>43</v>
      </c>
      <c r="AC3734" t="s">
        <v>43</v>
      </c>
      <c r="AD3734" t="s">
        <v>43</v>
      </c>
      <c r="AE3734" t="s">
        <v>43</v>
      </c>
      <c r="AF3734" t="s">
        <v>43</v>
      </c>
      <c r="AG3734" t="s">
        <v>43</v>
      </c>
      <c r="AH3734" t="s">
        <v>43</v>
      </c>
      <c r="AI3734" t="s">
        <v>43</v>
      </c>
      <c r="AJ3734" t="s">
        <v>43</v>
      </c>
      <c r="AK3734" t="s">
        <v>43</v>
      </c>
      <c r="AL3734" t="s">
        <v>43</v>
      </c>
      <c r="AM3734" t="s">
        <v>43</v>
      </c>
      <c r="AN3734" t="str">
        <f>HYPERLINK("https://www.google.com/maps?q=10.76307297,79.69438171","Open Location")</f>
        <v>Open Location</v>
      </c>
    </row>
    <row r="3735" spans="1:40" x14ac:dyDescent="0.3">
      <c r="A3735" s="1">
        <v>46210.567361111112</v>
      </c>
      <c r="B3735" t="s">
        <v>40</v>
      </c>
      <c r="C3735" t="s">
        <v>41</v>
      </c>
      <c r="D3735" s="1">
        <v>46210.570196759261</v>
      </c>
      <c r="E3735" t="s">
        <v>42</v>
      </c>
      <c r="F3735" t="s">
        <v>43</v>
      </c>
      <c r="G3735" t="s">
        <v>43</v>
      </c>
      <c r="H3735" t="s">
        <v>43</v>
      </c>
      <c r="I3735" t="s">
        <v>2227</v>
      </c>
      <c r="J3735" t="s">
        <v>43</v>
      </c>
      <c r="K3735" t="s">
        <v>43</v>
      </c>
      <c r="L3735" t="s">
        <v>43</v>
      </c>
      <c r="M3735" t="s">
        <v>43</v>
      </c>
      <c r="N3735" t="s">
        <v>45</v>
      </c>
      <c r="O3735" t="s">
        <v>43</v>
      </c>
      <c r="P3735" t="s">
        <v>43</v>
      </c>
      <c r="Q3735" t="s">
        <v>43</v>
      </c>
      <c r="R3735" t="s">
        <v>43</v>
      </c>
      <c r="S3735" t="s">
        <v>43</v>
      </c>
      <c r="T3735" t="s">
        <v>43</v>
      </c>
      <c r="U3735" t="s">
        <v>43</v>
      </c>
      <c r="V3735" t="s">
        <v>43</v>
      </c>
      <c r="W3735" t="s">
        <v>43</v>
      </c>
      <c r="X3735" t="s">
        <v>43</v>
      </c>
      <c r="Y3735" t="s">
        <v>43</v>
      </c>
      <c r="Z3735" t="s">
        <v>43</v>
      </c>
      <c r="AA3735" t="s">
        <v>43</v>
      </c>
      <c r="AB3735" t="s">
        <v>43</v>
      </c>
      <c r="AC3735" t="s">
        <v>43</v>
      </c>
      <c r="AD3735" t="s">
        <v>43</v>
      </c>
      <c r="AE3735" t="s">
        <v>43</v>
      </c>
      <c r="AF3735" t="s">
        <v>43</v>
      </c>
      <c r="AG3735" t="s">
        <v>43</v>
      </c>
      <c r="AH3735" t="s">
        <v>43</v>
      </c>
      <c r="AI3735" t="s">
        <v>43</v>
      </c>
      <c r="AJ3735" t="s">
        <v>43</v>
      </c>
      <c r="AK3735" t="s">
        <v>43</v>
      </c>
      <c r="AL3735" t="s">
        <v>43</v>
      </c>
      <c r="AM3735" t="s">
        <v>43</v>
      </c>
      <c r="AN3735" t="str">
        <f>HYPERLINK("https://www.google.com/maps?q=10.76307392,79.69438171","Open Location")</f>
        <v>Open Location</v>
      </c>
    </row>
    <row r="3736" spans="1:40" x14ac:dyDescent="0.3">
      <c r="A3736" s="1">
        <v>46210.567245370374</v>
      </c>
      <c r="B3736" t="s">
        <v>40</v>
      </c>
      <c r="C3736" t="s">
        <v>41</v>
      </c>
      <c r="D3736" s="1">
        <v>46210.570381944446</v>
      </c>
      <c r="E3736" t="s">
        <v>42</v>
      </c>
      <c r="F3736" t="s">
        <v>43</v>
      </c>
      <c r="G3736" t="s">
        <v>43</v>
      </c>
      <c r="H3736" t="s">
        <v>43</v>
      </c>
      <c r="I3736" t="s">
        <v>43</v>
      </c>
      <c r="J3736" t="s">
        <v>43</v>
      </c>
      <c r="K3736" t="s">
        <v>43</v>
      </c>
      <c r="L3736" t="s">
        <v>43</v>
      </c>
      <c r="M3736" t="s">
        <v>43</v>
      </c>
      <c r="N3736" t="s">
        <v>45</v>
      </c>
      <c r="O3736" t="s">
        <v>43</v>
      </c>
      <c r="P3736" t="s">
        <v>43</v>
      </c>
      <c r="Q3736" t="s">
        <v>43</v>
      </c>
      <c r="R3736" t="s">
        <v>43</v>
      </c>
      <c r="S3736" t="s">
        <v>43</v>
      </c>
      <c r="T3736" t="s">
        <v>43</v>
      </c>
      <c r="U3736" t="s">
        <v>43</v>
      </c>
      <c r="V3736" t="s">
        <v>43</v>
      </c>
      <c r="W3736" t="s">
        <v>43</v>
      </c>
      <c r="X3736" t="s">
        <v>43</v>
      </c>
      <c r="Y3736" t="s">
        <v>43</v>
      </c>
      <c r="Z3736" t="s">
        <v>43</v>
      </c>
      <c r="AA3736" t="s">
        <v>43</v>
      </c>
      <c r="AB3736" t="s">
        <v>43</v>
      </c>
      <c r="AC3736" t="s">
        <v>43</v>
      </c>
      <c r="AD3736" t="s">
        <v>43</v>
      </c>
      <c r="AE3736" t="s">
        <v>43</v>
      </c>
      <c r="AF3736" t="s">
        <v>43</v>
      </c>
      <c r="AG3736" t="s">
        <v>43</v>
      </c>
      <c r="AH3736" t="s">
        <v>43</v>
      </c>
      <c r="AI3736" t="s">
        <v>43</v>
      </c>
      <c r="AJ3736" t="s">
        <v>43</v>
      </c>
      <c r="AK3736" t="s">
        <v>43</v>
      </c>
      <c r="AL3736" t="s">
        <v>43</v>
      </c>
      <c r="AM3736" t="s">
        <v>43</v>
      </c>
      <c r="AN3736" t="s">
        <v>43</v>
      </c>
    </row>
    <row r="3737" spans="1:40" x14ac:dyDescent="0.3">
      <c r="A3737" s="1">
        <v>46210.567129629628</v>
      </c>
      <c r="B3737" t="s">
        <v>40</v>
      </c>
      <c r="C3737" t="s">
        <v>41</v>
      </c>
      <c r="D3737" s="1">
        <v>46210.569907407407</v>
      </c>
      <c r="E3737" t="s">
        <v>42</v>
      </c>
      <c r="F3737" t="s">
        <v>43</v>
      </c>
      <c r="G3737" t="s">
        <v>43</v>
      </c>
      <c r="H3737" t="s">
        <v>43</v>
      </c>
      <c r="I3737" t="s">
        <v>2228</v>
      </c>
      <c r="J3737" t="s">
        <v>43</v>
      </c>
      <c r="K3737" t="s">
        <v>43</v>
      </c>
      <c r="L3737" t="s">
        <v>43</v>
      </c>
      <c r="M3737" t="s">
        <v>43</v>
      </c>
      <c r="N3737" t="s">
        <v>45</v>
      </c>
      <c r="O3737" t="s">
        <v>43</v>
      </c>
      <c r="P3737" t="s">
        <v>43</v>
      </c>
      <c r="Q3737" t="s">
        <v>43</v>
      </c>
      <c r="R3737" t="s">
        <v>43</v>
      </c>
      <c r="S3737" t="s">
        <v>43</v>
      </c>
      <c r="T3737" t="s">
        <v>43</v>
      </c>
      <c r="U3737" t="s">
        <v>43</v>
      </c>
      <c r="V3737" t="s">
        <v>43</v>
      </c>
      <c r="W3737" t="s">
        <v>43</v>
      </c>
      <c r="X3737" t="s">
        <v>43</v>
      </c>
      <c r="Y3737" t="s">
        <v>43</v>
      </c>
      <c r="Z3737" t="s">
        <v>43</v>
      </c>
      <c r="AA3737" t="s">
        <v>43</v>
      </c>
      <c r="AB3737" t="s">
        <v>43</v>
      </c>
      <c r="AC3737" t="s">
        <v>43</v>
      </c>
      <c r="AD3737" t="s">
        <v>43</v>
      </c>
      <c r="AE3737" t="s">
        <v>43</v>
      </c>
      <c r="AF3737" t="s">
        <v>43</v>
      </c>
      <c r="AG3737" t="s">
        <v>43</v>
      </c>
      <c r="AH3737" t="s">
        <v>43</v>
      </c>
      <c r="AI3737" t="s">
        <v>43</v>
      </c>
      <c r="AJ3737" t="s">
        <v>43</v>
      </c>
      <c r="AK3737" t="s">
        <v>43</v>
      </c>
      <c r="AL3737" t="s">
        <v>43</v>
      </c>
      <c r="AM3737" t="s">
        <v>43</v>
      </c>
      <c r="AN3737" t="str">
        <f>HYPERLINK("https://www.google.com/maps?q=10.76307106,79.69438171","Open Location")</f>
        <v>Open Location</v>
      </c>
    </row>
    <row r="3738" spans="1:40" x14ac:dyDescent="0.3">
      <c r="A3738" s="1">
        <v>46210.567013888889</v>
      </c>
      <c r="B3738" t="s">
        <v>40</v>
      </c>
      <c r="C3738" t="s">
        <v>41</v>
      </c>
      <c r="D3738" s="1">
        <v>46210.569872685184</v>
      </c>
      <c r="E3738" t="s">
        <v>42</v>
      </c>
      <c r="F3738" t="s">
        <v>43</v>
      </c>
      <c r="G3738" t="s">
        <v>43</v>
      </c>
      <c r="H3738" t="s">
        <v>43</v>
      </c>
      <c r="I3738" t="s">
        <v>2229</v>
      </c>
      <c r="J3738" t="s">
        <v>43</v>
      </c>
      <c r="K3738" t="s">
        <v>43</v>
      </c>
      <c r="L3738" t="s">
        <v>43</v>
      </c>
      <c r="M3738" t="s">
        <v>43</v>
      </c>
      <c r="N3738" t="s">
        <v>45</v>
      </c>
      <c r="O3738" t="s">
        <v>43</v>
      </c>
      <c r="P3738" t="s">
        <v>43</v>
      </c>
      <c r="Q3738" t="s">
        <v>43</v>
      </c>
      <c r="R3738" t="s">
        <v>43</v>
      </c>
      <c r="S3738" t="s">
        <v>43</v>
      </c>
      <c r="T3738" t="s">
        <v>43</v>
      </c>
      <c r="U3738" t="s">
        <v>43</v>
      </c>
      <c r="V3738" t="s">
        <v>43</v>
      </c>
      <c r="W3738" t="s">
        <v>43</v>
      </c>
      <c r="X3738" t="s">
        <v>43</v>
      </c>
      <c r="Y3738" t="s">
        <v>43</v>
      </c>
      <c r="Z3738" t="s">
        <v>43</v>
      </c>
      <c r="AA3738" t="s">
        <v>43</v>
      </c>
      <c r="AB3738" t="s">
        <v>43</v>
      </c>
      <c r="AC3738" t="s">
        <v>43</v>
      </c>
      <c r="AD3738" t="s">
        <v>43</v>
      </c>
      <c r="AE3738" t="s">
        <v>43</v>
      </c>
      <c r="AF3738" t="s">
        <v>43</v>
      </c>
      <c r="AG3738" t="s">
        <v>43</v>
      </c>
      <c r="AH3738" t="s">
        <v>43</v>
      </c>
      <c r="AI3738" t="s">
        <v>43</v>
      </c>
      <c r="AJ3738" t="s">
        <v>43</v>
      </c>
      <c r="AK3738" t="s">
        <v>43</v>
      </c>
      <c r="AL3738" t="s">
        <v>43</v>
      </c>
      <c r="AM3738" t="s">
        <v>43</v>
      </c>
      <c r="AN3738" t="str">
        <f>HYPERLINK("https://www.google.com/maps?q=10.76306438,79.69438934","Open Location")</f>
        <v>Open Location</v>
      </c>
    </row>
    <row r="3739" spans="1:40" x14ac:dyDescent="0.3">
      <c r="A3739" s="1">
        <v>46210.56689814815</v>
      </c>
      <c r="B3739" t="s">
        <v>40</v>
      </c>
      <c r="C3739" t="s">
        <v>41</v>
      </c>
      <c r="D3739" s="1">
        <v>46210.56994212963</v>
      </c>
      <c r="E3739" t="s">
        <v>42</v>
      </c>
      <c r="F3739" t="s">
        <v>43</v>
      </c>
      <c r="G3739" t="s">
        <v>43</v>
      </c>
      <c r="H3739" t="s">
        <v>43</v>
      </c>
      <c r="I3739" t="s">
        <v>2230</v>
      </c>
      <c r="J3739" t="s">
        <v>43</v>
      </c>
      <c r="K3739" t="s">
        <v>43</v>
      </c>
      <c r="L3739" t="s">
        <v>43</v>
      </c>
      <c r="M3739" t="s">
        <v>43</v>
      </c>
      <c r="N3739" t="s">
        <v>45</v>
      </c>
      <c r="O3739" t="s">
        <v>43</v>
      </c>
      <c r="P3739" t="s">
        <v>43</v>
      </c>
      <c r="Q3739" t="s">
        <v>43</v>
      </c>
      <c r="R3739" t="s">
        <v>43</v>
      </c>
      <c r="S3739" t="s">
        <v>43</v>
      </c>
      <c r="T3739" t="s">
        <v>43</v>
      </c>
      <c r="U3739" t="s">
        <v>43</v>
      </c>
      <c r="V3739" t="s">
        <v>43</v>
      </c>
      <c r="W3739" t="s">
        <v>43</v>
      </c>
      <c r="X3739" t="s">
        <v>43</v>
      </c>
      <c r="Y3739" t="s">
        <v>43</v>
      </c>
      <c r="Z3739" t="s">
        <v>43</v>
      </c>
      <c r="AA3739" t="s">
        <v>43</v>
      </c>
      <c r="AB3739" t="s">
        <v>43</v>
      </c>
      <c r="AC3739" t="s">
        <v>43</v>
      </c>
      <c r="AD3739" t="s">
        <v>43</v>
      </c>
      <c r="AE3739" t="s">
        <v>43</v>
      </c>
      <c r="AF3739" t="s">
        <v>43</v>
      </c>
      <c r="AG3739" t="s">
        <v>43</v>
      </c>
      <c r="AH3739" t="s">
        <v>43</v>
      </c>
      <c r="AI3739" t="s">
        <v>43</v>
      </c>
      <c r="AJ3739" t="s">
        <v>43</v>
      </c>
      <c r="AK3739" t="s">
        <v>43</v>
      </c>
      <c r="AL3739" t="s">
        <v>43</v>
      </c>
      <c r="AM3739" t="s">
        <v>43</v>
      </c>
      <c r="AN3739" t="str">
        <f>HYPERLINK("https://www.google.com/maps?q=10.76305771,79.69438934","Open Location")</f>
        <v>Open Location</v>
      </c>
    </row>
    <row r="3740" spans="1:40" x14ac:dyDescent="0.3">
      <c r="A3740" s="1">
        <v>46210.566782407404</v>
      </c>
      <c r="B3740" t="s">
        <v>40</v>
      </c>
      <c r="C3740" t="s">
        <v>41</v>
      </c>
      <c r="D3740" s="1">
        <v>46210.569768518515</v>
      </c>
      <c r="E3740" t="s">
        <v>42</v>
      </c>
      <c r="F3740" t="s">
        <v>43</v>
      </c>
      <c r="G3740" t="s">
        <v>43</v>
      </c>
      <c r="H3740" t="s">
        <v>43</v>
      </c>
      <c r="I3740" t="s">
        <v>2231</v>
      </c>
      <c r="J3740" t="s">
        <v>43</v>
      </c>
      <c r="K3740" t="s">
        <v>43</v>
      </c>
      <c r="L3740" t="s">
        <v>43</v>
      </c>
      <c r="M3740" t="s">
        <v>43</v>
      </c>
      <c r="N3740" t="s">
        <v>45</v>
      </c>
      <c r="O3740" t="s">
        <v>43</v>
      </c>
      <c r="P3740" t="s">
        <v>43</v>
      </c>
      <c r="Q3740" t="s">
        <v>43</v>
      </c>
      <c r="R3740" t="s">
        <v>43</v>
      </c>
      <c r="S3740" t="s">
        <v>43</v>
      </c>
      <c r="T3740" t="s">
        <v>43</v>
      </c>
      <c r="U3740" t="s">
        <v>43</v>
      </c>
      <c r="V3740" t="s">
        <v>43</v>
      </c>
      <c r="W3740" t="s">
        <v>43</v>
      </c>
      <c r="X3740" t="s">
        <v>43</v>
      </c>
      <c r="Y3740" t="s">
        <v>43</v>
      </c>
      <c r="Z3740" t="s">
        <v>43</v>
      </c>
      <c r="AA3740" t="s">
        <v>43</v>
      </c>
      <c r="AB3740" t="s">
        <v>43</v>
      </c>
      <c r="AC3740" t="s">
        <v>43</v>
      </c>
      <c r="AD3740" t="s">
        <v>43</v>
      </c>
      <c r="AE3740" t="s">
        <v>43</v>
      </c>
      <c r="AF3740" t="s">
        <v>43</v>
      </c>
      <c r="AG3740" t="s">
        <v>43</v>
      </c>
      <c r="AH3740" t="s">
        <v>43</v>
      </c>
      <c r="AI3740" t="s">
        <v>43</v>
      </c>
      <c r="AJ3740" t="s">
        <v>43</v>
      </c>
      <c r="AK3740" t="s">
        <v>43</v>
      </c>
      <c r="AL3740" t="s">
        <v>43</v>
      </c>
      <c r="AM3740" t="s">
        <v>43</v>
      </c>
      <c r="AN3740" t="str">
        <f>HYPERLINK("https://www.google.com/maps?q=10.76305485,79.69438934","Open Location")</f>
        <v>Open Location</v>
      </c>
    </row>
    <row r="3741" spans="1:40" x14ac:dyDescent="0.3">
      <c r="A3741" s="1">
        <v>46210.566666666666</v>
      </c>
      <c r="B3741" t="s">
        <v>40</v>
      </c>
      <c r="C3741" t="s">
        <v>41</v>
      </c>
      <c r="D3741" s="1">
        <v>46210.569374999999</v>
      </c>
      <c r="E3741" t="s">
        <v>42</v>
      </c>
      <c r="F3741" t="s">
        <v>43</v>
      </c>
      <c r="G3741" t="s">
        <v>43</v>
      </c>
      <c r="H3741" t="s">
        <v>43</v>
      </c>
      <c r="I3741" t="s">
        <v>2232</v>
      </c>
      <c r="J3741" t="s">
        <v>43</v>
      </c>
      <c r="K3741" t="s">
        <v>43</v>
      </c>
      <c r="L3741" t="s">
        <v>43</v>
      </c>
      <c r="M3741" t="s">
        <v>43</v>
      </c>
      <c r="N3741" t="s">
        <v>45</v>
      </c>
      <c r="O3741" t="s">
        <v>43</v>
      </c>
      <c r="P3741" t="s">
        <v>43</v>
      </c>
      <c r="Q3741" t="s">
        <v>43</v>
      </c>
      <c r="R3741" t="s">
        <v>43</v>
      </c>
      <c r="S3741" t="s">
        <v>43</v>
      </c>
      <c r="T3741" t="s">
        <v>43</v>
      </c>
      <c r="U3741" t="s">
        <v>43</v>
      </c>
      <c r="V3741" t="s">
        <v>43</v>
      </c>
      <c r="W3741" t="s">
        <v>43</v>
      </c>
      <c r="X3741" t="s">
        <v>43</v>
      </c>
      <c r="Y3741" t="s">
        <v>43</v>
      </c>
      <c r="Z3741" t="s">
        <v>43</v>
      </c>
      <c r="AA3741" t="s">
        <v>43</v>
      </c>
      <c r="AB3741" t="s">
        <v>43</v>
      </c>
      <c r="AC3741" t="s">
        <v>43</v>
      </c>
      <c r="AD3741" t="s">
        <v>43</v>
      </c>
      <c r="AE3741" t="s">
        <v>43</v>
      </c>
      <c r="AF3741" t="s">
        <v>43</v>
      </c>
      <c r="AG3741" t="s">
        <v>43</v>
      </c>
      <c r="AH3741" t="s">
        <v>43</v>
      </c>
      <c r="AI3741" t="s">
        <v>43</v>
      </c>
      <c r="AJ3741" t="s">
        <v>43</v>
      </c>
      <c r="AK3741" t="s">
        <v>43</v>
      </c>
      <c r="AL3741" t="s">
        <v>43</v>
      </c>
      <c r="AM3741" t="s">
        <v>43</v>
      </c>
      <c r="AN3741" t="str">
        <f>HYPERLINK("https://www.google.com/maps?q=10.76305485,79.69438171","Open Location")</f>
        <v>Open Location</v>
      </c>
    </row>
    <row r="3742" spans="1:40" x14ac:dyDescent="0.3">
      <c r="A3742" s="1">
        <v>46210.566550925927</v>
      </c>
      <c r="B3742" t="s">
        <v>40</v>
      </c>
      <c r="C3742" t="s">
        <v>41</v>
      </c>
      <c r="D3742" s="1">
        <v>46210.569398148145</v>
      </c>
      <c r="E3742" t="s">
        <v>42</v>
      </c>
      <c r="F3742" t="s">
        <v>43</v>
      </c>
      <c r="G3742" t="s">
        <v>43</v>
      </c>
      <c r="H3742" t="s">
        <v>43</v>
      </c>
      <c r="I3742" t="s">
        <v>43</v>
      </c>
      <c r="J3742" t="s">
        <v>43</v>
      </c>
      <c r="K3742" t="s">
        <v>43</v>
      </c>
      <c r="L3742" t="s">
        <v>43</v>
      </c>
      <c r="M3742" t="s">
        <v>43</v>
      </c>
      <c r="N3742" t="s">
        <v>45</v>
      </c>
      <c r="O3742" t="s">
        <v>43</v>
      </c>
      <c r="P3742" t="s">
        <v>43</v>
      </c>
      <c r="Q3742" t="s">
        <v>43</v>
      </c>
      <c r="R3742" t="s">
        <v>43</v>
      </c>
      <c r="S3742" t="s">
        <v>43</v>
      </c>
      <c r="T3742" t="s">
        <v>43</v>
      </c>
      <c r="U3742" t="s">
        <v>43</v>
      </c>
      <c r="V3742" t="s">
        <v>43</v>
      </c>
      <c r="W3742" t="s">
        <v>43</v>
      </c>
      <c r="X3742" t="s">
        <v>43</v>
      </c>
      <c r="Y3742" t="s">
        <v>43</v>
      </c>
      <c r="Z3742" t="s">
        <v>43</v>
      </c>
      <c r="AA3742" t="s">
        <v>43</v>
      </c>
      <c r="AB3742" t="s">
        <v>43</v>
      </c>
      <c r="AC3742" t="s">
        <v>43</v>
      </c>
      <c r="AD3742" t="s">
        <v>43</v>
      </c>
      <c r="AE3742" t="s">
        <v>43</v>
      </c>
      <c r="AF3742" t="s">
        <v>43</v>
      </c>
      <c r="AG3742" t="s">
        <v>43</v>
      </c>
      <c r="AH3742" t="s">
        <v>43</v>
      </c>
      <c r="AI3742" t="s">
        <v>43</v>
      </c>
      <c r="AJ3742" t="s">
        <v>43</v>
      </c>
      <c r="AK3742" t="s">
        <v>43</v>
      </c>
      <c r="AL3742" t="s">
        <v>43</v>
      </c>
      <c r="AM3742" t="s">
        <v>43</v>
      </c>
      <c r="AN3742" t="s">
        <v>43</v>
      </c>
    </row>
    <row r="3743" spans="1:40" x14ac:dyDescent="0.3">
      <c r="A3743" s="1">
        <v>46210.566435185188</v>
      </c>
      <c r="B3743" t="s">
        <v>40</v>
      </c>
      <c r="C3743" t="s">
        <v>41</v>
      </c>
      <c r="D3743" s="1">
        <v>46210.569085648145</v>
      </c>
      <c r="E3743" t="s">
        <v>42</v>
      </c>
      <c r="F3743" t="s">
        <v>43</v>
      </c>
      <c r="G3743" t="s">
        <v>43</v>
      </c>
      <c r="H3743" t="s">
        <v>43</v>
      </c>
      <c r="I3743" t="s">
        <v>2198</v>
      </c>
      <c r="J3743" t="s">
        <v>43</v>
      </c>
      <c r="K3743" t="s">
        <v>43</v>
      </c>
      <c r="L3743" t="s">
        <v>43</v>
      </c>
      <c r="M3743" t="s">
        <v>43</v>
      </c>
      <c r="N3743" t="s">
        <v>45</v>
      </c>
      <c r="O3743" t="s">
        <v>43</v>
      </c>
      <c r="P3743" t="s">
        <v>43</v>
      </c>
      <c r="Q3743" t="s">
        <v>43</v>
      </c>
      <c r="R3743" t="s">
        <v>43</v>
      </c>
      <c r="S3743" t="s">
        <v>43</v>
      </c>
      <c r="T3743" t="s">
        <v>43</v>
      </c>
      <c r="U3743" t="s">
        <v>43</v>
      </c>
      <c r="V3743" t="s">
        <v>43</v>
      </c>
      <c r="W3743" t="s">
        <v>43</v>
      </c>
      <c r="X3743" t="s">
        <v>43</v>
      </c>
      <c r="Y3743" t="s">
        <v>43</v>
      </c>
      <c r="Z3743" t="s">
        <v>43</v>
      </c>
      <c r="AA3743" t="s">
        <v>43</v>
      </c>
      <c r="AB3743" t="s">
        <v>43</v>
      </c>
      <c r="AC3743" t="s">
        <v>43</v>
      </c>
      <c r="AD3743" t="s">
        <v>43</v>
      </c>
      <c r="AE3743" t="s">
        <v>43</v>
      </c>
      <c r="AF3743" t="s">
        <v>43</v>
      </c>
      <c r="AG3743" t="s">
        <v>43</v>
      </c>
      <c r="AH3743" t="s">
        <v>43</v>
      </c>
      <c r="AI3743" t="s">
        <v>43</v>
      </c>
      <c r="AJ3743" t="s">
        <v>43</v>
      </c>
      <c r="AK3743" t="s">
        <v>43</v>
      </c>
      <c r="AL3743" t="s">
        <v>43</v>
      </c>
      <c r="AM3743" t="s">
        <v>43</v>
      </c>
      <c r="AN3743" t="str">
        <f>HYPERLINK("https://www.google.com/maps?q=10.76305389,79.69438171","Open Location")</f>
        <v>Open Location</v>
      </c>
    </row>
    <row r="3744" spans="1:40" x14ac:dyDescent="0.3">
      <c r="A3744" s="1">
        <v>46210.566319444442</v>
      </c>
      <c r="B3744" t="s">
        <v>40</v>
      </c>
      <c r="C3744" t="s">
        <v>41</v>
      </c>
      <c r="D3744" s="1">
        <v>46210.569305555553</v>
      </c>
      <c r="E3744" t="s">
        <v>42</v>
      </c>
      <c r="F3744" t="s">
        <v>43</v>
      </c>
      <c r="G3744" t="s">
        <v>43</v>
      </c>
      <c r="H3744" t="s">
        <v>43</v>
      </c>
      <c r="I3744" t="s">
        <v>2233</v>
      </c>
      <c r="J3744" t="s">
        <v>43</v>
      </c>
      <c r="K3744" t="s">
        <v>43</v>
      </c>
      <c r="L3744" t="s">
        <v>43</v>
      </c>
      <c r="M3744" t="s">
        <v>43</v>
      </c>
      <c r="N3744" t="s">
        <v>45</v>
      </c>
      <c r="O3744" t="s">
        <v>43</v>
      </c>
      <c r="P3744" t="s">
        <v>43</v>
      </c>
      <c r="Q3744" t="s">
        <v>43</v>
      </c>
      <c r="R3744" t="s">
        <v>43</v>
      </c>
      <c r="S3744" t="s">
        <v>43</v>
      </c>
      <c r="T3744" t="s">
        <v>43</v>
      </c>
      <c r="U3744" t="s">
        <v>43</v>
      </c>
      <c r="V3744" t="s">
        <v>43</v>
      </c>
      <c r="W3744" t="s">
        <v>43</v>
      </c>
      <c r="X3744" t="s">
        <v>43</v>
      </c>
      <c r="Y3744" t="s">
        <v>43</v>
      </c>
      <c r="Z3744" t="s">
        <v>43</v>
      </c>
      <c r="AA3744" t="s">
        <v>43</v>
      </c>
      <c r="AB3744" t="s">
        <v>43</v>
      </c>
      <c r="AC3744" t="s">
        <v>43</v>
      </c>
      <c r="AD3744" t="s">
        <v>43</v>
      </c>
      <c r="AE3744" t="s">
        <v>43</v>
      </c>
      <c r="AF3744" t="s">
        <v>43</v>
      </c>
      <c r="AG3744" t="s">
        <v>43</v>
      </c>
      <c r="AH3744" t="s">
        <v>43</v>
      </c>
      <c r="AI3744" t="s">
        <v>43</v>
      </c>
      <c r="AJ3744" t="s">
        <v>43</v>
      </c>
      <c r="AK3744" t="s">
        <v>43</v>
      </c>
      <c r="AL3744" t="s">
        <v>43</v>
      </c>
      <c r="AM3744" t="s">
        <v>43</v>
      </c>
      <c r="AN3744" t="str">
        <f>HYPERLINK("https://www.google.com/maps?q=10.7630558,79.69438171","Open Location")</f>
        <v>Open Location</v>
      </c>
    </row>
    <row r="3745" spans="1:40" x14ac:dyDescent="0.3">
      <c r="A3745" s="1">
        <v>46210.566203703704</v>
      </c>
      <c r="B3745" t="s">
        <v>40</v>
      </c>
      <c r="C3745" t="s">
        <v>41</v>
      </c>
      <c r="D3745" s="1">
        <v>46210.56890046296</v>
      </c>
      <c r="E3745" t="s">
        <v>42</v>
      </c>
      <c r="F3745" t="s">
        <v>43</v>
      </c>
      <c r="G3745" t="s">
        <v>43</v>
      </c>
      <c r="H3745" t="s">
        <v>43</v>
      </c>
      <c r="I3745" t="s">
        <v>2234</v>
      </c>
      <c r="J3745" t="s">
        <v>43</v>
      </c>
      <c r="K3745" t="s">
        <v>43</v>
      </c>
      <c r="L3745" t="s">
        <v>43</v>
      </c>
      <c r="M3745" t="s">
        <v>43</v>
      </c>
      <c r="N3745" t="s">
        <v>45</v>
      </c>
      <c r="O3745" t="s">
        <v>43</v>
      </c>
      <c r="P3745" t="s">
        <v>43</v>
      </c>
      <c r="Q3745" t="s">
        <v>43</v>
      </c>
      <c r="R3745" t="s">
        <v>43</v>
      </c>
      <c r="S3745" t="s">
        <v>43</v>
      </c>
      <c r="T3745" t="s">
        <v>43</v>
      </c>
      <c r="U3745" t="s">
        <v>43</v>
      </c>
      <c r="V3745" t="s">
        <v>43</v>
      </c>
      <c r="W3745" t="s">
        <v>43</v>
      </c>
      <c r="X3745" t="s">
        <v>43</v>
      </c>
      <c r="Y3745" t="s">
        <v>43</v>
      </c>
      <c r="Z3745" t="s">
        <v>43</v>
      </c>
      <c r="AA3745" t="s">
        <v>43</v>
      </c>
      <c r="AB3745" t="s">
        <v>43</v>
      </c>
      <c r="AC3745" t="s">
        <v>43</v>
      </c>
      <c r="AD3745" t="s">
        <v>43</v>
      </c>
      <c r="AE3745" t="s">
        <v>43</v>
      </c>
      <c r="AF3745" t="s">
        <v>43</v>
      </c>
      <c r="AG3745" t="s">
        <v>43</v>
      </c>
      <c r="AH3745" t="s">
        <v>43</v>
      </c>
      <c r="AI3745" t="s">
        <v>43</v>
      </c>
      <c r="AJ3745" t="s">
        <v>43</v>
      </c>
      <c r="AK3745" t="s">
        <v>43</v>
      </c>
      <c r="AL3745" t="s">
        <v>43</v>
      </c>
      <c r="AM3745" t="s">
        <v>43</v>
      </c>
      <c r="AN3745" t="str">
        <f>HYPERLINK("https://www.google.com/maps?q=10.76305771,79.69438171","Open Location")</f>
        <v>Open Location</v>
      </c>
    </row>
    <row r="3746" spans="1:40" x14ac:dyDescent="0.3">
      <c r="A3746" s="1">
        <v>46210.566087962965</v>
      </c>
      <c r="B3746" t="s">
        <v>40</v>
      </c>
      <c r="C3746" t="s">
        <v>41</v>
      </c>
      <c r="D3746" s="1">
        <v>46210.56925925926</v>
      </c>
      <c r="E3746" t="s">
        <v>42</v>
      </c>
      <c r="F3746" t="s">
        <v>43</v>
      </c>
      <c r="G3746" t="s">
        <v>43</v>
      </c>
      <c r="H3746" t="s">
        <v>43</v>
      </c>
      <c r="I3746" t="s">
        <v>2235</v>
      </c>
      <c r="J3746" t="s">
        <v>43</v>
      </c>
      <c r="K3746" t="s">
        <v>43</v>
      </c>
      <c r="L3746" t="s">
        <v>43</v>
      </c>
      <c r="M3746" t="s">
        <v>43</v>
      </c>
      <c r="N3746" t="s">
        <v>45</v>
      </c>
      <c r="O3746" t="s">
        <v>43</v>
      </c>
      <c r="P3746" t="s">
        <v>43</v>
      </c>
      <c r="Q3746" t="s">
        <v>43</v>
      </c>
      <c r="R3746" t="s">
        <v>43</v>
      </c>
      <c r="S3746" t="s">
        <v>43</v>
      </c>
      <c r="T3746" t="s">
        <v>43</v>
      </c>
      <c r="U3746" t="s">
        <v>43</v>
      </c>
      <c r="V3746" t="s">
        <v>43</v>
      </c>
      <c r="W3746" t="s">
        <v>43</v>
      </c>
      <c r="X3746" t="s">
        <v>43</v>
      </c>
      <c r="Y3746" t="s">
        <v>43</v>
      </c>
      <c r="Z3746" t="s">
        <v>43</v>
      </c>
      <c r="AA3746" t="s">
        <v>43</v>
      </c>
      <c r="AB3746" t="s">
        <v>43</v>
      </c>
      <c r="AC3746" t="s">
        <v>43</v>
      </c>
      <c r="AD3746" t="s">
        <v>43</v>
      </c>
      <c r="AE3746" t="s">
        <v>43</v>
      </c>
      <c r="AF3746" t="s">
        <v>43</v>
      </c>
      <c r="AG3746" t="s">
        <v>43</v>
      </c>
      <c r="AH3746" t="s">
        <v>43</v>
      </c>
      <c r="AI3746" t="s">
        <v>43</v>
      </c>
      <c r="AJ3746" t="s">
        <v>43</v>
      </c>
      <c r="AK3746" t="s">
        <v>43</v>
      </c>
      <c r="AL3746" t="s">
        <v>43</v>
      </c>
      <c r="AM3746" t="s">
        <v>43</v>
      </c>
      <c r="AN3746" t="str">
        <f>HYPERLINK("https://www.google.com/maps?q=10.76305866,79.69438171","Open Location")</f>
        <v>Open Location</v>
      </c>
    </row>
    <row r="3747" spans="1:40" x14ac:dyDescent="0.3">
      <c r="A3747" s="1">
        <v>46210.565972222219</v>
      </c>
      <c r="B3747" t="s">
        <v>40</v>
      </c>
      <c r="C3747" t="s">
        <v>41</v>
      </c>
      <c r="D3747" s="1">
        <v>46210.568680555552</v>
      </c>
      <c r="E3747" t="s">
        <v>42</v>
      </c>
      <c r="F3747" t="s">
        <v>43</v>
      </c>
      <c r="G3747" t="s">
        <v>43</v>
      </c>
      <c r="H3747" t="s">
        <v>43</v>
      </c>
      <c r="I3747" t="s">
        <v>43</v>
      </c>
      <c r="J3747" t="s">
        <v>43</v>
      </c>
      <c r="K3747" t="s">
        <v>43</v>
      </c>
      <c r="L3747" t="s">
        <v>43</v>
      </c>
      <c r="M3747" t="s">
        <v>43</v>
      </c>
      <c r="N3747" t="s">
        <v>45</v>
      </c>
      <c r="O3747" t="s">
        <v>43</v>
      </c>
      <c r="P3747" t="s">
        <v>43</v>
      </c>
      <c r="Q3747" t="s">
        <v>43</v>
      </c>
      <c r="R3747" t="s">
        <v>43</v>
      </c>
      <c r="S3747" t="s">
        <v>43</v>
      </c>
      <c r="T3747" t="s">
        <v>43</v>
      </c>
      <c r="U3747" t="s">
        <v>43</v>
      </c>
      <c r="V3747" t="s">
        <v>43</v>
      </c>
      <c r="W3747" t="s">
        <v>43</v>
      </c>
      <c r="X3747" t="s">
        <v>43</v>
      </c>
      <c r="Y3747" t="s">
        <v>43</v>
      </c>
      <c r="Z3747" t="s">
        <v>43</v>
      </c>
      <c r="AA3747" t="s">
        <v>43</v>
      </c>
      <c r="AB3747" t="s">
        <v>43</v>
      </c>
      <c r="AC3747" t="s">
        <v>43</v>
      </c>
      <c r="AD3747" t="s">
        <v>43</v>
      </c>
      <c r="AE3747" t="s">
        <v>43</v>
      </c>
      <c r="AF3747" t="s">
        <v>43</v>
      </c>
      <c r="AG3747" t="s">
        <v>43</v>
      </c>
      <c r="AH3747" t="s">
        <v>43</v>
      </c>
      <c r="AI3747" t="s">
        <v>43</v>
      </c>
      <c r="AJ3747" t="s">
        <v>43</v>
      </c>
      <c r="AK3747" t="s">
        <v>43</v>
      </c>
      <c r="AL3747" t="s">
        <v>43</v>
      </c>
      <c r="AM3747" t="s">
        <v>43</v>
      </c>
      <c r="AN3747" t="s">
        <v>43</v>
      </c>
    </row>
    <row r="3748" spans="1:40" x14ac:dyDescent="0.3">
      <c r="A3748" s="1">
        <v>46210.56585648148</v>
      </c>
      <c r="B3748" t="s">
        <v>40</v>
      </c>
      <c r="C3748" t="s">
        <v>41</v>
      </c>
      <c r="D3748" s="1">
        <v>46210.568854166668</v>
      </c>
      <c r="E3748" t="s">
        <v>42</v>
      </c>
      <c r="F3748" t="s">
        <v>43</v>
      </c>
      <c r="G3748" t="s">
        <v>43</v>
      </c>
      <c r="H3748" t="s">
        <v>43</v>
      </c>
      <c r="I3748" t="s">
        <v>2236</v>
      </c>
      <c r="J3748" t="s">
        <v>43</v>
      </c>
      <c r="K3748" t="s">
        <v>43</v>
      </c>
      <c r="L3748" t="s">
        <v>43</v>
      </c>
      <c r="M3748" t="s">
        <v>43</v>
      </c>
      <c r="N3748" t="s">
        <v>45</v>
      </c>
      <c r="O3748" t="s">
        <v>43</v>
      </c>
      <c r="P3748" t="s">
        <v>43</v>
      </c>
      <c r="Q3748" t="s">
        <v>43</v>
      </c>
      <c r="R3748" t="s">
        <v>43</v>
      </c>
      <c r="S3748" t="s">
        <v>43</v>
      </c>
      <c r="T3748" t="s">
        <v>43</v>
      </c>
      <c r="U3748" t="s">
        <v>43</v>
      </c>
      <c r="V3748" t="s">
        <v>43</v>
      </c>
      <c r="W3748" t="s">
        <v>43</v>
      </c>
      <c r="X3748" t="s">
        <v>43</v>
      </c>
      <c r="Y3748" t="s">
        <v>43</v>
      </c>
      <c r="Z3748" t="s">
        <v>43</v>
      </c>
      <c r="AA3748" t="s">
        <v>43</v>
      </c>
      <c r="AB3748" t="s">
        <v>43</v>
      </c>
      <c r="AC3748" t="s">
        <v>43</v>
      </c>
      <c r="AD3748" t="s">
        <v>43</v>
      </c>
      <c r="AE3748" t="s">
        <v>43</v>
      </c>
      <c r="AF3748" t="s">
        <v>43</v>
      </c>
      <c r="AG3748" t="s">
        <v>43</v>
      </c>
      <c r="AH3748" t="s">
        <v>43</v>
      </c>
      <c r="AI3748" t="s">
        <v>43</v>
      </c>
      <c r="AJ3748" t="s">
        <v>43</v>
      </c>
      <c r="AK3748" t="s">
        <v>43</v>
      </c>
      <c r="AL3748" t="s">
        <v>43</v>
      </c>
      <c r="AM3748" t="s">
        <v>43</v>
      </c>
      <c r="AN3748" t="str">
        <f>HYPERLINK("https://www.google.com/maps?q=10.76305962,79.69438171","Open Location")</f>
        <v>Open Location</v>
      </c>
    </row>
    <row r="3749" spans="1:40" x14ac:dyDescent="0.3">
      <c r="A3749" s="1">
        <v>46210.565740740742</v>
      </c>
      <c r="B3749" t="s">
        <v>40</v>
      </c>
      <c r="C3749" t="s">
        <v>41</v>
      </c>
      <c r="D3749" s="1">
        <v>46210.568726851852</v>
      </c>
      <c r="E3749" t="s">
        <v>42</v>
      </c>
      <c r="F3749" t="s">
        <v>43</v>
      </c>
      <c r="G3749" t="s">
        <v>43</v>
      </c>
      <c r="H3749" t="s">
        <v>43</v>
      </c>
      <c r="I3749" t="s">
        <v>2237</v>
      </c>
      <c r="J3749" t="s">
        <v>43</v>
      </c>
      <c r="K3749" t="s">
        <v>43</v>
      </c>
      <c r="L3749" t="s">
        <v>43</v>
      </c>
      <c r="M3749" t="s">
        <v>43</v>
      </c>
      <c r="N3749" t="s">
        <v>45</v>
      </c>
      <c r="O3749" t="s">
        <v>43</v>
      </c>
      <c r="P3749" t="s">
        <v>43</v>
      </c>
      <c r="Q3749" t="s">
        <v>43</v>
      </c>
      <c r="R3749" t="s">
        <v>43</v>
      </c>
      <c r="S3749" t="s">
        <v>43</v>
      </c>
      <c r="T3749" t="s">
        <v>43</v>
      </c>
      <c r="U3749" t="s">
        <v>43</v>
      </c>
      <c r="V3749" t="s">
        <v>43</v>
      </c>
      <c r="W3749" t="s">
        <v>43</v>
      </c>
      <c r="X3749" t="s">
        <v>43</v>
      </c>
      <c r="Y3749" t="s">
        <v>43</v>
      </c>
      <c r="Z3749" t="s">
        <v>43</v>
      </c>
      <c r="AA3749" t="s">
        <v>43</v>
      </c>
      <c r="AB3749" t="s">
        <v>43</v>
      </c>
      <c r="AC3749" t="s">
        <v>43</v>
      </c>
      <c r="AD3749" t="s">
        <v>43</v>
      </c>
      <c r="AE3749" t="s">
        <v>43</v>
      </c>
      <c r="AF3749" t="s">
        <v>43</v>
      </c>
      <c r="AG3749" t="s">
        <v>43</v>
      </c>
      <c r="AH3749" t="s">
        <v>43</v>
      </c>
      <c r="AI3749" t="s">
        <v>43</v>
      </c>
      <c r="AJ3749" t="s">
        <v>43</v>
      </c>
      <c r="AK3749" t="s">
        <v>43</v>
      </c>
      <c r="AL3749" t="s">
        <v>43</v>
      </c>
      <c r="AM3749" t="s">
        <v>43</v>
      </c>
      <c r="AN3749" t="str">
        <f>HYPERLINK("https://www.google.com/maps?q=10.76306152,79.69438171","Open Location")</f>
        <v>Open Location</v>
      </c>
    </row>
    <row r="3750" spans="1:40" x14ac:dyDescent="0.3">
      <c r="A3750" s="1">
        <v>46210.565625000003</v>
      </c>
      <c r="B3750" t="s">
        <v>40</v>
      </c>
      <c r="C3750" t="s">
        <v>41</v>
      </c>
      <c r="D3750" s="1">
        <v>46210.568391203706</v>
      </c>
      <c r="E3750" t="s">
        <v>42</v>
      </c>
      <c r="F3750" t="s">
        <v>43</v>
      </c>
      <c r="G3750" t="s">
        <v>43</v>
      </c>
      <c r="H3750" t="s">
        <v>43</v>
      </c>
      <c r="I3750" t="s">
        <v>2235</v>
      </c>
      <c r="J3750" t="s">
        <v>43</v>
      </c>
      <c r="K3750" t="s">
        <v>43</v>
      </c>
      <c r="L3750" t="s">
        <v>43</v>
      </c>
      <c r="M3750" t="s">
        <v>43</v>
      </c>
      <c r="N3750" t="s">
        <v>45</v>
      </c>
      <c r="O3750" t="s">
        <v>43</v>
      </c>
      <c r="P3750" t="s">
        <v>43</v>
      </c>
      <c r="Q3750" t="s">
        <v>43</v>
      </c>
      <c r="R3750" t="s">
        <v>43</v>
      </c>
      <c r="S3750" t="s">
        <v>43</v>
      </c>
      <c r="T3750" t="s">
        <v>43</v>
      </c>
      <c r="U3750" t="s">
        <v>43</v>
      </c>
      <c r="V3750" t="s">
        <v>43</v>
      </c>
      <c r="W3750" t="s">
        <v>43</v>
      </c>
      <c r="X3750" t="s">
        <v>43</v>
      </c>
      <c r="Y3750" t="s">
        <v>43</v>
      </c>
      <c r="Z3750" t="s">
        <v>43</v>
      </c>
      <c r="AA3750" t="s">
        <v>43</v>
      </c>
      <c r="AB3750" t="s">
        <v>43</v>
      </c>
      <c r="AC3750" t="s">
        <v>43</v>
      </c>
      <c r="AD3750" t="s">
        <v>43</v>
      </c>
      <c r="AE3750" t="s">
        <v>43</v>
      </c>
      <c r="AF3750" t="s">
        <v>43</v>
      </c>
      <c r="AG3750" t="s">
        <v>43</v>
      </c>
      <c r="AH3750" t="s">
        <v>43</v>
      </c>
      <c r="AI3750" t="s">
        <v>43</v>
      </c>
      <c r="AJ3750" t="s">
        <v>43</v>
      </c>
      <c r="AK3750" t="s">
        <v>43</v>
      </c>
      <c r="AL3750" t="s">
        <v>43</v>
      </c>
      <c r="AM3750" t="s">
        <v>43</v>
      </c>
      <c r="AN3750" t="str">
        <f>HYPERLINK("https://www.google.com/maps?q=10.76305866,79.69438171","Open Location")</f>
        <v>Open Location</v>
      </c>
    </row>
    <row r="3751" spans="1:40" x14ac:dyDescent="0.3">
      <c r="A3751" s="1">
        <v>46210.565509259257</v>
      </c>
      <c r="B3751" t="s">
        <v>40</v>
      </c>
      <c r="C3751" t="s">
        <v>41</v>
      </c>
      <c r="D3751" s="1">
        <v>46210.568229166667</v>
      </c>
      <c r="E3751" t="s">
        <v>42</v>
      </c>
      <c r="F3751" t="s">
        <v>43</v>
      </c>
      <c r="G3751" t="s">
        <v>43</v>
      </c>
      <c r="H3751" t="s">
        <v>43</v>
      </c>
      <c r="I3751" t="s">
        <v>2238</v>
      </c>
      <c r="J3751" t="s">
        <v>43</v>
      </c>
      <c r="K3751" t="s">
        <v>43</v>
      </c>
      <c r="L3751" t="s">
        <v>43</v>
      </c>
      <c r="M3751" t="s">
        <v>43</v>
      </c>
      <c r="N3751" t="s">
        <v>45</v>
      </c>
      <c r="O3751" t="s">
        <v>43</v>
      </c>
      <c r="P3751" t="s">
        <v>43</v>
      </c>
      <c r="Q3751" t="s">
        <v>43</v>
      </c>
      <c r="R3751" t="s">
        <v>43</v>
      </c>
      <c r="S3751" t="s">
        <v>43</v>
      </c>
      <c r="T3751" t="s">
        <v>43</v>
      </c>
      <c r="U3751" t="s">
        <v>43</v>
      </c>
      <c r="V3751" t="s">
        <v>43</v>
      </c>
      <c r="W3751" t="s">
        <v>43</v>
      </c>
      <c r="X3751" t="s">
        <v>43</v>
      </c>
      <c r="Y3751" t="s">
        <v>43</v>
      </c>
      <c r="Z3751" t="s">
        <v>43</v>
      </c>
      <c r="AA3751" t="s">
        <v>43</v>
      </c>
      <c r="AB3751" t="s">
        <v>43</v>
      </c>
      <c r="AC3751" t="s">
        <v>43</v>
      </c>
      <c r="AD3751" t="s">
        <v>43</v>
      </c>
      <c r="AE3751" t="s">
        <v>43</v>
      </c>
      <c r="AF3751" t="s">
        <v>43</v>
      </c>
      <c r="AG3751" t="s">
        <v>43</v>
      </c>
      <c r="AH3751" t="s">
        <v>43</v>
      </c>
      <c r="AI3751" t="s">
        <v>43</v>
      </c>
      <c r="AJ3751" t="s">
        <v>43</v>
      </c>
      <c r="AK3751" t="s">
        <v>43</v>
      </c>
      <c r="AL3751" t="s">
        <v>43</v>
      </c>
      <c r="AM3751" t="s">
        <v>43</v>
      </c>
      <c r="AN3751" t="str">
        <f>HYPERLINK("https://www.google.com/maps?q=10.76306057,79.69438171","Open Location")</f>
        <v>Open Location</v>
      </c>
    </row>
    <row r="3752" spans="1:40" x14ac:dyDescent="0.3">
      <c r="A3752" s="1">
        <v>46210.565393518518</v>
      </c>
      <c r="B3752" t="s">
        <v>40</v>
      </c>
      <c r="C3752" t="s">
        <v>41</v>
      </c>
      <c r="D3752" s="1">
        <v>46210.568310185183</v>
      </c>
      <c r="E3752" t="s">
        <v>42</v>
      </c>
      <c r="F3752" t="s">
        <v>43</v>
      </c>
      <c r="G3752" t="s">
        <v>43</v>
      </c>
      <c r="H3752" t="s">
        <v>43</v>
      </c>
      <c r="I3752" t="s">
        <v>2237</v>
      </c>
      <c r="J3752" t="s">
        <v>43</v>
      </c>
      <c r="K3752" t="s">
        <v>43</v>
      </c>
      <c r="L3752" t="s">
        <v>43</v>
      </c>
      <c r="M3752" t="s">
        <v>43</v>
      </c>
      <c r="N3752" t="s">
        <v>45</v>
      </c>
      <c r="O3752" t="s">
        <v>43</v>
      </c>
      <c r="P3752" t="s">
        <v>43</v>
      </c>
      <c r="Q3752" t="s">
        <v>43</v>
      </c>
      <c r="R3752" t="s">
        <v>43</v>
      </c>
      <c r="S3752" t="s">
        <v>43</v>
      </c>
      <c r="T3752" t="s">
        <v>43</v>
      </c>
      <c r="U3752" t="s">
        <v>43</v>
      </c>
      <c r="V3752" t="s">
        <v>43</v>
      </c>
      <c r="W3752" t="s">
        <v>43</v>
      </c>
      <c r="X3752" t="s">
        <v>43</v>
      </c>
      <c r="Y3752" t="s">
        <v>43</v>
      </c>
      <c r="Z3752" t="s">
        <v>43</v>
      </c>
      <c r="AA3752" t="s">
        <v>43</v>
      </c>
      <c r="AB3752" t="s">
        <v>43</v>
      </c>
      <c r="AC3752" t="s">
        <v>43</v>
      </c>
      <c r="AD3752" t="s">
        <v>43</v>
      </c>
      <c r="AE3752" t="s">
        <v>43</v>
      </c>
      <c r="AF3752" t="s">
        <v>43</v>
      </c>
      <c r="AG3752" t="s">
        <v>43</v>
      </c>
      <c r="AH3752" t="s">
        <v>43</v>
      </c>
      <c r="AI3752" t="s">
        <v>43</v>
      </c>
      <c r="AJ3752" t="s">
        <v>43</v>
      </c>
      <c r="AK3752" t="s">
        <v>43</v>
      </c>
      <c r="AL3752" t="s">
        <v>43</v>
      </c>
      <c r="AM3752" t="s">
        <v>43</v>
      </c>
      <c r="AN3752" t="str">
        <f>HYPERLINK("https://www.google.com/maps?q=10.76306152,79.69438171","Open Location")</f>
        <v>Open Location</v>
      </c>
    </row>
    <row r="3753" spans="1:40" x14ac:dyDescent="0.3">
      <c r="A3753" s="1">
        <v>46210.56527777778</v>
      </c>
      <c r="B3753" t="s">
        <v>40</v>
      </c>
      <c r="C3753" t="s">
        <v>41</v>
      </c>
      <c r="D3753" s="1">
        <v>46210.568252314813</v>
      </c>
      <c r="E3753" t="s">
        <v>42</v>
      </c>
      <c r="F3753" t="s">
        <v>43</v>
      </c>
      <c r="G3753" t="s">
        <v>43</v>
      </c>
      <c r="H3753" t="s">
        <v>43</v>
      </c>
      <c r="I3753" t="s">
        <v>43</v>
      </c>
      <c r="J3753" t="s">
        <v>43</v>
      </c>
      <c r="K3753" t="s">
        <v>43</v>
      </c>
      <c r="L3753" t="s">
        <v>43</v>
      </c>
      <c r="M3753" t="s">
        <v>43</v>
      </c>
      <c r="N3753" t="s">
        <v>45</v>
      </c>
      <c r="O3753" t="s">
        <v>43</v>
      </c>
      <c r="P3753" t="s">
        <v>43</v>
      </c>
      <c r="Q3753" t="s">
        <v>43</v>
      </c>
      <c r="R3753" t="s">
        <v>43</v>
      </c>
      <c r="S3753" t="s">
        <v>43</v>
      </c>
      <c r="T3753" t="s">
        <v>43</v>
      </c>
      <c r="U3753" t="s">
        <v>43</v>
      </c>
      <c r="V3753" t="s">
        <v>43</v>
      </c>
      <c r="W3753" t="s">
        <v>43</v>
      </c>
      <c r="X3753" t="s">
        <v>43</v>
      </c>
      <c r="Y3753" t="s">
        <v>43</v>
      </c>
      <c r="Z3753" t="s">
        <v>43</v>
      </c>
      <c r="AA3753" t="s">
        <v>43</v>
      </c>
      <c r="AB3753" t="s">
        <v>43</v>
      </c>
      <c r="AC3753" t="s">
        <v>43</v>
      </c>
      <c r="AD3753" t="s">
        <v>43</v>
      </c>
      <c r="AE3753" t="s">
        <v>43</v>
      </c>
      <c r="AF3753" t="s">
        <v>43</v>
      </c>
      <c r="AG3753" t="s">
        <v>43</v>
      </c>
      <c r="AH3753" t="s">
        <v>43</v>
      </c>
      <c r="AI3753" t="s">
        <v>43</v>
      </c>
      <c r="AJ3753" t="s">
        <v>43</v>
      </c>
      <c r="AK3753" t="s">
        <v>43</v>
      </c>
      <c r="AL3753" t="s">
        <v>43</v>
      </c>
      <c r="AM3753" t="s">
        <v>43</v>
      </c>
      <c r="AN3753" t="s">
        <v>43</v>
      </c>
    </row>
    <row r="3754" spans="1:40" x14ac:dyDescent="0.3">
      <c r="A3754" s="1">
        <v>46210.565162037034</v>
      </c>
      <c r="B3754" t="s">
        <v>40</v>
      </c>
      <c r="C3754" t="s">
        <v>41</v>
      </c>
      <c r="D3754" s="1">
        <v>46210.568310185183</v>
      </c>
      <c r="E3754" t="s">
        <v>42</v>
      </c>
      <c r="F3754" t="s">
        <v>43</v>
      </c>
      <c r="G3754" t="s">
        <v>43</v>
      </c>
      <c r="H3754" t="s">
        <v>43</v>
      </c>
      <c r="I3754" t="s">
        <v>2239</v>
      </c>
      <c r="J3754" t="s">
        <v>43</v>
      </c>
      <c r="K3754" t="s">
        <v>43</v>
      </c>
      <c r="L3754" t="s">
        <v>43</v>
      </c>
      <c r="M3754" t="s">
        <v>43</v>
      </c>
      <c r="N3754" t="s">
        <v>45</v>
      </c>
      <c r="O3754" t="s">
        <v>43</v>
      </c>
      <c r="P3754" t="s">
        <v>43</v>
      </c>
      <c r="Q3754" t="s">
        <v>43</v>
      </c>
      <c r="R3754" t="s">
        <v>43</v>
      </c>
      <c r="S3754" t="s">
        <v>43</v>
      </c>
      <c r="T3754" t="s">
        <v>43</v>
      </c>
      <c r="U3754" t="s">
        <v>43</v>
      </c>
      <c r="V3754" t="s">
        <v>43</v>
      </c>
      <c r="W3754" t="s">
        <v>43</v>
      </c>
      <c r="X3754" t="s">
        <v>43</v>
      </c>
      <c r="Y3754" t="s">
        <v>43</v>
      </c>
      <c r="Z3754" t="s">
        <v>43</v>
      </c>
      <c r="AA3754" t="s">
        <v>43</v>
      </c>
      <c r="AB3754" t="s">
        <v>43</v>
      </c>
      <c r="AC3754" t="s">
        <v>43</v>
      </c>
      <c r="AD3754" t="s">
        <v>43</v>
      </c>
      <c r="AE3754" t="s">
        <v>43</v>
      </c>
      <c r="AF3754" t="s">
        <v>43</v>
      </c>
      <c r="AG3754" t="s">
        <v>43</v>
      </c>
      <c r="AH3754" t="s">
        <v>43</v>
      </c>
      <c r="AI3754" t="s">
        <v>43</v>
      </c>
      <c r="AJ3754" t="s">
        <v>43</v>
      </c>
      <c r="AK3754" t="s">
        <v>43</v>
      </c>
      <c r="AL3754" t="s">
        <v>43</v>
      </c>
      <c r="AM3754" t="s">
        <v>43</v>
      </c>
      <c r="AN3754" t="str">
        <f>HYPERLINK("https://www.google.com/maps?q=10.76306057,79.69437408","Open Location")</f>
        <v>Open Location</v>
      </c>
    </row>
    <row r="3755" spans="1:40" x14ac:dyDescent="0.3">
      <c r="A3755" s="1">
        <v>46210.565046296295</v>
      </c>
      <c r="B3755" t="s">
        <v>40</v>
      </c>
      <c r="C3755" t="s">
        <v>41</v>
      </c>
      <c r="D3755" s="1">
        <v>46210.567986111113</v>
      </c>
      <c r="E3755" t="s">
        <v>42</v>
      </c>
      <c r="F3755" t="s">
        <v>43</v>
      </c>
      <c r="G3755" t="s">
        <v>43</v>
      </c>
      <c r="H3755" t="s">
        <v>43</v>
      </c>
      <c r="I3755" t="s">
        <v>2239</v>
      </c>
      <c r="J3755" t="s">
        <v>43</v>
      </c>
      <c r="K3755" t="s">
        <v>43</v>
      </c>
      <c r="L3755" t="s">
        <v>43</v>
      </c>
      <c r="M3755" t="s">
        <v>43</v>
      </c>
      <c r="N3755" t="s">
        <v>45</v>
      </c>
      <c r="O3755" t="s">
        <v>43</v>
      </c>
      <c r="P3755" t="s">
        <v>43</v>
      </c>
      <c r="Q3755" t="s">
        <v>43</v>
      </c>
      <c r="R3755" t="s">
        <v>43</v>
      </c>
      <c r="S3755" t="s">
        <v>43</v>
      </c>
      <c r="T3755" t="s">
        <v>43</v>
      </c>
      <c r="U3755" t="s">
        <v>43</v>
      </c>
      <c r="V3755" t="s">
        <v>43</v>
      </c>
      <c r="W3755" t="s">
        <v>43</v>
      </c>
      <c r="X3755" t="s">
        <v>43</v>
      </c>
      <c r="Y3755" t="s">
        <v>43</v>
      </c>
      <c r="Z3755" t="s">
        <v>43</v>
      </c>
      <c r="AA3755" t="s">
        <v>43</v>
      </c>
      <c r="AB3755" t="s">
        <v>43</v>
      </c>
      <c r="AC3755" t="s">
        <v>43</v>
      </c>
      <c r="AD3755" t="s">
        <v>43</v>
      </c>
      <c r="AE3755" t="s">
        <v>43</v>
      </c>
      <c r="AF3755" t="s">
        <v>43</v>
      </c>
      <c r="AG3755" t="s">
        <v>43</v>
      </c>
      <c r="AH3755" t="s">
        <v>43</v>
      </c>
      <c r="AI3755" t="s">
        <v>43</v>
      </c>
      <c r="AJ3755" t="s">
        <v>43</v>
      </c>
      <c r="AK3755" t="s">
        <v>43</v>
      </c>
      <c r="AL3755" t="s">
        <v>43</v>
      </c>
      <c r="AM3755" t="s">
        <v>43</v>
      </c>
      <c r="AN3755" t="str">
        <f>HYPERLINK("https://www.google.com/maps?q=10.76306057,79.69437408","Open Location")</f>
        <v>Open Location</v>
      </c>
    </row>
    <row r="3756" spans="1:40" x14ac:dyDescent="0.3">
      <c r="A3756" s="1">
        <v>46210.564930555556</v>
      </c>
      <c r="B3756" t="s">
        <v>40</v>
      </c>
      <c r="C3756" t="s">
        <v>41</v>
      </c>
      <c r="D3756" s="1">
        <v>46210.567997685182</v>
      </c>
      <c r="E3756" t="s">
        <v>42</v>
      </c>
      <c r="F3756" t="s">
        <v>43</v>
      </c>
      <c r="G3756" t="s">
        <v>43</v>
      </c>
      <c r="H3756" t="s">
        <v>43</v>
      </c>
      <c r="I3756" t="s">
        <v>2238</v>
      </c>
      <c r="J3756" t="s">
        <v>43</v>
      </c>
      <c r="K3756" t="s">
        <v>43</v>
      </c>
      <c r="L3756" t="s">
        <v>43</v>
      </c>
      <c r="M3756" t="s">
        <v>43</v>
      </c>
      <c r="N3756" t="s">
        <v>45</v>
      </c>
      <c r="O3756" t="s">
        <v>43</v>
      </c>
      <c r="P3756" t="s">
        <v>43</v>
      </c>
      <c r="Q3756" t="s">
        <v>43</v>
      </c>
      <c r="R3756" t="s">
        <v>43</v>
      </c>
      <c r="S3756" t="s">
        <v>43</v>
      </c>
      <c r="T3756" t="s">
        <v>43</v>
      </c>
      <c r="U3756" t="s">
        <v>43</v>
      </c>
      <c r="V3756" t="s">
        <v>43</v>
      </c>
      <c r="W3756" t="s">
        <v>43</v>
      </c>
      <c r="X3756" t="s">
        <v>43</v>
      </c>
      <c r="Y3756" t="s">
        <v>43</v>
      </c>
      <c r="Z3756" t="s">
        <v>43</v>
      </c>
      <c r="AA3756" t="s">
        <v>43</v>
      </c>
      <c r="AB3756" t="s">
        <v>43</v>
      </c>
      <c r="AC3756" t="s">
        <v>43</v>
      </c>
      <c r="AD3756" t="s">
        <v>43</v>
      </c>
      <c r="AE3756" t="s">
        <v>43</v>
      </c>
      <c r="AF3756" t="s">
        <v>43</v>
      </c>
      <c r="AG3756" t="s">
        <v>43</v>
      </c>
      <c r="AH3756" t="s">
        <v>43</v>
      </c>
      <c r="AI3756" t="s">
        <v>43</v>
      </c>
      <c r="AJ3756" t="s">
        <v>43</v>
      </c>
      <c r="AK3756" t="s">
        <v>43</v>
      </c>
      <c r="AL3756" t="s">
        <v>43</v>
      </c>
      <c r="AM3756" t="s">
        <v>43</v>
      </c>
      <c r="AN3756" t="str">
        <f>HYPERLINK("https://www.google.com/maps?q=10.76306057,79.69438171","Open Location")</f>
        <v>Open Location</v>
      </c>
    </row>
    <row r="3757" spans="1:40" x14ac:dyDescent="0.3">
      <c r="A3757" s="1">
        <v>46210.564814814818</v>
      </c>
      <c r="B3757" t="s">
        <v>40</v>
      </c>
      <c r="C3757" t="s">
        <v>41</v>
      </c>
      <c r="D3757" s="1">
        <v>46210.567870370367</v>
      </c>
      <c r="E3757" t="s">
        <v>42</v>
      </c>
      <c r="F3757" t="s">
        <v>43</v>
      </c>
      <c r="G3757" t="s">
        <v>43</v>
      </c>
      <c r="H3757" t="s">
        <v>43</v>
      </c>
      <c r="I3757" t="s">
        <v>2240</v>
      </c>
      <c r="J3757" t="s">
        <v>43</v>
      </c>
      <c r="K3757" t="s">
        <v>43</v>
      </c>
      <c r="L3757" t="s">
        <v>43</v>
      </c>
      <c r="M3757" t="s">
        <v>43</v>
      </c>
      <c r="N3757" t="s">
        <v>45</v>
      </c>
      <c r="O3757" t="s">
        <v>43</v>
      </c>
      <c r="P3757" t="s">
        <v>43</v>
      </c>
      <c r="Q3757" t="s">
        <v>43</v>
      </c>
      <c r="R3757" t="s">
        <v>43</v>
      </c>
      <c r="S3757" t="s">
        <v>43</v>
      </c>
      <c r="T3757" t="s">
        <v>43</v>
      </c>
      <c r="U3757" t="s">
        <v>43</v>
      </c>
      <c r="V3757" t="s">
        <v>43</v>
      </c>
      <c r="W3757" t="s">
        <v>43</v>
      </c>
      <c r="X3757" t="s">
        <v>43</v>
      </c>
      <c r="Y3757" t="s">
        <v>43</v>
      </c>
      <c r="Z3757" t="s">
        <v>43</v>
      </c>
      <c r="AA3757" t="s">
        <v>43</v>
      </c>
      <c r="AB3757" t="s">
        <v>43</v>
      </c>
      <c r="AC3757" t="s">
        <v>43</v>
      </c>
      <c r="AD3757" t="s">
        <v>43</v>
      </c>
      <c r="AE3757" t="s">
        <v>43</v>
      </c>
      <c r="AF3757" t="s">
        <v>43</v>
      </c>
      <c r="AG3757" t="s">
        <v>43</v>
      </c>
      <c r="AH3757" t="s">
        <v>43</v>
      </c>
      <c r="AI3757" t="s">
        <v>43</v>
      </c>
      <c r="AJ3757" t="s">
        <v>43</v>
      </c>
      <c r="AK3757" t="s">
        <v>43</v>
      </c>
      <c r="AL3757" t="s">
        <v>43</v>
      </c>
      <c r="AM3757" t="s">
        <v>43</v>
      </c>
      <c r="AN3757" t="str">
        <f>HYPERLINK("https://www.google.com/maps?q=10.76306152,79.69437408","Open Location")</f>
        <v>Open Location</v>
      </c>
    </row>
    <row r="3758" spans="1:40" x14ac:dyDescent="0.3">
      <c r="A3758" s="1">
        <v>46210.564699074072</v>
      </c>
      <c r="B3758" t="s">
        <v>40</v>
      </c>
      <c r="C3758" t="s">
        <v>41</v>
      </c>
      <c r="D3758" s="1">
        <v>46210.567789351851</v>
      </c>
      <c r="E3758" t="s">
        <v>42</v>
      </c>
      <c r="F3758" t="s">
        <v>43</v>
      </c>
      <c r="G3758" t="s">
        <v>43</v>
      </c>
      <c r="H3758" t="s">
        <v>43</v>
      </c>
      <c r="I3758" t="s">
        <v>2241</v>
      </c>
      <c r="J3758" t="s">
        <v>43</v>
      </c>
      <c r="K3758" t="s">
        <v>43</v>
      </c>
      <c r="L3758" t="s">
        <v>43</v>
      </c>
      <c r="M3758" t="s">
        <v>43</v>
      </c>
      <c r="N3758" t="s">
        <v>45</v>
      </c>
      <c r="O3758" t="s">
        <v>43</v>
      </c>
      <c r="P3758" t="s">
        <v>43</v>
      </c>
      <c r="Q3758" t="s">
        <v>43</v>
      </c>
      <c r="R3758" t="s">
        <v>43</v>
      </c>
      <c r="S3758" t="s">
        <v>43</v>
      </c>
      <c r="T3758" t="s">
        <v>43</v>
      </c>
      <c r="U3758" t="s">
        <v>43</v>
      </c>
      <c r="V3758" t="s">
        <v>43</v>
      </c>
      <c r="W3758" t="s">
        <v>43</v>
      </c>
      <c r="X3758" t="s">
        <v>43</v>
      </c>
      <c r="Y3758" t="s">
        <v>43</v>
      </c>
      <c r="Z3758" t="s">
        <v>43</v>
      </c>
      <c r="AA3758" t="s">
        <v>43</v>
      </c>
      <c r="AB3758" t="s">
        <v>43</v>
      </c>
      <c r="AC3758" t="s">
        <v>43</v>
      </c>
      <c r="AD3758" t="s">
        <v>43</v>
      </c>
      <c r="AE3758" t="s">
        <v>43</v>
      </c>
      <c r="AF3758" t="s">
        <v>43</v>
      </c>
      <c r="AG3758" t="s">
        <v>43</v>
      </c>
      <c r="AH3758" t="s">
        <v>43</v>
      </c>
      <c r="AI3758" t="s">
        <v>43</v>
      </c>
      <c r="AJ3758" t="s">
        <v>43</v>
      </c>
      <c r="AK3758" t="s">
        <v>43</v>
      </c>
      <c r="AL3758" t="s">
        <v>43</v>
      </c>
      <c r="AM3758" t="s">
        <v>43</v>
      </c>
      <c r="AN3758" t="str">
        <f>HYPERLINK("https://www.google.com/maps?q=10.76306438,79.69437408","Open Location")</f>
        <v>Open Location</v>
      </c>
    </row>
    <row r="3759" spans="1:40" x14ac:dyDescent="0.3">
      <c r="A3759" s="1">
        <v>46210.564583333333</v>
      </c>
      <c r="B3759" t="s">
        <v>40</v>
      </c>
      <c r="C3759" t="s">
        <v>41</v>
      </c>
      <c r="D3759" s="1">
        <v>46210.567476851851</v>
      </c>
      <c r="E3759" t="s">
        <v>42</v>
      </c>
      <c r="F3759" t="s">
        <v>43</v>
      </c>
      <c r="G3759" t="s">
        <v>43</v>
      </c>
      <c r="H3759" t="s">
        <v>43</v>
      </c>
      <c r="I3759" t="s">
        <v>43</v>
      </c>
      <c r="J3759" t="s">
        <v>43</v>
      </c>
      <c r="K3759" t="s">
        <v>43</v>
      </c>
      <c r="L3759" t="s">
        <v>43</v>
      </c>
      <c r="M3759" t="s">
        <v>43</v>
      </c>
      <c r="N3759" t="s">
        <v>45</v>
      </c>
      <c r="O3759" t="s">
        <v>43</v>
      </c>
      <c r="P3759" t="s">
        <v>43</v>
      </c>
      <c r="Q3759" t="s">
        <v>43</v>
      </c>
      <c r="R3759" t="s">
        <v>43</v>
      </c>
      <c r="S3759" t="s">
        <v>43</v>
      </c>
      <c r="T3759" t="s">
        <v>43</v>
      </c>
      <c r="U3759" t="s">
        <v>43</v>
      </c>
      <c r="V3759" t="s">
        <v>43</v>
      </c>
      <c r="W3759" t="s">
        <v>43</v>
      </c>
      <c r="X3759" t="s">
        <v>43</v>
      </c>
      <c r="Y3759" t="s">
        <v>43</v>
      </c>
      <c r="Z3759" t="s">
        <v>43</v>
      </c>
      <c r="AA3759" t="s">
        <v>43</v>
      </c>
      <c r="AB3759" t="s">
        <v>43</v>
      </c>
      <c r="AC3759" t="s">
        <v>43</v>
      </c>
      <c r="AD3759" t="s">
        <v>43</v>
      </c>
      <c r="AE3759" t="s">
        <v>43</v>
      </c>
      <c r="AF3759" t="s">
        <v>43</v>
      </c>
      <c r="AG3759" t="s">
        <v>43</v>
      </c>
      <c r="AH3759" t="s">
        <v>43</v>
      </c>
      <c r="AI3759" t="s">
        <v>43</v>
      </c>
      <c r="AJ3759" t="s">
        <v>43</v>
      </c>
      <c r="AK3759" t="s">
        <v>43</v>
      </c>
      <c r="AL3759" t="s">
        <v>43</v>
      </c>
      <c r="AM3759" t="s">
        <v>43</v>
      </c>
      <c r="AN3759" t="s">
        <v>43</v>
      </c>
    </row>
    <row r="3760" spans="1:40" x14ac:dyDescent="0.3">
      <c r="A3760" s="1">
        <v>46210.564467592594</v>
      </c>
      <c r="B3760" t="s">
        <v>40</v>
      </c>
      <c r="C3760" t="s">
        <v>41</v>
      </c>
      <c r="D3760" s="1">
        <v>46210.56753472222</v>
      </c>
      <c r="E3760" t="s">
        <v>42</v>
      </c>
      <c r="F3760" t="s">
        <v>43</v>
      </c>
      <c r="G3760" t="s">
        <v>43</v>
      </c>
      <c r="H3760" t="s">
        <v>43</v>
      </c>
      <c r="I3760" t="s">
        <v>2242</v>
      </c>
      <c r="J3760" t="s">
        <v>43</v>
      </c>
      <c r="K3760" t="s">
        <v>43</v>
      </c>
      <c r="L3760" t="s">
        <v>43</v>
      </c>
      <c r="M3760" t="s">
        <v>43</v>
      </c>
      <c r="N3760" t="s">
        <v>45</v>
      </c>
      <c r="O3760" t="s">
        <v>43</v>
      </c>
      <c r="P3760" t="s">
        <v>43</v>
      </c>
      <c r="Q3760" t="s">
        <v>43</v>
      </c>
      <c r="R3760" t="s">
        <v>43</v>
      </c>
      <c r="S3760" t="s">
        <v>43</v>
      </c>
      <c r="T3760" t="s">
        <v>43</v>
      </c>
      <c r="U3760" t="s">
        <v>43</v>
      </c>
      <c r="V3760" t="s">
        <v>43</v>
      </c>
      <c r="W3760" t="s">
        <v>43</v>
      </c>
      <c r="X3760" t="s">
        <v>43</v>
      </c>
      <c r="Y3760" t="s">
        <v>43</v>
      </c>
      <c r="Z3760" t="s">
        <v>43</v>
      </c>
      <c r="AA3760" t="s">
        <v>43</v>
      </c>
      <c r="AB3760" t="s">
        <v>43</v>
      </c>
      <c r="AC3760" t="s">
        <v>43</v>
      </c>
      <c r="AD3760" t="s">
        <v>43</v>
      </c>
      <c r="AE3760" t="s">
        <v>43</v>
      </c>
      <c r="AF3760" t="s">
        <v>43</v>
      </c>
      <c r="AG3760" t="s">
        <v>43</v>
      </c>
      <c r="AH3760" t="s">
        <v>43</v>
      </c>
      <c r="AI3760" t="s">
        <v>43</v>
      </c>
      <c r="AJ3760" t="s">
        <v>43</v>
      </c>
      <c r="AK3760" t="s">
        <v>43</v>
      </c>
      <c r="AL3760" t="s">
        <v>43</v>
      </c>
      <c r="AM3760" t="s">
        <v>43</v>
      </c>
      <c r="AN3760" t="str">
        <f>HYPERLINK("https://www.google.com/maps?q=10.76306534,79.69437408","Open Location")</f>
        <v>Open Location</v>
      </c>
    </row>
    <row r="3761" spans="1:40" x14ac:dyDescent="0.3">
      <c r="A3761" s="1">
        <v>46210.564351851855</v>
      </c>
      <c r="B3761" t="s">
        <v>40</v>
      </c>
      <c r="C3761" t="s">
        <v>41</v>
      </c>
      <c r="D3761" s="1">
        <v>46210.567210648151</v>
      </c>
      <c r="E3761" t="s">
        <v>42</v>
      </c>
      <c r="F3761" t="s">
        <v>43</v>
      </c>
      <c r="G3761" t="s">
        <v>43</v>
      </c>
      <c r="H3761" t="s">
        <v>43</v>
      </c>
      <c r="I3761" t="s">
        <v>2243</v>
      </c>
      <c r="J3761" t="s">
        <v>43</v>
      </c>
      <c r="K3761" t="s">
        <v>43</v>
      </c>
      <c r="L3761" t="s">
        <v>43</v>
      </c>
      <c r="M3761" t="s">
        <v>43</v>
      </c>
      <c r="N3761" t="s">
        <v>45</v>
      </c>
      <c r="O3761" t="s">
        <v>43</v>
      </c>
      <c r="P3761" t="s">
        <v>43</v>
      </c>
      <c r="Q3761" t="s">
        <v>43</v>
      </c>
      <c r="R3761" t="s">
        <v>43</v>
      </c>
      <c r="S3761" t="s">
        <v>43</v>
      </c>
      <c r="T3761" t="s">
        <v>43</v>
      </c>
      <c r="U3761" t="s">
        <v>43</v>
      </c>
      <c r="V3761" t="s">
        <v>43</v>
      </c>
      <c r="W3761" t="s">
        <v>43</v>
      </c>
      <c r="X3761" t="s">
        <v>43</v>
      </c>
      <c r="Y3761" t="s">
        <v>43</v>
      </c>
      <c r="Z3761" t="s">
        <v>43</v>
      </c>
      <c r="AA3761" t="s">
        <v>43</v>
      </c>
      <c r="AB3761" t="s">
        <v>43</v>
      </c>
      <c r="AC3761" t="s">
        <v>43</v>
      </c>
      <c r="AD3761" t="s">
        <v>43</v>
      </c>
      <c r="AE3761" t="s">
        <v>43</v>
      </c>
      <c r="AF3761" t="s">
        <v>43</v>
      </c>
      <c r="AG3761" t="s">
        <v>43</v>
      </c>
      <c r="AH3761" t="s">
        <v>43</v>
      </c>
      <c r="AI3761" t="s">
        <v>43</v>
      </c>
      <c r="AJ3761" t="s">
        <v>43</v>
      </c>
      <c r="AK3761" t="s">
        <v>43</v>
      </c>
      <c r="AL3761" t="s">
        <v>43</v>
      </c>
      <c r="AM3761" t="s">
        <v>43</v>
      </c>
      <c r="AN3761" t="str">
        <f>HYPERLINK("https://www.google.com/maps?q=10.76306629,79.69438171","Open Location")</f>
        <v>Open Location</v>
      </c>
    </row>
    <row r="3762" spans="1:40" x14ac:dyDescent="0.3">
      <c r="A3762" s="1">
        <v>46210.564236111109</v>
      </c>
      <c r="B3762" t="s">
        <v>40</v>
      </c>
      <c r="C3762" t="s">
        <v>41</v>
      </c>
      <c r="D3762" s="1">
        <v>46210.567453703705</v>
      </c>
      <c r="E3762" t="s">
        <v>42</v>
      </c>
      <c r="F3762" t="s">
        <v>43</v>
      </c>
      <c r="G3762" t="s">
        <v>43</v>
      </c>
      <c r="H3762" t="s">
        <v>43</v>
      </c>
      <c r="I3762" t="s">
        <v>2228</v>
      </c>
      <c r="J3762" t="s">
        <v>43</v>
      </c>
      <c r="K3762" t="s">
        <v>43</v>
      </c>
      <c r="L3762" t="s">
        <v>43</v>
      </c>
      <c r="M3762" t="s">
        <v>43</v>
      </c>
      <c r="N3762" t="s">
        <v>45</v>
      </c>
      <c r="O3762" t="s">
        <v>43</v>
      </c>
      <c r="P3762" t="s">
        <v>43</v>
      </c>
      <c r="Q3762" t="s">
        <v>43</v>
      </c>
      <c r="R3762" t="s">
        <v>43</v>
      </c>
      <c r="S3762" t="s">
        <v>43</v>
      </c>
      <c r="T3762" t="s">
        <v>43</v>
      </c>
      <c r="U3762" t="s">
        <v>43</v>
      </c>
      <c r="V3762" t="s">
        <v>43</v>
      </c>
      <c r="W3762" t="s">
        <v>43</v>
      </c>
      <c r="X3762" t="s">
        <v>43</v>
      </c>
      <c r="Y3762" t="s">
        <v>43</v>
      </c>
      <c r="Z3762" t="s">
        <v>43</v>
      </c>
      <c r="AA3762" t="s">
        <v>43</v>
      </c>
      <c r="AB3762" t="s">
        <v>43</v>
      </c>
      <c r="AC3762" t="s">
        <v>43</v>
      </c>
      <c r="AD3762" t="s">
        <v>43</v>
      </c>
      <c r="AE3762" t="s">
        <v>43</v>
      </c>
      <c r="AF3762" t="s">
        <v>43</v>
      </c>
      <c r="AG3762" t="s">
        <v>43</v>
      </c>
      <c r="AH3762" t="s">
        <v>43</v>
      </c>
      <c r="AI3762" t="s">
        <v>43</v>
      </c>
      <c r="AJ3762" t="s">
        <v>43</v>
      </c>
      <c r="AK3762" t="s">
        <v>43</v>
      </c>
      <c r="AL3762" t="s">
        <v>43</v>
      </c>
      <c r="AM3762" t="s">
        <v>43</v>
      </c>
      <c r="AN3762" t="str">
        <f>HYPERLINK("https://www.google.com/maps?q=10.76307106,79.69438171","Open Location")</f>
        <v>Open Location</v>
      </c>
    </row>
    <row r="3763" spans="1:40" x14ac:dyDescent="0.3">
      <c r="A3763" s="1">
        <v>46210.564120370371</v>
      </c>
      <c r="B3763" t="s">
        <v>40</v>
      </c>
      <c r="C3763" t="s">
        <v>41</v>
      </c>
      <c r="D3763" s="1">
        <v>46210.567013888889</v>
      </c>
      <c r="E3763" t="s">
        <v>42</v>
      </c>
      <c r="F3763" t="s">
        <v>43</v>
      </c>
      <c r="G3763" t="s">
        <v>43</v>
      </c>
      <c r="H3763" t="s">
        <v>43</v>
      </c>
      <c r="I3763" t="s">
        <v>2244</v>
      </c>
      <c r="J3763" t="s">
        <v>43</v>
      </c>
      <c r="K3763" t="s">
        <v>43</v>
      </c>
      <c r="L3763" t="s">
        <v>43</v>
      </c>
      <c r="M3763" t="s">
        <v>43</v>
      </c>
      <c r="N3763" t="s">
        <v>45</v>
      </c>
      <c r="O3763" t="s">
        <v>43</v>
      </c>
      <c r="P3763" t="s">
        <v>43</v>
      </c>
      <c r="Q3763" t="s">
        <v>43</v>
      </c>
      <c r="R3763" t="s">
        <v>43</v>
      </c>
      <c r="S3763" t="s">
        <v>43</v>
      </c>
      <c r="T3763" t="s">
        <v>43</v>
      </c>
      <c r="U3763" t="s">
        <v>43</v>
      </c>
      <c r="V3763" t="s">
        <v>43</v>
      </c>
      <c r="W3763" t="s">
        <v>43</v>
      </c>
      <c r="X3763" t="s">
        <v>43</v>
      </c>
      <c r="Y3763" t="s">
        <v>43</v>
      </c>
      <c r="Z3763" t="s">
        <v>43</v>
      </c>
      <c r="AA3763" t="s">
        <v>43</v>
      </c>
      <c r="AB3763" t="s">
        <v>43</v>
      </c>
      <c r="AC3763" t="s">
        <v>43</v>
      </c>
      <c r="AD3763" t="s">
        <v>43</v>
      </c>
      <c r="AE3763" t="s">
        <v>43</v>
      </c>
      <c r="AF3763" t="s">
        <v>43</v>
      </c>
      <c r="AG3763" t="s">
        <v>43</v>
      </c>
      <c r="AH3763" t="s">
        <v>43</v>
      </c>
      <c r="AI3763" t="s">
        <v>43</v>
      </c>
      <c r="AJ3763" t="s">
        <v>43</v>
      </c>
      <c r="AK3763" t="s">
        <v>43</v>
      </c>
      <c r="AL3763" t="s">
        <v>43</v>
      </c>
      <c r="AM3763" t="s">
        <v>43</v>
      </c>
      <c r="AN3763" t="str">
        <f>HYPERLINK("https://www.google.com/maps?q=10.76307297,79.69437408","Open Location")</f>
        <v>Open Location</v>
      </c>
    </row>
    <row r="3764" spans="1:40" x14ac:dyDescent="0.3">
      <c r="A3764" s="1">
        <v>46210.564004629632</v>
      </c>
      <c r="B3764" t="s">
        <v>40</v>
      </c>
      <c r="C3764" t="s">
        <v>41</v>
      </c>
      <c r="D3764" s="1">
        <v>46210.566805555558</v>
      </c>
      <c r="E3764" t="s">
        <v>42</v>
      </c>
      <c r="F3764" t="s">
        <v>43</v>
      </c>
      <c r="G3764" t="s">
        <v>43</v>
      </c>
      <c r="H3764" t="s">
        <v>43</v>
      </c>
      <c r="I3764" t="s">
        <v>43</v>
      </c>
      <c r="J3764" t="s">
        <v>43</v>
      </c>
      <c r="K3764" t="s">
        <v>43</v>
      </c>
      <c r="L3764" t="s">
        <v>43</v>
      </c>
      <c r="M3764" t="s">
        <v>43</v>
      </c>
      <c r="N3764" t="s">
        <v>45</v>
      </c>
      <c r="O3764" t="s">
        <v>43</v>
      </c>
      <c r="P3764" t="s">
        <v>43</v>
      </c>
      <c r="Q3764" t="s">
        <v>43</v>
      </c>
      <c r="R3764" t="s">
        <v>43</v>
      </c>
      <c r="S3764" t="s">
        <v>43</v>
      </c>
      <c r="T3764" t="s">
        <v>43</v>
      </c>
      <c r="U3764" t="s">
        <v>43</v>
      </c>
      <c r="V3764" t="s">
        <v>43</v>
      </c>
      <c r="W3764" t="s">
        <v>43</v>
      </c>
      <c r="X3764" t="s">
        <v>43</v>
      </c>
      <c r="Y3764" t="s">
        <v>43</v>
      </c>
      <c r="Z3764" t="s">
        <v>43</v>
      </c>
      <c r="AA3764" t="s">
        <v>43</v>
      </c>
      <c r="AB3764" t="s">
        <v>43</v>
      </c>
      <c r="AC3764" t="s">
        <v>43</v>
      </c>
      <c r="AD3764" t="s">
        <v>43</v>
      </c>
      <c r="AE3764" t="s">
        <v>43</v>
      </c>
      <c r="AF3764" t="s">
        <v>43</v>
      </c>
      <c r="AG3764" t="s">
        <v>43</v>
      </c>
      <c r="AH3764" t="s">
        <v>43</v>
      </c>
      <c r="AI3764" t="s">
        <v>43</v>
      </c>
      <c r="AJ3764" t="s">
        <v>43</v>
      </c>
      <c r="AK3764" t="s">
        <v>43</v>
      </c>
      <c r="AL3764" t="s">
        <v>43</v>
      </c>
      <c r="AM3764" t="s">
        <v>43</v>
      </c>
      <c r="AN3764" t="s">
        <v>43</v>
      </c>
    </row>
    <row r="3765" spans="1:40" x14ac:dyDescent="0.3">
      <c r="A3765" s="1">
        <v>46210.563888888886</v>
      </c>
      <c r="B3765" t="s">
        <v>40</v>
      </c>
      <c r="C3765" t="s">
        <v>41</v>
      </c>
      <c r="D3765" s="1">
        <v>46210.566666666666</v>
      </c>
      <c r="E3765" t="s">
        <v>42</v>
      </c>
      <c r="F3765" t="s">
        <v>43</v>
      </c>
      <c r="G3765" t="s">
        <v>43</v>
      </c>
      <c r="H3765" t="s">
        <v>43</v>
      </c>
      <c r="I3765" t="s">
        <v>2245</v>
      </c>
      <c r="J3765" t="s">
        <v>43</v>
      </c>
      <c r="K3765" t="s">
        <v>43</v>
      </c>
      <c r="L3765" t="s">
        <v>43</v>
      </c>
      <c r="M3765" t="s">
        <v>43</v>
      </c>
      <c r="N3765" t="s">
        <v>45</v>
      </c>
      <c r="O3765" t="s">
        <v>43</v>
      </c>
      <c r="P3765" t="s">
        <v>43</v>
      </c>
      <c r="Q3765" t="s">
        <v>43</v>
      </c>
      <c r="R3765" t="s">
        <v>43</v>
      </c>
      <c r="S3765" t="s">
        <v>43</v>
      </c>
      <c r="T3765" t="s">
        <v>43</v>
      </c>
      <c r="U3765" t="s">
        <v>43</v>
      </c>
      <c r="V3765" t="s">
        <v>43</v>
      </c>
      <c r="W3765" t="s">
        <v>43</v>
      </c>
      <c r="X3765" t="s">
        <v>43</v>
      </c>
      <c r="Y3765" t="s">
        <v>43</v>
      </c>
      <c r="Z3765" t="s">
        <v>43</v>
      </c>
      <c r="AA3765" t="s">
        <v>43</v>
      </c>
      <c r="AB3765" t="s">
        <v>43</v>
      </c>
      <c r="AC3765" t="s">
        <v>43</v>
      </c>
      <c r="AD3765" t="s">
        <v>43</v>
      </c>
      <c r="AE3765" t="s">
        <v>43</v>
      </c>
      <c r="AF3765" t="s">
        <v>43</v>
      </c>
      <c r="AG3765" t="s">
        <v>43</v>
      </c>
      <c r="AH3765" t="s">
        <v>43</v>
      </c>
      <c r="AI3765" t="s">
        <v>43</v>
      </c>
      <c r="AJ3765" t="s">
        <v>43</v>
      </c>
      <c r="AK3765" t="s">
        <v>43</v>
      </c>
      <c r="AL3765" t="s">
        <v>43</v>
      </c>
      <c r="AM3765" t="s">
        <v>43</v>
      </c>
      <c r="AN3765" t="str">
        <f>HYPERLINK("https://www.google.com/maps?q=10.76307583,79.69437408","Open Location")</f>
        <v>Open Location</v>
      </c>
    </row>
    <row r="3766" spans="1:40" x14ac:dyDescent="0.3">
      <c r="A3766" s="1">
        <v>46210.563773148147</v>
      </c>
      <c r="B3766" t="s">
        <v>40</v>
      </c>
      <c r="C3766" t="s">
        <v>41</v>
      </c>
      <c r="D3766" s="1">
        <v>46210.566620370373</v>
      </c>
      <c r="E3766" t="s">
        <v>42</v>
      </c>
      <c r="F3766" t="s">
        <v>43</v>
      </c>
      <c r="G3766" t="s">
        <v>43</v>
      </c>
      <c r="H3766" t="s">
        <v>43</v>
      </c>
      <c r="I3766" t="s">
        <v>2246</v>
      </c>
      <c r="J3766" t="s">
        <v>43</v>
      </c>
      <c r="K3766" t="s">
        <v>43</v>
      </c>
      <c r="L3766" t="s">
        <v>43</v>
      </c>
      <c r="M3766" t="s">
        <v>43</v>
      </c>
      <c r="N3766" t="s">
        <v>45</v>
      </c>
      <c r="O3766" t="s">
        <v>43</v>
      </c>
      <c r="P3766" t="s">
        <v>43</v>
      </c>
      <c r="Q3766" t="s">
        <v>43</v>
      </c>
      <c r="R3766" t="s">
        <v>43</v>
      </c>
      <c r="S3766" t="s">
        <v>43</v>
      </c>
      <c r="T3766" t="s">
        <v>43</v>
      </c>
      <c r="U3766" t="s">
        <v>43</v>
      </c>
      <c r="V3766" t="s">
        <v>43</v>
      </c>
      <c r="W3766" t="s">
        <v>43</v>
      </c>
      <c r="X3766" t="s">
        <v>43</v>
      </c>
      <c r="Y3766" t="s">
        <v>43</v>
      </c>
      <c r="Z3766" t="s">
        <v>43</v>
      </c>
      <c r="AA3766" t="s">
        <v>43</v>
      </c>
      <c r="AB3766" t="s">
        <v>43</v>
      </c>
      <c r="AC3766" t="s">
        <v>43</v>
      </c>
      <c r="AD3766" t="s">
        <v>43</v>
      </c>
      <c r="AE3766" t="s">
        <v>43</v>
      </c>
      <c r="AF3766" t="s">
        <v>43</v>
      </c>
      <c r="AG3766" t="s">
        <v>43</v>
      </c>
      <c r="AH3766" t="s">
        <v>43</v>
      </c>
      <c r="AI3766" t="s">
        <v>43</v>
      </c>
      <c r="AJ3766" t="s">
        <v>43</v>
      </c>
      <c r="AK3766" t="s">
        <v>43</v>
      </c>
      <c r="AL3766" t="s">
        <v>43</v>
      </c>
      <c r="AM3766" t="s">
        <v>43</v>
      </c>
      <c r="AN3766" t="str">
        <f>HYPERLINK("https://www.google.com/maps?q=10.76307583,79.69438171","Open Location")</f>
        <v>Open Location</v>
      </c>
    </row>
    <row r="3767" spans="1:40" x14ac:dyDescent="0.3">
      <c r="A3767" s="1">
        <v>46210.563657407409</v>
      </c>
      <c r="B3767" t="s">
        <v>40</v>
      </c>
      <c r="C3767" t="s">
        <v>41</v>
      </c>
      <c r="D3767" s="1">
        <v>46210.566562499997</v>
      </c>
      <c r="E3767" t="s">
        <v>42</v>
      </c>
      <c r="F3767" t="s">
        <v>43</v>
      </c>
      <c r="G3767" t="s">
        <v>43</v>
      </c>
      <c r="H3767" t="s">
        <v>43</v>
      </c>
      <c r="I3767" t="s">
        <v>2246</v>
      </c>
      <c r="J3767" t="s">
        <v>43</v>
      </c>
      <c r="K3767" t="s">
        <v>43</v>
      </c>
      <c r="L3767" t="s">
        <v>43</v>
      </c>
      <c r="M3767" t="s">
        <v>43</v>
      </c>
      <c r="N3767" t="s">
        <v>45</v>
      </c>
      <c r="O3767" t="s">
        <v>43</v>
      </c>
      <c r="P3767" t="s">
        <v>43</v>
      </c>
      <c r="Q3767" t="s">
        <v>43</v>
      </c>
      <c r="R3767" t="s">
        <v>43</v>
      </c>
      <c r="S3767" t="s">
        <v>43</v>
      </c>
      <c r="T3767" t="s">
        <v>43</v>
      </c>
      <c r="U3767" t="s">
        <v>43</v>
      </c>
      <c r="V3767" t="s">
        <v>43</v>
      </c>
      <c r="W3767" t="s">
        <v>43</v>
      </c>
      <c r="X3767" t="s">
        <v>43</v>
      </c>
      <c r="Y3767" t="s">
        <v>43</v>
      </c>
      <c r="Z3767" t="s">
        <v>43</v>
      </c>
      <c r="AA3767" t="s">
        <v>43</v>
      </c>
      <c r="AB3767" t="s">
        <v>43</v>
      </c>
      <c r="AC3767" t="s">
        <v>43</v>
      </c>
      <c r="AD3767" t="s">
        <v>43</v>
      </c>
      <c r="AE3767" t="s">
        <v>43</v>
      </c>
      <c r="AF3767" t="s">
        <v>43</v>
      </c>
      <c r="AG3767" t="s">
        <v>43</v>
      </c>
      <c r="AH3767" t="s">
        <v>43</v>
      </c>
      <c r="AI3767" t="s">
        <v>43</v>
      </c>
      <c r="AJ3767" t="s">
        <v>43</v>
      </c>
      <c r="AK3767" t="s">
        <v>43</v>
      </c>
      <c r="AL3767" t="s">
        <v>43</v>
      </c>
      <c r="AM3767" t="s">
        <v>43</v>
      </c>
      <c r="AN3767" t="str">
        <f>HYPERLINK("https://www.google.com/maps?q=10.76307583,79.69438171","Open Location")</f>
        <v>Open Location</v>
      </c>
    </row>
    <row r="3768" spans="1:40" x14ac:dyDescent="0.3">
      <c r="A3768" s="1">
        <v>46210.56354166667</v>
      </c>
      <c r="B3768" t="s">
        <v>40</v>
      </c>
      <c r="C3768" t="s">
        <v>41</v>
      </c>
      <c r="D3768" s="1">
        <v>46210.566562499997</v>
      </c>
      <c r="E3768" t="s">
        <v>42</v>
      </c>
      <c r="F3768" t="s">
        <v>43</v>
      </c>
      <c r="G3768" t="s">
        <v>43</v>
      </c>
      <c r="H3768" t="s">
        <v>43</v>
      </c>
      <c r="I3768" t="s">
        <v>2247</v>
      </c>
      <c r="J3768" t="s">
        <v>43</v>
      </c>
      <c r="K3768" t="s">
        <v>43</v>
      </c>
      <c r="L3768" t="s">
        <v>43</v>
      </c>
      <c r="M3768" t="s">
        <v>43</v>
      </c>
      <c r="N3768" t="s">
        <v>45</v>
      </c>
      <c r="O3768" t="s">
        <v>43</v>
      </c>
      <c r="P3768" t="s">
        <v>43</v>
      </c>
      <c r="Q3768" t="s">
        <v>43</v>
      </c>
      <c r="R3768" t="s">
        <v>43</v>
      </c>
      <c r="S3768" t="s">
        <v>43</v>
      </c>
      <c r="T3768" t="s">
        <v>43</v>
      </c>
      <c r="U3768" t="s">
        <v>43</v>
      </c>
      <c r="V3768" t="s">
        <v>43</v>
      </c>
      <c r="W3768" t="s">
        <v>43</v>
      </c>
      <c r="X3768" t="s">
        <v>43</v>
      </c>
      <c r="Y3768" t="s">
        <v>43</v>
      </c>
      <c r="Z3768" t="s">
        <v>43</v>
      </c>
      <c r="AA3768" t="s">
        <v>43</v>
      </c>
      <c r="AB3768" t="s">
        <v>43</v>
      </c>
      <c r="AC3768" t="s">
        <v>43</v>
      </c>
      <c r="AD3768" t="s">
        <v>43</v>
      </c>
      <c r="AE3768" t="s">
        <v>43</v>
      </c>
      <c r="AF3768" t="s">
        <v>43</v>
      </c>
      <c r="AG3768" t="s">
        <v>43</v>
      </c>
      <c r="AH3768" t="s">
        <v>43</v>
      </c>
      <c r="AI3768" t="s">
        <v>43</v>
      </c>
      <c r="AJ3768" t="s">
        <v>43</v>
      </c>
      <c r="AK3768" t="s">
        <v>43</v>
      </c>
      <c r="AL3768" t="s">
        <v>43</v>
      </c>
      <c r="AM3768" t="s">
        <v>43</v>
      </c>
      <c r="AN3768" t="str">
        <f>HYPERLINK("https://www.google.com/maps?q=10.76307678,79.69437408","Open Location")</f>
        <v>Open Location</v>
      </c>
    </row>
    <row r="3769" spans="1:40" x14ac:dyDescent="0.3">
      <c r="A3769" s="1">
        <v>46210.563425925924</v>
      </c>
      <c r="B3769" t="s">
        <v>40</v>
      </c>
      <c r="C3769" t="s">
        <v>41</v>
      </c>
      <c r="D3769" s="1">
        <v>46210.566342592596</v>
      </c>
      <c r="E3769" t="s">
        <v>42</v>
      </c>
      <c r="F3769" t="s">
        <v>43</v>
      </c>
      <c r="G3769" t="s">
        <v>43</v>
      </c>
      <c r="H3769" t="s">
        <v>43</v>
      </c>
      <c r="I3769" t="s">
        <v>2248</v>
      </c>
      <c r="J3769" t="s">
        <v>43</v>
      </c>
      <c r="K3769" t="s">
        <v>43</v>
      </c>
      <c r="L3769" t="s">
        <v>43</v>
      </c>
      <c r="M3769" t="s">
        <v>43</v>
      </c>
      <c r="N3769" t="s">
        <v>45</v>
      </c>
      <c r="O3769" t="s">
        <v>43</v>
      </c>
      <c r="P3769" t="s">
        <v>43</v>
      </c>
      <c r="Q3769" t="s">
        <v>43</v>
      </c>
      <c r="R3769" t="s">
        <v>43</v>
      </c>
      <c r="S3769" t="s">
        <v>43</v>
      </c>
      <c r="T3769" t="s">
        <v>43</v>
      </c>
      <c r="U3769" t="s">
        <v>43</v>
      </c>
      <c r="V3769" t="s">
        <v>43</v>
      </c>
      <c r="W3769" t="s">
        <v>43</v>
      </c>
      <c r="X3769" t="s">
        <v>43</v>
      </c>
      <c r="Y3769" t="s">
        <v>43</v>
      </c>
      <c r="Z3769" t="s">
        <v>43</v>
      </c>
      <c r="AA3769" t="s">
        <v>43</v>
      </c>
      <c r="AB3769" t="s">
        <v>43</v>
      </c>
      <c r="AC3769" t="s">
        <v>43</v>
      </c>
      <c r="AD3769" t="s">
        <v>43</v>
      </c>
      <c r="AE3769" t="s">
        <v>43</v>
      </c>
      <c r="AF3769" t="s">
        <v>43</v>
      </c>
      <c r="AG3769" t="s">
        <v>43</v>
      </c>
      <c r="AH3769" t="s">
        <v>43</v>
      </c>
      <c r="AI3769" t="s">
        <v>43</v>
      </c>
      <c r="AJ3769" t="s">
        <v>43</v>
      </c>
      <c r="AK3769" t="s">
        <v>43</v>
      </c>
      <c r="AL3769" t="s">
        <v>43</v>
      </c>
      <c r="AM3769" t="s">
        <v>43</v>
      </c>
      <c r="AN3769" t="str">
        <f>HYPERLINK("https://www.google.com/maps?q=10.76307487,79.69437408","Open Location")</f>
        <v>Open Location</v>
      </c>
    </row>
    <row r="3770" spans="1:40" x14ac:dyDescent="0.3">
      <c r="A3770" s="1">
        <v>46210.563310185185</v>
      </c>
      <c r="B3770" t="s">
        <v>40</v>
      </c>
      <c r="C3770" t="s">
        <v>41</v>
      </c>
      <c r="D3770" s="1">
        <v>46210.566261574073</v>
      </c>
      <c r="E3770" t="s">
        <v>42</v>
      </c>
      <c r="F3770" t="s">
        <v>43</v>
      </c>
      <c r="G3770" t="s">
        <v>43</v>
      </c>
      <c r="H3770" t="s">
        <v>43</v>
      </c>
      <c r="I3770" t="s">
        <v>43</v>
      </c>
      <c r="J3770" t="s">
        <v>43</v>
      </c>
      <c r="K3770" t="s">
        <v>43</v>
      </c>
      <c r="L3770" t="s">
        <v>43</v>
      </c>
      <c r="M3770" t="s">
        <v>43</v>
      </c>
      <c r="N3770" t="s">
        <v>45</v>
      </c>
      <c r="O3770" t="s">
        <v>43</v>
      </c>
      <c r="P3770" t="s">
        <v>43</v>
      </c>
      <c r="Q3770" t="s">
        <v>43</v>
      </c>
      <c r="R3770" t="s">
        <v>43</v>
      </c>
      <c r="S3770" t="s">
        <v>43</v>
      </c>
      <c r="T3770" t="s">
        <v>43</v>
      </c>
      <c r="U3770" t="s">
        <v>43</v>
      </c>
      <c r="V3770" t="s">
        <v>43</v>
      </c>
      <c r="W3770" t="s">
        <v>43</v>
      </c>
      <c r="X3770" t="s">
        <v>43</v>
      </c>
      <c r="Y3770" t="s">
        <v>43</v>
      </c>
      <c r="Z3770" t="s">
        <v>43</v>
      </c>
      <c r="AA3770" t="s">
        <v>43</v>
      </c>
      <c r="AB3770" t="s">
        <v>43</v>
      </c>
      <c r="AC3770" t="s">
        <v>43</v>
      </c>
      <c r="AD3770" t="s">
        <v>43</v>
      </c>
      <c r="AE3770" t="s">
        <v>43</v>
      </c>
      <c r="AF3770" t="s">
        <v>43</v>
      </c>
      <c r="AG3770" t="s">
        <v>43</v>
      </c>
      <c r="AH3770" t="s">
        <v>43</v>
      </c>
      <c r="AI3770" t="s">
        <v>43</v>
      </c>
      <c r="AJ3770" t="s">
        <v>43</v>
      </c>
      <c r="AK3770" t="s">
        <v>43</v>
      </c>
      <c r="AL3770" t="s">
        <v>43</v>
      </c>
      <c r="AM3770" t="s">
        <v>43</v>
      </c>
      <c r="AN3770" t="s">
        <v>43</v>
      </c>
    </row>
    <row r="3771" spans="1:40" x14ac:dyDescent="0.3">
      <c r="A3771" s="1">
        <v>46210.563194444447</v>
      </c>
      <c r="B3771" t="s">
        <v>40</v>
      </c>
      <c r="C3771" t="s">
        <v>41</v>
      </c>
      <c r="D3771" s="1">
        <v>46210.56627314815</v>
      </c>
      <c r="E3771" t="s">
        <v>42</v>
      </c>
      <c r="F3771" t="s">
        <v>43</v>
      </c>
      <c r="G3771" t="s">
        <v>43</v>
      </c>
      <c r="H3771" t="s">
        <v>43</v>
      </c>
      <c r="I3771" t="s">
        <v>2249</v>
      </c>
      <c r="J3771" t="s">
        <v>43</v>
      </c>
      <c r="K3771" t="s">
        <v>43</v>
      </c>
      <c r="L3771" t="s">
        <v>43</v>
      </c>
      <c r="M3771" t="s">
        <v>43</v>
      </c>
      <c r="N3771" t="s">
        <v>45</v>
      </c>
      <c r="O3771" t="s">
        <v>43</v>
      </c>
      <c r="P3771" t="s">
        <v>43</v>
      </c>
      <c r="Q3771" t="s">
        <v>43</v>
      </c>
      <c r="R3771" t="s">
        <v>43</v>
      </c>
      <c r="S3771" t="s">
        <v>43</v>
      </c>
      <c r="T3771" t="s">
        <v>43</v>
      </c>
      <c r="U3771" t="s">
        <v>43</v>
      </c>
      <c r="V3771" t="s">
        <v>43</v>
      </c>
      <c r="W3771" t="s">
        <v>43</v>
      </c>
      <c r="X3771" t="s">
        <v>43</v>
      </c>
      <c r="Y3771" t="s">
        <v>43</v>
      </c>
      <c r="Z3771" t="s">
        <v>43</v>
      </c>
      <c r="AA3771" t="s">
        <v>43</v>
      </c>
      <c r="AB3771" t="s">
        <v>43</v>
      </c>
      <c r="AC3771" t="s">
        <v>43</v>
      </c>
      <c r="AD3771" t="s">
        <v>43</v>
      </c>
      <c r="AE3771" t="s">
        <v>43</v>
      </c>
      <c r="AF3771" t="s">
        <v>43</v>
      </c>
      <c r="AG3771" t="s">
        <v>43</v>
      </c>
      <c r="AH3771" t="s">
        <v>43</v>
      </c>
      <c r="AI3771" t="s">
        <v>43</v>
      </c>
      <c r="AJ3771" t="s">
        <v>43</v>
      </c>
      <c r="AK3771" t="s">
        <v>43</v>
      </c>
      <c r="AL3771" t="s">
        <v>43</v>
      </c>
      <c r="AM3771" t="s">
        <v>43</v>
      </c>
      <c r="AN3771" t="str">
        <f>HYPERLINK("https://www.google.com/maps?q=10.76307297,79.69436646","Open Location")</f>
        <v>Open Location</v>
      </c>
    </row>
    <row r="3772" spans="1:40" x14ac:dyDescent="0.3">
      <c r="A3772" s="1">
        <v>46210.563078703701</v>
      </c>
      <c r="B3772" t="s">
        <v>40</v>
      </c>
      <c r="C3772" t="s">
        <v>41</v>
      </c>
      <c r="D3772" s="1">
        <v>46210.566238425927</v>
      </c>
      <c r="E3772" t="s">
        <v>42</v>
      </c>
      <c r="F3772" t="s">
        <v>43</v>
      </c>
      <c r="G3772" t="s">
        <v>43</v>
      </c>
      <c r="H3772" t="s">
        <v>43</v>
      </c>
      <c r="I3772" t="s">
        <v>2250</v>
      </c>
      <c r="J3772" t="s">
        <v>43</v>
      </c>
      <c r="K3772" t="s">
        <v>43</v>
      </c>
      <c r="L3772" t="s">
        <v>43</v>
      </c>
      <c r="M3772" t="s">
        <v>43</v>
      </c>
      <c r="N3772" t="s">
        <v>45</v>
      </c>
      <c r="O3772" t="s">
        <v>43</v>
      </c>
      <c r="P3772" t="s">
        <v>43</v>
      </c>
      <c r="Q3772" t="s">
        <v>43</v>
      </c>
      <c r="R3772" t="s">
        <v>43</v>
      </c>
      <c r="S3772" t="s">
        <v>43</v>
      </c>
      <c r="T3772" t="s">
        <v>43</v>
      </c>
      <c r="U3772" t="s">
        <v>43</v>
      </c>
      <c r="V3772" t="s">
        <v>43</v>
      </c>
      <c r="W3772" t="s">
        <v>43</v>
      </c>
      <c r="X3772" t="s">
        <v>43</v>
      </c>
      <c r="Y3772" t="s">
        <v>43</v>
      </c>
      <c r="Z3772" t="s">
        <v>43</v>
      </c>
      <c r="AA3772" t="s">
        <v>43</v>
      </c>
      <c r="AB3772" t="s">
        <v>43</v>
      </c>
      <c r="AC3772" t="s">
        <v>43</v>
      </c>
      <c r="AD3772" t="s">
        <v>43</v>
      </c>
      <c r="AE3772" t="s">
        <v>43</v>
      </c>
      <c r="AF3772" t="s">
        <v>43</v>
      </c>
      <c r="AG3772" t="s">
        <v>43</v>
      </c>
      <c r="AH3772" t="s">
        <v>43</v>
      </c>
      <c r="AI3772" t="s">
        <v>43</v>
      </c>
      <c r="AJ3772" t="s">
        <v>43</v>
      </c>
      <c r="AK3772" t="s">
        <v>43</v>
      </c>
      <c r="AL3772" t="s">
        <v>43</v>
      </c>
      <c r="AM3772" t="s">
        <v>43</v>
      </c>
      <c r="AN3772" t="str">
        <f>HYPERLINK("https://www.google.com/maps?q=10.76307201,79.69436646","Open Location")</f>
        <v>Open Location</v>
      </c>
    </row>
    <row r="3773" spans="1:40" x14ac:dyDescent="0.3">
      <c r="A3773" s="1">
        <v>46210.562962962962</v>
      </c>
      <c r="B3773" t="s">
        <v>40</v>
      </c>
      <c r="C3773" t="s">
        <v>41</v>
      </c>
      <c r="D3773" s="1">
        <v>46210.565752314818</v>
      </c>
      <c r="E3773" t="s">
        <v>42</v>
      </c>
      <c r="F3773" t="s">
        <v>43</v>
      </c>
      <c r="G3773" t="s">
        <v>43</v>
      </c>
      <c r="H3773" t="s">
        <v>43</v>
      </c>
      <c r="I3773" t="s">
        <v>2251</v>
      </c>
      <c r="J3773" t="s">
        <v>43</v>
      </c>
      <c r="K3773" t="s">
        <v>43</v>
      </c>
      <c r="L3773" t="s">
        <v>43</v>
      </c>
      <c r="M3773" t="s">
        <v>43</v>
      </c>
      <c r="N3773" t="s">
        <v>45</v>
      </c>
      <c r="O3773" t="s">
        <v>43</v>
      </c>
      <c r="P3773" t="s">
        <v>43</v>
      </c>
      <c r="Q3773" t="s">
        <v>43</v>
      </c>
      <c r="R3773" t="s">
        <v>43</v>
      </c>
      <c r="S3773" t="s">
        <v>43</v>
      </c>
      <c r="T3773" t="s">
        <v>43</v>
      </c>
      <c r="U3773" t="s">
        <v>43</v>
      </c>
      <c r="V3773" t="s">
        <v>43</v>
      </c>
      <c r="W3773" t="s">
        <v>43</v>
      </c>
      <c r="X3773" t="s">
        <v>43</v>
      </c>
      <c r="Y3773" t="s">
        <v>43</v>
      </c>
      <c r="Z3773" t="s">
        <v>43</v>
      </c>
      <c r="AA3773" t="s">
        <v>43</v>
      </c>
      <c r="AB3773" t="s">
        <v>43</v>
      </c>
      <c r="AC3773" t="s">
        <v>43</v>
      </c>
      <c r="AD3773" t="s">
        <v>43</v>
      </c>
      <c r="AE3773" t="s">
        <v>43</v>
      </c>
      <c r="AF3773" t="s">
        <v>43</v>
      </c>
      <c r="AG3773" t="s">
        <v>43</v>
      </c>
      <c r="AH3773" t="s">
        <v>43</v>
      </c>
      <c r="AI3773" t="s">
        <v>43</v>
      </c>
      <c r="AJ3773" t="s">
        <v>43</v>
      </c>
      <c r="AK3773" t="s">
        <v>43</v>
      </c>
      <c r="AL3773" t="s">
        <v>43</v>
      </c>
      <c r="AM3773" t="s">
        <v>43</v>
      </c>
      <c r="AN3773" t="str">
        <f>HYPERLINK("https://www.google.com/maps?q=10.76307201,79.69437408","Open Location")</f>
        <v>Open Location</v>
      </c>
    </row>
    <row r="3774" spans="1:40" x14ac:dyDescent="0.3">
      <c r="A3774" s="1">
        <v>46210.562847222223</v>
      </c>
      <c r="B3774" t="s">
        <v>40</v>
      </c>
      <c r="C3774" t="s">
        <v>41</v>
      </c>
      <c r="D3774" s="1">
        <v>46210.56591435185</v>
      </c>
      <c r="E3774" t="s">
        <v>42</v>
      </c>
      <c r="F3774" t="s">
        <v>43</v>
      </c>
      <c r="G3774" t="s">
        <v>43</v>
      </c>
      <c r="H3774" t="s">
        <v>43</v>
      </c>
      <c r="I3774" t="s">
        <v>2252</v>
      </c>
      <c r="J3774" t="s">
        <v>43</v>
      </c>
      <c r="K3774" t="s">
        <v>43</v>
      </c>
      <c r="L3774" t="s">
        <v>43</v>
      </c>
      <c r="M3774" t="s">
        <v>43</v>
      </c>
      <c r="N3774" t="s">
        <v>45</v>
      </c>
      <c r="O3774" t="s">
        <v>43</v>
      </c>
      <c r="P3774" t="s">
        <v>43</v>
      </c>
      <c r="Q3774" t="s">
        <v>43</v>
      </c>
      <c r="R3774" t="s">
        <v>43</v>
      </c>
      <c r="S3774" t="s">
        <v>43</v>
      </c>
      <c r="T3774" t="s">
        <v>43</v>
      </c>
      <c r="U3774" t="s">
        <v>43</v>
      </c>
      <c r="V3774" t="s">
        <v>43</v>
      </c>
      <c r="W3774" t="s">
        <v>43</v>
      </c>
      <c r="X3774" t="s">
        <v>43</v>
      </c>
      <c r="Y3774" t="s">
        <v>43</v>
      </c>
      <c r="Z3774" t="s">
        <v>43</v>
      </c>
      <c r="AA3774" t="s">
        <v>43</v>
      </c>
      <c r="AB3774" t="s">
        <v>43</v>
      </c>
      <c r="AC3774" t="s">
        <v>43</v>
      </c>
      <c r="AD3774" t="s">
        <v>43</v>
      </c>
      <c r="AE3774" t="s">
        <v>43</v>
      </c>
      <c r="AF3774" t="s">
        <v>43</v>
      </c>
      <c r="AG3774" t="s">
        <v>43</v>
      </c>
      <c r="AH3774" t="s">
        <v>43</v>
      </c>
      <c r="AI3774" t="s">
        <v>43</v>
      </c>
      <c r="AJ3774" t="s">
        <v>43</v>
      </c>
      <c r="AK3774" t="s">
        <v>43</v>
      </c>
      <c r="AL3774" t="s">
        <v>43</v>
      </c>
      <c r="AM3774" t="s">
        <v>43</v>
      </c>
      <c r="AN3774" t="str">
        <f>HYPERLINK("https://www.google.com/maps?q=10.76307106,79.69436646","Open Location")</f>
        <v>Open Location</v>
      </c>
    </row>
    <row r="3775" spans="1:40" x14ac:dyDescent="0.3">
      <c r="A3775" s="1">
        <v>46210.562731481485</v>
      </c>
      <c r="B3775" t="s">
        <v>40</v>
      </c>
      <c r="C3775" t="s">
        <v>41</v>
      </c>
      <c r="D3775" s="1">
        <v>46210.565358796295</v>
      </c>
      <c r="E3775" t="s">
        <v>42</v>
      </c>
      <c r="F3775" t="s">
        <v>43</v>
      </c>
      <c r="G3775" t="s">
        <v>43</v>
      </c>
      <c r="H3775" t="s">
        <v>43</v>
      </c>
      <c r="I3775" t="s">
        <v>2253</v>
      </c>
      <c r="J3775" t="s">
        <v>43</v>
      </c>
      <c r="K3775" t="s">
        <v>43</v>
      </c>
      <c r="L3775" t="s">
        <v>43</v>
      </c>
      <c r="M3775" t="s">
        <v>43</v>
      </c>
      <c r="N3775" t="s">
        <v>45</v>
      </c>
      <c r="O3775" t="s">
        <v>43</v>
      </c>
      <c r="P3775" t="s">
        <v>43</v>
      </c>
      <c r="Q3775" t="s">
        <v>43</v>
      </c>
      <c r="R3775" t="s">
        <v>43</v>
      </c>
      <c r="S3775" t="s">
        <v>43</v>
      </c>
      <c r="T3775" t="s">
        <v>43</v>
      </c>
      <c r="U3775" t="s">
        <v>43</v>
      </c>
      <c r="V3775" t="s">
        <v>43</v>
      </c>
      <c r="W3775" t="s">
        <v>43</v>
      </c>
      <c r="X3775" t="s">
        <v>43</v>
      </c>
      <c r="Y3775" t="s">
        <v>43</v>
      </c>
      <c r="Z3775" t="s">
        <v>43</v>
      </c>
      <c r="AA3775" t="s">
        <v>43</v>
      </c>
      <c r="AB3775" t="s">
        <v>43</v>
      </c>
      <c r="AC3775" t="s">
        <v>43</v>
      </c>
      <c r="AD3775" t="s">
        <v>43</v>
      </c>
      <c r="AE3775" t="s">
        <v>43</v>
      </c>
      <c r="AF3775" t="s">
        <v>43</v>
      </c>
      <c r="AG3775" t="s">
        <v>43</v>
      </c>
      <c r="AH3775" t="s">
        <v>43</v>
      </c>
      <c r="AI3775" t="s">
        <v>43</v>
      </c>
      <c r="AJ3775" t="s">
        <v>43</v>
      </c>
      <c r="AK3775" t="s">
        <v>43</v>
      </c>
      <c r="AL3775" t="s">
        <v>43</v>
      </c>
      <c r="AM3775" t="s">
        <v>43</v>
      </c>
      <c r="AN3775" t="str">
        <f>HYPERLINK("https://www.google.com/maps?q=10.76307011,79.69436646","Open Location")</f>
        <v>Open Location</v>
      </c>
    </row>
    <row r="3776" spans="1:40" x14ac:dyDescent="0.3">
      <c r="A3776" s="1">
        <v>46210.562615740739</v>
      </c>
      <c r="B3776" t="s">
        <v>40</v>
      </c>
      <c r="C3776" t="s">
        <v>41</v>
      </c>
      <c r="D3776" s="1">
        <v>46210.565358796295</v>
      </c>
      <c r="E3776" t="s">
        <v>42</v>
      </c>
      <c r="F3776" t="s">
        <v>43</v>
      </c>
      <c r="G3776" t="s">
        <v>43</v>
      </c>
      <c r="H3776" t="s">
        <v>43</v>
      </c>
      <c r="I3776" t="s">
        <v>43</v>
      </c>
      <c r="J3776" t="s">
        <v>43</v>
      </c>
      <c r="K3776" t="s">
        <v>43</v>
      </c>
      <c r="L3776" t="s">
        <v>43</v>
      </c>
      <c r="M3776" t="s">
        <v>43</v>
      </c>
      <c r="N3776" t="s">
        <v>45</v>
      </c>
      <c r="O3776" t="s">
        <v>43</v>
      </c>
      <c r="P3776" t="s">
        <v>43</v>
      </c>
      <c r="Q3776" t="s">
        <v>43</v>
      </c>
      <c r="R3776" t="s">
        <v>43</v>
      </c>
      <c r="S3776" t="s">
        <v>43</v>
      </c>
      <c r="T3776" t="s">
        <v>43</v>
      </c>
      <c r="U3776" t="s">
        <v>43</v>
      </c>
      <c r="V3776" t="s">
        <v>43</v>
      </c>
      <c r="W3776" t="s">
        <v>43</v>
      </c>
      <c r="X3776" t="s">
        <v>43</v>
      </c>
      <c r="Y3776" t="s">
        <v>43</v>
      </c>
      <c r="Z3776" t="s">
        <v>43</v>
      </c>
      <c r="AA3776" t="s">
        <v>43</v>
      </c>
      <c r="AB3776" t="s">
        <v>43</v>
      </c>
      <c r="AC3776" t="s">
        <v>43</v>
      </c>
      <c r="AD3776" t="s">
        <v>43</v>
      </c>
      <c r="AE3776" t="s">
        <v>43</v>
      </c>
      <c r="AF3776" t="s">
        <v>43</v>
      </c>
      <c r="AG3776" t="s">
        <v>43</v>
      </c>
      <c r="AH3776" t="s">
        <v>43</v>
      </c>
      <c r="AI3776" t="s">
        <v>43</v>
      </c>
      <c r="AJ3776" t="s">
        <v>43</v>
      </c>
      <c r="AK3776" t="s">
        <v>43</v>
      </c>
      <c r="AL3776" t="s">
        <v>43</v>
      </c>
      <c r="AM3776" t="s">
        <v>43</v>
      </c>
      <c r="AN3776" t="s">
        <v>43</v>
      </c>
    </row>
    <row r="3777" spans="1:40" x14ac:dyDescent="0.3">
      <c r="A3777" s="1">
        <v>46210.5625</v>
      </c>
      <c r="B3777" t="s">
        <v>40</v>
      </c>
      <c r="C3777" t="s">
        <v>41</v>
      </c>
      <c r="D3777" s="1">
        <v>46210.565358796295</v>
      </c>
      <c r="E3777" t="s">
        <v>42</v>
      </c>
      <c r="F3777" t="s">
        <v>43</v>
      </c>
      <c r="G3777" t="s">
        <v>43</v>
      </c>
      <c r="H3777" t="s">
        <v>43</v>
      </c>
      <c r="I3777" t="s">
        <v>2254</v>
      </c>
      <c r="J3777" t="s">
        <v>43</v>
      </c>
      <c r="K3777" t="s">
        <v>43</v>
      </c>
      <c r="L3777" t="s">
        <v>43</v>
      </c>
      <c r="M3777" t="s">
        <v>43</v>
      </c>
      <c r="N3777" t="s">
        <v>45</v>
      </c>
      <c r="O3777" t="s">
        <v>43</v>
      </c>
      <c r="P3777" t="s">
        <v>43</v>
      </c>
      <c r="Q3777" t="s">
        <v>43</v>
      </c>
      <c r="R3777" t="s">
        <v>43</v>
      </c>
      <c r="S3777" t="s">
        <v>43</v>
      </c>
      <c r="T3777" t="s">
        <v>43</v>
      </c>
      <c r="U3777" t="s">
        <v>43</v>
      </c>
      <c r="V3777" t="s">
        <v>43</v>
      </c>
      <c r="W3777" t="s">
        <v>43</v>
      </c>
      <c r="X3777" t="s">
        <v>43</v>
      </c>
      <c r="Y3777" t="s">
        <v>43</v>
      </c>
      <c r="Z3777" t="s">
        <v>43</v>
      </c>
      <c r="AA3777" t="s">
        <v>43</v>
      </c>
      <c r="AB3777" t="s">
        <v>43</v>
      </c>
      <c r="AC3777" t="s">
        <v>43</v>
      </c>
      <c r="AD3777" t="s">
        <v>43</v>
      </c>
      <c r="AE3777" t="s">
        <v>43</v>
      </c>
      <c r="AF3777" t="s">
        <v>43</v>
      </c>
      <c r="AG3777" t="s">
        <v>43</v>
      </c>
      <c r="AH3777" t="s">
        <v>43</v>
      </c>
      <c r="AI3777" t="s">
        <v>43</v>
      </c>
      <c r="AJ3777" t="s">
        <v>43</v>
      </c>
      <c r="AK3777" t="s">
        <v>43</v>
      </c>
      <c r="AL3777" t="s">
        <v>43</v>
      </c>
      <c r="AM3777" t="s">
        <v>43</v>
      </c>
      <c r="AN3777" t="str">
        <f>HYPERLINK("https://www.google.com/maps?q=10.7630682,79.69435883","Open Location")</f>
        <v>Open Location</v>
      </c>
    </row>
    <row r="3778" spans="1:40" x14ac:dyDescent="0.3">
      <c r="A3778" s="1">
        <v>46210.562384259261</v>
      </c>
      <c r="B3778" t="s">
        <v>40</v>
      </c>
      <c r="C3778" t="s">
        <v>41</v>
      </c>
      <c r="D3778" s="1">
        <v>46210.565532407411</v>
      </c>
      <c r="E3778" t="s">
        <v>42</v>
      </c>
      <c r="F3778" t="s">
        <v>43</v>
      </c>
      <c r="G3778" t="s">
        <v>43</v>
      </c>
      <c r="H3778" t="s">
        <v>43</v>
      </c>
      <c r="I3778" t="s">
        <v>2255</v>
      </c>
      <c r="J3778" t="s">
        <v>43</v>
      </c>
      <c r="K3778" t="s">
        <v>43</v>
      </c>
      <c r="L3778" t="s">
        <v>43</v>
      </c>
      <c r="M3778" t="s">
        <v>43</v>
      </c>
      <c r="N3778" t="s">
        <v>45</v>
      </c>
      <c r="O3778" t="s">
        <v>43</v>
      </c>
      <c r="P3778" t="s">
        <v>43</v>
      </c>
      <c r="Q3778" t="s">
        <v>43</v>
      </c>
      <c r="R3778" t="s">
        <v>43</v>
      </c>
      <c r="S3778" t="s">
        <v>43</v>
      </c>
      <c r="T3778" t="s">
        <v>43</v>
      </c>
      <c r="U3778" t="s">
        <v>43</v>
      </c>
      <c r="V3778" t="s">
        <v>43</v>
      </c>
      <c r="W3778" t="s">
        <v>43</v>
      </c>
      <c r="X3778" t="s">
        <v>43</v>
      </c>
      <c r="Y3778" t="s">
        <v>43</v>
      </c>
      <c r="Z3778" t="s">
        <v>43</v>
      </c>
      <c r="AA3778" t="s">
        <v>43</v>
      </c>
      <c r="AB3778" t="s">
        <v>43</v>
      </c>
      <c r="AC3778" t="s">
        <v>43</v>
      </c>
      <c r="AD3778" t="s">
        <v>43</v>
      </c>
      <c r="AE3778" t="s">
        <v>43</v>
      </c>
      <c r="AF3778" t="s">
        <v>43</v>
      </c>
      <c r="AG3778" t="s">
        <v>43</v>
      </c>
      <c r="AH3778" t="s">
        <v>43</v>
      </c>
      <c r="AI3778" t="s">
        <v>43</v>
      </c>
      <c r="AJ3778" t="s">
        <v>43</v>
      </c>
      <c r="AK3778" t="s">
        <v>43</v>
      </c>
      <c r="AL3778" t="s">
        <v>43</v>
      </c>
      <c r="AM3778" t="s">
        <v>43</v>
      </c>
      <c r="AN3778" t="str">
        <f>HYPERLINK("https://www.google.com/maps?q=10.76306915,79.69436646","Open Location")</f>
        <v>Open Location</v>
      </c>
    </row>
    <row r="3779" spans="1:40" x14ac:dyDescent="0.3">
      <c r="A3779" s="1">
        <v>46210.562268518515</v>
      </c>
      <c r="B3779" t="s">
        <v>40</v>
      </c>
      <c r="C3779" t="s">
        <v>41</v>
      </c>
      <c r="D3779" s="1">
        <v>46210.565335648149</v>
      </c>
      <c r="E3779" t="s">
        <v>42</v>
      </c>
      <c r="F3779" t="s">
        <v>43</v>
      </c>
      <c r="G3779" t="s">
        <v>43</v>
      </c>
      <c r="H3779" t="s">
        <v>43</v>
      </c>
      <c r="I3779" t="s">
        <v>2256</v>
      </c>
      <c r="J3779" t="s">
        <v>43</v>
      </c>
      <c r="K3779" t="s">
        <v>43</v>
      </c>
      <c r="L3779" t="s">
        <v>43</v>
      </c>
      <c r="M3779" t="s">
        <v>43</v>
      </c>
      <c r="N3779" t="s">
        <v>45</v>
      </c>
      <c r="O3779" t="s">
        <v>43</v>
      </c>
      <c r="P3779" t="s">
        <v>43</v>
      </c>
      <c r="Q3779" t="s">
        <v>43</v>
      </c>
      <c r="R3779" t="s">
        <v>43</v>
      </c>
      <c r="S3779" t="s">
        <v>43</v>
      </c>
      <c r="T3779" t="s">
        <v>43</v>
      </c>
      <c r="U3779" t="s">
        <v>43</v>
      </c>
      <c r="V3779" t="s">
        <v>43</v>
      </c>
      <c r="W3779" t="s">
        <v>43</v>
      </c>
      <c r="X3779" t="s">
        <v>43</v>
      </c>
      <c r="Y3779" t="s">
        <v>43</v>
      </c>
      <c r="Z3779" t="s">
        <v>43</v>
      </c>
      <c r="AA3779" t="s">
        <v>43</v>
      </c>
      <c r="AB3779" t="s">
        <v>43</v>
      </c>
      <c r="AC3779" t="s">
        <v>43</v>
      </c>
      <c r="AD3779" t="s">
        <v>43</v>
      </c>
      <c r="AE3779" t="s">
        <v>43</v>
      </c>
      <c r="AF3779" t="s">
        <v>43</v>
      </c>
      <c r="AG3779" t="s">
        <v>43</v>
      </c>
      <c r="AH3779" t="s">
        <v>43</v>
      </c>
      <c r="AI3779" t="s">
        <v>43</v>
      </c>
      <c r="AJ3779" t="s">
        <v>43</v>
      </c>
      <c r="AK3779" t="s">
        <v>43</v>
      </c>
      <c r="AL3779" t="s">
        <v>43</v>
      </c>
      <c r="AM3779" t="s">
        <v>43</v>
      </c>
      <c r="AN3779" t="str">
        <f>HYPERLINK("https://www.google.com/maps?q=10.76306725,79.69435883","Open Location")</f>
        <v>Open Location</v>
      </c>
    </row>
    <row r="3780" spans="1:40" x14ac:dyDescent="0.3">
      <c r="A3780" s="1">
        <v>46210.562152777777</v>
      </c>
      <c r="B3780" t="s">
        <v>40</v>
      </c>
      <c r="C3780" t="s">
        <v>41</v>
      </c>
      <c r="D3780" s="1">
        <v>46210.565034722225</v>
      </c>
      <c r="E3780" t="s">
        <v>42</v>
      </c>
      <c r="F3780" t="s">
        <v>43</v>
      </c>
      <c r="G3780" t="s">
        <v>43</v>
      </c>
      <c r="H3780" t="s">
        <v>43</v>
      </c>
      <c r="I3780" t="s">
        <v>2218</v>
      </c>
      <c r="J3780" t="s">
        <v>43</v>
      </c>
      <c r="K3780" t="s">
        <v>43</v>
      </c>
      <c r="L3780" t="s">
        <v>43</v>
      </c>
      <c r="M3780" t="s">
        <v>43</v>
      </c>
      <c r="N3780" t="s">
        <v>45</v>
      </c>
      <c r="O3780" t="s">
        <v>43</v>
      </c>
      <c r="P3780" t="s">
        <v>43</v>
      </c>
      <c r="Q3780" t="s">
        <v>43</v>
      </c>
      <c r="R3780" t="s">
        <v>43</v>
      </c>
      <c r="S3780" t="s">
        <v>43</v>
      </c>
      <c r="T3780" t="s">
        <v>43</v>
      </c>
      <c r="U3780" t="s">
        <v>43</v>
      </c>
      <c r="V3780" t="s">
        <v>43</v>
      </c>
      <c r="W3780" t="s">
        <v>43</v>
      </c>
      <c r="X3780" t="s">
        <v>43</v>
      </c>
      <c r="Y3780" t="s">
        <v>43</v>
      </c>
      <c r="Z3780" t="s">
        <v>43</v>
      </c>
      <c r="AA3780" t="s">
        <v>43</v>
      </c>
      <c r="AB3780" t="s">
        <v>43</v>
      </c>
      <c r="AC3780" t="s">
        <v>43</v>
      </c>
      <c r="AD3780" t="s">
        <v>43</v>
      </c>
      <c r="AE3780" t="s">
        <v>43</v>
      </c>
      <c r="AF3780" t="s">
        <v>43</v>
      </c>
      <c r="AG3780" t="s">
        <v>43</v>
      </c>
      <c r="AH3780" t="s">
        <v>43</v>
      </c>
      <c r="AI3780" t="s">
        <v>43</v>
      </c>
      <c r="AJ3780" t="s">
        <v>43</v>
      </c>
      <c r="AK3780" t="s">
        <v>43</v>
      </c>
      <c r="AL3780" t="s">
        <v>43</v>
      </c>
      <c r="AM3780" t="s">
        <v>43</v>
      </c>
      <c r="AN3780" t="str">
        <f>HYPERLINK("https://www.google.com/maps?q=10.76306534,79.69436646","Open Location")</f>
        <v>Open Location</v>
      </c>
    </row>
    <row r="3781" spans="1:40" x14ac:dyDescent="0.3">
      <c r="A3781" s="1">
        <v>46210.562037037038</v>
      </c>
      <c r="B3781" t="s">
        <v>40</v>
      </c>
      <c r="C3781" t="s">
        <v>41</v>
      </c>
      <c r="D3781" s="1">
        <v>46210.564768518518</v>
      </c>
      <c r="E3781" t="s">
        <v>42</v>
      </c>
      <c r="F3781" t="s">
        <v>43</v>
      </c>
      <c r="G3781" t="s">
        <v>43</v>
      </c>
      <c r="H3781" t="s">
        <v>43</v>
      </c>
      <c r="I3781" t="s">
        <v>43</v>
      </c>
      <c r="J3781" t="s">
        <v>43</v>
      </c>
      <c r="K3781" t="s">
        <v>43</v>
      </c>
      <c r="L3781" t="s">
        <v>43</v>
      </c>
      <c r="M3781" t="s">
        <v>43</v>
      </c>
      <c r="N3781" t="s">
        <v>45</v>
      </c>
      <c r="O3781" t="s">
        <v>43</v>
      </c>
      <c r="P3781" t="s">
        <v>43</v>
      </c>
      <c r="Q3781" t="s">
        <v>43</v>
      </c>
      <c r="R3781" t="s">
        <v>43</v>
      </c>
      <c r="S3781" t="s">
        <v>43</v>
      </c>
      <c r="T3781" t="s">
        <v>43</v>
      </c>
      <c r="U3781" t="s">
        <v>43</v>
      </c>
      <c r="V3781" t="s">
        <v>43</v>
      </c>
      <c r="W3781" t="s">
        <v>43</v>
      </c>
      <c r="X3781" t="s">
        <v>43</v>
      </c>
      <c r="Y3781" t="s">
        <v>43</v>
      </c>
      <c r="Z3781" t="s">
        <v>43</v>
      </c>
      <c r="AA3781" t="s">
        <v>43</v>
      </c>
      <c r="AB3781" t="s">
        <v>43</v>
      </c>
      <c r="AC3781" t="s">
        <v>43</v>
      </c>
      <c r="AD3781" t="s">
        <v>43</v>
      </c>
      <c r="AE3781" t="s">
        <v>43</v>
      </c>
      <c r="AF3781" t="s">
        <v>43</v>
      </c>
      <c r="AG3781" t="s">
        <v>43</v>
      </c>
      <c r="AH3781" t="s">
        <v>43</v>
      </c>
      <c r="AI3781" t="s">
        <v>43</v>
      </c>
      <c r="AJ3781" t="s">
        <v>43</v>
      </c>
      <c r="AK3781" t="s">
        <v>43</v>
      </c>
      <c r="AL3781" t="s">
        <v>43</v>
      </c>
      <c r="AM3781" t="s">
        <v>43</v>
      </c>
      <c r="AN3781" t="s">
        <v>43</v>
      </c>
    </row>
    <row r="3782" spans="1:40" x14ac:dyDescent="0.3">
      <c r="A3782" s="1">
        <v>46210.561921296299</v>
      </c>
      <c r="B3782" t="s">
        <v>40</v>
      </c>
      <c r="C3782" t="s">
        <v>41</v>
      </c>
      <c r="D3782" s="1">
        <v>46210.564942129633</v>
      </c>
      <c r="E3782" t="s">
        <v>42</v>
      </c>
      <c r="F3782" t="s">
        <v>43</v>
      </c>
      <c r="G3782" t="s">
        <v>43</v>
      </c>
      <c r="H3782" t="s">
        <v>43</v>
      </c>
      <c r="I3782" t="s">
        <v>2257</v>
      </c>
      <c r="J3782" t="s">
        <v>43</v>
      </c>
      <c r="K3782" t="s">
        <v>43</v>
      </c>
      <c r="L3782" t="s">
        <v>43</v>
      </c>
      <c r="M3782" t="s">
        <v>43</v>
      </c>
      <c r="N3782" t="s">
        <v>45</v>
      </c>
      <c r="O3782" t="s">
        <v>43</v>
      </c>
      <c r="P3782" t="s">
        <v>43</v>
      </c>
      <c r="Q3782" t="s">
        <v>43</v>
      </c>
      <c r="R3782" t="s">
        <v>43</v>
      </c>
      <c r="S3782" t="s">
        <v>43</v>
      </c>
      <c r="T3782" t="s">
        <v>43</v>
      </c>
      <c r="U3782" t="s">
        <v>43</v>
      </c>
      <c r="V3782" t="s">
        <v>43</v>
      </c>
      <c r="W3782" t="s">
        <v>43</v>
      </c>
      <c r="X3782" t="s">
        <v>43</v>
      </c>
      <c r="Y3782" t="s">
        <v>43</v>
      </c>
      <c r="Z3782" t="s">
        <v>43</v>
      </c>
      <c r="AA3782" t="s">
        <v>43</v>
      </c>
      <c r="AB3782" t="s">
        <v>43</v>
      </c>
      <c r="AC3782" t="s">
        <v>43</v>
      </c>
      <c r="AD3782" t="s">
        <v>43</v>
      </c>
      <c r="AE3782" t="s">
        <v>43</v>
      </c>
      <c r="AF3782" t="s">
        <v>43</v>
      </c>
      <c r="AG3782" t="s">
        <v>43</v>
      </c>
      <c r="AH3782" t="s">
        <v>43</v>
      </c>
      <c r="AI3782" t="s">
        <v>43</v>
      </c>
      <c r="AJ3782" t="s">
        <v>43</v>
      </c>
      <c r="AK3782" t="s">
        <v>43</v>
      </c>
      <c r="AL3782" t="s">
        <v>43</v>
      </c>
      <c r="AM3782" t="s">
        <v>43</v>
      </c>
      <c r="AN3782" t="str">
        <f>HYPERLINK("https://www.google.com/maps?q=10.76306057,79.69436646","Open Location")</f>
        <v>Open Location</v>
      </c>
    </row>
    <row r="3783" spans="1:40" x14ac:dyDescent="0.3">
      <c r="A3783" s="1">
        <v>46210.561805555553</v>
      </c>
      <c r="B3783" t="s">
        <v>40</v>
      </c>
      <c r="C3783" t="s">
        <v>41</v>
      </c>
      <c r="D3783" s="1">
        <v>46210.564571759256</v>
      </c>
      <c r="E3783" t="s">
        <v>42</v>
      </c>
      <c r="F3783" t="s">
        <v>43</v>
      </c>
      <c r="G3783" t="s">
        <v>43</v>
      </c>
      <c r="H3783" t="s">
        <v>43</v>
      </c>
      <c r="I3783" t="s">
        <v>2258</v>
      </c>
      <c r="J3783" t="s">
        <v>43</v>
      </c>
      <c r="K3783" t="s">
        <v>43</v>
      </c>
      <c r="L3783" t="s">
        <v>43</v>
      </c>
      <c r="M3783" t="s">
        <v>43</v>
      </c>
      <c r="N3783" t="s">
        <v>45</v>
      </c>
      <c r="O3783" t="s">
        <v>43</v>
      </c>
      <c r="P3783" t="s">
        <v>43</v>
      </c>
      <c r="Q3783" t="s">
        <v>43</v>
      </c>
      <c r="R3783" t="s">
        <v>43</v>
      </c>
      <c r="S3783" t="s">
        <v>43</v>
      </c>
      <c r="T3783" t="s">
        <v>43</v>
      </c>
      <c r="U3783" t="s">
        <v>43</v>
      </c>
      <c r="V3783" t="s">
        <v>43</v>
      </c>
      <c r="W3783" t="s">
        <v>43</v>
      </c>
      <c r="X3783" t="s">
        <v>43</v>
      </c>
      <c r="Y3783" t="s">
        <v>43</v>
      </c>
      <c r="Z3783" t="s">
        <v>43</v>
      </c>
      <c r="AA3783" t="s">
        <v>43</v>
      </c>
      <c r="AB3783" t="s">
        <v>43</v>
      </c>
      <c r="AC3783" t="s">
        <v>43</v>
      </c>
      <c r="AD3783" t="s">
        <v>43</v>
      </c>
      <c r="AE3783" t="s">
        <v>43</v>
      </c>
      <c r="AF3783" t="s">
        <v>43</v>
      </c>
      <c r="AG3783" t="s">
        <v>43</v>
      </c>
      <c r="AH3783" t="s">
        <v>43</v>
      </c>
      <c r="AI3783" t="s">
        <v>43</v>
      </c>
      <c r="AJ3783" t="s">
        <v>43</v>
      </c>
      <c r="AK3783" t="s">
        <v>43</v>
      </c>
      <c r="AL3783" t="s">
        <v>43</v>
      </c>
      <c r="AM3783" t="s">
        <v>43</v>
      </c>
      <c r="AN3783" t="str">
        <f>HYPERLINK("https://www.google.com/maps?q=10.76305771,79.69435883","Open Location")</f>
        <v>Open Location</v>
      </c>
    </row>
    <row r="3784" spans="1:40" x14ac:dyDescent="0.3">
      <c r="A3784" s="1">
        <v>46210.561689814815</v>
      </c>
      <c r="B3784" t="s">
        <v>40</v>
      </c>
      <c r="C3784" t="s">
        <v>41</v>
      </c>
      <c r="D3784" s="1">
        <v>46210.564664351848</v>
      </c>
      <c r="E3784" t="s">
        <v>42</v>
      </c>
      <c r="F3784" t="s">
        <v>43</v>
      </c>
      <c r="G3784" t="s">
        <v>43</v>
      </c>
      <c r="H3784" t="s">
        <v>43</v>
      </c>
      <c r="I3784" t="s">
        <v>2259</v>
      </c>
      <c r="J3784" t="s">
        <v>43</v>
      </c>
      <c r="K3784" t="s">
        <v>43</v>
      </c>
      <c r="L3784" t="s">
        <v>43</v>
      </c>
      <c r="M3784" t="s">
        <v>43</v>
      </c>
      <c r="N3784" t="s">
        <v>45</v>
      </c>
      <c r="O3784" t="s">
        <v>43</v>
      </c>
      <c r="P3784" t="s">
        <v>43</v>
      </c>
      <c r="Q3784" t="s">
        <v>43</v>
      </c>
      <c r="R3784" t="s">
        <v>43</v>
      </c>
      <c r="S3784" t="s">
        <v>43</v>
      </c>
      <c r="T3784" t="s">
        <v>43</v>
      </c>
      <c r="U3784" t="s">
        <v>43</v>
      </c>
      <c r="V3784" t="s">
        <v>43</v>
      </c>
      <c r="W3784" t="s">
        <v>43</v>
      </c>
      <c r="X3784" t="s">
        <v>43</v>
      </c>
      <c r="Y3784" t="s">
        <v>43</v>
      </c>
      <c r="Z3784" t="s">
        <v>43</v>
      </c>
      <c r="AA3784" t="s">
        <v>43</v>
      </c>
      <c r="AB3784" t="s">
        <v>43</v>
      </c>
      <c r="AC3784" t="s">
        <v>43</v>
      </c>
      <c r="AD3784" t="s">
        <v>43</v>
      </c>
      <c r="AE3784" t="s">
        <v>43</v>
      </c>
      <c r="AF3784" t="s">
        <v>43</v>
      </c>
      <c r="AG3784" t="s">
        <v>43</v>
      </c>
      <c r="AH3784" t="s">
        <v>43</v>
      </c>
      <c r="AI3784" t="s">
        <v>43</v>
      </c>
      <c r="AJ3784" t="s">
        <v>43</v>
      </c>
      <c r="AK3784" t="s">
        <v>43</v>
      </c>
      <c r="AL3784" t="s">
        <v>43</v>
      </c>
      <c r="AM3784" t="s">
        <v>43</v>
      </c>
      <c r="AN3784" t="str">
        <f>HYPERLINK("https://www.google.com/maps?q=10.76305485,79.6943512","Open Location")</f>
        <v>Open Location</v>
      </c>
    </row>
    <row r="3785" spans="1:40" x14ac:dyDescent="0.3">
      <c r="A3785" s="1">
        <v>46210.561574074076</v>
      </c>
      <c r="B3785" t="s">
        <v>40</v>
      </c>
      <c r="C3785" t="s">
        <v>41</v>
      </c>
      <c r="D3785" s="1">
        <v>46210.564513888887</v>
      </c>
      <c r="E3785" t="s">
        <v>42</v>
      </c>
      <c r="F3785" t="s">
        <v>43</v>
      </c>
      <c r="G3785" t="s">
        <v>43</v>
      </c>
      <c r="H3785" t="s">
        <v>43</v>
      </c>
      <c r="I3785" t="s">
        <v>2260</v>
      </c>
      <c r="J3785" t="s">
        <v>43</v>
      </c>
      <c r="K3785" t="s">
        <v>43</v>
      </c>
      <c r="L3785" t="s">
        <v>43</v>
      </c>
      <c r="M3785" t="s">
        <v>43</v>
      </c>
      <c r="N3785" t="s">
        <v>45</v>
      </c>
      <c r="O3785" t="s">
        <v>43</v>
      </c>
      <c r="P3785" t="s">
        <v>43</v>
      </c>
      <c r="Q3785" t="s">
        <v>43</v>
      </c>
      <c r="R3785" t="s">
        <v>43</v>
      </c>
      <c r="S3785" t="s">
        <v>43</v>
      </c>
      <c r="T3785" t="s">
        <v>43</v>
      </c>
      <c r="U3785" t="s">
        <v>43</v>
      </c>
      <c r="V3785" t="s">
        <v>43</v>
      </c>
      <c r="W3785" t="s">
        <v>43</v>
      </c>
      <c r="X3785" t="s">
        <v>43</v>
      </c>
      <c r="Y3785" t="s">
        <v>43</v>
      </c>
      <c r="Z3785" t="s">
        <v>43</v>
      </c>
      <c r="AA3785" t="s">
        <v>43</v>
      </c>
      <c r="AB3785" t="s">
        <v>43</v>
      </c>
      <c r="AC3785" t="s">
        <v>43</v>
      </c>
      <c r="AD3785" t="s">
        <v>43</v>
      </c>
      <c r="AE3785" t="s">
        <v>43</v>
      </c>
      <c r="AF3785" t="s">
        <v>43</v>
      </c>
      <c r="AG3785" t="s">
        <v>43</v>
      </c>
      <c r="AH3785" t="s">
        <v>43</v>
      </c>
      <c r="AI3785" t="s">
        <v>43</v>
      </c>
      <c r="AJ3785" t="s">
        <v>43</v>
      </c>
      <c r="AK3785" t="s">
        <v>43</v>
      </c>
      <c r="AL3785" t="s">
        <v>43</v>
      </c>
      <c r="AM3785" t="s">
        <v>43</v>
      </c>
      <c r="AN3785" t="str">
        <f>HYPERLINK("https://www.google.com/maps?q=10.76305294,79.69435883","Open Location")</f>
        <v>Open Location</v>
      </c>
    </row>
    <row r="3786" spans="1:40" x14ac:dyDescent="0.3">
      <c r="A3786" s="1">
        <v>46210.56145833333</v>
      </c>
      <c r="B3786" t="s">
        <v>40</v>
      </c>
      <c r="C3786" t="s">
        <v>41</v>
      </c>
      <c r="D3786" s="1">
        <v>46210.564340277779</v>
      </c>
      <c r="E3786" t="s">
        <v>42</v>
      </c>
      <c r="F3786" t="s">
        <v>43</v>
      </c>
      <c r="G3786" t="s">
        <v>43</v>
      </c>
      <c r="H3786" t="s">
        <v>43</v>
      </c>
      <c r="I3786" t="s">
        <v>2261</v>
      </c>
      <c r="J3786" t="s">
        <v>43</v>
      </c>
      <c r="K3786" t="s">
        <v>43</v>
      </c>
      <c r="L3786" t="s">
        <v>43</v>
      </c>
      <c r="M3786" t="s">
        <v>43</v>
      </c>
      <c r="N3786" t="s">
        <v>45</v>
      </c>
      <c r="O3786" t="s">
        <v>43</v>
      </c>
      <c r="P3786" t="s">
        <v>43</v>
      </c>
      <c r="Q3786" t="s">
        <v>43</v>
      </c>
      <c r="R3786" t="s">
        <v>43</v>
      </c>
      <c r="S3786" t="s">
        <v>43</v>
      </c>
      <c r="T3786" t="s">
        <v>43</v>
      </c>
      <c r="U3786" t="s">
        <v>43</v>
      </c>
      <c r="V3786" t="s">
        <v>43</v>
      </c>
      <c r="W3786" t="s">
        <v>43</v>
      </c>
      <c r="X3786" t="s">
        <v>43</v>
      </c>
      <c r="Y3786" t="s">
        <v>43</v>
      </c>
      <c r="Z3786" t="s">
        <v>43</v>
      </c>
      <c r="AA3786" t="s">
        <v>43</v>
      </c>
      <c r="AB3786" t="s">
        <v>43</v>
      </c>
      <c r="AC3786" t="s">
        <v>43</v>
      </c>
      <c r="AD3786" t="s">
        <v>43</v>
      </c>
      <c r="AE3786" t="s">
        <v>43</v>
      </c>
      <c r="AF3786" t="s">
        <v>43</v>
      </c>
      <c r="AG3786" t="s">
        <v>43</v>
      </c>
      <c r="AH3786" t="s">
        <v>43</v>
      </c>
      <c r="AI3786" t="s">
        <v>43</v>
      </c>
      <c r="AJ3786" t="s">
        <v>43</v>
      </c>
      <c r="AK3786" t="s">
        <v>43</v>
      </c>
      <c r="AL3786" t="s">
        <v>43</v>
      </c>
      <c r="AM3786" t="s">
        <v>43</v>
      </c>
      <c r="AN3786" t="str">
        <f>HYPERLINK("https://www.google.com/maps?q=10.76304913,79.69435883","Open Location")</f>
        <v>Open Location</v>
      </c>
    </row>
    <row r="3787" spans="1:40" x14ac:dyDescent="0.3">
      <c r="A3787" s="1">
        <v>46210.561342592591</v>
      </c>
      <c r="B3787" t="s">
        <v>40</v>
      </c>
      <c r="C3787" t="s">
        <v>41</v>
      </c>
      <c r="D3787" s="1">
        <v>46210.564340277779</v>
      </c>
      <c r="E3787" t="s">
        <v>42</v>
      </c>
      <c r="F3787" t="s">
        <v>43</v>
      </c>
      <c r="G3787" t="s">
        <v>43</v>
      </c>
      <c r="H3787" t="s">
        <v>43</v>
      </c>
      <c r="I3787" t="s">
        <v>43</v>
      </c>
      <c r="J3787" t="s">
        <v>43</v>
      </c>
      <c r="K3787" t="s">
        <v>43</v>
      </c>
      <c r="L3787" t="s">
        <v>43</v>
      </c>
      <c r="M3787" t="s">
        <v>43</v>
      </c>
      <c r="N3787" t="s">
        <v>45</v>
      </c>
      <c r="O3787" t="s">
        <v>43</v>
      </c>
      <c r="P3787" t="s">
        <v>43</v>
      </c>
      <c r="Q3787" t="s">
        <v>43</v>
      </c>
      <c r="R3787" t="s">
        <v>43</v>
      </c>
      <c r="S3787" t="s">
        <v>43</v>
      </c>
      <c r="T3787" t="s">
        <v>43</v>
      </c>
      <c r="U3787" t="s">
        <v>43</v>
      </c>
      <c r="V3787" t="s">
        <v>43</v>
      </c>
      <c r="W3787" t="s">
        <v>43</v>
      </c>
      <c r="X3787" t="s">
        <v>43</v>
      </c>
      <c r="Y3787" t="s">
        <v>43</v>
      </c>
      <c r="Z3787" t="s">
        <v>43</v>
      </c>
      <c r="AA3787" t="s">
        <v>43</v>
      </c>
      <c r="AB3787" t="s">
        <v>43</v>
      </c>
      <c r="AC3787" t="s">
        <v>43</v>
      </c>
      <c r="AD3787" t="s">
        <v>43</v>
      </c>
      <c r="AE3787" t="s">
        <v>43</v>
      </c>
      <c r="AF3787" t="s">
        <v>43</v>
      </c>
      <c r="AG3787" t="s">
        <v>43</v>
      </c>
      <c r="AH3787" t="s">
        <v>43</v>
      </c>
      <c r="AI3787" t="s">
        <v>43</v>
      </c>
      <c r="AJ3787" t="s">
        <v>43</v>
      </c>
      <c r="AK3787" t="s">
        <v>43</v>
      </c>
      <c r="AL3787" t="s">
        <v>43</v>
      </c>
      <c r="AM3787" t="s">
        <v>43</v>
      </c>
      <c r="AN3787" t="s">
        <v>43</v>
      </c>
    </row>
    <row r="3788" spans="1:40" x14ac:dyDescent="0.3">
      <c r="A3788" s="1">
        <v>46210.561226851853</v>
      </c>
      <c r="B3788" t="s">
        <v>40</v>
      </c>
      <c r="C3788" t="s">
        <v>41</v>
      </c>
      <c r="D3788" s="1">
        <v>46210.564074074071</v>
      </c>
      <c r="E3788" t="s">
        <v>42</v>
      </c>
      <c r="F3788" t="s">
        <v>43</v>
      </c>
      <c r="G3788" t="s">
        <v>43</v>
      </c>
      <c r="H3788" t="s">
        <v>43</v>
      </c>
      <c r="I3788" t="s">
        <v>2262</v>
      </c>
      <c r="J3788" t="s">
        <v>43</v>
      </c>
      <c r="K3788" t="s">
        <v>43</v>
      </c>
      <c r="L3788" t="s">
        <v>43</v>
      </c>
      <c r="M3788" t="s">
        <v>43</v>
      </c>
      <c r="N3788" t="s">
        <v>45</v>
      </c>
      <c r="O3788" t="s">
        <v>43</v>
      </c>
      <c r="P3788" t="s">
        <v>43</v>
      </c>
      <c r="Q3788" t="s">
        <v>43</v>
      </c>
      <c r="R3788" t="s">
        <v>43</v>
      </c>
      <c r="S3788" t="s">
        <v>43</v>
      </c>
      <c r="T3788" t="s">
        <v>43</v>
      </c>
      <c r="U3788" t="s">
        <v>43</v>
      </c>
      <c r="V3788" t="s">
        <v>43</v>
      </c>
      <c r="W3788" t="s">
        <v>43</v>
      </c>
      <c r="X3788" t="s">
        <v>43</v>
      </c>
      <c r="Y3788" t="s">
        <v>43</v>
      </c>
      <c r="Z3788" t="s">
        <v>43</v>
      </c>
      <c r="AA3788" t="s">
        <v>43</v>
      </c>
      <c r="AB3788" t="s">
        <v>43</v>
      </c>
      <c r="AC3788" t="s">
        <v>43</v>
      </c>
      <c r="AD3788" t="s">
        <v>43</v>
      </c>
      <c r="AE3788" t="s">
        <v>43</v>
      </c>
      <c r="AF3788" t="s">
        <v>43</v>
      </c>
      <c r="AG3788" t="s">
        <v>43</v>
      </c>
      <c r="AH3788" t="s">
        <v>43</v>
      </c>
      <c r="AI3788" t="s">
        <v>43</v>
      </c>
      <c r="AJ3788" t="s">
        <v>43</v>
      </c>
      <c r="AK3788" t="s">
        <v>43</v>
      </c>
      <c r="AL3788" t="s">
        <v>43</v>
      </c>
      <c r="AM3788" t="s">
        <v>43</v>
      </c>
      <c r="AN3788" t="str">
        <f>HYPERLINK("https://www.google.com/maps?q=10.76304817,79.69435883","Open Location")</f>
        <v>Open Location</v>
      </c>
    </row>
    <row r="3789" spans="1:40" x14ac:dyDescent="0.3">
      <c r="A3789" s="1">
        <v>46210.561111111114</v>
      </c>
      <c r="B3789" t="s">
        <v>40</v>
      </c>
      <c r="C3789" t="s">
        <v>41</v>
      </c>
      <c r="D3789" s="1">
        <v>46210.564097222225</v>
      </c>
      <c r="E3789" t="s">
        <v>42</v>
      </c>
      <c r="F3789" t="s">
        <v>43</v>
      </c>
      <c r="G3789" t="s">
        <v>43</v>
      </c>
      <c r="H3789" t="s">
        <v>43</v>
      </c>
      <c r="I3789" t="s">
        <v>2263</v>
      </c>
      <c r="J3789" t="s">
        <v>43</v>
      </c>
      <c r="K3789" t="s">
        <v>43</v>
      </c>
      <c r="L3789" t="s">
        <v>43</v>
      </c>
      <c r="M3789" t="s">
        <v>43</v>
      </c>
      <c r="N3789" t="s">
        <v>45</v>
      </c>
      <c r="O3789" t="s">
        <v>43</v>
      </c>
      <c r="P3789" t="s">
        <v>43</v>
      </c>
      <c r="Q3789" t="s">
        <v>43</v>
      </c>
      <c r="R3789" t="s">
        <v>43</v>
      </c>
      <c r="S3789" t="s">
        <v>43</v>
      </c>
      <c r="T3789" t="s">
        <v>43</v>
      </c>
      <c r="U3789" t="s">
        <v>43</v>
      </c>
      <c r="V3789" t="s">
        <v>43</v>
      </c>
      <c r="W3789" t="s">
        <v>43</v>
      </c>
      <c r="X3789" t="s">
        <v>43</v>
      </c>
      <c r="Y3789" t="s">
        <v>43</v>
      </c>
      <c r="Z3789" t="s">
        <v>43</v>
      </c>
      <c r="AA3789" t="s">
        <v>43</v>
      </c>
      <c r="AB3789" t="s">
        <v>43</v>
      </c>
      <c r="AC3789" t="s">
        <v>43</v>
      </c>
      <c r="AD3789" t="s">
        <v>43</v>
      </c>
      <c r="AE3789" t="s">
        <v>43</v>
      </c>
      <c r="AF3789" t="s">
        <v>43</v>
      </c>
      <c r="AG3789" t="s">
        <v>43</v>
      </c>
      <c r="AH3789" t="s">
        <v>43</v>
      </c>
      <c r="AI3789" t="s">
        <v>43</v>
      </c>
      <c r="AJ3789" t="s">
        <v>43</v>
      </c>
      <c r="AK3789" t="s">
        <v>43</v>
      </c>
      <c r="AL3789" t="s">
        <v>43</v>
      </c>
      <c r="AM3789" t="s">
        <v>43</v>
      </c>
      <c r="AN3789" t="str">
        <f>HYPERLINK("https://www.google.com/maps?q=10.76305389,79.69435883","Open Location")</f>
        <v>Open Location</v>
      </c>
    </row>
    <row r="3790" spans="1:40" x14ac:dyDescent="0.3">
      <c r="A3790" s="1">
        <v>46210.560995370368</v>
      </c>
      <c r="B3790" t="s">
        <v>40</v>
      </c>
      <c r="C3790" t="s">
        <v>41</v>
      </c>
      <c r="D3790" s="1">
        <v>46210.564340277779</v>
      </c>
      <c r="E3790" t="s">
        <v>42</v>
      </c>
      <c r="F3790" t="s">
        <v>43</v>
      </c>
      <c r="G3790" t="s">
        <v>43</v>
      </c>
      <c r="H3790" t="s">
        <v>43</v>
      </c>
      <c r="I3790" t="s">
        <v>2264</v>
      </c>
      <c r="J3790" t="s">
        <v>43</v>
      </c>
      <c r="K3790" t="s">
        <v>43</v>
      </c>
      <c r="L3790" t="s">
        <v>43</v>
      </c>
      <c r="M3790" t="s">
        <v>43</v>
      </c>
      <c r="N3790" t="s">
        <v>45</v>
      </c>
      <c r="O3790" t="s">
        <v>43</v>
      </c>
      <c r="P3790" t="s">
        <v>43</v>
      </c>
      <c r="Q3790" t="s">
        <v>43</v>
      </c>
      <c r="R3790" t="s">
        <v>43</v>
      </c>
      <c r="S3790" t="s">
        <v>43</v>
      </c>
      <c r="T3790" t="s">
        <v>43</v>
      </c>
      <c r="U3790" t="s">
        <v>43</v>
      </c>
      <c r="V3790" t="s">
        <v>43</v>
      </c>
      <c r="W3790" t="s">
        <v>43</v>
      </c>
      <c r="X3790" t="s">
        <v>43</v>
      </c>
      <c r="Y3790" t="s">
        <v>43</v>
      </c>
      <c r="Z3790" t="s">
        <v>43</v>
      </c>
      <c r="AA3790" t="s">
        <v>43</v>
      </c>
      <c r="AB3790" t="s">
        <v>43</v>
      </c>
      <c r="AC3790" t="s">
        <v>43</v>
      </c>
      <c r="AD3790" t="s">
        <v>43</v>
      </c>
      <c r="AE3790" t="s">
        <v>43</v>
      </c>
      <c r="AF3790" t="s">
        <v>43</v>
      </c>
      <c r="AG3790" t="s">
        <v>43</v>
      </c>
      <c r="AH3790" t="s">
        <v>43</v>
      </c>
      <c r="AI3790" t="s">
        <v>43</v>
      </c>
      <c r="AJ3790" t="s">
        <v>43</v>
      </c>
      <c r="AK3790" t="s">
        <v>43</v>
      </c>
      <c r="AL3790" t="s">
        <v>43</v>
      </c>
      <c r="AM3790" t="s">
        <v>43</v>
      </c>
      <c r="AN3790" t="str">
        <f>HYPERLINK("https://www.google.com/maps?q=10.76305676,79.69435883","Open Location")</f>
        <v>Open Location</v>
      </c>
    </row>
    <row r="3791" spans="1:40" x14ac:dyDescent="0.3">
      <c r="A3791" s="1">
        <v>46210.560879629629</v>
      </c>
      <c r="B3791" t="s">
        <v>40</v>
      </c>
      <c r="C3791" t="s">
        <v>41</v>
      </c>
      <c r="D3791" s="1">
        <v>46210.563622685186</v>
      </c>
      <c r="E3791" t="s">
        <v>42</v>
      </c>
      <c r="F3791" t="s">
        <v>43</v>
      </c>
      <c r="G3791" t="s">
        <v>43</v>
      </c>
      <c r="H3791" t="s">
        <v>43</v>
      </c>
      <c r="I3791" t="s">
        <v>2265</v>
      </c>
      <c r="J3791" t="s">
        <v>43</v>
      </c>
      <c r="K3791" t="s">
        <v>43</v>
      </c>
      <c r="L3791" t="s">
        <v>43</v>
      </c>
      <c r="M3791" t="s">
        <v>43</v>
      </c>
      <c r="N3791" t="s">
        <v>45</v>
      </c>
      <c r="O3791" t="s">
        <v>43</v>
      </c>
      <c r="P3791" t="s">
        <v>43</v>
      </c>
      <c r="Q3791" t="s">
        <v>43</v>
      </c>
      <c r="R3791" t="s">
        <v>43</v>
      </c>
      <c r="S3791" t="s">
        <v>43</v>
      </c>
      <c r="T3791" t="s">
        <v>43</v>
      </c>
      <c r="U3791" t="s">
        <v>43</v>
      </c>
      <c r="V3791" t="s">
        <v>43</v>
      </c>
      <c r="W3791" t="s">
        <v>43</v>
      </c>
      <c r="X3791" t="s">
        <v>43</v>
      </c>
      <c r="Y3791" t="s">
        <v>43</v>
      </c>
      <c r="Z3791" t="s">
        <v>43</v>
      </c>
      <c r="AA3791" t="s">
        <v>43</v>
      </c>
      <c r="AB3791" t="s">
        <v>43</v>
      </c>
      <c r="AC3791" t="s">
        <v>43</v>
      </c>
      <c r="AD3791" t="s">
        <v>43</v>
      </c>
      <c r="AE3791" t="s">
        <v>43</v>
      </c>
      <c r="AF3791" t="s">
        <v>43</v>
      </c>
      <c r="AG3791" t="s">
        <v>43</v>
      </c>
      <c r="AH3791" t="s">
        <v>43</v>
      </c>
      <c r="AI3791" t="s">
        <v>43</v>
      </c>
      <c r="AJ3791" t="s">
        <v>43</v>
      </c>
      <c r="AK3791" t="s">
        <v>43</v>
      </c>
      <c r="AL3791" t="s">
        <v>43</v>
      </c>
      <c r="AM3791" t="s">
        <v>43</v>
      </c>
      <c r="AN3791" t="str">
        <f>HYPERLINK("https://www.google.com/maps?q=10.76305962,79.69435883","Open Location")</f>
        <v>Open Location</v>
      </c>
    </row>
    <row r="3792" spans="1:40" x14ac:dyDescent="0.3">
      <c r="A3792" s="1">
        <v>46210.560763888891</v>
      </c>
      <c r="B3792" t="s">
        <v>40</v>
      </c>
      <c r="C3792" t="s">
        <v>41</v>
      </c>
      <c r="D3792" s="1">
        <v>46210.56355324074</v>
      </c>
      <c r="E3792" t="s">
        <v>42</v>
      </c>
      <c r="F3792" t="s">
        <v>43</v>
      </c>
      <c r="G3792" t="s">
        <v>43</v>
      </c>
      <c r="H3792" t="s">
        <v>43</v>
      </c>
      <c r="I3792" t="s">
        <v>2265</v>
      </c>
      <c r="J3792" t="s">
        <v>43</v>
      </c>
      <c r="K3792" t="s">
        <v>43</v>
      </c>
      <c r="L3792" t="s">
        <v>43</v>
      </c>
      <c r="M3792" t="s">
        <v>43</v>
      </c>
      <c r="N3792" t="s">
        <v>45</v>
      </c>
      <c r="O3792" t="s">
        <v>43</v>
      </c>
      <c r="P3792" t="s">
        <v>43</v>
      </c>
      <c r="Q3792" t="s">
        <v>43</v>
      </c>
      <c r="R3792" t="s">
        <v>43</v>
      </c>
      <c r="S3792" t="s">
        <v>43</v>
      </c>
      <c r="T3792" t="s">
        <v>43</v>
      </c>
      <c r="U3792" t="s">
        <v>43</v>
      </c>
      <c r="V3792" t="s">
        <v>43</v>
      </c>
      <c r="W3792" t="s">
        <v>43</v>
      </c>
      <c r="X3792" t="s">
        <v>43</v>
      </c>
      <c r="Y3792" t="s">
        <v>43</v>
      </c>
      <c r="Z3792" t="s">
        <v>43</v>
      </c>
      <c r="AA3792" t="s">
        <v>43</v>
      </c>
      <c r="AB3792" t="s">
        <v>43</v>
      </c>
      <c r="AC3792" t="s">
        <v>43</v>
      </c>
      <c r="AD3792" t="s">
        <v>43</v>
      </c>
      <c r="AE3792" t="s">
        <v>43</v>
      </c>
      <c r="AF3792" t="s">
        <v>43</v>
      </c>
      <c r="AG3792" t="s">
        <v>43</v>
      </c>
      <c r="AH3792" t="s">
        <v>43</v>
      </c>
      <c r="AI3792" t="s">
        <v>43</v>
      </c>
      <c r="AJ3792" t="s">
        <v>43</v>
      </c>
      <c r="AK3792" t="s">
        <v>43</v>
      </c>
      <c r="AL3792" t="s">
        <v>43</v>
      </c>
      <c r="AM3792" t="s">
        <v>43</v>
      </c>
      <c r="AN3792" t="str">
        <f>HYPERLINK("https://www.google.com/maps?q=10.76305962,79.69435883","Open Location")</f>
        <v>Open Location</v>
      </c>
    </row>
    <row r="3793" spans="1:40" x14ac:dyDescent="0.3">
      <c r="A3793" s="1">
        <v>46210.560648148145</v>
      </c>
      <c r="B3793" t="s">
        <v>40</v>
      </c>
      <c r="C3793" t="s">
        <v>41</v>
      </c>
      <c r="D3793" s="1">
        <v>46210.563564814816</v>
      </c>
      <c r="E3793" t="s">
        <v>42</v>
      </c>
      <c r="F3793" t="s">
        <v>43</v>
      </c>
      <c r="G3793" t="s">
        <v>43</v>
      </c>
      <c r="H3793" t="s">
        <v>43</v>
      </c>
      <c r="I3793" t="s">
        <v>43</v>
      </c>
      <c r="J3793" t="s">
        <v>43</v>
      </c>
      <c r="K3793" t="s">
        <v>43</v>
      </c>
      <c r="L3793" t="s">
        <v>43</v>
      </c>
      <c r="M3793" t="s">
        <v>43</v>
      </c>
      <c r="N3793" t="s">
        <v>45</v>
      </c>
      <c r="O3793" t="s">
        <v>43</v>
      </c>
      <c r="P3793" t="s">
        <v>43</v>
      </c>
      <c r="Q3793" t="s">
        <v>43</v>
      </c>
      <c r="R3793" t="s">
        <v>43</v>
      </c>
      <c r="S3793" t="s">
        <v>43</v>
      </c>
      <c r="T3793" t="s">
        <v>43</v>
      </c>
      <c r="U3793" t="s">
        <v>43</v>
      </c>
      <c r="V3793" t="s">
        <v>43</v>
      </c>
      <c r="W3793" t="s">
        <v>43</v>
      </c>
      <c r="X3793" t="s">
        <v>43</v>
      </c>
      <c r="Y3793" t="s">
        <v>43</v>
      </c>
      <c r="Z3793" t="s">
        <v>43</v>
      </c>
      <c r="AA3793" t="s">
        <v>43</v>
      </c>
      <c r="AB3793" t="s">
        <v>43</v>
      </c>
      <c r="AC3793" t="s">
        <v>43</v>
      </c>
      <c r="AD3793" t="s">
        <v>43</v>
      </c>
      <c r="AE3793" t="s">
        <v>43</v>
      </c>
      <c r="AF3793" t="s">
        <v>43</v>
      </c>
      <c r="AG3793" t="s">
        <v>43</v>
      </c>
      <c r="AH3793" t="s">
        <v>43</v>
      </c>
      <c r="AI3793" t="s">
        <v>43</v>
      </c>
      <c r="AJ3793" t="s">
        <v>43</v>
      </c>
      <c r="AK3793" t="s">
        <v>43</v>
      </c>
      <c r="AL3793" t="s">
        <v>43</v>
      </c>
      <c r="AM3793" t="s">
        <v>43</v>
      </c>
      <c r="AN3793" t="s">
        <v>43</v>
      </c>
    </row>
    <row r="3794" spans="1:40" x14ac:dyDescent="0.3">
      <c r="A3794" s="1">
        <v>46210.560532407406</v>
      </c>
      <c r="B3794" t="s">
        <v>40</v>
      </c>
      <c r="C3794" t="s">
        <v>41</v>
      </c>
      <c r="D3794" s="1">
        <v>46210.563622685186</v>
      </c>
      <c r="E3794" t="s">
        <v>42</v>
      </c>
      <c r="F3794" t="s">
        <v>43</v>
      </c>
      <c r="G3794" t="s">
        <v>43</v>
      </c>
      <c r="H3794" t="s">
        <v>43</v>
      </c>
      <c r="I3794" t="s">
        <v>2266</v>
      </c>
      <c r="J3794" t="s">
        <v>43</v>
      </c>
      <c r="K3794" t="s">
        <v>43</v>
      </c>
      <c r="L3794" t="s">
        <v>43</v>
      </c>
      <c r="M3794" t="s">
        <v>43</v>
      </c>
      <c r="N3794" t="s">
        <v>45</v>
      </c>
      <c r="O3794" t="s">
        <v>43</v>
      </c>
      <c r="P3794" t="s">
        <v>43</v>
      </c>
      <c r="Q3794" t="s">
        <v>43</v>
      </c>
      <c r="R3794" t="s">
        <v>43</v>
      </c>
      <c r="S3794" t="s">
        <v>43</v>
      </c>
      <c r="T3794" t="s">
        <v>43</v>
      </c>
      <c r="U3794" t="s">
        <v>43</v>
      </c>
      <c r="V3794" t="s">
        <v>43</v>
      </c>
      <c r="W3794" t="s">
        <v>43</v>
      </c>
      <c r="X3794" t="s">
        <v>43</v>
      </c>
      <c r="Y3794" t="s">
        <v>43</v>
      </c>
      <c r="Z3794" t="s">
        <v>43</v>
      </c>
      <c r="AA3794" t="s">
        <v>43</v>
      </c>
      <c r="AB3794" t="s">
        <v>43</v>
      </c>
      <c r="AC3794" t="s">
        <v>43</v>
      </c>
      <c r="AD3794" t="s">
        <v>43</v>
      </c>
      <c r="AE3794" t="s">
        <v>43</v>
      </c>
      <c r="AF3794" t="s">
        <v>43</v>
      </c>
      <c r="AG3794" t="s">
        <v>43</v>
      </c>
      <c r="AH3794" t="s">
        <v>43</v>
      </c>
      <c r="AI3794" t="s">
        <v>43</v>
      </c>
      <c r="AJ3794" t="s">
        <v>43</v>
      </c>
      <c r="AK3794" t="s">
        <v>43</v>
      </c>
      <c r="AL3794" t="s">
        <v>43</v>
      </c>
      <c r="AM3794" t="s">
        <v>43</v>
      </c>
      <c r="AN3794" t="str">
        <f>HYPERLINK("https://www.google.com/maps?q=10.76306343,79.69436646","Open Location")</f>
        <v>Open Location</v>
      </c>
    </row>
    <row r="3795" spans="1:40" x14ac:dyDescent="0.3">
      <c r="A3795" s="1">
        <v>46210.560416666667</v>
      </c>
      <c r="B3795" t="s">
        <v>40</v>
      </c>
      <c r="C3795" t="s">
        <v>41</v>
      </c>
      <c r="D3795" s="1">
        <v>46210.563287037039</v>
      </c>
      <c r="E3795" t="s">
        <v>42</v>
      </c>
      <c r="F3795" t="s">
        <v>43</v>
      </c>
      <c r="G3795" t="s">
        <v>43</v>
      </c>
      <c r="H3795" t="s">
        <v>43</v>
      </c>
      <c r="I3795" t="s">
        <v>2220</v>
      </c>
      <c r="J3795" t="s">
        <v>43</v>
      </c>
      <c r="K3795" t="s">
        <v>43</v>
      </c>
      <c r="L3795" t="s">
        <v>43</v>
      </c>
      <c r="M3795" t="s">
        <v>43</v>
      </c>
      <c r="N3795" t="s">
        <v>45</v>
      </c>
      <c r="O3795" t="s">
        <v>43</v>
      </c>
      <c r="P3795" t="s">
        <v>43</v>
      </c>
      <c r="Q3795" t="s">
        <v>43</v>
      </c>
      <c r="R3795" t="s">
        <v>43</v>
      </c>
      <c r="S3795" t="s">
        <v>43</v>
      </c>
      <c r="T3795" t="s">
        <v>43</v>
      </c>
      <c r="U3795" t="s">
        <v>43</v>
      </c>
      <c r="V3795" t="s">
        <v>43</v>
      </c>
      <c r="W3795" t="s">
        <v>43</v>
      </c>
      <c r="X3795" t="s">
        <v>43</v>
      </c>
      <c r="Y3795" t="s">
        <v>43</v>
      </c>
      <c r="Z3795" t="s">
        <v>43</v>
      </c>
      <c r="AA3795" t="s">
        <v>43</v>
      </c>
      <c r="AB3795" t="s">
        <v>43</v>
      </c>
      <c r="AC3795" t="s">
        <v>43</v>
      </c>
      <c r="AD3795" t="s">
        <v>43</v>
      </c>
      <c r="AE3795" t="s">
        <v>43</v>
      </c>
      <c r="AF3795" t="s">
        <v>43</v>
      </c>
      <c r="AG3795" t="s">
        <v>43</v>
      </c>
      <c r="AH3795" t="s">
        <v>43</v>
      </c>
      <c r="AI3795" t="s">
        <v>43</v>
      </c>
      <c r="AJ3795" t="s">
        <v>43</v>
      </c>
      <c r="AK3795" t="s">
        <v>43</v>
      </c>
      <c r="AL3795" t="s">
        <v>43</v>
      </c>
      <c r="AM3795" t="s">
        <v>43</v>
      </c>
      <c r="AN3795" t="str">
        <f>HYPERLINK("https://www.google.com/maps?q=10.76306725,79.69436646","Open Location")</f>
        <v>Open Location</v>
      </c>
    </row>
    <row r="3796" spans="1:40" x14ac:dyDescent="0.3">
      <c r="A3796" s="1">
        <v>46210.560300925928</v>
      </c>
      <c r="B3796" t="s">
        <v>40</v>
      </c>
      <c r="C3796" t="s">
        <v>41</v>
      </c>
      <c r="D3796" s="1">
        <v>46210.563530092593</v>
      </c>
      <c r="E3796" t="s">
        <v>42</v>
      </c>
      <c r="F3796" t="s">
        <v>43</v>
      </c>
      <c r="G3796" t="s">
        <v>43</v>
      </c>
      <c r="H3796" t="s">
        <v>43</v>
      </c>
      <c r="I3796" t="s">
        <v>2267</v>
      </c>
      <c r="J3796" t="s">
        <v>43</v>
      </c>
      <c r="K3796" t="s">
        <v>43</v>
      </c>
      <c r="L3796" t="s">
        <v>43</v>
      </c>
      <c r="M3796" t="s">
        <v>43</v>
      </c>
      <c r="N3796" t="s">
        <v>45</v>
      </c>
      <c r="O3796" t="s">
        <v>43</v>
      </c>
      <c r="P3796" t="s">
        <v>43</v>
      </c>
      <c r="Q3796" t="s">
        <v>43</v>
      </c>
      <c r="R3796" t="s">
        <v>43</v>
      </c>
      <c r="S3796" t="s">
        <v>43</v>
      </c>
      <c r="T3796" t="s">
        <v>43</v>
      </c>
      <c r="U3796" t="s">
        <v>43</v>
      </c>
      <c r="V3796" t="s">
        <v>43</v>
      </c>
      <c r="W3796" t="s">
        <v>43</v>
      </c>
      <c r="X3796" t="s">
        <v>43</v>
      </c>
      <c r="Y3796" t="s">
        <v>43</v>
      </c>
      <c r="Z3796" t="s">
        <v>43</v>
      </c>
      <c r="AA3796" t="s">
        <v>43</v>
      </c>
      <c r="AB3796" t="s">
        <v>43</v>
      </c>
      <c r="AC3796" t="s">
        <v>43</v>
      </c>
      <c r="AD3796" t="s">
        <v>43</v>
      </c>
      <c r="AE3796" t="s">
        <v>43</v>
      </c>
      <c r="AF3796" t="s">
        <v>43</v>
      </c>
      <c r="AG3796" t="s">
        <v>43</v>
      </c>
      <c r="AH3796" t="s">
        <v>43</v>
      </c>
      <c r="AI3796" t="s">
        <v>43</v>
      </c>
      <c r="AJ3796" t="s">
        <v>43</v>
      </c>
      <c r="AK3796" t="s">
        <v>43</v>
      </c>
      <c r="AL3796" t="s">
        <v>43</v>
      </c>
      <c r="AM3796" t="s">
        <v>43</v>
      </c>
      <c r="AN3796" t="str">
        <f>HYPERLINK("https://www.google.com/maps?q=10.76306438,79.69436646","Open Location")</f>
        <v>Open Location</v>
      </c>
    </row>
    <row r="3797" spans="1:40" x14ac:dyDescent="0.3">
      <c r="A3797" s="1">
        <v>46210.560185185182</v>
      </c>
      <c r="B3797" t="s">
        <v>40</v>
      </c>
      <c r="C3797" t="s">
        <v>41</v>
      </c>
      <c r="D3797" s="1">
        <v>46210.563148148147</v>
      </c>
      <c r="E3797" t="s">
        <v>42</v>
      </c>
      <c r="F3797" t="s">
        <v>43</v>
      </c>
      <c r="G3797" t="s">
        <v>43</v>
      </c>
      <c r="H3797" t="s">
        <v>43</v>
      </c>
      <c r="I3797" t="s">
        <v>2266</v>
      </c>
      <c r="J3797" t="s">
        <v>43</v>
      </c>
      <c r="K3797" t="s">
        <v>43</v>
      </c>
      <c r="L3797" t="s">
        <v>43</v>
      </c>
      <c r="M3797" t="s">
        <v>43</v>
      </c>
      <c r="N3797" t="s">
        <v>45</v>
      </c>
      <c r="O3797" t="s">
        <v>43</v>
      </c>
      <c r="P3797" t="s">
        <v>43</v>
      </c>
      <c r="Q3797" t="s">
        <v>43</v>
      </c>
      <c r="R3797" t="s">
        <v>43</v>
      </c>
      <c r="S3797" t="s">
        <v>43</v>
      </c>
      <c r="T3797" t="s">
        <v>43</v>
      </c>
      <c r="U3797" t="s">
        <v>43</v>
      </c>
      <c r="V3797" t="s">
        <v>43</v>
      </c>
      <c r="W3797" t="s">
        <v>43</v>
      </c>
      <c r="X3797" t="s">
        <v>43</v>
      </c>
      <c r="Y3797" t="s">
        <v>43</v>
      </c>
      <c r="Z3797" t="s">
        <v>43</v>
      </c>
      <c r="AA3797" t="s">
        <v>43</v>
      </c>
      <c r="AB3797" t="s">
        <v>43</v>
      </c>
      <c r="AC3797" t="s">
        <v>43</v>
      </c>
      <c r="AD3797" t="s">
        <v>43</v>
      </c>
      <c r="AE3797" t="s">
        <v>43</v>
      </c>
      <c r="AF3797" t="s">
        <v>43</v>
      </c>
      <c r="AG3797" t="s">
        <v>43</v>
      </c>
      <c r="AH3797" t="s">
        <v>43</v>
      </c>
      <c r="AI3797" t="s">
        <v>43</v>
      </c>
      <c r="AJ3797" t="s">
        <v>43</v>
      </c>
      <c r="AK3797" t="s">
        <v>43</v>
      </c>
      <c r="AL3797" t="s">
        <v>43</v>
      </c>
      <c r="AM3797" t="s">
        <v>43</v>
      </c>
      <c r="AN3797" t="str">
        <f>HYPERLINK("https://www.google.com/maps?q=10.76306343,79.69436646","Open Location")</f>
        <v>Open Location</v>
      </c>
    </row>
    <row r="3798" spans="1:40" x14ac:dyDescent="0.3">
      <c r="A3798" s="1">
        <v>46210.560069444444</v>
      </c>
      <c r="B3798" t="s">
        <v>40</v>
      </c>
      <c r="C3798" t="s">
        <v>41</v>
      </c>
      <c r="D3798" s="1">
        <v>46210.562997685185</v>
      </c>
      <c r="E3798" t="s">
        <v>42</v>
      </c>
      <c r="F3798" t="s">
        <v>43</v>
      </c>
      <c r="G3798" t="s">
        <v>43</v>
      </c>
      <c r="H3798" t="s">
        <v>43</v>
      </c>
      <c r="I3798" t="s">
        <v>43</v>
      </c>
      <c r="J3798" t="s">
        <v>43</v>
      </c>
      <c r="K3798" t="s">
        <v>43</v>
      </c>
      <c r="L3798" t="s">
        <v>43</v>
      </c>
      <c r="M3798" t="s">
        <v>43</v>
      </c>
      <c r="N3798" t="s">
        <v>45</v>
      </c>
      <c r="O3798" t="s">
        <v>43</v>
      </c>
      <c r="P3798" t="s">
        <v>43</v>
      </c>
      <c r="Q3798" t="s">
        <v>43</v>
      </c>
      <c r="R3798" t="s">
        <v>43</v>
      </c>
      <c r="S3798" t="s">
        <v>43</v>
      </c>
      <c r="T3798" t="s">
        <v>43</v>
      </c>
      <c r="U3798" t="s">
        <v>43</v>
      </c>
      <c r="V3798" t="s">
        <v>43</v>
      </c>
      <c r="W3798" t="s">
        <v>43</v>
      </c>
      <c r="X3798" t="s">
        <v>43</v>
      </c>
      <c r="Y3798" t="s">
        <v>43</v>
      </c>
      <c r="Z3798" t="s">
        <v>43</v>
      </c>
      <c r="AA3798" t="s">
        <v>43</v>
      </c>
      <c r="AB3798" t="s">
        <v>43</v>
      </c>
      <c r="AC3798" t="s">
        <v>43</v>
      </c>
      <c r="AD3798" t="s">
        <v>43</v>
      </c>
      <c r="AE3798" t="s">
        <v>43</v>
      </c>
      <c r="AF3798" t="s">
        <v>43</v>
      </c>
      <c r="AG3798" t="s">
        <v>43</v>
      </c>
      <c r="AH3798" t="s">
        <v>43</v>
      </c>
      <c r="AI3798" t="s">
        <v>43</v>
      </c>
      <c r="AJ3798" t="s">
        <v>43</v>
      </c>
      <c r="AK3798" t="s">
        <v>43</v>
      </c>
      <c r="AL3798" t="s">
        <v>43</v>
      </c>
      <c r="AM3798" t="s">
        <v>43</v>
      </c>
      <c r="AN3798" t="s">
        <v>43</v>
      </c>
    </row>
    <row r="3799" spans="1:40" x14ac:dyDescent="0.3">
      <c r="A3799" s="1">
        <v>46210.559953703705</v>
      </c>
      <c r="B3799" t="s">
        <v>40</v>
      </c>
      <c r="C3799" t="s">
        <v>41</v>
      </c>
      <c r="D3799" s="1">
        <v>46210.563055555554</v>
      </c>
      <c r="E3799" t="s">
        <v>42</v>
      </c>
      <c r="F3799" t="s">
        <v>43</v>
      </c>
      <c r="G3799" t="s">
        <v>43</v>
      </c>
      <c r="H3799" t="s">
        <v>43</v>
      </c>
      <c r="I3799" t="s">
        <v>2218</v>
      </c>
      <c r="J3799" t="s">
        <v>43</v>
      </c>
      <c r="K3799" t="s">
        <v>43</v>
      </c>
      <c r="L3799" t="s">
        <v>43</v>
      </c>
      <c r="M3799" t="s">
        <v>43</v>
      </c>
      <c r="N3799" t="s">
        <v>45</v>
      </c>
      <c r="O3799" t="s">
        <v>43</v>
      </c>
      <c r="P3799" t="s">
        <v>43</v>
      </c>
      <c r="Q3799" t="s">
        <v>43</v>
      </c>
      <c r="R3799" t="s">
        <v>43</v>
      </c>
      <c r="S3799" t="s">
        <v>43</v>
      </c>
      <c r="T3799" t="s">
        <v>43</v>
      </c>
      <c r="U3799" t="s">
        <v>43</v>
      </c>
      <c r="V3799" t="s">
        <v>43</v>
      </c>
      <c r="W3799" t="s">
        <v>43</v>
      </c>
      <c r="X3799" t="s">
        <v>43</v>
      </c>
      <c r="Y3799" t="s">
        <v>43</v>
      </c>
      <c r="Z3799" t="s">
        <v>43</v>
      </c>
      <c r="AA3799" t="s">
        <v>43</v>
      </c>
      <c r="AB3799" t="s">
        <v>43</v>
      </c>
      <c r="AC3799" t="s">
        <v>43</v>
      </c>
      <c r="AD3799" t="s">
        <v>43</v>
      </c>
      <c r="AE3799" t="s">
        <v>43</v>
      </c>
      <c r="AF3799" t="s">
        <v>43</v>
      </c>
      <c r="AG3799" t="s">
        <v>43</v>
      </c>
      <c r="AH3799" t="s">
        <v>43</v>
      </c>
      <c r="AI3799" t="s">
        <v>43</v>
      </c>
      <c r="AJ3799" t="s">
        <v>43</v>
      </c>
      <c r="AK3799" t="s">
        <v>43</v>
      </c>
      <c r="AL3799" t="s">
        <v>43</v>
      </c>
      <c r="AM3799" t="s">
        <v>43</v>
      </c>
      <c r="AN3799" t="str">
        <f>HYPERLINK("https://www.google.com/maps?q=10.76306534,79.69436646","Open Location")</f>
        <v>Open Location</v>
      </c>
    </row>
    <row r="3800" spans="1:40" x14ac:dyDescent="0.3">
      <c r="A3800" s="1">
        <v>46210.559837962966</v>
      </c>
      <c r="B3800" t="s">
        <v>40</v>
      </c>
      <c r="C3800" t="s">
        <v>41</v>
      </c>
      <c r="D3800" s="1">
        <v>46210.563055555554</v>
      </c>
      <c r="E3800" t="s">
        <v>42</v>
      </c>
      <c r="F3800" t="s">
        <v>43</v>
      </c>
      <c r="G3800" t="s">
        <v>43</v>
      </c>
      <c r="H3800" t="s">
        <v>43</v>
      </c>
      <c r="I3800" t="s">
        <v>2266</v>
      </c>
      <c r="J3800" t="s">
        <v>43</v>
      </c>
      <c r="K3800" t="s">
        <v>43</v>
      </c>
      <c r="L3800" t="s">
        <v>43</v>
      </c>
      <c r="M3800" t="s">
        <v>43</v>
      </c>
      <c r="N3800" t="s">
        <v>45</v>
      </c>
      <c r="O3800" t="s">
        <v>43</v>
      </c>
      <c r="P3800" t="s">
        <v>43</v>
      </c>
      <c r="Q3800" t="s">
        <v>43</v>
      </c>
      <c r="R3800" t="s">
        <v>43</v>
      </c>
      <c r="S3800" t="s">
        <v>43</v>
      </c>
      <c r="T3800" t="s">
        <v>43</v>
      </c>
      <c r="U3800" t="s">
        <v>43</v>
      </c>
      <c r="V3800" t="s">
        <v>43</v>
      </c>
      <c r="W3800" t="s">
        <v>43</v>
      </c>
      <c r="X3800" t="s">
        <v>43</v>
      </c>
      <c r="Y3800" t="s">
        <v>43</v>
      </c>
      <c r="Z3800" t="s">
        <v>43</v>
      </c>
      <c r="AA3800" t="s">
        <v>43</v>
      </c>
      <c r="AB3800" t="s">
        <v>43</v>
      </c>
      <c r="AC3800" t="s">
        <v>43</v>
      </c>
      <c r="AD3800" t="s">
        <v>43</v>
      </c>
      <c r="AE3800" t="s">
        <v>43</v>
      </c>
      <c r="AF3800" t="s">
        <v>43</v>
      </c>
      <c r="AG3800" t="s">
        <v>43</v>
      </c>
      <c r="AH3800" t="s">
        <v>43</v>
      </c>
      <c r="AI3800" t="s">
        <v>43</v>
      </c>
      <c r="AJ3800" t="s">
        <v>43</v>
      </c>
      <c r="AK3800" t="s">
        <v>43</v>
      </c>
      <c r="AL3800" t="s">
        <v>43</v>
      </c>
      <c r="AM3800" t="s">
        <v>43</v>
      </c>
      <c r="AN3800" t="str">
        <f>HYPERLINK("https://www.google.com/maps?q=10.76306343,79.69436646","Open Location")</f>
        <v>Open Location</v>
      </c>
    </row>
    <row r="3801" spans="1:40" x14ac:dyDescent="0.3">
      <c r="A3801" s="1">
        <v>46210.55972222222</v>
      </c>
      <c r="B3801" t="s">
        <v>40</v>
      </c>
      <c r="C3801" t="s">
        <v>41</v>
      </c>
      <c r="D3801" s="1">
        <v>46210.563171296293</v>
      </c>
      <c r="E3801" t="s">
        <v>42</v>
      </c>
      <c r="F3801" t="s">
        <v>43</v>
      </c>
      <c r="G3801" t="s">
        <v>43</v>
      </c>
      <c r="H3801" t="s">
        <v>43</v>
      </c>
      <c r="I3801" t="s">
        <v>2268</v>
      </c>
      <c r="J3801" t="s">
        <v>43</v>
      </c>
      <c r="K3801" t="s">
        <v>43</v>
      </c>
      <c r="L3801" t="s">
        <v>43</v>
      </c>
      <c r="M3801" t="s">
        <v>43</v>
      </c>
      <c r="N3801" t="s">
        <v>45</v>
      </c>
      <c r="O3801" t="s">
        <v>43</v>
      </c>
      <c r="P3801" t="s">
        <v>43</v>
      </c>
      <c r="Q3801" t="s">
        <v>43</v>
      </c>
      <c r="R3801" t="s">
        <v>43</v>
      </c>
      <c r="S3801" t="s">
        <v>43</v>
      </c>
      <c r="T3801" t="s">
        <v>43</v>
      </c>
      <c r="U3801" t="s">
        <v>43</v>
      </c>
      <c r="V3801" t="s">
        <v>43</v>
      </c>
      <c r="W3801" t="s">
        <v>43</v>
      </c>
      <c r="X3801" t="s">
        <v>43</v>
      </c>
      <c r="Y3801" t="s">
        <v>43</v>
      </c>
      <c r="Z3801" t="s">
        <v>43</v>
      </c>
      <c r="AA3801" t="s">
        <v>43</v>
      </c>
      <c r="AB3801" t="s">
        <v>43</v>
      </c>
      <c r="AC3801" t="s">
        <v>43</v>
      </c>
      <c r="AD3801" t="s">
        <v>43</v>
      </c>
      <c r="AE3801" t="s">
        <v>43</v>
      </c>
      <c r="AF3801" t="s">
        <v>43</v>
      </c>
      <c r="AG3801" t="s">
        <v>43</v>
      </c>
      <c r="AH3801" t="s">
        <v>43</v>
      </c>
      <c r="AI3801" t="s">
        <v>43</v>
      </c>
      <c r="AJ3801" t="s">
        <v>43</v>
      </c>
      <c r="AK3801" t="s">
        <v>43</v>
      </c>
      <c r="AL3801" t="s">
        <v>43</v>
      </c>
      <c r="AM3801" t="s">
        <v>43</v>
      </c>
      <c r="AN3801" t="str">
        <f>HYPERLINK("https://www.google.com/maps?q=10.76306152,79.69436646","Open Location")</f>
        <v>Open Location</v>
      </c>
    </row>
    <row r="3802" spans="1:40" x14ac:dyDescent="0.3">
      <c r="A3802" s="1">
        <v>46210.559606481482</v>
      </c>
      <c r="B3802" t="s">
        <v>40</v>
      </c>
      <c r="C3802" t="s">
        <v>41</v>
      </c>
      <c r="D3802" s="1">
        <v>46210.563171296293</v>
      </c>
      <c r="E3802" t="s">
        <v>42</v>
      </c>
      <c r="F3802" t="s">
        <v>43</v>
      </c>
      <c r="G3802" t="s">
        <v>43</v>
      </c>
      <c r="H3802" t="s">
        <v>43</v>
      </c>
      <c r="I3802" t="s">
        <v>2266</v>
      </c>
      <c r="J3802" t="s">
        <v>43</v>
      </c>
      <c r="K3802" t="s">
        <v>43</v>
      </c>
      <c r="L3802" t="s">
        <v>43</v>
      </c>
      <c r="M3802" t="s">
        <v>43</v>
      </c>
      <c r="N3802" t="s">
        <v>45</v>
      </c>
      <c r="O3802" t="s">
        <v>43</v>
      </c>
      <c r="P3802" t="s">
        <v>43</v>
      </c>
      <c r="Q3802" t="s">
        <v>43</v>
      </c>
      <c r="R3802" t="s">
        <v>43</v>
      </c>
      <c r="S3802" t="s">
        <v>43</v>
      </c>
      <c r="T3802" t="s">
        <v>43</v>
      </c>
      <c r="U3802" t="s">
        <v>43</v>
      </c>
      <c r="V3802" t="s">
        <v>43</v>
      </c>
      <c r="W3802" t="s">
        <v>43</v>
      </c>
      <c r="X3802" t="s">
        <v>43</v>
      </c>
      <c r="Y3802" t="s">
        <v>43</v>
      </c>
      <c r="Z3802" t="s">
        <v>43</v>
      </c>
      <c r="AA3802" t="s">
        <v>43</v>
      </c>
      <c r="AB3802" t="s">
        <v>43</v>
      </c>
      <c r="AC3802" t="s">
        <v>43</v>
      </c>
      <c r="AD3802" t="s">
        <v>43</v>
      </c>
      <c r="AE3802" t="s">
        <v>43</v>
      </c>
      <c r="AF3802" t="s">
        <v>43</v>
      </c>
      <c r="AG3802" t="s">
        <v>43</v>
      </c>
      <c r="AH3802" t="s">
        <v>43</v>
      </c>
      <c r="AI3802" t="s">
        <v>43</v>
      </c>
      <c r="AJ3802" t="s">
        <v>43</v>
      </c>
      <c r="AK3802" t="s">
        <v>43</v>
      </c>
      <c r="AL3802" t="s">
        <v>43</v>
      </c>
      <c r="AM3802" t="s">
        <v>43</v>
      </c>
      <c r="AN3802" t="str">
        <f>HYPERLINK("https://www.google.com/maps?q=10.76306343,79.69436646","Open Location")</f>
        <v>Open Location</v>
      </c>
    </row>
    <row r="3803" spans="1:40" x14ac:dyDescent="0.3">
      <c r="A3803" s="1">
        <v>46210.559490740743</v>
      </c>
      <c r="B3803" t="s">
        <v>40</v>
      </c>
      <c r="C3803" t="s">
        <v>41</v>
      </c>
      <c r="D3803" s="1">
        <v>46210.562754629631</v>
      </c>
      <c r="E3803" t="s">
        <v>42</v>
      </c>
      <c r="F3803" t="s">
        <v>43</v>
      </c>
      <c r="G3803" t="s">
        <v>43</v>
      </c>
      <c r="H3803" t="s">
        <v>43</v>
      </c>
      <c r="I3803" t="s">
        <v>2268</v>
      </c>
      <c r="J3803" t="s">
        <v>43</v>
      </c>
      <c r="K3803" t="s">
        <v>43</v>
      </c>
      <c r="L3803" t="s">
        <v>43</v>
      </c>
      <c r="M3803" t="s">
        <v>43</v>
      </c>
      <c r="N3803" t="s">
        <v>45</v>
      </c>
      <c r="O3803" t="s">
        <v>43</v>
      </c>
      <c r="P3803" t="s">
        <v>43</v>
      </c>
      <c r="Q3803" t="s">
        <v>43</v>
      </c>
      <c r="R3803" t="s">
        <v>43</v>
      </c>
      <c r="S3803" t="s">
        <v>43</v>
      </c>
      <c r="T3803" t="s">
        <v>43</v>
      </c>
      <c r="U3803" t="s">
        <v>43</v>
      </c>
      <c r="V3803" t="s">
        <v>43</v>
      </c>
      <c r="W3803" t="s">
        <v>43</v>
      </c>
      <c r="X3803" t="s">
        <v>43</v>
      </c>
      <c r="Y3803" t="s">
        <v>43</v>
      </c>
      <c r="Z3803" t="s">
        <v>43</v>
      </c>
      <c r="AA3803" t="s">
        <v>43</v>
      </c>
      <c r="AB3803" t="s">
        <v>43</v>
      </c>
      <c r="AC3803" t="s">
        <v>43</v>
      </c>
      <c r="AD3803" t="s">
        <v>43</v>
      </c>
      <c r="AE3803" t="s">
        <v>43</v>
      </c>
      <c r="AF3803" t="s">
        <v>43</v>
      </c>
      <c r="AG3803" t="s">
        <v>43</v>
      </c>
      <c r="AH3803" t="s">
        <v>43</v>
      </c>
      <c r="AI3803" t="s">
        <v>43</v>
      </c>
      <c r="AJ3803" t="s">
        <v>43</v>
      </c>
      <c r="AK3803" t="s">
        <v>43</v>
      </c>
      <c r="AL3803" t="s">
        <v>43</v>
      </c>
      <c r="AM3803" t="s">
        <v>43</v>
      </c>
      <c r="AN3803" t="str">
        <f>HYPERLINK("https://www.google.com/maps?q=10.76306152,79.69436646","Open Location")</f>
        <v>Open Location</v>
      </c>
    </row>
    <row r="3804" spans="1:40" x14ac:dyDescent="0.3">
      <c r="A3804" s="1">
        <v>46210.559374999997</v>
      </c>
      <c r="B3804" t="s">
        <v>40</v>
      </c>
      <c r="C3804" t="s">
        <v>41</v>
      </c>
      <c r="D3804" s="1">
        <v>46210.562638888892</v>
      </c>
      <c r="E3804" t="s">
        <v>42</v>
      </c>
      <c r="F3804" t="s">
        <v>43</v>
      </c>
      <c r="G3804" t="s">
        <v>43</v>
      </c>
      <c r="H3804" t="s">
        <v>43</v>
      </c>
      <c r="I3804" t="s">
        <v>43</v>
      </c>
      <c r="J3804" t="s">
        <v>43</v>
      </c>
      <c r="K3804" t="s">
        <v>43</v>
      </c>
      <c r="L3804" t="s">
        <v>43</v>
      </c>
      <c r="M3804" t="s">
        <v>43</v>
      </c>
      <c r="N3804" t="s">
        <v>45</v>
      </c>
      <c r="O3804" t="s">
        <v>43</v>
      </c>
      <c r="P3804" t="s">
        <v>43</v>
      </c>
      <c r="Q3804" t="s">
        <v>43</v>
      </c>
      <c r="R3804" t="s">
        <v>43</v>
      </c>
      <c r="S3804" t="s">
        <v>43</v>
      </c>
      <c r="T3804" t="s">
        <v>43</v>
      </c>
      <c r="U3804" t="s">
        <v>43</v>
      </c>
      <c r="V3804" t="s">
        <v>43</v>
      </c>
      <c r="W3804" t="s">
        <v>43</v>
      </c>
      <c r="X3804" t="s">
        <v>43</v>
      </c>
      <c r="Y3804" t="s">
        <v>43</v>
      </c>
      <c r="Z3804" t="s">
        <v>43</v>
      </c>
      <c r="AA3804" t="s">
        <v>43</v>
      </c>
      <c r="AB3804" t="s">
        <v>43</v>
      </c>
      <c r="AC3804" t="s">
        <v>43</v>
      </c>
      <c r="AD3804" t="s">
        <v>43</v>
      </c>
      <c r="AE3804" t="s">
        <v>43</v>
      </c>
      <c r="AF3804" t="s">
        <v>43</v>
      </c>
      <c r="AG3804" t="s">
        <v>43</v>
      </c>
      <c r="AH3804" t="s">
        <v>43</v>
      </c>
      <c r="AI3804" t="s">
        <v>43</v>
      </c>
      <c r="AJ3804" t="s">
        <v>43</v>
      </c>
      <c r="AK3804" t="s">
        <v>43</v>
      </c>
      <c r="AL3804" t="s">
        <v>43</v>
      </c>
      <c r="AM3804" t="s">
        <v>43</v>
      </c>
      <c r="AN3804" t="s">
        <v>43</v>
      </c>
    </row>
    <row r="3805" spans="1:40" x14ac:dyDescent="0.3">
      <c r="A3805" s="1">
        <v>46210.559259259258</v>
      </c>
      <c r="B3805" t="s">
        <v>40</v>
      </c>
      <c r="C3805" t="s">
        <v>41</v>
      </c>
      <c r="D3805" s="1">
        <v>46210.562268518515</v>
      </c>
      <c r="E3805" t="s">
        <v>42</v>
      </c>
      <c r="F3805" t="s">
        <v>43</v>
      </c>
      <c r="G3805" t="s">
        <v>43</v>
      </c>
      <c r="H3805" t="s">
        <v>43</v>
      </c>
      <c r="I3805" t="s">
        <v>2220</v>
      </c>
      <c r="J3805" t="s">
        <v>43</v>
      </c>
      <c r="K3805" t="s">
        <v>43</v>
      </c>
      <c r="L3805" t="s">
        <v>43</v>
      </c>
      <c r="M3805" t="s">
        <v>43</v>
      </c>
      <c r="N3805" t="s">
        <v>45</v>
      </c>
      <c r="O3805" t="s">
        <v>43</v>
      </c>
      <c r="P3805" t="s">
        <v>43</v>
      </c>
      <c r="Q3805" t="s">
        <v>43</v>
      </c>
      <c r="R3805" t="s">
        <v>43</v>
      </c>
      <c r="S3805" t="s">
        <v>43</v>
      </c>
      <c r="T3805" t="s">
        <v>43</v>
      </c>
      <c r="U3805" t="s">
        <v>43</v>
      </c>
      <c r="V3805" t="s">
        <v>43</v>
      </c>
      <c r="W3805" t="s">
        <v>43</v>
      </c>
      <c r="X3805" t="s">
        <v>43</v>
      </c>
      <c r="Y3805" t="s">
        <v>43</v>
      </c>
      <c r="Z3805" t="s">
        <v>43</v>
      </c>
      <c r="AA3805" t="s">
        <v>43</v>
      </c>
      <c r="AB3805" t="s">
        <v>43</v>
      </c>
      <c r="AC3805" t="s">
        <v>43</v>
      </c>
      <c r="AD3805" t="s">
        <v>43</v>
      </c>
      <c r="AE3805" t="s">
        <v>43</v>
      </c>
      <c r="AF3805" t="s">
        <v>43</v>
      </c>
      <c r="AG3805" t="s">
        <v>43</v>
      </c>
      <c r="AH3805" t="s">
        <v>43</v>
      </c>
      <c r="AI3805" t="s">
        <v>43</v>
      </c>
      <c r="AJ3805" t="s">
        <v>43</v>
      </c>
      <c r="AK3805" t="s">
        <v>43</v>
      </c>
      <c r="AL3805" t="s">
        <v>43</v>
      </c>
      <c r="AM3805" t="s">
        <v>43</v>
      </c>
      <c r="AN3805" t="str">
        <f>HYPERLINK("https://www.google.com/maps?q=10.76306725,79.69436646","Open Location")</f>
        <v>Open Location</v>
      </c>
    </row>
    <row r="3806" spans="1:40" x14ac:dyDescent="0.3">
      <c r="A3806" s="1">
        <v>46210.55914351852</v>
      </c>
      <c r="B3806" t="s">
        <v>40</v>
      </c>
      <c r="C3806" t="s">
        <v>41</v>
      </c>
      <c r="D3806" s="1">
        <v>46210.562407407408</v>
      </c>
      <c r="E3806" t="s">
        <v>42</v>
      </c>
      <c r="F3806" t="s">
        <v>43</v>
      </c>
      <c r="G3806" t="s">
        <v>43</v>
      </c>
      <c r="H3806" t="s">
        <v>43</v>
      </c>
      <c r="I3806" t="s">
        <v>2220</v>
      </c>
      <c r="J3806" t="s">
        <v>43</v>
      </c>
      <c r="K3806" t="s">
        <v>43</v>
      </c>
      <c r="L3806" t="s">
        <v>43</v>
      </c>
      <c r="M3806" t="s">
        <v>43</v>
      </c>
      <c r="N3806" t="s">
        <v>45</v>
      </c>
      <c r="O3806" t="s">
        <v>43</v>
      </c>
      <c r="P3806" t="s">
        <v>43</v>
      </c>
      <c r="Q3806" t="s">
        <v>43</v>
      </c>
      <c r="R3806" t="s">
        <v>43</v>
      </c>
      <c r="S3806" t="s">
        <v>43</v>
      </c>
      <c r="T3806" t="s">
        <v>43</v>
      </c>
      <c r="U3806" t="s">
        <v>43</v>
      </c>
      <c r="V3806" t="s">
        <v>43</v>
      </c>
      <c r="W3806" t="s">
        <v>43</v>
      </c>
      <c r="X3806" t="s">
        <v>43</v>
      </c>
      <c r="Y3806" t="s">
        <v>43</v>
      </c>
      <c r="Z3806" t="s">
        <v>43</v>
      </c>
      <c r="AA3806" t="s">
        <v>43</v>
      </c>
      <c r="AB3806" t="s">
        <v>43</v>
      </c>
      <c r="AC3806" t="s">
        <v>43</v>
      </c>
      <c r="AD3806" t="s">
        <v>43</v>
      </c>
      <c r="AE3806" t="s">
        <v>43</v>
      </c>
      <c r="AF3806" t="s">
        <v>43</v>
      </c>
      <c r="AG3806" t="s">
        <v>43</v>
      </c>
      <c r="AH3806" t="s">
        <v>43</v>
      </c>
      <c r="AI3806" t="s">
        <v>43</v>
      </c>
      <c r="AJ3806" t="s">
        <v>43</v>
      </c>
      <c r="AK3806" t="s">
        <v>43</v>
      </c>
      <c r="AL3806" t="s">
        <v>43</v>
      </c>
      <c r="AM3806" t="s">
        <v>43</v>
      </c>
      <c r="AN3806" t="str">
        <f>HYPERLINK("https://www.google.com/maps?q=10.76306725,79.69436646","Open Location")</f>
        <v>Open Location</v>
      </c>
    </row>
    <row r="3807" spans="1:40" x14ac:dyDescent="0.3">
      <c r="A3807" s="1">
        <v>46210.559027777781</v>
      </c>
      <c r="B3807" t="s">
        <v>40</v>
      </c>
      <c r="C3807" t="s">
        <v>41</v>
      </c>
      <c r="D3807" s="1">
        <v>46210.562754629631</v>
      </c>
      <c r="E3807" t="s">
        <v>42</v>
      </c>
      <c r="F3807" t="s">
        <v>43</v>
      </c>
      <c r="G3807" t="s">
        <v>43</v>
      </c>
      <c r="H3807" t="s">
        <v>43</v>
      </c>
      <c r="I3807" t="s">
        <v>2217</v>
      </c>
      <c r="J3807" t="s">
        <v>43</v>
      </c>
      <c r="K3807" t="s">
        <v>43</v>
      </c>
      <c r="L3807" t="s">
        <v>43</v>
      </c>
      <c r="M3807" t="s">
        <v>43</v>
      </c>
      <c r="N3807" t="s">
        <v>45</v>
      </c>
      <c r="O3807" t="s">
        <v>43</v>
      </c>
      <c r="P3807" t="s">
        <v>43</v>
      </c>
      <c r="Q3807" t="s">
        <v>43</v>
      </c>
      <c r="R3807" t="s">
        <v>43</v>
      </c>
      <c r="S3807" t="s">
        <v>43</v>
      </c>
      <c r="T3807" t="s">
        <v>43</v>
      </c>
      <c r="U3807" t="s">
        <v>43</v>
      </c>
      <c r="V3807" t="s">
        <v>43</v>
      </c>
      <c r="W3807" t="s">
        <v>43</v>
      </c>
      <c r="X3807" t="s">
        <v>43</v>
      </c>
      <c r="Y3807" t="s">
        <v>43</v>
      </c>
      <c r="Z3807" t="s">
        <v>43</v>
      </c>
      <c r="AA3807" t="s">
        <v>43</v>
      </c>
      <c r="AB3807" t="s">
        <v>43</v>
      </c>
      <c r="AC3807" t="s">
        <v>43</v>
      </c>
      <c r="AD3807" t="s">
        <v>43</v>
      </c>
      <c r="AE3807" t="s">
        <v>43</v>
      </c>
      <c r="AF3807" t="s">
        <v>43</v>
      </c>
      <c r="AG3807" t="s">
        <v>43</v>
      </c>
      <c r="AH3807" t="s">
        <v>43</v>
      </c>
      <c r="AI3807" t="s">
        <v>43</v>
      </c>
      <c r="AJ3807" t="s">
        <v>43</v>
      </c>
      <c r="AK3807" t="s">
        <v>43</v>
      </c>
      <c r="AL3807" t="s">
        <v>43</v>
      </c>
      <c r="AM3807" t="s">
        <v>43</v>
      </c>
      <c r="AN3807" t="str">
        <f>HYPERLINK("https://www.google.com/maps?q=10.76306725,79.69437408","Open Location")</f>
        <v>Open Location</v>
      </c>
    </row>
    <row r="3808" spans="1:40" x14ac:dyDescent="0.3">
      <c r="A3808" s="1">
        <v>46210.558912037035</v>
      </c>
      <c r="B3808" t="s">
        <v>40</v>
      </c>
      <c r="C3808" t="s">
        <v>41</v>
      </c>
      <c r="D3808" s="1">
        <v>46210.562627314815</v>
      </c>
      <c r="E3808" t="s">
        <v>42</v>
      </c>
      <c r="F3808" t="s">
        <v>43</v>
      </c>
      <c r="G3808" t="s">
        <v>43</v>
      </c>
      <c r="H3808" t="s">
        <v>43</v>
      </c>
      <c r="I3808" t="s">
        <v>2242</v>
      </c>
      <c r="J3808" t="s">
        <v>43</v>
      </c>
      <c r="K3808" t="s">
        <v>43</v>
      </c>
      <c r="L3808" t="s">
        <v>43</v>
      </c>
      <c r="M3808" t="s">
        <v>43</v>
      </c>
      <c r="N3808" t="s">
        <v>45</v>
      </c>
      <c r="O3808" t="s">
        <v>43</v>
      </c>
      <c r="P3808" t="s">
        <v>43</v>
      </c>
      <c r="Q3808" t="s">
        <v>43</v>
      </c>
      <c r="R3808" t="s">
        <v>43</v>
      </c>
      <c r="S3808" t="s">
        <v>43</v>
      </c>
      <c r="T3808" t="s">
        <v>43</v>
      </c>
      <c r="U3808" t="s">
        <v>43</v>
      </c>
      <c r="V3808" t="s">
        <v>43</v>
      </c>
      <c r="W3808" t="s">
        <v>43</v>
      </c>
      <c r="X3808" t="s">
        <v>43</v>
      </c>
      <c r="Y3808" t="s">
        <v>43</v>
      </c>
      <c r="Z3808" t="s">
        <v>43</v>
      </c>
      <c r="AA3808" t="s">
        <v>43</v>
      </c>
      <c r="AB3808" t="s">
        <v>43</v>
      </c>
      <c r="AC3808" t="s">
        <v>43</v>
      </c>
      <c r="AD3808" t="s">
        <v>43</v>
      </c>
      <c r="AE3808" t="s">
        <v>43</v>
      </c>
      <c r="AF3808" t="s">
        <v>43</v>
      </c>
      <c r="AG3808" t="s">
        <v>43</v>
      </c>
      <c r="AH3808" t="s">
        <v>43</v>
      </c>
      <c r="AI3808" t="s">
        <v>43</v>
      </c>
      <c r="AJ3808" t="s">
        <v>43</v>
      </c>
      <c r="AK3808" t="s">
        <v>43</v>
      </c>
      <c r="AL3808" t="s">
        <v>43</v>
      </c>
      <c r="AM3808" t="s">
        <v>43</v>
      </c>
      <c r="AN3808" t="str">
        <f>HYPERLINK("https://www.google.com/maps?q=10.76306534,79.69437408","Open Location")</f>
        <v>Open Location</v>
      </c>
    </row>
    <row r="3809" spans="1:40" x14ac:dyDescent="0.3">
      <c r="A3809" s="1">
        <v>46210.558796296296</v>
      </c>
      <c r="B3809" t="s">
        <v>40</v>
      </c>
      <c r="C3809" t="s">
        <v>41</v>
      </c>
      <c r="D3809" s="1">
        <v>46210.562685185185</v>
      </c>
      <c r="E3809" t="s">
        <v>42</v>
      </c>
      <c r="F3809" t="s">
        <v>43</v>
      </c>
      <c r="G3809" t="s">
        <v>43</v>
      </c>
      <c r="H3809" t="s">
        <v>43</v>
      </c>
      <c r="I3809" t="s">
        <v>2217</v>
      </c>
      <c r="J3809" t="s">
        <v>43</v>
      </c>
      <c r="K3809" t="s">
        <v>43</v>
      </c>
      <c r="L3809" t="s">
        <v>43</v>
      </c>
      <c r="M3809" t="s">
        <v>43</v>
      </c>
      <c r="N3809" t="s">
        <v>45</v>
      </c>
      <c r="O3809" t="s">
        <v>43</v>
      </c>
      <c r="P3809" t="s">
        <v>43</v>
      </c>
      <c r="Q3809" t="s">
        <v>43</v>
      </c>
      <c r="R3809" t="s">
        <v>43</v>
      </c>
      <c r="S3809" t="s">
        <v>43</v>
      </c>
      <c r="T3809" t="s">
        <v>43</v>
      </c>
      <c r="U3809" t="s">
        <v>43</v>
      </c>
      <c r="V3809" t="s">
        <v>43</v>
      </c>
      <c r="W3809" t="s">
        <v>43</v>
      </c>
      <c r="X3809" t="s">
        <v>43</v>
      </c>
      <c r="Y3809" t="s">
        <v>43</v>
      </c>
      <c r="Z3809" t="s">
        <v>43</v>
      </c>
      <c r="AA3809" t="s">
        <v>43</v>
      </c>
      <c r="AB3809" t="s">
        <v>43</v>
      </c>
      <c r="AC3809" t="s">
        <v>43</v>
      </c>
      <c r="AD3809" t="s">
        <v>43</v>
      </c>
      <c r="AE3809" t="s">
        <v>43</v>
      </c>
      <c r="AF3809" t="s">
        <v>43</v>
      </c>
      <c r="AG3809" t="s">
        <v>43</v>
      </c>
      <c r="AH3809" t="s">
        <v>43</v>
      </c>
      <c r="AI3809" t="s">
        <v>43</v>
      </c>
      <c r="AJ3809" t="s">
        <v>43</v>
      </c>
      <c r="AK3809" t="s">
        <v>43</v>
      </c>
      <c r="AL3809" t="s">
        <v>43</v>
      </c>
      <c r="AM3809" t="s">
        <v>43</v>
      </c>
      <c r="AN3809" t="str">
        <f>HYPERLINK("https://www.google.com/maps?q=10.76306725,79.69437408","Open Location")</f>
        <v>Open Location</v>
      </c>
    </row>
    <row r="3810" spans="1:40" x14ac:dyDescent="0.3">
      <c r="A3810" s="1">
        <v>46210.558680555558</v>
      </c>
      <c r="B3810" t="s">
        <v>40</v>
      </c>
      <c r="C3810" t="s">
        <v>41</v>
      </c>
      <c r="D3810" s="1">
        <v>46210.562627314815</v>
      </c>
      <c r="E3810" t="s">
        <v>42</v>
      </c>
      <c r="F3810" t="s">
        <v>43</v>
      </c>
      <c r="G3810" t="s">
        <v>43</v>
      </c>
      <c r="H3810" t="s">
        <v>43</v>
      </c>
      <c r="I3810" t="s">
        <v>43</v>
      </c>
      <c r="J3810" t="s">
        <v>43</v>
      </c>
      <c r="K3810" t="s">
        <v>43</v>
      </c>
      <c r="L3810" t="s">
        <v>43</v>
      </c>
      <c r="M3810" t="s">
        <v>43</v>
      </c>
      <c r="N3810" t="s">
        <v>45</v>
      </c>
      <c r="O3810" t="s">
        <v>43</v>
      </c>
      <c r="P3810" t="s">
        <v>43</v>
      </c>
      <c r="Q3810" t="s">
        <v>43</v>
      </c>
      <c r="R3810" t="s">
        <v>43</v>
      </c>
      <c r="S3810" t="s">
        <v>43</v>
      </c>
      <c r="T3810" t="s">
        <v>43</v>
      </c>
      <c r="U3810" t="s">
        <v>43</v>
      </c>
      <c r="V3810" t="s">
        <v>43</v>
      </c>
      <c r="W3810" t="s">
        <v>43</v>
      </c>
      <c r="X3810" t="s">
        <v>43</v>
      </c>
      <c r="Y3810" t="s">
        <v>43</v>
      </c>
      <c r="Z3810" t="s">
        <v>43</v>
      </c>
      <c r="AA3810" t="s">
        <v>43</v>
      </c>
      <c r="AB3810" t="s">
        <v>43</v>
      </c>
      <c r="AC3810" t="s">
        <v>43</v>
      </c>
      <c r="AD3810" t="s">
        <v>43</v>
      </c>
      <c r="AE3810" t="s">
        <v>43</v>
      </c>
      <c r="AF3810" t="s">
        <v>43</v>
      </c>
      <c r="AG3810" t="s">
        <v>43</v>
      </c>
      <c r="AH3810" t="s">
        <v>43</v>
      </c>
      <c r="AI3810" t="s">
        <v>43</v>
      </c>
      <c r="AJ3810" t="s">
        <v>43</v>
      </c>
      <c r="AK3810" t="s">
        <v>43</v>
      </c>
      <c r="AL3810" t="s">
        <v>43</v>
      </c>
      <c r="AM3810" t="s">
        <v>43</v>
      </c>
      <c r="AN3810" t="s">
        <v>43</v>
      </c>
    </row>
    <row r="3811" spans="1:40" x14ac:dyDescent="0.3">
      <c r="A3811" s="1">
        <v>46210.558564814812</v>
      </c>
      <c r="B3811" t="s">
        <v>40</v>
      </c>
      <c r="C3811" t="s">
        <v>41</v>
      </c>
      <c r="D3811" s="1">
        <v>46210.561493055553</v>
      </c>
      <c r="E3811" t="s">
        <v>42</v>
      </c>
      <c r="F3811" t="s">
        <v>43</v>
      </c>
      <c r="G3811" t="s">
        <v>43</v>
      </c>
      <c r="H3811" t="s">
        <v>43</v>
      </c>
      <c r="I3811" t="s">
        <v>2217</v>
      </c>
      <c r="J3811" t="s">
        <v>43</v>
      </c>
      <c r="K3811" t="s">
        <v>43</v>
      </c>
      <c r="L3811" t="s">
        <v>43</v>
      </c>
      <c r="M3811" t="s">
        <v>43</v>
      </c>
      <c r="N3811" t="s">
        <v>45</v>
      </c>
      <c r="O3811" t="s">
        <v>43</v>
      </c>
      <c r="P3811" t="s">
        <v>43</v>
      </c>
      <c r="Q3811" t="s">
        <v>43</v>
      </c>
      <c r="R3811" t="s">
        <v>43</v>
      </c>
      <c r="S3811" t="s">
        <v>43</v>
      </c>
      <c r="T3811" t="s">
        <v>43</v>
      </c>
      <c r="U3811" t="s">
        <v>43</v>
      </c>
      <c r="V3811" t="s">
        <v>43</v>
      </c>
      <c r="W3811" t="s">
        <v>43</v>
      </c>
      <c r="X3811" t="s">
        <v>43</v>
      </c>
      <c r="Y3811" t="s">
        <v>43</v>
      </c>
      <c r="Z3811" t="s">
        <v>43</v>
      </c>
      <c r="AA3811" t="s">
        <v>43</v>
      </c>
      <c r="AB3811" t="s">
        <v>43</v>
      </c>
      <c r="AC3811" t="s">
        <v>43</v>
      </c>
      <c r="AD3811" t="s">
        <v>43</v>
      </c>
      <c r="AE3811" t="s">
        <v>43</v>
      </c>
      <c r="AF3811" t="s">
        <v>43</v>
      </c>
      <c r="AG3811" t="s">
        <v>43</v>
      </c>
      <c r="AH3811" t="s">
        <v>43</v>
      </c>
      <c r="AI3811" t="s">
        <v>43</v>
      </c>
      <c r="AJ3811" t="s">
        <v>43</v>
      </c>
      <c r="AK3811" t="s">
        <v>43</v>
      </c>
      <c r="AL3811" t="s">
        <v>43</v>
      </c>
      <c r="AM3811" t="s">
        <v>43</v>
      </c>
      <c r="AN3811" t="str">
        <f>HYPERLINK("https://www.google.com/maps?q=10.76306725,79.69437408","Open Location")</f>
        <v>Open Location</v>
      </c>
    </row>
    <row r="3812" spans="1:40" x14ac:dyDescent="0.3">
      <c r="A3812" s="1">
        <v>46210.558449074073</v>
      </c>
      <c r="B3812" t="s">
        <v>40</v>
      </c>
      <c r="C3812" t="s">
        <v>41</v>
      </c>
      <c r="D3812" s="1">
        <v>46210.561493055553</v>
      </c>
      <c r="E3812" t="s">
        <v>42</v>
      </c>
      <c r="F3812" t="s">
        <v>43</v>
      </c>
      <c r="G3812" t="s">
        <v>43</v>
      </c>
      <c r="H3812" t="s">
        <v>43</v>
      </c>
      <c r="I3812" t="s">
        <v>2269</v>
      </c>
      <c r="J3812" t="s">
        <v>43</v>
      </c>
      <c r="K3812" t="s">
        <v>43</v>
      </c>
      <c r="L3812" t="s">
        <v>43</v>
      </c>
      <c r="M3812" t="s">
        <v>43</v>
      </c>
      <c r="N3812" t="s">
        <v>45</v>
      </c>
      <c r="O3812" t="s">
        <v>43</v>
      </c>
      <c r="P3812" t="s">
        <v>43</v>
      </c>
      <c r="Q3812" t="s">
        <v>43</v>
      </c>
      <c r="R3812" t="s">
        <v>43</v>
      </c>
      <c r="S3812" t="s">
        <v>43</v>
      </c>
      <c r="T3812" t="s">
        <v>43</v>
      </c>
      <c r="U3812" t="s">
        <v>43</v>
      </c>
      <c r="V3812" t="s">
        <v>43</v>
      </c>
      <c r="W3812" t="s">
        <v>43</v>
      </c>
      <c r="X3812" t="s">
        <v>43</v>
      </c>
      <c r="Y3812" t="s">
        <v>43</v>
      </c>
      <c r="Z3812" t="s">
        <v>43</v>
      </c>
      <c r="AA3812" t="s">
        <v>43</v>
      </c>
      <c r="AB3812" t="s">
        <v>43</v>
      </c>
      <c r="AC3812" t="s">
        <v>43</v>
      </c>
      <c r="AD3812" t="s">
        <v>43</v>
      </c>
      <c r="AE3812" t="s">
        <v>43</v>
      </c>
      <c r="AF3812" t="s">
        <v>43</v>
      </c>
      <c r="AG3812" t="s">
        <v>43</v>
      </c>
      <c r="AH3812" t="s">
        <v>43</v>
      </c>
      <c r="AI3812" t="s">
        <v>43</v>
      </c>
      <c r="AJ3812" t="s">
        <v>43</v>
      </c>
      <c r="AK3812" t="s">
        <v>43</v>
      </c>
      <c r="AL3812" t="s">
        <v>43</v>
      </c>
      <c r="AM3812" t="s">
        <v>43</v>
      </c>
      <c r="AN3812" t="str">
        <f>HYPERLINK("https://www.google.com/maps?q=10.76306915,79.69438171","Open Location")</f>
        <v>Open Location</v>
      </c>
    </row>
    <row r="3813" spans="1:40" x14ac:dyDescent="0.3">
      <c r="A3813" s="1">
        <v>46210.558333333334</v>
      </c>
      <c r="B3813" t="s">
        <v>40</v>
      </c>
      <c r="C3813" t="s">
        <v>41</v>
      </c>
      <c r="D3813" s="1">
        <v>46210.56145833333</v>
      </c>
      <c r="E3813" t="s">
        <v>42</v>
      </c>
      <c r="F3813" t="s">
        <v>43</v>
      </c>
      <c r="G3813" t="s">
        <v>43</v>
      </c>
      <c r="H3813" t="s">
        <v>43</v>
      </c>
      <c r="I3813" t="s">
        <v>2226</v>
      </c>
      <c r="J3813" t="s">
        <v>43</v>
      </c>
      <c r="K3813" t="s">
        <v>43</v>
      </c>
      <c r="L3813" t="s">
        <v>43</v>
      </c>
      <c r="M3813" t="s">
        <v>43</v>
      </c>
      <c r="N3813" t="s">
        <v>45</v>
      </c>
      <c r="O3813" t="s">
        <v>43</v>
      </c>
      <c r="P3813" t="s">
        <v>43</v>
      </c>
      <c r="Q3813" t="s">
        <v>43</v>
      </c>
      <c r="R3813" t="s">
        <v>43</v>
      </c>
      <c r="S3813" t="s">
        <v>43</v>
      </c>
      <c r="T3813" t="s">
        <v>43</v>
      </c>
      <c r="U3813" t="s">
        <v>43</v>
      </c>
      <c r="V3813" t="s">
        <v>43</v>
      </c>
      <c r="W3813" t="s">
        <v>43</v>
      </c>
      <c r="X3813" t="s">
        <v>43</v>
      </c>
      <c r="Y3813" t="s">
        <v>43</v>
      </c>
      <c r="Z3813" t="s">
        <v>43</v>
      </c>
      <c r="AA3813" t="s">
        <v>43</v>
      </c>
      <c r="AB3813" t="s">
        <v>43</v>
      </c>
      <c r="AC3813" t="s">
        <v>43</v>
      </c>
      <c r="AD3813" t="s">
        <v>43</v>
      </c>
      <c r="AE3813" t="s">
        <v>43</v>
      </c>
      <c r="AF3813" t="s">
        <v>43</v>
      </c>
      <c r="AG3813" t="s">
        <v>43</v>
      </c>
      <c r="AH3813" t="s">
        <v>43</v>
      </c>
      <c r="AI3813" t="s">
        <v>43</v>
      </c>
      <c r="AJ3813" t="s">
        <v>43</v>
      </c>
      <c r="AK3813" t="s">
        <v>43</v>
      </c>
      <c r="AL3813" t="s">
        <v>43</v>
      </c>
      <c r="AM3813" t="s">
        <v>43</v>
      </c>
      <c r="AN3813" t="str">
        <f>HYPERLINK("https://www.google.com/maps?q=10.76307297,79.69438171","Open Location")</f>
        <v>Open Location</v>
      </c>
    </row>
    <row r="3814" spans="1:40" x14ac:dyDescent="0.3">
      <c r="A3814" s="1">
        <v>46210.558217592596</v>
      </c>
      <c r="B3814" t="s">
        <v>40</v>
      </c>
      <c r="C3814" t="s">
        <v>41</v>
      </c>
      <c r="D3814" s="1">
        <v>46210.561493055553</v>
      </c>
      <c r="E3814" t="s">
        <v>42</v>
      </c>
      <c r="F3814" t="s">
        <v>43</v>
      </c>
      <c r="G3814" t="s">
        <v>43</v>
      </c>
      <c r="H3814" t="s">
        <v>43</v>
      </c>
      <c r="I3814" t="s">
        <v>2227</v>
      </c>
      <c r="J3814" t="s">
        <v>43</v>
      </c>
      <c r="K3814" t="s">
        <v>43</v>
      </c>
      <c r="L3814" t="s">
        <v>43</v>
      </c>
      <c r="M3814" t="s">
        <v>43</v>
      </c>
      <c r="N3814" t="s">
        <v>45</v>
      </c>
      <c r="O3814" t="s">
        <v>43</v>
      </c>
      <c r="P3814" t="s">
        <v>43</v>
      </c>
      <c r="Q3814" t="s">
        <v>43</v>
      </c>
      <c r="R3814" t="s">
        <v>43</v>
      </c>
      <c r="S3814" t="s">
        <v>43</v>
      </c>
      <c r="T3814" t="s">
        <v>43</v>
      </c>
      <c r="U3814" t="s">
        <v>43</v>
      </c>
      <c r="V3814" t="s">
        <v>43</v>
      </c>
      <c r="W3814" t="s">
        <v>43</v>
      </c>
      <c r="X3814" t="s">
        <v>43</v>
      </c>
      <c r="Y3814" t="s">
        <v>43</v>
      </c>
      <c r="Z3814" t="s">
        <v>43</v>
      </c>
      <c r="AA3814" t="s">
        <v>43</v>
      </c>
      <c r="AB3814" t="s">
        <v>43</v>
      </c>
      <c r="AC3814" t="s">
        <v>43</v>
      </c>
      <c r="AD3814" t="s">
        <v>43</v>
      </c>
      <c r="AE3814" t="s">
        <v>43</v>
      </c>
      <c r="AF3814" t="s">
        <v>43</v>
      </c>
      <c r="AG3814" t="s">
        <v>43</v>
      </c>
      <c r="AH3814" t="s">
        <v>43</v>
      </c>
      <c r="AI3814" t="s">
        <v>43</v>
      </c>
      <c r="AJ3814" t="s">
        <v>43</v>
      </c>
      <c r="AK3814" t="s">
        <v>43</v>
      </c>
      <c r="AL3814" t="s">
        <v>43</v>
      </c>
      <c r="AM3814" t="s">
        <v>43</v>
      </c>
      <c r="AN3814" t="str">
        <f>HYPERLINK("https://www.google.com/maps?q=10.76307392,79.69438171","Open Location")</f>
        <v>Open Location</v>
      </c>
    </row>
    <row r="3815" spans="1:40" x14ac:dyDescent="0.3">
      <c r="A3815" s="1">
        <v>46210.55810185185</v>
      </c>
      <c r="B3815" t="s">
        <v>40</v>
      </c>
      <c r="C3815" t="s">
        <v>41</v>
      </c>
      <c r="D3815" s="1">
        <v>46210.56150462963</v>
      </c>
      <c r="E3815" t="s">
        <v>42</v>
      </c>
      <c r="F3815" t="s">
        <v>43</v>
      </c>
      <c r="G3815" t="s">
        <v>43</v>
      </c>
      <c r="H3815" t="s">
        <v>43</v>
      </c>
      <c r="I3815" t="s">
        <v>43</v>
      </c>
      <c r="J3815" t="s">
        <v>43</v>
      </c>
      <c r="K3815" t="s">
        <v>43</v>
      </c>
      <c r="L3815" t="s">
        <v>43</v>
      </c>
      <c r="M3815" t="s">
        <v>43</v>
      </c>
      <c r="N3815" t="s">
        <v>45</v>
      </c>
      <c r="O3815" t="s">
        <v>43</v>
      </c>
      <c r="P3815" t="s">
        <v>43</v>
      </c>
      <c r="Q3815" t="s">
        <v>43</v>
      </c>
      <c r="R3815" t="s">
        <v>43</v>
      </c>
      <c r="S3815" t="s">
        <v>43</v>
      </c>
      <c r="T3815" t="s">
        <v>43</v>
      </c>
      <c r="U3815" t="s">
        <v>43</v>
      </c>
      <c r="V3815" t="s">
        <v>43</v>
      </c>
      <c r="W3815" t="s">
        <v>43</v>
      </c>
      <c r="X3815" t="s">
        <v>43</v>
      </c>
      <c r="Y3815" t="s">
        <v>43</v>
      </c>
      <c r="Z3815" t="s">
        <v>43</v>
      </c>
      <c r="AA3815" t="s">
        <v>43</v>
      </c>
      <c r="AB3815" t="s">
        <v>43</v>
      </c>
      <c r="AC3815" t="s">
        <v>43</v>
      </c>
      <c r="AD3815" t="s">
        <v>43</v>
      </c>
      <c r="AE3815" t="s">
        <v>43</v>
      </c>
      <c r="AF3815" t="s">
        <v>43</v>
      </c>
      <c r="AG3815" t="s">
        <v>43</v>
      </c>
      <c r="AH3815" t="s">
        <v>43</v>
      </c>
      <c r="AI3815" t="s">
        <v>43</v>
      </c>
      <c r="AJ3815" t="s">
        <v>43</v>
      </c>
      <c r="AK3815" t="s">
        <v>43</v>
      </c>
      <c r="AL3815" t="s">
        <v>43</v>
      </c>
      <c r="AM3815" t="s">
        <v>43</v>
      </c>
      <c r="AN3815" t="s">
        <v>43</v>
      </c>
    </row>
    <row r="3816" spans="1:40" x14ac:dyDescent="0.3">
      <c r="A3816" s="1">
        <v>46210.557986111111</v>
      </c>
      <c r="B3816" t="s">
        <v>40</v>
      </c>
      <c r="C3816" t="s">
        <v>41</v>
      </c>
      <c r="D3816" s="1">
        <v>46210.561493055553</v>
      </c>
      <c r="E3816" t="s">
        <v>42</v>
      </c>
      <c r="F3816" t="s">
        <v>43</v>
      </c>
      <c r="G3816" t="s">
        <v>43</v>
      </c>
      <c r="H3816" t="s">
        <v>43</v>
      </c>
      <c r="I3816" t="s">
        <v>2270</v>
      </c>
      <c r="J3816" t="s">
        <v>43</v>
      </c>
      <c r="K3816" t="s">
        <v>43</v>
      </c>
      <c r="L3816" t="s">
        <v>43</v>
      </c>
      <c r="M3816" t="s">
        <v>43</v>
      </c>
      <c r="N3816" t="s">
        <v>45</v>
      </c>
      <c r="O3816" t="s">
        <v>43</v>
      </c>
      <c r="P3816" t="s">
        <v>43</v>
      </c>
      <c r="Q3816" t="s">
        <v>43</v>
      </c>
      <c r="R3816" t="s">
        <v>43</v>
      </c>
      <c r="S3816" t="s">
        <v>43</v>
      </c>
      <c r="T3816" t="s">
        <v>43</v>
      </c>
      <c r="U3816" t="s">
        <v>43</v>
      </c>
      <c r="V3816" t="s">
        <v>43</v>
      </c>
      <c r="W3816" t="s">
        <v>43</v>
      </c>
      <c r="X3816" t="s">
        <v>43</v>
      </c>
      <c r="Y3816" t="s">
        <v>43</v>
      </c>
      <c r="Z3816" t="s">
        <v>43</v>
      </c>
      <c r="AA3816" t="s">
        <v>43</v>
      </c>
      <c r="AB3816" t="s">
        <v>43</v>
      </c>
      <c r="AC3816" t="s">
        <v>43</v>
      </c>
      <c r="AD3816" t="s">
        <v>43</v>
      </c>
      <c r="AE3816" t="s">
        <v>43</v>
      </c>
      <c r="AF3816" t="s">
        <v>43</v>
      </c>
      <c r="AG3816" t="s">
        <v>43</v>
      </c>
      <c r="AH3816" t="s">
        <v>43</v>
      </c>
      <c r="AI3816" t="s">
        <v>43</v>
      </c>
      <c r="AJ3816" t="s">
        <v>43</v>
      </c>
      <c r="AK3816" t="s">
        <v>43</v>
      </c>
      <c r="AL3816" t="s">
        <v>43</v>
      </c>
      <c r="AM3816" t="s">
        <v>43</v>
      </c>
      <c r="AN3816" t="str">
        <f>HYPERLINK("https://www.google.com/maps?q=10.76307487,79.69438171","Open Location")</f>
        <v>Open Location</v>
      </c>
    </row>
    <row r="3817" spans="1:40" x14ac:dyDescent="0.3">
      <c r="A3817" s="1">
        <v>46210.557870370372</v>
      </c>
      <c r="B3817" t="s">
        <v>40</v>
      </c>
      <c r="C3817" t="s">
        <v>41</v>
      </c>
      <c r="D3817" s="1">
        <v>46210.56150462963</v>
      </c>
      <c r="E3817" t="s">
        <v>42</v>
      </c>
      <c r="F3817" t="s">
        <v>43</v>
      </c>
      <c r="G3817" t="s">
        <v>43</v>
      </c>
      <c r="H3817" t="s">
        <v>43</v>
      </c>
      <c r="I3817" t="s">
        <v>2270</v>
      </c>
      <c r="J3817" t="s">
        <v>43</v>
      </c>
      <c r="K3817" t="s">
        <v>43</v>
      </c>
      <c r="L3817" t="s">
        <v>43</v>
      </c>
      <c r="M3817" t="s">
        <v>43</v>
      </c>
      <c r="N3817" t="s">
        <v>45</v>
      </c>
      <c r="O3817" t="s">
        <v>43</v>
      </c>
      <c r="P3817" t="s">
        <v>43</v>
      </c>
      <c r="Q3817" t="s">
        <v>43</v>
      </c>
      <c r="R3817" t="s">
        <v>43</v>
      </c>
      <c r="S3817" t="s">
        <v>43</v>
      </c>
      <c r="T3817" t="s">
        <v>43</v>
      </c>
      <c r="U3817" t="s">
        <v>43</v>
      </c>
      <c r="V3817" t="s">
        <v>43</v>
      </c>
      <c r="W3817" t="s">
        <v>43</v>
      </c>
      <c r="X3817" t="s">
        <v>43</v>
      </c>
      <c r="Y3817" t="s">
        <v>43</v>
      </c>
      <c r="Z3817" t="s">
        <v>43</v>
      </c>
      <c r="AA3817" t="s">
        <v>43</v>
      </c>
      <c r="AB3817" t="s">
        <v>43</v>
      </c>
      <c r="AC3817" t="s">
        <v>43</v>
      </c>
      <c r="AD3817" t="s">
        <v>43</v>
      </c>
      <c r="AE3817" t="s">
        <v>43</v>
      </c>
      <c r="AF3817" t="s">
        <v>43</v>
      </c>
      <c r="AG3817" t="s">
        <v>43</v>
      </c>
      <c r="AH3817" t="s">
        <v>43</v>
      </c>
      <c r="AI3817" t="s">
        <v>43</v>
      </c>
      <c r="AJ3817" t="s">
        <v>43</v>
      </c>
      <c r="AK3817" t="s">
        <v>43</v>
      </c>
      <c r="AL3817" t="s">
        <v>43</v>
      </c>
      <c r="AM3817" t="s">
        <v>43</v>
      </c>
      <c r="AN3817" t="str">
        <f>HYPERLINK("https://www.google.com/maps?q=10.76307487,79.69438171","Open Location")</f>
        <v>Open Location</v>
      </c>
    </row>
    <row r="3818" spans="1:40" x14ac:dyDescent="0.3">
      <c r="A3818" s="1">
        <v>46210.557754629626</v>
      </c>
      <c r="B3818" t="s">
        <v>40</v>
      </c>
      <c r="C3818" t="s">
        <v>41</v>
      </c>
      <c r="D3818" s="1">
        <v>46210.56145833333</v>
      </c>
      <c r="E3818" t="s">
        <v>42</v>
      </c>
      <c r="F3818" t="s">
        <v>43</v>
      </c>
      <c r="G3818" t="s">
        <v>43</v>
      </c>
      <c r="H3818" t="s">
        <v>43</v>
      </c>
      <c r="I3818" t="s">
        <v>2271</v>
      </c>
      <c r="J3818" t="s">
        <v>43</v>
      </c>
      <c r="K3818" t="s">
        <v>43</v>
      </c>
      <c r="L3818" t="s">
        <v>43</v>
      </c>
      <c r="M3818" t="s">
        <v>43</v>
      </c>
      <c r="N3818" t="s">
        <v>45</v>
      </c>
      <c r="O3818" t="s">
        <v>43</v>
      </c>
      <c r="P3818" t="s">
        <v>43</v>
      </c>
      <c r="Q3818" t="s">
        <v>43</v>
      </c>
      <c r="R3818" t="s">
        <v>43</v>
      </c>
      <c r="S3818" t="s">
        <v>43</v>
      </c>
      <c r="T3818" t="s">
        <v>43</v>
      </c>
      <c r="U3818" t="s">
        <v>43</v>
      </c>
      <c r="V3818" t="s">
        <v>43</v>
      </c>
      <c r="W3818" t="s">
        <v>43</v>
      </c>
      <c r="X3818" t="s">
        <v>43</v>
      </c>
      <c r="Y3818" t="s">
        <v>43</v>
      </c>
      <c r="Z3818" t="s">
        <v>43</v>
      </c>
      <c r="AA3818" t="s">
        <v>43</v>
      </c>
      <c r="AB3818" t="s">
        <v>43</v>
      </c>
      <c r="AC3818" t="s">
        <v>43</v>
      </c>
      <c r="AD3818" t="s">
        <v>43</v>
      </c>
      <c r="AE3818" t="s">
        <v>43</v>
      </c>
      <c r="AF3818" t="s">
        <v>43</v>
      </c>
      <c r="AG3818" t="s">
        <v>43</v>
      </c>
      <c r="AH3818" t="s">
        <v>43</v>
      </c>
      <c r="AI3818" t="s">
        <v>43</v>
      </c>
      <c r="AJ3818" t="s">
        <v>43</v>
      </c>
      <c r="AK3818" t="s">
        <v>43</v>
      </c>
      <c r="AL3818" t="s">
        <v>43</v>
      </c>
      <c r="AM3818" t="s">
        <v>43</v>
      </c>
      <c r="AN3818" t="str">
        <f>HYPERLINK("https://www.google.com/maps?q=10.76307487,79.69438934","Open Location")</f>
        <v>Open Location</v>
      </c>
    </row>
    <row r="3819" spans="1:40" x14ac:dyDescent="0.3">
      <c r="A3819" s="1">
        <v>46210.557638888888</v>
      </c>
      <c r="B3819" t="s">
        <v>40</v>
      </c>
      <c r="C3819" t="s">
        <v>41</v>
      </c>
      <c r="D3819" s="1">
        <v>46210.560706018521</v>
      </c>
      <c r="E3819" t="s">
        <v>42</v>
      </c>
      <c r="F3819" t="s">
        <v>43</v>
      </c>
      <c r="G3819" t="s">
        <v>43</v>
      </c>
      <c r="H3819" t="s">
        <v>43</v>
      </c>
      <c r="I3819" t="s">
        <v>2272</v>
      </c>
      <c r="J3819" t="s">
        <v>43</v>
      </c>
      <c r="K3819" t="s">
        <v>43</v>
      </c>
      <c r="L3819" t="s">
        <v>43</v>
      </c>
      <c r="M3819" t="s">
        <v>43</v>
      </c>
      <c r="N3819" t="s">
        <v>45</v>
      </c>
      <c r="O3819" t="s">
        <v>43</v>
      </c>
      <c r="P3819" t="s">
        <v>43</v>
      </c>
      <c r="Q3819" t="s">
        <v>43</v>
      </c>
      <c r="R3819" t="s">
        <v>43</v>
      </c>
      <c r="S3819" t="s">
        <v>43</v>
      </c>
      <c r="T3819" t="s">
        <v>43</v>
      </c>
      <c r="U3819" t="s">
        <v>43</v>
      </c>
      <c r="V3819" t="s">
        <v>43</v>
      </c>
      <c r="W3819" t="s">
        <v>43</v>
      </c>
      <c r="X3819" t="s">
        <v>43</v>
      </c>
      <c r="Y3819" t="s">
        <v>43</v>
      </c>
      <c r="Z3819" t="s">
        <v>43</v>
      </c>
      <c r="AA3819" t="s">
        <v>43</v>
      </c>
      <c r="AB3819" t="s">
        <v>43</v>
      </c>
      <c r="AC3819" t="s">
        <v>43</v>
      </c>
      <c r="AD3819" t="s">
        <v>43</v>
      </c>
      <c r="AE3819" t="s">
        <v>43</v>
      </c>
      <c r="AF3819" t="s">
        <v>43</v>
      </c>
      <c r="AG3819" t="s">
        <v>43</v>
      </c>
      <c r="AH3819" t="s">
        <v>43</v>
      </c>
      <c r="AI3819" t="s">
        <v>43</v>
      </c>
      <c r="AJ3819" t="s">
        <v>43</v>
      </c>
      <c r="AK3819" t="s">
        <v>43</v>
      </c>
      <c r="AL3819" t="s">
        <v>43</v>
      </c>
      <c r="AM3819" t="s">
        <v>43</v>
      </c>
      <c r="AN3819" t="str">
        <f>HYPERLINK("https://www.google.com/maps?q=10.76307774,79.69438934","Open Location")</f>
        <v>Open Location</v>
      </c>
    </row>
    <row r="3820" spans="1:40" x14ac:dyDescent="0.3">
      <c r="A3820" s="1">
        <v>46210.557523148149</v>
      </c>
      <c r="B3820" t="s">
        <v>40</v>
      </c>
      <c r="C3820" t="s">
        <v>41</v>
      </c>
      <c r="D3820" s="1">
        <v>46210.560393518521</v>
      </c>
      <c r="E3820" t="s">
        <v>42</v>
      </c>
      <c r="F3820" t="s">
        <v>43</v>
      </c>
      <c r="G3820" t="s">
        <v>43</v>
      </c>
      <c r="H3820" t="s">
        <v>43</v>
      </c>
      <c r="I3820" t="s">
        <v>2273</v>
      </c>
      <c r="J3820" t="s">
        <v>43</v>
      </c>
      <c r="K3820" t="s">
        <v>43</v>
      </c>
      <c r="L3820" t="s">
        <v>43</v>
      </c>
      <c r="M3820" t="s">
        <v>43</v>
      </c>
      <c r="N3820" t="s">
        <v>45</v>
      </c>
      <c r="O3820" t="s">
        <v>43</v>
      </c>
      <c r="P3820" t="s">
        <v>43</v>
      </c>
      <c r="Q3820" t="s">
        <v>43</v>
      </c>
      <c r="R3820" t="s">
        <v>43</v>
      </c>
      <c r="S3820" t="s">
        <v>43</v>
      </c>
      <c r="T3820" t="s">
        <v>43</v>
      </c>
      <c r="U3820" t="s">
        <v>43</v>
      </c>
      <c r="V3820" t="s">
        <v>43</v>
      </c>
      <c r="W3820" t="s">
        <v>43</v>
      </c>
      <c r="X3820" t="s">
        <v>43</v>
      </c>
      <c r="Y3820" t="s">
        <v>43</v>
      </c>
      <c r="Z3820" t="s">
        <v>43</v>
      </c>
      <c r="AA3820" t="s">
        <v>43</v>
      </c>
      <c r="AB3820" t="s">
        <v>43</v>
      </c>
      <c r="AC3820" t="s">
        <v>43</v>
      </c>
      <c r="AD3820" t="s">
        <v>43</v>
      </c>
      <c r="AE3820" t="s">
        <v>43</v>
      </c>
      <c r="AF3820" t="s">
        <v>43</v>
      </c>
      <c r="AG3820" t="s">
        <v>43</v>
      </c>
      <c r="AH3820" t="s">
        <v>43</v>
      </c>
      <c r="AI3820" t="s">
        <v>43</v>
      </c>
      <c r="AJ3820" t="s">
        <v>43</v>
      </c>
      <c r="AK3820" t="s">
        <v>43</v>
      </c>
      <c r="AL3820" t="s">
        <v>43</v>
      </c>
      <c r="AM3820" t="s">
        <v>43</v>
      </c>
      <c r="AN3820" t="str">
        <f>HYPERLINK("https://www.google.com/maps?q=10.76307869,79.69438171","Open Location")</f>
        <v>Open Location</v>
      </c>
    </row>
    <row r="3821" spans="1:40" x14ac:dyDescent="0.3">
      <c r="A3821" s="1">
        <v>46210.55740740741</v>
      </c>
      <c r="B3821" t="s">
        <v>40</v>
      </c>
      <c r="C3821" t="s">
        <v>41</v>
      </c>
      <c r="D3821" s="1">
        <v>46210.560208333336</v>
      </c>
      <c r="E3821" t="s">
        <v>42</v>
      </c>
      <c r="F3821" t="s">
        <v>43</v>
      </c>
      <c r="G3821" t="s">
        <v>43</v>
      </c>
      <c r="H3821" t="s">
        <v>43</v>
      </c>
      <c r="I3821" t="s">
        <v>43</v>
      </c>
      <c r="J3821" t="s">
        <v>43</v>
      </c>
      <c r="K3821" t="s">
        <v>43</v>
      </c>
      <c r="L3821" t="s">
        <v>43</v>
      </c>
      <c r="M3821" t="s">
        <v>43</v>
      </c>
      <c r="N3821" t="s">
        <v>45</v>
      </c>
      <c r="O3821" t="s">
        <v>43</v>
      </c>
      <c r="P3821" t="s">
        <v>43</v>
      </c>
      <c r="Q3821" t="s">
        <v>43</v>
      </c>
      <c r="R3821" t="s">
        <v>43</v>
      </c>
      <c r="S3821" t="s">
        <v>43</v>
      </c>
      <c r="T3821" t="s">
        <v>43</v>
      </c>
      <c r="U3821" t="s">
        <v>43</v>
      </c>
      <c r="V3821" t="s">
        <v>43</v>
      </c>
      <c r="W3821" t="s">
        <v>43</v>
      </c>
      <c r="X3821" t="s">
        <v>43</v>
      </c>
      <c r="Y3821" t="s">
        <v>43</v>
      </c>
      <c r="Z3821" t="s">
        <v>43</v>
      </c>
      <c r="AA3821" t="s">
        <v>43</v>
      </c>
      <c r="AB3821" t="s">
        <v>43</v>
      </c>
      <c r="AC3821" t="s">
        <v>43</v>
      </c>
      <c r="AD3821" t="s">
        <v>43</v>
      </c>
      <c r="AE3821" t="s">
        <v>43</v>
      </c>
      <c r="AF3821" t="s">
        <v>43</v>
      </c>
      <c r="AG3821" t="s">
        <v>43</v>
      </c>
      <c r="AH3821" t="s">
        <v>43</v>
      </c>
      <c r="AI3821" t="s">
        <v>43</v>
      </c>
      <c r="AJ3821" t="s">
        <v>43</v>
      </c>
      <c r="AK3821" t="s">
        <v>43</v>
      </c>
      <c r="AL3821" t="s">
        <v>43</v>
      </c>
      <c r="AM3821" t="s">
        <v>43</v>
      </c>
      <c r="AN3821" t="s">
        <v>43</v>
      </c>
    </row>
    <row r="3822" spans="1:40" x14ac:dyDescent="0.3">
      <c r="A3822" s="1">
        <v>46210.557291666664</v>
      </c>
      <c r="B3822" t="s">
        <v>40</v>
      </c>
      <c r="C3822" t="s">
        <v>41</v>
      </c>
      <c r="D3822" s="1">
        <v>46210.560243055559</v>
      </c>
      <c r="E3822" t="s">
        <v>42</v>
      </c>
      <c r="F3822" t="s">
        <v>43</v>
      </c>
      <c r="G3822" t="s">
        <v>43</v>
      </c>
      <c r="H3822" t="s">
        <v>43</v>
      </c>
      <c r="I3822" t="s">
        <v>2274</v>
      </c>
      <c r="J3822" t="s">
        <v>43</v>
      </c>
      <c r="K3822" t="s">
        <v>43</v>
      </c>
      <c r="L3822" t="s">
        <v>43</v>
      </c>
      <c r="M3822" t="s">
        <v>43</v>
      </c>
      <c r="N3822" t="s">
        <v>45</v>
      </c>
      <c r="O3822" t="s">
        <v>43</v>
      </c>
      <c r="P3822" t="s">
        <v>43</v>
      </c>
      <c r="Q3822" t="s">
        <v>43</v>
      </c>
      <c r="R3822" t="s">
        <v>43</v>
      </c>
      <c r="S3822" t="s">
        <v>43</v>
      </c>
      <c r="T3822" t="s">
        <v>43</v>
      </c>
      <c r="U3822" t="s">
        <v>43</v>
      </c>
      <c r="V3822" t="s">
        <v>43</v>
      </c>
      <c r="W3822" t="s">
        <v>43</v>
      </c>
      <c r="X3822" t="s">
        <v>43</v>
      </c>
      <c r="Y3822" t="s">
        <v>43</v>
      </c>
      <c r="Z3822" t="s">
        <v>43</v>
      </c>
      <c r="AA3822" t="s">
        <v>43</v>
      </c>
      <c r="AB3822" t="s">
        <v>43</v>
      </c>
      <c r="AC3822" t="s">
        <v>43</v>
      </c>
      <c r="AD3822" t="s">
        <v>43</v>
      </c>
      <c r="AE3822" t="s">
        <v>43</v>
      </c>
      <c r="AF3822" t="s">
        <v>43</v>
      </c>
      <c r="AG3822" t="s">
        <v>43</v>
      </c>
      <c r="AH3822" t="s">
        <v>43</v>
      </c>
      <c r="AI3822" t="s">
        <v>43</v>
      </c>
      <c r="AJ3822" t="s">
        <v>43</v>
      </c>
      <c r="AK3822" t="s">
        <v>43</v>
      </c>
      <c r="AL3822" t="s">
        <v>43</v>
      </c>
      <c r="AM3822" t="s">
        <v>43</v>
      </c>
      <c r="AN3822" t="str">
        <f>HYPERLINK("https://www.google.com/maps?q=10.7630806,79.69438171","Open Location")</f>
        <v>Open Location</v>
      </c>
    </row>
    <row r="3823" spans="1:40" x14ac:dyDescent="0.3">
      <c r="A3823" s="1">
        <v>46210.557175925926</v>
      </c>
      <c r="B3823" t="s">
        <v>40</v>
      </c>
      <c r="C3823" t="s">
        <v>41</v>
      </c>
      <c r="D3823" s="1">
        <v>46210.560081018521</v>
      </c>
      <c r="E3823" t="s">
        <v>42</v>
      </c>
      <c r="F3823" t="s">
        <v>43</v>
      </c>
      <c r="G3823" t="s">
        <v>43</v>
      </c>
      <c r="H3823" t="s">
        <v>43</v>
      </c>
      <c r="I3823" t="s">
        <v>2275</v>
      </c>
      <c r="J3823" t="s">
        <v>43</v>
      </c>
      <c r="K3823" t="s">
        <v>43</v>
      </c>
      <c r="L3823" t="s">
        <v>43</v>
      </c>
      <c r="M3823" t="s">
        <v>43</v>
      </c>
      <c r="N3823" t="s">
        <v>45</v>
      </c>
      <c r="O3823" t="s">
        <v>43</v>
      </c>
      <c r="P3823" t="s">
        <v>43</v>
      </c>
      <c r="Q3823" t="s">
        <v>43</v>
      </c>
      <c r="R3823" t="s">
        <v>43</v>
      </c>
      <c r="S3823" t="s">
        <v>43</v>
      </c>
      <c r="T3823" t="s">
        <v>43</v>
      </c>
      <c r="U3823" t="s">
        <v>43</v>
      </c>
      <c r="V3823" t="s">
        <v>43</v>
      </c>
      <c r="W3823" t="s">
        <v>43</v>
      </c>
      <c r="X3823" t="s">
        <v>43</v>
      </c>
      <c r="Y3823" t="s">
        <v>43</v>
      </c>
      <c r="Z3823" t="s">
        <v>43</v>
      </c>
      <c r="AA3823" t="s">
        <v>43</v>
      </c>
      <c r="AB3823" t="s">
        <v>43</v>
      </c>
      <c r="AC3823" t="s">
        <v>43</v>
      </c>
      <c r="AD3823" t="s">
        <v>43</v>
      </c>
      <c r="AE3823" t="s">
        <v>43</v>
      </c>
      <c r="AF3823" t="s">
        <v>43</v>
      </c>
      <c r="AG3823" t="s">
        <v>43</v>
      </c>
      <c r="AH3823" t="s">
        <v>43</v>
      </c>
      <c r="AI3823" t="s">
        <v>43</v>
      </c>
      <c r="AJ3823" t="s">
        <v>43</v>
      </c>
      <c r="AK3823" t="s">
        <v>43</v>
      </c>
      <c r="AL3823" t="s">
        <v>43</v>
      </c>
      <c r="AM3823" t="s">
        <v>43</v>
      </c>
      <c r="AN3823" t="str">
        <f>HYPERLINK("https://www.google.com/maps?q=10.76307774,79.69438171","Open Location")</f>
        <v>Open Location</v>
      </c>
    </row>
    <row r="3824" spans="1:40" x14ac:dyDescent="0.3">
      <c r="A3824" s="1">
        <v>46210.557060185187</v>
      </c>
      <c r="B3824" t="s">
        <v>40</v>
      </c>
      <c r="C3824" t="s">
        <v>41</v>
      </c>
      <c r="D3824" s="1">
        <v>46210.560069444444</v>
      </c>
      <c r="E3824" t="s">
        <v>42</v>
      </c>
      <c r="F3824" t="s">
        <v>43</v>
      </c>
      <c r="G3824" t="s">
        <v>43</v>
      </c>
      <c r="H3824" t="s">
        <v>43</v>
      </c>
      <c r="I3824" t="s">
        <v>2246</v>
      </c>
      <c r="J3824" t="s">
        <v>43</v>
      </c>
      <c r="K3824" t="s">
        <v>43</v>
      </c>
      <c r="L3824" t="s">
        <v>43</v>
      </c>
      <c r="M3824" t="s">
        <v>43</v>
      </c>
      <c r="N3824" t="s">
        <v>45</v>
      </c>
      <c r="O3824" t="s">
        <v>43</v>
      </c>
      <c r="P3824" t="s">
        <v>43</v>
      </c>
      <c r="Q3824" t="s">
        <v>43</v>
      </c>
      <c r="R3824" t="s">
        <v>43</v>
      </c>
      <c r="S3824" t="s">
        <v>43</v>
      </c>
      <c r="T3824" t="s">
        <v>43</v>
      </c>
      <c r="U3824" t="s">
        <v>43</v>
      </c>
      <c r="V3824" t="s">
        <v>43</v>
      </c>
      <c r="W3824" t="s">
        <v>43</v>
      </c>
      <c r="X3824" t="s">
        <v>43</v>
      </c>
      <c r="Y3824" t="s">
        <v>43</v>
      </c>
      <c r="Z3824" t="s">
        <v>43</v>
      </c>
      <c r="AA3824" t="s">
        <v>43</v>
      </c>
      <c r="AB3824" t="s">
        <v>43</v>
      </c>
      <c r="AC3824" t="s">
        <v>43</v>
      </c>
      <c r="AD3824" t="s">
        <v>43</v>
      </c>
      <c r="AE3824" t="s">
        <v>43</v>
      </c>
      <c r="AF3824" t="s">
        <v>43</v>
      </c>
      <c r="AG3824" t="s">
        <v>43</v>
      </c>
      <c r="AH3824" t="s">
        <v>43</v>
      </c>
      <c r="AI3824" t="s">
        <v>43</v>
      </c>
      <c r="AJ3824" t="s">
        <v>43</v>
      </c>
      <c r="AK3824" t="s">
        <v>43</v>
      </c>
      <c r="AL3824" t="s">
        <v>43</v>
      </c>
      <c r="AM3824" t="s">
        <v>43</v>
      </c>
      <c r="AN3824" t="str">
        <f>HYPERLINK("https://www.google.com/maps?q=10.76307583,79.69438171","Open Location")</f>
        <v>Open Location</v>
      </c>
    </row>
    <row r="3825" spans="1:40" x14ac:dyDescent="0.3">
      <c r="A3825" s="1">
        <v>46210.556944444441</v>
      </c>
      <c r="B3825" t="s">
        <v>40</v>
      </c>
      <c r="C3825" t="s">
        <v>41</v>
      </c>
      <c r="D3825" s="1">
        <v>46210.560081018521</v>
      </c>
      <c r="E3825" t="s">
        <v>42</v>
      </c>
      <c r="F3825" t="s">
        <v>43</v>
      </c>
      <c r="G3825" t="s">
        <v>43</v>
      </c>
      <c r="H3825" t="s">
        <v>43</v>
      </c>
      <c r="I3825" t="s">
        <v>2276</v>
      </c>
      <c r="J3825" t="s">
        <v>43</v>
      </c>
      <c r="K3825" t="s">
        <v>43</v>
      </c>
      <c r="L3825" t="s">
        <v>43</v>
      </c>
      <c r="M3825" t="s">
        <v>43</v>
      </c>
      <c r="N3825" t="s">
        <v>45</v>
      </c>
      <c r="O3825" t="s">
        <v>43</v>
      </c>
      <c r="P3825" t="s">
        <v>43</v>
      </c>
      <c r="Q3825" t="s">
        <v>43</v>
      </c>
      <c r="R3825" t="s">
        <v>43</v>
      </c>
      <c r="S3825" t="s">
        <v>43</v>
      </c>
      <c r="T3825" t="s">
        <v>43</v>
      </c>
      <c r="U3825" t="s">
        <v>43</v>
      </c>
      <c r="V3825" t="s">
        <v>43</v>
      </c>
      <c r="W3825" t="s">
        <v>43</v>
      </c>
      <c r="X3825" t="s">
        <v>43</v>
      </c>
      <c r="Y3825" t="s">
        <v>43</v>
      </c>
      <c r="Z3825" t="s">
        <v>43</v>
      </c>
      <c r="AA3825" t="s">
        <v>43</v>
      </c>
      <c r="AB3825" t="s">
        <v>43</v>
      </c>
      <c r="AC3825" t="s">
        <v>43</v>
      </c>
      <c r="AD3825" t="s">
        <v>43</v>
      </c>
      <c r="AE3825" t="s">
        <v>43</v>
      </c>
      <c r="AF3825" t="s">
        <v>43</v>
      </c>
      <c r="AG3825" t="s">
        <v>43</v>
      </c>
      <c r="AH3825" t="s">
        <v>43</v>
      </c>
      <c r="AI3825" t="s">
        <v>43</v>
      </c>
      <c r="AJ3825" t="s">
        <v>43</v>
      </c>
      <c r="AK3825" t="s">
        <v>43</v>
      </c>
      <c r="AL3825" t="s">
        <v>43</v>
      </c>
      <c r="AM3825" t="s">
        <v>43</v>
      </c>
      <c r="AN3825" t="str">
        <f>HYPERLINK("https://www.google.com/maps?q=10.76307392,79.69438934","Open Location")</f>
        <v>Open Location</v>
      </c>
    </row>
    <row r="3826" spans="1:40" x14ac:dyDescent="0.3">
      <c r="A3826" s="1">
        <v>46210.556828703702</v>
      </c>
      <c r="B3826" t="s">
        <v>40</v>
      </c>
      <c r="C3826" t="s">
        <v>41</v>
      </c>
      <c r="D3826" s="1">
        <v>46210.560057870367</v>
      </c>
      <c r="E3826" t="s">
        <v>42</v>
      </c>
      <c r="F3826" t="s">
        <v>43</v>
      </c>
      <c r="G3826" t="s">
        <v>43</v>
      </c>
      <c r="H3826" t="s">
        <v>43</v>
      </c>
      <c r="I3826" t="s">
        <v>2272</v>
      </c>
      <c r="J3826" t="s">
        <v>43</v>
      </c>
      <c r="K3826" t="s">
        <v>43</v>
      </c>
      <c r="L3826" t="s">
        <v>43</v>
      </c>
      <c r="M3826" t="s">
        <v>43</v>
      </c>
      <c r="N3826" t="s">
        <v>45</v>
      </c>
      <c r="O3826" t="s">
        <v>43</v>
      </c>
      <c r="P3826" t="s">
        <v>43</v>
      </c>
      <c r="Q3826" t="s">
        <v>43</v>
      </c>
      <c r="R3826" t="s">
        <v>43</v>
      </c>
      <c r="S3826" t="s">
        <v>43</v>
      </c>
      <c r="T3826" t="s">
        <v>43</v>
      </c>
      <c r="U3826" t="s">
        <v>43</v>
      </c>
      <c r="V3826" t="s">
        <v>43</v>
      </c>
      <c r="W3826" t="s">
        <v>43</v>
      </c>
      <c r="X3826" t="s">
        <v>43</v>
      </c>
      <c r="Y3826" t="s">
        <v>43</v>
      </c>
      <c r="Z3826" t="s">
        <v>43</v>
      </c>
      <c r="AA3826" t="s">
        <v>43</v>
      </c>
      <c r="AB3826" t="s">
        <v>43</v>
      </c>
      <c r="AC3826" t="s">
        <v>43</v>
      </c>
      <c r="AD3826" t="s">
        <v>43</v>
      </c>
      <c r="AE3826" t="s">
        <v>43</v>
      </c>
      <c r="AF3826" t="s">
        <v>43</v>
      </c>
      <c r="AG3826" t="s">
        <v>43</v>
      </c>
      <c r="AH3826" t="s">
        <v>43</v>
      </c>
      <c r="AI3826" t="s">
        <v>43</v>
      </c>
      <c r="AJ3826" t="s">
        <v>43</v>
      </c>
      <c r="AK3826" t="s">
        <v>43</v>
      </c>
      <c r="AL3826" t="s">
        <v>43</v>
      </c>
      <c r="AM3826" t="s">
        <v>43</v>
      </c>
      <c r="AN3826" t="str">
        <f>HYPERLINK("https://www.google.com/maps?q=10.76307774,79.69438934","Open Location")</f>
        <v>Open Location</v>
      </c>
    </row>
    <row r="3827" spans="1:40" x14ac:dyDescent="0.3">
      <c r="A3827" s="1">
        <v>46210.556712962964</v>
      </c>
      <c r="B3827" t="s">
        <v>40</v>
      </c>
      <c r="C3827" t="s">
        <v>41</v>
      </c>
      <c r="D3827" s="1">
        <v>46210.560243055559</v>
      </c>
      <c r="E3827" t="s">
        <v>42</v>
      </c>
      <c r="F3827" t="s">
        <v>43</v>
      </c>
      <c r="G3827" t="s">
        <v>43</v>
      </c>
      <c r="H3827" t="s">
        <v>43</v>
      </c>
      <c r="I3827" t="s">
        <v>43</v>
      </c>
      <c r="J3827" t="s">
        <v>43</v>
      </c>
      <c r="K3827" t="s">
        <v>43</v>
      </c>
      <c r="L3827" t="s">
        <v>43</v>
      </c>
      <c r="M3827" t="s">
        <v>43</v>
      </c>
      <c r="N3827" t="s">
        <v>45</v>
      </c>
      <c r="O3827" t="s">
        <v>43</v>
      </c>
      <c r="P3827" t="s">
        <v>43</v>
      </c>
      <c r="Q3827" t="s">
        <v>43</v>
      </c>
      <c r="R3827" t="s">
        <v>43</v>
      </c>
      <c r="S3827" t="s">
        <v>43</v>
      </c>
      <c r="T3827" t="s">
        <v>43</v>
      </c>
      <c r="U3827" t="s">
        <v>43</v>
      </c>
      <c r="V3827" t="s">
        <v>43</v>
      </c>
      <c r="W3827" t="s">
        <v>43</v>
      </c>
      <c r="X3827" t="s">
        <v>43</v>
      </c>
      <c r="Y3827" t="s">
        <v>43</v>
      </c>
      <c r="Z3827" t="s">
        <v>43</v>
      </c>
      <c r="AA3827" t="s">
        <v>43</v>
      </c>
      <c r="AB3827" t="s">
        <v>43</v>
      </c>
      <c r="AC3827" t="s">
        <v>43</v>
      </c>
      <c r="AD3827" t="s">
        <v>43</v>
      </c>
      <c r="AE3827" t="s">
        <v>43</v>
      </c>
      <c r="AF3827" t="s">
        <v>43</v>
      </c>
      <c r="AG3827" t="s">
        <v>43</v>
      </c>
      <c r="AH3827" t="s">
        <v>43</v>
      </c>
      <c r="AI3827" t="s">
        <v>43</v>
      </c>
      <c r="AJ3827" t="s">
        <v>43</v>
      </c>
      <c r="AK3827" t="s">
        <v>43</v>
      </c>
      <c r="AL3827" t="s">
        <v>43</v>
      </c>
      <c r="AM3827" t="s">
        <v>43</v>
      </c>
      <c r="AN3827" t="s">
        <v>43</v>
      </c>
    </row>
    <row r="3828" spans="1:40" x14ac:dyDescent="0.3">
      <c r="A3828" s="1">
        <v>46210.556597222225</v>
      </c>
      <c r="B3828" t="s">
        <v>40</v>
      </c>
      <c r="C3828" t="s">
        <v>41</v>
      </c>
      <c r="D3828" s="1">
        <v>46210.560254629629</v>
      </c>
      <c r="E3828" t="s">
        <v>42</v>
      </c>
      <c r="F3828" t="s">
        <v>43</v>
      </c>
      <c r="G3828" t="s">
        <v>43</v>
      </c>
      <c r="H3828" t="s">
        <v>43</v>
      </c>
      <c r="I3828" t="s">
        <v>2277</v>
      </c>
      <c r="J3828" t="s">
        <v>43</v>
      </c>
      <c r="K3828" t="s">
        <v>43</v>
      </c>
      <c r="L3828" t="s">
        <v>43</v>
      </c>
      <c r="M3828" t="s">
        <v>43</v>
      </c>
      <c r="N3828" t="s">
        <v>45</v>
      </c>
      <c r="O3828" t="s">
        <v>43</v>
      </c>
      <c r="P3828" t="s">
        <v>43</v>
      </c>
      <c r="Q3828" t="s">
        <v>43</v>
      </c>
      <c r="R3828" t="s">
        <v>43</v>
      </c>
      <c r="S3828" t="s">
        <v>43</v>
      </c>
      <c r="T3828" t="s">
        <v>43</v>
      </c>
      <c r="U3828" t="s">
        <v>43</v>
      </c>
      <c r="V3828" t="s">
        <v>43</v>
      </c>
      <c r="W3828" t="s">
        <v>43</v>
      </c>
      <c r="X3828" t="s">
        <v>43</v>
      </c>
      <c r="Y3828" t="s">
        <v>43</v>
      </c>
      <c r="Z3828" t="s">
        <v>43</v>
      </c>
      <c r="AA3828" t="s">
        <v>43</v>
      </c>
      <c r="AB3828" t="s">
        <v>43</v>
      </c>
      <c r="AC3828" t="s">
        <v>43</v>
      </c>
      <c r="AD3828" t="s">
        <v>43</v>
      </c>
      <c r="AE3828" t="s">
        <v>43</v>
      </c>
      <c r="AF3828" t="s">
        <v>43</v>
      </c>
      <c r="AG3828" t="s">
        <v>43</v>
      </c>
      <c r="AH3828" t="s">
        <v>43</v>
      </c>
      <c r="AI3828" t="s">
        <v>43</v>
      </c>
      <c r="AJ3828" t="s">
        <v>43</v>
      </c>
      <c r="AK3828" t="s">
        <v>43</v>
      </c>
      <c r="AL3828" t="s">
        <v>43</v>
      </c>
      <c r="AM3828" t="s">
        <v>43</v>
      </c>
      <c r="AN3828" t="str">
        <f>HYPERLINK("https://www.google.com/maps?q=10.76308155,79.69438171","Open Location")</f>
        <v>Open Location</v>
      </c>
    </row>
    <row r="3829" spans="1:40" x14ac:dyDescent="0.3">
      <c r="A3829" s="1">
        <v>46210.556481481479</v>
      </c>
      <c r="B3829" t="s">
        <v>40</v>
      </c>
      <c r="C3829" t="s">
        <v>41</v>
      </c>
      <c r="D3829" s="1">
        <v>46210.560243055559</v>
      </c>
      <c r="E3829" t="s">
        <v>42</v>
      </c>
      <c r="F3829" t="s">
        <v>43</v>
      </c>
      <c r="G3829" t="s">
        <v>43</v>
      </c>
      <c r="H3829" t="s">
        <v>43</v>
      </c>
      <c r="I3829" t="s">
        <v>2278</v>
      </c>
      <c r="J3829" t="s">
        <v>43</v>
      </c>
      <c r="K3829" t="s">
        <v>43</v>
      </c>
      <c r="L3829" t="s">
        <v>43</v>
      </c>
      <c r="M3829" t="s">
        <v>43</v>
      </c>
      <c r="N3829" t="s">
        <v>45</v>
      </c>
      <c r="O3829" t="s">
        <v>43</v>
      </c>
      <c r="P3829" t="s">
        <v>43</v>
      </c>
      <c r="Q3829" t="s">
        <v>43</v>
      </c>
      <c r="R3829" t="s">
        <v>43</v>
      </c>
      <c r="S3829" t="s">
        <v>43</v>
      </c>
      <c r="T3829" t="s">
        <v>43</v>
      </c>
      <c r="U3829" t="s">
        <v>43</v>
      </c>
      <c r="V3829" t="s">
        <v>43</v>
      </c>
      <c r="W3829" t="s">
        <v>43</v>
      </c>
      <c r="X3829" t="s">
        <v>43</v>
      </c>
      <c r="Y3829" t="s">
        <v>43</v>
      </c>
      <c r="Z3829" t="s">
        <v>43</v>
      </c>
      <c r="AA3829" t="s">
        <v>43</v>
      </c>
      <c r="AB3829" t="s">
        <v>43</v>
      </c>
      <c r="AC3829" t="s">
        <v>43</v>
      </c>
      <c r="AD3829" t="s">
        <v>43</v>
      </c>
      <c r="AE3829" t="s">
        <v>43</v>
      </c>
      <c r="AF3829" t="s">
        <v>43</v>
      </c>
      <c r="AG3829" t="s">
        <v>43</v>
      </c>
      <c r="AH3829" t="s">
        <v>43</v>
      </c>
      <c r="AI3829" t="s">
        <v>43</v>
      </c>
      <c r="AJ3829" t="s">
        <v>43</v>
      </c>
      <c r="AK3829" t="s">
        <v>43</v>
      </c>
      <c r="AL3829" t="s">
        <v>43</v>
      </c>
      <c r="AM3829" t="s">
        <v>43</v>
      </c>
      <c r="AN3829" t="str">
        <f>HYPERLINK("https://www.google.com/maps?q=10.76308537,79.69438171","Open Location")</f>
        <v>Open Location</v>
      </c>
    </row>
    <row r="3830" spans="1:40" x14ac:dyDescent="0.3">
      <c r="A3830" s="1">
        <v>46210.55636574074</v>
      </c>
      <c r="B3830" t="s">
        <v>40</v>
      </c>
      <c r="C3830" t="s">
        <v>41</v>
      </c>
      <c r="D3830" s="1">
        <v>46210.560243055559</v>
      </c>
      <c r="E3830" t="s">
        <v>42</v>
      </c>
      <c r="F3830" t="s">
        <v>43</v>
      </c>
      <c r="G3830" t="s">
        <v>43</v>
      </c>
      <c r="H3830" t="s">
        <v>43</v>
      </c>
      <c r="I3830" t="s">
        <v>2278</v>
      </c>
      <c r="J3830" t="s">
        <v>43</v>
      </c>
      <c r="K3830" t="s">
        <v>43</v>
      </c>
      <c r="L3830" t="s">
        <v>43</v>
      </c>
      <c r="M3830" t="s">
        <v>43</v>
      </c>
      <c r="N3830" t="s">
        <v>45</v>
      </c>
      <c r="O3830" t="s">
        <v>43</v>
      </c>
      <c r="P3830" t="s">
        <v>43</v>
      </c>
      <c r="Q3830" t="s">
        <v>43</v>
      </c>
      <c r="R3830" t="s">
        <v>43</v>
      </c>
      <c r="S3830" t="s">
        <v>43</v>
      </c>
      <c r="T3830" t="s">
        <v>43</v>
      </c>
      <c r="U3830" t="s">
        <v>43</v>
      </c>
      <c r="V3830" t="s">
        <v>43</v>
      </c>
      <c r="W3830" t="s">
        <v>43</v>
      </c>
      <c r="X3830" t="s">
        <v>43</v>
      </c>
      <c r="Y3830" t="s">
        <v>43</v>
      </c>
      <c r="Z3830" t="s">
        <v>43</v>
      </c>
      <c r="AA3830" t="s">
        <v>43</v>
      </c>
      <c r="AB3830" t="s">
        <v>43</v>
      </c>
      <c r="AC3830" t="s">
        <v>43</v>
      </c>
      <c r="AD3830" t="s">
        <v>43</v>
      </c>
      <c r="AE3830" t="s">
        <v>43</v>
      </c>
      <c r="AF3830" t="s">
        <v>43</v>
      </c>
      <c r="AG3830" t="s">
        <v>43</v>
      </c>
      <c r="AH3830" t="s">
        <v>43</v>
      </c>
      <c r="AI3830" t="s">
        <v>43</v>
      </c>
      <c r="AJ3830" t="s">
        <v>43</v>
      </c>
      <c r="AK3830" t="s">
        <v>43</v>
      </c>
      <c r="AL3830" t="s">
        <v>43</v>
      </c>
      <c r="AM3830" t="s">
        <v>43</v>
      </c>
      <c r="AN3830" t="str">
        <f>HYPERLINK("https://www.google.com/maps?q=10.76308537,79.69438171","Open Location")</f>
        <v>Open Location</v>
      </c>
    </row>
    <row r="3831" spans="1:40" x14ac:dyDescent="0.3">
      <c r="A3831" s="1">
        <v>46210.556250000001</v>
      </c>
      <c r="B3831" t="s">
        <v>40</v>
      </c>
      <c r="C3831" t="s">
        <v>41</v>
      </c>
      <c r="D3831" s="1">
        <v>46210.559305555558</v>
      </c>
      <c r="E3831" t="s">
        <v>42</v>
      </c>
      <c r="F3831" t="s">
        <v>43</v>
      </c>
      <c r="G3831" t="s">
        <v>43</v>
      </c>
      <c r="H3831" t="s">
        <v>43</v>
      </c>
      <c r="I3831" t="s">
        <v>2278</v>
      </c>
      <c r="J3831" t="s">
        <v>43</v>
      </c>
      <c r="K3831" t="s">
        <v>43</v>
      </c>
      <c r="L3831" t="s">
        <v>43</v>
      </c>
      <c r="M3831" t="s">
        <v>43</v>
      </c>
      <c r="N3831" t="s">
        <v>45</v>
      </c>
      <c r="O3831" t="s">
        <v>43</v>
      </c>
      <c r="P3831" t="s">
        <v>43</v>
      </c>
      <c r="Q3831" t="s">
        <v>43</v>
      </c>
      <c r="R3831" t="s">
        <v>43</v>
      </c>
      <c r="S3831" t="s">
        <v>43</v>
      </c>
      <c r="T3831" t="s">
        <v>43</v>
      </c>
      <c r="U3831" t="s">
        <v>43</v>
      </c>
      <c r="V3831" t="s">
        <v>43</v>
      </c>
      <c r="W3831" t="s">
        <v>43</v>
      </c>
      <c r="X3831" t="s">
        <v>43</v>
      </c>
      <c r="Y3831" t="s">
        <v>43</v>
      </c>
      <c r="Z3831" t="s">
        <v>43</v>
      </c>
      <c r="AA3831" t="s">
        <v>43</v>
      </c>
      <c r="AB3831" t="s">
        <v>43</v>
      </c>
      <c r="AC3831" t="s">
        <v>43</v>
      </c>
      <c r="AD3831" t="s">
        <v>43</v>
      </c>
      <c r="AE3831" t="s">
        <v>43</v>
      </c>
      <c r="AF3831" t="s">
        <v>43</v>
      </c>
      <c r="AG3831" t="s">
        <v>43</v>
      </c>
      <c r="AH3831" t="s">
        <v>43</v>
      </c>
      <c r="AI3831" t="s">
        <v>43</v>
      </c>
      <c r="AJ3831" t="s">
        <v>43</v>
      </c>
      <c r="AK3831" t="s">
        <v>43</v>
      </c>
      <c r="AL3831" t="s">
        <v>43</v>
      </c>
      <c r="AM3831" t="s">
        <v>43</v>
      </c>
      <c r="AN3831" t="str">
        <f>HYPERLINK("https://www.google.com/maps?q=10.76308537,79.69438171","Open Location")</f>
        <v>Open Location</v>
      </c>
    </row>
    <row r="3832" spans="1:40" x14ac:dyDescent="0.3">
      <c r="A3832" s="1">
        <v>46210.556134259263</v>
      </c>
      <c r="B3832" t="s">
        <v>40</v>
      </c>
      <c r="C3832" t="s">
        <v>41</v>
      </c>
      <c r="D3832" s="1">
        <v>46210.559305555558</v>
      </c>
      <c r="E3832" t="s">
        <v>42</v>
      </c>
      <c r="F3832" t="s">
        <v>43</v>
      </c>
      <c r="G3832" t="s">
        <v>43</v>
      </c>
      <c r="H3832" t="s">
        <v>43</v>
      </c>
      <c r="I3832" t="s">
        <v>43</v>
      </c>
      <c r="J3832" t="s">
        <v>43</v>
      </c>
      <c r="K3832" t="s">
        <v>43</v>
      </c>
      <c r="L3832" t="s">
        <v>43</v>
      </c>
      <c r="M3832" t="s">
        <v>43</v>
      </c>
      <c r="N3832" t="s">
        <v>45</v>
      </c>
      <c r="O3832" t="s">
        <v>43</v>
      </c>
      <c r="P3832" t="s">
        <v>43</v>
      </c>
      <c r="Q3832" t="s">
        <v>43</v>
      </c>
      <c r="R3832" t="s">
        <v>43</v>
      </c>
      <c r="S3832" t="s">
        <v>43</v>
      </c>
      <c r="T3832" t="s">
        <v>43</v>
      </c>
      <c r="U3832" t="s">
        <v>43</v>
      </c>
      <c r="V3832" t="s">
        <v>43</v>
      </c>
      <c r="W3832" t="s">
        <v>43</v>
      </c>
      <c r="X3832" t="s">
        <v>43</v>
      </c>
      <c r="Y3832" t="s">
        <v>43</v>
      </c>
      <c r="Z3832" t="s">
        <v>43</v>
      </c>
      <c r="AA3832" t="s">
        <v>43</v>
      </c>
      <c r="AB3832" t="s">
        <v>43</v>
      </c>
      <c r="AC3832" t="s">
        <v>43</v>
      </c>
      <c r="AD3832" t="s">
        <v>43</v>
      </c>
      <c r="AE3832" t="s">
        <v>43</v>
      </c>
      <c r="AF3832" t="s">
        <v>43</v>
      </c>
      <c r="AG3832" t="s">
        <v>43</v>
      </c>
      <c r="AH3832" t="s">
        <v>43</v>
      </c>
      <c r="AI3832" t="s">
        <v>43</v>
      </c>
      <c r="AJ3832" t="s">
        <v>43</v>
      </c>
      <c r="AK3832" t="s">
        <v>43</v>
      </c>
      <c r="AL3832" t="s">
        <v>43</v>
      </c>
      <c r="AM3832" t="s">
        <v>43</v>
      </c>
      <c r="AN3832" t="s">
        <v>43</v>
      </c>
    </row>
    <row r="3833" spans="1:40" x14ac:dyDescent="0.3">
      <c r="A3833" s="1">
        <v>46210.556018518517</v>
      </c>
      <c r="B3833" t="s">
        <v>40</v>
      </c>
      <c r="C3833" t="s">
        <v>41</v>
      </c>
      <c r="D3833" s="1">
        <v>46210.558900462966</v>
      </c>
      <c r="E3833" t="s">
        <v>42</v>
      </c>
      <c r="F3833" t="s">
        <v>43</v>
      </c>
      <c r="G3833" t="s">
        <v>43</v>
      </c>
      <c r="H3833" t="s">
        <v>43</v>
      </c>
      <c r="I3833" t="s">
        <v>2279</v>
      </c>
      <c r="J3833" t="s">
        <v>43</v>
      </c>
      <c r="K3833" t="s">
        <v>43</v>
      </c>
      <c r="L3833" t="s">
        <v>43</v>
      </c>
      <c r="M3833" t="s">
        <v>43</v>
      </c>
      <c r="N3833" t="s">
        <v>45</v>
      </c>
      <c r="O3833" t="s">
        <v>43</v>
      </c>
      <c r="P3833" t="s">
        <v>43</v>
      </c>
      <c r="Q3833" t="s">
        <v>43</v>
      </c>
      <c r="R3833" t="s">
        <v>43</v>
      </c>
      <c r="S3833" t="s">
        <v>43</v>
      </c>
      <c r="T3833" t="s">
        <v>43</v>
      </c>
      <c r="U3833" t="s">
        <v>43</v>
      </c>
      <c r="V3833" t="s">
        <v>43</v>
      </c>
      <c r="W3833" t="s">
        <v>43</v>
      </c>
      <c r="X3833" t="s">
        <v>43</v>
      </c>
      <c r="Y3833" t="s">
        <v>43</v>
      </c>
      <c r="Z3833" t="s">
        <v>43</v>
      </c>
      <c r="AA3833" t="s">
        <v>43</v>
      </c>
      <c r="AB3833" t="s">
        <v>43</v>
      </c>
      <c r="AC3833" t="s">
        <v>43</v>
      </c>
      <c r="AD3833" t="s">
        <v>43</v>
      </c>
      <c r="AE3833" t="s">
        <v>43</v>
      </c>
      <c r="AF3833" t="s">
        <v>43</v>
      </c>
      <c r="AG3833" t="s">
        <v>43</v>
      </c>
      <c r="AH3833" t="s">
        <v>43</v>
      </c>
      <c r="AI3833" t="s">
        <v>43</v>
      </c>
      <c r="AJ3833" t="s">
        <v>43</v>
      </c>
      <c r="AK3833" t="s">
        <v>43</v>
      </c>
      <c r="AL3833" t="s">
        <v>43</v>
      </c>
      <c r="AM3833" t="s">
        <v>43</v>
      </c>
      <c r="AN3833" t="str">
        <f>HYPERLINK("https://www.google.com/maps?q=10.76308441,79.69438171","Open Location")</f>
        <v>Open Location</v>
      </c>
    </row>
    <row r="3834" spans="1:40" x14ac:dyDescent="0.3">
      <c r="A3834" s="1">
        <v>46210.555902777778</v>
      </c>
      <c r="B3834" t="s">
        <v>40</v>
      </c>
      <c r="C3834" t="s">
        <v>41</v>
      </c>
      <c r="D3834" s="1">
        <v>46210.558854166666</v>
      </c>
      <c r="E3834" t="s">
        <v>42</v>
      </c>
      <c r="F3834" t="s">
        <v>43</v>
      </c>
      <c r="G3834" t="s">
        <v>43</v>
      </c>
      <c r="H3834" t="s">
        <v>43</v>
      </c>
      <c r="I3834" t="s">
        <v>2280</v>
      </c>
      <c r="J3834" t="s">
        <v>43</v>
      </c>
      <c r="K3834" t="s">
        <v>43</v>
      </c>
      <c r="L3834" t="s">
        <v>43</v>
      </c>
      <c r="M3834" t="s">
        <v>43</v>
      </c>
      <c r="N3834" t="s">
        <v>45</v>
      </c>
      <c r="O3834" t="s">
        <v>43</v>
      </c>
      <c r="P3834" t="s">
        <v>43</v>
      </c>
      <c r="Q3834" t="s">
        <v>43</v>
      </c>
      <c r="R3834" t="s">
        <v>43</v>
      </c>
      <c r="S3834" t="s">
        <v>43</v>
      </c>
      <c r="T3834" t="s">
        <v>43</v>
      </c>
      <c r="U3834" t="s">
        <v>43</v>
      </c>
      <c r="V3834" t="s">
        <v>43</v>
      </c>
      <c r="W3834" t="s">
        <v>43</v>
      </c>
      <c r="X3834" t="s">
        <v>43</v>
      </c>
      <c r="Y3834" t="s">
        <v>43</v>
      </c>
      <c r="Z3834" t="s">
        <v>43</v>
      </c>
      <c r="AA3834" t="s">
        <v>43</v>
      </c>
      <c r="AB3834" t="s">
        <v>43</v>
      </c>
      <c r="AC3834" t="s">
        <v>43</v>
      </c>
      <c r="AD3834" t="s">
        <v>43</v>
      </c>
      <c r="AE3834" t="s">
        <v>43</v>
      </c>
      <c r="AF3834" t="s">
        <v>43</v>
      </c>
      <c r="AG3834" t="s">
        <v>43</v>
      </c>
      <c r="AH3834" t="s">
        <v>43</v>
      </c>
      <c r="AI3834" t="s">
        <v>43</v>
      </c>
      <c r="AJ3834" t="s">
        <v>43</v>
      </c>
      <c r="AK3834" t="s">
        <v>43</v>
      </c>
      <c r="AL3834" t="s">
        <v>43</v>
      </c>
      <c r="AM3834" t="s">
        <v>43</v>
      </c>
      <c r="AN3834" t="str">
        <f>HYPERLINK("https://www.google.com/maps?q=10.76308441,79.69437408","Open Location")</f>
        <v>Open Location</v>
      </c>
    </row>
    <row r="3835" spans="1:40" x14ac:dyDescent="0.3">
      <c r="A3835" s="1">
        <v>46210.555787037039</v>
      </c>
      <c r="B3835" t="s">
        <v>40</v>
      </c>
      <c r="C3835" t="s">
        <v>41</v>
      </c>
      <c r="D3835" s="1">
        <v>46210.558703703704</v>
      </c>
      <c r="E3835" t="s">
        <v>42</v>
      </c>
      <c r="F3835" t="s">
        <v>43</v>
      </c>
      <c r="G3835" t="s">
        <v>43</v>
      </c>
      <c r="H3835" t="s">
        <v>43</v>
      </c>
      <c r="I3835" t="s">
        <v>2281</v>
      </c>
      <c r="J3835" t="s">
        <v>43</v>
      </c>
      <c r="K3835" t="s">
        <v>43</v>
      </c>
      <c r="L3835" t="s">
        <v>43</v>
      </c>
      <c r="M3835" t="s">
        <v>43</v>
      </c>
      <c r="N3835" t="s">
        <v>45</v>
      </c>
      <c r="O3835" t="s">
        <v>43</v>
      </c>
      <c r="P3835" t="s">
        <v>43</v>
      </c>
      <c r="Q3835" t="s">
        <v>43</v>
      </c>
      <c r="R3835" t="s">
        <v>43</v>
      </c>
      <c r="S3835" t="s">
        <v>43</v>
      </c>
      <c r="T3835" t="s">
        <v>43</v>
      </c>
      <c r="U3835" t="s">
        <v>43</v>
      </c>
      <c r="V3835" t="s">
        <v>43</v>
      </c>
      <c r="W3835" t="s">
        <v>43</v>
      </c>
      <c r="X3835" t="s">
        <v>43</v>
      </c>
      <c r="Y3835" t="s">
        <v>43</v>
      </c>
      <c r="Z3835" t="s">
        <v>43</v>
      </c>
      <c r="AA3835" t="s">
        <v>43</v>
      </c>
      <c r="AB3835" t="s">
        <v>43</v>
      </c>
      <c r="AC3835" t="s">
        <v>43</v>
      </c>
      <c r="AD3835" t="s">
        <v>43</v>
      </c>
      <c r="AE3835" t="s">
        <v>43</v>
      </c>
      <c r="AF3835" t="s">
        <v>43</v>
      </c>
      <c r="AG3835" t="s">
        <v>43</v>
      </c>
      <c r="AH3835" t="s">
        <v>43</v>
      </c>
      <c r="AI3835" t="s">
        <v>43</v>
      </c>
      <c r="AJ3835" t="s">
        <v>43</v>
      </c>
      <c r="AK3835" t="s">
        <v>43</v>
      </c>
      <c r="AL3835" t="s">
        <v>43</v>
      </c>
      <c r="AM3835" t="s">
        <v>43</v>
      </c>
      <c r="AN3835" t="str">
        <f>HYPERLINK("https://www.google.com/maps?q=10.76308918,79.69437408","Open Location")</f>
        <v>Open Location</v>
      </c>
    </row>
    <row r="3836" spans="1:40" x14ac:dyDescent="0.3">
      <c r="A3836" s="1">
        <v>46210.555671296293</v>
      </c>
      <c r="B3836" t="s">
        <v>40</v>
      </c>
      <c r="C3836" t="s">
        <v>41</v>
      </c>
      <c r="D3836" s="1">
        <v>46210.558854166666</v>
      </c>
      <c r="E3836" t="s">
        <v>42</v>
      </c>
      <c r="F3836" t="s">
        <v>43</v>
      </c>
      <c r="G3836" t="s">
        <v>43</v>
      </c>
      <c r="H3836" t="s">
        <v>43</v>
      </c>
      <c r="I3836" t="s">
        <v>2282</v>
      </c>
      <c r="J3836" t="s">
        <v>43</v>
      </c>
      <c r="K3836" t="s">
        <v>43</v>
      </c>
      <c r="L3836" t="s">
        <v>43</v>
      </c>
      <c r="M3836" t="s">
        <v>43</v>
      </c>
      <c r="N3836" t="s">
        <v>45</v>
      </c>
      <c r="O3836" t="s">
        <v>43</v>
      </c>
      <c r="P3836" t="s">
        <v>43</v>
      </c>
      <c r="Q3836" t="s">
        <v>43</v>
      </c>
      <c r="R3836" t="s">
        <v>43</v>
      </c>
      <c r="S3836" t="s">
        <v>43</v>
      </c>
      <c r="T3836" t="s">
        <v>43</v>
      </c>
      <c r="U3836" t="s">
        <v>43</v>
      </c>
      <c r="V3836" t="s">
        <v>43</v>
      </c>
      <c r="W3836" t="s">
        <v>43</v>
      </c>
      <c r="X3836" t="s">
        <v>43</v>
      </c>
      <c r="Y3836" t="s">
        <v>43</v>
      </c>
      <c r="Z3836" t="s">
        <v>43</v>
      </c>
      <c r="AA3836" t="s">
        <v>43</v>
      </c>
      <c r="AB3836" t="s">
        <v>43</v>
      </c>
      <c r="AC3836" t="s">
        <v>43</v>
      </c>
      <c r="AD3836" t="s">
        <v>43</v>
      </c>
      <c r="AE3836" t="s">
        <v>43</v>
      </c>
      <c r="AF3836" t="s">
        <v>43</v>
      </c>
      <c r="AG3836" t="s">
        <v>43</v>
      </c>
      <c r="AH3836" t="s">
        <v>43</v>
      </c>
      <c r="AI3836" t="s">
        <v>43</v>
      </c>
      <c r="AJ3836" t="s">
        <v>43</v>
      </c>
      <c r="AK3836" t="s">
        <v>43</v>
      </c>
      <c r="AL3836" t="s">
        <v>43</v>
      </c>
      <c r="AM3836" t="s">
        <v>43</v>
      </c>
      <c r="AN3836" t="str">
        <f>HYPERLINK("https://www.google.com/maps?q=10.76309109,79.69437408","Open Location")</f>
        <v>Open Location</v>
      </c>
    </row>
    <row r="3837" spans="1:40" x14ac:dyDescent="0.3">
      <c r="A3837" s="1">
        <v>46210.555555555555</v>
      </c>
      <c r="B3837" t="s">
        <v>40</v>
      </c>
      <c r="C3837" t="s">
        <v>41</v>
      </c>
      <c r="D3837" s="1">
        <v>46210.558310185188</v>
      </c>
      <c r="E3837" t="s">
        <v>42</v>
      </c>
      <c r="F3837" t="s">
        <v>43</v>
      </c>
      <c r="G3837" t="s">
        <v>43</v>
      </c>
      <c r="H3837" t="s">
        <v>43</v>
      </c>
      <c r="I3837" t="s">
        <v>2283</v>
      </c>
      <c r="J3837" t="s">
        <v>43</v>
      </c>
      <c r="K3837" t="s">
        <v>43</v>
      </c>
      <c r="L3837" t="s">
        <v>43</v>
      </c>
      <c r="M3837" t="s">
        <v>43</v>
      </c>
      <c r="N3837" t="s">
        <v>45</v>
      </c>
      <c r="O3837" t="s">
        <v>43</v>
      </c>
      <c r="P3837" t="s">
        <v>43</v>
      </c>
      <c r="Q3837" t="s">
        <v>43</v>
      </c>
      <c r="R3837" t="s">
        <v>43</v>
      </c>
      <c r="S3837" t="s">
        <v>43</v>
      </c>
      <c r="T3837" t="s">
        <v>43</v>
      </c>
      <c r="U3837" t="s">
        <v>43</v>
      </c>
      <c r="V3837" t="s">
        <v>43</v>
      </c>
      <c r="W3837" t="s">
        <v>43</v>
      </c>
      <c r="X3837" t="s">
        <v>43</v>
      </c>
      <c r="Y3837" t="s">
        <v>43</v>
      </c>
      <c r="Z3837" t="s">
        <v>43</v>
      </c>
      <c r="AA3837" t="s">
        <v>43</v>
      </c>
      <c r="AB3837" t="s">
        <v>43</v>
      </c>
      <c r="AC3837" t="s">
        <v>43</v>
      </c>
      <c r="AD3837" t="s">
        <v>43</v>
      </c>
      <c r="AE3837" t="s">
        <v>43</v>
      </c>
      <c r="AF3837" t="s">
        <v>43</v>
      </c>
      <c r="AG3837" t="s">
        <v>43</v>
      </c>
      <c r="AH3837" t="s">
        <v>43</v>
      </c>
      <c r="AI3837" t="s">
        <v>43</v>
      </c>
      <c r="AJ3837" t="s">
        <v>43</v>
      </c>
      <c r="AK3837" t="s">
        <v>43</v>
      </c>
      <c r="AL3837" t="s">
        <v>43</v>
      </c>
      <c r="AM3837" t="s">
        <v>43</v>
      </c>
      <c r="AN3837" t="str">
        <f>HYPERLINK("https://www.google.com/maps?q=10.76309013,79.69436646","Open Location")</f>
        <v>Open Location</v>
      </c>
    </row>
    <row r="3838" spans="1:40" x14ac:dyDescent="0.3">
      <c r="A3838" s="1">
        <v>46210.555439814816</v>
      </c>
      <c r="B3838" t="s">
        <v>40</v>
      </c>
      <c r="C3838" t="s">
        <v>41</v>
      </c>
      <c r="D3838" s="1">
        <v>46210.558298611111</v>
      </c>
      <c r="E3838" t="s">
        <v>42</v>
      </c>
      <c r="F3838" t="s">
        <v>43</v>
      </c>
      <c r="G3838" t="s">
        <v>43</v>
      </c>
      <c r="H3838" t="s">
        <v>43</v>
      </c>
      <c r="I3838" t="s">
        <v>43</v>
      </c>
      <c r="J3838" t="s">
        <v>43</v>
      </c>
      <c r="K3838" t="s">
        <v>43</v>
      </c>
      <c r="L3838" t="s">
        <v>43</v>
      </c>
      <c r="M3838" t="s">
        <v>43</v>
      </c>
      <c r="N3838" t="s">
        <v>45</v>
      </c>
      <c r="O3838" t="s">
        <v>43</v>
      </c>
      <c r="P3838" t="s">
        <v>43</v>
      </c>
      <c r="Q3838" t="s">
        <v>43</v>
      </c>
      <c r="R3838" t="s">
        <v>43</v>
      </c>
      <c r="S3838" t="s">
        <v>43</v>
      </c>
      <c r="T3838" t="s">
        <v>43</v>
      </c>
      <c r="U3838" t="s">
        <v>43</v>
      </c>
      <c r="V3838" t="s">
        <v>43</v>
      </c>
      <c r="W3838" t="s">
        <v>43</v>
      </c>
      <c r="X3838" t="s">
        <v>43</v>
      </c>
      <c r="Y3838" t="s">
        <v>43</v>
      </c>
      <c r="Z3838" t="s">
        <v>43</v>
      </c>
      <c r="AA3838" t="s">
        <v>43</v>
      </c>
      <c r="AB3838" t="s">
        <v>43</v>
      </c>
      <c r="AC3838" t="s">
        <v>43</v>
      </c>
      <c r="AD3838" t="s">
        <v>43</v>
      </c>
      <c r="AE3838" t="s">
        <v>43</v>
      </c>
      <c r="AF3838" t="s">
        <v>43</v>
      </c>
      <c r="AG3838" t="s">
        <v>43</v>
      </c>
      <c r="AH3838" t="s">
        <v>43</v>
      </c>
      <c r="AI3838" t="s">
        <v>43</v>
      </c>
      <c r="AJ3838" t="s">
        <v>43</v>
      </c>
      <c r="AK3838" t="s">
        <v>43</v>
      </c>
      <c r="AL3838" t="s">
        <v>43</v>
      </c>
      <c r="AM3838" t="s">
        <v>43</v>
      </c>
      <c r="AN3838" t="s">
        <v>43</v>
      </c>
    </row>
    <row r="3839" spans="1:40" x14ac:dyDescent="0.3">
      <c r="A3839" s="1">
        <v>46210.555324074077</v>
      </c>
      <c r="B3839" t="s">
        <v>40</v>
      </c>
      <c r="C3839" t="s">
        <v>41</v>
      </c>
      <c r="D3839" s="1">
        <v>46210.558055555557</v>
      </c>
      <c r="E3839" t="s">
        <v>42</v>
      </c>
      <c r="F3839" t="s">
        <v>43</v>
      </c>
      <c r="G3839" t="s">
        <v>43</v>
      </c>
      <c r="H3839" t="s">
        <v>43</v>
      </c>
      <c r="I3839" t="s">
        <v>2282</v>
      </c>
      <c r="J3839" t="s">
        <v>43</v>
      </c>
      <c r="K3839" t="s">
        <v>43</v>
      </c>
      <c r="L3839" t="s">
        <v>43</v>
      </c>
      <c r="M3839" t="s">
        <v>43</v>
      </c>
      <c r="N3839" t="s">
        <v>45</v>
      </c>
      <c r="O3839" t="s">
        <v>43</v>
      </c>
      <c r="P3839" t="s">
        <v>43</v>
      </c>
      <c r="Q3839" t="s">
        <v>43</v>
      </c>
      <c r="R3839" t="s">
        <v>43</v>
      </c>
      <c r="S3839" t="s">
        <v>43</v>
      </c>
      <c r="T3839" t="s">
        <v>43</v>
      </c>
      <c r="U3839" t="s">
        <v>43</v>
      </c>
      <c r="V3839" t="s">
        <v>43</v>
      </c>
      <c r="W3839" t="s">
        <v>43</v>
      </c>
      <c r="X3839" t="s">
        <v>43</v>
      </c>
      <c r="Y3839" t="s">
        <v>43</v>
      </c>
      <c r="Z3839" t="s">
        <v>43</v>
      </c>
      <c r="AA3839" t="s">
        <v>43</v>
      </c>
      <c r="AB3839" t="s">
        <v>43</v>
      </c>
      <c r="AC3839" t="s">
        <v>43</v>
      </c>
      <c r="AD3839" t="s">
        <v>43</v>
      </c>
      <c r="AE3839" t="s">
        <v>43</v>
      </c>
      <c r="AF3839" t="s">
        <v>43</v>
      </c>
      <c r="AG3839" t="s">
        <v>43</v>
      </c>
      <c r="AH3839" t="s">
        <v>43</v>
      </c>
      <c r="AI3839" t="s">
        <v>43</v>
      </c>
      <c r="AJ3839" t="s">
        <v>43</v>
      </c>
      <c r="AK3839" t="s">
        <v>43</v>
      </c>
      <c r="AL3839" t="s">
        <v>43</v>
      </c>
      <c r="AM3839" t="s">
        <v>43</v>
      </c>
      <c r="AN3839" t="str">
        <f>HYPERLINK("https://www.google.com/maps?q=10.76309109,79.69437408","Open Location")</f>
        <v>Open Location</v>
      </c>
    </row>
    <row r="3840" spans="1:40" x14ac:dyDescent="0.3">
      <c r="A3840" s="1">
        <v>46210.555208333331</v>
      </c>
      <c r="B3840" t="s">
        <v>40</v>
      </c>
      <c r="C3840" t="s">
        <v>41</v>
      </c>
      <c r="D3840" s="1">
        <v>46210.558055555557</v>
      </c>
      <c r="E3840" t="s">
        <v>42</v>
      </c>
      <c r="F3840" t="s">
        <v>43</v>
      </c>
      <c r="G3840" t="s">
        <v>43</v>
      </c>
      <c r="H3840" t="s">
        <v>43</v>
      </c>
      <c r="I3840" t="s">
        <v>2284</v>
      </c>
      <c r="J3840" t="s">
        <v>43</v>
      </c>
      <c r="K3840" t="s">
        <v>43</v>
      </c>
      <c r="L3840" t="s">
        <v>43</v>
      </c>
      <c r="M3840" t="s">
        <v>43</v>
      </c>
      <c r="N3840" t="s">
        <v>45</v>
      </c>
      <c r="O3840" t="s">
        <v>43</v>
      </c>
      <c r="P3840" t="s">
        <v>43</v>
      </c>
      <c r="Q3840" t="s">
        <v>43</v>
      </c>
      <c r="R3840" t="s">
        <v>43</v>
      </c>
      <c r="S3840" t="s">
        <v>43</v>
      </c>
      <c r="T3840" t="s">
        <v>43</v>
      </c>
      <c r="U3840" t="s">
        <v>43</v>
      </c>
      <c r="V3840" t="s">
        <v>43</v>
      </c>
      <c r="W3840" t="s">
        <v>43</v>
      </c>
      <c r="X3840" t="s">
        <v>43</v>
      </c>
      <c r="Y3840" t="s">
        <v>43</v>
      </c>
      <c r="Z3840" t="s">
        <v>43</v>
      </c>
      <c r="AA3840" t="s">
        <v>43</v>
      </c>
      <c r="AB3840" t="s">
        <v>43</v>
      </c>
      <c r="AC3840" t="s">
        <v>43</v>
      </c>
      <c r="AD3840" t="s">
        <v>43</v>
      </c>
      <c r="AE3840" t="s">
        <v>43</v>
      </c>
      <c r="AF3840" t="s">
        <v>43</v>
      </c>
      <c r="AG3840" t="s">
        <v>43</v>
      </c>
      <c r="AH3840" t="s">
        <v>43</v>
      </c>
      <c r="AI3840" t="s">
        <v>43</v>
      </c>
      <c r="AJ3840" t="s">
        <v>43</v>
      </c>
      <c r="AK3840" t="s">
        <v>43</v>
      </c>
      <c r="AL3840" t="s">
        <v>43</v>
      </c>
      <c r="AM3840" t="s">
        <v>43</v>
      </c>
      <c r="AN3840" t="str">
        <f>HYPERLINK("https://www.google.com/maps?q=10.76308918,79.69438171","Open Location")</f>
        <v>Open Location</v>
      </c>
    </row>
    <row r="3841" spans="1:40" x14ac:dyDescent="0.3">
      <c r="A3841" s="1">
        <v>46210.555092592593</v>
      </c>
      <c r="B3841" t="s">
        <v>40</v>
      </c>
      <c r="C3841" t="s">
        <v>41</v>
      </c>
      <c r="D3841" s="1">
        <v>46210.557893518519</v>
      </c>
      <c r="E3841" t="s">
        <v>42</v>
      </c>
      <c r="F3841" t="s">
        <v>43</v>
      </c>
      <c r="G3841" t="s">
        <v>43</v>
      </c>
      <c r="H3841" t="s">
        <v>43</v>
      </c>
      <c r="I3841" t="s">
        <v>2279</v>
      </c>
      <c r="J3841" t="s">
        <v>43</v>
      </c>
      <c r="K3841" t="s">
        <v>43</v>
      </c>
      <c r="L3841" t="s">
        <v>43</v>
      </c>
      <c r="M3841" t="s">
        <v>43</v>
      </c>
      <c r="N3841" t="s">
        <v>45</v>
      </c>
      <c r="O3841" t="s">
        <v>43</v>
      </c>
      <c r="P3841" t="s">
        <v>43</v>
      </c>
      <c r="Q3841" t="s">
        <v>43</v>
      </c>
      <c r="R3841" t="s">
        <v>43</v>
      </c>
      <c r="S3841" t="s">
        <v>43</v>
      </c>
      <c r="T3841" t="s">
        <v>43</v>
      </c>
      <c r="U3841" t="s">
        <v>43</v>
      </c>
      <c r="V3841" t="s">
        <v>43</v>
      </c>
      <c r="W3841" t="s">
        <v>43</v>
      </c>
      <c r="X3841" t="s">
        <v>43</v>
      </c>
      <c r="Y3841" t="s">
        <v>43</v>
      </c>
      <c r="Z3841" t="s">
        <v>43</v>
      </c>
      <c r="AA3841" t="s">
        <v>43</v>
      </c>
      <c r="AB3841" t="s">
        <v>43</v>
      </c>
      <c r="AC3841" t="s">
        <v>43</v>
      </c>
      <c r="AD3841" t="s">
        <v>43</v>
      </c>
      <c r="AE3841" t="s">
        <v>43</v>
      </c>
      <c r="AF3841" t="s">
        <v>43</v>
      </c>
      <c r="AG3841" t="s">
        <v>43</v>
      </c>
      <c r="AH3841" t="s">
        <v>43</v>
      </c>
      <c r="AI3841" t="s">
        <v>43</v>
      </c>
      <c r="AJ3841" t="s">
        <v>43</v>
      </c>
      <c r="AK3841" t="s">
        <v>43</v>
      </c>
      <c r="AL3841" t="s">
        <v>43</v>
      </c>
      <c r="AM3841" t="s">
        <v>43</v>
      </c>
      <c r="AN3841" t="str">
        <f>HYPERLINK("https://www.google.com/maps?q=10.76308441,79.69438171","Open Location")</f>
        <v>Open Location</v>
      </c>
    </row>
    <row r="3842" spans="1:40" x14ac:dyDescent="0.3">
      <c r="A3842" s="1">
        <v>46210.554976851854</v>
      </c>
      <c r="B3842" t="s">
        <v>40</v>
      </c>
      <c r="C3842" t="s">
        <v>41</v>
      </c>
      <c r="D3842" s="1">
        <v>46210.558159722219</v>
      </c>
      <c r="E3842" t="s">
        <v>42</v>
      </c>
      <c r="F3842" t="s">
        <v>43</v>
      </c>
      <c r="G3842" t="s">
        <v>43</v>
      </c>
      <c r="H3842" t="s">
        <v>43</v>
      </c>
      <c r="I3842" t="s">
        <v>2278</v>
      </c>
      <c r="J3842" t="s">
        <v>43</v>
      </c>
      <c r="K3842" t="s">
        <v>43</v>
      </c>
      <c r="L3842" t="s">
        <v>43</v>
      </c>
      <c r="M3842" t="s">
        <v>43</v>
      </c>
      <c r="N3842" t="s">
        <v>45</v>
      </c>
      <c r="O3842" t="s">
        <v>43</v>
      </c>
      <c r="P3842" t="s">
        <v>43</v>
      </c>
      <c r="Q3842" t="s">
        <v>43</v>
      </c>
      <c r="R3842" t="s">
        <v>43</v>
      </c>
      <c r="S3842" t="s">
        <v>43</v>
      </c>
      <c r="T3842" t="s">
        <v>43</v>
      </c>
      <c r="U3842" t="s">
        <v>43</v>
      </c>
      <c r="V3842" t="s">
        <v>43</v>
      </c>
      <c r="W3842" t="s">
        <v>43</v>
      </c>
      <c r="X3842" t="s">
        <v>43</v>
      </c>
      <c r="Y3842" t="s">
        <v>43</v>
      </c>
      <c r="Z3842" t="s">
        <v>43</v>
      </c>
      <c r="AA3842" t="s">
        <v>43</v>
      </c>
      <c r="AB3842" t="s">
        <v>43</v>
      </c>
      <c r="AC3842" t="s">
        <v>43</v>
      </c>
      <c r="AD3842" t="s">
        <v>43</v>
      </c>
      <c r="AE3842" t="s">
        <v>43</v>
      </c>
      <c r="AF3842" t="s">
        <v>43</v>
      </c>
      <c r="AG3842" t="s">
        <v>43</v>
      </c>
      <c r="AH3842" t="s">
        <v>43</v>
      </c>
      <c r="AI3842" t="s">
        <v>43</v>
      </c>
      <c r="AJ3842" t="s">
        <v>43</v>
      </c>
      <c r="AK3842" t="s">
        <v>43</v>
      </c>
      <c r="AL3842" t="s">
        <v>43</v>
      </c>
      <c r="AM3842" t="s">
        <v>43</v>
      </c>
      <c r="AN3842" t="str">
        <f>HYPERLINK("https://www.google.com/maps?q=10.76308537,79.69438171","Open Location")</f>
        <v>Open Location</v>
      </c>
    </row>
    <row r="3843" spans="1:40" x14ac:dyDescent="0.3">
      <c r="A3843" s="1">
        <v>46210.554861111108</v>
      </c>
      <c r="B3843" t="s">
        <v>40</v>
      </c>
      <c r="C3843" t="s">
        <v>41</v>
      </c>
      <c r="D3843" s="1">
        <v>46210.557905092595</v>
      </c>
      <c r="E3843" t="s">
        <v>42</v>
      </c>
      <c r="F3843" t="s">
        <v>43</v>
      </c>
      <c r="G3843" t="s">
        <v>43</v>
      </c>
      <c r="H3843" t="s">
        <v>43</v>
      </c>
      <c r="I3843" t="s">
        <v>2278</v>
      </c>
      <c r="J3843" t="s">
        <v>43</v>
      </c>
      <c r="K3843" t="s">
        <v>43</v>
      </c>
      <c r="L3843" t="s">
        <v>43</v>
      </c>
      <c r="M3843" t="s">
        <v>43</v>
      </c>
      <c r="N3843" t="s">
        <v>45</v>
      </c>
      <c r="O3843" t="s">
        <v>43</v>
      </c>
      <c r="P3843" t="s">
        <v>43</v>
      </c>
      <c r="Q3843" t="s">
        <v>43</v>
      </c>
      <c r="R3843" t="s">
        <v>43</v>
      </c>
      <c r="S3843" t="s">
        <v>43</v>
      </c>
      <c r="T3843" t="s">
        <v>43</v>
      </c>
      <c r="U3843" t="s">
        <v>43</v>
      </c>
      <c r="V3843" t="s">
        <v>43</v>
      </c>
      <c r="W3843" t="s">
        <v>43</v>
      </c>
      <c r="X3843" t="s">
        <v>43</v>
      </c>
      <c r="Y3843" t="s">
        <v>43</v>
      </c>
      <c r="Z3843" t="s">
        <v>43</v>
      </c>
      <c r="AA3843" t="s">
        <v>43</v>
      </c>
      <c r="AB3843" t="s">
        <v>43</v>
      </c>
      <c r="AC3843" t="s">
        <v>43</v>
      </c>
      <c r="AD3843" t="s">
        <v>43</v>
      </c>
      <c r="AE3843" t="s">
        <v>43</v>
      </c>
      <c r="AF3843" t="s">
        <v>43</v>
      </c>
      <c r="AG3843" t="s">
        <v>43</v>
      </c>
      <c r="AH3843" t="s">
        <v>43</v>
      </c>
      <c r="AI3843" t="s">
        <v>43</v>
      </c>
      <c r="AJ3843" t="s">
        <v>43</v>
      </c>
      <c r="AK3843" t="s">
        <v>43</v>
      </c>
      <c r="AL3843" t="s">
        <v>43</v>
      </c>
      <c r="AM3843" t="s">
        <v>43</v>
      </c>
      <c r="AN3843" t="str">
        <f>HYPERLINK("https://www.google.com/maps?q=10.76308537,79.69438171","Open Location")</f>
        <v>Open Location</v>
      </c>
    </row>
    <row r="3844" spans="1:40" x14ac:dyDescent="0.3">
      <c r="A3844" s="1">
        <v>46210.554745370369</v>
      </c>
      <c r="B3844" t="s">
        <v>40</v>
      </c>
      <c r="C3844" t="s">
        <v>41</v>
      </c>
      <c r="D3844" s="1">
        <v>46210.557719907411</v>
      </c>
      <c r="E3844" t="s">
        <v>42</v>
      </c>
      <c r="F3844" t="s">
        <v>43</v>
      </c>
      <c r="G3844" t="s">
        <v>43</v>
      </c>
      <c r="H3844" t="s">
        <v>43</v>
      </c>
      <c r="I3844" t="s">
        <v>43</v>
      </c>
      <c r="J3844" t="s">
        <v>43</v>
      </c>
      <c r="K3844" t="s">
        <v>43</v>
      </c>
      <c r="L3844" t="s">
        <v>43</v>
      </c>
      <c r="M3844" t="s">
        <v>43</v>
      </c>
      <c r="N3844" t="s">
        <v>45</v>
      </c>
      <c r="O3844" t="s">
        <v>43</v>
      </c>
      <c r="P3844" t="s">
        <v>43</v>
      </c>
      <c r="Q3844" t="s">
        <v>43</v>
      </c>
      <c r="R3844" t="s">
        <v>43</v>
      </c>
      <c r="S3844" t="s">
        <v>43</v>
      </c>
      <c r="T3844" t="s">
        <v>43</v>
      </c>
      <c r="U3844" t="s">
        <v>43</v>
      </c>
      <c r="V3844" t="s">
        <v>43</v>
      </c>
      <c r="W3844" t="s">
        <v>43</v>
      </c>
      <c r="X3844" t="s">
        <v>43</v>
      </c>
      <c r="Y3844" t="s">
        <v>43</v>
      </c>
      <c r="Z3844" t="s">
        <v>43</v>
      </c>
      <c r="AA3844" t="s">
        <v>43</v>
      </c>
      <c r="AB3844" t="s">
        <v>43</v>
      </c>
      <c r="AC3844" t="s">
        <v>43</v>
      </c>
      <c r="AD3844" t="s">
        <v>43</v>
      </c>
      <c r="AE3844" t="s">
        <v>43</v>
      </c>
      <c r="AF3844" t="s">
        <v>43</v>
      </c>
      <c r="AG3844" t="s">
        <v>43</v>
      </c>
      <c r="AH3844" t="s">
        <v>43</v>
      </c>
      <c r="AI3844" t="s">
        <v>43</v>
      </c>
      <c r="AJ3844" t="s">
        <v>43</v>
      </c>
      <c r="AK3844" t="s">
        <v>43</v>
      </c>
      <c r="AL3844" t="s">
        <v>43</v>
      </c>
      <c r="AM3844" t="s">
        <v>43</v>
      </c>
      <c r="AN3844" t="s">
        <v>43</v>
      </c>
    </row>
    <row r="3845" spans="1:40" x14ac:dyDescent="0.3">
      <c r="A3845" s="1">
        <v>46210.554629629631</v>
      </c>
      <c r="B3845" t="s">
        <v>40</v>
      </c>
      <c r="C3845" t="s">
        <v>41</v>
      </c>
      <c r="D3845" s="1">
        <v>46210.557349537034</v>
      </c>
      <c r="E3845" t="s">
        <v>42</v>
      </c>
      <c r="F3845" t="s">
        <v>43</v>
      </c>
      <c r="G3845" t="s">
        <v>43</v>
      </c>
      <c r="H3845" t="s">
        <v>43</v>
      </c>
      <c r="I3845" t="s">
        <v>2285</v>
      </c>
      <c r="J3845" t="s">
        <v>43</v>
      </c>
      <c r="K3845" t="s">
        <v>43</v>
      </c>
      <c r="L3845" t="s">
        <v>43</v>
      </c>
      <c r="M3845" t="s">
        <v>43</v>
      </c>
      <c r="N3845" t="s">
        <v>45</v>
      </c>
      <c r="O3845" t="s">
        <v>43</v>
      </c>
      <c r="P3845" t="s">
        <v>43</v>
      </c>
      <c r="Q3845" t="s">
        <v>43</v>
      </c>
      <c r="R3845" t="s">
        <v>43</v>
      </c>
      <c r="S3845" t="s">
        <v>43</v>
      </c>
      <c r="T3845" t="s">
        <v>43</v>
      </c>
      <c r="U3845" t="s">
        <v>43</v>
      </c>
      <c r="V3845" t="s">
        <v>43</v>
      </c>
      <c r="W3845" t="s">
        <v>43</v>
      </c>
      <c r="X3845" t="s">
        <v>43</v>
      </c>
      <c r="Y3845" t="s">
        <v>43</v>
      </c>
      <c r="Z3845" t="s">
        <v>43</v>
      </c>
      <c r="AA3845" t="s">
        <v>43</v>
      </c>
      <c r="AB3845" t="s">
        <v>43</v>
      </c>
      <c r="AC3845" t="s">
        <v>43</v>
      </c>
      <c r="AD3845" t="s">
        <v>43</v>
      </c>
      <c r="AE3845" t="s">
        <v>43</v>
      </c>
      <c r="AF3845" t="s">
        <v>43</v>
      </c>
      <c r="AG3845" t="s">
        <v>43</v>
      </c>
      <c r="AH3845" t="s">
        <v>43</v>
      </c>
      <c r="AI3845" t="s">
        <v>43</v>
      </c>
      <c r="AJ3845" t="s">
        <v>43</v>
      </c>
      <c r="AK3845" t="s">
        <v>43</v>
      </c>
      <c r="AL3845" t="s">
        <v>43</v>
      </c>
      <c r="AM3845" t="s">
        <v>43</v>
      </c>
      <c r="AN3845" t="str">
        <f>HYPERLINK("https://www.google.com/maps?q=10.76308632,79.69437408","Open Location")</f>
        <v>Open Location</v>
      </c>
    </row>
    <row r="3846" spans="1:40" x14ac:dyDescent="0.3">
      <c r="A3846" s="1">
        <v>46210.554513888892</v>
      </c>
      <c r="B3846" t="s">
        <v>40</v>
      </c>
      <c r="C3846" t="s">
        <v>41</v>
      </c>
      <c r="D3846" s="1">
        <v>46210.557488425926</v>
      </c>
      <c r="E3846" t="s">
        <v>42</v>
      </c>
      <c r="F3846" t="s">
        <v>43</v>
      </c>
      <c r="G3846" t="s">
        <v>43</v>
      </c>
      <c r="H3846" t="s">
        <v>43</v>
      </c>
      <c r="I3846" t="s">
        <v>2286</v>
      </c>
      <c r="J3846" t="s">
        <v>43</v>
      </c>
      <c r="K3846" t="s">
        <v>43</v>
      </c>
      <c r="L3846" t="s">
        <v>43</v>
      </c>
      <c r="M3846" t="s">
        <v>43</v>
      </c>
      <c r="N3846" t="s">
        <v>45</v>
      </c>
      <c r="O3846" t="s">
        <v>43</v>
      </c>
      <c r="P3846" t="s">
        <v>43</v>
      </c>
      <c r="Q3846" t="s">
        <v>43</v>
      </c>
      <c r="R3846" t="s">
        <v>43</v>
      </c>
      <c r="S3846" t="s">
        <v>43</v>
      </c>
      <c r="T3846" t="s">
        <v>43</v>
      </c>
      <c r="U3846" t="s">
        <v>43</v>
      </c>
      <c r="V3846" t="s">
        <v>43</v>
      </c>
      <c r="W3846" t="s">
        <v>43</v>
      </c>
      <c r="X3846" t="s">
        <v>43</v>
      </c>
      <c r="Y3846" t="s">
        <v>43</v>
      </c>
      <c r="Z3846" t="s">
        <v>43</v>
      </c>
      <c r="AA3846" t="s">
        <v>43</v>
      </c>
      <c r="AB3846" t="s">
        <v>43</v>
      </c>
      <c r="AC3846" t="s">
        <v>43</v>
      </c>
      <c r="AD3846" t="s">
        <v>43</v>
      </c>
      <c r="AE3846" t="s">
        <v>43</v>
      </c>
      <c r="AF3846" t="s">
        <v>43</v>
      </c>
      <c r="AG3846" t="s">
        <v>43</v>
      </c>
      <c r="AH3846" t="s">
        <v>43</v>
      </c>
      <c r="AI3846" t="s">
        <v>43</v>
      </c>
      <c r="AJ3846" t="s">
        <v>43</v>
      </c>
      <c r="AK3846" t="s">
        <v>43</v>
      </c>
      <c r="AL3846" t="s">
        <v>43</v>
      </c>
      <c r="AM3846" t="s">
        <v>43</v>
      </c>
      <c r="AN3846" t="str">
        <f>HYPERLINK("https://www.google.com/maps?q=10.76308727,79.69438171","Open Location")</f>
        <v>Open Location</v>
      </c>
    </row>
    <row r="3847" spans="1:40" x14ac:dyDescent="0.3">
      <c r="A3847" s="1">
        <v>46210.554398148146</v>
      </c>
      <c r="B3847" t="s">
        <v>40</v>
      </c>
      <c r="C3847" t="s">
        <v>41</v>
      </c>
      <c r="D3847" s="1">
        <v>46210.557118055556</v>
      </c>
      <c r="E3847" t="s">
        <v>42</v>
      </c>
      <c r="F3847" t="s">
        <v>43</v>
      </c>
      <c r="G3847" t="s">
        <v>43</v>
      </c>
      <c r="H3847" t="s">
        <v>43</v>
      </c>
      <c r="I3847" t="s">
        <v>2280</v>
      </c>
      <c r="J3847" t="s">
        <v>43</v>
      </c>
      <c r="K3847" t="s">
        <v>43</v>
      </c>
      <c r="L3847" t="s">
        <v>43</v>
      </c>
      <c r="M3847" t="s">
        <v>43</v>
      </c>
      <c r="N3847" t="s">
        <v>45</v>
      </c>
      <c r="O3847" t="s">
        <v>43</v>
      </c>
      <c r="P3847" t="s">
        <v>43</v>
      </c>
      <c r="Q3847" t="s">
        <v>43</v>
      </c>
      <c r="R3847" t="s">
        <v>43</v>
      </c>
      <c r="S3847" t="s">
        <v>43</v>
      </c>
      <c r="T3847" t="s">
        <v>43</v>
      </c>
      <c r="U3847" t="s">
        <v>43</v>
      </c>
      <c r="V3847" t="s">
        <v>43</v>
      </c>
      <c r="W3847" t="s">
        <v>43</v>
      </c>
      <c r="X3847" t="s">
        <v>43</v>
      </c>
      <c r="Y3847" t="s">
        <v>43</v>
      </c>
      <c r="Z3847" t="s">
        <v>43</v>
      </c>
      <c r="AA3847" t="s">
        <v>43</v>
      </c>
      <c r="AB3847" t="s">
        <v>43</v>
      </c>
      <c r="AC3847" t="s">
        <v>43</v>
      </c>
      <c r="AD3847" t="s">
        <v>43</v>
      </c>
      <c r="AE3847" t="s">
        <v>43</v>
      </c>
      <c r="AF3847" t="s">
        <v>43</v>
      </c>
      <c r="AG3847" t="s">
        <v>43</v>
      </c>
      <c r="AH3847" t="s">
        <v>43</v>
      </c>
      <c r="AI3847" t="s">
        <v>43</v>
      </c>
      <c r="AJ3847" t="s">
        <v>43</v>
      </c>
      <c r="AK3847" t="s">
        <v>43</v>
      </c>
      <c r="AL3847" t="s">
        <v>43</v>
      </c>
      <c r="AM3847" t="s">
        <v>43</v>
      </c>
      <c r="AN3847" t="str">
        <f>HYPERLINK("https://www.google.com/maps?q=10.76308441,79.69437408","Open Location")</f>
        <v>Open Location</v>
      </c>
    </row>
    <row r="3848" spans="1:40" x14ac:dyDescent="0.3">
      <c r="A3848" s="1">
        <v>46210.554282407407</v>
      </c>
      <c r="B3848" t="s">
        <v>40</v>
      </c>
      <c r="C3848" t="s">
        <v>41</v>
      </c>
      <c r="D3848" s="1">
        <v>46210.557291666664</v>
      </c>
      <c r="E3848" t="s">
        <v>42</v>
      </c>
      <c r="F3848" t="s">
        <v>43</v>
      </c>
      <c r="G3848" t="s">
        <v>43</v>
      </c>
      <c r="H3848" t="s">
        <v>43</v>
      </c>
      <c r="I3848" t="s">
        <v>2287</v>
      </c>
      <c r="J3848" t="s">
        <v>43</v>
      </c>
      <c r="K3848" t="s">
        <v>43</v>
      </c>
      <c r="L3848" t="s">
        <v>43</v>
      </c>
      <c r="M3848" t="s">
        <v>43</v>
      </c>
      <c r="N3848" t="s">
        <v>45</v>
      </c>
      <c r="O3848" t="s">
        <v>43</v>
      </c>
      <c r="P3848" t="s">
        <v>43</v>
      </c>
      <c r="Q3848" t="s">
        <v>43</v>
      </c>
      <c r="R3848" t="s">
        <v>43</v>
      </c>
      <c r="S3848" t="s">
        <v>43</v>
      </c>
      <c r="T3848" t="s">
        <v>43</v>
      </c>
      <c r="U3848" t="s">
        <v>43</v>
      </c>
      <c r="V3848" t="s">
        <v>43</v>
      </c>
      <c r="W3848" t="s">
        <v>43</v>
      </c>
      <c r="X3848" t="s">
        <v>43</v>
      </c>
      <c r="Y3848" t="s">
        <v>43</v>
      </c>
      <c r="Z3848" t="s">
        <v>43</v>
      </c>
      <c r="AA3848" t="s">
        <v>43</v>
      </c>
      <c r="AB3848" t="s">
        <v>43</v>
      </c>
      <c r="AC3848" t="s">
        <v>43</v>
      </c>
      <c r="AD3848" t="s">
        <v>43</v>
      </c>
      <c r="AE3848" t="s">
        <v>43</v>
      </c>
      <c r="AF3848" t="s">
        <v>43</v>
      </c>
      <c r="AG3848" t="s">
        <v>43</v>
      </c>
      <c r="AH3848" t="s">
        <v>43</v>
      </c>
      <c r="AI3848" t="s">
        <v>43</v>
      </c>
      <c r="AJ3848" t="s">
        <v>43</v>
      </c>
      <c r="AK3848" t="s">
        <v>43</v>
      </c>
      <c r="AL3848" t="s">
        <v>43</v>
      </c>
      <c r="AM3848" t="s">
        <v>43</v>
      </c>
      <c r="AN3848" t="str">
        <f>HYPERLINK("https://www.google.com/maps?q=10.76308727,79.69437408","Open Location")</f>
        <v>Open Location</v>
      </c>
    </row>
    <row r="3849" spans="1:40" x14ac:dyDescent="0.3">
      <c r="A3849" s="1">
        <v>46210.554166666669</v>
      </c>
      <c r="B3849" t="s">
        <v>40</v>
      </c>
      <c r="C3849" t="s">
        <v>41</v>
      </c>
      <c r="D3849" s="1">
        <v>46210.557083333333</v>
      </c>
      <c r="E3849" t="s">
        <v>42</v>
      </c>
      <c r="F3849" t="s">
        <v>43</v>
      </c>
      <c r="G3849" t="s">
        <v>43</v>
      </c>
      <c r="H3849" t="s">
        <v>43</v>
      </c>
      <c r="I3849" t="s">
        <v>43</v>
      </c>
      <c r="J3849" t="s">
        <v>43</v>
      </c>
      <c r="K3849" t="s">
        <v>43</v>
      </c>
      <c r="L3849" t="s">
        <v>43</v>
      </c>
      <c r="M3849" t="s">
        <v>43</v>
      </c>
      <c r="N3849" t="s">
        <v>45</v>
      </c>
      <c r="O3849" t="s">
        <v>43</v>
      </c>
      <c r="P3849" t="s">
        <v>43</v>
      </c>
      <c r="Q3849" t="s">
        <v>43</v>
      </c>
      <c r="R3849" t="s">
        <v>43</v>
      </c>
      <c r="S3849" t="s">
        <v>43</v>
      </c>
      <c r="T3849" t="s">
        <v>43</v>
      </c>
      <c r="U3849" t="s">
        <v>43</v>
      </c>
      <c r="V3849" t="s">
        <v>43</v>
      </c>
      <c r="W3849" t="s">
        <v>43</v>
      </c>
      <c r="X3849" t="s">
        <v>43</v>
      </c>
      <c r="Y3849" t="s">
        <v>43</v>
      </c>
      <c r="Z3849" t="s">
        <v>43</v>
      </c>
      <c r="AA3849" t="s">
        <v>43</v>
      </c>
      <c r="AB3849" t="s">
        <v>43</v>
      </c>
      <c r="AC3849" t="s">
        <v>43</v>
      </c>
      <c r="AD3849" t="s">
        <v>43</v>
      </c>
      <c r="AE3849" t="s">
        <v>43</v>
      </c>
      <c r="AF3849" t="s">
        <v>43</v>
      </c>
      <c r="AG3849" t="s">
        <v>43</v>
      </c>
      <c r="AH3849" t="s">
        <v>43</v>
      </c>
      <c r="AI3849" t="s">
        <v>43</v>
      </c>
      <c r="AJ3849" t="s">
        <v>43</v>
      </c>
      <c r="AK3849" t="s">
        <v>43</v>
      </c>
      <c r="AL3849" t="s">
        <v>43</v>
      </c>
      <c r="AM3849" t="s">
        <v>43</v>
      </c>
      <c r="AN3849" t="s">
        <v>43</v>
      </c>
    </row>
    <row r="3850" spans="1:40" x14ac:dyDescent="0.3">
      <c r="A3850" s="1">
        <v>46210.554050925923</v>
      </c>
      <c r="B3850" t="s">
        <v>40</v>
      </c>
      <c r="C3850" t="s">
        <v>41</v>
      </c>
      <c r="D3850" s="1">
        <v>46210.556990740741</v>
      </c>
      <c r="E3850" t="s">
        <v>42</v>
      </c>
      <c r="F3850" t="s">
        <v>43</v>
      </c>
      <c r="G3850" t="s">
        <v>43</v>
      </c>
      <c r="H3850" t="s">
        <v>43</v>
      </c>
      <c r="I3850" t="s">
        <v>2285</v>
      </c>
      <c r="J3850" t="s">
        <v>43</v>
      </c>
      <c r="K3850" t="s">
        <v>43</v>
      </c>
      <c r="L3850" t="s">
        <v>43</v>
      </c>
      <c r="M3850" t="s">
        <v>43</v>
      </c>
      <c r="N3850" t="s">
        <v>45</v>
      </c>
      <c r="O3850" t="s">
        <v>43</v>
      </c>
      <c r="P3850" t="s">
        <v>43</v>
      </c>
      <c r="Q3850" t="s">
        <v>43</v>
      </c>
      <c r="R3850" t="s">
        <v>43</v>
      </c>
      <c r="S3850" t="s">
        <v>43</v>
      </c>
      <c r="T3850" t="s">
        <v>43</v>
      </c>
      <c r="U3850" t="s">
        <v>43</v>
      </c>
      <c r="V3850" t="s">
        <v>43</v>
      </c>
      <c r="W3850" t="s">
        <v>43</v>
      </c>
      <c r="X3850" t="s">
        <v>43</v>
      </c>
      <c r="Y3850" t="s">
        <v>43</v>
      </c>
      <c r="Z3850" t="s">
        <v>43</v>
      </c>
      <c r="AA3850" t="s">
        <v>43</v>
      </c>
      <c r="AB3850" t="s">
        <v>43</v>
      </c>
      <c r="AC3850" t="s">
        <v>43</v>
      </c>
      <c r="AD3850" t="s">
        <v>43</v>
      </c>
      <c r="AE3850" t="s">
        <v>43</v>
      </c>
      <c r="AF3850" t="s">
        <v>43</v>
      </c>
      <c r="AG3850" t="s">
        <v>43</v>
      </c>
      <c r="AH3850" t="s">
        <v>43</v>
      </c>
      <c r="AI3850" t="s">
        <v>43</v>
      </c>
      <c r="AJ3850" t="s">
        <v>43</v>
      </c>
      <c r="AK3850" t="s">
        <v>43</v>
      </c>
      <c r="AL3850" t="s">
        <v>43</v>
      </c>
      <c r="AM3850" t="s">
        <v>43</v>
      </c>
      <c r="AN3850" t="str">
        <f>HYPERLINK("https://www.google.com/maps?q=10.76308632,79.69437408","Open Location")</f>
        <v>Open Location</v>
      </c>
    </row>
    <row r="3851" spans="1:40" x14ac:dyDescent="0.3">
      <c r="A3851" s="1">
        <v>46210.553935185184</v>
      </c>
      <c r="B3851" t="s">
        <v>40</v>
      </c>
      <c r="C3851" t="s">
        <v>41</v>
      </c>
      <c r="D3851" s="1">
        <v>46210.556655092594</v>
      </c>
      <c r="E3851" t="s">
        <v>42</v>
      </c>
      <c r="F3851" t="s">
        <v>43</v>
      </c>
      <c r="G3851" t="s">
        <v>43</v>
      </c>
      <c r="H3851" t="s">
        <v>43</v>
      </c>
      <c r="I3851" t="s">
        <v>2285</v>
      </c>
      <c r="J3851" t="s">
        <v>43</v>
      </c>
      <c r="K3851" t="s">
        <v>43</v>
      </c>
      <c r="L3851" t="s">
        <v>43</v>
      </c>
      <c r="M3851" t="s">
        <v>43</v>
      </c>
      <c r="N3851" t="s">
        <v>45</v>
      </c>
      <c r="O3851" t="s">
        <v>43</v>
      </c>
      <c r="P3851" t="s">
        <v>43</v>
      </c>
      <c r="Q3851" t="s">
        <v>43</v>
      </c>
      <c r="R3851" t="s">
        <v>43</v>
      </c>
      <c r="S3851" t="s">
        <v>43</v>
      </c>
      <c r="T3851" t="s">
        <v>43</v>
      </c>
      <c r="U3851" t="s">
        <v>43</v>
      </c>
      <c r="V3851" t="s">
        <v>43</v>
      </c>
      <c r="W3851" t="s">
        <v>43</v>
      </c>
      <c r="X3851" t="s">
        <v>43</v>
      </c>
      <c r="Y3851" t="s">
        <v>43</v>
      </c>
      <c r="Z3851" t="s">
        <v>43</v>
      </c>
      <c r="AA3851" t="s">
        <v>43</v>
      </c>
      <c r="AB3851" t="s">
        <v>43</v>
      </c>
      <c r="AC3851" t="s">
        <v>43</v>
      </c>
      <c r="AD3851" t="s">
        <v>43</v>
      </c>
      <c r="AE3851" t="s">
        <v>43</v>
      </c>
      <c r="AF3851" t="s">
        <v>43</v>
      </c>
      <c r="AG3851" t="s">
        <v>43</v>
      </c>
      <c r="AH3851" t="s">
        <v>43</v>
      </c>
      <c r="AI3851" t="s">
        <v>43</v>
      </c>
      <c r="AJ3851" t="s">
        <v>43</v>
      </c>
      <c r="AK3851" t="s">
        <v>43</v>
      </c>
      <c r="AL3851" t="s">
        <v>43</v>
      </c>
      <c r="AM3851" t="s">
        <v>43</v>
      </c>
      <c r="AN3851" t="str">
        <f>HYPERLINK("https://www.google.com/maps?q=10.76308632,79.69437408","Open Location")</f>
        <v>Open Location</v>
      </c>
    </row>
    <row r="3852" spans="1:40" x14ac:dyDescent="0.3">
      <c r="A3852" s="1">
        <v>46210.553819444445</v>
      </c>
      <c r="B3852" t="s">
        <v>40</v>
      </c>
      <c r="C3852" t="s">
        <v>41</v>
      </c>
      <c r="D3852" s="1">
        <v>46210.55667824074</v>
      </c>
      <c r="E3852" t="s">
        <v>42</v>
      </c>
      <c r="F3852" t="s">
        <v>43</v>
      </c>
      <c r="G3852" t="s">
        <v>43</v>
      </c>
      <c r="H3852" t="s">
        <v>43</v>
      </c>
      <c r="I3852" t="s">
        <v>2288</v>
      </c>
      <c r="J3852" t="s">
        <v>43</v>
      </c>
      <c r="K3852" t="s">
        <v>43</v>
      </c>
      <c r="L3852" t="s">
        <v>43</v>
      </c>
      <c r="M3852" t="s">
        <v>43</v>
      </c>
      <c r="N3852" t="s">
        <v>45</v>
      </c>
      <c r="O3852" t="s">
        <v>43</v>
      </c>
      <c r="P3852" t="s">
        <v>43</v>
      </c>
      <c r="Q3852" t="s">
        <v>43</v>
      </c>
      <c r="R3852" t="s">
        <v>43</v>
      </c>
      <c r="S3852" t="s">
        <v>43</v>
      </c>
      <c r="T3852" t="s">
        <v>43</v>
      </c>
      <c r="U3852" t="s">
        <v>43</v>
      </c>
      <c r="V3852" t="s">
        <v>43</v>
      </c>
      <c r="W3852" t="s">
        <v>43</v>
      </c>
      <c r="X3852" t="s">
        <v>43</v>
      </c>
      <c r="Y3852" t="s">
        <v>43</v>
      </c>
      <c r="Z3852" t="s">
        <v>43</v>
      </c>
      <c r="AA3852" t="s">
        <v>43</v>
      </c>
      <c r="AB3852" t="s">
        <v>43</v>
      </c>
      <c r="AC3852" t="s">
        <v>43</v>
      </c>
      <c r="AD3852" t="s">
        <v>43</v>
      </c>
      <c r="AE3852" t="s">
        <v>43</v>
      </c>
      <c r="AF3852" t="s">
        <v>43</v>
      </c>
      <c r="AG3852" t="s">
        <v>43</v>
      </c>
      <c r="AH3852" t="s">
        <v>43</v>
      </c>
      <c r="AI3852" t="s">
        <v>43</v>
      </c>
      <c r="AJ3852" t="s">
        <v>43</v>
      </c>
      <c r="AK3852" t="s">
        <v>43</v>
      </c>
      <c r="AL3852" t="s">
        <v>43</v>
      </c>
      <c r="AM3852" t="s">
        <v>43</v>
      </c>
      <c r="AN3852" t="str">
        <f>HYPERLINK("https://www.google.com/maps?q=10.76309013,79.69438171","Open Location")</f>
        <v>Open Location</v>
      </c>
    </row>
    <row r="3853" spans="1:40" x14ac:dyDescent="0.3">
      <c r="A3853" s="1">
        <v>46210.553703703707</v>
      </c>
      <c r="B3853" t="s">
        <v>40</v>
      </c>
      <c r="C3853" t="s">
        <v>41</v>
      </c>
      <c r="D3853" s="1">
        <v>46210.556805555556</v>
      </c>
      <c r="E3853" t="s">
        <v>42</v>
      </c>
      <c r="F3853" t="s">
        <v>43</v>
      </c>
      <c r="G3853" t="s">
        <v>43</v>
      </c>
      <c r="H3853" t="s">
        <v>43</v>
      </c>
      <c r="I3853" t="s">
        <v>2289</v>
      </c>
      <c r="J3853" t="s">
        <v>43</v>
      </c>
      <c r="K3853" t="s">
        <v>43</v>
      </c>
      <c r="L3853" t="s">
        <v>43</v>
      </c>
      <c r="M3853" t="s">
        <v>43</v>
      </c>
      <c r="N3853" t="s">
        <v>45</v>
      </c>
      <c r="O3853" t="s">
        <v>43</v>
      </c>
      <c r="P3853" t="s">
        <v>43</v>
      </c>
      <c r="Q3853" t="s">
        <v>43</v>
      </c>
      <c r="R3853" t="s">
        <v>43</v>
      </c>
      <c r="S3853" t="s">
        <v>43</v>
      </c>
      <c r="T3853" t="s">
        <v>43</v>
      </c>
      <c r="U3853" t="s">
        <v>43</v>
      </c>
      <c r="V3853" t="s">
        <v>43</v>
      </c>
      <c r="W3853" t="s">
        <v>43</v>
      </c>
      <c r="X3853" t="s">
        <v>43</v>
      </c>
      <c r="Y3853" t="s">
        <v>43</v>
      </c>
      <c r="Z3853" t="s">
        <v>43</v>
      </c>
      <c r="AA3853" t="s">
        <v>43</v>
      </c>
      <c r="AB3853" t="s">
        <v>43</v>
      </c>
      <c r="AC3853" t="s">
        <v>43</v>
      </c>
      <c r="AD3853" t="s">
        <v>43</v>
      </c>
      <c r="AE3853" t="s">
        <v>43</v>
      </c>
      <c r="AF3853" t="s">
        <v>43</v>
      </c>
      <c r="AG3853" t="s">
        <v>43</v>
      </c>
      <c r="AH3853" t="s">
        <v>43</v>
      </c>
      <c r="AI3853" t="s">
        <v>43</v>
      </c>
      <c r="AJ3853" t="s">
        <v>43</v>
      </c>
      <c r="AK3853" t="s">
        <v>43</v>
      </c>
      <c r="AL3853" t="s">
        <v>43</v>
      </c>
      <c r="AM3853" t="s">
        <v>43</v>
      </c>
      <c r="AN3853" t="str">
        <f>HYPERLINK("https://www.google.com/maps?q=10.76308823,79.69437408","Open Location")</f>
        <v>Open Location</v>
      </c>
    </row>
    <row r="3854" spans="1:40" x14ac:dyDescent="0.3">
      <c r="A3854" s="1">
        <v>46210.553587962961</v>
      </c>
      <c r="B3854" t="s">
        <v>40</v>
      </c>
      <c r="C3854" t="s">
        <v>41</v>
      </c>
      <c r="D3854" s="1">
        <v>46210.556805555556</v>
      </c>
      <c r="E3854" t="s">
        <v>42</v>
      </c>
      <c r="F3854" t="s">
        <v>43</v>
      </c>
      <c r="G3854" t="s">
        <v>43</v>
      </c>
      <c r="H3854" t="s">
        <v>43</v>
      </c>
      <c r="I3854" t="s">
        <v>2285</v>
      </c>
      <c r="J3854" t="s">
        <v>43</v>
      </c>
      <c r="K3854" t="s">
        <v>43</v>
      </c>
      <c r="L3854" t="s">
        <v>43</v>
      </c>
      <c r="M3854" t="s">
        <v>43</v>
      </c>
      <c r="N3854" t="s">
        <v>45</v>
      </c>
      <c r="O3854" t="s">
        <v>43</v>
      </c>
      <c r="P3854" t="s">
        <v>43</v>
      </c>
      <c r="Q3854" t="s">
        <v>43</v>
      </c>
      <c r="R3854" t="s">
        <v>43</v>
      </c>
      <c r="S3854" t="s">
        <v>43</v>
      </c>
      <c r="T3854" t="s">
        <v>43</v>
      </c>
      <c r="U3854" t="s">
        <v>43</v>
      </c>
      <c r="V3854" t="s">
        <v>43</v>
      </c>
      <c r="W3854" t="s">
        <v>43</v>
      </c>
      <c r="X3854" t="s">
        <v>43</v>
      </c>
      <c r="Y3854" t="s">
        <v>43</v>
      </c>
      <c r="Z3854" t="s">
        <v>43</v>
      </c>
      <c r="AA3854" t="s">
        <v>43</v>
      </c>
      <c r="AB3854" t="s">
        <v>43</v>
      </c>
      <c r="AC3854" t="s">
        <v>43</v>
      </c>
      <c r="AD3854" t="s">
        <v>43</v>
      </c>
      <c r="AE3854" t="s">
        <v>43</v>
      </c>
      <c r="AF3854" t="s">
        <v>43</v>
      </c>
      <c r="AG3854" t="s">
        <v>43</v>
      </c>
      <c r="AH3854" t="s">
        <v>43</v>
      </c>
      <c r="AI3854" t="s">
        <v>43</v>
      </c>
      <c r="AJ3854" t="s">
        <v>43</v>
      </c>
      <c r="AK3854" t="s">
        <v>43</v>
      </c>
      <c r="AL3854" t="s">
        <v>43</v>
      </c>
      <c r="AM3854" t="s">
        <v>43</v>
      </c>
      <c r="AN3854" t="str">
        <f>HYPERLINK("https://www.google.com/maps?q=10.76308632,79.69437408","Open Location")</f>
        <v>Open Location</v>
      </c>
    </row>
    <row r="3855" spans="1:40" x14ac:dyDescent="0.3">
      <c r="A3855" s="1">
        <v>46210.553472222222</v>
      </c>
      <c r="B3855" t="s">
        <v>40</v>
      </c>
      <c r="C3855" t="s">
        <v>41</v>
      </c>
      <c r="D3855" s="1">
        <v>46210.556238425925</v>
      </c>
      <c r="E3855" t="s">
        <v>42</v>
      </c>
      <c r="F3855" t="s">
        <v>43</v>
      </c>
      <c r="G3855" t="s">
        <v>43</v>
      </c>
      <c r="H3855" t="s">
        <v>43</v>
      </c>
      <c r="I3855" t="s">
        <v>43</v>
      </c>
      <c r="J3855" t="s">
        <v>43</v>
      </c>
      <c r="K3855" t="s">
        <v>43</v>
      </c>
      <c r="L3855" t="s">
        <v>43</v>
      </c>
      <c r="M3855" t="s">
        <v>43</v>
      </c>
      <c r="N3855" t="s">
        <v>45</v>
      </c>
      <c r="O3855" t="s">
        <v>43</v>
      </c>
      <c r="P3855" t="s">
        <v>43</v>
      </c>
      <c r="Q3855" t="s">
        <v>43</v>
      </c>
      <c r="R3855" t="s">
        <v>43</v>
      </c>
      <c r="S3855" t="s">
        <v>43</v>
      </c>
      <c r="T3855" t="s">
        <v>43</v>
      </c>
      <c r="U3855" t="s">
        <v>43</v>
      </c>
      <c r="V3855" t="s">
        <v>43</v>
      </c>
      <c r="W3855" t="s">
        <v>43</v>
      </c>
      <c r="X3855" t="s">
        <v>43</v>
      </c>
      <c r="Y3855" t="s">
        <v>43</v>
      </c>
      <c r="Z3855" t="s">
        <v>43</v>
      </c>
      <c r="AA3855" t="s">
        <v>43</v>
      </c>
      <c r="AB3855" t="s">
        <v>43</v>
      </c>
      <c r="AC3855" t="s">
        <v>43</v>
      </c>
      <c r="AD3855" t="s">
        <v>43</v>
      </c>
      <c r="AE3855" t="s">
        <v>43</v>
      </c>
      <c r="AF3855" t="s">
        <v>43</v>
      </c>
      <c r="AG3855" t="s">
        <v>43</v>
      </c>
      <c r="AH3855" t="s">
        <v>43</v>
      </c>
      <c r="AI3855" t="s">
        <v>43</v>
      </c>
      <c r="AJ3855" t="s">
        <v>43</v>
      </c>
      <c r="AK3855" t="s">
        <v>43</v>
      </c>
      <c r="AL3855" t="s">
        <v>43</v>
      </c>
      <c r="AM3855" t="s">
        <v>43</v>
      </c>
      <c r="AN3855" t="s">
        <v>43</v>
      </c>
    </row>
    <row r="3856" spans="1:40" x14ac:dyDescent="0.3">
      <c r="A3856" s="1">
        <v>46210.553356481483</v>
      </c>
      <c r="B3856" t="s">
        <v>40</v>
      </c>
      <c r="C3856" t="s">
        <v>41</v>
      </c>
      <c r="D3856" s="1">
        <v>46210.556215277778</v>
      </c>
      <c r="E3856" t="s">
        <v>42</v>
      </c>
      <c r="F3856" t="s">
        <v>43</v>
      </c>
      <c r="G3856" t="s">
        <v>43</v>
      </c>
      <c r="H3856" t="s">
        <v>43</v>
      </c>
      <c r="I3856" t="s">
        <v>2290</v>
      </c>
      <c r="J3856" t="s">
        <v>43</v>
      </c>
      <c r="K3856" t="s">
        <v>43</v>
      </c>
      <c r="L3856" t="s">
        <v>43</v>
      </c>
      <c r="M3856" t="s">
        <v>43</v>
      </c>
      <c r="N3856" t="s">
        <v>45</v>
      </c>
      <c r="O3856" t="s">
        <v>43</v>
      </c>
      <c r="P3856" t="s">
        <v>43</v>
      </c>
      <c r="Q3856" t="s">
        <v>43</v>
      </c>
      <c r="R3856" t="s">
        <v>43</v>
      </c>
      <c r="S3856" t="s">
        <v>43</v>
      </c>
      <c r="T3856" t="s">
        <v>43</v>
      </c>
      <c r="U3856" t="s">
        <v>43</v>
      </c>
      <c r="V3856" t="s">
        <v>43</v>
      </c>
      <c r="W3856" t="s">
        <v>43</v>
      </c>
      <c r="X3856" t="s">
        <v>43</v>
      </c>
      <c r="Y3856" t="s">
        <v>43</v>
      </c>
      <c r="Z3856" t="s">
        <v>43</v>
      </c>
      <c r="AA3856" t="s">
        <v>43</v>
      </c>
      <c r="AB3856" t="s">
        <v>43</v>
      </c>
      <c r="AC3856" t="s">
        <v>43</v>
      </c>
      <c r="AD3856" t="s">
        <v>43</v>
      </c>
      <c r="AE3856" t="s">
        <v>43</v>
      </c>
      <c r="AF3856" t="s">
        <v>43</v>
      </c>
      <c r="AG3856" t="s">
        <v>43</v>
      </c>
      <c r="AH3856" t="s">
        <v>43</v>
      </c>
      <c r="AI3856" t="s">
        <v>43</v>
      </c>
      <c r="AJ3856" t="s">
        <v>43</v>
      </c>
      <c r="AK3856" t="s">
        <v>43</v>
      </c>
      <c r="AL3856" t="s">
        <v>43</v>
      </c>
      <c r="AM3856" t="s">
        <v>43</v>
      </c>
      <c r="AN3856" t="str">
        <f>HYPERLINK("https://www.google.com/maps?q=10.76308441,79.69436646","Open Location")</f>
        <v>Open Location</v>
      </c>
    </row>
    <row r="3857" spans="1:40" x14ac:dyDescent="0.3">
      <c r="A3857" s="1">
        <v>46210.553240740737</v>
      </c>
      <c r="B3857" t="s">
        <v>40</v>
      </c>
      <c r="C3857" t="s">
        <v>41</v>
      </c>
      <c r="D3857" s="1">
        <v>46210.555949074071</v>
      </c>
      <c r="E3857" t="s">
        <v>42</v>
      </c>
      <c r="F3857" t="s">
        <v>43</v>
      </c>
      <c r="G3857" t="s">
        <v>43</v>
      </c>
      <c r="H3857" t="s">
        <v>43</v>
      </c>
      <c r="I3857" t="s">
        <v>2291</v>
      </c>
      <c r="J3857" t="s">
        <v>43</v>
      </c>
      <c r="K3857" t="s">
        <v>43</v>
      </c>
      <c r="L3857" t="s">
        <v>43</v>
      </c>
      <c r="M3857" t="s">
        <v>43</v>
      </c>
      <c r="N3857" t="s">
        <v>45</v>
      </c>
      <c r="O3857" t="s">
        <v>43</v>
      </c>
      <c r="P3857" t="s">
        <v>43</v>
      </c>
      <c r="Q3857" t="s">
        <v>43</v>
      </c>
      <c r="R3857" t="s">
        <v>43</v>
      </c>
      <c r="S3857" t="s">
        <v>43</v>
      </c>
      <c r="T3857" t="s">
        <v>43</v>
      </c>
      <c r="U3857" t="s">
        <v>43</v>
      </c>
      <c r="V3857" t="s">
        <v>43</v>
      </c>
      <c r="W3857" t="s">
        <v>43</v>
      </c>
      <c r="X3857" t="s">
        <v>43</v>
      </c>
      <c r="Y3857" t="s">
        <v>43</v>
      </c>
      <c r="Z3857" t="s">
        <v>43</v>
      </c>
      <c r="AA3857" t="s">
        <v>43</v>
      </c>
      <c r="AB3857" t="s">
        <v>43</v>
      </c>
      <c r="AC3857" t="s">
        <v>43</v>
      </c>
      <c r="AD3857" t="s">
        <v>43</v>
      </c>
      <c r="AE3857" t="s">
        <v>43</v>
      </c>
      <c r="AF3857" t="s">
        <v>43</v>
      </c>
      <c r="AG3857" t="s">
        <v>43</v>
      </c>
      <c r="AH3857" t="s">
        <v>43</v>
      </c>
      <c r="AI3857" t="s">
        <v>43</v>
      </c>
      <c r="AJ3857" t="s">
        <v>43</v>
      </c>
      <c r="AK3857" t="s">
        <v>43</v>
      </c>
      <c r="AL3857" t="s">
        <v>43</v>
      </c>
      <c r="AM3857" t="s">
        <v>43</v>
      </c>
      <c r="AN3857" t="str">
        <f>HYPERLINK("https://www.google.com/maps?q=10.76307964,79.69436646","Open Location")</f>
        <v>Open Location</v>
      </c>
    </row>
    <row r="3858" spans="1:40" x14ac:dyDescent="0.3">
      <c r="A3858" s="1">
        <v>46210.553124999999</v>
      </c>
      <c r="B3858" t="s">
        <v>40</v>
      </c>
      <c r="C3858" t="s">
        <v>41</v>
      </c>
      <c r="D3858" s="1">
        <v>46210.556030092594</v>
      </c>
      <c r="E3858" t="s">
        <v>42</v>
      </c>
      <c r="F3858" t="s">
        <v>43</v>
      </c>
      <c r="G3858" t="s">
        <v>43</v>
      </c>
      <c r="H3858" t="s">
        <v>43</v>
      </c>
      <c r="I3858" t="s">
        <v>2292</v>
      </c>
      <c r="J3858" t="s">
        <v>43</v>
      </c>
      <c r="K3858" t="s">
        <v>43</v>
      </c>
      <c r="L3858" t="s">
        <v>43</v>
      </c>
      <c r="M3858" t="s">
        <v>43</v>
      </c>
      <c r="N3858" t="s">
        <v>45</v>
      </c>
      <c r="O3858" t="s">
        <v>43</v>
      </c>
      <c r="P3858" t="s">
        <v>43</v>
      </c>
      <c r="Q3858" t="s">
        <v>43</v>
      </c>
      <c r="R3858" t="s">
        <v>43</v>
      </c>
      <c r="S3858" t="s">
        <v>43</v>
      </c>
      <c r="T3858" t="s">
        <v>43</v>
      </c>
      <c r="U3858" t="s">
        <v>43</v>
      </c>
      <c r="V3858" t="s">
        <v>43</v>
      </c>
      <c r="W3858" t="s">
        <v>43</v>
      </c>
      <c r="X3858" t="s">
        <v>43</v>
      </c>
      <c r="Y3858" t="s">
        <v>43</v>
      </c>
      <c r="Z3858" t="s">
        <v>43</v>
      </c>
      <c r="AA3858" t="s">
        <v>43</v>
      </c>
      <c r="AB3858" t="s">
        <v>43</v>
      </c>
      <c r="AC3858" t="s">
        <v>43</v>
      </c>
      <c r="AD3858" t="s">
        <v>43</v>
      </c>
      <c r="AE3858" t="s">
        <v>43</v>
      </c>
      <c r="AF3858" t="s">
        <v>43</v>
      </c>
      <c r="AG3858" t="s">
        <v>43</v>
      </c>
      <c r="AH3858" t="s">
        <v>43</v>
      </c>
      <c r="AI3858" t="s">
        <v>43</v>
      </c>
      <c r="AJ3858" t="s">
        <v>43</v>
      </c>
      <c r="AK3858" t="s">
        <v>43</v>
      </c>
      <c r="AL3858" t="s">
        <v>43</v>
      </c>
      <c r="AM3858" t="s">
        <v>43</v>
      </c>
      <c r="AN3858" t="str">
        <f>HYPERLINK("https://www.google.com/maps?q=10.76307487,79.69436646","Open Location")</f>
        <v>Open Location</v>
      </c>
    </row>
    <row r="3859" spans="1:40" x14ac:dyDescent="0.3">
      <c r="A3859" s="1">
        <v>46210.55300925926</v>
      </c>
      <c r="B3859" t="s">
        <v>40</v>
      </c>
      <c r="C3859" t="s">
        <v>41</v>
      </c>
      <c r="D3859" s="1">
        <v>46210.555706018517</v>
      </c>
      <c r="E3859" t="s">
        <v>42</v>
      </c>
      <c r="F3859" t="s">
        <v>43</v>
      </c>
      <c r="G3859" t="s">
        <v>43</v>
      </c>
      <c r="H3859" t="s">
        <v>43</v>
      </c>
      <c r="I3859" t="s">
        <v>2293</v>
      </c>
      <c r="J3859" t="s">
        <v>43</v>
      </c>
      <c r="K3859" t="s">
        <v>43</v>
      </c>
      <c r="L3859" t="s">
        <v>43</v>
      </c>
      <c r="M3859" t="s">
        <v>43</v>
      </c>
      <c r="N3859" t="s">
        <v>45</v>
      </c>
      <c r="O3859" t="s">
        <v>43</v>
      </c>
      <c r="P3859" t="s">
        <v>43</v>
      </c>
      <c r="Q3859" t="s">
        <v>43</v>
      </c>
      <c r="R3859" t="s">
        <v>43</v>
      </c>
      <c r="S3859" t="s">
        <v>43</v>
      </c>
      <c r="T3859" t="s">
        <v>43</v>
      </c>
      <c r="U3859" t="s">
        <v>43</v>
      </c>
      <c r="V3859" t="s">
        <v>43</v>
      </c>
      <c r="W3859" t="s">
        <v>43</v>
      </c>
      <c r="X3859" t="s">
        <v>43</v>
      </c>
      <c r="Y3859" t="s">
        <v>43</v>
      </c>
      <c r="Z3859" t="s">
        <v>43</v>
      </c>
      <c r="AA3859" t="s">
        <v>43</v>
      </c>
      <c r="AB3859" t="s">
        <v>43</v>
      </c>
      <c r="AC3859" t="s">
        <v>43</v>
      </c>
      <c r="AD3859" t="s">
        <v>43</v>
      </c>
      <c r="AE3859" t="s">
        <v>43</v>
      </c>
      <c r="AF3859" t="s">
        <v>43</v>
      </c>
      <c r="AG3859" t="s">
        <v>43</v>
      </c>
      <c r="AH3859" t="s">
        <v>43</v>
      </c>
      <c r="AI3859" t="s">
        <v>43</v>
      </c>
      <c r="AJ3859" t="s">
        <v>43</v>
      </c>
      <c r="AK3859" t="s">
        <v>43</v>
      </c>
      <c r="AL3859" t="s">
        <v>43</v>
      </c>
      <c r="AM3859" t="s">
        <v>43</v>
      </c>
      <c r="AN3859" t="str">
        <f>HYPERLINK("https://www.google.com/maps?q=10.76307392,79.69436646","Open Location")</f>
        <v>Open Location</v>
      </c>
    </row>
    <row r="3860" spans="1:40" x14ac:dyDescent="0.3">
      <c r="A3860" s="1">
        <v>46210.552893518521</v>
      </c>
      <c r="B3860" t="s">
        <v>40</v>
      </c>
      <c r="C3860" t="s">
        <v>41</v>
      </c>
      <c r="D3860" s="1">
        <v>46210.555706018517</v>
      </c>
      <c r="E3860" t="s">
        <v>42</v>
      </c>
      <c r="F3860" t="s">
        <v>43</v>
      </c>
      <c r="G3860" t="s">
        <v>43</v>
      </c>
      <c r="H3860" t="s">
        <v>43</v>
      </c>
      <c r="I3860" t="s">
        <v>2293</v>
      </c>
      <c r="J3860" t="s">
        <v>43</v>
      </c>
      <c r="K3860" t="s">
        <v>43</v>
      </c>
      <c r="L3860" t="s">
        <v>43</v>
      </c>
      <c r="M3860" t="s">
        <v>43</v>
      </c>
      <c r="N3860" t="s">
        <v>45</v>
      </c>
      <c r="O3860" t="s">
        <v>43</v>
      </c>
      <c r="P3860" t="s">
        <v>43</v>
      </c>
      <c r="Q3860" t="s">
        <v>43</v>
      </c>
      <c r="R3860" t="s">
        <v>43</v>
      </c>
      <c r="S3860" t="s">
        <v>43</v>
      </c>
      <c r="T3860" t="s">
        <v>43</v>
      </c>
      <c r="U3860" t="s">
        <v>43</v>
      </c>
      <c r="V3860" t="s">
        <v>43</v>
      </c>
      <c r="W3860" t="s">
        <v>43</v>
      </c>
      <c r="X3860" t="s">
        <v>43</v>
      </c>
      <c r="Y3860" t="s">
        <v>43</v>
      </c>
      <c r="Z3860" t="s">
        <v>43</v>
      </c>
      <c r="AA3860" t="s">
        <v>43</v>
      </c>
      <c r="AB3860" t="s">
        <v>43</v>
      </c>
      <c r="AC3860" t="s">
        <v>43</v>
      </c>
      <c r="AD3860" t="s">
        <v>43</v>
      </c>
      <c r="AE3860" t="s">
        <v>43</v>
      </c>
      <c r="AF3860" t="s">
        <v>43</v>
      </c>
      <c r="AG3860" t="s">
        <v>43</v>
      </c>
      <c r="AH3860" t="s">
        <v>43</v>
      </c>
      <c r="AI3860" t="s">
        <v>43</v>
      </c>
      <c r="AJ3860" t="s">
        <v>43</v>
      </c>
      <c r="AK3860" t="s">
        <v>43</v>
      </c>
      <c r="AL3860" t="s">
        <v>43</v>
      </c>
      <c r="AM3860" t="s">
        <v>43</v>
      </c>
      <c r="AN3860" t="str">
        <f>HYPERLINK("https://www.google.com/maps?q=10.76307392,79.69436646","Open Location")</f>
        <v>Open Location</v>
      </c>
    </row>
    <row r="3861" spans="1:40" x14ac:dyDescent="0.3">
      <c r="A3861" s="1">
        <v>46210.552777777775</v>
      </c>
      <c r="B3861" t="s">
        <v>40</v>
      </c>
      <c r="C3861" t="s">
        <v>41</v>
      </c>
      <c r="D3861" s="1">
        <v>46210.555578703701</v>
      </c>
      <c r="E3861" t="s">
        <v>42</v>
      </c>
      <c r="F3861" t="s">
        <v>43</v>
      </c>
      <c r="G3861" t="s">
        <v>43</v>
      </c>
      <c r="H3861" t="s">
        <v>43</v>
      </c>
      <c r="I3861" t="s">
        <v>43</v>
      </c>
      <c r="J3861" t="s">
        <v>43</v>
      </c>
      <c r="K3861" t="s">
        <v>43</v>
      </c>
      <c r="L3861" t="s">
        <v>43</v>
      </c>
      <c r="M3861" t="s">
        <v>43</v>
      </c>
      <c r="N3861" t="s">
        <v>45</v>
      </c>
      <c r="O3861" t="s">
        <v>43</v>
      </c>
      <c r="P3861" t="s">
        <v>43</v>
      </c>
      <c r="Q3861" t="s">
        <v>43</v>
      </c>
      <c r="R3861" t="s">
        <v>43</v>
      </c>
      <c r="S3861" t="s">
        <v>43</v>
      </c>
      <c r="T3861" t="s">
        <v>43</v>
      </c>
      <c r="U3861" t="s">
        <v>43</v>
      </c>
      <c r="V3861" t="s">
        <v>43</v>
      </c>
      <c r="W3861" t="s">
        <v>43</v>
      </c>
      <c r="X3861" t="s">
        <v>43</v>
      </c>
      <c r="Y3861" t="s">
        <v>43</v>
      </c>
      <c r="Z3861" t="s">
        <v>43</v>
      </c>
      <c r="AA3861" t="s">
        <v>43</v>
      </c>
      <c r="AB3861" t="s">
        <v>43</v>
      </c>
      <c r="AC3861" t="s">
        <v>43</v>
      </c>
      <c r="AD3861" t="s">
        <v>43</v>
      </c>
      <c r="AE3861" t="s">
        <v>43</v>
      </c>
      <c r="AF3861" t="s">
        <v>43</v>
      </c>
      <c r="AG3861" t="s">
        <v>43</v>
      </c>
      <c r="AH3861" t="s">
        <v>43</v>
      </c>
      <c r="AI3861" t="s">
        <v>43</v>
      </c>
      <c r="AJ3861" t="s">
        <v>43</v>
      </c>
      <c r="AK3861" t="s">
        <v>43</v>
      </c>
      <c r="AL3861" t="s">
        <v>43</v>
      </c>
      <c r="AM3861" t="s">
        <v>43</v>
      </c>
      <c r="AN3861" t="s">
        <v>43</v>
      </c>
    </row>
    <row r="3862" spans="1:40" x14ac:dyDescent="0.3">
      <c r="A3862" s="1">
        <v>46210.552662037036</v>
      </c>
      <c r="B3862" t="s">
        <v>40</v>
      </c>
      <c r="C3862" t="s">
        <v>41</v>
      </c>
      <c r="D3862" s="1">
        <v>46210.555833333332</v>
      </c>
      <c r="E3862" t="s">
        <v>42</v>
      </c>
      <c r="F3862" t="s">
        <v>43</v>
      </c>
      <c r="G3862" t="s">
        <v>43</v>
      </c>
      <c r="H3862" t="s">
        <v>43</v>
      </c>
      <c r="I3862" t="s">
        <v>2249</v>
      </c>
      <c r="J3862" t="s">
        <v>43</v>
      </c>
      <c r="K3862" t="s">
        <v>43</v>
      </c>
      <c r="L3862" t="s">
        <v>43</v>
      </c>
      <c r="M3862" t="s">
        <v>43</v>
      </c>
      <c r="N3862" t="s">
        <v>45</v>
      </c>
      <c r="O3862" t="s">
        <v>43</v>
      </c>
      <c r="P3862" t="s">
        <v>43</v>
      </c>
      <c r="Q3862" t="s">
        <v>43</v>
      </c>
      <c r="R3862" t="s">
        <v>43</v>
      </c>
      <c r="S3862" t="s">
        <v>43</v>
      </c>
      <c r="T3862" t="s">
        <v>43</v>
      </c>
      <c r="U3862" t="s">
        <v>43</v>
      </c>
      <c r="V3862" t="s">
        <v>43</v>
      </c>
      <c r="W3862" t="s">
        <v>43</v>
      </c>
      <c r="X3862" t="s">
        <v>43</v>
      </c>
      <c r="Y3862" t="s">
        <v>43</v>
      </c>
      <c r="Z3862" t="s">
        <v>43</v>
      </c>
      <c r="AA3862" t="s">
        <v>43</v>
      </c>
      <c r="AB3862" t="s">
        <v>43</v>
      </c>
      <c r="AC3862" t="s">
        <v>43</v>
      </c>
      <c r="AD3862" t="s">
        <v>43</v>
      </c>
      <c r="AE3862" t="s">
        <v>43</v>
      </c>
      <c r="AF3862" t="s">
        <v>43</v>
      </c>
      <c r="AG3862" t="s">
        <v>43</v>
      </c>
      <c r="AH3862" t="s">
        <v>43</v>
      </c>
      <c r="AI3862" t="s">
        <v>43</v>
      </c>
      <c r="AJ3862" t="s">
        <v>43</v>
      </c>
      <c r="AK3862" t="s">
        <v>43</v>
      </c>
      <c r="AL3862" t="s">
        <v>43</v>
      </c>
      <c r="AM3862" t="s">
        <v>43</v>
      </c>
      <c r="AN3862" t="str">
        <f>HYPERLINK("https://www.google.com/maps?q=10.76307297,79.69436646","Open Location")</f>
        <v>Open Location</v>
      </c>
    </row>
    <row r="3863" spans="1:40" x14ac:dyDescent="0.3">
      <c r="A3863" s="1">
        <v>46210.552546296298</v>
      </c>
      <c r="B3863" t="s">
        <v>40</v>
      </c>
      <c r="C3863" t="s">
        <v>41</v>
      </c>
      <c r="D3863" s="1">
        <v>46210.555347222224</v>
      </c>
      <c r="E3863" t="s">
        <v>42</v>
      </c>
      <c r="F3863" t="s">
        <v>43</v>
      </c>
      <c r="G3863" t="s">
        <v>43</v>
      </c>
      <c r="H3863" t="s">
        <v>43</v>
      </c>
      <c r="I3863" t="s">
        <v>2293</v>
      </c>
      <c r="J3863" t="s">
        <v>43</v>
      </c>
      <c r="K3863" t="s">
        <v>43</v>
      </c>
      <c r="L3863" t="s">
        <v>43</v>
      </c>
      <c r="M3863" t="s">
        <v>43</v>
      </c>
      <c r="N3863" t="s">
        <v>45</v>
      </c>
      <c r="O3863" t="s">
        <v>43</v>
      </c>
      <c r="P3863" t="s">
        <v>43</v>
      </c>
      <c r="Q3863" t="s">
        <v>43</v>
      </c>
      <c r="R3863" t="s">
        <v>43</v>
      </c>
      <c r="S3863" t="s">
        <v>43</v>
      </c>
      <c r="T3863" t="s">
        <v>43</v>
      </c>
      <c r="U3863" t="s">
        <v>43</v>
      </c>
      <c r="V3863" t="s">
        <v>43</v>
      </c>
      <c r="W3863" t="s">
        <v>43</v>
      </c>
      <c r="X3863" t="s">
        <v>43</v>
      </c>
      <c r="Y3863" t="s">
        <v>43</v>
      </c>
      <c r="Z3863" t="s">
        <v>43</v>
      </c>
      <c r="AA3863" t="s">
        <v>43</v>
      </c>
      <c r="AB3863" t="s">
        <v>43</v>
      </c>
      <c r="AC3863" t="s">
        <v>43</v>
      </c>
      <c r="AD3863" t="s">
        <v>43</v>
      </c>
      <c r="AE3863" t="s">
        <v>43</v>
      </c>
      <c r="AF3863" t="s">
        <v>43</v>
      </c>
      <c r="AG3863" t="s">
        <v>43</v>
      </c>
      <c r="AH3863" t="s">
        <v>43</v>
      </c>
      <c r="AI3863" t="s">
        <v>43</v>
      </c>
      <c r="AJ3863" t="s">
        <v>43</v>
      </c>
      <c r="AK3863" t="s">
        <v>43</v>
      </c>
      <c r="AL3863" t="s">
        <v>43</v>
      </c>
      <c r="AM3863" t="s">
        <v>43</v>
      </c>
      <c r="AN3863" t="str">
        <f>HYPERLINK("https://www.google.com/maps?q=10.76307392,79.69436646","Open Location")</f>
        <v>Open Location</v>
      </c>
    </row>
    <row r="3864" spans="1:40" x14ac:dyDescent="0.3">
      <c r="A3864" s="1">
        <v>46210.552430555559</v>
      </c>
      <c r="B3864" t="s">
        <v>40</v>
      </c>
      <c r="C3864" t="s">
        <v>41</v>
      </c>
      <c r="D3864" s="1">
        <v>46210.555578703701</v>
      </c>
      <c r="E3864" t="s">
        <v>42</v>
      </c>
      <c r="F3864" t="s">
        <v>43</v>
      </c>
      <c r="G3864" t="s">
        <v>43</v>
      </c>
      <c r="H3864" t="s">
        <v>43</v>
      </c>
      <c r="I3864" t="s">
        <v>2292</v>
      </c>
      <c r="J3864" t="s">
        <v>43</v>
      </c>
      <c r="K3864" t="s">
        <v>43</v>
      </c>
      <c r="L3864" t="s">
        <v>43</v>
      </c>
      <c r="M3864" t="s">
        <v>43</v>
      </c>
      <c r="N3864" t="s">
        <v>45</v>
      </c>
      <c r="O3864" t="s">
        <v>43</v>
      </c>
      <c r="P3864" t="s">
        <v>43</v>
      </c>
      <c r="Q3864" t="s">
        <v>43</v>
      </c>
      <c r="R3864" t="s">
        <v>43</v>
      </c>
      <c r="S3864" t="s">
        <v>43</v>
      </c>
      <c r="T3864" t="s">
        <v>43</v>
      </c>
      <c r="U3864" t="s">
        <v>43</v>
      </c>
      <c r="V3864" t="s">
        <v>43</v>
      </c>
      <c r="W3864" t="s">
        <v>43</v>
      </c>
      <c r="X3864" t="s">
        <v>43</v>
      </c>
      <c r="Y3864" t="s">
        <v>43</v>
      </c>
      <c r="Z3864" t="s">
        <v>43</v>
      </c>
      <c r="AA3864" t="s">
        <v>43</v>
      </c>
      <c r="AB3864" t="s">
        <v>43</v>
      </c>
      <c r="AC3864" t="s">
        <v>43</v>
      </c>
      <c r="AD3864" t="s">
        <v>43</v>
      </c>
      <c r="AE3864" t="s">
        <v>43</v>
      </c>
      <c r="AF3864" t="s">
        <v>43</v>
      </c>
      <c r="AG3864" t="s">
        <v>43</v>
      </c>
      <c r="AH3864" t="s">
        <v>43</v>
      </c>
      <c r="AI3864" t="s">
        <v>43</v>
      </c>
      <c r="AJ3864" t="s">
        <v>43</v>
      </c>
      <c r="AK3864" t="s">
        <v>43</v>
      </c>
      <c r="AL3864" t="s">
        <v>43</v>
      </c>
      <c r="AM3864" t="s">
        <v>43</v>
      </c>
      <c r="AN3864" t="str">
        <f>HYPERLINK("https://www.google.com/maps?q=10.76307487,79.69436646","Open Location")</f>
        <v>Open Location</v>
      </c>
    </row>
    <row r="3865" spans="1:40" x14ac:dyDescent="0.3">
      <c r="A3865" s="1">
        <v>46210.552314814813</v>
      </c>
      <c r="B3865" t="s">
        <v>40</v>
      </c>
      <c r="C3865" t="s">
        <v>41</v>
      </c>
      <c r="D3865" s="1">
        <v>46210.555439814816</v>
      </c>
      <c r="E3865" t="s">
        <v>42</v>
      </c>
      <c r="F3865" t="s">
        <v>43</v>
      </c>
      <c r="G3865" t="s">
        <v>43</v>
      </c>
      <c r="H3865" t="s">
        <v>43</v>
      </c>
      <c r="I3865" t="s">
        <v>2248</v>
      </c>
      <c r="J3865" t="s">
        <v>43</v>
      </c>
      <c r="K3865" t="s">
        <v>43</v>
      </c>
      <c r="L3865" t="s">
        <v>43</v>
      </c>
      <c r="M3865" t="s">
        <v>43</v>
      </c>
      <c r="N3865" t="s">
        <v>45</v>
      </c>
      <c r="O3865" t="s">
        <v>43</v>
      </c>
      <c r="P3865" t="s">
        <v>43</v>
      </c>
      <c r="Q3865" t="s">
        <v>43</v>
      </c>
      <c r="R3865" t="s">
        <v>43</v>
      </c>
      <c r="S3865" t="s">
        <v>43</v>
      </c>
      <c r="T3865" t="s">
        <v>43</v>
      </c>
      <c r="U3865" t="s">
        <v>43</v>
      </c>
      <c r="V3865" t="s">
        <v>43</v>
      </c>
      <c r="W3865" t="s">
        <v>43</v>
      </c>
      <c r="X3865" t="s">
        <v>43</v>
      </c>
      <c r="Y3865" t="s">
        <v>43</v>
      </c>
      <c r="Z3865" t="s">
        <v>43</v>
      </c>
      <c r="AA3865" t="s">
        <v>43</v>
      </c>
      <c r="AB3865" t="s">
        <v>43</v>
      </c>
      <c r="AC3865" t="s">
        <v>43</v>
      </c>
      <c r="AD3865" t="s">
        <v>43</v>
      </c>
      <c r="AE3865" t="s">
        <v>43</v>
      </c>
      <c r="AF3865" t="s">
        <v>43</v>
      </c>
      <c r="AG3865" t="s">
        <v>43</v>
      </c>
      <c r="AH3865" t="s">
        <v>43</v>
      </c>
      <c r="AI3865" t="s">
        <v>43</v>
      </c>
      <c r="AJ3865" t="s">
        <v>43</v>
      </c>
      <c r="AK3865" t="s">
        <v>43</v>
      </c>
      <c r="AL3865" t="s">
        <v>43</v>
      </c>
      <c r="AM3865" t="s">
        <v>43</v>
      </c>
      <c r="AN3865" t="str">
        <f>HYPERLINK("https://www.google.com/maps?q=10.76307487,79.69437408","Open Location")</f>
        <v>Open Location</v>
      </c>
    </row>
    <row r="3866" spans="1:40" x14ac:dyDescent="0.3">
      <c r="A3866" s="1">
        <v>46210.552199074074</v>
      </c>
      <c r="B3866" t="s">
        <v>40</v>
      </c>
      <c r="C3866" t="s">
        <v>41</v>
      </c>
      <c r="D3866" s="1">
        <v>46210.555439814816</v>
      </c>
      <c r="E3866" t="s">
        <v>42</v>
      </c>
      <c r="F3866" t="s">
        <v>43</v>
      </c>
      <c r="G3866" t="s">
        <v>43</v>
      </c>
      <c r="H3866" t="s">
        <v>43</v>
      </c>
      <c r="I3866" t="s">
        <v>2294</v>
      </c>
      <c r="J3866" t="s">
        <v>43</v>
      </c>
      <c r="K3866" t="s">
        <v>43</v>
      </c>
      <c r="L3866" t="s">
        <v>43</v>
      </c>
      <c r="M3866" t="s">
        <v>43</v>
      </c>
      <c r="N3866" t="s">
        <v>45</v>
      </c>
      <c r="O3866" t="s">
        <v>43</v>
      </c>
      <c r="P3866" t="s">
        <v>43</v>
      </c>
      <c r="Q3866" t="s">
        <v>43</v>
      </c>
      <c r="R3866" t="s">
        <v>43</v>
      </c>
      <c r="S3866" t="s">
        <v>43</v>
      </c>
      <c r="T3866" t="s">
        <v>43</v>
      </c>
      <c r="U3866" t="s">
        <v>43</v>
      </c>
      <c r="V3866" t="s">
        <v>43</v>
      </c>
      <c r="W3866" t="s">
        <v>43</v>
      </c>
      <c r="X3866" t="s">
        <v>43</v>
      </c>
      <c r="Y3866" t="s">
        <v>43</v>
      </c>
      <c r="Z3866" t="s">
        <v>43</v>
      </c>
      <c r="AA3866" t="s">
        <v>43</v>
      </c>
      <c r="AB3866" t="s">
        <v>43</v>
      </c>
      <c r="AC3866" t="s">
        <v>43</v>
      </c>
      <c r="AD3866" t="s">
        <v>43</v>
      </c>
      <c r="AE3866" t="s">
        <v>43</v>
      </c>
      <c r="AF3866" t="s">
        <v>43</v>
      </c>
      <c r="AG3866" t="s">
        <v>43</v>
      </c>
      <c r="AH3866" t="s">
        <v>43</v>
      </c>
      <c r="AI3866" t="s">
        <v>43</v>
      </c>
      <c r="AJ3866" t="s">
        <v>43</v>
      </c>
      <c r="AK3866" t="s">
        <v>43</v>
      </c>
      <c r="AL3866" t="s">
        <v>43</v>
      </c>
      <c r="AM3866" t="s">
        <v>43</v>
      </c>
      <c r="AN3866" t="str">
        <f>HYPERLINK("https://www.google.com/maps?q=10.76307392,79.69437408","Open Location")</f>
        <v>Open Location</v>
      </c>
    </row>
    <row r="3867" spans="1:40" x14ac:dyDescent="0.3">
      <c r="A3867" s="1">
        <v>46210.552083333336</v>
      </c>
      <c r="B3867" t="s">
        <v>40</v>
      </c>
      <c r="C3867" t="s">
        <v>41</v>
      </c>
      <c r="D3867" s="1">
        <v>46210.554930555554</v>
      </c>
      <c r="E3867" t="s">
        <v>42</v>
      </c>
      <c r="F3867" t="s">
        <v>43</v>
      </c>
      <c r="G3867" t="s">
        <v>43</v>
      </c>
      <c r="H3867" t="s">
        <v>43</v>
      </c>
      <c r="I3867" t="s">
        <v>43</v>
      </c>
      <c r="J3867" t="s">
        <v>43</v>
      </c>
      <c r="K3867" t="s">
        <v>43</v>
      </c>
      <c r="L3867" t="s">
        <v>43</v>
      </c>
      <c r="M3867" t="s">
        <v>43</v>
      </c>
      <c r="N3867" t="s">
        <v>45</v>
      </c>
      <c r="O3867" t="s">
        <v>43</v>
      </c>
      <c r="P3867" t="s">
        <v>43</v>
      </c>
      <c r="Q3867" t="s">
        <v>43</v>
      </c>
      <c r="R3867" t="s">
        <v>43</v>
      </c>
      <c r="S3867" t="s">
        <v>43</v>
      </c>
      <c r="T3867" t="s">
        <v>43</v>
      </c>
      <c r="U3867" t="s">
        <v>43</v>
      </c>
      <c r="V3867" t="s">
        <v>43</v>
      </c>
      <c r="W3867" t="s">
        <v>43</v>
      </c>
      <c r="X3867" t="s">
        <v>43</v>
      </c>
      <c r="Y3867" t="s">
        <v>43</v>
      </c>
      <c r="Z3867" t="s">
        <v>43</v>
      </c>
      <c r="AA3867" t="s">
        <v>43</v>
      </c>
      <c r="AB3867" t="s">
        <v>43</v>
      </c>
      <c r="AC3867" t="s">
        <v>43</v>
      </c>
      <c r="AD3867" t="s">
        <v>43</v>
      </c>
      <c r="AE3867" t="s">
        <v>43</v>
      </c>
      <c r="AF3867" t="s">
        <v>43</v>
      </c>
      <c r="AG3867" t="s">
        <v>43</v>
      </c>
      <c r="AH3867" t="s">
        <v>43</v>
      </c>
      <c r="AI3867" t="s">
        <v>43</v>
      </c>
      <c r="AJ3867" t="s">
        <v>43</v>
      </c>
      <c r="AK3867" t="s">
        <v>43</v>
      </c>
      <c r="AL3867" t="s">
        <v>43</v>
      </c>
      <c r="AM3867" t="s">
        <v>43</v>
      </c>
      <c r="AN3867" t="s">
        <v>43</v>
      </c>
    </row>
    <row r="3868" spans="1:40" x14ac:dyDescent="0.3">
      <c r="A3868" s="1">
        <v>46210.55196759259</v>
      </c>
      <c r="B3868" t="s">
        <v>40</v>
      </c>
      <c r="C3868" t="s">
        <v>41</v>
      </c>
      <c r="D3868" s="1">
        <v>46210.555</v>
      </c>
      <c r="E3868" t="s">
        <v>42</v>
      </c>
      <c r="F3868" t="s">
        <v>43</v>
      </c>
      <c r="G3868" t="s">
        <v>43</v>
      </c>
      <c r="H3868" t="s">
        <v>43</v>
      </c>
      <c r="I3868" t="s">
        <v>2247</v>
      </c>
      <c r="J3868" t="s">
        <v>43</v>
      </c>
      <c r="K3868" t="s">
        <v>43</v>
      </c>
      <c r="L3868" t="s">
        <v>43</v>
      </c>
      <c r="M3868" t="s">
        <v>43</v>
      </c>
      <c r="N3868" t="s">
        <v>45</v>
      </c>
      <c r="O3868" t="s">
        <v>43</v>
      </c>
      <c r="P3868" t="s">
        <v>43</v>
      </c>
      <c r="Q3868" t="s">
        <v>43</v>
      </c>
      <c r="R3868" t="s">
        <v>43</v>
      </c>
      <c r="S3868" t="s">
        <v>43</v>
      </c>
      <c r="T3868" t="s">
        <v>43</v>
      </c>
      <c r="U3868" t="s">
        <v>43</v>
      </c>
      <c r="V3868" t="s">
        <v>43</v>
      </c>
      <c r="W3868" t="s">
        <v>43</v>
      </c>
      <c r="X3868" t="s">
        <v>43</v>
      </c>
      <c r="Y3868" t="s">
        <v>43</v>
      </c>
      <c r="Z3868" t="s">
        <v>43</v>
      </c>
      <c r="AA3868" t="s">
        <v>43</v>
      </c>
      <c r="AB3868" t="s">
        <v>43</v>
      </c>
      <c r="AC3868" t="s">
        <v>43</v>
      </c>
      <c r="AD3868" t="s">
        <v>43</v>
      </c>
      <c r="AE3868" t="s">
        <v>43</v>
      </c>
      <c r="AF3868" t="s">
        <v>43</v>
      </c>
      <c r="AG3868" t="s">
        <v>43</v>
      </c>
      <c r="AH3868" t="s">
        <v>43</v>
      </c>
      <c r="AI3868" t="s">
        <v>43</v>
      </c>
      <c r="AJ3868" t="s">
        <v>43</v>
      </c>
      <c r="AK3868" t="s">
        <v>43</v>
      </c>
      <c r="AL3868" t="s">
        <v>43</v>
      </c>
      <c r="AM3868" t="s">
        <v>43</v>
      </c>
      <c r="AN3868" t="str">
        <f>HYPERLINK("https://www.google.com/maps?q=10.76307678,79.69437408","Open Location")</f>
        <v>Open Location</v>
      </c>
    </row>
    <row r="3869" spans="1:40" x14ac:dyDescent="0.3">
      <c r="A3869" s="1">
        <v>46210.551851851851</v>
      </c>
      <c r="B3869" t="s">
        <v>40</v>
      </c>
      <c r="C3869" t="s">
        <v>41</v>
      </c>
      <c r="D3869" s="1">
        <v>46210.555</v>
      </c>
      <c r="E3869" t="s">
        <v>42</v>
      </c>
      <c r="F3869" t="s">
        <v>43</v>
      </c>
      <c r="G3869" t="s">
        <v>43</v>
      </c>
      <c r="H3869" t="s">
        <v>43</v>
      </c>
      <c r="I3869" t="s">
        <v>2295</v>
      </c>
      <c r="J3869" t="s">
        <v>43</v>
      </c>
      <c r="K3869" t="s">
        <v>43</v>
      </c>
      <c r="L3869" t="s">
        <v>43</v>
      </c>
      <c r="M3869" t="s">
        <v>43</v>
      </c>
      <c r="N3869" t="s">
        <v>45</v>
      </c>
      <c r="O3869" t="s">
        <v>43</v>
      </c>
      <c r="P3869" t="s">
        <v>43</v>
      </c>
      <c r="Q3869" t="s">
        <v>43</v>
      </c>
      <c r="R3869" t="s">
        <v>43</v>
      </c>
      <c r="S3869" t="s">
        <v>43</v>
      </c>
      <c r="T3869" t="s">
        <v>43</v>
      </c>
      <c r="U3869" t="s">
        <v>43</v>
      </c>
      <c r="V3869" t="s">
        <v>43</v>
      </c>
      <c r="W3869" t="s">
        <v>43</v>
      </c>
      <c r="X3869" t="s">
        <v>43</v>
      </c>
      <c r="Y3869" t="s">
        <v>43</v>
      </c>
      <c r="Z3869" t="s">
        <v>43</v>
      </c>
      <c r="AA3869" t="s">
        <v>43</v>
      </c>
      <c r="AB3869" t="s">
        <v>43</v>
      </c>
      <c r="AC3869" t="s">
        <v>43</v>
      </c>
      <c r="AD3869" t="s">
        <v>43</v>
      </c>
      <c r="AE3869" t="s">
        <v>43</v>
      </c>
      <c r="AF3869" t="s">
        <v>43</v>
      </c>
      <c r="AG3869" t="s">
        <v>43</v>
      </c>
      <c r="AH3869" t="s">
        <v>43</v>
      </c>
      <c r="AI3869" t="s">
        <v>43</v>
      </c>
      <c r="AJ3869" t="s">
        <v>43</v>
      </c>
      <c r="AK3869" t="s">
        <v>43</v>
      </c>
      <c r="AL3869" t="s">
        <v>43</v>
      </c>
      <c r="AM3869" t="s">
        <v>43</v>
      </c>
      <c r="AN3869" t="str">
        <f>HYPERLINK("https://www.google.com/maps?q=10.7630806,79.69437408","Open Location")</f>
        <v>Open Location</v>
      </c>
    </row>
    <row r="3870" spans="1:40" x14ac:dyDescent="0.3">
      <c r="A3870" s="1">
        <v>46210.551736111112</v>
      </c>
      <c r="B3870" t="s">
        <v>40</v>
      </c>
      <c r="C3870" t="s">
        <v>41</v>
      </c>
      <c r="D3870" s="1">
        <v>46210.554629629631</v>
      </c>
      <c r="E3870" t="s">
        <v>42</v>
      </c>
      <c r="F3870" t="s">
        <v>43</v>
      </c>
      <c r="G3870" t="s">
        <v>43</v>
      </c>
      <c r="H3870" t="s">
        <v>43</v>
      </c>
      <c r="I3870" t="s">
        <v>2291</v>
      </c>
      <c r="J3870" t="s">
        <v>43</v>
      </c>
      <c r="K3870" t="s">
        <v>43</v>
      </c>
      <c r="L3870" t="s">
        <v>43</v>
      </c>
      <c r="M3870" t="s">
        <v>43</v>
      </c>
      <c r="N3870" t="s">
        <v>45</v>
      </c>
      <c r="O3870" t="s">
        <v>43</v>
      </c>
      <c r="P3870" t="s">
        <v>43</v>
      </c>
      <c r="Q3870" t="s">
        <v>43</v>
      </c>
      <c r="R3870" t="s">
        <v>43</v>
      </c>
      <c r="S3870" t="s">
        <v>43</v>
      </c>
      <c r="T3870" t="s">
        <v>43</v>
      </c>
      <c r="U3870" t="s">
        <v>43</v>
      </c>
      <c r="V3870" t="s">
        <v>43</v>
      </c>
      <c r="W3870" t="s">
        <v>43</v>
      </c>
      <c r="X3870" t="s">
        <v>43</v>
      </c>
      <c r="Y3870" t="s">
        <v>43</v>
      </c>
      <c r="Z3870" t="s">
        <v>43</v>
      </c>
      <c r="AA3870" t="s">
        <v>43</v>
      </c>
      <c r="AB3870" t="s">
        <v>43</v>
      </c>
      <c r="AC3870" t="s">
        <v>43</v>
      </c>
      <c r="AD3870" t="s">
        <v>43</v>
      </c>
      <c r="AE3870" t="s">
        <v>43</v>
      </c>
      <c r="AF3870" t="s">
        <v>43</v>
      </c>
      <c r="AG3870" t="s">
        <v>43</v>
      </c>
      <c r="AH3870" t="s">
        <v>43</v>
      </c>
      <c r="AI3870" t="s">
        <v>43</v>
      </c>
      <c r="AJ3870" t="s">
        <v>43</v>
      </c>
      <c r="AK3870" t="s">
        <v>43</v>
      </c>
      <c r="AL3870" t="s">
        <v>43</v>
      </c>
      <c r="AM3870" t="s">
        <v>43</v>
      </c>
      <c r="AN3870" t="str">
        <f>HYPERLINK("https://www.google.com/maps?q=10.76307964,79.69436646","Open Location")</f>
        <v>Open Location</v>
      </c>
    </row>
    <row r="3871" spans="1:40" x14ac:dyDescent="0.3">
      <c r="A3871" s="1">
        <v>46210.551620370374</v>
      </c>
      <c r="B3871" t="s">
        <v>40</v>
      </c>
      <c r="C3871" t="s">
        <v>41</v>
      </c>
      <c r="D3871" s="1">
        <v>46210.554513888892</v>
      </c>
      <c r="E3871" t="s">
        <v>42</v>
      </c>
      <c r="F3871" t="s">
        <v>43</v>
      </c>
      <c r="G3871" t="s">
        <v>43</v>
      </c>
      <c r="H3871" t="s">
        <v>43</v>
      </c>
      <c r="I3871" t="s">
        <v>2296</v>
      </c>
      <c r="J3871" t="s">
        <v>43</v>
      </c>
      <c r="K3871" t="s">
        <v>43</v>
      </c>
      <c r="L3871" t="s">
        <v>43</v>
      </c>
      <c r="M3871" t="s">
        <v>43</v>
      </c>
      <c r="N3871" t="s">
        <v>45</v>
      </c>
      <c r="O3871" t="s">
        <v>43</v>
      </c>
      <c r="P3871" t="s">
        <v>43</v>
      </c>
      <c r="Q3871" t="s">
        <v>43</v>
      </c>
      <c r="R3871" t="s">
        <v>43</v>
      </c>
      <c r="S3871" t="s">
        <v>43</v>
      </c>
      <c r="T3871" t="s">
        <v>43</v>
      </c>
      <c r="U3871" t="s">
        <v>43</v>
      </c>
      <c r="V3871" t="s">
        <v>43</v>
      </c>
      <c r="W3871" t="s">
        <v>43</v>
      </c>
      <c r="X3871" t="s">
        <v>43</v>
      </c>
      <c r="Y3871" t="s">
        <v>43</v>
      </c>
      <c r="Z3871" t="s">
        <v>43</v>
      </c>
      <c r="AA3871" t="s">
        <v>43</v>
      </c>
      <c r="AB3871" t="s">
        <v>43</v>
      </c>
      <c r="AC3871" t="s">
        <v>43</v>
      </c>
      <c r="AD3871" t="s">
        <v>43</v>
      </c>
      <c r="AE3871" t="s">
        <v>43</v>
      </c>
      <c r="AF3871" t="s">
        <v>43</v>
      </c>
      <c r="AG3871" t="s">
        <v>43</v>
      </c>
      <c r="AH3871" t="s">
        <v>43</v>
      </c>
      <c r="AI3871" t="s">
        <v>43</v>
      </c>
      <c r="AJ3871" t="s">
        <v>43</v>
      </c>
      <c r="AK3871" t="s">
        <v>43</v>
      </c>
      <c r="AL3871" t="s">
        <v>43</v>
      </c>
      <c r="AM3871" t="s">
        <v>43</v>
      </c>
      <c r="AN3871" t="str">
        <f>HYPERLINK("https://www.google.com/maps?q=10.76307678,79.69436646","Open Location")</f>
        <v>Open Location</v>
      </c>
    </row>
    <row r="3872" spans="1:40" x14ac:dyDescent="0.3">
      <c r="A3872" s="1">
        <v>46210.551504629628</v>
      </c>
      <c r="B3872" t="s">
        <v>40</v>
      </c>
      <c r="C3872" t="s">
        <v>41</v>
      </c>
      <c r="D3872" s="1">
        <v>46210.554409722223</v>
      </c>
      <c r="E3872" t="s">
        <v>42</v>
      </c>
      <c r="F3872" t="s">
        <v>43</v>
      </c>
      <c r="G3872" t="s">
        <v>43</v>
      </c>
      <c r="H3872" t="s">
        <v>43</v>
      </c>
      <c r="I3872" t="s">
        <v>43</v>
      </c>
      <c r="J3872" t="s">
        <v>43</v>
      </c>
      <c r="K3872" t="s">
        <v>43</v>
      </c>
      <c r="L3872" t="s">
        <v>43</v>
      </c>
      <c r="M3872" t="s">
        <v>43</v>
      </c>
      <c r="N3872" t="s">
        <v>45</v>
      </c>
      <c r="O3872" t="s">
        <v>43</v>
      </c>
      <c r="P3872" t="s">
        <v>43</v>
      </c>
      <c r="Q3872" t="s">
        <v>43</v>
      </c>
      <c r="R3872" t="s">
        <v>43</v>
      </c>
      <c r="S3872" t="s">
        <v>43</v>
      </c>
      <c r="T3872" t="s">
        <v>43</v>
      </c>
      <c r="U3872" t="s">
        <v>43</v>
      </c>
      <c r="V3872" t="s">
        <v>43</v>
      </c>
      <c r="W3872" t="s">
        <v>43</v>
      </c>
      <c r="X3872" t="s">
        <v>43</v>
      </c>
      <c r="Y3872" t="s">
        <v>43</v>
      </c>
      <c r="Z3872" t="s">
        <v>43</v>
      </c>
      <c r="AA3872" t="s">
        <v>43</v>
      </c>
      <c r="AB3872" t="s">
        <v>43</v>
      </c>
      <c r="AC3872" t="s">
        <v>43</v>
      </c>
      <c r="AD3872" t="s">
        <v>43</v>
      </c>
      <c r="AE3872" t="s">
        <v>43</v>
      </c>
      <c r="AF3872" t="s">
        <v>43</v>
      </c>
      <c r="AG3872" t="s">
        <v>43</v>
      </c>
      <c r="AH3872" t="s">
        <v>43</v>
      </c>
      <c r="AI3872" t="s">
        <v>43</v>
      </c>
      <c r="AJ3872" t="s">
        <v>43</v>
      </c>
      <c r="AK3872" t="s">
        <v>43</v>
      </c>
      <c r="AL3872" t="s">
        <v>43</v>
      </c>
      <c r="AM3872" t="s">
        <v>43</v>
      </c>
      <c r="AN3872" t="s">
        <v>43</v>
      </c>
    </row>
    <row r="3873" spans="1:40" x14ac:dyDescent="0.3">
      <c r="A3873" s="1">
        <v>46210.551388888889</v>
      </c>
      <c r="B3873" t="s">
        <v>40</v>
      </c>
      <c r="C3873" t="s">
        <v>41</v>
      </c>
      <c r="D3873" s="1">
        <v>46210.554178240738</v>
      </c>
      <c r="E3873" t="s">
        <v>42</v>
      </c>
      <c r="F3873" t="s">
        <v>43</v>
      </c>
      <c r="G3873" t="s">
        <v>43</v>
      </c>
      <c r="H3873" t="s">
        <v>43</v>
      </c>
      <c r="I3873" t="s">
        <v>2293</v>
      </c>
      <c r="J3873" t="s">
        <v>43</v>
      </c>
      <c r="K3873" t="s">
        <v>43</v>
      </c>
      <c r="L3873" t="s">
        <v>43</v>
      </c>
      <c r="M3873" t="s">
        <v>43</v>
      </c>
      <c r="N3873" t="s">
        <v>45</v>
      </c>
      <c r="O3873" t="s">
        <v>43</v>
      </c>
      <c r="P3873" t="s">
        <v>43</v>
      </c>
      <c r="Q3873" t="s">
        <v>43</v>
      </c>
      <c r="R3873" t="s">
        <v>43</v>
      </c>
      <c r="S3873" t="s">
        <v>43</v>
      </c>
      <c r="T3873" t="s">
        <v>43</v>
      </c>
      <c r="U3873" t="s">
        <v>43</v>
      </c>
      <c r="V3873" t="s">
        <v>43</v>
      </c>
      <c r="W3873" t="s">
        <v>43</v>
      </c>
      <c r="X3873" t="s">
        <v>43</v>
      </c>
      <c r="Y3873" t="s">
        <v>43</v>
      </c>
      <c r="Z3873" t="s">
        <v>43</v>
      </c>
      <c r="AA3873" t="s">
        <v>43</v>
      </c>
      <c r="AB3873" t="s">
        <v>43</v>
      </c>
      <c r="AC3873" t="s">
        <v>43</v>
      </c>
      <c r="AD3873" t="s">
        <v>43</v>
      </c>
      <c r="AE3873" t="s">
        <v>43</v>
      </c>
      <c r="AF3873" t="s">
        <v>43</v>
      </c>
      <c r="AG3873" t="s">
        <v>43</v>
      </c>
      <c r="AH3873" t="s">
        <v>43</v>
      </c>
      <c r="AI3873" t="s">
        <v>43</v>
      </c>
      <c r="AJ3873" t="s">
        <v>43</v>
      </c>
      <c r="AK3873" t="s">
        <v>43</v>
      </c>
      <c r="AL3873" t="s">
        <v>43</v>
      </c>
      <c r="AM3873" t="s">
        <v>43</v>
      </c>
      <c r="AN3873" t="str">
        <f>HYPERLINK("https://www.google.com/maps?q=10.76307392,79.69436646","Open Location")</f>
        <v>Open Location</v>
      </c>
    </row>
    <row r="3874" spans="1:40" x14ac:dyDescent="0.3">
      <c r="A3874" s="1">
        <v>46210.55127314815</v>
      </c>
      <c r="B3874" t="s">
        <v>40</v>
      </c>
      <c r="C3874" t="s">
        <v>41</v>
      </c>
      <c r="D3874" s="1">
        <v>46210.554259259261</v>
      </c>
      <c r="E3874" t="s">
        <v>42</v>
      </c>
      <c r="F3874" t="s">
        <v>43</v>
      </c>
      <c r="G3874" t="s">
        <v>43</v>
      </c>
      <c r="H3874" t="s">
        <v>43</v>
      </c>
      <c r="I3874" t="s">
        <v>2297</v>
      </c>
      <c r="J3874" t="s">
        <v>43</v>
      </c>
      <c r="K3874" t="s">
        <v>43</v>
      </c>
      <c r="L3874" t="s">
        <v>43</v>
      </c>
      <c r="M3874" t="s">
        <v>43</v>
      </c>
      <c r="N3874" t="s">
        <v>45</v>
      </c>
      <c r="O3874" t="s">
        <v>43</v>
      </c>
      <c r="P3874" t="s">
        <v>43</v>
      </c>
      <c r="Q3874" t="s">
        <v>43</v>
      </c>
      <c r="R3874" t="s">
        <v>43</v>
      </c>
      <c r="S3874" t="s">
        <v>43</v>
      </c>
      <c r="T3874" t="s">
        <v>43</v>
      </c>
      <c r="U3874" t="s">
        <v>43</v>
      </c>
      <c r="V3874" t="s">
        <v>43</v>
      </c>
      <c r="W3874" t="s">
        <v>43</v>
      </c>
      <c r="X3874" t="s">
        <v>43</v>
      </c>
      <c r="Y3874" t="s">
        <v>43</v>
      </c>
      <c r="Z3874" t="s">
        <v>43</v>
      </c>
      <c r="AA3874" t="s">
        <v>43</v>
      </c>
      <c r="AB3874" t="s">
        <v>43</v>
      </c>
      <c r="AC3874" t="s">
        <v>43</v>
      </c>
      <c r="AD3874" t="s">
        <v>43</v>
      </c>
      <c r="AE3874" t="s">
        <v>43</v>
      </c>
      <c r="AF3874" t="s">
        <v>43</v>
      </c>
      <c r="AG3874" t="s">
        <v>43</v>
      </c>
      <c r="AH3874" t="s">
        <v>43</v>
      </c>
      <c r="AI3874" t="s">
        <v>43</v>
      </c>
      <c r="AJ3874" t="s">
        <v>43</v>
      </c>
      <c r="AK3874" t="s">
        <v>43</v>
      </c>
      <c r="AL3874" t="s">
        <v>43</v>
      </c>
      <c r="AM3874" t="s">
        <v>43</v>
      </c>
      <c r="AN3874" t="str">
        <f>HYPERLINK("https://www.google.com/maps?q=10.76307583,79.69436646","Open Location")</f>
        <v>Open Location</v>
      </c>
    </row>
    <row r="3875" spans="1:40" x14ac:dyDescent="0.3">
      <c r="A3875" s="1">
        <v>46210.551157407404</v>
      </c>
      <c r="B3875" t="s">
        <v>40</v>
      </c>
      <c r="C3875" t="s">
        <v>41</v>
      </c>
      <c r="D3875" s="1">
        <v>46210.554016203707</v>
      </c>
      <c r="E3875" t="s">
        <v>42</v>
      </c>
      <c r="F3875" t="s">
        <v>43</v>
      </c>
      <c r="G3875" t="s">
        <v>43</v>
      </c>
      <c r="H3875" t="s">
        <v>43</v>
      </c>
      <c r="I3875" t="s">
        <v>2298</v>
      </c>
      <c r="J3875" t="s">
        <v>43</v>
      </c>
      <c r="K3875" t="s">
        <v>43</v>
      </c>
      <c r="L3875" t="s">
        <v>43</v>
      </c>
      <c r="M3875" t="s">
        <v>43</v>
      </c>
      <c r="N3875" t="s">
        <v>45</v>
      </c>
      <c r="O3875" t="s">
        <v>43</v>
      </c>
      <c r="P3875" t="s">
        <v>43</v>
      </c>
      <c r="Q3875" t="s">
        <v>43</v>
      </c>
      <c r="R3875" t="s">
        <v>43</v>
      </c>
      <c r="S3875" t="s">
        <v>43</v>
      </c>
      <c r="T3875" t="s">
        <v>43</v>
      </c>
      <c r="U3875" t="s">
        <v>43</v>
      </c>
      <c r="V3875" t="s">
        <v>43</v>
      </c>
      <c r="W3875" t="s">
        <v>43</v>
      </c>
      <c r="X3875" t="s">
        <v>43</v>
      </c>
      <c r="Y3875" t="s">
        <v>43</v>
      </c>
      <c r="Z3875" t="s">
        <v>43</v>
      </c>
      <c r="AA3875" t="s">
        <v>43</v>
      </c>
      <c r="AB3875" t="s">
        <v>43</v>
      </c>
      <c r="AC3875" t="s">
        <v>43</v>
      </c>
      <c r="AD3875" t="s">
        <v>43</v>
      </c>
      <c r="AE3875" t="s">
        <v>43</v>
      </c>
      <c r="AF3875" t="s">
        <v>43</v>
      </c>
      <c r="AG3875" t="s">
        <v>43</v>
      </c>
      <c r="AH3875" t="s">
        <v>43</v>
      </c>
      <c r="AI3875" t="s">
        <v>43</v>
      </c>
      <c r="AJ3875" t="s">
        <v>43</v>
      </c>
      <c r="AK3875" t="s">
        <v>43</v>
      </c>
      <c r="AL3875" t="s">
        <v>43</v>
      </c>
      <c r="AM3875" t="s">
        <v>43</v>
      </c>
      <c r="AN3875" t="str">
        <f>HYPERLINK("https://www.google.com/maps?q=10.76307774,79.69436646","Open Location")</f>
        <v>Open Location</v>
      </c>
    </row>
    <row r="3876" spans="1:40" x14ac:dyDescent="0.3">
      <c r="A3876" s="1">
        <v>46210.551041666666</v>
      </c>
      <c r="B3876" t="s">
        <v>40</v>
      </c>
      <c r="C3876" t="s">
        <v>41</v>
      </c>
      <c r="D3876" s="1">
        <v>46210.554016203707</v>
      </c>
      <c r="E3876" t="s">
        <v>42</v>
      </c>
      <c r="F3876" t="s">
        <v>43</v>
      </c>
      <c r="G3876" t="s">
        <v>43</v>
      </c>
      <c r="H3876" t="s">
        <v>43</v>
      </c>
      <c r="I3876" t="s">
        <v>2296</v>
      </c>
      <c r="J3876" t="s">
        <v>43</v>
      </c>
      <c r="K3876" t="s">
        <v>43</v>
      </c>
      <c r="L3876" t="s">
        <v>43</v>
      </c>
      <c r="M3876" t="s">
        <v>43</v>
      </c>
      <c r="N3876" t="s">
        <v>45</v>
      </c>
      <c r="O3876" t="s">
        <v>43</v>
      </c>
      <c r="P3876" t="s">
        <v>43</v>
      </c>
      <c r="Q3876" t="s">
        <v>43</v>
      </c>
      <c r="R3876" t="s">
        <v>43</v>
      </c>
      <c r="S3876" t="s">
        <v>43</v>
      </c>
      <c r="T3876" t="s">
        <v>43</v>
      </c>
      <c r="U3876" t="s">
        <v>43</v>
      </c>
      <c r="V3876" t="s">
        <v>43</v>
      </c>
      <c r="W3876" t="s">
        <v>43</v>
      </c>
      <c r="X3876" t="s">
        <v>43</v>
      </c>
      <c r="Y3876" t="s">
        <v>43</v>
      </c>
      <c r="Z3876" t="s">
        <v>43</v>
      </c>
      <c r="AA3876" t="s">
        <v>43</v>
      </c>
      <c r="AB3876" t="s">
        <v>43</v>
      </c>
      <c r="AC3876" t="s">
        <v>43</v>
      </c>
      <c r="AD3876" t="s">
        <v>43</v>
      </c>
      <c r="AE3876" t="s">
        <v>43</v>
      </c>
      <c r="AF3876" t="s">
        <v>43</v>
      </c>
      <c r="AG3876" t="s">
        <v>43</v>
      </c>
      <c r="AH3876" t="s">
        <v>43</v>
      </c>
      <c r="AI3876" t="s">
        <v>43</v>
      </c>
      <c r="AJ3876" t="s">
        <v>43</v>
      </c>
      <c r="AK3876" t="s">
        <v>43</v>
      </c>
      <c r="AL3876" t="s">
        <v>43</v>
      </c>
      <c r="AM3876" t="s">
        <v>43</v>
      </c>
      <c r="AN3876" t="str">
        <f>HYPERLINK("https://www.google.com/maps?q=10.76307678,79.69436646","Open Location")</f>
        <v>Open Location</v>
      </c>
    </row>
    <row r="3877" spans="1:40" x14ac:dyDescent="0.3">
      <c r="A3877" s="1">
        <v>46210.550925925927</v>
      </c>
      <c r="B3877" t="s">
        <v>40</v>
      </c>
      <c r="C3877" t="s">
        <v>41</v>
      </c>
      <c r="D3877" s="1">
        <v>46210.553796296299</v>
      </c>
      <c r="E3877" t="s">
        <v>42</v>
      </c>
      <c r="F3877" t="s">
        <v>43</v>
      </c>
      <c r="G3877" t="s">
        <v>43</v>
      </c>
      <c r="H3877" t="s">
        <v>43</v>
      </c>
      <c r="I3877" t="s">
        <v>2247</v>
      </c>
      <c r="J3877" t="s">
        <v>43</v>
      </c>
      <c r="K3877" t="s">
        <v>43</v>
      </c>
      <c r="L3877" t="s">
        <v>43</v>
      </c>
      <c r="M3877" t="s">
        <v>43</v>
      </c>
      <c r="N3877" t="s">
        <v>45</v>
      </c>
      <c r="O3877" t="s">
        <v>43</v>
      </c>
      <c r="P3877" t="s">
        <v>43</v>
      </c>
      <c r="Q3877" t="s">
        <v>43</v>
      </c>
      <c r="R3877" t="s">
        <v>43</v>
      </c>
      <c r="S3877" t="s">
        <v>43</v>
      </c>
      <c r="T3877" t="s">
        <v>43</v>
      </c>
      <c r="U3877" t="s">
        <v>43</v>
      </c>
      <c r="V3877" t="s">
        <v>43</v>
      </c>
      <c r="W3877" t="s">
        <v>43</v>
      </c>
      <c r="X3877" t="s">
        <v>43</v>
      </c>
      <c r="Y3877" t="s">
        <v>43</v>
      </c>
      <c r="Z3877" t="s">
        <v>43</v>
      </c>
      <c r="AA3877" t="s">
        <v>43</v>
      </c>
      <c r="AB3877" t="s">
        <v>43</v>
      </c>
      <c r="AC3877" t="s">
        <v>43</v>
      </c>
      <c r="AD3877" t="s">
        <v>43</v>
      </c>
      <c r="AE3877" t="s">
        <v>43</v>
      </c>
      <c r="AF3877" t="s">
        <v>43</v>
      </c>
      <c r="AG3877" t="s">
        <v>43</v>
      </c>
      <c r="AH3877" t="s">
        <v>43</v>
      </c>
      <c r="AI3877" t="s">
        <v>43</v>
      </c>
      <c r="AJ3877" t="s">
        <v>43</v>
      </c>
      <c r="AK3877" t="s">
        <v>43</v>
      </c>
      <c r="AL3877" t="s">
        <v>43</v>
      </c>
      <c r="AM3877" t="s">
        <v>43</v>
      </c>
      <c r="AN3877" t="str">
        <f>HYPERLINK("https://www.google.com/maps?q=10.76307678,79.69437408","Open Location")</f>
        <v>Open Location</v>
      </c>
    </row>
    <row r="3878" spans="1:40" x14ac:dyDescent="0.3">
      <c r="A3878" s="1">
        <v>46210.550810185188</v>
      </c>
      <c r="B3878" t="s">
        <v>40</v>
      </c>
      <c r="C3878" t="s">
        <v>41</v>
      </c>
      <c r="D3878" s="1">
        <v>46210.553969907407</v>
      </c>
      <c r="E3878" t="s">
        <v>42</v>
      </c>
      <c r="F3878" t="s">
        <v>43</v>
      </c>
      <c r="G3878" t="s">
        <v>43</v>
      </c>
      <c r="H3878" t="s">
        <v>43</v>
      </c>
      <c r="I3878" t="s">
        <v>43</v>
      </c>
      <c r="J3878" t="s">
        <v>43</v>
      </c>
      <c r="K3878" t="s">
        <v>43</v>
      </c>
      <c r="L3878" t="s">
        <v>43</v>
      </c>
      <c r="M3878" t="s">
        <v>43</v>
      </c>
      <c r="N3878" t="s">
        <v>45</v>
      </c>
      <c r="O3878" t="s">
        <v>43</v>
      </c>
      <c r="P3878" t="s">
        <v>43</v>
      </c>
      <c r="Q3878" t="s">
        <v>43</v>
      </c>
      <c r="R3878" t="s">
        <v>43</v>
      </c>
      <c r="S3878" t="s">
        <v>43</v>
      </c>
      <c r="T3878" t="s">
        <v>43</v>
      </c>
      <c r="U3878" t="s">
        <v>43</v>
      </c>
      <c r="V3878" t="s">
        <v>43</v>
      </c>
      <c r="W3878" t="s">
        <v>43</v>
      </c>
      <c r="X3878" t="s">
        <v>43</v>
      </c>
      <c r="Y3878" t="s">
        <v>43</v>
      </c>
      <c r="Z3878" t="s">
        <v>43</v>
      </c>
      <c r="AA3878" t="s">
        <v>43</v>
      </c>
      <c r="AB3878" t="s">
        <v>43</v>
      </c>
      <c r="AC3878" t="s">
        <v>43</v>
      </c>
      <c r="AD3878" t="s">
        <v>43</v>
      </c>
      <c r="AE3878" t="s">
        <v>43</v>
      </c>
      <c r="AF3878" t="s">
        <v>43</v>
      </c>
      <c r="AG3878" t="s">
        <v>43</v>
      </c>
      <c r="AH3878" t="s">
        <v>43</v>
      </c>
      <c r="AI3878" t="s">
        <v>43</v>
      </c>
      <c r="AJ3878" t="s">
        <v>43</v>
      </c>
      <c r="AK3878" t="s">
        <v>43</v>
      </c>
      <c r="AL3878" t="s">
        <v>43</v>
      </c>
      <c r="AM3878" t="s">
        <v>43</v>
      </c>
      <c r="AN3878" t="s">
        <v>43</v>
      </c>
    </row>
    <row r="3879" spans="1:40" x14ac:dyDescent="0.3">
      <c r="A3879" s="1">
        <v>46210.550694444442</v>
      </c>
      <c r="B3879" t="s">
        <v>40</v>
      </c>
      <c r="C3879" t="s">
        <v>41</v>
      </c>
      <c r="D3879" s="1">
        <v>46210.553807870368</v>
      </c>
      <c r="E3879" t="s">
        <v>42</v>
      </c>
      <c r="F3879" t="s">
        <v>43</v>
      </c>
      <c r="G3879" t="s">
        <v>43</v>
      </c>
      <c r="H3879" t="s">
        <v>43</v>
      </c>
      <c r="I3879" t="s">
        <v>2250</v>
      </c>
      <c r="J3879" t="s">
        <v>43</v>
      </c>
      <c r="K3879" t="s">
        <v>43</v>
      </c>
      <c r="L3879" t="s">
        <v>43</v>
      </c>
      <c r="M3879" t="s">
        <v>43</v>
      </c>
      <c r="N3879" t="s">
        <v>45</v>
      </c>
      <c r="O3879" t="s">
        <v>43</v>
      </c>
      <c r="P3879" t="s">
        <v>43</v>
      </c>
      <c r="Q3879" t="s">
        <v>43</v>
      </c>
      <c r="R3879" t="s">
        <v>43</v>
      </c>
      <c r="S3879" t="s">
        <v>43</v>
      </c>
      <c r="T3879" t="s">
        <v>43</v>
      </c>
      <c r="U3879" t="s">
        <v>43</v>
      </c>
      <c r="V3879" t="s">
        <v>43</v>
      </c>
      <c r="W3879" t="s">
        <v>43</v>
      </c>
      <c r="X3879" t="s">
        <v>43</v>
      </c>
      <c r="Y3879" t="s">
        <v>43</v>
      </c>
      <c r="Z3879" t="s">
        <v>43</v>
      </c>
      <c r="AA3879" t="s">
        <v>43</v>
      </c>
      <c r="AB3879" t="s">
        <v>43</v>
      </c>
      <c r="AC3879" t="s">
        <v>43</v>
      </c>
      <c r="AD3879" t="s">
        <v>43</v>
      </c>
      <c r="AE3879" t="s">
        <v>43</v>
      </c>
      <c r="AF3879" t="s">
        <v>43</v>
      </c>
      <c r="AG3879" t="s">
        <v>43</v>
      </c>
      <c r="AH3879" t="s">
        <v>43</v>
      </c>
      <c r="AI3879" t="s">
        <v>43</v>
      </c>
      <c r="AJ3879" t="s">
        <v>43</v>
      </c>
      <c r="AK3879" t="s">
        <v>43</v>
      </c>
      <c r="AL3879" t="s">
        <v>43</v>
      </c>
      <c r="AM3879" t="s">
        <v>43</v>
      </c>
      <c r="AN3879" t="str">
        <f>HYPERLINK("https://www.google.com/maps?q=10.76307201,79.69436646","Open Location")</f>
        <v>Open Location</v>
      </c>
    </row>
    <row r="3880" spans="1:40" x14ac:dyDescent="0.3">
      <c r="A3880" s="1">
        <v>46210.550578703704</v>
      </c>
      <c r="B3880" t="s">
        <v>40</v>
      </c>
      <c r="C3880" t="s">
        <v>41</v>
      </c>
      <c r="D3880" s="1">
        <v>46210.553587962961</v>
      </c>
      <c r="E3880" t="s">
        <v>42</v>
      </c>
      <c r="F3880" t="s">
        <v>43</v>
      </c>
      <c r="G3880" t="s">
        <v>43</v>
      </c>
      <c r="H3880" t="s">
        <v>43</v>
      </c>
      <c r="I3880" t="s">
        <v>2299</v>
      </c>
      <c r="J3880" t="s">
        <v>43</v>
      </c>
      <c r="K3880" t="s">
        <v>43</v>
      </c>
      <c r="L3880" t="s">
        <v>43</v>
      </c>
      <c r="M3880" t="s">
        <v>43</v>
      </c>
      <c r="N3880" t="s">
        <v>45</v>
      </c>
      <c r="O3880" t="s">
        <v>43</v>
      </c>
      <c r="P3880" t="s">
        <v>43</v>
      </c>
      <c r="Q3880" t="s">
        <v>43</v>
      </c>
      <c r="R3880" t="s">
        <v>43</v>
      </c>
      <c r="S3880" t="s">
        <v>43</v>
      </c>
      <c r="T3880" t="s">
        <v>43</v>
      </c>
      <c r="U3880" t="s">
        <v>43</v>
      </c>
      <c r="V3880" t="s">
        <v>43</v>
      </c>
      <c r="W3880" t="s">
        <v>43</v>
      </c>
      <c r="X3880" t="s">
        <v>43</v>
      </c>
      <c r="Y3880" t="s">
        <v>43</v>
      </c>
      <c r="Z3880" t="s">
        <v>43</v>
      </c>
      <c r="AA3880" t="s">
        <v>43</v>
      </c>
      <c r="AB3880" t="s">
        <v>43</v>
      </c>
      <c r="AC3880" t="s">
        <v>43</v>
      </c>
      <c r="AD3880" t="s">
        <v>43</v>
      </c>
      <c r="AE3880" t="s">
        <v>43</v>
      </c>
      <c r="AF3880" t="s">
        <v>43</v>
      </c>
      <c r="AG3880" t="s">
        <v>43</v>
      </c>
      <c r="AH3880" t="s">
        <v>43</v>
      </c>
      <c r="AI3880" t="s">
        <v>43</v>
      </c>
      <c r="AJ3880" t="s">
        <v>43</v>
      </c>
      <c r="AK3880" t="s">
        <v>43</v>
      </c>
      <c r="AL3880" t="s">
        <v>43</v>
      </c>
      <c r="AM3880" t="s">
        <v>43</v>
      </c>
      <c r="AN3880" t="str">
        <f>HYPERLINK("https://www.google.com/maps?q=10.7630682,79.69438171","Open Location")</f>
        <v>Open Location</v>
      </c>
    </row>
    <row r="3881" spans="1:40" x14ac:dyDescent="0.3">
      <c r="A3881" s="1">
        <v>46210.550462962965</v>
      </c>
      <c r="B3881" t="s">
        <v>40</v>
      </c>
      <c r="C3881" t="s">
        <v>41</v>
      </c>
      <c r="D3881" s="1">
        <v>46210.553564814814</v>
      </c>
      <c r="E3881" t="s">
        <v>42</v>
      </c>
      <c r="F3881" t="s">
        <v>43</v>
      </c>
      <c r="G3881" t="s">
        <v>43</v>
      </c>
      <c r="H3881" t="s">
        <v>43</v>
      </c>
      <c r="I3881" t="s">
        <v>43</v>
      </c>
      <c r="J3881" t="s">
        <v>43</v>
      </c>
      <c r="K3881" t="s">
        <v>43</v>
      </c>
      <c r="L3881" t="s">
        <v>43</v>
      </c>
      <c r="M3881" t="s">
        <v>43</v>
      </c>
      <c r="N3881" t="s">
        <v>45</v>
      </c>
      <c r="O3881" t="s">
        <v>43</v>
      </c>
      <c r="P3881" t="s">
        <v>43</v>
      </c>
      <c r="Q3881" t="s">
        <v>43</v>
      </c>
      <c r="R3881" t="s">
        <v>43</v>
      </c>
      <c r="S3881" t="s">
        <v>43</v>
      </c>
      <c r="T3881" t="s">
        <v>43</v>
      </c>
      <c r="U3881" t="s">
        <v>43</v>
      </c>
      <c r="V3881" t="s">
        <v>43</v>
      </c>
      <c r="W3881" t="s">
        <v>43</v>
      </c>
      <c r="X3881" t="s">
        <v>43</v>
      </c>
      <c r="Y3881" t="s">
        <v>43</v>
      </c>
      <c r="Z3881" t="s">
        <v>43</v>
      </c>
      <c r="AA3881" t="s">
        <v>43</v>
      </c>
      <c r="AB3881" t="s">
        <v>43</v>
      </c>
      <c r="AC3881" t="s">
        <v>43</v>
      </c>
      <c r="AD3881" t="s">
        <v>43</v>
      </c>
      <c r="AE3881" t="s">
        <v>43</v>
      </c>
      <c r="AF3881" t="s">
        <v>43</v>
      </c>
      <c r="AG3881" t="s">
        <v>43</v>
      </c>
      <c r="AH3881" t="s">
        <v>43</v>
      </c>
      <c r="AI3881" t="s">
        <v>43</v>
      </c>
      <c r="AJ3881" t="s">
        <v>43</v>
      </c>
      <c r="AK3881" t="s">
        <v>43</v>
      </c>
      <c r="AL3881" t="s">
        <v>43</v>
      </c>
      <c r="AM3881" t="s">
        <v>43</v>
      </c>
      <c r="AN3881" t="s">
        <v>43</v>
      </c>
    </row>
    <row r="3882" spans="1:40" x14ac:dyDescent="0.3">
      <c r="A3882" s="1">
        <v>46210.550347222219</v>
      </c>
      <c r="B3882" t="s">
        <v>40</v>
      </c>
      <c r="C3882" t="s">
        <v>41</v>
      </c>
      <c r="D3882" s="1">
        <v>46210.553379629629</v>
      </c>
      <c r="E3882" t="s">
        <v>42</v>
      </c>
      <c r="F3882" t="s">
        <v>43</v>
      </c>
      <c r="G3882" t="s">
        <v>43</v>
      </c>
      <c r="H3882" t="s">
        <v>43</v>
      </c>
      <c r="I3882" t="s">
        <v>2300</v>
      </c>
      <c r="J3882" t="s">
        <v>43</v>
      </c>
      <c r="K3882" t="s">
        <v>43</v>
      </c>
      <c r="L3882" t="s">
        <v>43</v>
      </c>
      <c r="M3882" t="s">
        <v>43</v>
      </c>
      <c r="N3882" t="s">
        <v>45</v>
      </c>
      <c r="O3882" t="s">
        <v>43</v>
      </c>
      <c r="P3882" t="s">
        <v>43</v>
      </c>
      <c r="Q3882" t="s">
        <v>43</v>
      </c>
      <c r="R3882" t="s">
        <v>43</v>
      </c>
      <c r="S3882" t="s">
        <v>43</v>
      </c>
      <c r="T3882" t="s">
        <v>43</v>
      </c>
      <c r="U3882" t="s">
        <v>43</v>
      </c>
      <c r="V3882" t="s">
        <v>43</v>
      </c>
      <c r="W3882" t="s">
        <v>43</v>
      </c>
      <c r="X3882" t="s">
        <v>43</v>
      </c>
      <c r="Y3882" t="s">
        <v>43</v>
      </c>
      <c r="Z3882" t="s">
        <v>43</v>
      </c>
      <c r="AA3882" t="s">
        <v>43</v>
      </c>
      <c r="AB3882" t="s">
        <v>43</v>
      </c>
      <c r="AC3882" t="s">
        <v>43</v>
      </c>
      <c r="AD3882" t="s">
        <v>43</v>
      </c>
      <c r="AE3882" t="s">
        <v>43</v>
      </c>
      <c r="AF3882" t="s">
        <v>43</v>
      </c>
      <c r="AG3882" t="s">
        <v>43</v>
      </c>
      <c r="AH3882" t="s">
        <v>43</v>
      </c>
      <c r="AI3882" t="s">
        <v>43</v>
      </c>
      <c r="AJ3882" t="s">
        <v>43</v>
      </c>
      <c r="AK3882" t="s">
        <v>43</v>
      </c>
      <c r="AL3882" t="s">
        <v>43</v>
      </c>
      <c r="AM3882" t="s">
        <v>43</v>
      </c>
      <c r="AN3882" t="str">
        <f>HYPERLINK("https://www.google.com/maps?q=10.76307011,79.69437408","Open Location")</f>
        <v>Open Location</v>
      </c>
    </row>
    <row r="3883" spans="1:40" x14ac:dyDescent="0.3">
      <c r="A3883" s="1">
        <v>46210.55023148148</v>
      </c>
      <c r="B3883" t="s">
        <v>40</v>
      </c>
      <c r="C3883" t="s">
        <v>41</v>
      </c>
      <c r="D3883" s="1">
        <v>46210.553124999999</v>
      </c>
      <c r="E3883" t="s">
        <v>42</v>
      </c>
      <c r="F3883" t="s">
        <v>43</v>
      </c>
      <c r="G3883" t="s">
        <v>43</v>
      </c>
      <c r="H3883" t="s">
        <v>43</v>
      </c>
      <c r="I3883" t="s">
        <v>43</v>
      </c>
      <c r="J3883" t="s">
        <v>43</v>
      </c>
      <c r="K3883" t="s">
        <v>43</v>
      </c>
      <c r="L3883" t="s">
        <v>43</v>
      </c>
      <c r="M3883" t="s">
        <v>43</v>
      </c>
      <c r="N3883" t="s">
        <v>45</v>
      </c>
      <c r="O3883" t="s">
        <v>43</v>
      </c>
      <c r="P3883" t="s">
        <v>43</v>
      </c>
      <c r="Q3883" t="s">
        <v>43</v>
      </c>
      <c r="R3883" t="s">
        <v>43</v>
      </c>
      <c r="S3883" t="s">
        <v>43</v>
      </c>
      <c r="T3883" t="s">
        <v>43</v>
      </c>
      <c r="U3883" t="s">
        <v>43</v>
      </c>
      <c r="V3883" t="s">
        <v>43</v>
      </c>
      <c r="W3883" t="s">
        <v>43</v>
      </c>
      <c r="X3883" t="s">
        <v>43</v>
      </c>
      <c r="Y3883" t="s">
        <v>43</v>
      </c>
      <c r="Z3883" t="s">
        <v>43</v>
      </c>
      <c r="AA3883" t="s">
        <v>43</v>
      </c>
      <c r="AB3883" t="s">
        <v>43</v>
      </c>
      <c r="AC3883" t="s">
        <v>43</v>
      </c>
      <c r="AD3883" t="s">
        <v>43</v>
      </c>
      <c r="AE3883" t="s">
        <v>43</v>
      </c>
      <c r="AF3883" t="s">
        <v>43</v>
      </c>
      <c r="AG3883" t="s">
        <v>43</v>
      </c>
      <c r="AH3883" t="s">
        <v>43</v>
      </c>
      <c r="AI3883" t="s">
        <v>43</v>
      </c>
      <c r="AJ3883" t="s">
        <v>43</v>
      </c>
      <c r="AK3883" t="s">
        <v>43</v>
      </c>
      <c r="AL3883" t="s">
        <v>43</v>
      </c>
      <c r="AM3883" t="s">
        <v>43</v>
      </c>
      <c r="AN3883" t="s">
        <v>43</v>
      </c>
    </row>
    <row r="3884" spans="1:40" x14ac:dyDescent="0.3">
      <c r="A3884" s="1">
        <v>46210.550115740742</v>
      </c>
      <c r="B3884" t="s">
        <v>40</v>
      </c>
      <c r="C3884" t="s">
        <v>41</v>
      </c>
      <c r="D3884" s="1">
        <v>46210.553124999999</v>
      </c>
      <c r="E3884" t="s">
        <v>42</v>
      </c>
      <c r="F3884" t="s">
        <v>43</v>
      </c>
      <c r="G3884" t="s">
        <v>43</v>
      </c>
      <c r="H3884" t="s">
        <v>43</v>
      </c>
      <c r="I3884" t="s">
        <v>2251</v>
      </c>
      <c r="J3884" t="s">
        <v>43</v>
      </c>
      <c r="K3884" t="s">
        <v>43</v>
      </c>
      <c r="L3884" t="s">
        <v>43</v>
      </c>
      <c r="M3884" t="s">
        <v>43</v>
      </c>
      <c r="N3884" t="s">
        <v>45</v>
      </c>
      <c r="O3884" t="s">
        <v>43</v>
      </c>
      <c r="P3884" t="s">
        <v>43</v>
      </c>
      <c r="Q3884" t="s">
        <v>43</v>
      </c>
      <c r="R3884" t="s">
        <v>43</v>
      </c>
      <c r="S3884" t="s">
        <v>43</v>
      </c>
      <c r="T3884" t="s">
        <v>43</v>
      </c>
      <c r="U3884" t="s">
        <v>43</v>
      </c>
      <c r="V3884" t="s">
        <v>43</v>
      </c>
      <c r="W3884" t="s">
        <v>43</v>
      </c>
      <c r="X3884" t="s">
        <v>43</v>
      </c>
      <c r="Y3884" t="s">
        <v>43</v>
      </c>
      <c r="Z3884" t="s">
        <v>43</v>
      </c>
      <c r="AA3884" t="s">
        <v>43</v>
      </c>
      <c r="AB3884" t="s">
        <v>43</v>
      </c>
      <c r="AC3884" t="s">
        <v>43</v>
      </c>
      <c r="AD3884" t="s">
        <v>43</v>
      </c>
      <c r="AE3884" t="s">
        <v>43</v>
      </c>
      <c r="AF3884" t="s">
        <v>43</v>
      </c>
      <c r="AG3884" t="s">
        <v>43</v>
      </c>
      <c r="AH3884" t="s">
        <v>43</v>
      </c>
      <c r="AI3884" t="s">
        <v>43</v>
      </c>
      <c r="AJ3884" t="s">
        <v>43</v>
      </c>
      <c r="AK3884" t="s">
        <v>43</v>
      </c>
      <c r="AL3884" t="s">
        <v>43</v>
      </c>
      <c r="AM3884" t="s">
        <v>43</v>
      </c>
      <c r="AN3884" t="str">
        <f>HYPERLINK("https://www.google.com/maps?q=10.76307201,79.69437408","Open Location")</f>
        <v>Open Location</v>
      </c>
    </row>
    <row r="3885" spans="1:40" x14ac:dyDescent="0.3">
      <c r="A3885" s="1">
        <v>46210.55</v>
      </c>
      <c r="B3885" t="s">
        <v>40</v>
      </c>
      <c r="C3885" t="s">
        <v>41</v>
      </c>
      <c r="D3885" s="1">
        <v>46210.552743055552</v>
      </c>
      <c r="E3885" t="s">
        <v>42</v>
      </c>
      <c r="F3885" t="s">
        <v>43</v>
      </c>
      <c r="G3885" t="s">
        <v>43</v>
      </c>
      <c r="H3885" t="s">
        <v>43</v>
      </c>
      <c r="I3885" t="s">
        <v>2253</v>
      </c>
      <c r="J3885" t="s">
        <v>43</v>
      </c>
      <c r="K3885" t="s">
        <v>43</v>
      </c>
      <c r="L3885" t="s">
        <v>43</v>
      </c>
      <c r="M3885" t="s">
        <v>43</v>
      </c>
      <c r="N3885" t="s">
        <v>45</v>
      </c>
      <c r="O3885" t="s">
        <v>43</v>
      </c>
      <c r="P3885" t="s">
        <v>43</v>
      </c>
      <c r="Q3885" t="s">
        <v>43</v>
      </c>
      <c r="R3885" t="s">
        <v>43</v>
      </c>
      <c r="S3885" t="s">
        <v>43</v>
      </c>
      <c r="T3885" t="s">
        <v>43</v>
      </c>
      <c r="U3885" t="s">
        <v>43</v>
      </c>
      <c r="V3885" t="s">
        <v>43</v>
      </c>
      <c r="W3885" t="s">
        <v>43</v>
      </c>
      <c r="X3885" t="s">
        <v>43</v>
      </c>
      <c r="Y3885" t="s">
        <v>43</v>
      </c>
      <c r="Z3885" t="s">
        <v>43</v>
      </c>
      <c r="AA3885" t="s">
        <v>43</v>
      </c>
      <c r="AB3885" t="s">
        <v>43</v>
      </c>
      <c r="AC3885" t="s">
        <v>43</v>
      </c>
      <c r="AD3885" t="s">
        <v>43</v>
      </c>
      <c r="AE3885" t="s">
        <v>43</v>
      </c>
      <c r="AF3885" t="s">
        <v>43</v>
      </c>
      <c r="AG3885" t="s">
        <v>43</v>
      </c>
      <c r="AH3885" t="s">
        <v>43</v>
      </c>
      <c r="AI3885" t="s">
        <v>43</v>
      </c>
      <c r="AJ3885" t="s">
        <v>43</v>
      </c>
      <c r="AK3885" t="s">
        <v>43</v>
      </c>
      <c r="AL3885" t="s">
        <v>43</v>
      </c>
      <c r="AM3885" t="s">
        <v>43</v>
      </c>
      <c r="AN3885" t="str">
        <f>HYPERLINK("https://www.google.com/maps?q=10.76307011,79.69436646","Open Location")</f>
        <v>Open Location</v>
      </c>
    </row>
    <row r="3886" spans="1:40" x14ac:dyDescent="0.3">
      <c r="A3886" s="1">
        <v>46210.549884259257</v>
      </c>
      <c r="B3886" t="s">
        <v>40</v>
      </c>
      <c r="C3886" t="s">
        <v>41</v>
      </c>
      <c r="D3886" s="1">
        <v>46210.552870370368</v>
      </c>
      <c r="E3886" t="s">
        <v>42</v>
      </c>
      <c r="F3886" t="s">
        <v>43</v>
      </c>
      <c r="G3886" t="s">
        <v>43</v>
      </c>
      <c r="H3886" t="s">
        <v>43</v>
      </c>
      <c r="I3886" t="s">
        <v>43</v>
      </c>
      <c r="J3886" t="s">
        <v>43</v>
      </c>
      <c r="K3886" t="s">
        <v>43</v>
      </c>
      <c r="L3886" t="s">
        <v>43</v>
      </c>
      <c r="M3886" t="s">
        <v>43</v>
      </c>
      <c r="N3886" t="s">
        <v>45</v>
      </c>
      <c r="O3886" t="s">
        <v>43</v>
      </c>
      <c r="P3886" t="s">
        <v>43</v>
      </c>
      <c r="Q3886" t="s">
        <v>43</v>
      </c>
      <c r="R3886" t="s">
        <v>43</v>
      </c>
      <c r="S3886" t="s">
        <v>43</v>
      </c>
      <c r="T3886" t="s">
        <v>43</v>
      </c>
      <c r="U3886" t="s">
        <v>43</v>
      </c>
      <c r="V3886" t="s">
        <v>43</v>
      </c>
      <c r="W3886" t="s">
        <v>43</v>
      </c>
      <c r="X3886" t="s">
        <v>43</v>
      </c>
      <c r="Y3886" t="s">
        <v>43</v>
      </c>
      <c r="Z3886" t="s">
        <v>43</v>
      </c>
      <c r="AA3886" t="s">
        <v>43</v>
      </c>
      <c r="AB3886" t="s">
        <v>43</v>
      </c>
      <c r="AC3886" t="s">
        <v>43</v>
      </c>
      <c r="AD3886" t="s">
        <v>43</v>
      </c>
      <c r="AE3886" t="s">
        <v>43</v>
      </c>
      <c r="AF3886" t="s">
        <v>43</v>
      </c>
      <c r="AG3886" t="s">
        <v>43</v>
      </c>
      <c r="AH3886" t="s">
        <v>43</v>
      </c>
      <c r="AI3886" t="s">
        <v>43</v>
      </c>
      <c r="AJ3886" t="s">
        <v>43</v>
      </c>
      <c r="AK3886" t="s">
        <v>43</v>
      </c>
      <c r="AL3886" t="s">
        <v>43</v>
      </c>
      <c r="AM3886" t="s">
        <v>43</v>
      </c>
      <c r="AN3886" t="s">
        <v>43</v>
      </c>
    </row>
    <row r="3887" spans="1:40" x14ac:dyDescent="0.3">
      <c r="A3887" s="1">
        <v>46210.549768518518</v>
      </c>
      <c r="B3887" t="s">
        <v>40</v>
      </c>
      <c r="C3887" t="s">
        <v>41</v>
      </c>
      <c r="D3887" s="1">
        <v>46210.552523148152</v>
      </c>
      <c r="E3887" t="s">
        <v>42</v>
      </c>
      <c r="F3887" t="s">
        <v>43</v>
      </c>
      <c r="G3887" t="s">
        <v>43</v>
      </c>
      <c r="H3887" t="s">
        <v>43</v>
      </c>
      <c r="I3887" t="s">
        <v>2255</v>
      </c>
      <c r="J3887" t="s">
        <v>43</v>
      </c>
      <c r="K3887" t="s">
        <v>43</v>
      </c>
      <c r="L3887" t="s">
        <v>43</v>
      </c>
      <c r="M3887" t="s">
        <v>43</v>
      </c>
      <c r="N3887" t="s">
        <v>45</v>
      </c>
      <c r="O3887" t="s">
        <v>43</v>
      </c>
      <c r="P3887" t="s">
        <v>43</v>
      </c>
      <c r="Q3887" t="s">
        <v>43</v>
      </c>
      <c r="R3887" t="s">
        <v>43</v>
      </c>
      <c r="S3887" t="s">
        <v>43</v>
      </c>
      <c r="T3887" t="s">
        <v>43</v>
      </c>
      <c r="U3887" t="s">
        <v>43</v>
      </c>
      <c r="V3887" t="s">
        <v>43</v>
      </c>
      <c r="W3887" t="s">
        <v>43</v>
      </c>
      <c r="X3887" t="s">
        <v>43</v>
      </c>
      <c r="Y3887" t="s">
        <v>43</v>
      </c>
      <c r="Z3887" t="s">
        <v>43</v>
      </c>
      <c r="AA3887" t="s">
        <v>43</v>
      </c>
      <c r="AB3887" t="s">
        <v>43</v>
      </c>
      <c r="AC3887" t="s">
        <v>43</v>
      </c>
      <c r="AD3887" t="s">
        <v>43</v>
      </c>
      <c r="AE3887" t="s">
        <v>43</v>
      </c>
      <c r="AF3887" t="s">
        <v>43</v>
      </c>
      <c r="AG3887" t="s">
        <v>43</v>
      </c>
      <c r="AH3887" t="s">
        <v>43</v>
      </c>
      <c r="AI3887" t="s">
        <v>43</v>
      </c>
      <c r="AJ3887" t="s">
        <v>43</v>
      </c>
      <c r="AK3887" t="s">
        <v>43</v>
      </c>
      <c r="AL3887" t="s">
        <v>43</v>
      </c>
      <c r="AM3887" t="s">
        <v>43</v>
      </c>
      <c r="AN3887" t="str">
        <f>HYPERLINK("https://www.google.com/maps?q=10.76306915,79.69436646","Open Location")</f>
        <v>Open Location</v>
      </c>
    </row>
    <row r="3888" spans="1:40" x14ac:dyDescent="0.3">
      <c r="A3888" s="1">
        <v>46210.54965277778</v>
      </c>
      <c r="B3888" t="s">
        <v>40</v>
      </c>
      <c r="C3888" t="s">
        <v>41</v>
      </c>
      <c r="D3888" s="1">
        <v>46210.552581018521</v>
      </c>
      <c r="E3888" t="s">
        <v>42</v>
      </c>
      <c r="F3888" t="s">
        <v>43</v>
      </c>
      <c r="G3888" t="s">
        <v>43</v>
      </c>
      <c r="H3888" t="s">
        <v>43</v>
      </c>
      <c r="I3888" t="s">
        <v>2220</v>
      </c>
      <c r="J3888" t="s">
        <v>43</v>
      </c>
      <c r="K3888" t="s">
        <v>43</v>
      </c>
      <c r="L3888" t="s">
        <v>43</v>
      </c>
      <c r="M3888" t="s">
        <v>43</v>
      </c>
      <c r="N3888" t="s">
        <v>45</v>
      </c>
      <c r="O3888" t="s">
        <v>43</v>
      </c>
      <c r="P3888" t="s">
        <v>43</v>
      </c>
      <c r="Q3888" t="s">
        <v>43</v>
      </c>
      <c r="R3888" t="s">
        <v>43</v>
      </c>
      <c r="S3888" t="s">
        <v>43</v>
      </c>
      <c r="T3888" t="s">
        <v>43</v>
      </c>
      <c r="U3888" t="s">
        <v>43</v>
      </c>
      <c r="V3888" t="s">
        <v>43</v>
      </c>
      <c r="W3888" t="s">
        <v>43</v>
      </c>
      <c r="X3888" t="s">
        <v>43</v>
      </c>
      <c r="Y3888" t="s">
        <v>43</v>
      </c>
      <c r="Z3888" t="s">
        <v>43</v>
      </c>
      <c r="AA3888" t="s">
        <v>43</v>
      </c>
      <c r="AB3888" t="s">
        <v>43</v>
      </c>
      <c r="AC3888" t="s">
        <v>43</v>
      </c>
      <c r="AD3888" t="s">
        <v>43</v>
      </c>
      <c r="AE3888" t="s">
        <v>43</v>
      </c>
      <c r="AF3888" t="s">
        <v>43</v>
      </c>
      <c r="AG3888" t="s">
        <v>43</v>
      </c>
      <c r="AH3888" t="s">
        <v>43</v>
      </c>
      <c r="AI3888" t="s">
        <v>43</v>
      </c>
      <c r="AJ3888" t="s">
        <v>43</v>
      </c>
      <c r="AK3888" t="s">
        <v>43</v>
      </c>
      <c r="AL3888" t="s">
        <v>43</v>
      </c>
      <c r="AM3888" t="s">
        <v>43</v>
      </c>
      <c r="AN3888" t="str">
        <f>HYPERLINK("https://www.google.com/maps?q=10.76306725,79.69436646","Open Location")</f>
        <v>Open Location</v>
      </c>
    </row>
    <row r="3889" spans="1:40" x14ac:dyDescent="0.3">
      <c r="A3889" s="1">
        <v>46210.549537037034</v>
      </c>
      <c r="B3889" t="s">
        <v>40</v>
      </c>
      <c r="C3889" t="s">
        <v>41</v>
      </c>
      <c r="D3889" s="1">
        <v>46210.552523148152</v>
      </c>
      <c r="E3889" t="s">
        <v>42</v>
      </c>
      <c r="F3889" t="s">
        <v>43</v>
      </c>
      <c r="G3889" t="s">
        <v>43</v>
      </c>
      <c r="H3889" t="s">
        <v>43</v>
      </c>
      <c r="I3889" t="s">
        <v>2268</v>
      </c>
      <c r="J3889" t="s">
        <v>43</v>
      </c>
      <c r="K3889" t="s">
        <v>43</v>
      </c>
      <c r="L3889" t="s">
        <v>43</v>
      </c>
      <c r="M3889" t="s">
        <v>43</v>
      </c>
      <c r="N3889" t="s">
        <v>45</v>
      </c>
      <c r="O3889" t="s">
        <v>43</v>
      </c>
      <c r="P3889" t="s">
        <v>43</v>
      </c>
      <c r="Q3889" t="s">
        <v>43</v>
      </c>
      <c r="R3889" t="s">
        <v>43</v>
      </c>
      <c r="S3889" t="s">
        <v>43</v>
      </c>
      <c r="T3889" t="s">
        <v>43</v>
      </c>
      <c r="U3889" t="s">
        <v>43</v>
      </c>
      <c r="V3889" t="s">
        <v>43</v>
      </c>
      <c r="W3889" t="s">
        <v>43</v>
      </c>
      <c r="X3889" t="s">
        <v>43</v>
      </c>
      <c r="Y3889" t="s">
        <v>43</v>
      </c>
      <c r="Z3889" t="s">
        <v>43</v>
      </c>
      <c r="AA3889" t="s">
        <v>43</v>
      </c>
      <c r="AB3889" t="s">
        <v>43</v>
      </c>
      <c r="AC3889" t="s">
        <v>43</v>
      </c>
      <c r="AD3889" t="s">
        <v>43</v>
      </c>
      <c r="AE3889" t="s">
        <v>43</v>
      </c>
      <c r="AF3889" t="s">
        <v>43</v>
      </c>
      <c r="AG3889" t="s">
        <v>43</v>
      </c>
      <c r="AH3889" t="s">
        <v>43</v>
      </c>
      <c r="AI3889" t="s">
        <v>43</v>
      </c>
      <c r="AJ3889" t="s">
        <v>43</v>
      </c>
      <c r="AK3889" t="s">
        <v>43</v>
      </c>
      <c r="AL3889" t="s">
        <v>43</v>
      </c>
      <c r="AM3889" t="s">
        <v>43</v>
      </c>
      <c r="AN3889" t="str">
        <f>HYPERLINK("https://www.google.com/maps?q=10.76306152,79.69436646","Open Location")</f>
        <v>Open Location</v>
      </c>
    </row>
    <row r="3890" spans="1:40" x14ac:dyDescent="0.3">
      <c r="A3890" s="1">
        <v>46210.549421296295</v>
      </c>
      <c r="B3890" t="s">
        <v>40</v>
      </c>
      <c r="C3890" t="s">
        <v>41</v>
      </c>
      <c r="D3890" s="1">
        <v>46210.552523148152</v>
      </c>
      <c r="E3890" t="s">
        <v>42</v>
      </c>
      <c r="F3890" t="s">
        <v>43</v>
      </c>
      <c r="G3890" t="s">
        <v>43</v>
      </c>
      <c r="H3890" t="s">
        <v>43</v>
      </c>
      <c r="I3890" t="s">
        <v>2257</v>
      </c>
      <c r="J3890" t="s">
        <v>43</v>
      </c>
      <c r="K3890" t="s">
        <v>43</v>
      </c>
      <c r="L3890" t="s">
        <v>43</v>
      </c>
      <c r="M3890" t="s">
        <v>43</v>
      </c>
      <c r="N3890" t="s">
        <v>45</v>
      </c>
      <c r="O3890" t="s">
        <v>43</v>
      </c>
      <c r="P3890" t="s">
        <v>43</v>
      </c>
      <c r="Q3890" t="s">
        <v>43</v>
      </c>
      <c r="R3890" t="s">
        <v>43</v>
      </c>
      <c r="S3890" t="s">
        <v>43</v>
      </c>
      <c r="T3890" t="s">
        <v>43</v>
      </c>
      <c r="U3890" t="s">
        <v>43</v>
      </c>
      <c r="V3890" t="s">
        <v>43</v>
      </c>
      <c r="W3890" t="s">
        <v>43</v>
      </c>
      <c r="X3890" t="s">
        <v>43</v>
      </c>
      <c r="Y3890" t="s">
        <v>43</v>
      </c>
      <c r="Z3890" t="s">
        <v>43</v>
      </c>
      <c r="AA3890" t="s">
        <v>43</v>
      </c>
      <c r="AB3890" t="s">
        <v>43</v>
      </c>
      <c r="AC3890" t="s">
        <v>43</v>
      </c>
      <c r="AD3890" t="s">
        <v>43</v>
      </c>
      <c r="AE3890" t="s">
        <v>43</v>
      </c>
      <c r="AF3890" t="s">
        <v>43</v>
      </c>
      <c r="AG3890" t="s">
        <v>43</v>
      </c>
      <c r="AH3890" t="s">
        <v>43</v>
      </c>
      <c r="AI3890" t="s">
        <v>43</v>
      </c>
      <c r="AJ3890" t="s">
        <v>43</v>
      </c>
      <c r="AK3890" t="s">
        <v>43</v>
      </c>
      <c r="AL3890" t="s">
        <v>43</v>
      </c>
      <c r="AM3890" t="s">
        <v>43</v>
      </c>
      <c r="AN3890" t="str">
        <f>HYPERLINK("https://www.google.com/maps?q=10.76306057,79.69436646","Open Location")</f>
        <v>Open Location</v>
      </c>
    </row>
    <row r="3891" spans="1:40" x14ac:dyDescent="0.3">
      <c r="A3891" s="1">
        <v>46210.549305555556</v>
      </c>
      <c r="B3891" t="s">
        <v>40</v>
      </c>
      <c r="C3891" t="s">
        <v>41</v>
      </c>
      <c r="D3891" s="1">
        <v>46210.552164351851</v>
      </c>
      <c r="E3891" t="s">
        <v>42</v>
      </c>
      <c r="F3891" t="s">
        <v>43</v>
      </c>
      <c r="G3891" t="s">
        <v>43</v>
      </c>
      <c r="H3891" t="s">
        <v>43</v>
      </c>
      <c r="I3891" t="s">
        <v>2301</v>
      </c>
      <c r="J3891" t="s">
        <v>43</v>
      </c>
      <c r="K3891" t="s">
        <v>43</v>
      </c>
      <c r="L3891" t="s">
        <v>43</v>
      </c>
      <c r="M3891" t="s">
        <v>43</v>
      </c>
      <c r="N3891" t="s">
        <v>45</v>
      </c>
      <c r="O3891" t="s">
        <v>43</v>
      </c>
      <c r="P3891" t="s">
        <v>43</v>
      </c>
      <c r="Q3891" t="s">
        <v>43</v>
      </c>
      <c r="R3891" t="s">
        <v>43</v>
      </c>
      <c r="S3891" t="s">
        <v>43</v>
      </c>
      <c r="T3891" t="s">
        <v>43</v>
      </c>
      <c r="U3891" t="s">
        <v>43</v>
      </c>
      <c r="V3891" t="s">
        <v>43</v>
      </c>
      <c r="W3891" t="s">
        <v>43</v>
      </c>
      <c r="X3891" t="s">
        <v>43</v>
      </c>
      <c r="Y3891" t="s">
        <v>43</v>
      </c>
      <c r="Z3891" t="s">
        <v>43</v>
      </c>
      <c r="AA3891" t="s">
        <v>43</v>
      </c>
      <c r="AB3891" t="s">
        <v>43</v>
      </c>
      <c r="AC3891" t="s">
        <v>43</v>
      </c>
      <c r="AD3891" t="s">
        <v>43</v>
      </c>
      <c r="AE3891" t="s">
        <v>43</v>
      </c>
      <c r="AF3891" t="s">
        <v>43</v>
      </c>
      <c r="AG3891" t="s">
        <v>43</v>
      </c>
      <c r="AH3891" t="s">
        <v>43</v>
      </c>
      <c r="AI3891" t="s">
        <v>43</v>
      </c>
      <c r="AJ3891" t="s">
        <v>43</v>
      </c>
      <c r="AK3891" t="s">
        <v>43</v>
      </c>
      <c r="AL3891" t="s">
        <v>43</v>
      </c>
      <c r="AM3891" t="s">
        <v>43</v>
      </c>
      <c r="AN3891" t="str">
        <f>HYPERLINK("https://www.google.com/maps?q=10.76305962,79.69436646","Open Location")</f>
        <v>Open Location</v>
      </c>
    </row>
    <row r="3892" spans="1:40" x14ac:dyDescent="0.3">
      <c r="A3892" s="1">
        <v>46210.549189814818</v>
      </c>
      <c r="B3892" t="s">
        <v>40</v>
      </c>
      <c r="C3892" t="s">
        <v>41</v>
      </c>
      <c r="D3892" s="1">
        <v>46210.552118055559</v>
      </c>
      <c r="E3892" t="s">
        <v>42</v>
      </c>
      <c r="F3892" t="s">
        <v>43</v>
      </c>
      <c r="G3892" t="s">
        <v>43</v>
      </c>
      <c r="H3892" t="s">
        <v>43</v>
      </c>
      <c r="I3892" t="s">
        <v>43</v>
      </c>
      <c r="J3892" t="s">
        <v>43</v>
      </c>
      <c r="K3892" t="s">
        <v>43</v>
      </c>
      <c r="L3892" t="s">
        <v>43</v>
      </c>
      <c r="M3892" t="s">
        <v>43</v>
      </c>
      <c r="N3892" t="s">
        <v>45</v>
      </c>
      <c r="O3892" t="s">
        <v>43</v>
      </c>
      <c r="P3892" t="s">
        <v>43</v>
      </c>
      <c r="Q3892" t="s">
        <v>43</v>
      </c>
      <c r="R3892" t="s">
        <v>43</v>
      </c>
      <c r="S3892" t="s">
        <v>43</v>
      </c>
      <c r="T3892" t="s">
        <v>43</v>
      </c>
      <c r="U3892" t="s">
        <v>43</v>
      </c>
      <c r="V3892" t="s">
        <v>43</v>
      </c>
      <c r="W3892" t="s">
        <v>43</v>
      </c>
      <c r="X3892" t="s">
        <v>43</v>
      </c>
      <c r="Y3892" t="s">
        <v>43</v>
      </c>
      <c r="Z3892" t="s">
        <v>43</v>
      </c>
      <c r="AA3892" t="s">
        <v>43</v>
      </c>
      <c r="AB3892" t="s">
        <v>43</v>
      </c>
      <c r="AC3892" t="s">
        <v>43</v>
      </c>
      <c r="AD3892" t="s">
        <v>43</v>
      </c>
      <c r="AE3892" t="s">
        <v>43</v>
      </c>
      <c r="AF3892" t="s">
        <v>43</v>
      </c>
      <c r="AG3892" t="s">
        <v>43</v>
      </c>
      <c r="AH3892" t="s">
        <v>43</v>
      </c>
      <c r="AI3892" t="s">
        <v>43</v>
      </c>
      <c r="AJ3892" t="s">
        <v>43</v>
      </c>
      <c r="AK3892" t="s">
        <v>43</v>
      </c>
      <c r="AL3892" t="s">
        <v>43</v>
      </c>
      <c r="AM3892" t="s">
        <v>43</v>
      </c>
      <c r="AN3892" t="s">
        <v>43</v>
      </c>
    </row>
    <row r="3893" spans="1:40" x14ac:dyDescent="0.3">
      <c r="A3893" s="1">
        <v>46210.549074074072</v>
      </c>
      <c r="B3893" t="s">
        <v>40</v>
      </c>
      <c r="C3893" t="s">
        <v>41</v>
      </c>
      <c r="D3893" s="1">
        <v>46210.552245370367</v>
      </c>
      <c r="E3893" t="s">
        <v>42</v>
      </c>
      <c r="F3893" t="s">
        <v>43</v>
      </c>
      <c r="G3893" t="s">
        <v>43</v>
      </c>
      <c r="H3893" t="s">
        <v>43</v>
      </c>
      <c r="I3893" t="s">
        <v>2258</v>
      </c>
      <c r="J3893" t="s">
        <v>43</v>
      </c>
      <c r="K3893" t="s">
        <v>43</v>
      </c>
      <c r="L3893" t="s">
        <v>43</v>
      </c>
      <c r="M3893" t="s">
        <v>43</v>
      </c>
      <c r="N3893" t="s">
        <v>45</v>
      </c>
      <c r="O3893" t="s">
        <v>43</v>
      </c>
      <c r="P3893" t="s">
        <v>43</v>
      </c>
      <c r="Q3893" t="s">
        <v>43</v>
      </c>
      <c r="R3893" t="s">
        <v>43</v>
      </c>
      <c r="S3893" t="s">
        <v>43</v>
      </c>
      <c r="T3893" t="s">
        <v>43</v>
      </c>
      <c r="U3893" t="s">
        <v>43</v>
      </c>
      <c r="V3893" t="s">
        <v>43</v>
      </c>
      <c r="W3893" t="s">
        <v>43</v>
      </c>
      <c r="X3893" t="s">
        <v>43</v>
      </c>
      <c r="Y3893" t="s">
        <v>43</v>
      </c>
      <c r="Z3893" t="s">
        <v>43</v>
      </c>
      <c r="AA3893" t="s">
        <v>43</v>
      </c>
      <c r="AB3893" t="s">
        <v>43</v>
      </c>
      <c r="AC3893" t="s">
        <v>43</v>
      </c>
      <c r="AD3893" t="s">
        <v>43</v>
      </c>
      <c r="AE3893" t="s">
        <v>43</v>
      </c>
      <c r="AF3893" t="s">
        <v>43</v>
      </c>
      <c r="AG3893" t="s">
        <v>43</v>
      </c>
      <c r="AH3893" t="s">
        <v>43</v>
      </c>
      <c r="AI3893" t="s">
        <v>43</v>
      </c>
      <c r="AJ3893" t="s">
        <v>43</v>
      </c>
      <c r="AK3893" t="s">
        <v>43</v>
      </c>
      <c r="AL3893" t="s">
        <v>43</v>
      </c>
      <c r="AM3893" t="s">
        <v>43</v>
      </c>
      <c r="AN3893" t="str">
        <f>HYPERLINK("https://www.google.com/maps?q=10.76305771,79.69435883","Open Location")</f>
        <v>Open Location</v>
      </c>
    </row>
    <row r="3894" spans="1:40" x14ac:dyDescent="0.3">
      <c r="A3894" s="1">
        <v>46210.548958333333</v>
      </c>
      <c r="B3894" t="s">
        <v>40</v>
      </c>
      <c r="C3894" t="s">
        <v>41</v>
      </c>
      <c r="D3894" s="1">
        <v>46210.552164351851</v>
      </c>
      <c r="E3894" t="s">
        <v>42</v>
      </c>
      <c r="F3894" t="s">
        <v>43</v>
      </c>
      <c r="G3894" t="s">
        <v>43</v>
      </c>
      <c r="H3894" t="s">
        <v>43</v>
      </c>
      <c r="I3894" t="s">
        <v>2302</v>
      </c>
      <c r="J3894" t="s">
        <v>43</v>
      </c>
      <c r="K3894" t="s">
        <v>43</v>
      </c>
      <c r="L3894" t="s">
        <v>43</v>
      </c>
      <c r="M3894" t="s">
        <v>43</v>
      </c>
      <c r="N3894" t="s">
        <v>45</v>
      </c>
      <c r="O3894" t="s">
        <v>43</v>
      </c>
      <c r="P3894" t="s">
        <v>43</v>
      </c>
      <c r="Q3894" t="s">
        <v>43</v>
      </c>
      <c r="R3894" t="s">
        <v>43</v>
      </c>
      <c r="S3894" t="s">
        <v>43</v>
      </c>
      <c r="T3894" t="s">
        <v>43</v>
      </c>
      <c r="U3894" t="s">
        <v>43</v>
      </c>
      <c r="V3894" t="s">
        <v>43</v>
      </c>
      <c r="W3894" t="s">
        <v>43</v>
      </c>
      <c r="X3894" t="s">
        <v>43</v>
      </c>
      <c r="Y3894" t="s">
        <v>43</v>
      </c>
      <c r="Z3894" t="s">
        <v>43</v>
      </c>
      <c r="AA3894" t="s">
        <v>43</v>
      </c>
      <c r="AB3894" t="s">
        <v>43</v>
      </c>
      <c r="AC3894" t="s">
        <v>43</v>
      </c>
      <c r="AD3894" t="s">
        <v>43</v>
      </c>
      <c r="AE3894" t="s">
        <v>43</v>
      </c>
      <c r="AF3894" t="s">
        <v>43</v>
      </c>
      <c r="AG3894" t="s">
        <v>43</v>
      </c>
      <c r="AH3894" t="s">
        <v>43</v>
      </c>
      <c r="AI3894" t="s">
        <v>43</v>
      </c>
      <c r="AJ3894" t="s">
        <v>43</v>
      </c>
      <c r="AK3894" t="s">
        <v>43</v>
      </c>
      <c r="AL3894" t="s">
        <v>43</v>
      </c>
      <c r="AM3894" t="s">
        <v>43</v>
      </c>
      <c r="AN3894" t="str">
        <f>HYPERLINK("https://www.google.com/maps?q=10.76305771,79.69436646","Open Location")</f>
        <v>Open Location</v>
      </c>
    </row>
    <row r="3895" spans="1:40" x14ac:dyDescent="0.3">
      <c r="A3895" s="1">
        <v>46210.548842592594</v>
      </c>
      <c r="B3895" t="s">
        <v>40</v>
      </c>
      <c r="C3895" t="s">
        <v>41</v>
      </c>
      <c r="D3895" s="1">
        <v>46210.551678240743</v>
      </c>
      <c r="E3895" t="s">
        <v>42</v>
      </c>
      <c r="F3895" t="s">
        <v>43</v>
      </c>
      <c r="G3895" t="s">
        <v>43</v>
      </c>
      <c r="H3895" t="s">
        <v>43</v>
      </c>
      <c r="I3895" t="s">
        <v>2257</v>
      </c>
      <c r="J3895" t="s">
        <v>43</v>
      </c>
      <c r="K3895" t="s">
        <v>43</v>
      </c>
      <c r="L3895" t="s">
        <v>43</v>
      </c>
      <c r="M3895" t="s">
        <v>43</v>
      </c>
      <c r="N3895" t="s">
        <v>45</v>
      </c>
      <c r="O3895" t="s">
        <v>43</v>
      </c>
      <c r="P3895" t="s">
        <v>43</v>
      </c>
      <c r="Q3895" t="s">
        <v>43</v>
      </c>
      <c r="R3895" t="s">
        <v>43</v>
      </c>
      <c r="S3895" t="s">
        <v>43</v>
      </c>
      <c r="T3895" t="s">
        <v>43</v>
      </c>
      <c r="U3895" t="s">
        <v>43</v>
      </c>
      <c r="V3895" t="s">
        <v>43</v>
      </c>
      <c r="W3895" t="s">
        <v>43</v>
      </c>
      <c r="X3895" t="s">
        <v>43</v>
      </c>
      <c r="Y3895" t="s">
        <v>43</v>
      </c>
      <c r="Z3895" t="s">
        <v>43</v>
      </c>
      <c r="AA3895" t="s">
        <v>43</v>
      </c>
      <c r="AB3895" t="s">
        <v>43</v>
      </c>
      <c r="AC3895" t="s">
        <v>43</v>
      </c>
      <c r="AD3895" t="s">
        <v>43</v>
      </c>
      <c r="AE3895" t="s">
        <v>43</v>
      </c>
      <c r="AF3895" t="s">
        <v>43</v>
      </c>
      <c r="AG3895" t="s">
        <v>43</v>
      </c>
      <c r="AH3895" t="s">
        <v>43</v>
      </c>
      <c r="AI3895" t="s">
        <v>43</v>
      </c>
      <c r="AJ3895" t="s">
        <v>43</v>
      </c>
      <c r="AK3895" t="s">
        <v>43</v>
      </c>
      <c r="AL3895" t="s">
        <v>43</v>
      </c>
      <c r="AM3895" t="s">
        <v>43</v>
      </c>
      <c r="AN3895" t="str">
        <f>HYPERLINK("https://www.google.com/maps?q=10.76306057,79.69436646","Open Location")</f>
        <v>Open Location</v>
      </c>
    </row>
    <row r="3896" spans="1:40" x14ac:dyDescent="0.3">
      <c r="A3896" s="1">
        <v>46210.548726851855</v>
      </c>
      <c r="B3896" t="s">
        <v>40</v>
      </c>
      <c r="C3896" t="s">
        <v>41</v>
      </c>
      <c r="D3896" s="1">
        <v>46210.551701388889</v>
      </c>
      <c r="E3896" t="s">
        <v>42</v>
      </c>
      <c r="F3896" t="s">
        <v>43</v>
      </c>
      <c r="G3896" t="s">
        <v>43</v>
      </c>
      <c r="H3896" t="s">
        <v>43</v>
      </c>
      <c r="I3896" t="s">
        <v>2267</v>
      </c>
      <c r="J3896" t="s">
        <v>43</v>
      </c>
      <c r="K3896" t="s">
        <v>43</v>
      </c>
      <c r="L3896" t="s">
        <v>43</v>
      </c>
      <c r="M3896" t="s">
        <v>43</v>
      </c>
      <c r="N3896" t="s">
        <v>45</v>
      </c>
      <c r="O3896" t="s">
        <v>43</v>
      </c>
      <c r="P3896" t="s">
        <v>43</v>
      </c>
      <c r="Q3896" t="s">
        <v>43</v>
      </c>
      <c r="R3896" t="s">
        <v>43</v>
      </c>
      <c r="S3896" t="s">
        <v>43</v>
      </c>
      <c r="T3896" t="s">
        <v>43</v>
      </c>
      <c r="U3896" t="s">
        <v>43</v>
      </c>
      <c r="V3896" t="s">
        <v>43</v>
      </c>
      <c r="W3896" t="s">
        <v>43</v>
      </c>
      <c r="X3896" t="s">
        <v>43</v>
      </c>
      <c r="Y3896" t="s">
        <v>43</v>
      </c>
      <c r="Z3896" t="s">
        <v>43</v>
      </c>
      <c r="AA3896" t="s">
        <v>43</v>
      </c>
      <c r="AB3896" t="s">
        <v>43</v>
      </c>
      <c r="AC3896" t="s">
        <v>43</v>
      </c>
      <c r="AD3896" t="s">
        <v>43</v>
      </c>
      <c r="AE3896" t="s">
        <v>43</v>
      </c>
      <c r="AF3896" t="s">
        <v>43</v>
      </c>
      <c r="AG3896" t="s">
        <v>43</v>
      </c>
      <c r="AH3896" t="s">
        <v>43</v>
      </c>
      <c r="AI3896" t="s">
        <v>43</v>
      </c>
      <c r="AJ3896" t="s">
        <v>43</v>
      </c>
      <c r="AK3896" t="s">
        <v>43</v>
      </c>
      <c r="AL3896" t="s">
        <v>43</v>
      </c>
      <c r="AM3896" t="s">
        <v>43</v>
      </c>
      <c r="AN3896" t="str">
        <f>HYPERLINK("https://www.google.com/maps?q=10.76306438,79.69436646","Open Location")</f>
        <v>Open Location</v>
      </c>
    </row>
    <row r="3897" spans="1:40" x14ac:dyDescent="0.3">
      <c r="A3897" s="1">
        <v>46210.548611111109</v>
      </c>
      <c r="B3897" t="s">
        <v>40</v>
      </c>
      <c r="C3897" t="s">
        <v>41</v>
      </c>
      <c r="D3897" s="1">
        <v>46210.551701388889</v>
      </c>
      <c r="E3897" t="s">
        <v>42</v>
      </c>
      <c r="F3897" t="s">
        <v>43</v>
      </c>
      <c r="G3897" t="s">
        <v>43</v>
      </c>
      <c r="H3897" t="s">
        <v>43</v>
      </c>
      <c r="I3897" t="s">
        <v>2303</v>
      </c>
      <c r="J3897" t="s">
        <v>43</v>
      </c>
      <c r="K3897" t="s">
        <v>43</v>
      </c>
      <c r="L3897" t="s">
        <v>43</v>
      </c>
      <c r="M3897" t="s">
        <v>43</v>
      </c>
      <c r="N3897" t="s">
        <v>45</v>
      </c>
      <c r="O3897" t="s">
        <v>43</v>
      </c>
      <c r="P3897" t="s">
        <v>43</v>
      </c>
      <c r="Q3897" t="s">
        <v>43</v>
      </c>
      <c r="R3897" t="s">
        <v>43</v>
      </c>
      <c r="S3897" t="s">
        <v>43</v>
      </c>
      <c r="T3897" t="s">
        <v>43</v>
      </c>
      <c r="U3897" t="s">
        <v>43</v>
      </c>
      <c r="V3897" t="s">
        <v>43</v>
      </c>
      <c r="W3897" t="s">
        <v>43</v>
      </c>
      <c r="X3897" t="s">
        <v>43</v>
      </c>
      <c r="Y3897" t="s">
        <v>43</v>
      </c>
      <c r="Z3897" t="s">
        <v>43</v>
      </c>
      <c r="AA3897" t="s">
        <v>43</v>
      </c>
      <c r="AB3897" t="s">
        <v>43</v>
      </c>
      <c r="AC3897" t="s">
        <v>43</v>
      </c>
      <c r="AD3897" t="s">
        <v>43</v>
      </c>
      <c r="AE3897" t="s">
        <v>43</v>
      </c>
      <c r="AF3897" t="s">
        <v>43</v>
      </c>
      <c r="AG3897" t="s">
        <v>43</v>
      </c>
      <c r="AH3897" t="s">
        <v>43</v>
      </c>
      <c r="AI3897" t="s">
        <v>43</v>
      </c>
      <c r="AJ3897" t="s">
        <v>43</v>
      </c>
      <c r="AK3897" t="s">
        <v>43</v>
      </c>
      <c r="AL3897" t="s">
        <v>43</v>
      </c>
      <c r="AM3897" t="s">
        <v>43</v>
      </c>
      <c r="AN3897" t="str">
        <f>HYPERLINK("https://www.google.com/maps?q=10.7630682,79.69436646","Open Location")</f>
        <v>Open Location</v>
      </c>
    </row>
    <row r="3898" spans="1:40" x14ac:dyDescent="0.3">
      <c r="A3898" s="1">
        <v>46210.548495370371</v>
      </c>
      <c r="B3898" t="s">
        <v>40</v>
      </c>
      <c r="C3898" t="s">
        <v>41</v>
      </c>
      <c r="D3898" s="1">
        <v>46210.551354166666</v>
      </c>
      <c r="E3898" t="s">
        <v>42</v>
      </c>
      <c r="F3898" t="s">
        <v>43</v>
      </c>
      <c r="G3898" t="s">
        <v>43</v>
      </c>
      <c r="H3898" t="s">
        <v>43</v>
      </c>
      <c r="I3898" t="s">
        <v>43</v>
      </c>
      <c r="J3898" t="s">
        <v>43</v>
      </c>
      <c r="K3898" t="s">
        <v>43</v>
      </c>
      <c r="L3898" t="s">
        <v>43</v>
      </c>
      <c r="M3898" t="s">
        <v>43</v>
      </c>
      <c r="N3898" t="s">
        <v>45</v>
      </c>
      <c r="O3898" t="s">
        <v>43</v>
      </c>
      <c r="P3898" t="s">
        <v>43</v>
      </c>
      <c r="Q3898" t="s">
        <v>43</v>
      </c>
      <c r="R3898" t="s">
        <v>43</v>
      </c>
      <c r="S3898" t="s">
        <v>43</v>
      </c>
      <c r="T3898" t="s">
        <v>43</v>
      </c>
      <c r="U3898" t="s">
        <v>43</v>
      </c>
      <c r="V3898" t="s">
        <v>43</v>
      </c>
      <c r="W3898" t="s">
        <v>43</v>
      </c>
      <c r="X3898" t="s">
        <v>43</v>
      </c>
      <c r="Y3898" t="s">
        <v>43</v>
      </c>
      <c r="Z3898" t="s">
        <v>43</v>
      </c>
      <c r="AA3898" t="s">
        <v>43</v>
      </c>
      <c r="AB3898" t="s">
        <v>43</v>
      </c>
      <c r="AC3898" t="s">
        <v>43</v>
      </c>
      <c r="AD3898" t="s">
        <v>43</v>
      </c>
      <c r="AE3898" t="s">
        <v>43</v>
      </c>
      <c r="AF3898" t="s">
        <v>43</v>
      </c>
      <c r="AG3898" t="s">
        <v>43</v>
      </c>
      <c r="AH3898" t="s">
        <v>43</v>
      </c>
      <c r="AI3898" t="s">
        <v>43</v>
      </c>
      <c r="AJ3898" t="s">
        <v>43</v>
      </c>
      <c r="AK3898" t="s">
        <v>43</v>
      </c>
      <c r="AL3898" t="s">
        <v>43</v>
      </c>
      <c r="AM3898" t="s">
        <v>43</v>
      </c>
      <c r="AN3898" t="s">
        <v>43</v>
      </c>
    </row>
    <row r="3899" spans="1:40" x14ac:dyDescent="0.3">
      <c r="A3899" s="1">
        <v>46210.548379629632</v>
      </c>
      <c r="B3899" t="s">
        <v>40</v>
      </c>
      <c r="C3899" t="s">
        <v>41</v>
      </c>
      <c r="D3899" s="1">
        <v>46210.55127314815</v>
      </c>
      <c r="E3899" t="s">
        <v>42</v>
      </c>
      <c r="F3899" t="s">
        <v>43</v>
      </c>
      <c r="G3899" t="s">
        <v>43</v>
      </c>
      <c r="H3899" t="s">
        <v>43</v>
      </c>
      <c r="I3899" t="s">
        <v>2253</v>
      </c>
      <c r="J3899" t="s">
        <v>43</v>
      </c>
      <c r="K3899" t="s">
        <v>43</v>
      </c>
      <c r="L3899" t="s">
        <v>43</v>
      </c>
      <c r="M3899" t="s">
        <v>43</v>
      </c>
      <c r="N3899" t="s">
        <v>45</v>
      </c>
      <c r="O3899" t="s">
        <v>43</v>
      </c>
      <c r="P3899" t="s">
        <v>43</v>
      </c>
      <c r="Q3899" t="s">
        <v>43</v>
      </c>
      <c r="R3899" t="s">
        <v>43</v>
      </c>
      <c r="S3899" t="s">
        <v>43</v>
      </c>
      <c r="T3899" t="s">
        <v>43</v>
      </c>
      <c r="U3899" t="s">
        <v>43</v>
      </c>
      <c r="V3899" t="s">
        <v>43</v>
      </c>
      <c r="W3899" t="s">
        <v>43</v>
      </c>
      <c r="X3899" t="s">
        <v>43</v>
      </c>
      <c r="Y3899" t="s">
        <v>43</v>
      </c>
      <c r="Z3899" t="s">
        <v>43</v>
      </c>
      <c r="AA3899" t="s">
        <v>43</v>
      </c>
      <c r="AB3899" t="s">
        <v>43</v>
      </c>
      <c r="AC3899" t="s">
        <v>43</v>
      </c>
      <c r="AD3899" t="s">
        <v>43</v>
      </c>
      <c r="AE3899" t="s">
        <v>43</v>
      </c>
      <c r="AF3899" t="s">
        <v>43</v>
      </c>
      <c r="AG3899" t="s">
        <v>43</v>
      </c>
      <c r="AH3899" t="s">
        <v>43</v>
      </c>
      <c r="AI3899" t="s">
        <v>43</v>
      </c>
      <c r="AJ3899" t="s">
        <v>43</v>
      </c>
      <c r="AK3899" t="s">
        <v>43</v>
      </c>
      <c r="AL3899" t="s">
        <v>43</v>
      </c>
      <c r="AM3899" t="s">
        <v>43</v>
      </c>
      <c r="AN3899" t="str">
        <f>HYPERLINK("https://www.google.com/maps?q=10.76307011,79.69436646","Open Location")</f>
        <v>Open Location</v>
      </c>
    </row>
    <row r="3900" spans="1:40" x14ac:dyDescent="0.3">
      <c r="A3900" s="1">
        <v>46210.548263888886</v>
      </c>
      <c r="B3900" t="s">
        <v>40</v>
      </c>
      <c r="C3900" t="s">
        <v>41</v>
      </c>
      <c r="D3900" s="1">
        <v>46210.551087962966</v>
      </c>
      <c r="E3900" t="s">
        <v>42</v>
      </c>
      <c r="F3900" t="s">
        <v>43</v>
      </c>
      <c r="G3900" t="s">
        <v>43</v>
      </c>
      <c r="H3900" t="s">
        <v>43</v>
      </c>
      <c r="I3900" t="s">
        <v>2293</v>
      </c>
      <c r="J3900" t="s">
        <v>43</v>
      </c>
      <c r="K3900" t="s">
        <v>43</v>
      </c>
      <c r="L3900" t="s">
        <v>43</v>
      </c>
      <c r="M3900" t="s">
        <v>43</v>
      </c>
      <c r="N3900" t="s">
        <v>45</v>
      </c>
      <c r="O3900" t="s">
        <v>43</v>
      </c>
      <c r="P3900" t="s">
        <v>43</v>
      </c>
      <c r="Q3900" t="s">
        <v>43</v>
      </c>
      <c r="R3900" t="s">
        <v>43</v>
      </c>
      <c r="S3900" t="s">
        <v>43</v>
      </c>
      <c r="T3900" t="s">
        <v>43</v>
      </c>
      <c r="U3900" t="s">
        <v>43</v>
      </c>
      <c r="V3900" t="s">
        <v>43</v>
      </c>
      <c r="W3900" t="s">
        <v>43</v>
      </c>
      <c r="X3900" t="s">
        <v>43</v>
      </c>
      <c r="Y3900" t="s">
        <v>43</v>
      </c>
      <c r="Z3900" t="s">
        <v>43</v>
      </c>
      <c r="AA3900" t="s">
        <v>43</v>
      </c>
      <c r="AB3900" t="s">
        <v>43</v>
      </c>
      <c r="AC3900" t="s">
        <v>43</v>
      </c>
      <c r="AD3900" t="s">
        <v>43</v>
      </c>
      <c r="AE3900" t="s">
        <v>43</v>
      </c>
      <c r="AF3900" t="s">
        <v>43</v>
      </c>
      <c r="AG3900" t="s">
        <v>43</v>
      </c>
      <c r="AH3900" t="s">
        <v>43</v>
      </c>
      <c r="AI3900" t="s">
        <v>43</v>
      </c>
      <c r="AJ3900" t="s">
        <v>43</v>
      </c>
      <c r="AK3900" t="s">
        <v>43</v>
      </c>
      <c r="AL3900" t="s">
        <v>43</v>
      </c>
      <c r="AM3900" t="s">
        <v>43</v>
      </c>
      <c r="AN3900" t="str">
        <f>HYPERLINK("https://www.google.com/maps?q=10.76307392,79.69436646","Open Location")</f>
        <v>Open Location</v>
      </c>
    </row>
    <row r="3901" spans="1:40" x14ac:dyDescent="0.3">
      <c r="A3901" s="1">
        <v>46210.548148148147</v>
      </c>
      <c r="B3901" t="s">
        <v>40</v>
      </c>
      <c r="C3901" t="s">
        <v>41</v>
      </c>
      <c r="D3901" s="1">
        <v>46210.550902777781</v>
      </c>
      <c r="E3901" t="s">
        <v>42</v>
      </c>
      <c r="F3901" t="s">
        <v>43</v>
      </c>
      <c r="G3901" t="s">
        <v>43</v>
      </c>
      <c r="H3901" t="s">
        <v>43</v>
      </c>
      <c r="I3901" t="s">
        <v>2292</v>
      </c>
      <c r="J3901" t="s">
        <v>43</v>
      </c>
      <c r="K3901" t="s">
        <v>43</v>
      </c>
      <c r="L3901" t="s">
        <v>43</v>
      </c>
      <c r="M3901" t="s">
        <v>43</v>
      </c>
      <c r="N3901" t="s">
        <v>45</v>
      </c>
      <c r="O3901" t="s">
        <v>43</v>
      </c>
      <c r="P3901" t="s">
        <v>43</v>
      </c>
      <c r="Q3901" t="s">
        <v>43</v>
      </c>
      <c r="R3901" t="s">
        <v>43</v>
      </c>
      <c r="S3901" t="s">
        <v>43</v>
      </c>
      <c r="T3901" t="s">
        <v>43</v>
      </c>
      <c r="U3901" t="s">
        <v>43</v>
      </c>
      <c r="V3901" t="s">
        <v>43</v>
      </c>
      <c r="W3901" t="s">
        <v>43</v>
      </c>
      <c r="X3901" t="s">
        <v>43</v>
      </c>
      <c r="Y3901" t="s">
        <v>43</v>
      </c>
      <c r="Z3901" t="s">
        <v>43</v>
      </c>
      <c r="AA3901" t="s">
        <v>43</v>
      </c>
      <c r="AB3901" t="s">
        <v>43</v>
      </c>
      <c r="AC3901" t="s">
        <v>43</v>
      </c>
      <c r="AD3901" t="s">
        <v>43</v>
      </c>
      <c r="AE3901" t="s">
        <v>43</v>
      </c>
      <c r="AF3901" t="s">
        <v>43</v>
      </c>
      <c r="AG3901" t="s">
        <v>43</v>
      </c>
      <c r="AH3901" t="s">
        <v>43</v>
      </c>
      <c r="AI3901" t="s">
        <v>43</v>
      </c>
      <c r="AJ3901" t="s">
        <v>43</v>
      </c>
      <c r="AK3901" t="s">
        <v>43</v>
      </c>
      <c r="AL3901" t="s">
        <v>43</v>
      </c>
      <c r="AM3901" t="s">
        <v>43</v>
      </c>
      <c r="AN3901" t="str">
        <f>HYPERLINK("https://www.google.com/maps?q=10.76307487,79.69436646","Open Location")</f>
        <v>Open Location</v>
      </c>
    </row>
    <row r="3902" spans="1:40" x14ac:dyDescent="0.3">
      <c r="A3902" s="1">
        <v>46210.548032407409</v>
      </c>
      <c r="B3902" t="s">
        <v>40</v>
      </c>
      <c r="C3902" t="s">
        <v>41</v>
      </c>
      <c r="D3902" s="1">
        <v>46210.551354166666</v>
      </c>
      <c r="E3902" t="s">
        <v>42</v>
      </c>
      <c r="F3902" t="s">
        <v>43</v>
      </c>
      <c r="G3902" t="s">
        <v>43</v>
      </c>
      <c r="H3902" t="s">
        <v>43</v>
      </c>
      <c r="I3902" t="s">
        <v>2293</v>
      </c>
      <c r="J3902" t="s">
        <v>43</v>
      </c>
      <c r="K3902" t="s">
        <v>43</v>
      </c>
      <c r="L3902" t="s">
        <v>43</v>
      </c>
      <c r="M3902" t="s">
        <v>43</v>
      </c>
      <c r="N3902" t="s">
        <v>45</v>
      </c>
      <c r="O3902" t="s">
        <v>43</v>
      </c>
      <c r="P3902" t="s">
        <v>43</v>
      </c>
      <c r="Q3902" t="s">
        <v>43</v>
      </c>
      <c r="R3902" t="s">
        <v>43</v>
      </c>
      <c r="S3902" t="s">
        <v>43</v>
      </c>
      <c r="T3902" t="s">
        <v>43</v>
      </c>
      <c r="U3902" t="s">
        <v>43</v>
      </c>
      <c r="V3902" t="s">
        <v>43</v>
      </c>
      <c r="W3902" t="s">
        <v>43</v>
      </c>
      <c r="X3902" t="s">
        <v>43</v>
      </c>
      <c r="Y3902" t="s">
        <v>43</v>
      </c>
      <c r="Z3902" t="s">
        <v>43</v>
      </c>
      <c r="AA3902" t="s">
        <v>43</v>
      </c>
      <c r="AB3902" t="s">
        <v>43</v>
      </c>
      <c r="AC3902" t="s">
        <v>43</v>
      </c>
      <c r="AD3902" t="s">
        <v>43</v>
      </c>
      <c r="AE3902" t="s">
        <v>43</v>
      </c>
      <c r="AF3902" t="s">
        <v>43</v>
      </c>
      <c r="AG3902" t="s">
        <v>43</v>
      </c>
      <c r="AH3902" t="s">
        <v>43</v>
      </c>
      <c r="AI3902" t="s">
        <v>43</v>
      </c>
      <c r="AJ3902" t="s">
        <v>43</v>
      </c>
      <c r="AK3902" t="s">
        <v>43</v>
      </c>
      <c r="AL3902" t="s">
        <v>43</v>
      </c>
      <c r="AM3902" t="s">
        <v>43</v>
      </c>
      <c r="AN3902" t="str">
        <f>HYPERLINK("https://www.google.com/maps?q=10.76307392,79.69436646","Open Location")</f>
        <v>Open Location</v>
      </c>
    </row>
    <row r="3903" spans="1:40" x14ac:dyDescent="0.3">
      <c r="A3903" s="1">
        <v>46210.54791666667</v>
      </c>
      <c r="B3903" t="s">
        <v>40</v>
      </c>
      <c r="C3903" t="s">
        <v>41</v>
      </c>
      <c r="D3903" s="1">
        <v>46210.550763888888</v>
      </c>
      <c r="E3903" t="s">
        <v>42</v>
      </c>
      <c r="F3903" t="s">
        <v>43</v>
      </c>
      <c r="G3903" t="s">
        <v>43</v>
      </c>
      <c r="H3903" t="s">
        <v>43</v>
      </c>
      <c r="I3903" t="s">
        <v>43</v>
      </c>
      <c r="J3903" t="s">
        <v>43</v>
      </c>
      <c r="K3903" t="s">
        <v>43</v>
      </c>
      <c r="L3903" t="s">
        <v>43</v>
      </c>
      <c r="M3903" t="s">
        <v>43</v>
      </c>
      <c r="N3903" t="s">
        <v>45</v>
      </c>
      <c r="O3903" t="s">
        <v>43</v>
      </c>
      <c r="P3903" t="s">
        <v>43</v>
      </c>
      <c r="Q3903" t="s">
        <v>43</v>
      </c>
      <c r="R3903" t="s">
        <v>43</v>
      </c>
      <c r="S3903" t="s">
        <v>43</v>
      </c>
      <c r="T3903" t="s">
        <v>43</v>
      </c>
      <c r="U3903" t="s">
        <v>43</v>
      </c>
      <c r="V3903" t="s">
        <v>43</v>
      </c>
      <c r="W3903" t="s">
        <v>43</v>
      </c>
      <c r="X3903" t="s">
        <v>43</v>
      </c>
      <c r="Y3903" t="s">
        <v>43</v>
      </c>
      <c r="Z3903" t="s">
        <v>43</v>
      </c>
      <c r="AA3903" t="s">
        <v>43</v>
      </c>
      <c r="AB3903" t="s">
        <v>43</v>
      </c>
      <c r="AC3903" t="s">
        <v>43</v>
      </c>
      <c r="AD3903" t="s">
        <v>43</v>
      </c>
      <c r="AE3903" t="s">
        <v>43</v>
      </c>
      <c r="AF3903" t="s">
        <v>43</v>
      </c>
      <c r="AG3903" t="s">
        <v>43</v>
      </c>
      <c r="AH3903" t="s">
        <v>43</v>
      </c>
      <c r="AI3903" t="s">
        <v>43</v>
      </c>
      <c r="AJ3903" t="s">
        <v>43</v>
      </c>
      <c r="AK3903" t="s">
        <v>43</v>
      </c>
      <c r="AL3903" t="s">
        <v>43</v>
      </c>
      <c r="AM3903" t="s">
        <v>43</v>
      </c>
      <c r="AN3903" t="s">
        <v>43</v>
      </c>
    </row>
    <row r="3904" spans="1:40" x14ac:dyDescent="0.3">
      <c r="A3904" s="1">
        <v>46210.547800925924</v>
      </c>
      <c r="B3904" t="s">
        <v>40</v>
      </c>
      <c r="C3904" t="s">
        <v>41</v>
      </c>
      <c r="D3904" s="1">
        <v>46210.550902777781</v>
      </c>
      <c r="E3904" t="s">
        <v>42</v>
      </c>
      <c r="F3904" t="s">
        <v>43</v>
      </c>
      <c r="G3904" t="s">
        <v>43</v>
      </c>
      <c r="H3904" t="s">
        <v>43</v>
      </c>
      <c r="I3904" t="s">
        <v>2293</v>
      </c>
      <c r="J3904" t="s">
        <v>43</v>
      </c>
      <c r="K3904" t="s">
        <v>43</v>
      </c>
      <c r="L3904" t="s">
        <v>43</v>
      </c>
      <c r="M3904" t="s">
        <v>43</v>
      </c>
      <c r="N3904" t="s">
        <v>45</v>
      </c>
      <c r="O3904" t="s">
        <v>43</v>
      </c>
      <c r="P3904" t="s">
        <v>43</v>
      </c>
      <c r="Q3904" t="s">
        <v>43</v>
      </c>
      <c r="R3904" t="s">
        <v>43</v>
      </c>
      <c r="S3904" t="s">
        <v>43</v>
      </c>
      <c r="T3904" t="s">
        <v>43</v>
      </c>
      <c r="U3904" t="s">
        <v>43</v>
      </c>
      <c r="V3904" t="s">
        <v>43</v>
      </c>
      <c r="W3904" t="s">
        <v>43</v>
      </c>
      <c r="X3904" t="s">
        <v>43</v>
      </c>
      <c r="Y3904" t="s">
        <v>43</v>
      </c>
      <c r="Z3904" t="s">
        <v>43</v>
      </c>
      <c r="AA3904" t="s">
        <v>43</v>
      </c>
      <c r="AB3904" t="s">
        <v>43</v>
      </c>
      <c r="AC3904" t="s">
        <v>43</v>
      </c>
      <c r="AD3904" t="s">
        <v>43</v>
      </c>
      <c r="AE3904" t="s">
        <v>43</v>
      </c>
      <c r="AF3904" t="s">
        <v>43</v>
      </c>
      <c r="AG3904" t="s">
        <v>43</v>
      </c>
      <c r="AH3904" t="s">
        <v>43</v>
      </c>
      <c r="AI3904" t="s">
        <v>43</v>
      </c>
      <c r="AJ3904" t="s">
        <v>43</v>
      </c>
      <c r="AK3904" t="s">
        <v>43</v>
      </c>
      <c r="AL3904" t="s">
        <v>43</v>
      </c>
      <c r="AM3904" t="s">
        <v>43</v>
      </c>
      <c r="AN3904" t="str">
        <f>HYPERLINK("https://www.google.com/maps?q=10.76307392,79.69436646","Open Location")</f>
        <v>Open Location</v>
      </c>
    </row>
    <row r="3905" spans="1:40" x14ac:dyDescent="0.3">
      <c r="A3905" s="1">
        <v>46210.547685185185</v>
      </c>
      <c r="B3905" t="s">
        <v>40</v>
      </c>
      <c r="C3905" t="s">
        <v>41</v>
      </c>
      <c r="D3905" s="1">
        <v>46210.550763888888</v>
      </c>
      <c r="E3905" t="s">
        <v>42</v>
      </c>
      <c r="F3905" t="s">
        <v>43</v>
      </c>
      <c r="G3905" t="s">
        <v>43</v>
      </c>
      <c r="H3905" t="s">
        <v>43</v>
      </c>
      <c r="I3905" t="s">
        <v>2220</v>
      </c>
      <c r="J3905" t="s">
        <v>43</v>
      </c>
      <c r="K3905" t="s">
        <v>43</v>
      </c>
      <c r="L3905" t="s">
        <v>43</v>
      </c>
      <c r="M3905" t="s">
        <v>43</v>
      </c>
      <c r="N3905" t="s">
        <v>45</v>
      </c>
      <c r="O3905" t="s">
        <v>43</v>
      </c>
      <c r="P3905" t="s">
        <v>43</v>
      </c>
      <c r="Q3905" t="s">
        <v>43</v>
      </c>
      <c r="R3905" t="s">
        <v>43</v>
      </c>
      <c r="S3905" t="s">
        <v>43</v>
      </c>
      <c r="T3905" t="s">
        <v>43</v>
      </c>
      <c r="U3905" t="s">
        <v>43</v>
      </c>
      <c r="V3905" t="s">
        <v>43</v>
      </c>
      <c r="W3905" t="s">
        <v>43</v>
      </c>
      <c r="X3905" t="s">
        <v>43</v>
      </c>
      <c r="Y3905" t="s">
        <v>43</v>
      </c>
      <c r="Z3905" t="s">
        <v>43</v>
      </c>
      <c r="AA3905" t="s">
        <v>43</v>
      </c>
      <c r="AB3905" t="s">
        <v>43</v>
      </c>
      <c r="AC3905" t="s">
        <v>43</v>
      </c>
      <c r="AD3905" t="s">
        <v>43</v>
      </c>
      <c r="AE3905" t="s">
        <v>43</v>
      </c>
      <c r="AF3905" t="s">
        <v>43</v>
      </c>
      <c r="AG3905" t="s">
        <v>43</v>
      </c>
      <c r="AH3905" t="s">
        <v>43</v>
      </c>
      <c r="AI3905" t="s">
        <v>43</v>
      </c>
      <c r="AJ3905" t="s">
        <v>43</v>
      </c>
      <c r="AK3905" t="s">
        <v>43</v>
      </c>
      <c r="AL3905" t="s">
        <v>43</v>
      </c>
      <c r="AM3905" t="s">
        <v>43</v>
      </c>
      <c r="AN3905" t="str">
        <f>HYPERLINK("https://www.google.com/maps?q=10.76306725,79.69436646","Open Location")</f>
        <v>Open Location</v>
      </c>
    </row>
    <row r="3906" spans="1:40" x14ac:dyDescent="0.3">
      <c r="A3906" s="1">
        <v>46210.547569444447</v>
      </c>
      <c r="B3906" t="s">
        <v>40</v>
      </c>
      <c r="C3906" t="s">
        <v>41</v>
      </c>
      <c r="D3906" s="1">
        <v>46210.550509259258</v>
      </c>
      <c r="E3906" t="s">
        <v>42</v>
      </c>
      <c r="F3906" t="s">
        <v>43</v>
      </c>
      <c r="G3906" t="s">
        <v>43</v>
      </c>
      <c r="H3906" t="s">
        <v>43</v>
      </c>
      <c r="I3906" t="s">
        <v>2240</v>
      </c>
      <c r="J3906" t="s">
        <v>43</v>
      </c>
      <c r="K3906" t="s">
        <v>43</v>
      </c>
      <c r="L3906" t="s">
        <v>43</v>
      </c>
      <c r="M3906" t="s">
        <v>43</v>
      </c>
      <c r="N3906" t="s">
        <v>45</v>
      </c>
      <c r="O3906" t="s">
        <v>43</v>
      </c>
      <c r="P3906" t="s">
        <v>43</v>
      </c>
      <c r="Q3906" t="s">
        <v>43</v>
      </c>
      <c r="R3906" t="s">
        <v>43</v>
      </c>
      <c r="S3906" t="s">
        <v>43</v>
      </c>
      <c r="T3906" t="s">
        <v>43</v>
      </c>
      <c r="U3906" t="s">
        <v>43</v>
      </c>
      <c r="V3906" t="s">
        <v>43</v>
      </c>
      <c r="W3906" t="s">
        <v>43</v>
      </c>
      <c r="X3906" t="s">
        <v>43</v>
      </c>
      <c r="Y3906" t="s">
        <v>43</v>
      </c>
      <c r="Z3906" t="s">
        <v>43</v>
      </c>
      <c r="AA3906" t="s">
        <v>43</v>
      </c>
      <c r="AB3906" t="s">
        <v>43</v>
      </c>
      <c r="AC3906" t="s">
        <v>43</v>
      </c>
      <c r="AD3906" t="s">
        <v>43</v>
      </c>
      <c r="AE3906" t="s">
        <v>43</v>
      </c>
      <c r="AF3906" t="s">
        <v>43</v>
      </c>
      <c r="AG3906" t="s">
        <v>43</v>
      </c>
      <c r="AH3906" t="s">
        <v>43</v>
      </c>
      <c r="AI3906" t="s">
        <v>43</v>
      </c>
      <c r="AJ3906" t="s">
        <v>43</v>
      </c>
      <c r="AK3906" t="s">
        <v>43</v>
      </c>
      <c r="AL3906" t="s">
        <v>43</v>
      </c>
      <c r="AM3906" t="s">
        <v>43</v>
      </c>
      <c r="AN3906" t="str">
        <f>HYPERLINK("https://www.google.com/maps?q=10.76306152,79.69437408","Open Location")</f>
        <v>Open Location</v>
      </c>
    </row>
    <row r="3907" spans="1:40" x14ac:dyDescent="0.3">
      <c r="A3907" s="1">
        <v>46210.547453703701</v>
      </c>
      <c r="B3907" t="s">
        <v>40</v>
      </c>
      <c r="C3907" t="s">
        <v>41</v>
      </c>
      <c r="D3907" s="1">
        <v>46210.55028935185</v>
      </c>
      <c r="E3907" t="s">
        <v>42</v>
      </c>
      <c r="F3907" t="s">
        <v>43</v>
      </c>
      <c r="G3907" t="s">
        <v>43</v>
      </c>
      <c r="H3907" t="s">
        <v>43</v>
      </c>
      <c r="I3907" t="s">
        <v>2240</v>
      </c>
      <c r="J3907" t="s">
        <v>43</v>
      </c>
      <c r="K3907" t="s">
        <v>43</v>
      </c>
      <c r="L3907" t="s">
        <v>43</v>
      </c>
      <c r="M3907" t="s">
        <v>43</v>
      </c>
      <c r="N3907" t="s">
        <v>45</v>
      </c>
      <c r="O3907" t="s">
        <v>43</v>
      </c>
      <c r="P3907" t="s">
        <v>43</v>
      </c>
      <c r="Q3907" t="s">
        <v>43</v>
      </c>
      <c r="R3907" t="s">
        <v>43</v>
      </c>
      <c r="S3907" t="s">
        <v>43</v>
      </c>
      <c r="T3907" t="s">
        <v>43</v>
      </c>
      <c r="U3907" t="s">
        <v>43</v>
      </c>
      <c r="V3907" t="s">
        <v>43</v>
      </c>
      <c r="W3907" t="s">
        <v>43</v>
      </c>
      <c r="X3907" t="s">
        <v>43</v>
      </c>
      <c r="Y3907" t="s">
        <v>43</v>
      </c>
      <c r="Z3907" t="s">
        <v>43</v>
      </c>
      <c r="AA3907" t="s">
        <v>43</v>
      </c>
      <c r="AB3907" t="s">
        <v>43</v>
      </c>
      <c r="AC3907" t="s">
        <v>43</v>
      </c>
      <c r="AD3907" t="s">
        <v>43</v>
      </c>
      <c r="AE3907" t="s">
        <v>43</v>
      </c>
      <c r="AF3907" t="s">
        <v>43</v>
      </c>
      <c r="AG3907" t="s">
        <v>43</v>
      </c>
      <c r="AH3907" t="s">
        <v>43</v>
      </c>
      <c r="AI3907" t="s">
        <v>43</v>
      </c>
      <c r="AJ3907" t="s">
        <v>43</v>
      </c>
      <c r="AK3907" t="s">
        <v>43</v>
      </c>
      <c r="AL3907" t="s">
        <v>43</v>
      </c>
      <c r="AM3907" t="s">
        <v>43</v>
      </c>
      <c r="AN3907" t="str">
        <f>HYPERLINK("https://www.google.com/maps?q=10.76306152,79.69437408","Open Location")</f>
        <v>Open Location</v>
      </c>
    </row>
    <row r="3908" spans="1:40" x14ac:dyDescent="0.3">
      <c r="A3908" s="1">
        <v>46210.547337962962</v>
      </c>
      <c r="B3908" t="s">
        <v>40</v>
      </c>
      <c r="C3908" t="s">
        <v>41</v>
      </c>
      <c r="D3908" s="1">
        <v>46210.55028935185</v>
      </c>
      <c r="E3908" t="s">
        <v>42</v>
      </c>
      <c r="F3908" t="s">
        <v>43</v>
      </c>
      <c r="G3908" t="s">
        <v>43</v>
      </c>
      <c r="H3908" t="s">
        <v>43</v>
      </c>
      <c r="I3908" t="s">
        <v>2242</v>
      </c>
      <c r="J3908" t="s">
        <v>43</v>
      </c>
      <c r="K3908" t="s">
        <v>43</v>
      </c>
      <c r="L3908" t="s">
        <v>43</v>
      </c>
      <c r="M3908" t="s">
        <v>43</v>
      </c>
      <c r="N3908" t="s">
        <v>45</v>
      </c>
      <c r="O3908" t="s">
        <v>43</v>
      </c>
      <c r="P3908" t="s">
        <v>43</v>
      </c>
      <c r="Q3908" t="s">
        <v>43</v>
      </c>
      <c r="R3908" t="s">
        <v>43</v>
      </c>
      <c r="S3908" t="s">
        <v>43</v>
      </c>
      <c r="T3908" t="s">
        <v>43</v>
      </c>
      <c r="U3908" t="s">
        <v>43</v>
      </c>
      <c r="V3908" t="s">
        <v>43</v>
      </c>
      <c r="W3908" t="s">
        <v>43</v>
      </c>
      <c r="X3908" t="s">
        <v>43</v>
      </c>
      <c r="Y3908" t="s">
        <v>43</v>
      </c>
      <c r="Z3908" t="s">
        <v>43</v>
      </c>
      <c r="AA3908" t="s">
        <v>43</v>
      </c>
      <c r="AB3908" t="s">
        <v>43</v>
      </c>
      <c r="AC3908" t="s">
        <v>43</v>
      </c>
      <c r="AD3908" t="s">
        <v>43</v>
      </c>
      <c r="AE3908" t="s">
        <v>43</v>
      </c>
      <c r="AF3908" t="s">
        <v>43</v>
      </c>
      <c r="AG3908" t="s">
        <v>43</v>
      </c>
      <c r="AH3908" t="s">
        <v>43</v>
      </c>
      <c r="AI3908" t="s">
        <v>43</v>
      </c>
      <c r="AJ3908" t="s">
        <v>43</v>
      </c>
      <c r="AK3908" t="s">
        <v>43</v>
      </c>
      <c r="AL3908" t="s">
        <v>43</v>
      </c>
      <c r="AM3908" t="s">
        <v>43</v>
      </c>
      <c r="AN3908" t="str">
        <f>HYPERLINK("https://www.google.com/maps?q=10.76306534,79.69437408","Open Location")</f>
        <v>Open Location</v>
      </c>
    </row>
    <row r="3909" spans="1:40" x14ac:dyDescent="0.3">
      <c r="A3909" s="1">
        <v>46210.547222222223</v>
      </c>
      <c r="B3909" t="s">
        <v>40</v>
      </c>
      <c r="C3909" t="s">
        <v>41</v>
      </c>
      <c r="D3909" s="1">
        <v>46210.550011574072</v>
      </c>
      <c r="E3909" t="s">
        <v>42</v>
      </c>
      <c r="F3909" t="s">
        <v>43</v>
      </c>
      <c r="G3909" t="s">
        <v>43</v>
      </c>
      <c r="H3909" t="s">
        <v>43</v>
      </c>
      <c r="I3909" t="s">
        <v>43</v>
      </c>
      <c r="J3909" t="s">
        <v>43</v>
      </c>
      <c r="K3909" t="s">
        <v>43</v>
      </c>
      <c r="L3909" t="s">
        <v>43</v>
      </c>
      <c r="M3909" t="s">
        <v>43</v>
      </c>
      <c r="N3909" t="s">
        <v>45</v>
      </c>
      <c r="O3909" t="s">
        <v>43</v>
      </c>
      <c r="P3909" t="s">
        <v>43</v>
      </c>
      <c r="Q3909" t="s">
        <v>43</v>
      </c>
      <c r="R3909" t="s">
        <v>43</v>
      </c>
      <c r="S3909" t="s">
        <v>43</v>
      </c>
      <c r="T3909" t="s">
        <v>43</v>
      </c>
      <c r="U3909" t="s">
        <v>43</v>
      </c>
      <c r="V3909" t="s">
        <v>43</v>
      </c>
      <c r="W3909" t="s">
        <v>43</v>
      </c>
      <c r="X3909" t="s">
        <v>43</v>
      </c>
      <c r="Y3909" t="s">
        <v>43</v>
      </c>
      <c r="Z3909" t="s">
        <v>43</v>
      </c>
      <c r="AA3909" t="s">
        <v>43</v>
      </c>
      <c r="AB3909" t="s">
        <v>43</v>
      </c>
      <c r="AC3909" t="s">
        <v>43</v>
      </c>
      <c r="AD3909" t="s">
        <v>43</v>
      </c>
      <c r="AE3909" t="s">
        <v>43</v>
      </c>
      <c r="AF3909" t="s">
        <v>43</v>
      </c>
      <c r="AG3909" t="s">
        <v>43</v>
      </c>
      <c r="AH3909" t="s">
        <v>43</v>
      </c>
      <c r="AI3909" t="s">
        <v>43</v>
      </c>
      <c r="AJ3909" t="s">
        <v>43</v>
      </c>
      <c r="AK3909" t="s">
        <v>43</v>
      </c>
      <c r="AL3909" t="s">
        <v>43</v>
      </c>
      <c r="AM3909" t="s">
        <v>43</v>
      </c>
      <c r="AN3909" t="s">
        <v>43</v>
      </c>
    </row>
    <row r="3910" spans="1:40" x14ac:dyDescent="0.3">
      <c r="A3910" s="1">
        <v>46210.547106481485</v>
      </c>
      <c r="B3910" t="s">
        <v>40</v>
      </c>
      <c r="C3910" t="s">
        <v>41</v>
      </c>
      <c r="D3910" s="1">
        <v>46210.550347222219</v>
      </c>
      <c r="E3910" t="s">
        <v>42</v>
      </c>
      <c r="F3910" t="s">
        <v>43</v>
      </c>
      <c r="G3910" t="s">
        <v>43</v>
      </c>
      <c r="H3910" t="s">
        <v>43</v>
      </c>
      <c r="I3910" t="s">
        <v>2299</v>
      </c>
      <c r="J3910" t="s">
        <v>43</v>
      </c>
      <c r="K3910" t="s">
        <v>43</v>
      </c>
      <c r="L3910" t="s">
        <v>43</v>
      </c>
      <c r="M3910" t="s">
        <v>43</v>
      </c>
      <c r="N3910" t="s">
        <v>45</v>
      </c>
      <c r="O3910" t="s">
        <v>43</v>
      </c>
      <c r="P3910" t="s">
        <v>43</v>
      </c>
      <c r="Q3910" t="s">
        <v>43</v>
      </c>
      <c r="R3910" t="s">
        <v>43</v>
      </c>
      <c r="S3910" t="s">
        <v>43</v>
      </c>
      <c r="T3910" t="s">
        <v>43</v>
      </c>
      <c r="U3910" t="s">
        <v>43</v>
      </c>
      <c r="V3910" t="s">
        <v>43</v>
      </c>
      <c r="W3910" t="s">
        <v>43</v>
      </c>
      <c r="X3910" t="s">
        <v>43</v>
      </c>
      <c r="Y3910" t="s">
        <v>43</v>
      </c>
      <c r="Z3910" t="s">
        <v>43</v>
      </c>
      <c r="AA3910" t="s">
        <v>43</v>
      </c>
      <c r="AB3910" t="s">
        <v>43</v>
      </c>
      <c r="AC3910" t="s">
        <v>43</v>
      </c>
      <c r="AD3910" t="s">
        <v>43</v>
      </c>
      <c r="AE3910" t="s">
        <v>43</v>
      </c>
      <c r="AF3910" t="s">
        <v>43</v>
      </c>
      <c r="AG3910" t="s">
        <v>43</v>
      </c>
      <c r="AH3910" t="s">
        <v>43</v>
      </c>
      <c r="AI3910" t="s">
        <v>43</v>
      </c>
      <c r="AJ3910" t="s">
        <v>43</v>
      </c>
      <c r="AK3910" t="s">
        <v>43</v>
      </c>
      <c r="AL3910" t="s">
        <v>43</v>
      </c>
      <c r="AM3910" t="s">
        <v>43</v>
      </c>
      <c r="AN3910" t="str">
        <f>HYPERLINK("https://www.google.com/maps?q=10.7630682,79.69438171","Open Location")</f>
        <v>Open Location</v>
      </c>
    </row>
    <row r="3911" spans="1:40" x14ac:dyDescent="0.3">
      <c r="A3911" s="1">
        <v>46210.546990740739</v>
      </c>
      <c r="B3911" t="s">
        <v>40</v>
      </c>
      <c r="C3911" t="s">
        <v>41</v>
      </c>
      <c r="D3911" s="1">
        <v>46210.550381944442</v>
      </c>
      <c r="E3911" t="s">
        <v>42</v>
      </c>
      <c r="F3911" t="s">
        <v>43</v>
      </c>
      <c r="G3911" t="s">
        <v>43</v>
      </c>
      <c r="H3911" t="s">
        <v>43</v>
      </c>
      <c r="I3911" t="s">
        <v>2224</v>
      </c>
      <c r="J3911" t="s">
        <v>43</v>
      </c>
      <c r="K3911" t="s">
        <v>43</v>
      </c>
      <c r="L3911" t="s">
        <v>43</v>
      </c>
      <c r="M3911" t="s">
        <v>43</v>
      </c>
      <c r="N3911" t="s">
        <v>45</v>
      </c>
      <c r="O3911" t="s">
        <v>43</v>
      </c>
      <c r="P3911" t="s">
        <v>43</v>
      </c>
      <c r="Q3911" t="s">
        <v>43</v>
      </c>
      <c r="R3911" t="s">
        <v>43</v>
      </c>
      <c r="S3911" t="s">
        <v>43</v>
      </c>
      <c r="T3911" t="s">
        <v>43</v>
      </c>
      <c r="U3911" t="s">
        <v>43</v>
      </c>
      <c r="V3911" t="s">
        <v>43</v>
      </c>
      <c r="W3911" t="s">
        <v>43</v>
      </c>
      <c r="X3911" t="s">
        <v>43</v>
      </c>
      <c r="Y3911" t="s">
        <v>43</v>
      </c>
      <c r="Z3911" t="s">
        <v>43</v>
      </c>
      <c r="AA3911" t="s">
        <v>43</v>
      </c>
      <c r="AB3911" t="s">
        <v>43</v>
      </c>
      <c r="AC3911" t="s">
        <v>43</v>
      </c>
      <c r="AD3911" t="s">
        <v>43</v>
      </c>
      <c r="AE3911" t="s">
        <v>43</v>
      </c>
      <c r="AF3911" t="s">
        <v>43</v>
      </c>
      <c r="AG3911" t="s">
        <v>43</v>
      </c>
      <c r="AH3911" t="s">
        <v>43</v>
      </c>
      <c r="AI3911" t="s">
        <v>43</v>
      </c>
      <c r="AJ3911" t="s">
        <v>43</v>
      </c>
      <c r="AK3911" t="s">
        <v>43</v>
      </c>
      <c r="AL3911" t="s">
        <v>43</v>
      </c>
      <c r="AM3911" t="s">
        <v>43</v>
      </c>
      <c r="AN3911" t="str">
        <f>HYPERLINK("https://www.google.com/maps?q=10.76306915,79.69437408","Open Location")</f>
        <v>Open Location</v>
      </c>
    </row>
    <row r="3912" spans="1:40" x14ac:dyDescent="0.3">
      <c r="A3912" s="1">
        <v>46210.546875</v>
      </c>
      <c r="B3912" t="s">
        <v>40</v>
      </c>
      <c r="C3912" t="s">
        <v>41</v>
      </c>
      <c r="D3912" s="1">
        <v>46210.550347222219</v>
      </c>
      <c r="E3912" t="s">
        <v>42</v>
      </c>
      <c r="F3912" t="s">
        <v>43</v>
      </c>
      <c r="G3912" t="s">
        <v>43</v>
      </c>
      <c r="H3912" t="s">
        <v>43</v>
      </c>
      <c r="I3912" t="s">
        <v>2304</v>
      </c>
      <c r="J3912" t="s">
        <v>43</v>
      </c>
      <c r="K3912" t="s">
        <v>43</v>
      </c>
      <c r="L3912" t="s">
        <v>43</v>
      </c>
      <c r="M3912" t="s">
        <v>43</v>
      </c>
      <c r="N3912" t="s">
        <v>45</v>
      </c>
      <c r="O3912" t="s">
        <v>43</v>
      </c>
      <c r="P3912" t="s">
        <v>43</v>
      </c>
      <c r="Q3912" t="s">
        <v>43</v>
      </c>
      <c r="R3912" t="s">
        <v>43</v>
      </c>
      <c r="S3912" t="s">
        <v>43</v>
      </c>
      <c r="T3912" t="s">
        <v>43</v>
      </c>
      <c r="U3912" t="s">
        <v>43</v>
      </c>
      <c r="V3912" t="s">
        <v>43</v>
      </c>
      <c r="W3912" t="s">
        <v>43</v>
      </c>
      <c r="X3912" t="s">
        <v>43</v>
      </c>
      <c r="Y3912" t="s">
        <v>43</v>
      </c>
      <c r="Z3912" t="s">
        <v>43</v>
      </c>
      <c r="AA3912" t="s">
        <v>43</v>
      </c>
      <c r="AB3912" t="s">
        <v>43</v>
      </c>
      <c r="AC3912" t="s">
        <v>43</v>
      </c>
      <c r="AD3912" t="s">
        <v>43</v>
      </c>
      <c r="AE3912" t="s">
        <v>43</v>
      </c>
      <c r="AF3912" t="s">
        <v>43</v>
      </c>
      <c r="AG3912" t="s">
        <v>43</v>
      </c>
      <c r="AH3912" t="s">
        <v>43</v>
      </c>
      <c r="AI3912" t="s">
        <v>43</v>
      </c>
      <c r="AJ3912" t="s">
        <v>43</v>
      </c>
      <c r="AK3912" t="s">
        <v>43</v>
      </c>
      <c r="AL3912" t="s">
        <v>43</v>
      </c>
      <c r="AM3912" t="s">
        <v>43</v>
      </c>
      <c r="AN3912" t="str">
        <f>HYPERLINK("https://www.google.com/maps?q=10.76307011,79.69438171","Open Location")</f>
        <v>Open Location</v>
      </c>
    </row>
    <row r="3913" spans="1:40" x14ac:dyDescent="0.3">
      <c r="A3913" s="1">
        <v>46210.546759259261</v>
      </c>
      <c r="B3913" t="s">
        <v>40</v>
      </c>
      <c r="C3913" t="s">
        <v>41</v>
      </c>
      <c r="D3913" s="1">
        <v>46210.549687500003</v>
      </c>
      <c r="E3913" t="s">
        <v>42</v>
      </c>
      <c r="F3913" t="s">
        <v>43</v>
      </c>
      <c r="G3913" t="s">
        <v>43</v>
      </c>
      <c r="H3913" t="s">
        <v>43</v>
      </c>
      <c r="I3913" t="s">
        <v>2299</v>
      </c>
      <c r="J3913" t="s">
        <v>43</v>
      </c>
      <c r="K3913" t="s">
        <v>43</v>
      </c>
      <c r="L3913" t="s">
        <v>43</v>
      </c>
      <c r="M3913" t="s">
        <v>43</v>
      </c>
      <c r="N3913" t="s">
        <v>45</v>
      </c>
      <c r="O3913" t="s">
        <v>43</v>
      </c>
      <c r="P3913" t="s">
        <v>43</v>
      </c>
      <c r="Q3913" t="s">
        <v>43</v>
      </c>
      <c r="R3913" t="s">
        <v>43</v>
      </c>
      <c r="S3913" t="s">
        <v>43</v>
      </c>
      <c r="T3913" t="s">
        <v>43</v>
      </c>
      <c r="U3913" t="s">
        <v>43</v>
      </c>
      <c r="V3913" t="s">
        <v>43</v>
      </c>
      <c r="W3913" t="s">
        <v>43</v>
      </c>
      <c r="X3913" t="s">
        <v>43</v>
      </c>
      <c r="Y3913" t="s">
        <v>43</v>
      </c>
      <c r="Z3913" t="s">
        <v>43</v>
      </c>
      <c r="AA3913" t="s">
        <v>43</v>
      </c>
      <c r="AB3913" t="s">
        <v>43</v>
      </c>
      <c r="AC3913" t="s">
        <v>43</v>
      </c>
      <c r="AD3913" t="s">
        <v>43</v>
      </c>
      <c r="AE3913" t="s">
        <v>43</v>
      </c>
      <c r="AF3913" t="s">
        <v>43</v>
      </c>
      <c r="AG3913" t="s">
        <v>43</v>
      </c>
      <c r="AH3913" t="s">
        <v>43</v>
      </c>
      <c r="AI3913" t="s">
        <v>43</v>
      </c>
      <c r="AJ3913" t="s">
        <v>43</v>
      </c>
      <c r="AK3913" t="s">
        <v>43</v>
      </c>
      <c r="AL3913" t="s">
        <v>43</v>
      </c>
      <c r="AM3913" t="s">
        <v>43</v>
      </c>
      <c r="AN3913" t="str">
        <f>HYPERLINK("https://www.google.com/maps?q=10.7630682,79.69438171","Open Location")</f>
        <v>Open Location</v>
      </c>
    </row>
    <row r="3914" spans="1:40" x14ac:dyDescent="0.3">
      <c r="A3914" s="1">
        <v>46210.546643518515</v>
      </c>
      <c r="B3914" t="s">
        <v>40</v>
      </c>
      <c r="C3914" t="s">
        <v>41</v>
      </c>
      <c r="D3914" s="1">
        <v>46210.549953703703</v>
      </c>
      <c r="E3914" t="s">
        <v>42</v>
      </c>
      <c r="F3914" t="s">
        <v>43</v>
      </c>
      <c r="G3914" t="s">
        <v>43</v>
      </c>
      <c r="H3914" t="s">
        <v>43</v>
      </c>
      <c r="I3914" t="s">
        <v>2223</v>
      </c>
      <c r="J3914" t="s">
        <v>43</v>
      </c>
      <c r="K3914" t="s">
        <v>43</v>
      </c>
      <c r="L3914" t="s">
        <v>43</v>
      </c>
      <c r="M3914" t="s">
        <v>43</v>
      </c>
      <c r="N3914" t="s">
        <v>45</v>
      </c>
      <c r="O3914" t="s">
        <v>43</v>
      </c>
      <c r="P3914" t="s">
        <v>43</v>
      </c>
      <c r="Q3914" t="s">
        <v>43</v>
      </c>
      <c r="R3914" t="s">
        <v>43</v>
      </c>
      <c r="S3914" t="s">
        <v>43</v>
      </c>
      <c r="T3914" t="s">
        <v>43</v>
      </c>
      <c r="U3914" t="s">
        <v>43</v>
      </c>
      <c r="V3914" t="s">
        <v>43</v>
      </c>
      <c r="W3914" t="s">
        <v>43</v>
      </c>
      <c r="X3914" t="s">
        <v>43</v>
      </c>
      <c r="Y3914" t="s">
        <v>43</v>
      </c>
      <c r="Z3914" t="s">
        <v>43</v>
      </c>
      <c r="AA3914" t="s">
        <v>43</v>
      </c>
      <c r="AB3914" t="s">
        <v>43</v>
      </c>
      <c r="AC3914" t="s">
        <v>43</v>
      </c>
      <c r="AD3914" t="s">
        <v>43</v>
      </c>
      <c r="AE3914" t="s">
        <v>43</v>
      </c>
      <c r="AF3914" t="s">
        <v>43</v>
      </c>
      <c r="AG3914" t="s">
        <v>43</v>
      </c>
      <c r="AH3914" t="s">
        <v>43</v>
      </c>
      <c r="AI3914" t="s">
        <v>43</v>
      </c>
      <c r="AJ3914" t="s">
        <v>43</v>
      </c>
      <c r="AK3914" t="s">
        <v>43</v>
      </c>
      <c r="AL3914" t="s">
        <v>43</v>
      </c>
      <c r="AM3914" t="s">
        <v>43</v>
      </c>
      <c r="AN3914" t="str">
        <f>HYPERLINK("https://www.google.com/maps?q=10.76306534,79.69438171","Open Location")</f>
        <v>Open Location</v>
      </c>
    </row>
    <row r="3915" spans="1:40" x14ac:dyDescent="0.3">
      <c r="A3915" s="1">
        <v>46210.546527777777</v>
      </c>
      <c r="B3915" t="s">
        <v>40</v>
      </c>
      <c r="C3915" t="s">
        <v>41</v>
      </c>
      <c r="D3915" s="1">
        <v>46210.549467592595</v>
      </c>
      <c r="E3915" t="s">
        <v>42</v>
      </c>
      <c r="F3915" t="s">
        <v>43</v>
      </c>
      <c r="G3915" t="s">
        <v>43</v>
      </c>
      <c r="H3915" t="s">
        <v>43</v>
      </c>
      <c r="I3915" t="s">
        <v>43</v>
      </c>
      <c r="J3915" t="s">
        <v>43</v>
      </c>
      <c r="K3915" t="s">
        <v>43</v>
      </c>
      <c r="L3915" t="s">
        <v>43</v>
      </c>
      <c r="M3915" t="s">
        <v>43</v>
      </c>
      <c r="N3915" t="s">
        <v>45</v>
      </c>
      <c r="O3915" t="s">
        <v>43</v>
      </c>
      <c r="P3915" t="s">
        <v>43</v>
      </c>
      <c r="Q3915" t="s">
        <v>43</v>
      </c>
      <c r="R3915" t="s">
        <v>43</v>
      </c>
      <c r="S3915" t="s">
        <v>43</v>
      </c>
      <c r="T3915" t="s">
        <v>43</v>
      </c>
      <c r="U3915" t="s">
        <v>43</v>
      </c>
      <c r="V3915" t="s">
        <v>43</v>
      </c>
      <c r="W3915" t="s">
        <v>43</v>
      </c>
      <c r="X3915" t="s">
        <v>43</v>
      </c>
      <c r="Y3915" t="s">
        <v>43</v>
      </c>
      <c r="Z3915" t="s">
        <v>43</v>
      </c>
      <c r="AA3915" t="s">
        <v>43</v>
      </c>
      <c r="AB3915" t="s">
        <v>43</v>
      </c>
      <c r="AC3915" t="s">
        <v>43</v>
      </c>
      <c r="AD3915" t="s">
        <v>43</v>
      </c>
      <c r="AE3915" t="s">
        <v>43</v>
      </c>
      <c r="AF3915" t="s">
        <v>43</v>
      </c>
      <c r="AG3915" t="s">
        <v>43</v>
      </c>
      <c r="AH3915" t="s">
        <v>43</v>
      </c>
      <c r="AI3915" t="s">
        <v>43</v>
      </c>
      <c r="AJ3915" t="s">
        <v>43</v>
      </c>
      <c r="AK3915" t="s">
        <v>43</v>
      </c>
      <c r="AL3915" t="s">
        <v>43</v>
      </c>
      <c r="AM3915" t="s">
        <v>43</v>
      </c>
      <c r="AN3915" t="s">
        <v>43</v>
      </c>
    </row>
    <row r="3916" spans="1:40" x14ac:dyDescent="0.3">
      <c r="A3916" s="1">
        <v>46210.546412037038</v>
      </c>
      <c r="B3916" t="s">
        <v>40</v>
      </c>
      <c r="C3916" t="s">
        <v>41</v>
      </c>
      <c r="D3916" s="1">
        <v>46210.549629629626</v>
      </c>
      <c r="E3916" t="s">
        <v>42</v>
      </c>
      <c r="F3916" t="s">
        <v>43</v>
      </c>
      <c r="G3916" t="s">
        <v>43</v>
      </c>
      <c r="H3916" t="s">
        <v>43</v>
      </c>
      <c r="I3916" t="s">
        <v>2223</v>
      </c>
      <c r="J3916" t="s">
        <v>43</v>
      </c>
      <c r="K3916" t="s">
        <v>43</v>
      </c>
      <c r="L3916" t="s">
        <v>43</v>
      </c>
      <c r="M3916" t="s">
        <v>43</v>
      </c>
      <c r="N3916" t="s">
        <v>45</v>
      </c>
      <c r="O3916" t="s">
        <v>43</v>
      </c>
      <c r="P3916" t="s">
        <v>43</v>
      </c>
      <c r="Q3916" t="s">
        <v>43</v>
      </c>
      <c r="R3916" t="s">
        <v>43</v>
      </c>
      <c r="S3916" t="s">
        <v>43</v>
      </c>
      <c r="T3916" t="s">
        <v>43</v>
      </c>
      <c r="U3916" t="s">
        <v>43</v>
      </c>
      <c r="V3916" t="s">
        <v>43</v>
      </c>
      <c r="W3916" t="s">
        <v>43</v>
      </c>
      <c r="X3916" t="s">
        <v>43</v>
      </c>
      <c r="Y3916" t="s">
        <v>43</v>
      </c>
      <c r="Z3916" t="s">
        <v>43</v>
      </c>
      <c r="AA3916" t="s">
        <v>43</v>
      </c>
      <c r="AB3916" t="s">
        <v>43</v>
      </c>
      <c r="AC3916" t="s">
        <v>43</v>
      </c>
      <c r="AD3916" t="s">
        <v>43</v>
      </c>
      <c r="AE3916" t="s">
        <v>43</v>
      </c>
      <c r="AF3916" t="s">
        <v>43</v>
      </c>
      <c r="AG3916" t="s">
        <v>43</v>
      </c>
      <c r="AH3916" t="s">
        <v>43</v>
      </c>
      <c r="AI3916" t="s">
        <v>43</v>
      </c>
      <c r="AJ3916" t="s">
        <v>43</v>
      </c>
      <c r="AK3916" t="s">
        <v>43</v>
      </c>
      <c r="AL3916" t="s">
        <v>43</v>
      </c>
      <c r="AM3916" t="s">
        <v>43</v>
      </c>
      <c r="AN3916" t="str">
        <f>HYPERLINK("https://www.google.com/maps?q=10.76306534,79.69438171","Open Location")</f>
        <v>Open Location</v>
      </c>
    </row>
    <row r="3917" spans="1:40" x14ac:dyDescent="0.3">
      <c r="A3917" s="1">
        <v>46210.546296296299</v>
      </c>
      <c r="B3917" t="s">
        <v>40</v>
      </c>
      <c r="C3917" t="s">
        <v>41</v>
      </c>
      <c r="D3917" s="1">
        <v>46210.54923611111</v>
      </c>
      <c r="E3917" t="s">
        <v>42</v>
      </c>
      <c r="F3917" t="s">
        <v>43</v>
      </c>
      <c r="G3917" t="s">
        <v>43</v>
      </c>
      <c r="H3917" t="s">
        <v>43</v>
      </c>
      <c r="I3917" t="s">
        <v>2240</v>
      </c>
      <c r="J3917" t="s">
        <v>43</v>
      </c>
      <c r="K3917" t="s">
        <v>43</v>
      </c>
      <c r="L3917" t="s">
        <v>43</v>
      </c>
      <c r="M3917" t="s">
        <v>43</v>
      </c>
      <c r="N3917" t="s">
        <v>45</v>
      </c>
      <c r="O3917" t="s">
        <v>43</v>
      </c>
      <c r="P3917" t="s">
        <v>43</v>
      </c>
      <c r="Q3917" t="s">
        <v>43</v>
      </c>
      <c r="R3917" t="s">
        <v>43</v>
      </c>
      <c r="S3917" t="s">
        <v>43</v>
      </c>
      <c r="T3917" t="s">
        <v>43</v>
      </c>
      <c r="U3917" t="s">
        <v>43</v>
      </c>
      <c r="V3917" t="s">
        <v>43</v>
      </c>
      <c r="W3917" t="s">
        <v>43</v>
      </c>
      <c r="X3917" t="s">
        <v>43</v>
      </c>
      <c r="Y3917" t="s">
        <v>43</v>
      </c>
      <c r="Z3917" t="s">
        <v>43</v>
      </c>
      <c r="AA3917" t="s">
        <v>43</v>
      </c>
      <c r="AB3917" t="s">
        <v>43</v>
      </c>
      <c r="AC3917" t="s">
        <v>43</v>
      </c>
      <c r="AD3917" t="s">
        <v>43</v>
      </c>
      <c r="AE3917" t="s">
        <v>43</v>
      </c>
      <c r="AF3917" t="s">
        <v>43</v>
      </c>
      <c r="AG3917" t="s">
        <v>43</v>
      </c>
      <c r="AH3917" t="s">
        <v>43</v>
      </c>
      <c r="AI3917" t="s">
        <v>43</v>
      </c>
      <c r="AJ3917" t="s">
        <v>43</v>
      </c>
      <c r="AK3917" t="s">
        <v>43</v>
      </c>
      <c r="AL3917" t="s">
        <v>43</v>
      </c>
      <c r="AM3917" t="s">
        <v>43</v>
      </c>
      <c r="AN3917" t="str">
        <f>HYPERLINK("https://www.google.com/maps?q=10.76306152,79.69437408","Open Location")</f>
        <v>Open Location</v>
      </c>
    </row>
    <row r="3918" spans="1:40" x14ac:dyDescent="0.3">
      <c r="A3918" s="1">
        <v>46210.546180555553</v>
      </c>
      <c r="B3918" t="s">
        <v>40</v>
      </c>
      <c r="C3918" t="s">
        <v>41</v>
      </c>
      <c r="D3918" s="1">
        <v>46210.549074074072</v>
      </c>
      <c r="E3918" t="s">
        <v>42</v>
      </c>
      <c r="F3918" t="s">
        <v>43</v>
      </c>
      <c r="G3918" t="s">
        <v>43</v>
      </c>
      <c r="H3918" t="s">
        <v>43</v>
      </c>
      <c r="I3918" t="s">
        <v>2240</v>
      </c>
      <c r="J3918" t="s">
        <v>43</v>
      </c>
      <c r="K3918" t="s">
        <v>43</v>
      </c>
      <c r="L3918" t="s">
        <v>43</v>
      </c>
      <c r="M3918" t="s">
        <v>43</v>
      </c>
      <c r="N3918" t="s">
        <v>45</v>
      </c>
      <c r="O3918" t="s">
        <v>43</v>
      </c>
      <c r="P3918" t="s">
        <v>43</v>
      </c>
      <c r="Q3918" t="s">
        <v>43</v>
      </c>
      <c r="R3918" t="s">
        <v>43</v>
      </c>
      <c r="S3918" t="s">
        <v>43</v>
      </c>
      <c r="T3918" t="s">
        <v>43</v>
      </c>
      <c r="U3918" t="s">
        <v>43</v>
      </c>
      <c r="V3918" t="s">
        <v>43</v>
      </c>
      <c r="W3918" t="s">
        <v>43</v>
      </c>
      <c r="X3918" t="s">
        <v>43</v>
      </c>
      <c r="Y3918" t="s">
        <v>43</v>
      </c>
      <c r="Z3918" t="s">
        <v>43</v>
      </c>
      <c r="AA3918" t="s">
        <v>43</v>
      </c>
      <c r="AB3918" t="s">
        <v>43</v>
      </c>
      <c r="AC3918" t="s">
        <v>43</v>
      </c>
      <c r="AD3918" t="s">
        <v>43</v>
      </c>
      <c r="AE3918" t="s">
        <v>43</v>
      </c>
      <c r="AF3918" t="s">
        <v>43</v>
      </c>
      <c r="AG3918" t="s">
        <v>43</v>
      </c>
      <c r="AH3918" t="s">
        <v>43</v>
      </c>
      <c r="AI3918" t="s">
        <v>43</v>
      </c>
      <c r="AJ3918" t="s">
        <v>43</v>
      </c>
      <c r="AK3918" t="s">
        <v>43</v>
      </c>
      <c r="AL3918" t="s">
        <v>43</v>
      </c>
      <c r="AM3918" t="s">
        <v>43</v>
      </c>
      <c r="AN3918" t="str">
        <f>HYPERLINK("https://www.google.com/maps?q=10.76306152,79.69437408","Open Location")</f>
        <v>Open Location</v>
      </c>
    </row>
    <row r="3919" spans="1:40" x14ac:dyDescent="0.3">
      <c r="A3919" s="1">
        <v>46210.546064814815</v>
      </c>
      <c r="B3919" t="s">
        <v>40</v>
      </c>
      <c r="C3919" t="s">
        <v>41</v>
      </c>
      <c r="D3919" s="1">
        <v>46210.54896990741</v>
      </c>
      <c r="E3919" t="s">
        <v>42</v>
      </c>
      <c r="F3919" t="s">
        <v>43</v>
      </c>
      <c r="G3919" t="s">
        <v>43</v>
      </c>
      <c r="H3919" t="s">
        <v>43</v>
      </c>
      <c r="I3919" t="s">
        <v>2305</v>
      </c>
      <c r="J3919" t="s">
        <v>43</v>
      </c>
      <c r="K3919" t="s">
        <v>43</v>
      </c>
      <c r="L3919" t="s">
        <v>43</v>
      </c>
      <c r="M3919" t="s">
        <v>43</v>
      </c>
      <c r="N3919" t="s">
        <v>45</v>
      </c>
      <c r="O3919" t="s">
        <v>43</v>
      </c>
      <c r="P3919" t="s">
        <v>43</v>
      </c>
      <c r="Q3919" t="s">
        <v>43</v>
      </c>
      <c r="R3919" t="s">
        <v>43</v>
      </c>
      <c r="S3919" t="s">
        <v>43</v>
      </c>
      <c r="T3919" t="s">
        <v>43</v>
      </c>
      <c r="U3919" t="s">
        <v>43</v>
      </c>
      <c r="V3919" t="s">
        <v>43</v>
      </c>
      <c r="W3919" t="s">
        <v>43</v>
      </c>
      <c r="X3919" t="s">
        <v>43</v>
      </c>
      <c r="Y3919" t="s">
        <v>43</v>
      </c>
      <c r="Z3919" t="s">
        <v>43</v>
      </c>
      <c r="AA3919" t="s">
        <v>43</v>
      </c>
      <c r="AB3919" t="s">
        <v>43</v>
      </c>
      <c r="AC3919" t="s">
        <v>43</v>
      </c>
      <c r="AD3919" t="s">
        <v>43</v>
      </c>
      <c r="AE3919" t="s">
        <v>43</v>
      </c>
      <c r="AF3919" t="s">
        <v>43</v>
      </c>
      <c r="AG3919" t="s">
        <v>43</v>
      </c>
      <c r="AH3919" t="s">
        <v>43</v>
      </c>
      <c r="AI3919" t="s">
        <v>43</v>
      </c>
      <c r="AJ3919" t="s">
        <v>43</v>
      </c>
      <c r="AK3919" t="s">
        <v>43</v>
      </c>
      <c r="AL3919" t="s">
        <v>43</v>
      </c>
      <c r="AM3919" t="s">
        <v>43</v>
      </c>
      <c r="AN3919" t="str">
        <f>HYPERLINK("https://www.google.com/maps?q=10.76306343,79.69437408","Open Location")</f>
        <v>Open Location</v>
      </c>
    </row>
    <row r="3920" spans="1:40" x14ac:dyDescent="0.3">
      <c r="A3920" s="1">
        <v>46210.545949074076</v>
      </c>
      <c r="B3920" t="s">
        <v>40</v>
      </c>
      <c r="C3920" t="s">
        <v>41</v>
      </c>
      <c r="D3920" s="1">
        <v>46210.549050925925</v>
      </c>
      <c r="E3920" t="s">
        <v>42</v>
      </c>
      <c r="F3920" t="s">
        <v>43</v>
      </c>
      <c r="G3920" t="s">
        <v>43</v>
      </c>
      <c r="H3920" t="s">
        <v>43</v>
      </c>
      <c r="I3920" t="s">
        <v>43</v>
      </c>
      <c r="J3920" t="s">
        <v>43</v>
      </c>
      <c r="K3920" t="s">
        <v>43</v>
      </c>
      <c r="L3920" t="s">
        <v>43</v>
      </c>
      <c r="M3920" t="s">
        <v>43</v>
      </c>
      <c r="N3920" t="s">
        <v>45</v>
      </c>
      <c r="O3920" t="s">
        <v>43</v>
      </c>
      <c r="P3920" t="s">
        <v>43</v>
      </c>
      <c r="Q3920" t="s">
        <v>43</v>
      </c>
      <c r="R3920" t="s">
        <v>43</v>
      </c>
      <c r="S3920" t="s">
        <v>43</v>
      </c>
      <c r="T3920" t="s">
        <v>43</v>
      </c>
      <c r="U3920" t="s">
        <v>43</v>
      </c>
      <c r="V3920" t="s">
        <v>43</v>
      </c>
      <c r="W3920" t="s">
        <v>43</v>
      </c>
      <c r="X3920" t="s">
        <v>43</v>
      </c>
      <c r="Y3920" t="s">
        <v>43</v>
      </c>
      <c r="Z3920" t="s">
        <v>43</v>
      </c>
      <c r="AA3920" t="s">
        <v>43</v>
      </c>
      <c r="AB3920" t="s">
        <v>43</v>
      </c>
      <c r="AC3920" t="s">
        <v>43</v>
      </c>
      <c r="AD3920" t="s">
        <v>43</v>
      </c>
      <c r="AE3920" t="s">
        <v>43</v>
      </c>
      <c r="AF3920" t="s">
        <v>43</v>
      </c>
      <c r="AG3920" t="s">
        <v>43</v>
      </c>
      <c r="AH3920" t="s">
        <v>43</v>
      </c>
      <c r="AI3920" t="s">
        <v>43</v>
      </c>
      <c r="AJ3920" t="s">
        <v>43</v>
      </c>
      <c r="AK3920" t="s">
        <v>43</v>
      </c>
      <c r="AL3920" t="s">
        <v>43</v>
      </c>
      <c r="AM3920" t="s">
        <v>43</v>
      </c>
      <c r="AN3920" t="s">
        <v>43</v>
      </c>
    </row>
    <row r="3921" spans="1:40" x14ac:dyDescent="0.3">
      <c r="A3921" s="1">
        <v>46210.54583333333</v>
      </c>
      <c r="B3921" t="s">
        <v>40</v>
      </c>
      <c r="C3921" t="s">
        <v>41</v>
      </c>
      <c r="D3921" s="1">
        <v>46210.548784722225</v>
      </c>
      <c r="E3921" t="s">
        <v>42</v>
      </c>
      <c r="F3921" t="s">
        <v>43</v>
      </c>
      <c r="G3921" t="s">
        <v>43</v>
      </c>
      <c r="H3921" t="s">
        <v>43</v>
      </c>
      <c r="I3921" t="s">
        <v>2217</v>
      </c>
      <c r="J3921" t="s">
        <v>43</v>
      </c>
      <c r="K3921" t="s">
        <v>43</v>
      </c>
      <c r="L3921" t="s">
        <v>43</v>
      </c>
      <c r="M3921" t="s">
        <v>43</v>
      </c>
      <c r="N3921" t="s">
        <v>45</v>
      </c>
      <c r="O3921" t="s">
        <v>43</v>
      </c>
      <c r="P3921" t="s">
        <v>43</v>
      </c>
      <c r="Q3921" t="s">
        <v>43</v>
      </c>
      <c r="R3921" t="s">
        <v>43</v>
      </c>
      <c r="S3921" t="s">
        <v>43</v>
      </c>
      <c r="T3921" t="s">
        <v>43</v>
      </c>
      <c r="U3921" t="s">
        <v>43</v>
      </c>
      <c r="V3921" t="s">
        <v>43</v>
      </c>
      <c r="W3921" t="s">
        <v>43</v>
      </c>
      <c r="X3921" t="s">
        <v>43</v>
      </c>
      <c r="Y3921" t="s">
        <v>43</v>
      </c>
      <c r="Z3921" t="s">
        <v>43</v>
      </c>
      <c r="AA3921" t="s">
        <v>43</v>
      </c>
      <c r="AB3921" t="s">
        <v>43</v>
      </c>
      <c r="AC3921" t="s">
        <v>43</v>
      </c>
      <c r="AD3921" t="s">
        <v>43</v>
      </c>
      <c r="AE3921" t="s">
        <v>43</v>
      </c>
      <c r="AF3921" t="s">
        <v>43</v>
      </c>
      <c r="AG3921" t="s">
        <v>43</v>
      </c>
      <c r="AH3921" t="s">
        <v>43</v>
      </c>
      <c r="AI3921" t="s">
        <v>43</v>
      </c>
      <c r="AJ3921" t="s">
        <v>43</v>
      </c>
      <c r="AK3921" t="s">
        <v>43</v>
      </c>
      <c r="AL3921" t="s">
        <v>43</v>
      </c>
      <c r="AM3921" t="s">
        <v>43</v>
      </c>
      <c r="AN3921" t="str">
        <f>HYPERLINK("https://www.google.com/maps?q=10.76306725,79.69437408","Open Location")</f>
        <v>Open Location</v>
      </c>
    </row>
    <row r="3922" spans="1:40" x14ac:dyDescent="0.3">
      <c r="A3922" s="1">
        <v>46210.545717592591</v>
      </c>
      <c r="B3922" t="s">
        <v>40</v>
      </c>
      <c r="C3922" t="s">
        <v>41</v>
      </c>
      <c r="D3922" s="1">
        <v>46210.54896990741</v>
      </c>
      <c r="E3922" t="s">
        <v>42</v>
      </c>
      <c r="F3922" t="s">
        <v>43</v>
      </c>
      <c r="G3922" t="s">
        <v>43</v>
      </c>
      <c r="H3922" t="s">
        <v>43</v>
      </c>
      <c r="I3922" t="s">
        <v>2306</v>
      </c>
      <c r="J3922" t="s">
        <v>43</v>
      </c>
      <c r="K3922" t="s">
        <v>43</v>
      </c>
      <c r="L3922" t="s">
        <v>43</v>
      </c>
      <c r="M3922" t="s">
        <v>43</v>
      </c>
      <c r="N3922" t="s">
        <v>45</v>
      </c>
      <c r="O3922" t="s">
        <v>43</v>
      </c>
      <c r="P3922" t="s">
        <v>43</v>
      </c>
      <c r="Q3922" t="s">
        <v>43</v>
      </c>
      <c r="R3922" t="s">
        <v>43</v>
      </c>
      <c r="S3922" t="s">
        <v>43</v>
      </c>
      <c r="T3922" t="s">
        <v>43</v>
      </c>
      <c r="U3922" t="s">
        <v>43</v>
      </c>
      <c r="V3922" t="s">
        <v>43</v>
      </c>
      <c r="W3922" t="s">
        <v>43</v>
      </c>
      <c r="X3922" t="s">
        <v>43</v>
      </c>
      <c r="Y3922" t="s">
        <v>43</v>
      </c>
      <c r="Z3922" t="s">
        <v>43</v>
      </c>
      <c r="AA3922" t="s">
        <v>43</v>
      </c>
      <c r="AB3922" t="s">
        <v>43</v>
      </c>
      <c r="AC3922" t="s">
        <v>43</v>
      </c>
      <c r="AD3922" t="s">
        <v>43</v>
      </c>
      <c r="AE3922" t="s">
        <v>43</v>
      </c>
      <c r="AF3922" t="s">
        <v>43</v>
      </c>
      <c r="AG3922" t="s">
        <v>43</v>
      </c>
      <c r="AH3922" t="s">
        <v>43</v>
      </c>
      <c r="AI3922" t="s">
        <v>43</v>
      </c>
      <c r="AJ3922" t="s">
        <v>43</v>
      </c>
      <c r="AK3922" t="s">
        <v>43</v>
      </c>
      <c r="AL3922" t="s">
        <v>43</v>
      </c>
      <c r="AM3922" t="s">
        <v>43</v>
      </c>
      <c r="AN3922" t="str">
        <f>HYPERLINK("https://www.google.com/maps?q=10.7630682,79.69437408","Open Location")</f>
        <v>Open Location</v>
      </c>
    </row>
    <row r="3923" spans="1:40" x14ac:dyDescent="0.3">
      <c r="A3923" s="1">
        <v>46210.545601851853</v>
      </c>
      <c r="B3923" t="s">
        <v>40</v>
      </c>
      <c r="C3923" t="s">
        <v>41</v>
      </c>
      <c r="D3923" s="1">
        <v>46210.548530092594</v>
      </c>
      <c r="E3923" t="s">
        <v>42</v>
      </c>
      <c r="F3923" t="s">
        <v>43</v>
      </c>
      <c r="G3923" t="s">
        <v>43</v>
      </c>
      <c r="H3923" t="s">
        <v>43</v>
      </c>
      <c r="I3923" t="s">
        <v>2224</v>
      </c>
      <c r="J3923" t="s">
        <v>43</v>
      </c>
      <c r="K3923" t="s">
        <v>43</v>
      </c>
      <c r="L3923" t="s">
        <v>43</v>
      </c>
      <c r="M3923" t="s">
        <v>43</v>
      </c>
      <c r="N3923" t="s">
        <v>45</v>
      </c>
      <c r="O3923" t="s">
        <v>43</v>
      </c>
      <c r="P3923" t="s">
        <v>43</v>
      </c>
      <c r="Q3923" t="s">
        <v>43</v>
      </c>
      <c r="R3923" t="s">
        <v>43</v>
      </c>
      <c r="S3923" t="s">
        <v>43</v>
      </c>
      <c r="T3923" t="s">
        <v>43</v>
      </c>
      <c r="U3923" t="s">
        <v>43</v>
      </c>
      <c r="V3923" t="s">
        <v>43</v>
      </c>
      <c r="W3923" t="s">
        <v>43</v>
      </c>
      <c r="X3923" t="s">
        <v>43</v>
      </c>
      <c r="Y3923" t="s">
        <v>43</v>
      </c>
      <c r="Z3923" t="s">
        <v>43</v>
      </c>
      <c r="AA3923" t="s">
        <v>43</v>
      </c>
      <c r="AB3923" t="s">
        <v>43</v>
      </c>
      <c r="AC3923" t="s">
        <v>43</v>
      </c>
      <c r="AD3923" t="s">
        <v>43</v>
      </c>
      <c r="AE3923" t="s">
        <v>43</v>
      </c>
      <c r="AF3923" t="s">
        <v>43</v>
      </c>
      <c r="AG3923" t="s">
        <v>43</v>
      </c>
      <c r="AH3923" t="s">
        <v>43</v>
      </c>
      <c r="AI3923" t="s">
        <v>43</v>
      </c>
      <c r="AJ3923" t="s">
        <v>43</v>
      </c>
      <c r="AK3923" t="s">
        <v>43</v>
      </c>
      <c r="AL3923" t="s">
        <v>43</v>
      </c>
      <c r="AM3923" t="s">
        <v>43</v>
      </c>
      <c r="AN3923" t="str">
        <f>HYPERLINK("https://www.google.com/maps?q=10.76306915,79.69437408","Open Location")</f>
        <v>Open Location</v>
      </c>
    </row>
    <row r="3924" spans="1:40" x14ac:dyDescent="0.3">
      <c r="A3924" s="1">
        <v>46210.545486111114</v>
      </c>
      <c r="B3924" t="s">
        <v>40</v>
      </c>
      <c r="C3924" t="s">
        <v>41</v>
      </c>
      <c r="D3924" s="1">
        <v>46210.548784722225</v>
      </c>
      <c r="E3924" t="s">
        <v>42</v>
      </c>
      <c r="F3924" t="s">
        <v>43</v>
      </c>
      <c r="G3924" t="s">
        <v>43</v>
      </c>
      <c r="H3924" t="s">
        <v>43</v>
      </c>
      <c r="I3924" t="s">
        <v>2306</v>
      </c>
      <c r="J3924" t="s">
        <v>43</v>
      </c>
      <c r="K3924" t="s">
        <v>43</v>
      </c>
      <c r="L3924" t="s">
        <v>43</v>
      </c>
      <c r="M3924" t="s">
        <v>43</v>
      </c>
      <c r="N3924" t="s">
        <v>45</v>
      </c>
      <c r="O3924" t="s">
        <v>43</v>
      </c>
      <c r="P3924" t="s">
        <v>43</v>
      </c>
      <c r="Q3924" t="s">
        <v>43</v>
      </c>
      <c r="R3924" t="s">
        <v>43</v>
      </c>
      <c r="S3924" t="s">
        <v>43</v>
      </c>
      <c r="T3924" t="s">
        <v>43</v>
      </c>
      <c r="U3924" t="s">
        <v>43</v>
      </c>
      <c r="V3924" t="s">
        <v>43</v>
      </c>
      <c r="W3924" t="s">
        <v>43</v>
      </c>
      <c r="X3924" t="s">
        <v>43</v>
      </c>
      <c r="Y3924" t="s">
        <v>43</v>
      </c>
      <c r="Z3924" t="s">
        <v>43</v>
      </c>
      <c r="AA3924" t="s">
        <v>43</v>
      </c>
      <c r="AB3924" t="s">
        <v>43</v>
      </c>
      <c r="AC3924" t="s">
        <v>43</v>
      </c>
      <c r="AD3924" t="s">
        <v>43</v>
      </c>
      <c r="AE3924" t="s">
        <v>43</v>
      </c>
      <c r="AF3924" t="s">
        <v>43</v>
      </c>
      <c r="AG3924" t="s">
        <v>43</v>
      </c>
      <c r="AH3924" t="s">
        <v>43</v>
      </c>
      <c r="AI3924" t="s">
        <v>43</v>
      </c>
      <c r="AJ3924" t="s">
        <v>43</v>
      </c>
      <c r="AK3924" t="s">
        <v>43</v>
      </c>
      <c r="AL3924" t="s">
        <v>43</v>
      </c>
      <c r="AM3924" t="s">
        <v>43</v>
      </c>
      <c r="AN3924" t="str">
        <f>HYPERLINK("https://www.google.com/maps?q=10.7630682,79.69437408","Open Location")</f>
        <v>Open Location</v>
      </c>
    </row>
    <row r="3925" spans="1:40" x14ac:dyDescent="0.3">
      <c r="A3925" s="1">
        <v>46210.545370370368</v>
      </c>
      <c r="B3925" t="s">
        <v>40</v>
      </c>
      <c r="C3925" t="s">
        <v>41</v>
      </c>
      <c r="D3925" s="1">
        <v>46210.548171296294</v>
      </c>
      <c r="E3925" t="s">
        <v>42</v>
      </c>
      <c r="F3925" t="s">
        <v>43</v>
      </c>
      <c r="G3925" t="s">
        <v>43</v>
      </c>
      <c r="H3925" t="s">
        <v>43</v>
      </c>
      <c r="I3925" t="s">
        <v>2242</v>
      </c>
      <c r="J3925" t="s">
        <v>43</v>
      </c>
      <c r="K3925" t="s">
        <v>43</v>
      </c>
      <c r="L3925" t="s">
        <v>43</v>
      </c>
      <c r="M3925" t="s">
        <v>43</v>
      </c>
      <c r="N3925" t="s">
        <v>45</v>
      </c>
      <c r="O3925" t="s">
        <v>43</v>
      </c>
      <c r="P3925" t="s">
        <v>43</v>
      </c>
      <c r="Q3925" t="s">
        <v>43</v>
      </c>
      <c r="R3925" t="s">
        <v>43</v>
      </c>
      <c r="S3925" t="s">
        <v>43</v>
      </c>
      <c r="T3925" t="s">
        <v>43</v>
      </c>
      <c r="U3925" t="s">
        <v>43</v>
      </c>
      <c r="V3925" t="s">
        <v>43</v>
      </c>
      <c r="W3925" t="s">
        <v>43</v>
      </c>
      <c r="X3925" t="s">
        <v>43</v>
      </c>
      <c r="Y3925" t="s">
        <v>43</v>
      </c>
      <c r="Z3925" t="s">
        <v>43</v>
      </c>
      <c r="AA3925" t="s">
        <v>43</v>
      </c>
      <c r="AB3925" t="s">
        <v>43</v>
      </c>
      <c r="AC3925" t="s">
        <v>43</v>
      </c>
      <c r="AD3925" t="s">
        <v>43</v>
      </c>
      <c r="AE3925" t="s">
        <v>43</v>
      </c>
      <c r="AF3925" t="s">
        <v>43</v>
      </c>
      <c r="AG3925" t="s">
        <v>43</v>
      </c>
      <c r="AH3925" t="s">
        <v>43</v>
      </c>
      <c r="AI3925" t="s">
        <v>43</v>
      </c>
      <c r="AJ3925" t="s">
        <v>43</v>
      </c>
      <c r="AK3925" t="s">
        <v>43</v>
      </c>
      <c r="AL3925" t="s">
        <v>43</v>
      </c>
      <c r="AM3925" t="s">
        <v>43</v>
      </c>
      <c r="AN3925" t="str">
        <f>HYPERLINK("https://www.google.com/maps?q=10.76306534,79.69437408","Open Location")</f>
        <v>Open Location</v>
      </c>
    </row>
    <row r="3926" spans="1:40" x14ac:dyDescent="0.3">
      <c r="A3926" s="1">
        <v>46210.545254629629</v>
      </c>
      <c r="B3926" t="s">
        <v>40</v>
      </c>
      <c r="C3926" t="s">
        <v>41</v>
      </c>
      <c r="D3926" s="1">
        <v>46210.548148148147</v>
      </c>
      <c r="E3926" t="s">
        <v>42</v>
      </c>
      <c r="F3926" t="s">
        <v>43</v>
      </c>
      <c r="G3926" t="s">
        <v>43</v>
      </c>
      <c r="H3926" t="s">
        <v>43</v>
      </c>
      <c r="I3926" t="s">
        <v>43</v>
      </c>
      <c r="J3926" t="s">
        <v>43</v>
      </c>
      <c r="K3926" t="s">
        <v>43</v>
      </c>
      <c r="L3926" t="s">
        <v>43</v>
      </c>
      <c r="M3926" t="s">
        <v>43</v>
      </c>
      <c r="N3926" t="s">
        <v>45</v>
      </c>
      <c r="O3926" t="s">
        <v>43</v>
      </c>
      <c r="P3926" t="s">
        <v>43</v>
      </c>
      <c r="Q3926" t="s">
        <v>43</v>
      </c>
      <c r="R3926" t="s">
        <v>43</v>
      </c>
      <c r="S3926" t="s">
        <v>43</v>
      </c>
      <c r="T3926" t="s">
        <v>43</v>
      </c>
      <c r="U3926" t="s">
        <v>43</v>
      </c>
      <c r="V3926" t="s">
        <v>43</v>
      </c>
      <c r="W3926" t="s">
        <v>43</v>
      </c>
      <c r="X3926" t="s">
        <v>43</v>
      </c>
      <c r="Y3926" t="s">
        <v>43</v>
      </c>
      <c r="Z3926" t="s">
        <v>43</v>
      </c>
      <c r="AA3926" t="s">
        <v>43</v>
      </c>
      <c r="AB3926" t="s">
        <v>43</v>
      </c>
      <c r="AC3926" t="s">
        <v>43</v>
      </c>
      <c r="AD3926" t="s">
        <v>43</v>
      </c>
      <c r="AE3926" t="s">
        <v>43</v>
      </c>
      <c r="AF3926" t="s">
        <v>43</v>
      </c>
      <c r="AG3926" t="s">
        <v>43</v>
      </c>
      <c r="AH3926" t="s">
        <v>43</v>
      </c>
      <c r="AI3926" t="s">
        <v>43</v>
      </c>
      <c r="AJ3926" t="s">
        <v>43</v>
      </c>
      <c r="AK3926" t="s">
        <v>43</v>
      </c>
      <c r="AL3926" t="s">
        <v>43</v>
      </c>
      <c r="AM3926" t="s">
        <v>43</v>
      </c>
      <c r="AN3926" t="s">
        <v>43</v>
      </c>
    </row>
    <row r="3927" spans="1:40" x14ac:dyDescent="0.3">
      <c r="A3927" s="1">
        <v>46210.545138888891</v>
      </c>
      <c r="B3927" t="s">
        <v>40</v>
      </c>
      <c r="C3927" t="s">
        <v>41</v>
      </c>
      <c r="D3927" s="1">
        <v>46210.548067129632</v>
      </c>
      <c r="E3927" t="s">
        <v>42</v>
      </c>
      <c r="F3927" t="s">
        <v>43</v>
      </c>
      <c r="G3927" t="s">
        <v>43</v>
      </c>
      <c r="H3927" t="s">
        <v>43</v>
      </c>
      <c r="I3927" t="s">
        <v>2268</v>
      </c>
      <c r="J3927" t="s">
        <v>43</v>
      </c>
      <c r="K3927" t="s">
        <v>43</v>
      </c>
      <c r="L3927" t="s">
        <v>43</v>
      </c>
      <c r="M3927" t="s">
        <v>43</v>
      </c>
      <c r="N3927" t="s">
        <v>45</v>
      </c>
      <c r="O3927" t="s">
        <v>43</v>
      </c>
      <c r="P3927" t="s">
        <v>43</v>
      </c>
      <c r="Q3927" t="s">
        <v>43</v>
      </c>
      <c r="R3927" t="s">
        <v>43</v>
      </c>
      <c r="S3927" t="s">
        <v>43</v>
      </c>
      <c r="T3927" t="s">
        <v>43</v>
      </c>
      <c r="U3927" t="s">
        <v>43</v>
      </c>
      <c r="V3927" t="s">
        <v>43</v>
      </c>
      <c r="W3927" t="s">
        <v>43</v>
      </c>
      <c r="X3927" t="s">
        <v>43</v>
      </c>
      <c r="Y3927" t="s">
        <v>43</v>
      </c>
      <c r="Z3927" t="s">
        <v>43</v>
      </c>
      <c r="AA3927" t="s">
        <v>43</v>
      </c>
      <c r="AB3927" t="s">
        <v>43</v>
      </c>
      <c r="AC3927" t="s">
        <v>43</v>
      </c>
      <c r="AD3927" t="s">
        <v>43</v>
      </c>
      <c r="AE3927" t="s">
        <v>43</v>
      </c>
      <c r="AF3927" t="s">
        <v>43</v>
      </c>
      <c r="AG3927" t="s">
        <v>43</v>
      </c>
      <c r="AH3927" t="s">
        <v>43</v>
      </c>
      <c r="AI3927" t="s">
        <v>43</v>
      </c>
      <c r="AJ3927" t="s">
        <v>43</v>
      </c>
      <c r="AK3927" t="s">
        <v>43</v>
      </c>
      <c r="AL3927" t="s">
        <v>43</v>
      </c>
      <c r="AM3927" t="s">
        <v>43</v>
      </c>
      <c r="AN3927" t="str">
        <f>HYPERLINK("https://www.google.com/maps?q=10.76306152,79.69436646","Open Location")</f>
        <v>Open Location</v>
      </c>
    </row>
    <row r="3928" spans="1:40" x14ac:dyDescent="0.3">
      <c r="A3928" s="1">
        <v>46210.545023148145</v>
      </c>
      <c r="B3928" t="s">
        <v>40</v>
      </c>
      <c r="C3928" t="s">
        <v>41</v>
      </c>
      <c r="D3928" s="1">
        <v>46210.547893518517</v>
      </c>
      <c r="E3928" t="s">
        <v>42</v>
      </c>
      <c r="F3928" t="s">
        <v>43</v>
      </c>
      <c r="G3928" t="s">
        <v>43</v>
      </c>
      <c r="H3928" t="s">
        <v>43</v>
      </c>
      <c r="I3928" t="s">
        <v>2257</v>
      </c>
      <c r="J3928" t="s">
        <v>43</v>
      </c>
      <c r="K3928" t="s">
        <v>43</v>
      </c>
      <c r="L3928" t="s">
        <v>43</v>
      </c>
      <c r="M3928" t="s">
        <v>43</v>
      </c>
      <c r="N3928" t="s">
        <v>45</v>
      </c>
      <c r="O3928" t="s">
        <v>43</v>
      </c>
      <c r="P3928" t="s">
        <v>43</v>
      </c>
      <c r="Q3928" t="s">
        <v>43</v>
      </c>
      <c r="R3928" t="s">
        <v>43</v>
      </c>
      <c r="S3928" t="s">
        <v>43</v>
      </c>
      <c r="T3928" t="s">
        <v>43</v>
      </c>
      <c r="U3928" t="s">
        <v>43</v>
      </c>
      <c r="V3928" t="s">
        <v>43</v>
      </c>
      <c r="W3928" t="s">
        <v>43</v>
      </c>
      <c r="X3928" t="s">
        <v>43</v>
      </c>
      <c r="Y3928" t="s">
        <v>43</v>
      </c>
      <c r="Z3928" t="s">
        <v>43</v>
      </c>
      <c r="AA3928" t="s">
        <v>43</v>
      </c>
      <c r="AB3928" t="s">
        <v>43</v>
      </c>
      <c r="AC3928" t="s">
        <v>43</v>
      </c>
      <c r="AD3928" t="s">
        <v>43</v>
      </c>
      <c r="AE3928" t="s">
        <v>43</v>
      </c>
      <c r="AF3928" t="s">
        <v>43</v>
      </c>
      <c r="AG3928" t="s">
        <v>43</v>
      </c>
      <c r="AH3928" t="s">
        <v>43</v>
      </c>
      <c r="AI3928" t="s">
        <v>43</v>
      </c>
      <c r="AJ3928" t="s">
        <v>43</v>
      </c>
      <c r="AK3928" t="s">
        <v>43</v>
      </c>
      <c r="AL3928" t="s">
        <v>43</v>
      </c>
      <c r="AM3928" t="s">
        <v>43</v>
      </c>
      <c r="AN3928" t="str">
        <f>HYPERLINK("https://www.google.com/maps?q=10.76306057,79.69436646","Open Location")</f>
        <v>Open Location</v>
      </c>
    </row>
    <row r="3929" spans="1:40" x14ac:dyDescent="0.3">
      <c r="A3929" s="1">
        <v>46210.544907407406</v>
      </c>
      <c r="B3929" t="s">
        <v>40</v>
      </c>
      <c r="C3929" t="s">
        <v>41</v>
      </c>
      <c r="D3929" s="1">
        <v>46210.547800925924</v>
      </c>
      <c r="E3929" t="s">
        <v>42</v>
      </c>
      <c r="F3929" t="s">
        <v>43</v>
      </c>
      <c r="G3929" t="s">
        <v>43</v>
      </c>
      <c r="H3929" t="s">
        <v>43</v>
      </c>
      <c r="I3929" t="s">
        <v>2307</v>
      </c>
      <c r="J3929" t="s">
        <v>43</v>
      </c>
      <c r="K3929" t="s">
        <v>43</v>
      </c>
      <c r="L3929" t="s">
        <v>43</v>
      </c>
      <c r="M3929" t="s">
        <v>43</v>
      </c>
      <c r="N3929" t="s">
        <v>45</v>
      </c>
      <c r="O3929" t="s">
        <v>43</v>
      </c>
      <c r="P3929" t="s">
        <v>43</v>
      </c>
      <c r="Q3929" t="s">
        <v>43</v>
      </c>
      <c r="R3929" t="s">
        <v>43</v>
      </c>
      <c r="S3929" t="s">
        <v>43</v>
      </c>
      <c r="T3929" t="s">
        <v>43</v>
      </c>
      <c r="U3929" t="s">
        <v>43</v>
      </c>
      <c r="V3929" t="s">
        <v>43</v>
      </c>
      <c r="W3929" t="s">
        <v>43</v>
      </c>
      <c r="X3929" t="s">
        <v>43</v>
      </c>
      <c r="Y3929" t="s">
        <v>43</v>
      </c>
      <c r="Z3929" t="s">
        <v>43</v>
      </c>
      <c r="AA3929" t="s">
        <v>43</v>
      </c>
      <c r="AB3929" t="s">
        <v>43</v>
      </c>
      <c r="AC3929" t="s">
        <v>43</v>
      </c>
      <c r="AD3929" t="s">
        <v>43</v>
      </c>
      <c r="AE3929" t="s">
        <v>43</v>
      </c>
      <c r="AF3929" t="s">
        <v>43</v>
      </c>
      <c r="AG3929" t="s">
        <v>43</v>
      </c>
      <c r="AH3929" t="s">
        <v>43</v>
      </c>
      <c r="AI3929" t="s">
        <v>43</v>
      </c>
      <c r="AJ3929" t="s">
        <v>43</v>
      </c>
      <c r="AK3929" t="s">
        <v>43</v>
      </c>
      <c r="AL3929" t="s">
        <v>43</v>
      </c>
      <c r="AM3929" t="s">
        <v>43</v>
      </c>
      <c r="AN3929" t="str">
        <f>HYPERLINK("https://www.google.com/maps?q=10.76305866,79.69436646","Open Location")</f>
        <v>Open Location</v>
      </c>
    </row>
    <row r="3930" spans="1:40" x14ac:dyDescent="0.3">
      <c r="A3930" s="1">
        <v>46210.544791666667</v>
      </c>
      <c r="B3930" t="s">
        <v>40</v>
      </c>
      <c r="C3930" t="s">
        <v>41</v>
      </c>
      <c r="D3930" s="1">
        <v>46210.547893518517</v>
      </c>
      <c r="E3930" t="s">
        <v>42</v>
      </c>
      <c r="F3930" t="s">
        <v>43</v>
      </c>
      <c r="G3930" t="s">
        <v>43</v>
      </c>
      <c r="H3930" t="s">
        <v>43</v>
      </c>
      <c r="I3930" t="s">
        <v>2214</v>
      </c>
      <c r="J3930" t="s">
        <v>43</v>
      </c>
      <c r="K3930" t="s">
        <v>43</v>
      </c>
      <c r="L3930" t="s">
        <v>43</v>
      </c>
      <c r="M3930" t="s">
        <v>43</v>
      </c>
      <c r="N3930" t="s">
        <v>45</v>
      </c>
      <c r="O3930" t="s">
        <v>43</v>
      </c>
      <c r="P3930" t="s">
        <v>43</v>
      </c>
      <c r="Q3930" t="s">
        <v>43</v>
      </c>
      <c r="R3930" t="s">
        <v>43</v>
      </c>
      <c r="S3930" t="s">
        <v>43</v>
      </c>
      <c r="T3930" t="s">
        <v>43</v>
      </c>
      <c r="U3930" t="s">
        <v>43</v>
      </c>
      <c r="V3930" t="s">
        <v>43</v>
      </c>
      <c r="W3930" t="s">
        <v>43</v>
      </c>
      <c r="X3930" t="s">
        <v>43</v>
      </c>
      <c r="Y3930" t="s">
        <v>43</v>
      </c>
      <c r="Z3930" t="s">
        <v>43</v>
      </c>
      <c r="AA3930" t="s">
        <v>43</v>
      </c>
      <c r="AB3930" t="s">
        <v>43</v>
      </c>
      <c r="AC3930" t="s">
        <v>43</v>
      </c>
      <c r="AD3930" t="s">
        <v>43</v>
      </c>
      <c r="AE3930" t="s">
        <v>43</v>
      </c>
      <c r="AF3930" t="s">
        <v>43</v>
      </c>
      <c r="AG3930" t="s">
        <v>43</v>
      </c>
      <c r="AH3930" t="s">
        <v>43</v>
      </c>
      <c r="AI3930" t="s">
        <v>43</v>
      </c>
      <c r="AJ3930" t="s">
        <v>43</v>
      </c>
      <c r="AK3930" t="s">
        <v>43</v>
      </c>
      <c r="AL3930" t="s">
        <v>43</v>
      </c>
      <c r="AM3930" t="s">
        <v>43</v>
      </c>
      <c r="AN3930" t="str">
        <f>HYPERLINK("https://www.google.com/maps?q=10.76305866,79.69437408","Open Location")</f>
        <v>Open Location</v>
      </c>
    </row>
    <row r="3931" spans="1:40" x14ac:dyDescent="0.3">
      <c r="A3931" s="1">
        <v>46210.544675925928</v>
      </c>
      <c r="B3931" t="s">
        <v>40</v>
      </c>
      <c r="C3931" t="s">
        <v>41</v>
      </c>
      <c r="D3931" s="1">
        <v>46210.547488425924</v>
      </c>
      <c r="E3931" t="s">
        <v>42</v>
      </c>
      <c r="F3931" t="s">
        <v>43</v>
      </c>
      <c r="G3931" t="s">
        <v>43</v>
      </c>
      <c r="H3931" t="s">
        <v>43</v>
      </c>
      <c r="I3931" t="s">
        <v>2215</v>
      </c>
      <c r="J3931" t="s">
        <v>43</v>
      </c>
      <c r="K3931" t="s">
        <v>43</v>
      </c>
      <c r="L3931" t="s">
        <v>43</v>
      </c>
      <c r="M3931" t="s">
        <v>43</v>
      </c>
      <c r="N3931" t="s">
        <v>45</v>
      </c>
      <c r="O3931" t="s">
        <v>43</v>
      </c>
      <c r="P3931" t="s">
        <v>43</v>
      </c>
      <c r="Q3931" t="s">
        <v>43</v>
      </c>
      <c r="R3931" t="s">
        <v>43</v>
      </c>
      <c r="S3931" t="s">
        <v>43</v>
      </c>
      <c r="T3931" t="s">
        <v>43</v>
      </c>
      <c r="U3931" t="s">
        <v>43</v>
      </c>
      <c r="V3931" t="s">
        <v>43</v>
      </c>
      <c r="W3931" t="s">
        <v>43</v>
      </c>
      <c r="X3931" t="s">
        <v>43</v>
      </c>
      <c r="Y3931" t="s">
        <v>43</v>
      </c>
      <c r="Z3931" t="s">
        <v>43</v>
      </c>
      <c r="AA3931" t="s">
        <v>43</v>
      </c>
      <c r="AB3931" t="s">
        <v>43</v>
      </c>
      <c r="AC3931" t="s">
        <v>43</v>
      </c>
      <c r="AD3931" t="s">
        <v>43</v>
      </c>
      <c r="AE3931" t="s">
        <v>43</v>
      </c>
      <c r="AF3931" t="s">
        <v>43</v>
      </c>
      <c r="AG3931" t="s">
        <v>43</v>
      </c>
      <c r="AH3931" t="s">
        <v>43</v>
      </c>
      <c r="AI3931" t="s">
        <v>43</v>
      </c>
      <c r="AJ3931" t="s">
        <v>43</v>
      </c>
      <c r="AK3931" t="s">
        <v>43</v>
      </c>
      <c r="AL3931" t="s">
        <v>43</v>
      </c>
      <c r="AM3931" t="s">
        <v>43</v>
      </c>
      <c r="AN3931" t="str">
        <f>HYPERLINK("https://www.google.com/maps?q=10.76305962,79.69437408","Open Location")</f>
        <v>Open Location</v>
      </c>
    </row>
    <row r="3932" spans="1:40" x14ac:dyDescent="0.3">
      <c r="A3932" s="1">
        <v>46210.544560185182</v>
      </c>
      <c r="B3932" t="s">
        <v>40</v>
      </c>
      <c r="C3932" t="s">
        <v>41</v>
      </c>
      <c r="D3932" s="1">
        <v>46210.547523148147</v>
      </c>
      <c r="E3932" t="s">
        <v>42</v>
      </c>
      <c r="F3932" t="s">
        <v>43</v>
      </c>
      <c r="G3932" t="s">
        <v>43</v>
      </c>
      <c r="H3932" t="s">
        <v>43</v>
      </c>
      <c r="I3932" t="s">
        <v>43</v>
      </c>
      <c r="J3932" t="s">
        <v>43</v>
      </c>
      <c r="K3932" t="s">
        <v>43</v>
      </c>
      <c r="L3932" t="s">
        <v>43</v>
      </c>
      <c r="M3932" t="s">
        <v>43</v>
      </c>
      <c r="N3932" t="s">
        <v>45</v>
      </c>
      <c r="O3932" t="s">
        <v>43</v>
      </c>
      <c r="P3932" t="s">
        <v>43</v>
      </c>
      <c r="Q3932" t="s">
        <v>43</v>
      </c>
      <c r="R3932" t="s">
        <v>43</v>
      </c>
      <c r="S3932" t="s">
        <v>43</v>
      </c>
      <c r="T3932" t="s">
        <v>43</v>
      </c>
      <c r="U3932" t="s">
        <v>43</v>
      </c>
      <c r="V3932" t="s">
        <v>43</v>
      </c>
      <c r="W3932" t="s">
        <v>43</v>
      </c>
      <c r="X3932" t="s">
        <v>43</v>
      </c>
      <c r="Y3932" t="s">
        <v>43</v>
      </c>
      <c r="Z3932" t="s">
        <v>43</v>
      </c>
      <c r="AA3932" t="s">
        <v>43</v>
      </c>
      <c r="AB3932" t="s">
        <v>43</v>
      </c>
      <c r="AC3932" t="s">
        <v>43</v>
      </c>
      <c r="AD3932" t="s">
        <v>43</v>
      </c>
      <c r="AE3932" t="s">
        <v>43</v>
      </c>
      <c r="AF3932" t="s">
        <v>43</v>
      </c>
      <c r="AG3932" t="s">
        <v>43</v>
      </c>
      <c r="AH3932" t="s">
        <v>43</v>
      </c>
      <c r="AI3932" t="s">
        <v>43</v>
      </c>
      <c r="AJ3932" t="s">
        <v>43</v>
      </c>
      <c r="AK3932" t="s">
        <v>43</v>
      </c>
      <c r="AL3932" t="s">
        <v>43</v>
      </c>
      <c r="AM3932" t="s">
        <v>43</v>
      </c>
      <c r="AN3932" t="s">
        <v>43</v>
      </c>
    </row>
    <row r="3933" spans="1:40" x14ac:dyDescent="0.3">
      <c r="A3933" s="1">
        <v>46210.544444444444</v>
      </c>
      <c r="B3933" t="s">
        <v>40</v>
      </c>
      <c r="C3933" t="s">
        <v>41</v>
      </c>
      <c r="D3933" s="1">
        <v>46210.547118055554</v>
      </c>
      <c r="E3933" t="s">
        <v>42</v>
      </c>
      <c r="F3933" t="s">
        <v>43</v>
      </c>
      <c r="G3933" t="s">
        <v>43</v>
      </c>
      <c r="H3933" t="s">
        <v>43</v>
      </c>
      <c r="I3933" t="s">
        <v>2307</v>
      </c>
      <c r="J3933" t="s">
        <v>43</v>
      </c>
      <c r="K3933" t="s">
        <v>43</v>
      </c>
      <c r="L3933" t="s">
        <v>43</v>
      </c>
      <c r="M3933" t="s">
        <v>43</v>
      </c>
      <c r="N3933" t="s">
        <v>45</v>
      </c>
      <c r="O3933" t="s">
        <v>43</v>
      </c>
      <c r="P3933" t="s">
        <v>43</v>
      </c>
      <c r="Q3933" t="s">
        <v>43</v>
      </c>
      <c r="R3933" t="s">
        <v>43</v>
      </c>
      <c r="S3933" t="s">
        <v>43</v>
      </c>
      <c r="T3933" t="s">
        <v>43</v>
      </c>
      <c r="U3933" t="s">
        <v>43</v>
      </c>
      <c r="V3933" t="s">
        <v>43</v>
      </c>
      <c r="W3933" t="s">
        <v>43</v>
      </c>
      <c r="X3933" t="s">
        <v>43</v>
      </c>
      <c r="Y3933" t="s">
        <v>43</v>
      </c>
      <c r="Z3933" t="s">
        <v>43</v>
      </c>
      <c r="AA3933" t="s">
        <v>43</v>
      </c>
      <c r="AB3933" t="s">
        <v>43</v>
      </c>
      <c r="AC3933" t="s">
        <v>43</v>
      </c>
      <c r="AD3933" t="s">
        <v>43</v>
      </c>
      <c r="AE3933" t="s">
        <v>43</v>
      </c>
      <c r="AF3933" t="s">
        <v>43</v>
      </c>
      <c r="AG3933" t="s">
        <v>43</v>
      </c>
      <c r="AH3933" t="s">
        <v>43</v>
      </c>
      <c r="AI3933" t="s">
        <v>43</v>
      </c>
      <c r="AJ3933" t="s">
        <v>43</v>
      </c>
      <c r="AK3933" t="s">
        <v>43</v>
      </c>
      <c r="AL3933" t="s">
        <v>43</v>
      </c>
      <c r="AM3933" t="s">
        <v>43</v>
      </c>
      <c r="AN3933" t="str">
        <f>HYPERLINK("https://www.google.com/maps?q=10.76305866,79.69436646","Open Location")</f>
        <v>Open Location</v>
      </c>
    </row>
    <row r="3934" spans="1:40" x14ac:dyDescent="0.3">
      <c r="A3934" s="1">
        <v>46210.544328703705</v>
      </c>
      <c r="B3934" t="s">
        <v>40</v>
      </c>
      <c r="C3934" t="s">
        <v>41</v>
      </c>
      <c r="D3934" s="1">
        <v>46210.547152777777</v>
      </c>
      <c r="E3934" t="s">
        <v>42</v>
      </c>
      <c r="F3934" t="s">
        <v>43</v>
      </c>
      <c r="G3934" t="s">
        <v>43</v>
      </c>
      <c r="H3934" t="s">
        <v>43</v>
      </c>
      <c r="I3934" t="s">
        <v>2302</v>
      </c>
      <c r="J3934" t="s">
        <v>43</v>
      </c>
      <c r="K3934" t="s">
        <v>43</v>
      </c>
      <c r="L3934" t="s">
        <v>43</v>
      </c>
      <c r="M3934" t="s">
        <v>43</v>
      </c>
      <c r="N3934" t="s">
        <v>45</v>
      </c>
      <c r="O3934" t="s">
        <v>43</v>
      </c>
      <c r="P3934" t="s">
        <v>43</v>
      </c>
      <c r="Q3934" t="s">
        <v>43</v>
      </c>
      <c r="R3934" t="s">
        <v>43</v>
      </c>
      <c r="S3934" t="s">
        <v>43</v>
      </c>
      <c r="T3934" t="s">
        <v>43</v>
      </c>
      <c r="U3934" t="s">
        <v>43</v>
      </c>
      <c r="V3934" t="s">
        <v>43</v>
      </c>
      <c r="W3934" t="s">
        <v>43</v>
      </c>
      <c r="X3934" t="s">
        <v>43</v>
      </c>
      <c r="Y3934" t="s">
        <v>43</v>
      </c>
      <c r="Z3934" t="s">
        <v>43</v>
      </c>
      <c r="AA3934" t="s">
        <v>43</v>
      </c>
      <c r="AB3934" t="s">
        <v>43</v>
      </c>
      <c r="AC3934" t="s">
        <v>43</v>
      </c>
      <c r="AD3934" t="s">
        <v>43</v>
      </c>
      <c r="AE3934" t="s">
        <v>43</v>
      </c>
      <c r="AF3934" t="s">
        <v>43</v>
      </c>
      <c r="AG3934" t="s">
        <v>43</v>
      </c>
      <c r="AH3934" t="s">
        <v>43</v>
      </c>
      <c r="AI3934" t="s">
        <v>43</v>
      </c>
      <c r="AJ3934" t="s">
        <v>43</v>
      </c>
      <c r="AK3934" t="s">
        <v>43</v>
      </c>
      <c r="AL3934" t="s">
        <v>43</v>
      </c>
      <c r="AM3934" t="s">
        <v>43</v>
      </c>
      <c r="AN3934" t="str">
        <f>HYPERLINK("https://www.google.com/maps?q=10.76305771,79.69436646","Open Location")</f>
        <v>Open Location</v>
      </c>
    </row>
    <row r="3935" spans="1:40" x14ac:dyDescent="0.3">
      <c r="A3935" s="1">
        <v>46210.544212962966</v>
      </c>
      <c r="B3935" t="s">
        <v>40</v>
      </c>
      <c r="C3935" t="s">
        <v>41</v>
      </c>
      <c r="D3935" s="1">
        <v>46210.547083333331</v>
      </c>
      <c r="E3935" t="s">
        <v>42</v>
      </c>
      <c r="F3935" t="s">
        <v>43</v>
      </c>
      <c r="G3935" t="s">
        <v>43</v>
      </c>
      <c r="H3935" t="s">
        <v>43</v>
      </c>
      <c r="I3935" t="s">
        <v>2308</v>
      </c>
      <c r="J3935" t="s">
        <v>43</v>
      </c>
      <c r="K3935" t="s">
        <v>43</v>
      </c>
      <c r="L3935" t="s">
        <v>43</v>
      </c>
      <c r="M3935" t="s">
        <v>43</v>
      </c>
      <c r="N3935" t="s">
        <v>45</v>
      </c>
      <c r="O3935" t="s">
        <v>43</v>
      </c>
      <c r="P3935" t="s">
        <v>43</v>
      </c>
      <c r="Q3935" t="s">
        <v>43</v>
      </c>
      <c r="R3935" t="s">
        <v>43</v>
      </c>
      <c r="S3935" t="s">
        <v>43</v>
      </c>
      <c r="T3935" t="s">
        <v>43</v>
      </c>
      <c r="U3935" t="s">
        <v>43</v>
      </c>
      <c r="V3935" t="s">
        <v>43</v>
      </c>
      <c r="W3935" t="s">
        <v>43</v>
      </c>
      <c r="X3935" t="s">
        <v>43</v>
      </c>
      <c r="Y3935" t="s">
        <v>43</v>
      </c>
      <c r="Z3935" t="s">
        <v>43</v>
      </c>
      <c r="AA3935" t="s">
        <v>43</v>
      </c>
      <c r="AB3935" t="s">
        <v>43</v>
      </c>
      <c r="AC3935" t="s">
        <v>43</v>
      </c>
      <c r="AD3935" t="s">
        <v>43</v>
      </c>
      <c r="AE3935" t="s">
        <v>43</v>
      </c>
      <c r="AF3935" t="s">
        <v>43</v>
      </c>
      <c r="AG3935" t="s">
        <v>43</v>
      </c>
      <c r="AH3935" t="s">
        <v>43</v>
      </c>
      <c r="AI3935" t="s">
        <v>43</v>
      </c>
      <c r="AJ3935" t="s">
        <v>43</v>
      </c>
      <c r="AK3935" t="s">
        <v>43</v>
      </c>
      <c r="AL3935" t="s">
        <v>43</v>
      </c>
      <c r="AM3935" t="s">
        <v>43</v>
      </c>
      <c r="AN3935" t="str">
        <f>HYPERLINK("https://www.google.com/maps?q=10.76305771,79.69437408","Open Location")</f>
        <v>Open Location</v>
      </c>
    </row>
    <row r="3936" spans="1:40" x14ac:dyDescent="0.3">
      <c r="A3936" s="1">
        <v>46210.54409722222</v>
      </c>
      <c r="B3936" t="s">
        <v>40</v>
      </c>
      <c r="C3936" t="s">
        <v>41</v>
      </c>
      <c r="D3936" s="1">
        <v>46210.547094907408</v>
      </c>
      <c r="E3936" t="s">
        <v>42</v>
      </c>
      <c r="F3936" t="s">
        <v>43</v>
      </c>
      <c r="G3936" t="s">
        <v>43</v>
      </c>
      <c r="H3936" t="s">
        <v>43</v>
      </c>
      <c r="I3936" t="s">
        <v>2257</v>
      </c>
      <c r="J3936" t="s">
        <v>43</v>
      </c>
      <c r="K3936" t="s">
        <v>43</v>
      </c>
      <c r="L3936" t="s">
        <v>43</v>
      </c>
      <c r="M3936" t="s">
        <v>43</v>
      </c>
      <c r="N3936" t="s">
        <v>45</v>
      </c>
      <c r="O3936" t="s">
        <v>43</v>
      </c>
      <c r="P3936" t="s">
        <v>43</v>
      </c>
      <c r="Q3936" t="s">
        <v>43</v>
      </c>
      <c r="R3936" t="s">
        <v>43</v>
      </c>
      <c r="S3936" t="s">
        <v>43</v>
      </c>
      <c r="T3936" t="s">
        <v>43</v>
      </c>
      <c r="U3936" t="s">
        <v>43</v>
      </c>
      <c r="V3936" t="s">
        <v>43</v>
      </c>
      <c r="W3936" t="s">
        <v>43</v>
      </c>
      <c r="X3936" t="s">
        <v>43</v>
      </c>
      <c r="Y3936" t="s">
        <v>43</v>
      </c>
      <c r="Z3936" t="s">
        <v>43</v>
      </c>
      <c r="AA3936" t="s">
        <v>43</v>
      </c>
      <c r="AB3936" t="s">
        <v>43</v>
      </c>
      <c r="AC3936" t="s">
        <v>43</v>
      </c>
      <c r="AD3936" t="s">
        <v>43</v>
      </c>
      <c r="AE3936" t="s">
        <v>43</v>
      </c>
      <c r="AF3936" t="s">
        <v>43</v>
      </c>
      <c r="AG3936" t="s">
        <v>43</v>
      </c>
      <c r="AH3936" t="s">
        <v>43</v>
      </c>
      <c r="AI3936" t="s">
        <v>43</v>
      </c>
      <c r="AJ3936" t="s">
        <v>43</v>
      </c>
      <c r="AK3936" t="s">
        <v>43</v>
      </c>
      <c r="AL3936" t="s">
        <v>43</v>
      </c>
      <c r="AM3936" t="s">
        <v>43</v>
      </c>
      <c r="AN3936" t="str">
        <f>HYPERLINK("https://www.google.com/maps?q=10.76306057,79.69436646","Open Location")</f>
        <v>Open Location</v>
      </c>
    </row>
    <row r="3937" spans="1:40" x14ac:dyDescent="0.3">
      <c r="A3937" s="1">
        <v>46210.543981481482</v>
      </c>
      <c r="B3937" t="s">
        <v>40</v>
      </c>
      <c r="C3937" t="s">
        <v>41</v>
      </c>
      <c r="D3937" s="1">
        <v>46210.546886574077</v>
      </c>
      <c r="E3937" t="s">
        <v>42</v>
      </c>
      <c r="F3937" t="s">
        <v>43</v>
      </c>
      <c r="G3937" t="s">
        <v>43</v>
      </c>
      <c r="H3937" t="s">
        <v>43</v>
      </c>
      <c r="I3937" t="s">
        <v>43</v>
      </c>
      <c r="J3937" t="s">
        <v>43</v>
      </c>
      <c r="K3937" t="s">
        <v>43</v>
      </c>
      <c r="L3937" t="s">
        <v>43</v>
      </c>
      <c r="M3937" t="s">
        <v>43</v>
      </c>
      <c r="N3937" t="s">
        <v>45</v>
      </c>
      <c r="O3937" t="s">
        <v>43</v>
      </c>
      <c r="P3937" t="s">
        <v>43</v>
      </c>
      <c r="Q3937" t="s">
        <v>43</v>
      </c>
      <c r="R3937" t="s">
        <v>43</v>
      </c>
      <c r="S3937" t="s">
        <v>43</v>
      </c>
      <c r="T3937" t="s">
        <v>43</v>
      </c>
      <c r="U3937" t="s">
        <v>43</v>
      </c>
      <c r="V3937" t="s">
        <v>43</v>
      </c>
      <c r="W3937" t="s">
        <v>43</v>
      </c>
      <c r="X3937" t="s">
        <v>43</v>
      </c>
      <c r="Y3937" t="s">
        <v>43</v>
      </c>
      <c r="Z3937" t="s">
        <v>43</v>
      </c>
      <c r="AA3937" t="s">
        <v>43</v>
      </c>
      <c r="AB3937" t="s">
        <v>43</v>
      </c>
      <c r="AC3937" t="s">
        <v>43</v>
      </c>
      <c r="AD3937" t="s">
        <v>43</v>
      </c>
      <c r="AE3937" t="s">
        <v>43</v>
      </c>
      <c r="AF3937" t="s">
        <v>43</v>
      </c>
      <c r="AG3937" t="s">
        <v>43</v>
      </c>
      <c r="AH3937" t="s">
        <v>43</v>
      </c>
      <c r="AI3937" t="s">
        <v>43</v>
      </c>
      <c r="AJ3937" t="s">
        <v>43</v>
      </c>
      <c r="AK3937" t="s">
        <v>43</v>
      </c>
      <c r="AL3937" t="s">
        <v>43</v>
      </c>
      <c r="AM3937" t="s">
        <v>43</v>
      </c>
      <c r="AN3937" t="s">
        <v>43</v>
      </c>
    </row>
    <row r="3938" spans="1:40" x14ac:dyDescent="0.3">
      <c r="A3938" s="1">
        <v>46210.543865740743</v>
      </c>
      <c r="B3938" t="s">
        <v>40</v>
      </c>
      <c r="C3938" t="s">
        <v>41</v>
      </c>
      <c r="D3938" s="1">
        <v>46210.547083333331</v>
      </c>
      <c r="E3938" t="s">
        <v>42</v>
      </c>
      <c r="F3938" t="s">
        <v>43</v>
      </c>
      <c r="G3938" t="s">
        <v>43</v>
      </c>
      <c r="H3938" t="s">
        <v>43</v>
      </c>
      <c r="I3938" t="s">
        <v>2219</v>
      </c>
      <c r="J3938" t="s">
        <v>43</v>
      </c>
      <c r="K3938" t="s">
        <v>43</v>
      </c>
      <c r="L3938" t="s">
        <v>43</v>
      </c>
      <c r="M3938" t="s">
        <v>43</v>
      </c>
      <c r="N3938" t="s">
        <v>45</v>
      </c>
      <c r="O3938" t="s">
        <v>43</v>
      </c>
      <c r="P3938" t="s">
        <v>43</v>
      </c>
      <c r="Q3938" t="s">
        <v>43</v>
      </c>
      <c r="R3938" t="s">
        <v>43</v>
      </c>
      <c r="S3938" t="s">
        <v>43</v>
      </c>
      <c r="T3938" t="s">
        <v>43</v>
      </c>
      <c r="U3938" t="s">
        <v>43</v>
      </c>
      <c r="V3938" t="s">
        <v>43</v>
      </c>
      <c r="W3938" t="s">
        <v>43</v>
      </c>
      <c r="X3938" t="s">
        <v>43</v>
      </c>
      <c r="Y3938" t="s">
        <v>43</v>
      </c>
      <c r="Z3938" t="s">
        <v>43</v>
      </c>
      <c r="AA3938" t="s">
        <v>43</v>
      </c>
      <c r="AB3938" t="s">
        <v>43</v>
      </c>
      <c r="AC3938" t="s">
        <v>43</v>
      </c>
      <c r="AD3938" t="s">
        <v>43</v>
      </c>
      <c r="AE3938" t="s">
        <v>43</v>
      </c>
      <c r="AF3938" t="s">
        <v>43</v>
      </c>
      <c r="AG3938" t="s">
        <v>43</v>
      </c>
      <c r="AH3938" t="s">
        <v>43</v>
      </c>
      <c r="AI3938" t="s">
        <v>43</v>
      </c>
      <c r="AJ3938" t="s">
        <v>43</v>
      </c>
      <c r="AK3938" t="s">
        <v>43</v>
      </c>
      <c r="AL3938" t="s">
        <v>43</v>
      </c>
      <c r="AM3938" t="s">
        <v>43</v>
      </c>
      <c r="AN3938" t="str">
        <f>HYPERLINK("https://www.google.com/maps?q=10.76306629,79.69436646","Open Location")</f>
        <v>Open Location</v>
      </c>
    </row>
    <row r="3939" spans="1:40" x14ac:dyDescent="0.3">
      <c r="A3939" s="1">
        <v>46210.543749999997</v>
      </c>
      <c r="B3939" t="s">
        <v>40</v>
      </c>
      <c r="C3939" t="s">
        <v>41</v>
      </c>
      <c r="D3939" s="1">
        <v>46210.546712962961</v>
      </c>
      <c r="E3939" t="s">
        <v>42</v>
      </c>
      <c r="F3939" t="s">
        <v>43</v>
      </c>
      <c r="G3939" t="s">
        <v>43</v>
      </c>
      <c r="H3939" t="s">
        <v>43</v>
      </c>
      <c r="I3939" t="s">
        <v>2309</v>
      </c>
      <c r="J3939" t="s">
        <v>43</v>
      </c>
      <c r="K3939" t="s">
        <v>43</v>
      </c>
      <c r="L3939" t="s">
        <v>43</v>
      </c>
      <c r="M3939" t="s">
        <v>43</v>
      </c>
      <c r="N3939" t="s">
        <v>45</v>
      </c>
      <c r="O3939" t="s">
        <v>43</v>
      </c>
      <c r="P3939" t="s">
        <v>43</v>
      </c>
      <c r="Q3939" t="s">
        <v>43</v>
      </c>
      <c r="R3939" t="s">
        <v>43</v>
      </c>
      <c r="S3939" t="s">
        <v>43</v>
      </c>
      <c r="T3939" t="s">
        <v>43</v>
      </c>
      <c r="U3939" t="s">
        <v>43</v>
      </c>
      <c r="V3939" t="s">
        <v>43</v>
      </c>
      <c r="W3939" t="s">
        <v>43</v>
      </c>
      <c r="X3939" t="s">
        <v>43</v>
      </c>
      <c r="Y3939" t="s">
        <v>43</v>
      </c>
      <c r="Z3939" t="s">
        <v>43</v>
      </c>
      <c r="AA3939" t="s">
        <v>43</v>
      </c>
      <c r="AB3939" t="s">
        <v>43</v>
      </c>
      <c r="AC3939" t="s">
        <v>43</v>
      </c>
      <c r="AD3939" t="s">
        <v>43</v>
      </c>
      <c r="AE3939" t="s">
        <v>43</v>
      </c>
      <c r="AF3939" t="s">
        <v>43</v>
      </c>
      <c r="AG3939" t="s">
        <v>43</v>
      </c>
      <c r="AH3939" t="s">
        <v>43</v>
      </c>
      <c r="AI3939" t="s">
        <v>43</v>
      </c>
      <c r="AJ3939" t="s">
        <v>43</v>
      </c>
      <c r="AK3939" t="s">
        <v>43</v>
      </c>
      <c r="AL3939" t="s">
        <v>43</v>
      </c>
      <c r="AM3939" t="s">
        <v>43</v>
      </c>
      <c r="AN3939" t="str">
        <f>HYPERLINK("https://www.google.com/maps?q=10.76307011,79.69435883","Open Location")</f>
        <v>Open Location</v>
      </c>
    </row>
    <row r="3940" spans="1:40" x14ac:dyDescent="0.3">
      <c r="A3940" s="1">
        <v>46210.543634259258</v>
      </c>
      <c r="B3940" t="s">
        <v>40</v>
      </c>
      <c r="C3940" t="s">
        <v>41</v>
      </c>
      <c r="D3940" s="1">
        <v>46210.546516203707</v>
      </c>
      <c r="E3940" t="s">
        <v>42</v>
      </c>
      <c r="F3940" t="s">
        <v>43</v>
      </c>
      <c r="G3940" t="s">
        <v>43</v>
      </c>
      <c r="H3940" t="s">
        <v>43</v>
      </c>
      <c r="I3940" t="s">
        <v>2309</v>
      </c>
      <c r="J3940" t="s">
        <v>43</v>
      </c>
      <c r="K3940" t="s">
        <v>43</v>
      </c>
      <c r="L3940" t="s">
        <v>43</v>
      </c>
      <c r="M3940" t="s">
        <v>43</v>
      </c>
      <c r="N3940" t="s">
        <v>45</v>
      </c>
      <c r="O3940" t="s">
        <v>43</v>
      </c>
      <c r="P3940" t="s">
        <v>43</v>
      </c>
      <c r="Q3940" t="s">
        <v>43</v>
      </c>
      <c r="R3940" t="s">
        <v>43</v>
      </c>
      <c r="S3940" t="s">
        <v>43</v>
      </c>
      <c r="T3940" t="s">
        <v>43</v>
      </c>
      <c r="U3940" t="s">
        <v>43</v>
      </c>
      <c r="V3940" t="s">
        <v>43</v>
      </c>
      <c r="W3940" t="s">
        <v>43</v>
      </c>
      <c r="X3940" t="s">
        <v>43</v>
      </c>
      <c r="Y3940" t="s">
        <v>43</v>
      </c>
      <c r="Z3940" t="s">
        <v>43</v>
      </c>
      <c r="AA3940" t="s">
        <v>43</v>
      </c>
      <c r="AB3940" t="s">
        <v>43</v>
      </c>
      <c r="AC3940" t="s">
        <v>43</v>
      </c>
      <c r="AD3940" t="s">
        <v>43</v>
      </c>
      <c r="AE3940" t="s">
        <v>43</v>
      </c>
      <c r="AF3940" t="s">
        <v>43</v>
      </c>
      <c r="AG3940" t="s">
        <v>43</v>
      </c>
      <c r="AH3940" t="s">
        <v>43</v>
      </c>
      <c r="AI3940" t="s">
        <v>43</v>
      </c>
      <c r="AJ3940" t="s">
        <v>43</v>
      </c>
      <c r="AK3940" t="s">
        <v>43</v>
      </c>
      <c r="AL3940" t="s">
        <v>43</v>
      </c>
      <c r="AM3940" t="s">
        <v>43</v>
      </c>
      <c r="AN3940" t="str">
        <f>HYPERLINK("https://www.google.com/maps?q=10.76307011,79.69435883","Open Location")</f>
        <v>Open Location</v>
      </c>
    </row>
    <row r="3941" spans="1:40" x14ac:dyDescent="0.3">
      <c r="A3941" s="1">
        <v>46210.54351851852</v>
      </c>
      <c r="B3941" t="s">
        <v>40</v>
      </c>
      <c r="C3941" t="s">
        <v>41</v>
      </c>
      <c r="D3941" s="1">
        <v>46210.546435185184</v>
      </c>
      <c r="E3941" t="s">
        <v>42</v>
      </c>
      <c r="F3941" t="s">
        <v>43</v>
      </c>
      <c r="G3941" t="s">
        <v>43</v>
      </c>
      <c r="H3941" t="s">
        <v>43</v>
      </c>
      <c r="I3941" t="s">
        <v>2310</v>
      </c>
      <c r="J3941" t="s">
        <v>43</v>
      </c>
      <c r="K3941" t="s">
        <v>43</v>
      </c>
      <c r="L3941" t="s">
        <v>43</v>
      </c>
      <c r="M3941" t="s">
        <v>43</v>
      </c>
      <c r="N3941" t="s">
        <v>45</v>
      </c>
      <c r="O3941" t="s">
        <v>43</v>
      </c>
      <c r="P3941" t="s">
        <v>43</v>
      </c>
      <c r="Q3941" t="s">
        <v>43</v>
      </c>
      <c r="R3941" t="s">
        <v>43</v>
      </c>
      <c r="S3941" t="s">
        <v>43</v>
      </c>
      <c r="T3941" t="s">
        <v>43</v>
      </c>
      <c r="U3941" t="s">
        <v>43</v>
      </c>
      <c r="V3941" t="s">
        <v>43</v>
      </c>
      <c r="W3941" t="s">
        <v>43</v>
      </c>
      <c r="X3941" t="s">
        <v>43</v>
      </c>
      <c r="Y3941" t="s">
        <v>43</v>
      </c>
      <c r="Z3941" t="s">
        <v>43</v>
      </c>
      <c r="AA3941" t="s">
        <v>43</v>
      </c>
      <c r="AB3941" t="s">
        <v>43</v>
      </c>
      <c r="AC3941" t="s">
        <v>43</v>
      </c>
      <c r="AD3941" t="s">
        <v>43</v>
      </c>
      <c r="AE3941" t="s">
        <v>43</v>
      </c>
      <c r="AF3941" t="s">
        <v>43</v>
      </c>
      <c r="AG3941" t="s">
        <v>43</v>
      </c>
      <c r="AH3941" t="s">
        <v>43</v>
      </c>
      <c r="AI3941" t="s">
        <v>43</v>
      </c>
      <c r="AJ3941" t="s">
        <v>43</v>
      </c>
      <c r="AK3941" t="s">
        <v>43</v>
      </c>
      <c r="AL3941" t="s">
        <v>43</v>
      </c>
      <c r="AM3941" t="s">
        <v>43</v>
      </c>
      <c r="AN3941" t="str">
        <f>HYPERLINK("https://www.google.com/maps?q=10.76306725,79.6943512","Open Location")</f>
        <v>Open Location</v>
      </c>
    </row>
    <row r="3942" spans="1:40" x14ac:dyDescent="0.3">
      <c r="A3942" s="1">
        <v>46210.543402777781</v>
      </c>
      <c r="B3942" t="s">
        <v>40</v>
      </c>
      <c r="C3942" t="s">
        <v>41</v>
      </c>
      <c r="D3942" s="1">
        <v>46210.546712962961</v>
      </c>
      <c r="E3942" t="s">
        <v>42</v>
      </c>
      <c r="F3942" t="s">
        <v>43</v>
      </c>
      <c r="G3942" t="s">
        <v>43</v>
      </c>
      <c r="H3942" t="s">
        <v>43</v>
      </c>
      <c r="I3942" t="s">
        <v>2311</v>
      </c>
      <c r="J3942" t="s">
        <v>43</v>
      </c>
      <c r="K3942" t="s">
        <v>43</v>
      </c>
      <c r="L3942" t="s">
        <v>43</v>
      </c>
      <c r="M3942" t="s">
        <v>43</v>
      </c>
      <c r="N3942" t="s">
        <v>45</v>
      </c>
      <c r="O3942" t="s">
        <v>43</v>
      </c>
      <c r="P3942" t="s">
        <v>43</v>
      </c>
      <c r="Q3942" t="s">
        <v>43</v>
      </c>
      <c r="R3942" t="s">
        <v>43</v>
      </c>
      <c r="S3942" t="s">
        <v>43</v>
      </c>
      <c r="T3942" t="s">
        <v>43</v>
      </c>
      <c r="U3942" t="s">
        <v>43</v>
      </c>
      <c r="V3942" t="s">
        <v>43</v>
      </c>
      <c r="W3942" t="s">
        <v>43</v>
      </c>
      <c r="X3942" t="s">
        <v>43</v>
      </c>
      <c r="Y3942" t="s">
        <v>43</v>
      </c>
      <c r="Z3942" t="s">
        <v>43</v>
      </c>
      <c r="AA3942" t="s">
        <v>43</v>
      </c>
      <c r="AB3942" t="s">
        <v>43</v>
      </c>
      <c r="AC3942" t="s">
        <v>43</v>
      </c>
      <c r="AD3942" t="s">
        <v>43</v>
      </c>
      <c r="AE3942" t="s">
        <v>43</v>
      </c>
      <c r="AF3942" t="s">
        <v>43</v>
      </c>
      <c r="AG3942" t="s">
        <v>43</v>
      </c>
      <c r="AH3942" t="s">
        <v>43</v>
      </c>
      <c r="AI3942" t="s">
        <v>43</v>
      </c>
      <c r="AJ3942" t="s">
        <v>43</v>
      </c>
      <c r="AK3942" t="s">
        <v>43</v>
      </c>
      <c r="AL3942" t="s">
        <v>43</v>
      </c>
      <c r="AM3942" t="s">
        <v>43</v>
      </c>
      <c r="AN3942" t="str">
        <f>HYPERLINK("https://www.google.com/maps?q=10.76307011,79.6943512","Open Location")</f>
        <v>Open Location</v>
      </c>
    </row>
    <row r="3943" spans="1:40" x14ac:dyDescent="0.3">
      <c r="A3943" s="1">
        <v>46210.543287037035</v>
      </c>
      <c r="B3943" t="s">
        <v>40</v>
      </c>
      <c r="C3943" t="s">
        <v>41</v>
      </c>
      <c r="D3943" s="1">
        <v>46210.546018518522</v>
      </c>
      <c r="E3943" t="s">
        <v>42</v>
      </c>
      <c r="F3943" t="s">
        <v>43</v>
      </c>
      <c r="G3943" t="s">
        <v>43</v>
      </c>
      <c r="H3943" t="s">
        <v>43</v>
      </c>
      <c r="I3943" t="s">
        <v>43</v>
      </c>
      <c r="J3943" t="s">
        <v>43</v>
      </c>
      <c r="K3943" t="s">
        <v>43</v>
      </c>
      <c r="L3943" t="s">
        <v>43</v>
      </c>
      <c r="M3943" t="s">
        <v>43</v>
      </c>
      <c r="N3943" t="s">
        <v>45</v>
      </c>
      <c r="O3943" t="s">
        <v>43</v>
      </c>
      <c r="P3943" t="s">
        <v>43</v>
      </c>
      <c r="Q3943" t="s">
        <v>43</v>
      </c>
      <c r="R3943" t="s">
        <v>43</v>
      </c>
      <c r="S3943" t="s">
        <v>43</v>
      </c>
      <c r="T3943" t="s">
        <v>43</v>
      </c>
      <c r="U3943" t="s">
        <v>43</v>
      </c>
      <c r="V3943" t="s">
        <v>43</v>
      </c>
      <c r="W3943" t="s">
        <v>43</v>
      </c>
      <c r="X3943" t="s">
        <v>43</v>
      </c>
      <c r="Y3943" t="s">
        <v>43</v>
      </c>
      <c r="Z3943" t="s">
        <v>43</v>
      </c>
      <c r="AA3943" t="s">
        <v>43</v>
      </c>
      <c r="AB3943" t="s">
        <v>43</v>
      </c>
      <c r="AC3943" t="s">
        <v>43</v>
      </c>
      <c r="AD3943" t="s">
        <v>43</v>
      </c>
      <c r="AE3943" t="s">
        <v>43</v>
      </c>
      <c r="AF3943" t="s">
        <v>43</v>
      </c>
      <c r="AG3943" t="s">
        <v>43</v>
      </c>
      <c r="AH3943" t="s">
        <v>43</v>
      </c>
      <c r="AI3943" t="s">
        <v>43</v>
      </c>
      <c r="AJ3943" t="s">
        <v>43</v>
      </c>
      <c r="AK3943" t="s">
        <v>43</v>
      </c>
      <c r="AL3943" t="s">
        <v>43</v>
      </c>
      <c r="AM3943" t="s">
        <v>43</v>
      </c>
      <c r="AN3943" t="s">
        <v>43</v>
      </c>
    </row>
    <row r="3944" spans="1:40" x14ac:dyDescent="0.3">
      <c r="A3944" s="1">
        <v>46210.543171296296</v>
      </c>
      <c r="B3944" t="s">
        <v>40</v>
      </c>
      <c r="C3944" t="s">
        <v>41</v>
      </c>
      <c r="D3944" s="1">
        <v>46210.546180555553</v>
      </c>
      <c r="E3944" t="s">
        <v>42</v>
      </c>
      <c r="F3944" t="s">
        <v>43</v>
      </c>
      <c r="G3944" t="s">
        <v>43</v>
      </c>
      <c r="H3944" t="s">
        <v>43</v>
      </c>
      <c r="I3944" t="s">
        <v>2312</v>
      </c>
      <c r="J3944" t="s">
        <v>43</v>
      </c>
      <c r="K3944" t="s">
        <v>43</v>
      </c>
      <c r="L3944" t="s">
        <v>43</v>
      </c>
      <c r="M3944" t="s">
        <v>43</v>
      </c>
      <c r="N3944" t="s">
        <v>45</v>
      </c>
      <c r="O3944" t="s">
        <v>43</v>
      </c>
      <c r="P3944" t="s">
        <v>43</v>
      </c>
      <c r="Q3944" t="s">
        <v>43</v>
      </c>
      <c r="R3944" t="s">
        <v>43</v>
      </c>
      <c r="S3944" t="s">
        <v>43</v>
      </c>
      <c r="T3944" t="s">
        <v>43</v>
      </c>
      <c r="U3944" t="s">
        <v>43</v>
      </c>
      <c r="V3944" t="s">
        <v>43</v>
      </c>
      <c r="W3944" t="s">
        <v>43</v>
      </c>
      <c r="X3944" t="s">
        <v>43</v>
      </c>
      <c r="Y3944" t="s">
        <v>43</v>
      </c>
      <c r="Z3944" t="s">
        <v>43</v>
      </c>
      <c r="AA3944" t="s">
        <v>43</v>
      </c>
      <c r="AB3944" t="s">
        <v>43</v>
      </c>
      <c r="AC3944" t="s">
        <v>43</v>
      </c>
      <c r="AD3944" t="s">
        <v>43</v>
      </c>
      <c r="AE3944" t="s">
        <v>43</v>
      </c>
      <c r="AF3944" t="s">
        <v>43</v>
      </c>
      <c r="AG3944" t="s">
        <v>43</v>
      </c>
      <c r="AH3944" t="s">
        <v>43</v>
      </c>
      <c r="AI3944" t="s">
        <v>43</v>
      </c>
      <c r="AJ3944" t="s">
        <v>43</v>
      </c>
      <c r="AK3944" t="s">
        <v>43</v>
      </c>
      <c r="AL3944" t="s">
        <v>43</v>
      </c>
      <c r="AM3944" t="s">
        <v>43</v>
      </c>
      <c r="AN3944" t="str">
        <f>HYPERLINK("https://www.google.com/maps?q=10.76307392,79.6943512","Open Location")</f>
        <v>Open Location</v>
      </c>
    </row>
    <row r="3945" spans="1:40" x14ac:dyDescent="0.3">
      <c r="A3945" s="1">
        <v>46210.543055555558</v>
      </c>
      <c r="B3945" t="s">
        <v>40</v>
      </c>
      <c r="C3945" t="s">
        <v>41</v>
      </c>
      <c r="D3945" s="1">
        <v>46210.545949074076</v>
      </c>
      <c r="E3945" t="s">
        <v>42</v>
      </c>
      <c r="F3945" t="s">
        <v>43</v>
      </c>
      <c r="G3945" t="s">
        <v>43</v>
      </c>
      <c r="H3945" t="s">
        <v>43</v>
      </c>
      <c r="I3945" t="s">
        <v>2313</v>
      </c>
      <c r="J3945" t="s">
        <v>43</v>
      </c>
      <c r="K3945" t="s">
        <v>43</v>
      </c>
      <c r="L3945" t="s">
        <v>43</v>
      </c>
      <c r="M3945" t="s">
        <v>43</v>
      </c>
      <c r="N3945" t="s">
        <v>45</v>
      </c>
      <c r="O3945" t="s">
        <v>43</v>
      </c>
      <c r="P3945" t="s">
        <v>43</v>
      </c>
      <c r="Q3945" t="s">
        <v>43</v>
      </c>
      <c r="R3945" t="s">
        <v>43</v>
      </c>
      <c r="S3945" t="s">
        <v>43</v>
      </c>
      <c r="T3945" t="s">
        <v>43</v>
      </c>
      <c r="U3945" t="s">
        <v>43</v>
      </c>
      <c r="V3945" t="s">
        <v>43</v>
      </c>
      <c r="W3945" t="s">
        <v>43</v>
      </c>
      <c r="X3945" t="s">
        <v>43</v>
      </c>
      <c r="Y3945" t="s">
        <v>43</v>
      </c>
      <c r="Z3945" t="s">
        <v>43</v>
      </c>
      <c r="AA3945" t="s">
        <v>43</v>
      </c>
      <c r="AB3945" t="s">
        <v>43</v>
      </c>
      <c r="AC3945" t="s">
        <v>43</v>
      </c>
      <c r="AD3945" t="s">
        <v>43</v>
      </c>
      <c r="AE3945" t="s">
        <v>43</v>
      </c>
      <c r="AF3945" t="s">
        <v>43</v>
      </c>
      <c r="AG3945" t="s">
        <v>43</v>
      </c>
      <c r="AH3945" t="s">
        <v>43</v>
      </c>
      <c r="AI3945" t="s">
        <v>43</v>
      </c>
      <c r="AJ3945" t="s">
        <v>43</v>
      </c>
      <c r="AK3945" t="s">
        <v>43</v>
      </c>
      <c r="AL3945" t="s">
        <v>43</v>
      </c>
      <c r="AM3945" t="s">
        <v>43</v>
      </c>
      <c r="AN3945" t="str">
        <f>HYPERLINK("https://www.google.com/maps?q=10.76307583,79.6943512","Open Location")</f>
        <v>Open Location</v>
      </c>
    </row>
    <row r="3946" spans="1:40" x14ac:dyDescent="0.3">
      <c r="A3946" s="1">
        <v>46210.542939814812</v>
      </c>
      <c r="B3946" t="s">
        <v>40</v>
      </c>
      <c r="C3946" t="s">
        <v>41</v>
      </c>
      <c r="D3946" s="1">
        <v>46210.546099537038</v>
      </c>
      <c r="E3946" t="s">
        <v>42</v>
      </c>
      <c r="F3946" t="s">
        <v>43</v>
      </c>
      <c r="G3946" t="s">
        <v>43</v>
      </c>
      <c r="H3946" t="s">
        <v>43</v>
      </c>
      <c r="I3946" t="s">
        <v>2314</v>
      </c>
      <c r="J3946" t="s">
        <v>43</v>
      </c>
      <c r="K3946" t="s">
        <v>43</v>
      </c>
      <c r="L3946" t="s">
        <v>43</v>
      </c>
      <c r="M3946" t="s">
        <v>43</v>
      </c>
      <c r="N3946" t="s">
        <v>45</v>
      </c>
      <c r="O3946" t="s">
        <v>43</v>
      </c>
      <c r="P3946" t="s">
        <v>43</v>
      </c>
      <c r="Q3946" t="s">
        <v>43</v>
      </c>
      <c r="R3946" t="s">
        <v>43</v>
      </c>
      <c r="S3946" t="s">
        <v>43</v>
      </c>
      <c r="T3946" t="s">
        <v>43</v>
      </c>
      <c r="U3946" t="s">
        <v>43</v>
      </c>
      <c r="V3946" t="s">
        <v>43</v>
      </c>
      <c r="W3946" t="s">
        <v>43</v>
      </c>
      <c r="X3946" t="s">
        <v>43</v>
      </c>
      <c r="Y3946" t="s">
        <v>43</v>
      </c>
      <c r="Z3946" t="s">
        <v>43</v>
      </c>
      <c r="AA3946" t="s">
        <v>43</v>
      </c>
      <c r="AB3946" t="s">
        <v>43</v>
      </c>
      <c r="AC3946" t="s">
        <v>43</v>
      </c>
      <c r="AD3946" t="s">
        <v>43</v>
      </c>
      <c r="AE3946" t="s">
        <v>43</v>
      </c>
      <c r="AF3946" t="s">
        <v>43</v>
      </c>
      <c r="AG3946" t="s">
        <v>43</v>
      </c>
      <c r="AH3946" t="s">
        <v>43</v>
      </c>
      <c r="AI3946" t="s">
        <v>43</v>
      </c>
      <c r="AJ3946" t="s">
        <v>43</v>
      </c>
      <c r="AK3946" t="s">
        <v>43</v>
      </c>
      <c r="AL3946" t="s">
        <v>43</v>
      </c>
      <c r="AM3946" t="s">
        <v>43</v>
      </c>
      <c r="AN3946" t="str">
        <f>HYPERLINK("https://www.google.com/maps?q=10.76307487,79.6943512","Open Location")</f>
        <v>Open Location</v>
      </c>
    </row>
    <row r="3947" spans="1:40" x14ac:dyDescent="0.3">
      <c r="A3947" s="1">
        <v>46210.542824074073</v>
      </c>
      <c r="B3947" t="s">
        <v>40</v>
      </c>
      <c r="C3947" t="s">
        <v>41</v>
      </c>
      <c r="D3947" s="1">
        <v>46210.545694444445</v>
      </c>
      <c r="E3947" t="s">
        <v>42</v>
      </c>
      <c r="F3947" t="s">
        <v>43</v>
      </c>
      <c r="G3947" t="s">
        <v>43</v>
      </c>
      <c r="H3947" t="s">
        <v>43</v>
      </c>
      <c r="I3947" t="s">
        <v>2315</v>
      </c>
      <c r="J3947" t="s">
        <v>43</v>
      </c>
      <c r="K3947" t="s">
        <v>43</v>
      </c>
      <c r="L3947" t="s">
        <v>43</v>
      </c>
      <c r="M3947" t="s">
        <v>43</v>
      </c>
      <c r="N3947" t="s">
        <v>45</v>
      </c>
      <c r="O3947" t="s">
        <v>43</v>
      </c>
      <c r="P3947" t="s">
        <v>43</v>
      </c>
      <c r="Q3947" t="s">
        <v>43</v>
      </c>
      <c r="R3947" t="s">
        <v>43</v>
      </c>
      <c r="S3947" t="s">
        <v>43</v>
      </c>
      <c r="T3947" t="s">
        <v>43</v>
      </c>
      <c r="U3947" t="s">
        <v>43</v>
      </c>
      <c r="V3947" t="s">
        <v>43</v>
      </c>
      <c r="W3947" t="s">
        <v>43</v>
      </c>
      <c r="X3947" t="s">
        <v>43</v>
      </c>
      <c r="Y3947" t="s">
        <v>43</v>
      </c>
      <c r="Z3947" t="s">
        <v>43</v>
      </c>
      <c r="AA3947" t="s">
        <v>43</v>
      </c>
      <c r="AB3947" t="s">
        <v>43</v>
      </c>
      <c r="AC3947" t="s">
        <v>43</v>
      </c>
      <c r="AD3947" t="s">
        <v>43</v>
      </c>
      <c r="AE3947" t="s">
        <v>43</v>
      </c>
      <c r="AF3947" t="s">
        <v>43</v>
      </c>
      <c r="AG3947" t="s">
        <v>43</v>
      </c>
      <c r="AH3947" t="s">
        <v>43</v>
      </c>
      <c r="AI3947" t="s">
        <v>43</v>
      </c>
      <c r="AJ3947" t="s">
        <v>43</v>
      </c>
      <c r="AK3947" t="s">
        <v>43</v>
      </c>
      <c r="AL3947" t="s">
        <v>43</v>
      </c>
      <c r="AM3947" t="s">
        <v>43</v>
      </c>
      <c r="AN3947" t="str">
        <f>HYPERLINK("https://www.google.com/maps?q=10.76307583,79.69434357","Open Location")</f>
        <v>Open Location</v>
      </c>
    </row>
    <row r="3948" spans="1:40" x14ac:dyDescent="0.3">
      <c r="A3948" s="1">
        <v>46210.542708333334</v>
      </c>
      <c r="B3948" t="s">
        <v>40</v>
      </c>
      <c r="C3948" t="s">
        <v>41</v>
      </c>
      <c r="D3948" s="1">
        <v>46210.545752314814</v>
      </c>
      <c r="E3948" t="s">
        <v>42</v>
      </c>
      <c r="F3948" t="s">
        <v>43</v>
      </c>
      <c r="G3948" t="s">
        <v>43</v>
      </c>
      <c r="H3948" t="s">
        <v>43</v>
      </c>
      <c r="I3948" t="s">
        <v>2316</v>
      </c>
      <c r="J3948" t="s">
        <v>43</v>
      </c>
      <c r="K3948" t="s">
        <v>43</v>
      </c>
      <c r="L3948" t="s">
        <v>43</v>
      </c>
      <c r="M3948" t="s">
        <v>43</v>
      </c>
      <c r="N3948" t="s">
        <v>45</v>
      </c>
      <c r="O3948" t="s">
        <v>43</v>
      </c>
      <c r="P3948" t="s">
        <v>43</v>
      </c>
      <c r="Q3948" t="s">
        <v>43</v>
      </c>
      <c r="R3948" t="s">
        <v>43</v>
      </c>
      <c r="S3948" t="s">
        <v>43</v>
      </c>
      <c r="T3948" t="s">
        <v>43</v>
      </c>
      <c r="U3948" t="s">
        <v>43</v>
      </c>
      <c r="V3948" t="s">
        <v>43</v>
      </c>
      <c r="W3948" t="s">
        <v>43</v>
      </c>
      <c r="X3948" t="s">
        <v>43</v>
      </c>
      <c r="Y3948" t="s">
        <v>43</v>
      </c>
      <c r="Z3948" t="s">
        <v>43</v>
      </c>
      <c r="AA3948" t="s">
        <v>43</v>
      </c>
      <c r="AB3948" t="s">
        <v>43</v>
      </c>
      <c r="AC3948" t="s">
        <v>43</v>
      </c>
      <c r="AD3948" t="s">
        <v>43</v>
      </c>
      <c r="AE3948" t="s">
        <v>43</v>
      </c>
      <c r="AF3948" t="s">
        <v>43</v>
      </c>
      <c r="AG3948" t="s">
        <v>43</v>
      </c>
      <c r="AH3948" t="s">
        <v>43</v>
      </c>
      <c r="AI3948" t="s">
        <v>43</v>
      </c>
      <c r="AJ3948" t="s">
        <v>43</v>
      </c>
      <c r="AK3948" t="s">
        <v>43</v>
      </c>
      <c r="AL3948" t="s">
        <v>43</v>
      </c>
      <c r="AM3948" t="s">
        <v>43</v>
      </c>
      <c r="AN3948" t="str">
        <f>HYPERLINK("https://www.google.com/maps?q=10.76307201,79.69433594","Open Location")</f>
        <v>Open Location</v>
      </c>
    </row>
    <row r="3949" spans="1:40" x14ac:dyDescent="0.3">
      <c r="A3949" s="1">
        <v>46210.542592592596</v>
      </c>
      <c r="B3949" t="s">
        <v>40</v>
      </c>
      <c r="C3949" t="s">
        <v>41</v>
      </c>
      <c r="D3949" s="1">
        <v>46210.545578703706</v>
      </c>
      <c r="E3949" t="s">
        <v>42</v>
      </c>
      <c r="F3949" t="s">
        <v>43</v>
      </c>
      <c r="G3949" t="s">
        <v>43</v>
      </c>
      <c r="H3949" t="s">
        <v>43</v>
      </c>
      <c r="I3949" t="s">
        <v>43</v>
      </c>
      <c r="J3949" t="s">
        <v>43</v>
      </c>
      <c r="K3949" t="s">
        <v>43</v>
      </c>
      <c r="L3949" t="s">
        <v>43</v>
      </c>
      <c r="M3949" t="s">
        <v>43</v>
      </c>
      <c r="N3949" t="s">
        <v>45</v>
      </c>
      <c r="O3949" t="s">
        <v>43</v>
      </c>
      <c r="P3949" t="s">
        <v>43</v>
      </c>
      <c r="Q3949" t="s">
        <v>43</v>
      </c>
      <c r="R3949" t="s">
        <v>43</v>
      </c>
      <c r="S3949" t="s">
        <v>43</v>
      </c>
      <c r="T3949" t="s">
        <v>43</v>
      </c>
      <c r="U3949" t="s">
        <v>43</v>
      </c>
      <c r="V3949" t="s">
        <v>43</v>
      </c>
      <c r="W3949" t="s">
        <v>43</v>
      </c>
      <c r="X3949" t="s">
        <v>43</v>
      </c>
      <c r="Y3949" t="s">
        <v>43</v>
      </c>
      <c r="Z3949" t="s">
        <v>43</v>
      </c>
      <c r="AA3949" t="s">
        <v>43</v>
      </c>
      <c r="AB3949" t="s">
        <v>43</v>
      </c>
      <c r="AC3949" t="s">
        <v>43</v>
      </c>
      <c r="AD3949" t="s">
        <v>43</v>
      </c>
      <c r="AE3949" t="s">
        <v>43</v>
      </c>
      <c r="AF3949" t="s">
        <v>43</v>
      </c>
      <c r="AG3949" t="s">
        <v>43</v>
      </c>
      <c r="AH3949" t="s">
        <v>43</v>
      </c>
      <c r="AI3949" t="s">
        <v>43</v>
      </c>
      <c r="AJ3949" t="s">
        <v>43</v>
      </c>
      <c r="AK3949" t="s">
        <v>43</v>
      </c>
      <c r="AL3949" t="s">
        <v>43</v>
      </c>
      <c r="AM3949" t="s">
        <v>43</v>
      </c>
      <c r="AN3949" t="s">
        <v>43</v>
      </c>
    </row>
    <row r="3950" spans="1:40" x14ac:dyDescent="0.3">
      <c r="A3950" s="1">
        <v>46210.54247685185</v>
      </c>
      <c r="B3950" t="s">
        <v>40</v>
      </c>
      <c r="C3950" t="s">
        <v>41</v>
      </c>
      <c r="D3950" s="1">
        <v>46210.545300925929</v>
      </c>
      <c r="E3950" t="s">
        <v>42</v>
      </c>
      <c r="F3950" t="s">
        <v>43</v>
      </c>
      <c r="G3950" t="s">
        <v>43</v>
      </c>
      <c r="H3950" t="s">
        <v>43</v>
      </c>
      <c r="I3950" t="s">
        <v>2317</v>
      </c>
      <c r="J3950" t="s">
        <v>43</v>
      </c>
      <c r="K3950" t="s">
        <v>43</v>
      </c>
      <c r="L3950" t="s">
        <v>43</v>
      </c>
      <c r="M3950" t="s">
        <v>43</v>
      </c>
      <c r="N3950" t="s">
        <v>45</v>
      </c>
      <c r="O3950" t="s">
        <v>43</v>
      </c>
      <c r="P3950" t="s">
        <v>43</v>
      </c>
      <c r="Q3950" t="s">
        <v>43</v>
      </c>
      <c r="R3950" t="s">
        <v>43</v>
      </c>
      <c r="S3950" t="s">
        <v>43</v>
      </c>
      <c r="T3950" t="s">
        <v>43</v>
      </c>
      <c r="U3950" t="s">
        <v>43</v>
      </c>
      <c r="V3950" t="s">
        <v>43</v>
      </c>
      <c r="W3950" t="s">
        <v>43</v>
      </c>
      <c r="X3950" t="s">
        <v>43</v>
      </c>
      <c r="Y3950" t="s">
        <v>43</v>
      </c>
      <c r="Z3950" t="s">
        <v>43</v>
      </c>
      <c r="AA3950" t="s">
        <v>43</v>
      </c>
      <c r="AB3950" t="s">
        <v>43</v>
      </c>
      <c r="AC3950" t="s">
        <v>43</v>
      </c>
      <c r="AD3950" t="s">
        <v>43</v>
      </c>
      <c r="AE3950" t="s">
        <v>43</v>
      </c>
      <c r="AF3950" t="s">
        <v>43</v>
      </c>
      <c r="AG3950" t="s">
        <v>43</v>
      </c>
      <c r="AH3950" t="s">
        <v>43</v>
      </c>
      <c r="AI3950" t="s">
        <v>43</v>
      </c>
      <c r="AJ3950" t="s">
        <v>43</v>
      </c>
      <c r="AK3950" t="s">
        <v>43</v>
      </c>
      <c r="AL3950" t="s">
        <v>43</v>
      </c>
      <c r="AM3950" t="s">
        <v>43</v>
      </c>
      <c r="AN3950" t="str">
        <f>HYPERLINK("https://www.google.com/maps?q=10.76306915,79.69432831","Open Location")</f>
        <v>Open Location</v>
      </c>
    </row>
    <row r="3951" spans="1:40" x14ac:dyDescent="0.3">
      <c r="A3951" s="1">
        <v>46210.542361111111</v>
      </c>
      <c r="B3951" t="s">
        <v>40</v>
      </c>
      <c r="C3951" t="s">
        <v>41</v>
      </c>
      <c r="D3951" s="1">
        <v>46210.545648148145</v>
      </c>
      <c r="E3951" t="s">
        <v>42</v>
      </c>
      <c r="F3951" t="s">
        <v>43</v>
      </c>
      <c r="G3951" t="s">
        <v>43</v>
      </c>
      <c r="H3951" t="s">
        <v>43</v>
      </c>
      <c r="I3951" t="s">
        <v>2318</v>
      </c>
      <c r="J3951" t="s">
        <v>43</v>
      </c>
      <c r="K3951" t="s">
        <v>43</v>
      </c>
      <c r="L3951" t="s">
        <v>43</v>
      </c>
      <c r="M3951" t="s">
        <v>43</v>
      </c>
      <c r="N3951" t="s">
        <v>45</v>
      </c>
      <c r="O3951" t="s">
        <v>43</v>
      </c>
      <c r="P3951" t="s">
        <v>43</v>
      </c>
      <c r="Q3951" t="s">
        <v>43</v>
      </c>
      <c r="R3951" t="s">
        <v>43</v>
      </c>
      <c r="S3951" t="s">
        <v>43</v>
      </c>
      <c r="T3951" t="s">
        <v>43</v>
      </c>
      <c r="U3951" t="s">
        <v>43</v>
      </c>
      <c r="V3951" t="s">
        <v>43</v>
      </c>
      <c r="W3951" t="s">
        <v>43</v>
      </c>
      <c r="X3951" t="s">
        <v>43</v>
      </c>
      <c r="Y3951" t="s">
        <v>43</v>
      </c>
      <c r="Z3951" t="s">
        <v>43</v>
      </c>
      <c r="AA3951" t="s">
        <v>43</v>
      </c>
      <c r="AB3951" t="s">
        <v>43</v>
      </c>
      <c r="AC3951" t="s">
        <v>43</v>
      </c>
      <c r="AD3951" t="s">
        <v>43</v>
      </c>
      <c r="AE3951" t="s">
        <v>43</v>
      </c>
      <c r="AF3951" t="s">
        <v>43</v>
      </c>
      <c r="AG3951" t="s">
        <v>43</v>
      </c>
      <c r="AH3951" t="s">
        <v>43</v>
      </c>
      <c r="AI3951" t="s">
        <v>43</v>
      </c>
      <c r="AJ3951" t="s">
        <v>43</v>
      </c>
      <c r="AK3951" t="s">
        <v>43</v>
      </c>
      <c r="AL3951" t="s">
        <v>43</v>
      </c>
      <c r="AM3951" t="s">
        <v>43</v>
      </c>
      <c r="AN3951" t="str">
        <f>HYPERLINK("https://www.google.com/maps?q=10.76306629,79.69432831","Open Location")</f>
        <v>Open Location</v>
      </c>
    </row>
    <row r="3952" spans="1:40" x14ac:dyDescent="0.3">
      <c r="A3952" s="1">
        <v>46210.542245370372</v>
      </c>
      <c r="B3952" t="s">
        <v>40</v>
      </c>
      <c r="C3952" t="s">
        <v>41</v>
      </c>
      <c r="D3952" s="1">
        <v>46210.545578703706</v>
      </c>
      <c r="E3952" t="s">
        <v>42</v>
      </c>
      <c r="F3952" t="s">
        <v>43</v>
      </c>
      <c r="G3952" t="s">
        <v>43</v>
      </c>
      <c r="H3952" t="s">
        <v>43</v>
      </c>
      <c r="I3952" t="s">
        <v>2318</v>
      </c>
      <c r="J3952" t="s">
        <v>43</v>
      </c>
      <c r="K3952" t="s">
        <v>43</v>
      </c>
      <c r="L3952" t="s">
        <v>43</v>
      </c>
      <c r="M3952" t="s">
        <v>43</v>
      </c>
      <c r="N3952" t="s">
        <v>45</v>
      </c>
      <c r="O3952" t="s">
        <v>43</v>
      </c>
      <c r="P3952" t="s">
        <v>43</v>
      </c>
      <c r="Q3952" t="s">
        <v>43</v>
      </c>
      <c r="R3952" t="s">
        <v>43</v>
      </c>
      <c r="S3952" t="s">
        <v>43</v>
      </c>
      <c r="T3952" t="s">
        <v>43</v>
      </c>
      <c r="U3952" t="s">
        <v>43</v>
      </c>
      <c r="V3952" t="s">
        <v>43</v>
      </c>
      <c r="W3952" t="s">
        <v>43</v>
      </c>
      <c r="X3952" t="s">
        <v>43</v>
      </c>
      <c r="Y3952" t="s">
        <v>43</v>
      </c>
      <c r="Z3952" t="s">
        <v>43</v>
      </c>
      <c r="AA3952" t="s">
        <v>43</v>
      </c>
      <c r="AB3952" t="s">
        <v>43</v>
      </c>
      <c r="AC3952" t="s">
        <v>43</v>
      </c>
      <c r="AD3952" t="s">
        <v>43</v>
      </c>
      <c r="AE3952" t="s">
        <v>43</v>
      </c>
      <c r="AF3952" t="s">
        <v>43</v>
      </c>
      <c r="AG3952" t="s">
        <v>43</v>
      </c>
      <c r="AH3952" t="s">
        <v>43</v>
      </c>
      <c r="AI3952" t="s">
        <v>43</v>
      </c>
      <c r="AJ3952" t="s">
        <v>43</v>
      </c>
      <c r="AK3952" t="s">
        <v>43</v>
      </c>
      <c r="AL3952" t="s">
        <v>43</v>
      </c>
      <c r="AM3952" t="s">
        <v>43</v>
      </c>
      <c r="AN3952" t="str">
        <f>HYPERLINK("https://www.google.com/maps?q=10.76306629,79.69432831","Open Location")</f>
        <v>Open Location</v>
      </c>
    </row>
    <row r="3953" spans="1:40" x14ac:dyDescent="0.3">
      <c r="A3953" s="1">
        <v>46210.542129629626</v>
      </c>
      <c r="B3953" t="s">
        <v>40</v>
      </c>
      <c r="C3953" t="s">
        <v>41</v>
      </c>
      <c r="D3953" s="1">
        <v>46210.545034722221</v>
      </c>
      <c r="E3953" t="s">
        <v>42</v>
      </c>
      <c r="F3953" t="s">
        <v>43</v>
      </c>
      <c r="G3953" t="s">
        <v>43</v>
      </c>
      <c r="H3953" t="s">
        <v>43</v>
      </c>
      <c r="I3953" t="s">
        <v>2319</v>
      </c>
      <c r="J3953" t="s">
        <v>43</v>
      </c>
      <c r="K3953" t="s">
        <v>43</v>
      </c>
      <c r="L3953" t="s">
        <v>43</v>
      </c>
      <c r="M3953" t="s">
        <v>43</v>
      </c>
      <c r="N3953" t="s">
        <v>45</v>
      </c>
      <c r="O3953" t="s">
        <v>43</v>
      </c>
      <c r="P3953" t="s">
        <v>43</v>
      </c>
      <c r="Q3953" t="s">
        <v>43</v>
      </c>
      <c r="R3953" t="s">
        <v>43</v>
      </c>
      <c r="S3953" t="s">
        <v>43</v>
      </c>
      <c r="T3953" t="s">
        <v>43</v>
      </c>
      <c r="U3953" t="s">
        <v>43</v>
      </c>
      <c r="V3953" t="s">
        <v>43</v>
      </c>
      <c r="W3953" t="s">
        <v>43</v>
      </c>
      <c r="X3953" t="s">
        <v>43</v>
      </c>
      <c r="Y3953" t="s">
        <v>43</v>
      </c>
      <c r="Z3953" t="s">
        <v>43</v>
      </c>
      <c r="AA3953" t="s">
        <v>43</v>
      </c>
      <c r="AB3953" t="s">
        <v>43</v>
      </c>
      <c r="AC3953" t="s">
        <v>43</v>
      </c>
      <c r="AD3953" t="s">
        <v>43</v>
      </c>
      <c r="AE3953" t="s">
        <v>43</v>
      </c>
      <c r="AF3953" t="s">
        <v>43</v>
      </c>
      <c r="AG3953" t="s">
        <v>43</v>
      </c>
      <c r="AH3953" t="s">
        <v>43</v>
      </c>
      <c r="AI3953" t="s">
        <v>43</v>
      </c>
      <c r="AJ3953" t="s">
        <v>43</v>
      </c>
      <c r="AK3953" t="s">
        <v>43</v>
      </c>
      <c r="AL3953" t="s">
        <v>43</v>
      </c>
      <c r="AM3953" t="s">
        <v>43</v>
      </c>
      <c r="AN3953" t="str">
        <f>HYPERLINK("https://www.google.com/maps?q=10.76306725,79.69433594","Open Location")</f>
        <v>Open Location</v>
      </c>
    </row>
    <row r="3954" spans="1:40" x14ac:dyDescent="0.3">
      <c r="A3954" s="1">
        <v>46210.542013888888</v>
      </c>
      <c r="B3954" t="s">
        <v>40</v>
      </c>
      <c r="C3954" t="s">
        <v>41</v>
      </c>
      <c r="D3954" s="1">
        <v>46210.545034722221</v>
      </c>
      <c r="E3954" t="s">
        <v>42</v>
      </c>
      <c r="F3954" t="s">
        <v>43</v>
      </c>
      <c r="G3954" t="s">
        <v>43</v>
      </c>
      <c r="H3954" t="s">
        <v>43</v>
      </c>
      <c r="I3954" t="s">
        <v>43</v>
      </c>
      <c r="J3954" t="s">
        <v>43</v>
      </c>
      <c r="K3954" t="s">
        <v>43</v>
      </c>
      <c r="L3954" t="s">
        <v>43</v>
      </c>
      <c r="M3954" t="s">
        <v>43</v>
      </c>
      <c r="N3954" t="s">
        <v>45</v>
      </c>
      <c r="O3954" t="s">
        <v>43</v>
      </c>
      <c r="P3954" t="s">
        <v>43</v>
      </c>
      <c r="Q3954" t="s">
        <v>43</v>
      </c>
      <c r="R3954" t="s">
        <v>43</v>
      </c>
      <c r="S3954" t="s">
        <v>43</v>
      </c>
      <c r="T3954" t="s">
        <v>43</v>
      </c>
      <c r="U3954" t="s">
        <v>43</v>
      </c>
      <c r="V3954" t="s">
        <v>43</v>
      </c>
      <c r="W3954" t="s">
        <v>43</v>
      </c>
      <c r="X3954" t="s">
        <v>43</v>
      </c>
      <c r="Y3954" t="s">
        <v>43</v>
      </c>
      <c r="Z3954" t="s">
        <v>43</v>
      </c>
      <c r="AA3954" t="s">
        <v>43</v>
      </c>
      <c r="AB3954" t="s">
        <v>43</v>
      </c>
      <c r="AC3954" t="s">
        <v>43</v>
      </c>
      <c r="AD3954" t="s">
        <v>43</v>
      </c>
      <c r="AE3954" t="s">
        <v>43</v>
      </c>
      <c r="AF3954" t="s">
        <v>43</v>
      </c>
      <c r="AG3954" t="s">
        <v>43</v>
      </c>
      <c r="AH3954" t="s">
        <v>43</v>
      </c>
      <c r="AI3954" t="s">
        <v>43</v>
      </c>
      <c r="AJ3954" t="s">
        <v>43</v>
      </c>
      <c r="AK3954" t="s">
        <v>43</v>
      </c>
      <c r="AL3954" t="s">
        <v>43</v>
      </c>
      <c r="AM3954" t="s">
        <v>43</v>
      </c>
      <c r="AN3954" t="s">
        <v>43</v>
      </c>
    </row>
    <row r="3955" spans="1:40" x14ac:dyDescent="0.3">
      <c r="A3955" s="1">
        <v>46210.541898148149</v>
      </c>
      <c r="B3955" t="s">
        <v>40</v>
      </c>
      <c r="C3955" t="s">
        <v>41</v>
      </c>
      <c r="D3955" s="1">
        <v>46210.545104166667</v>
      </c>
      <c r="E3955" t="s">
        <v>42</v>
      </c>
      <c r="F3955" t="s">
        <v>43</v>
      </c>
      <c r="G3955" t="s">
        <v>43</v>
      </c>
      <c r="H3955" t="s">
        <v>43</v>
      </c>
      <c r="I3955" t="s">
        <v>2320</v>
      </c>
      <c r="J3955" t="s">
        <v>43</v>
      </c>
      <c r="K3955" t="s">
        <v>43</v>
      </c>
      <c r="L3955" t="s">
        <v>43</v>
      </c>
      <c r="M3955" t="s">
        <v>43</v>
      </c>
      <c r="N3955" t="s">
        <v>45</v>
      </c>
      <c r="O3955" t="s">
        <v>43</v>
      </c>
      <c r="P3955" t="s">
        <v>43</v>
      </c>
      <c r="Q3955" t="s">
        <v>43</v>
      </c>
      <c r="R3955" t="s">
        <v>43</v>
      </c>
      <c r="S3955" t="s">
        <v>43</v>
      </c>
      <c r="T3955" t="s">
        <v>43</v>
      </c>
      <c r="U3955" t="s">
        <v>43</v>
      </c>
      <c r="V3955" t="s">
        <v>43</v>
      </c>
      <c r="W3955" t="s">
        <v>43</v>
      </c>
      <c r="X3955" t="s">
        <v>43</v>
      </c>
      <c r="Y3955" t="s">
        <v>43</v>
      </c>
      <c r="Z3955" t="s">
        <v>43</v>
      </c>
      <c r="AA3955" t="s">
        <v>43</v>
      </c>
      <c r="AB3955" t="s">
        <v>43</v>
      </c>
      <c r="AC3955" t="s">
        <v>43</v>
      </c>
      <c r="AD3955" t="s">
        <v>43</v>
      </c>
      <c r="AE3955" t="s">
        <v>43</v>
      </c>
      <c r="AF3955" t="s">
        <v>43</v>
      </c>
      <c r="AG3955" t="s">
        <v>43</v>
      </c>
      <c r="AH3955" t="s">
        <v>43</v>
      </c>
      <c r="AI3955" t="s">
        <v>43</v>
      </c>
      <c r="AJ3955" t="s">
        <v>43</v>
      </c>
      <c r="AK3955" t="s">
        <v>43</v>
      </c>
      <c r="AL3955" t="s">
        <v>43</v>
      </c>
      <c r="AM3955" t="s">
        <v>43</v>
      </c>
      <c r="AN3955" t="str">
        <f>HYPERLINK("https://www.google.com/maps?q=10.76306725,79.69434357","Open Location")</f>
        <v>Open Location</v>
      </c>
    </row>
    <row r="3956" spans="1:40" x14ac:dyDescent="0.3">
      <c r="A3956" s="1">
        <v>46210.54178240741</v>
      </c>
      <c r="B3956" t="s">
        <v>40</v>
      </c>
      <c r="C3956" t="s">
        <v>41</v>
      </c>
      <c r="D3956" s="1">
        <v>46210.545104166667</v>
      </c>
      <c r="E3956" t="s">
        <v>42</v>
      </c>
      <c r="F3956" t="s">
        <v>43</v>
      </c>
      <c r="G3956" t="s">
        <v>43</v>
      </c>
      <c r="H3956" t="s">
        <v>43</v>
      </c>
      <c r="I3956" t="s">
        <v>2321</v>
      </c>
      <c r="J3956" t="s">
        <v>43</v>
      </c>
      <c r="K3956" t="s">
        <v>43</v>
      </c>
      <c r="L3956" t="s">
        <v>43</v>
      </c>
      <c r="M3956" t="s">
        <v>43</v>
      </c>
      <c r="N3956" t="s">
        <v>45</v>
      </c>
      <c r="O3956" t="s">
        <v>43</v>
      </c>
      <c r="P3956" t="s">
        <v>43</v>
      </c>
      <c r="Q3956" t="s">
        <v>43</v>
      </c>
      <c r="R3956" t="s">
        <v>43</v>
      </c>
      <c r="S3956" t="s">
        <v>43</v>
      </c>
      <c r="T3956" t="s">
        <v>43</v>
      </c>
      <c r="U3956" t="s">
        <v>43</v>
      </c>
      <c r="V3956" t="s">
        <v>43</v>
      </c>
      <c r="W3956" t="s">
        <v>43</v>
      </c>
      <c r="X3956" t="s">
        <v>43</v>
      </c>
      <c r="Y3956" t="s">
        <v>43</v>
      </c>
      <c r="Z3956" t="s">
        <v>43</v>
      </c>
      <c r="AA3956" t="s">
        <v>43</v>
      </c>
      <c r="AB3956" t="s">
        <v>43</v>
      </c>
      <c r="AC3956" t="s">
        <v>43</v>
      </c>
      <c r="AD3956" t="s">
        <v>43</v>
      </c>
      <c r="AE3956" t="s">
        <v>43</v>
      </c>
      <c r="AF3956" t="s">
        <v>43</v>
      </c>
      <c r="AG3956" t="s">
        <v>43</v>
      </c>
      <c r="AH3956" t="s">
        <v>43</v>
      </c>
      <c r="AI3956" t="s">
        <v>43</v>
      </c>
      <c r="AJ3956" t="s">
        <v>43</v>
      </c>
      <c r="AK3956" t="s">
        <v>43</v>
      </c>
      <c r="AL3956" t="s">
        <v>43</v>
      </c>
      <c r="AM3956" t="s">
        <v>43</v>
      </c>
      <c r="AN3956" t="str">
        <f>HYPERLINK("https://www.google.com/maps?q=10.76306915,79.6943512","Open Location")</f>
        <v>Open Location</v>
      </c>
    </row>
    <row r="3957" spans="1:40" x14ac:dyDescent="0.3">
      <c r="A3957" s="1">
        <v>46210.541666666664</v>
      </c>
      <c r="B3957" t="s">
        <v>40</v>
      </c>
      <c r="C3957" t="s">
        <v>41</v>
      </c>
      <c r="D3957" s="1">
        <v>46210.545034722221</v>
      </c>
      <c r="E3957" t="s">
        <v>42</v>
      </c>
      <c r="F3957" t="s">
        <v>43</v>
      </c>
      <c r="G3957" t="s">
        <v>43</v>
      </c>
      <c r="H3957" t="s">
        <v>43</v>
      </c>
      <c r="I3957" t="s">
        <v>2322</v>
      </c>
      <c r="J3957" t="s">
        <v>43</v>
      </c>
      <c r="K3957" t="s">
        <v>43</v>
      </c>
      <c r="L3957" t="s">
        <v>43</v>
      </c>
      <c r="M3957" t="s">
        <v>43</v>
      </c>
      <c r="N3957" t="s">
        <v>45</v>
      </c>
      <c r="O3957" t="s">
        <v>43</v>
      </c>
      <c r="P3957" t="s">
        <v>43</v>
      </c>
      <c r="Q3957" t="s">
        <v>43</v>
      </c>
      <c r="R3957" t="s">
        <v>43</v>
      </c>
      <c r="S3957" t="s">
        <v>43</v>
      </c>
      <c r="T3957" t="s">
        <v>43</v>
      </c>
      <c r="U3957" t="s">
        <v>43</v>
      </c>
      <c r="V3957" t="s">
        <v>43</v>
      </c>
      <c r="W3957" t="s">
        <v>43</v>
      </c>
      <c r="X3957" t="s">
        <v>43</v>
      </c>
      <c r="Y3957" t="s">
        <v>43</v>
      </c>
      <c r="Z3957" t="s">
        <v>43</v>
      </c>
      <c r="AA3957" t="s">
        <v>43</v>
      </c>
      <c r="AB3957" t="s">
        <v>43</v>
      </c>
      <c r="AC3957" t="s">
        <v>43</v>
      </c>
      <c r="AD3957" t="s">
        <v>43</v>
      </c>
      <c r="AE3957" t="s">
        <v>43</v>
      </c>
      <c r="AF3957" t="s">
        <v>43</v>
      </c>
      <c r="AG3957" t="s">
        <v>43</v>
      </c>
      <c r="AH3957" t="s">
        <v>43</v>
      </c>
      <c r="AI3957" t="s">
        <v>43</v>
      </c>
      <c r="AJ3957" t="s">
        <v>43</v>
      </c>
      <c r="AK3957" t="s">
        <v>43</v>
      </c>
      <c r="AL3957" t="s">
        <v>43</v>
      </c>
      <c r="AM3957" t="s">
        <v>43</v>
      </c>
      <c r="AN3957" t="str">
        <f>HYPERLINK("https://www.google.com/maps?q=10.76307106,79.69435883","Open Location")</f>
        <v>Open Location</v>
      </c>
    </row>
    <row r="3958" spans="1:40" x14ac:dyDescent="0.3">
      <c r="A3958" s="1">
        <v>46210.541550925926</v>
      </c>
      <c r="B3958" t="s">
        <v>40</v>
      </c>
      <c r="C3958" t="s">
        <v>41</v>
      </c>
      <c r="D3958" s="1">
        <v>46210.545046296298</v>
      </c>
      <c r="E3958" t="s">
        <v>42</v>
      </c>
      <c r="F3958" t="s">
        <v>43</v>
      </c>
      <c r="G3958" t="s">
        <v>43</v>
      </c>
      <c r="H3958" t="s">
        <v>43</v>
      </c>
      <c r="I3958" t="s">
        <v>2323</v>
      </c>
      <c r="J3958" t="s">
        <v>43</v>
      </c>
      <c r="K3958" t="s">
        <v>43</v>
      </c>
      <c r="L3958" t="s">
        <v>43</v>
      </c>
      <c r="M3958" t="s">
        <v>43</v>
      </c>
      <c r="N3958" t="s">
        <v>45</v>
      </c>
      <c r="O3958" t="s">
        <v>43</v>
      </c>
      <c r="P3958" t="s">
        <v>43</v>
      </c>
      <c r="Q3958" t="s">
        <v>43</v>
      </c>
      <c r="R3958" t="s">
        <v>43</v>
      </c>
      <c r="S3958" t="s">
        <v>43</v>
      </c>
      <c r="T3958" t="s">
        <v>43</v>
      </c>
      <c r="U3958" t="s">
        <v>43</v>
      </c>
      <c r="V3958" t="s">
        <v>43</v>
      </c>
      <c r="W3958" t="s">
        <v>43</v>
      </c>
      <c r="X3958" t="s">
        <v>43</v>
      </c>
      <c r="Y3958" t="s">
        <v>43</v>
      </c>
      <c r="Z3958" t="s">
        <v>43</v>
      </c>
      <c r="AA3958" t="s">
        <v>43</v>
      </c>
      <c r="AB3958" t="s">
        <v>43</v>
      </c>
      <c r="AC3958" t="s">
        <v>43</v>
      </c>
      <c r="AD3958" t="s">
        <v>43</v>
      </c>
      <c r="AE3958" t="s">
        <v>43</v>
      </c>
      <c r="AF3958" t="s">
        <v>43</v>
      </c>
      <c r="AG3958" t="s">
        <v>43</v>
      </c>
      <c r="AH3958" t="s">
        <v>43</v>
      </c>
      <c r="AI3958" t="s">
        <v>43</v>
      </c>
      <c r="AJ3958" t="s">
        <v>43</v>
      </c>
      <c r="AK3958" t="s">
        <v>43</v>
      </c>
      <c r="AL3958" t="s">
        <v>43</v>
      </c>
      <c r="AM3958" t="s">
        <v>43</v>
      </c>
      <c r="AN3958" t="str">
        <f>HYPERLINK("https://www.google.com/maps?q=10.76307201,79.69435883","Open Location")</f>
        <v>Open Location</v>
      </c>
    </row>
    <row r="3959" spans="1:40" x14ac:dyDescent="0.3">
      <c r="A3959" s="1">
        <v>46210.541435185187</v>
      </c>
      <c r="B3959" t="s">
        <v>40</v>
      </c>
      <c r="C3959" t="s">
        <v>41</v>
      </c>
      <c r="D3959" s="1">
        <v>46210.544618055559</v>
      </c>
      <c r="E3959" t="s">
        <v>42</v>
      </c>
      <c r="F3959" t="s">
        <v>43</v>
      </c>
      <c r="G3959" t="s">
        <v>43</v>
      </c>
      <c r="H3959" t="s">
        <v>43</v>
      </c>
      <c r="I3959" t="s">
        <v>2321</v>
      </c>
      <c r="J3959" t="s">
        <v>43</v>
      </c>
      <c r="K3959" t="s">
        <v>43</v>
      </c>
      <c r="L3959" t="s">
        <v>43</v>
      </c>
      <c r="M3959" t="s">
        <v>43</v>
      </c>
      <c r="N3959" t="s">
        <v>45</v>
      </c>
      <c r="O3959" t="s">
        <v>43</v>
      </c>
      <c r="P3959" t="s">
        <v>43</v>
      </c>
      <c r="Q3959" t="s">
        <v>43</v>
      </c>
      <c r="R3959" t="s">
        <v>43</v>
      </c>
      <c r="S3959" t="s">
        <v>43</v>
      </c>
      <c r="T3959" t="s">
        <v>43</v>
      </c>
      <c r="U3959" t="s">
        <v>43</v>
      </c>
      <c r="V3959" t="s">
        <v>43</v>
      </c>
      <c r="W3959" t="s">
        <v>43</v>
      </c>
      <c r="X3959" t="s">
        <v>43</v>
      </c>
      <c r="Y3959" t="s">
        <v>43</v>
      </c>
      <c r="Z3959" t="s">
        <v>43</v>
      </c>
      <c r="AA3959" t="s">
        <v>43</v>
      </c>
      <c r="AB3959" t="s">
        <v>43</v>
      </c>
      <c r="AC3959" t="s">
        <v>43</v>
      </c>
      <c r="AD3959" t="s">
        <v>43</v>
      </c>
      <c r="AE3959" t="s">
        <v>43</v>
      </c>
      <c r="AF3959" t="s">
        <v>43</v>
      </c>
      <c r="AG3959" t="s">
        <v>43</v>
      </c>
      <c r="AH3959" t="s">
        <v>43</v>
      </c>
      <c r="AI3959" t="s">
        <v>43</v>
      </c>
      <c r="AJ3959" t="s">
        <v>43</v>
      </c>
      <c r="AK3959" t="s">
        <v>43</v>
      </c>
      <c r="AL3959" t="s">
        <v>43</v>
      </c>
      <c r="AM3959" t="s">
        <v>43</v>
      </c>
      <c r="AN3959" t="str">
        <f>HYPERLINK("https://www.google.com/maps?q=10.76306915,79.6943512","Open Location")</f>
        <v>Open Location</v>
      </c>
    </row>
    <row r="3960" spans="1:40" x14ac:dyDescent="0.3">
      <c r="A3960" s="1">
        <v>46210.541319444441</v>
      </c>
      <c r="B3960" t="s">
        <v>40</v>
      </c>
      <c r="C3960" t="s">
        <v>41</v>
      </c>
      <c r="D3960" s="1">
        <v>46210.544641203705</v>
      </c>
      <c r="E3960" t="s">
        <v>42</v>
      </c>
      <c r="F3960" t="s">
        <v>43</v>
      </c>
      <c r="G3960" t="s">
        <v>43</v>
      </c>
      <c r="H3960" t="s">
        <v>43</v>
      </c>
      <c r="I3960" t="s">
        <v>43</v>
      </c>
      <c r="J3960" t="s">
        <v>43</v>
      </c>
      <c r="K3960" t="s">
        <v>43</v>
      </c>
      <c r="L3960" t="s">
        <v>43</v>
      </c>
      <c r="M3960" t="s">
        <v>43</v>
      </c>
      <c r="N3960" t="s">
        <v>45</v>
      </c>
      <c r="O3960" t="s">
        <v>43</v>
      </c>
      <c r="P3960" t="s">
        <v>43</v>
      </c>
      <c r="Q3960" t="s">
        <v>43</v>
      </c>
      <c r="R3960" t="s">
        <v>43</v>
      </c>
      <c r="S3960" t="s">
        <v>43</v>
      </c>
      <c r="T3960" t="s">
        <v>43</v>
      </c>
      <c r="U3960" t="s">
        <v>43</v>
      </c>
      <c r="V3960" t="s">
        <v>43</v>
      </c>
      <c r="W3960" t="s">
        <v>43</v>
      </c>
      <c r="X3960" t="s">
        <v>43</v>
      </c>
      <c r="Y3960" t="s">
        <v>43</v>
      </c>
      <c r="Z3960" t="s">
        <v>43</v>
      </c>
      <c r="AA3960" t="s">
        <v>43</v>
      </c>
      <c r="AB3960" t="s">
        <v>43</v>
      </c>
      <c r="AC3960" t="s">
        <v>43</v>
      </c>
      <c r="AD3960" t="s">
        <v>43</v>
      </c>
      <c r="AE3960" t="s">
        <v>43</v>
      </c>
      <c r="AF3960" t="s">
        <v>43</v>
      </c>
      <c r="AG3960" t="s">
        <v>43</v>
      </c>
      <c r="AH3960" t="s">
        <v>43</v>
      </c>
      <c r="AI3960" t="s">
        <v>43</v>
      </c>
      <c r="AJ3960" t="s">
        <v>43</v>
      </c>
      <c r="AK3960" t="s">
        <v>43</v>
      </c>
      <c r="AL3960" t="s">
        <v>43</v>
      </c>
      <c r="AM3960" t="s">
        <v>43</v>
      </c>
      <c r="AN3960" t="s">
        <v>43</v>
      </c>
    </row>
    <row r="3961" spans="1:40" x14ac:dyDescent="0.3">
      <c r="A3961" s="1">
        <v>46210.541203703702</v>
      </c>
      <c r="B3961" t="s">
        <v>40</v>
      </c>
      <c r="C3961" t="s">
        <v>41</v>
      </c>
      <c r="D3961" s="1">
        <v>46210.544525462959</v>
      </c>
      <c r="E3961" t="s">
        <v>42</v>
      </c>
      <c r="F3961" t="s">
        <v>43</v>
      </c>
      <c r="G3961" t="s">
        <v>43</v>
      </c>
      <c r="H3961" t="s">
        <v>43</v>
      </c>
      <c r="I3961" t="s">
        <v>2324</v>
      </c>
      <c r="J3961" t="s">
        <v>43</v>
      </c>
      <c r="K3961" t="s">
        <v>43</v>
      </c>
      <c r="L3961" t="s">
        <v>43</v>
      </c>
      <c r="M3961" t="s">
        <v>43</v>
      </c>
      <c r="N3961" t="s">
        <v>45</v>
      </c>
      <c r="O3961" t="s">
        <v>43</v>
      </c>
      <c r="P3961" t="s">
        <v>43</v>
      </c>
      <c r="Q3961" t="s">
        <v>43</v>
      </c>
      <c r="R3961" t="s">
        <v>43</v>
      </c>
      <c r="S3961" t="s">
        <v>43</v>
      </c>
      <c r="T3961" t="s">
        <v>43</v>
      </c>
      <c r="U3961" t="s">
        <v>43</v>
      </c>
      <c r="V3961" t="s">
        <v>43</v>
      </c>
      <c r="W3961" t="s">
        <v>43</v>
      </c>
      <c r="X3961" t="s">
        <v>43</v>
      </c>
      <c r="Y3961" t="s">
        <v>43</v>
      </c>
      <c r="Z3961" t="s">
        <v>43</v>
      </c>
      <c r="AA3961" t="s">
        <v>43</v>
      </c>
      <c r="AB3961" t="s">
        <v>43</v>
      </c>
      <c r="AC3961" t="s">
        <v>43</v>
      </c>
      <c r="AD3961" t="s">
        <v>43</v>
      </c>
      <c r="AE3961" t="s">
        <v>43</v>
      </c>
      <c r="AF3961" t="s">
        <v>43</v>
      </c>
      <c r="AG3961" t="s">
        <v>43</v>
      </c>
      <c r="AH3961" t="s">
        <v>43</v>
      </c>
      <c r="AI3961" t="s">
        <v>43</v>
      </c>
      <c r="AJ3961" t="s">
        <v>43</v>
      </c>
      <c r="AK3961" t="s">
        <v>43</v>
      </c>
      <c r="AL3961" t="s">
        <v>43</v>
      </c>
      <c r="AM3961" t="s">
        <v>43</v>
      </c>
      <c r="AN3961" t="str">
        <f>HYPERLINK("https://www.google.com/maps?q=10.76307106,79.69434357","Open Location")</f>
        <v>Open Location</v>
      </c>
    </row>
    <row r="3962" spans="1:40" x14ac:dyDescent="0.3">
      <c r="A3962" s="1">
        <v>46210.541087962964</v>
      </c>
      <c r="B3962" t="s">
        <v>40</v>
      </c>
      <c r="C3962" t="s">
        <v>41</v>
      </c>
      <c r="D3962" s="1">
        <v>46210.544525462959</v>
      </c>
      <c r="E3962" t="s">
        <v>42</v>
      </c>
      <c r="F3962" t="s">
        <v>43</v>
      </c>
      <c r="G3962" t="s">
        <v>43</v>
      </c>
      <c r="H3962" t="s">
        <v>43</v>
      </c>
      <c r="I3962" t="s">
        <v>2325</v>
      </c>
      <c r="J3962" t="s">
        <v>43</v>
      </c>
      <c r="K3962" t="s">
        <v>43</v>
      </c>
      <c r="L3962" t="s">
        <v>43</v>
      </c>
      <c r="M3962" t="s">
        <v>43</v>
      </c>
      <c r="N3962" t="s">
        <v>45</v>
      </c>
      <c r="O3962" t="s">
        <v>43</v>
      </c>
      <c r="P3962" t="s">
        <v>43</v>
      </c>
      <c r="Q3962" t="s">
        <v>43</v>
      </c>
      <c r="R3962" t="s">
        <v>43</v>
      </c>
      <c r="S3962" t="s">
        <v>43</v>
      </c>
      <c r="T3962" t="s">
        <v>43</v>
      </c>
      <c r="U3962" t="s">
        <v>43</v>
      </c>
      <c r="V3962" t="s">
        <v>43</v>
      </c>
      <c r="W3962" t="s">
        <v>43</v>
      </c>
      <c r="X3962" t="s">
        <v>43</v>
      </c>
      <c r="Y3962" t="s">
        <v>43</v>
      </c>
      <c r="Z3962" t="s">
        <v>43</v>
      </c>
      <c r="AA3962" t="s">
        <v>43</v>
      </c>
      <c r="AB3962" t="s">
        <v>43</v>
      </c>
      <c r="AC3962" t="s">
        <v>43</v>
      </c>
      <c r="AD3962" t="s">
        <v>43</v>
      </c>
      <c r="AE3962" t="s">
        <v>43</v>
      </c>
      <c r="AF3962" t="s">
        <v>43</v>
      </c>
      <c r="AG3962" t="s">
        <v>43</v>
      </c>
      <c r="AH3962" t="s">
        <v>43</v>
      </c>
      <c r="AI3962" t="s">
        <v>43</v>
      </c>
      <c r="AJ3962" t="s">
        <v>43</v>
      </c>
      <c r="AK3962" t="s">
        <v>43</v>
      </c>
      <c r="AL3962" t="s">
        <v>43</v>
      </c>
      <c r="AM3962" t="s">
        <v>43</v>
      </c>
      <c r="AN3962" t="str">
        <f>HYPERLINK("https://www.google.com/maps?q=10.76307201,79.6943512","Open Location")</f>
        <v>Open Location</v>
      </c>
    </row>
    <row r="3963" spans="1:40" x14ac:dyDescent="0.3">
      <c r="A3963" s="1">
        <v>46210.540972222225</v>
      </c>
      <c r="B3963" t="s">
        <v>40</v>
      </c>
      <c r="C3963" t="s">
        <v>41</v>
      </c>
      <c r="D3963" s="1">
        <v>46210.543969907405</v>
      </c>
      <c r="E3963" t="s">
        <v>42</v>
      </c>
      <c r="F3963" t="s">
        <v>43</v>
      </c>
      <c r="G3963" t="s">
        <v>43</v>
      </c>
      <c r="H3963" t="s">
        <v>43</v>
      </c>
      <c r="I3963" t="s">
        <v>2322</v>
      </c>
      <c r="J3963" t="s">
        <v>43</v>
      </c>
      <c r="K3963" t="s">
        <v>43</v>
      </c>
      <c r="L3963" t="s">
        <v>43</v>
      </c>
      <c r="M3963" t="s">
        <v>43</v>
      </c>
      <c r="N3963" t="s">
        <v>45</v>
      </c>
      <c r="O3963" t="s">
        <v>43</v>
      </c>
      <c r="P3963" t="s">
        <v>43</v>
      </c>
      <c r="Q3963" t="s">
        <v>43</v>
      </c>
      <c r="R3963" t="s">
        <v>43</v>
      </c>
      <c r="S3963" t="s">
        <v>43</v>
      </c>
      <c r="T3963" t="s">
        <v>43</v>
      </c>
      <c r="U3963" t="s">
        <v>43</v>
      </c>
      <c r="V3963" t="s">
        <v>43</v>
      </c>
      <c r="W3963" t="s">
        <v>43</v>
      </c>
      <c r="X3963" t="s">
        <v>43</v>
      </c>
      <c r="Y3963" t="s">
        <v>43</v>
      </c>
      <c r="Z3963" t="s">
        <v>43</v>
      </c>
      <c r="AA3963" t="s">
        <v>43</v>
      </c>
      <c r="AB3963" t="s">
        <v>43</v>
      </c>
      <c r="AC3963" t="s">
        <v>43</v>
      </c>
      <c r="AD3963" t="s">
        <v>43</v>
      </c>
      <c r="AE3963" t="s">
        <v>43</v>
      </c>
      <c r="AF3963" t="s">
        <v>43</v>
      </c>
      <c r="AG3963" t="s">
        <v>43</v>
      </c>
      <c r="AH3963" t="s">
        <v>43</v>
      </c>
      <c r="AI3963" t="s">
        <v>43</v>
      </c>
      <c r="AJ3963" t="s">
        <v>43</v>
      </c>
      <c r="AK3963" t="s">
        <v>43</v>
      </c>
      <c r="AL3963" t="s">
        <v>43</v>
      </c>
      <c r="AM3963" t="s">
        <v>43</v>
      </c>
      <c r="AN3963" t="str">
        <f>HYPERLINK("https://www.google.com/maps?q=10.76307106,79.69435883","Open Location")</f>
        <v>Open Location</v>
      </c>
    </row>
    <row r="3964" spans="1:40" x14ac:dyDescent="0.3">
      <c r="A3964" s="1">
        <v>46210.540856481479</v>
      </c>
      <c r="B3964" t="s">
        <v>40</v>
      </c>
      <c r="C3964" t="s">
        <v>41</v>
      </c>
      <c r="D3964" s="1">
        <v>46210.544537037036</v>
      </c>
      <c r="E3964" t="s">
        <v>42</v>
      </c>
      <c r="F3964" t="s">
        <v>43</v>
      </c>
      <c r="G3964" t="s">
        <v>43</v>
      </c>
      <c r="H3964" t="s">
        <v>43</v>
      </c>
      <c r="I3964" t="s">
        <v>2326</v>
      </c>
      <c r="J3964" t="s">
        <v>43</v>
      </c>
      <c r="K3964" t="s">
        <v>43</v>
      </c>
      <c r="L3964" t="s">
        <v>43</v>
      </c>
      <c r="M3964" t="s">
        <v>43</v>
      </c>
      <c r="N3964" t="s">
        <v>45</v>
      </c>
      <c r="O3964" t="s">
        <v>43</v>
      </c>
      <c r="P3964" t="s">
        <v>43</v>
      </c>
      <c r="Q3964" t="s">
        <v>43</v>
      </c>
      <c r="R3964" t="s">
        <v>43</v>
      </c>
      <c r="S3964" t="s">
        <v>43</v>
      </c>
      <c r="T3964" t="s">
        <v>43</v>
      </c>
      <c r="U3964" t="s">
        <v>43</v>
      </c>
      <c r="V3964" t="s">
        <v>43</v>
      </c>
      <c r="W3964" t="s">
        <v>43</v>
      </c>
      <c r="X3964" t="s">
        <v>43</v>
      </c>
      <c r="Y3964" t="s">
        <v>43</v>
      </c>
      <c r="Z3964" t="s">
        <v>43</v>
      </c>
      <c r="AA3964" t="s">
        <v>43</v>
      </c>
      <c r="AB3964" t="s">
        <v>43</v>
      </c>
      <c r="AC3964" t="s">
        <v>43</v>
      </c>
      <c r="AD3964" t="s">
        <v>43</v>
      </c>
      <c r="AE3964" t="s">
        <v>43</v>
      </c>
      <c r="AF3964" t="s">
        <v>43</v>
      </c>
      <c r="AG3964" t="s">
        <v>43</v>
      </c>
      <c r="AH3964" t="s">
        <v>43</v>
      </c>
      <c r="AI3964" t="s">
        <v>43</v>
      </c>
      <c r="AJ3964" t="s">
        <v>43</v>
      </c>
      <c r="AK3964" t="s">
        <v>43</v>
      </c>
      <c r="AL3964" t="s">
        <v>43</v>
      </c>
      <c r="AM3964" t="s">
        <v>43</v>
      </c>
      <c r="AN3964" t="str">
        <f>HYPERLINK("https://www.google.com/maps?q=10.76306915,79.69435883","Open Location")</f>
        <v>Open Location</v>
      </c>
    </row>
    <row r="3965" spans="1:40" x14ac:dyDescent="0.3">
      <c r="A3965" s="1">
        <v>46210.54074074074</v>
      </c>
      <c r="B3965" t="s">
        <v>40</v>
      </c>
      <c r="C3965" t="s">
        <v>41</v>
      </c>
      <c r="D3965" s="1">
        <v>46210.543622685182</v>
      </c>
      <c r="E3965" t="s">
        <v>42</v>
      </c>
      <c r="F3965" t="s">
        <v>43</v>
      </c>
      <c r="G3965" t="s">
        <v>43</v>
      </c>
      <c r="H3965" t="s">
        <v>43</v>
      </c>
      <c r="I3965" t="s">
        <v>2256</v>
      </c>
      <c r="J3965" t="s">
        <v>43</v>
      </c>
      <c r="K3965" t="s">
        <v>43</v>
      </c>
      <c r="L3965" t="s">
        <v>43</v>
      </c>
      <c r="M3965" t="s">
        <v>43</v>
      </c>
      <c r="N3965" t="s">
        <v>45</v>
      </c>
      <c r="O3965" t="s">
        <v>43</v>
      </c>
      <c r="P3965" t="s">
        <v>43</v>
      </c>
      <c r="Q3965" t="s">
        <v>43</v>
      </c>
      <c r="R3965" t="s">
        <v>43</v>
      </c>
      <c r="S3965" t="s">
        <v>43</v>
      </c>
      <c r="T3965" t="s">
        <v>43</v>
      </c>
      <c r="U3965" t="s">
        <v>43</v>
      </c>
      <c r="V3965" t="s">
        <v>43</v>
      </c>
      <c r="W3965" t="s">
        <v>43</v>
      </c>
      <c r="X3965" t="s">
        <v>43</v>
      </c>
      <c r="Y3965" t="s">
        <v>43</v>
      </c>
      <c r="Z3965" t="s">
        <v>43</v>
      </c>
      <c r="AA3965" t="s">
        <v>43</v>
      </c>
      <c r="AB3965" t="s">
        <v>43</v>
      </c>
      <c r="AC3965" t="s">
        <v>43</v>
      </c>
      <c r="AD3965" t="s">
        <v>43</v>
      </c>
      <c r="AE3965" t="s">
        <v>43</v>
      </c>
      <c r="AF3965" t="s">
        <v>43</v>
      </c>
      <c r="AG3965" t="s">
        <v>43</v>
      </c>
      <c r="AH3965" t="s">
        <v>43</v>
      </c>
      <c r="AI3965" t="s">
        <v>43</v>
      </c>
      <c r="AJ3965" t="s">
        <v>43</v>
      </c>
      <c r="AK3965" t="s">
        <v>43</v>
      </c>
      <c r="AL3965" t="s">
        <v>43</v>
      </c>
      <c r="AM3965" t="s">
        <v>43</v>
      </c>
      <c r="AN3965" t="str">
        <f>HYPERLINK("https://www.google.com/maps?q=10.76306725,79.69435883","Open Location")</f>
        <v>Open Location</v>
      </c>
    </row>
    <row r="3966" spans="1:40" x14ac:dyDescent="0.3">
      <c r="A3966" s="1">
        <v>46210.540625000001</v>
      </c>
      <c r="B3966" t="s">
        <v>40</v>
      </c>
      <c r="C3966" t="s">
        <v>41</v>
      </c>
      <c r="D3966" s="1">
        <v>46210.543622685182</v>
      </c>
      <c r="E3966" t="s">
        <v>42</v>
      </c>
      <c r="F3966" t="s">
        <v>43</v>
      </c>
      <c r="G3966" t="s">
        <v>43</v>
      </c>
      <c r="H3966" t="s">
        <v>43</v>
      </c>
      <c r="I3966" t="s">
        <v>43</v>
      </c>
      <c r="J3966" t="s">
        <v>43</v>
      </c>
      <c r="K3966" t="s">
        <v>43</v>
      </c>
      <c r="L3966" t="s">
        <v>43</v>
      </c>
      <c r="M3966" t="s">
        <v>43</v>
      </c>
      <c r="N3966" t="s">
        <v>45</v>
      </c>
      <c r="O3966" t="s">
        <v>43</v>
      </c>
      <c r="P3966" t="s">
        <v>43</v>
      </c>
      <c r="Q3966" t="s">
        <v>43</v>
      </c>
      <c r="R3966" t="s">
        <v>43</v>
      </c>
      <c r="S3966" t="s">
        <v>43</v>
      </c>
      <c r="T3966" t="s">
        <v>43</v>
      </c>
      <c r="U3966" t="s">
        <v>43</v>
      </c>
      <c r="V3966" t="s">
        <v>43</v>
      </c>
      <c r="W3966" t="s">
        <v>43</v>
      </c>
      <c r="X3966" t="s">
        <v>43</v>
      </c>
      <c r="Y3966" t="s">
        <v>43</v>
      </c>
      <c r="Z3966" t="s">
        <v>43</v>
      </c>
      <c r="AA3966" t="s">
        <v>43</v>
      </c>
      <c r="AB3966" t="s">
        <v>43</v>
      </c>
      <c r="AC3966" t="s">
        <v>43</v>
      </c>
      <c r="AD3966" t="s">
        <v>43</v>
      </c>
      <c r="AE3966" t="s">
        <v>43</v>
      </c>
      <c r="AF3966" t="s">
        <v>43</v>
      </c>
      <c r="AG3966" t="s">
        <v>43</v>
      </c>
      <c r="AH3966" t="s">
        <v>43</v>
      </c>
      <c r="AI3966" t="s">
        <v>43</v>
      </c>
      <c r="AJ3966" t="s">
        <v>43</v>
      </c>
      <c r="AK3966" t="s">
        <v>43</v>
      </c>
      <c r="AL3966" t="s">
        <v>43</v>
      </c>
      <c r="AM3966" t="s">
        <v>43</v>
      </c>
      <c r="AN3966" t="s">
        <v>43</v>
      </c>
    </row>
    <row r="3967" spans="1:40" x14ac:dyDescent="0.3">
      <c r="A3967" s="1">
        <v>46210.540509259263</v>
      </c>
      <c r="B3967" t="s">
        <v>40</v>
      </c>
      <c r="C3967" t="s">
        <v>41</v>
      </c>
      <c r="D3967" s="1">
        <v>46210.543356481481</v>
      </c>
      <c r="E3967" t="s">
        <v>42</v>
      </c>
      <c r="F3967" t="s">
        <v>43</v>
      </c>
      <c r="G3967" t="s">
        <v>43</v>
      </c>
      <c r="H3967" t="s">
        <v>43</v>
      </c>
      <c r="I3967" t="s">
        <v>2327</v>
      </c>
      <c r="J3967" t="s">
        <v>43</v>
      </c>
      <c r="K3967" t="s">
        <v>43</v>
      </c>
      <c r="L3967" t="s">
        <v>43</v>
      </c>
      <c r="M3967" t="s">
        <v>43</v>
      </c>
      <c r="N3967" t="s">
        <v>45</v>
      </c>
      <c r="O3967" t="s">
        <v>43</v>
      </c>
      <c r="P3967" t="s">
        <v>43</v>
      </c>
      <c r="Q3967" t="s">
        <v>43</v>
      </c>
      <c r="R3967" t="s">
        <v>43</v>
      </c>
      <c r="S3967" t="s">
        <v>43</v>
      </c>
      <c r="T3967" t="s">
        <v>43</v>
      </c>
      <c r="U3967" t="s">
        <v>43</v>
      </c>
      <c r="V3967" t="s">
        <v>43</v>
      </c>
      <c r="W3967" t="s">
        <v>43</v>
      </c>
      <c r="X3967" t="s">
        <v>43</v>
      </c>
      <c r="Y3967" t="s">
        <v>43</v>
      </c>
      <c r="Z3967" t="s">
        <v>43</v>
      </c>
      <c r="AA3967" t="s">
        <v>43</v>
      </c>
      <c r="AB3967" t="s">
        <v>43</v>
      </c>
      <c r="AC3967" t="s">
        <v>43</v>
      </c>
      <c r="AD3967" t="s">
        <v>43</v>
      </c>
      <c r="AE3967" t="s">
        <v>43</v>
      </c>
      <c r="AF3967" t="s">
        <v>43</v>
      </c>
      <c r="AG3967" t="s">
        <v>43</v>
      </c>
      <c r="AH3967" t="s">
        <v>43</v>
      </c>
      <c r="AI3967" t="s">
        <v>43</v>
      </c>
      <c r="AJ3967" t="s">
        <v>43</v>
      </c>
      <c r="AK3967" t="s">
        <v>43</v>
      </c>
      <c r="AL3967" t="s">
        <v>43</v>
      </c>
      <c r="AM3967" t="s">
        <v>43</v>
      </c>
      <c r="AN3967" t="str">
        <f>HYPERLINK("https://www.google.com/maps?q=10.76306534,79.69435883","Open Location")</f>
        <v>Open Location</v>
      </c>
    </row>
    <row r="3968" spans="1:40" x14ac:dyDescent="0.3">
      <c r="A3968" s="1">
        <v>46210.540393518517</v>
      </c>
      <c r="B3968" t="s">
        <v>40</v>
      </c>
      <c r="C3968" t="s">
        <v>41</v>
      </c>
      <c r="D3968" s="1">
        <v>46210.543553240743</v>
      </c>
      <c r="E3968" t="s">
        <v>42</v>
      </c>
      <c r="F3968" t="s">
        <v>43</v>
      </c>
      <c r="G3968" t="s">
        <v>43</v>
      </c>
      <c r="H3968" t="s">
        <v>43</v>
      </c>
      <c r="I3968" t="s">
        <v>2303</v>
      </c>
      <c r="J3968" t="s">
        <v>43</v>
      </c>
      <c r="K3968" t="s">
        <v>43</v>
      </c>
      <c r="L3968" t="s">
        <v>43</v>
      </c>
      <c r="M3968" t="s">
        <v>43</v>
      </c>
      <c r="N3968" t="s">
        <v>45</v>
      </c>
      <c r="O3968" t="s">
        <v>43</v>
      </c>
      <c r="P3968" t="s">
        <v>43</v>
      </c>
      <c r="Q3968" t="s">
        <v>43</v>
      </c>
      <c r="R3968" t="s">
        <v>43</v>
      </c>
      <c r="S3968" t="s">
        <v>43</v>
      </c>
      <c r="T3968" t="s">
        <v>43</v>
      </c>
      <c r="U3968" t="s">
        <v>43</v>
      </c>
      <c r="V3968" t="s">
        <v>43</v>
      </c>
      <c r="W3968" t="s">
        <v>43</v>
      </c>
      <c r="X3968" t="s">
        <v>43</v>
      </c>
      <c r="Y3968" t="s">
        <v>43</v>
      </c>
      <c r="Z3968" t="s">
        <v>43</v>
      </c>
      <c r="AA3968" t="s">
        <v>43</v>
      </c>
      <c r="AB3968" t="s">
        <v>43</v>
      </c>
      <c r="AC3968" t="s">
        <v>43</v>
      </c>
      <c r="AD3968" t="s">
        <v>43</v>
      </c>
      <c r="AE3968" t="s">
        <v>43</v>
      </c>
      <c r="AF3968" t="s">
        <v>43</v>
      </c>
      <c r="AG3968" t="s">
        <v>43</v>
      </c>
      <c r="AH3968" t="s">
        <v>43</v>
      </c>
      <c r="AI3968" t="s">
        <v>43</v>
      </c>
      <c r="AJ3968" t="s">
        <v>43</v>
      </c>
      <c r="AK3968" t="s">
        <v>43</v>
      </c>
      <c r="AL3968" t="s">
        <v>43</v>
      </c>
      <c r="AM3968" t="s">
        <v>43</v>
      </c>
      <c r="AN3968" t="str">
        <f>HYPERLINK("https://www.google.com/maps?q=10.7630682,79.69436646","Open Location")</f>
        <v>Open Location</v>
      </c>
    </row>
    <row r="3969" spans="1:40" x14ac:dyDescent="0.3">
      <c r="A3969" s="1">
        <v>46210.540277777778</v>
      </c>
      <c r="B3969" t="s">
        <v>40</v>
      </c>
      <c r="C3969" t="s">
        <v>41</v>
      </c>
      <c r="D3969" s="1">
        <v>46210.543356481481</v>
      </c>
      <c r="E3969" t="s">
        <v>42</v>
      </c>
      <c r="F3969" t="s">
        <v>43</v>
      </c>
      <c r="G3969" t="s">
        <v>43</v>
      </c>
      <c r="H3969" t="s">
        <v>43</v>
      </c>
      <c r="I3969" t="s">
        <v>2220</v>
      </c>
      <c r="J3969" t="s">
        <v>43</v>
      </c>
      <c r="K3969" t="s">
        <v>43</v>
      </c>
      <c r="L3969" t="s">
        <v>43</v>
      </c>
      <c r="M3969" t="s">
        <v>43</v>
      </c>
      <c r="N3969" t="s">
        <v>45</v>
      </c>
      <c r="O3969" t="s">
        <v>43</v>
      </c>
      <c r="P3969" t="s">
        <v>43</v>
      </c>
      <c r="Q3969" t="s">
        <v>43</v>
      </c>
      <c r="R3969" t="s">
        <v>43</v>
      </c>
      <c r="S3969" t="s">
        <v>43</v>
      </c>
      <c r="T3969" t="s">
        <v>43</v>
      </c>
      <c r="U3969" t="s">
        <v>43</v>
      </c>
      <c r="V3969" t="s">
        <v>43</v>
      </c>
      <c r="W3969" t="s">
        <v>43</v>
      </c>
      <c r="X3969" t="s">
        <v>43</v>
      </c>
      <c r="Y3969" t="s">
        <v>43</v>
      </c>
      <c r="Z3969" t="s">
        <v>43</v>
      </c>
      <c r="AA3969" t="s">
        <v>43</v>
      </c>
      <c r="AB3969" t="s">
        <v>43</v>
      </c>
      <c r="AC3969" t="s">
        <v>43</v>
      </c>
      <c r="AD3969" t="s">
        <v>43</v>
      </c>
      <c r="AE3969" t="s">
        <v>43</v>
      </c>
      <c r="AF3969" t="s">
        <v>43</v>
      </c>
      <c r="AG3969" t="s">
        <v>43</v>
      </c>
      <c r="AH3969" t="s">
        <v>43</v>
      </c>
      <c r="AI3969" t="s">
        <v>43</v>
      </c>
      <c r="AJ3969" t="s">
        <v>43</v>
      </c>
      <c r="AK3969" t="s">
        <v>43</v>
      </c>
      <c r="AL3969" t="s">
        <v>43</v>
      </c>
      <c r="AM3969" t="s">
        <v>43</v>
      </c>
      <c r="AN3969" t="str">
        <f>HYPERLINK("https://www.google.com/maps?q=10.76306725,79.69436646","Open Location")</f>
        <v>Open Location</v>
      </c>
    </row>
    <row r="3970" spans="1:40" x14ac:dyDescent="0.3">
      <c r="A3970" s="1">
        <v>46210.540162037039</v>
      </c>
      <c r="B3970" t="s">
        <v>40</v>
      </c>
      <c r="C3970" t="s">
        <v>41</v>
      </c>
      <c r="D3970" s="1">
        <v>46210.544537037036</v>
      </c>
      <c r="E3970" t="s">
        <v>42</v>
      </c>
      <c r="F3970" t="s">
        <v>43</v>
      </c>
      <c r="G3970" t="s">
        <v>43</v>
      </c>
      <c r="H3970" t="s">
        <v>43</v>
      </c>
      <c r="I3970" t="s">
        <v>2241</v>
      </c>
      <c r="J3970" t="s">
        <v>43</v>
      </c>
      <c r="K3970" t="s">
        <v>43</v>
      </c>
      <c r="L3970" t="s">
        <v>43</v>
      </c>
      <c r="M3970" t="s">
        <v>43</v>
      </c>
      <c r="N3970" t="s">
        <v>45</v>
      </c>
      <c r="O3970" t="s">
        <v>43</v>
      </c>
      <c r="P3970" t="s">
        <v>43</v>
      </c>
      <c r="Q3970" t="s">
        <v>43</v>
      </c>
      <c r="R3970" t="s">
        <v>43</v>
      </c>
      <c r="S3970" t="s">
        <v>43</v>
      </c>
      <c r="T3970" t="s">
        <v>43</v>
      </c>
      <c r="U3970" t="s">
        <v>43</v>
      </c>
      <c r="V3970" t="s">
        <v>43</v>
      </c>
      <c r="W3970" t="s">
        <v>43</v>
      </c>
      <c r="X3970" t="s">
        <v>43</v>
      </c>
      <c r="Y3970" t="s">
        <v>43</v>
      </c>
      <c r="Z3970" t="s">
        <v>43</v>
      </c>
      <c r="AA3970" t="s">
        <v>43</v>
      </c>
      <c r="AB3970" t="s">
        <v>43</v>
      </c>
      <c r="AC3970" t="s">
        <v>43</v>
      </c>
      <c r="AD3970" t="s">
        <v>43</v>
      </c>
      <c r="AE3970" t="s">
        <v>43</v>
      </c>
      <c r="AF3970" t="s">
        <v>43</v>
      </c>
      <c r="AG3970" t="s">
        <v>43</v>
      </c>
      <c r="AH3970" t="s">
        <v>43</v>
      </c>
      <c r="AI3970" t="s">
        <v>43</v>
      </c>
      <c r="AJ3970" t="s">
        <v>43</v>
      </c>
      <c r="AK3970" t="s">
        <v>43</v>
      </c>
      <c r="AL3970" t="s">
        <v>43</v>
      </c>
      <c r="AM3970" t="s">
        <v>43</v>
      </c>
      <c r="AN3970" t="str">
        <f>HYPERLINK("https://www.google.com/maps?q=10.76306438,79.69437408","Open Location")</f>
        <v>Open Location</v>
      </c>
    </row>
    <row r="3971" spans="1:40" x14ac:dyDescent="0.3">
      <c r="A3971" s="1">
        <v>46210.540046296293</v>
      </c>
      <c r="B3971" t="s">
        <v>40</v>
      </c>
      <c r="C3971" t="s">
        <v>41</v>
      </c>
      <c r="D3971" s="1">
        <v>46210.544525462959</v>
      </c>
      <c r="E3971" t="s">
        <v>42</v>
      </c>
      <c r="F3971" t="s">
        <v>43</v>
      </c>
      <c r="G3971" t="s">
        <v>43</v>
      </c>
      <c r="H3971" t="s">
        <v>43</v>
      </c>
      <c r="I3971" t="s">
        <v>43</v>
      </c>
      <c r="J3971" t="s">
        <v>43</v>
      </c>
      <c r="K3971" t="s">
        <v>43</v>
      </c>
      <c r="L3971" t="s">
        <v>43</v>
      </c>
      <c r="M3971" t="s">
        <v>43</v>
      </c>
      <c r="N3971" t="s">
        <v>45</v>
      </c>
      <c r="O3971" t="s">
        <v>43</v>
      </c>
      <c r="P3971" t="s">
        <v>43</v>
      </c>
      <c r="Q3971" t="s">
        <v>43</v>
      </c>
      <c r="R3971" t="s">
        <v>43</v>
      </c>
      <c r="S3971" t="s">
        <v>43</v>
      </c>
      <c r="T3971" t="s">
        <v>43</v>
      </c>
      <c r="U3971" t="s">
        <v>43</v>
      </c>
      <c r="V3971" t="s">
        <v>43</v>
      </c>
      <c r="W3971" t="s">
        <v>43</v>
      </c>
      <c r="X3971" t="s">
        <v>43</v>
      </c>
      <c r="Y3971" t="s">
        <v>43</v>
      </c>
      <c r="Z3971" t="s">
        <v>43</v>
      </c>
      <c r="AA3971" t="s">
        <v>43</v>
      </c>
      <c r="AB3971" t="s">
        <v>43</v>
      </c>
      <c r="AC3971" t="s">
        <v>43</v>
      </c>
      <c r="AD3971" t="s">
        <v>43</v>
      </c>
      <c r="AE3971" t="s">
        <v>43</v>
      </c>
      <c r="AF3971" t="s">
        <v>43</v>
      </c>
      <c r="AG3971" t="s">
        <v>43</v>
      </c>
      <c r="AH3971" t="s">
        <v>43</v>
      </c>
      <c r="AI3971" t="s">
        <v>43</v>
      </c>
      <c r="AJ3971" t="s">
        <v>43</v>
      </c>
      <c r="AK3971" t="s">
        <v>43</v>
      </c>
      <c r="AL3971" t="s">
        <v>43</v>
      </c>
      <c r="AM3971" t="s">
        <v>43</v>
      </c>
      <c r="AN3971" t="s">
        <v>43</v>
      </c>
    </row>
    <row r="3972" spans="1:40" x14ac:dyDescent="0.3">
      <c r="A3972" s="1">
        <v>46210.539930555555</v>
      </c>
      <c r="B3972" t="s">
        <v>40</v>
      </c>
      <c r="C3972" t="s">
        <v>41</v>
      </c>
      <c r="D3972" s="1">
        <v>46210.54383101852</v>
      </c>
      <c r="E3972" t="s">
        <v>42</v>
      </c>
      <c r="F3972" t="s">
        <v>43</v>
      </c>
      <c r="G3972" t="s">
        <v>43</v>
      </c>
      <c r="H3972" t="s">
        <v>43</v>
      </c>
      <c r="I3972" t="s">
        <v>2240</v>
      </c>
      <c r="J3972" t="s">
        <v>43</v>
      </c>
      <c r="K3972" t="s">
        <v>43</v>
      </c>
      <c r="L3972" t="s">
        <v>43</v>
      </c>
      <c r="M3972" t="s">
        <v>43</v>
      </c>
      <c r="N3972" t="s">
        <v>45</v>
      </c>
      <c r="O3972" t="s">
        <v>43</v>
      </c>
      <c r="P3972" t="s">
        <v>43</v>
      </c>
      <c r="Q3972" t="s">
        <v>43</v>
      </c>
      <c r="R3972" t="s">
        <v>43</v>
      </c>
      <c r="S3972" t="s">
        <v>43</v>
      </c>
      <c r="T3972" t="s">
        <v>43</v>
      </c>
      <c r="U3972" t="s">
        <v>43</v>
      </c>
      <c r="V3972" t="s">
        <v>43</v>
      </c>
      <c r="W3972" t="s">
        <v>43</v>
      </c>
      <c r="X3972" t="s">
        <v>43</v>
      </c>
      <c r="Y3972" t="s">
        <v>43</v>
      </c>
      <c r="Z3972" t="s">
        <v>43</v>
      </c>
      <c r="AA3972" t="s">
        <v>43</v>
      </c>
      <c r="AB3972" t="s">
        <v>43</v>
      </c>
      <c r="AC3972" t="s">
        <v>43</v>
      </c>
      <c r="AD3972" t="s">
        <v>43</v>
      </c>
      <c r="AE3972" t="s">
        <v>43</v>
      </c>
      <c r="AF3972" t="s">
        <v>43</v>
      </c>
      <c r="AG3972" t="s">
        <v>43</v>
      </c>
      <c r="AH3972" t="s">
        <v>43</v>
      </c>
      <c r="AI3972" t="s">
        <v>43</v>
      </c>
      <c r="AJ3972" t="s">
        <v>43</v>
      </c>
      <c r="AK3972" t="s">
        <v>43</v>
      </c>
      <c r="AL3972" t="s">
        <v>43</v>
      </c>
      <c r="AM3972" t="s">
        <v>43</v>
      </c>
      <c r="AN3972" t="str">
        <f>HYPERLINK("https://www.google.com/maps?q=10.76306152,79.69437408","Open Location")</f>
        <v>Open Location</v>
      </c>
    </row>
    <row r="3973" spans="1:40" x14ac:dyDescent="0.3">
      <c r="A3973" s="1">
        <v>46210.539814814816</v>
      </c>
      <c r="B3973" t="s">
        <v>40</v>
      </c>
      <c r="C3973" t="s">
        <v>41</v>
      </c>
      <c r="D3973" s="1">
        <v>46210.54383101852</v>
      </c>
      <c r="E3973" t="s">
        <v>42</v>
      </c>
      <c r="F3973" t="s">
        <v>43</v>
      </c>
      <c r="G3973" t="s">
        <v>43</v>
      </c>
      <c r="H3973" t="s">
        <v>43</v>
      </c>
      <c r="I3973" t="s">
        <v>2239</v>
      </c>
      <c r="J3973" t="s">
        <v>43</v>
      </c>
      <c r="K3973" t="s">
        <v>43</v>
      </c>
      <c r="L3973" t="s">
        <v>43</v>
      </c>
      <c r="M3973" t="s">
        <v>43</v>
      </c>
      <c r="N3973" t="s">
        <v>45</v>
      </c>
      <c r="O3973" t="s">
        <v>43</v>
      </c>
      <c r="P3973" t="s">
        <v>43</v>
      </c>
      <c r="Q3973" t="s">
        <v>43</v>
      </c>
      <c r="R3973" t="s">
        <v>43</v>
      </c>
      <c r="S3973" t="s">
        <v>43</v>
      </c>
      <c r="T3973" t="s">
        <v>43</v>
      </c>
      <c r="U3973" t="s">
        <v>43</v>
      </c>
      <c r="V3973" t="s">
        <v>43</v>
      </c>
      <c r="W3973" t="s">
        <v>43</v>
      </c>
      <c r="X3973" t="s">
        <v>43</v>
      </c>
      <c r="Y3973" t="s">
        <v>43</v>
      </c>
      <c r="Z3973" t="s">
        <v>43</v>
      </c>
      <c r="AA3973" t="s">
        <v>43</v>
      </c>
      <c r="AB3973" t="s">
        <v>43</v>
      </c>
      <c r="AC3973" t="s">
        <v>43</v>
      </c>
      <c r="AD3973" t="s">
        <v>43</v>
      </c>
      <c r="AE3973" t="s">
        <v>43</v>
      </c>
      <c r="AF3973" t="s">
        <v>43</v>
      </c>
      <c r="AG3973" t="s">
        <v>43</v>
      </c>
      <c r="AH3973" t="s">
        <v>43</v>
      </c>
      <c r="AI3973" t="s">
        <v>43</v>
      </c>
      <c r="AJ3973" t="s">
        <v>43</v>
      </c>
      <c r="AK3973" t="s">
        <v>43</v>
      </c>
      <c r="AL3973" t="s">
        <v>43</v>
      </c>
      <c r="AM3973" t="s">
        <v>43</v>
      </c>
      <c r="AN3973" t="str">
        <f>HYPERLINK("https://www.google.com/maps?q=10.76306057,79.69437408","Open Location")</f>
        <v>Open Location</v>
      </c>
    </row>
    <row r="3974" spans="1:40" x14ac:dyDescent="0.3">
      <c r="A3974" s="1">
        <v>46210.539699074077</v>
      </c>
      <c r="B3974" t="s">
        <v>40</v>
      </c>
      <c r="C3974" t="s">
        <v>41</v>
      </c>
      <c r="D3974" s="1">
        <v>46210.544525462959</v>
      </c>
      <c r="E3974" t="s">
        <v>42</v>
      </c>
      <c r="F3974" t="s">
        <v>43</v>
      </c>
      <c r="G3974" t="s">
        <v>43</v>
      </c>
      <c r="H3974" t="s">
        <v>43</v>
      </c>
      <c r="I3974" t="s">
        <v>2240</v>
      </c>
      <c r="J3974" t="s">
        <v>43</v>
      </c>
      <c r="K3974" t="s">
        <v>43</v>
      </c>
      <c r="L3974" t="s">
        <v>43</v>
      </c>
      <c r="M3974" t="s">
        <v>43</v>
      </c>
      <c r="N3974" t="s">
        <v>45</v>
      </c>
      <c r="O3974" t="s">
        <v>43</v>
      </c>
      <c r="P3974" t="s">
        <v>43</v>
      </c>
      <c r="Q3974" t="s">
        <v>43</v>
      </c>
      <c r="R3974" t="s">
        <v>43</v>
      </c>
      <c r="S3974" t="s">
        <v>43</v>
      </c>
      <c r="T3974" t="s">
        <v>43</v>
      </c>
      <c r="U3974" t="s">
        <v>43</v>
      </c>
      <c r="V3974" t="s">
        <v>43</v>
      </c>
      <c r="W3974" t="s">
        <v>43</v>
      </c>
      <c r="X3974" t="s">
        <v>43</v>
      </c>
      <c r="Y3974" t="s">
        <v>43</v>
      </c>
      <c r="Z3974" t="s">
        <v>43</v>
      </c>
      <c r="AA3974" t="s">
        <v>43</v>
      </c>
      <c r="AB3974" t="s">
        <v>43</v>
      </c>
      <c r="AC3974" t="s">
        <v>43</v>
      </c>
      <c r="AD3974" t="s">
        <v>43</v>
      </c>
      <c r="AE3974" t="s">
        <v>43</v>
      </c>
      <c r="AF3974" t="s">
        <v>43</v>
      </c>
      <c r="AG3974" t="s">
        <v>43</v>
      </c>
      <c r="AH3974" t="s">
        <v>43</v>
      </c>
      <c r="AI3974" t="s">
        <v>43</v>
      </c>
      <c r="AJ3974" t="s">
        <v>43</v>
      </c>
      <c r="AK3974" t="s">
        <v>43</v>
      </c>
      <c r="AL3974" t="s">
        <v>43</v>
      </c>
      <c r="AM3974" t="s">
        <v>43</v>
      </c>
      <c r="AN3974" t="str">
        <f>HYPERLINK("https://www.google.com/maps?q=10.76306152,79.69437408","Open Location")</f>
        <v>Open Location</v>
      </c>
    </row>
    <row r="3975" spans="1:40" x14ac:dyDescent="0.3">
      <c r="A3975" s="1">
        <v>46210.539583333331</v>
      </c>
      <c r="B3975" t="s">
        <v>40</v>
      </c>
      <c r="C3975" t="s">
        <v>41</v>
      </c>
      <c r="D3975" s="1">
        <v>46210.544537037036</v>
      </c>
      <c r="E3975" t="s">
        <v>42</v>
      </c>
      <c r="F3975" t="s">
        <v>43</v>
      </c>
      <c r="G3975" t="s">
        <v>43</v>
      </c>
      <c r="H3975" t="s">
        <v>43</v>
      </c>
      <c r="I3975" t="s">
        <v>2268</v>
      </c>
      <c r="J3975" t="s">
        <v>43</v>
      </c>
      <c r="K3975" t="s">
        <v>43</v>
      </c>
      <c r="L3975" t="s">
        <v>43</v>
      </c>
      <c r="M3975" t="s">
        <v>43</v>
      </c>
      <c r="N3975" t="s">
        <v>45</v>
      </c>
      <c r="O3975" t="s">
        <v>43</v>
      </c>
      <c r="P3975" t="s">
        <v>43</v>
      </c>
      <c r="Q3975" t="s">
        <v>43</v>
      </c>
      <c r="R3975" t="s">
        <v>43</v>
      </c>
      <c r="S3975" t="s">
        <v>43</v>
      </c>
      <c r="T3975" t="s">
        <v>43</v>
      </c>
      <c r="U3975" t="s">
        <v>43</v>
      </c>
      <c r="V3975" t="s">
        <v>43</v>
      </c>
      <c r="W3975" t="s">
        <v>43</v>
      </c>
      <c r="X3975" t="s">
        <v>43</v>
      </c>
      <c r="Y3975" t="s">
        <v>43</v>
      </c>
      <c r="Z3975" t="s">
        <v>43</v>
      </c>
      <c r="AA3975" t="s">
        <v>43</v>
      </c>
      <c r="AB3975" t="s">
        <v>43</v>
      </c>
      <c r="AC3975" t="s">
        <v>43</v>
      </c>
      <c r="AD3975" t="s">
        <v>43</v>
      </c>
      <c r="AE3975" t="s">
        <v>43</v>
      </c>
      <c r="AF3975" t="s">
        <v>43</v>
      </c>
      <c r="AG3975" t="s">
        <v>43</v>
      </c>
      <c r="AH3975" t="s">
        <v>43</v>
      </c>
      <c r="AI3975" t="s">
        <v>43</v>
      </c>
      <c r="AJ3975" t="s">
        <v>43</v>
      </c>
      <c r="AK3975" t="s">
        <v>43</v>
      </c>
      <c r="AL3975" t="s">
        <v>43</v>
      </c>
      <c r="AM3975" t="s">
        <v>43</v>
      </c>
      <c r="AN3975" t="str">
        <f>HYPERLINK("https://www.google.com/maps?q=10.76306152,79.69436646","Open Location")</f>
        <v>Open Location</v>
      </c>
    </row>
    <row r="3976" spans="1:40" x14ac:dyDescent="0.3">
      <c r="A3976" s="1">
        <v>46210.539467592593</v>
      </c>
      <c r="B3976" t="s">
        <v>40</v>
      </c>
      <c r="C3976" t="s">
        <v>41</v>
      </c>
      <c r="D3976" s="1">
        <v>46210.544074074074</v>
      </c>
      <c r="E3976" t="s">
        <v>42</v>
      </c>
      <c r="F3976" t="s">
        <v>43</v>
      </c>
      <c r="G3976" t="s">
        <v>43</v>
      </c>
      <c r="H3976" t="s">
        <v>43</v>
      </c>
      <c r="I3976" t="s">
        <v>2266</v>
      </c>
      <c r="J3976" t="s">
        <v>43</v>
      </c>
      <c r="K3976" t="s">
        <v>43</v>
      </c>
      <c r="L3976" t="s">
        <v>43</v>
      </c>
      <c r="M3976" t="s">
        <v>43</v>
      </c>
      <c r="N3976" t="s">
        <v>45</v>
      </c>
      <c r="O3976" t="s">
        <v>43</v>
      </c>
      <c r="P3976" t="s">
        <v>43</v>
      </c>
      <c r="Q3976" t="s">
        <v>43</v>
      </c>
      <c r="R3976" t="s">
        <v>43</v>
      </c>
      <c r="S3976" t="s">
        <v>43</v>
      </c>
      <c r="T3976" t="s">
        <v>43</v>
      </c>
      <c r="U3976" t="s">
        <v>43</v>
      </c>
      <c r="V3976" t="s">
        <v>43</v>
      </c>
      <c r="W3976" t="s">
        <v>43</v>
      </c>
      <c r="X3976" t="s">
        <v>43</v>
      </c>
      <c r="Y3976" t="s">
        <v>43</v>
      </c>
      <c r="Z3976" t="s">
        <v>43</v>
      </c>
      <c r="AA3976" t="s">
        <v>43</v>
      </c>
      <c r="AB3976" t="s">
        <v>43</v>
      </c>
      <c r="AC3976" t="s">
        <v>43</v>
      </c>
      <c r="AD3976" t="s">
        <v>43</v>
      </c>
      <c r="AE3976" t="s">
        <v>43</v>
      </c>
      <c r="AF3976" t="s">
        <v>43</v>
      </c>
      <c r="AG3976" t="s">
        <v>43</v>
      </c>
      <c r="AH3976" t="s">
        <v>43</v>
      </c>
      <c r="AI3976" t="s">
        <v>43</v>
      </c>
      <c r="AJ3976" t="s">
        <v>43</v>
      </c>
      <c r="AK3976" t="s">
        <v>43</v>
      </c>
      <c r="AL3976" t="s">
        <v>43</v>
      </c>
      <c r="AM3976" t="s">
        <v>43</v>
      </c>
      <c r="AN3976" t="str">
        <f>HYPERLINK("https://www.google.com/maps?q=10.76306343,79.69436646","Open Location")</f>
        <v>Open Location</v>
      </c>
    </row>
    <row r="3977" spans="1:40" x14ac:dyDescent="0.3">
      <c r="A3977" s="1">
        <v>46210.539351851854</v>
      </c>
      <c r="B3977" t="s">
        <v>40</v>
      </c>
      <c r="C3977" t="s">
        <v>41</v>
      </c>
      <c r="D3977" s="1">
        <v>46210.54383101852</v>
      </c>
      <c r="E3977" t="s">
        <v>42</v>
      </c>
      <c r="F3977" t="s">
        <v>43</v>
      </c>
      <c r="G3977" t="s">
        <v>43</v>
      </c>
      <c r="H3977" t="s">
        <v>43</v>
      </c>
      <c r="I3977" t="s">
        <v>43</v>
      </c>
      <c r="J3977" t="s">
        <v>43</v>
      </c>
      <c r="K3977" t="s">
        <v>43</v>
      </c>
      <c r="L3977" t="s">
        <v>43</v>
      </c>
      <c r="M3977" t="s">
        <v>43</v>
      </c>
      <c r="N3977" t="s">
        <v>45</v>
      </c>
      <c r="O3977" t="s">
        <v>43</v>
      </c>
      <c r="P3977" t="s">
        <v>43</v>
      </c>
      <c r="Q3977" t="s">
        <v>43</v>
      </c>
      <c r="R3977" t="s">
        <v>43</v>
      </c>
      <c r="S3977" t="s">
        <v>43</v>
      </c>
      <c r="T3977" t="s">
        <v>43</v>
      </c>
      <c r="U3977" t="s">
        <v>43</v>
      </c>
      <c r="V3977" t="s">
        <v>43</v>
      </c>
      <c r="W3977" t="s">
        <v>43</v>
      </c>
      <c r="X3977" t="s">
        <v>43</v>
      </c>
      <c r="Y3977" t="s">
        <v>43</v>
      </c>
      <c r="Z3977" t="s">
        <v>43</v>
      </c>
      <c r="AA3977" t="s">
        <v>43</v>
      </c>
      <c r="AB3977" t="s">
        <v>43</v>
      </c>
      <c r="AC3977" t="s">
        <v>43</v>
      </c>
      <c r="AD3977" t="s">
        <v>43</v>
      </c>
      <c r="AE3977" t="s">
        <v>43</v>
      </c>
      <c r="AF3977" t="s">
        <v>43</v>
      </c>
      <c r="AG3977" t="s">
        <v>43</v>
      </c>
      <c r="AH3977" t="s">
        <v>43</v>
      </c>
      <c r="AI3977" t="s">
        <v>43</v>
      </c>
      <c r="AJ3977" t="s">
        <v>43</v>
      </c>
      <c r="AK3977" t="s">
        <v>43</v>
      </c>
      <c r="AL3977" t="s">
        <v>43</v>
      </c>
      <c r="AM3977" t="s">
        <v>43</v>
      </c>
      <c r="AN3977" t="s">
        <v>43</v>
      </c>
    </row>
    <row r="3978" spans="1:40" x14ac:dyDescent="0.3">
      <c r="A3978" s="1">
        <v>46210.539236111108</v>
      </c>
      <c r="B3978" t="s">
        <v>40</v>
      </c>
      <c r="C3978" t="s">
        <v>41</v>
      </c>
      <c r="D3978" s="1">
        <v>46210.543946759259</v>
      </c>
      <c r="E3978" t="s">
        <v>42</v>
      </c>
      <c r="F3978" t="s">
        <v>43</v>
      </c>
      <c r="G3978" t="s">
        <v>43</v>
      </c>
      <c r="H3978" t="s">
        <v>43</v>
      </c>
      <c r="I3978" t="s">
        <v>2268</v>
      </c>
      <c r="J3978" t="s">
        <v>43</v>
      </c>
      <c r="K3978" t="s">
        <v>43</v>
      </c>
      <c r="L3978" t="s">
        <v>43</v>
      </c>
      <c r="M3978" t="s">
        <v>43</v>
      </c>
      <c r="N3978" t="s">
        <v>45</v>
      </c>
      <c r="O3978" t="s">
        <v>43</v>
      </c>
      <c r="P3978" t="s">
        <v>43</v>
      </c>
      <c r="Q3978" t="s">
        <v>43</v>
      </c>
      <c r="R3978" t="s">
        <v>43</v>
      </c>
      <c r="S3978" t="s">
        <v>43</v>
      </c>
      <c r="T3978" t="s">
        <v>43</v>
      </c>
      <c r="U3978" t="s">
        <v>43</v>
      </c>
      <c r="V3978" t="s">
        <v>43</v>
      </c>
      <c r="W3978" t="s">
        <v>43</v>
      </c>
      <c r="X3978" t="s">
        <v>43</v>
      </c>
      <c r="Y3978" t="s">
        <v>43</v>
      </c>
      <c r="Z3978" t="s">
        <v>43</v>
      </c>
      <c r="AA3978" t="s">
        <v>43</v>
      </c>
      <c r="AB3978" t="s">
        <v>43</v>
      </c>
      <c r="AC3978" t="s">
        <v>43</v>
      </c>
      <c r="AD3978" t="s">
        <v>43</v>
      </c>
      <c r="AE3978" t="s">
        <v>43</v>
      </c>
      <c r="AF3978" t="s">
        <v>43</v>
      </c>
      <c r="AG3978" t="s">
        <v>43</v>
      </c>
      <c r="AH3978" t="s">
        <v>43</v>
      </c>
      <c r="AI3978" t="s">
        <v>43</v>
      </c>
      <c r="AJ3978" t="s">
        <v>43</v>
      </c>
      <c r="AK3978" t="s">
        <v>43</v>
      </c>
      <c r="AL3978" t="s">
        <v>43</v>
      </c>
      <c r="AM3978" t="s">
        <v>43</v>
      </c>
      <c r="AN3978" t="str">
        <f>HYPERLINK("https://www.google.com/maps?q=10.76306152,79.69436646","Open Location")</f>
        <v>Open Location</v>
      </c>
    </row>
    <row r="3979" spans="1:40" x14ac:dyDescent="0.3">
      <c r="A3979" s="1">
        <v>46210.539120370369</v>
      </c>
      <c r="B3979" t="s">
        <v>40</v>
      </c>
      <c r="C3979" t="s">
        <v>41</v>
      </c>
      <c r="D3979" s="1">
        <v>46210.544351851851</v>
      </c>
      <c r="E3979" t="s">
        <v>42</v>
      </c>
      <c r="F3979" t="s">
        <v>43</v>
      </c>
      <c r="G3979" t="s">
        <v>43</v>
      </c>
      <c r="H3979" t="s">
        <v>43</v>
      </c>
      <c r="I3979" t="s">
        <v>2242</v>
      </c>
      <c r="J3979" t="s">
        <v>43</v>
      </c>
      <c r="K3979" t="s">
        <v>43</v>
      </c>
      <c r="L3979" t="s">
        <v>43</v>
      </c>
      <c r="M3979" t="s">
        <v>43</v>
      </c>
      <c r="N3979" t="s">
        <v>45</v>
      </c>
      <c r="O3979" t="s">
        <v>43</v>
      </c>
      <c r="P3979" t="s">
        <v>43</v>
      </c>
      <c r="Q3979" t="s">
        <v>43</v>
      </c>
      <c r="R3979" t="s">
        <v>43</v>
      </c>
      <c r="S3979" t="s">
        <v>43</v>
      </c>
      <c r="T3979" t="s">
        <v>43</v>
      </c>
      <c r="U3979" t="s">
        <v>43</v>
      </c>
      <c r="V3979" t="s">
        <v>43</v>
      </c>
      <c r="W3979" t="s">
        <v>43</v>
      </c>
      <c r="X3979" t="s">
        <v>43</v>
      </c>
      <c r="Y3979" t="s">
        <v>43</v>
      </c>
      <c r="Z3979" t="s">
        <v>43</v>
      </c>
      <c r="AA3979" t="s">
        <v>43</v>
      </c>
      <c r="AB3979" t="s">
        <v>43</v>
      </c>
      <c r="AC3979" t="s">
        <v>43</v>
      </c>
      <c r="AD3979" t="s">
        <v>43</v>
      </c>
      <c r="AE3979" t="s">
        <v>43</v>
      </c>
      <c r="AF3979" t="s">
        <v>43</v>
      </c>
      <c r="AG3979" t="s">
        <v>43</v>
      </c>
      <c r="AH3979" t="s">
        <v>43</v>
      </c>
      <c r="AI3979" t="s">
        <v>43</v>
      </c>
      <c r="AJ3979" t="s">
        <v>43</v>
      </c>
      <c r="AK3979" t="s">
        <v>43</v>
      </c>
      <c r="AL3979" t="s">
        <v>43</v>
      </c>
      <c r="AM3979" t="s">
        <v>43</v>
      </c>
      <c r="AN3979" t="str">
        <f>HYPERLINK("https://www.google.com/maps?q=10.76306534,79.69437408","Open Location")</f>
        <v>Open Location</v>
      </c>
    </row>
    <row r="3980" spans="1:40" x14ac:dyDescent="0.3">
      <c r="A3980" s="1">
        <v>46210.539004629631</v>
      </c>
      <c r="B3980" t="s">
        <v>40</v>
      </c>
      <c r="C3980" t="s">
        <v>41</v>
      </c>
      <c r="D3980" s="1">
        <v>46210.544525462959</v>
      </c>
      <c r="E3980" t="s">
        <v>42</v>
      </c>
      <c r="F3980" t="s">
        <v>43</v>
      </c>
      <c r="G3980" t="s">
        <v>43</v>
      </c>
      <c r="H3980" t="s">
        <v>43</v>
      </c>
      <c r="I3980" t="s">
        <v>2242</v>
      </c>
      <c r="J3980" t="s">
        <v>43</v>
      </c>
      <c r="K3980" t="s">
        <v>43</v>
      </c>
      <c r="L3980" t="s">
        <v>43</v>
      </c>
      <c r="M3980" t="s">
        <v>43</v>
      </c>
      <c r="N3980" t="s">
        <v>45</v>
      </c>
      <c r="O3980" t="s">
        <v>43</v>
      </c>
      <c r="P3980" t="s">
        <v>43</v>
      </c>
      <c r="Q3980" t="s">
        <v>43</v>
      </c>
      <c r="R3980" t="s">
        <v>43</v>
      </c>
      <c r="S3980" t="s">
        <v>43</v>
      </c>
      <c r="T3980" t="s">
        <v>43</v>
      </c>
      <c r="U3980" t="s">
        <v>43</v>
      </c>
      <c r="V3980" t="s">
        <v>43</v>
      </c>
      <c r="W3980" t="s">
        <v>43</v>
      </c>
      <c r="X3980" t="s">
        <v>43</v>
      </c>
      <c r="Y3980" t="s">
        <v>43</v>
      </c>
      <c r="Z3980" t="s">
        <v>43</v>
      </c>
      <c r="AA3980" t="s">
        <v>43</v>
      </c>
      <c r="AB3980" t="s">
        <v>43</v>
      </c>
      <c r="AC3980" t="s">
        <v>43</v>
      </c>
      <c r="AD3980" t="s">
        <v>43</v>
      </c>
      <c r="AE3980" t="s">
        <v>43</v>
      </c>
      <c r="AF3980" t="s">
        <v>43</v>
      </c>
      <c r="AG3980" t="s">
        <v>43</v>
      </c>
      <c r="AH3980" t="s">
        <v>43</v>
      </c>
      <c r="AI3980" t="s">
        <v>43</v>
      </c>
      <c r="AJ3980" t="s">
        <v>43</v>
      </c>
      <c r="AK3980" t="s">
        <v>43</v>
      </c>
      <c r="AL3980" t="s">
        <v>43</v>
      </c>
      <c r="AM3980" t="s">
        <v>43</v>
      </c>
      <c r="AN3980" t="str">
        <f>HYPERLINK("https://www.google.com/maps?q=10.76306534,79.69437408","Open Location")</f>
        <v>Open Location</v>
      </c>
    </row>
    <row r="3981" spans="1:40" x14ac:dyDescent="0.3">
      <c r="A3981" s="1">
        <v>46210.538888888892</v>
      </c>
      <c r="B3981" t="s">
        <v>40</v>
      </c>
      <c r="C3981" t="s">
        <v>41</v>
      </c>
      <c r="D3981" s="1">
        <v>46210.544039351851</v>
      </c>
      <c r="E3981" t="s">
        <v>42</v>
      </c>
      <c r="F3981" t="s">
        <v>43</v>
      </c>
      <c r="G3981" t="s">
        <v>43</v>
      </c>
      <c r="H3981" t="s">
        <v>43</v>
      </c>
      <c r="I3981" t="s">
        <v>2241</v>
      </c>
      <c r="J3981" t="s">
        <v>43</v>
      </c>
      <c r="K3981" t="s">
        <v>43</v>
      </c>
      <c r="L3981" t="s">
        <v>43</v>
      </c>
      <c r="M3981" t="s">
        <v>43</v>
      </c>
      <c r="N3981" t="s">
        <v>45</v>
      </c>
      <c r="O3981" t="s">
        <v>43</v>
      </c>
      <c r="P3981" t="s">
        <v>43</v>
      </c>
      <c r="Q3981" t="s">
        <v>43</v>
      </c>
      <c r="R3981" t="s">
        <v>43</v>
      </c>
      <c r="S3981" t="s">
        <v>43</v>
      </c>
      <c r="T3981" t="s">
        <v>43</v>
      </c>
      <c r="U3981" t="s">
        <v>43</v>
      </c>
      <c r="V3981" t="s">
        <v>43</v>
      </c>
      <c r="W3981" t="s">
        <v>43</v>
      </c>
      <c r="X3981" t="s">
        <v>43</v>
      </c>
      <c r="Y3981" t="s">
        <v>43</v>
      </c>
      <c r="Z3981" t="s">
        <v>43</v>
      </c>
      <c r="AA3981" t="s">
        <v>43</v>
      </c>
      <c r="AB3981" t="s">
        <v>43</v>
      </c>
      <c r="AC3981" t="s">
        <v>43</v>
      </c>
      <c r="AD3981" t="s">
        <v>43</v>
      </c>
      <c r="AE3981" t="s">
        <v>43</v>
      </c>
      <c r="AF3981" t="s">
        <v>43</v>
      </c>
      <c r="AG3981" t="s">
        <v>43</v>
      </c>
      <c r="AH3981" t="s">
        <v>43</v>
      </c>
      <c r="AI3981" t="s">
        <v>43</v>
      </c>
      <c r="AJ3981" t="s">
        <v>43</v>
      </c>
      <c r="AK3981" t="s">
        <v>43</v>
      </c>
      <c r="AL3981" t="s">
        <v>43</v>
      </c>
      <c r="AM3981" t="s">
        <v>43</v>
      </c>
      <c r="AN3981" t="str">
        <f>HYPERLINK("https://www.google.com/maps?q=10.76306438,79.69437408","Open Location")</f>
        <v>Open Location</v>
      </c>
    </row>
    <row r="3982" spans="1:40" x14ac:dyDescent="0.3">
      <c r="A3982" s="1">
        <v>46210.538773148146</v>
      </c>
      <c r="B3982" t="s">
        <v>40</v>
      </c>
      <c r="C3982" t="s">
        <v>41</v>
      </c>
      <c r="D3982" s="1">
        <v>46210.544074074074</v>
      </c>
      <c r="E3982" t="s">
        <v>42</v>
      </c>
      <c r="F3982" t="s">
        <v>43</v>
      </c>
      <c r="G3982" t="s">
        <v>43</v>
      </c>
      <c r="H3982" t="s">
        <v>43</v>
      </c>
      <c r="I3982" t="s">
        <v>2222</v>
      </c>
      <c r="J3982" t="s">
        <v>43</v>
      </c>
      <c r="K3982" t="s">
        <v>43</v>
      </c>
      <c r="L3982" t="s">
        <v>43</v>
      </c>
      <c r="M3982" t="s">
        <v>43</v>
      </c>
      <c r="N3982" t="s">
        <v>45</v>
      </c>
      <c r="O3982" t="s">
        <v>43</v>
      </c>
      <c r="P3982" t="s">
        <v>43</v>
      </c>
      <c r="Q3982" t="s">
        <v>43</v>
      </c>
      <c r="R3982" t="s">
        <v>43</v>
      </c>
      <c r="S3982" t="s">
        <v>43</v>
      </c>
      <c r="T3982" t="s">
        <v>43</v>
      </c>
      <c r="U3982" t="s">
        <v>43</v>
      </c>
      <c r="V3982" t="s">
        <v>43</v>
      </c>
      <c r="W3982" t="s">
        <v>43</v>
      </c>
      <c r="X3982" t="s">
        <v>43</v>
      </c>
      <c r="Y3982" t="s">
        <v>43</v>
      </c>
      <c r="Z3982" t="s">
        <v>43</v>
      </c>
      <c r="AA3982" t="s">
        <v>43</v>
      </c>
      <c r="AB3982" t="s">
        <v>43</v>
      </c>
      <c r="AC3982" t="s">
        <v>43</v>
      </c>
      <c r="AD3982" t="s">
        <v>43</v>
      </c>
      <c r="AE3982" t="s">
        <v>43</v>
      </c>
      <c r="AF3982" t="s">
        <v>43</v>
      </c>
      <c r="AG3982" t="s">
        <v>43</v>
      </c>
      <c r="AH3982" t="s">
        <v>43</v>
      </c>
      <c r="AI3982" t="s">
        <v>43</v>
      </c>
      <c r="AJ3982" t="s">
        <v>43</v>
      </c>
      <c r="AK3982" t="s">
        <v>43</v>
      </c>
      <c r="AL3982" t="s">
        <v>43</v>
      </c>
      <c r="AM3982" t="s">
        <v>43</v>
      </c>
      <c r="AN3982" t="str">
        <f>HYPERLINK("https://www.google.com/maps?q=10.76306438,79.69438171","Open Location")</f>
        <v>Open Location</v>
      </c>
    </row>
    <row r="3983" spans="1:40" x14ac:dyDescent="0.3">
      <c r="A3983" s="1">
        <v>46210.538657407407</v>
      </c>
      <c r="B3983" t="s">
        <v>40</v>
      </c>
      <c r="C3983" t="s">
        <v>41</v>
      </c>
      <c r="D3983" s="1">
        <v>46210.544074074074</v>
      </c>
      <c r="E3983" t="s">
        <v>42</v>
      </c>
      <c r="F3983" t="s">
        <v>43</v>
      </c>
      <c r="G3983" t="s">
        <v>43</v>
      </c>
      <c r="H3983" t="s">
        <v>43</v>
      </c>
      <c r="I3983" t="s">
        <v>43</v>
      </c>
      <c r="J3983" t="s">
        <v>43</v>
      </c>
      <c r="K3983" t="s">
        <v>43</v>
      </c>
      <c r="L3983" t="s">
        <v>43</v>
      </c>
      <c r="M3983" t="s">
        <v>43</v>
      </c>
      <c r="N3983" t="s">
        <v>45</v>
      </c>
      <c r="O3983" t="s">
        <v>43</v>
      </c>
      <c r="P3983" t="s">
        <v>43</v>
      </c>
      <c r="Q3983" t="s">
        <v>43</v>
      </c>
      <c r="R3983" t="s">
        <v>43</v>
      </c>
      <c r="S3983" t="s">
        <v>43</v>
      </c>
      <c r="T3983" t="s">
        <v>43</v>
      </c>
      <c r="U3983" t="s">
        <v>43</v>
      </c>
      <c r="V3983" t="s">
        <v>43</v>
      </c>
      <c r="W3983" t="s">
        <v>43</v>
      </c>
      <c r="X3983" t="s">
        <v>43</v>
      </c>
      <c r="Y3983" t="s">
        <v>43</v>
      </c>
      <c r="Z3983" t="s">
        <v>43</v>
      </c>
      <c r="AA3983" t="s">
        <v>43</v>
      </c>
      <c r="AB3983" t="s">
        <v>43</v>
      </c>
      <c r="AC3983" t="s">
        <v>43</v>
      </c>
      <c r="AD3983" t="s">
        <v>43</v>
      </c>
      <c r="AE3983" t="s">
        <v>43</v>
      </c>
      <c r="AF3983" t="s">
        <v>43</v>
      </c>
      <c r="AG3983" t="s">
        <v>43</v>
      </c>
      <c r="AH3983" t="s">
        <v>43</v>
      </c>
      <c r="AI3983" t="s">
        <v>43</v>
      </c>
      <c r="AJ3983" t="s">
        <v>43</v>
      </c>
      <c r="AK3983" t="s">
        <v>43</v>
      </c>
      <c r="AL3983" t="s">
        <v>43</v>
      </c>
      <c r="AM3983" t="s">
        <v>43</v>
      </c>
      <c r="AN3983" t="s">
        <v>43</v>
      </c>
    </row>
    <row r="3984" spans="1:40" x14ac:dyDescent="0.3">
      <c r="A3984" s="1">
        <v>46210.538541666669</v>
      </c>
      <c r="B3984" t="s">
        <v>40</v>
      </c>
      <c r="C3984" t="s">
        <v>41</v>
      </c>
      <c r="D3984" s="1">
        <v>46210.544039351851</v>
      </c>
      <c r="E3984" t="s">
        <v>42</v>
      </c>
      <c r="F3984" t="s">
        <v>43</v>
      </c>
      <c r="G3984" t="s">
        <v>43</v>
      </c>
      <c r="H3984" t="s">
        <v>43</v>
      </c>
      <c r="I3984" t="s">
        <v>2222</v>
      </c>
      <c r="J3984" t="s">
        <v>43</v>
      </c>
      <c r="K3984" t="s">
        <v>43</v>
      </c>
      <c r="L3984" t="s">
        <v>43</v>
      </c>
      <c r="M3984" t="s">
        <v>43</v>
      </c>
      <c r="N3984" t="s">
        <v>45</v>
      </c>
      <c r="O3984" t="s">
        <v>43</v>
      </c>
      <c r="P3984" t="s">
        <v>43</v>
      </c>
      <c r="Q3984" t="s">
        <v>43</v>
      </c>
      <c r="R3984" t="s">
        <v>43</v>
      </c>
      <c r="S3984" t="s">
        <v>43</v>
      </c>
      <c r="T3984" t="s">
        <v>43</v>
      </c>
      <c r="U3984" t="s">
        <v>43</v>
      </c>
      <c r="V3984" t="s">
        <v>43</v>
      </c>
      <c r="W3984" t="s">
        <v>43</v>
      </c>
      <c r="X3984" t="s">
        <v>43</v>
      </c>
      <c r="Y3984" t="s">
        <v>43</v>
      </c>
      <c r="Z3984" t="s">
        <v>43</v>
      </c>
      <c r="AA3984" t="s">
        <v>43</v>
      </c>
      <c r="AB3984" t="s">
        <v>43</v>
      </c>
      <c r="AC3984" t="s">
        <v>43</v>
      </c>
      <c r="AD3984" t="s">
        <v>43</v>
      </c>
      <c r="AE3984" t="s">
        <v>43</v>
      </c>
      <c r="AF3984" t="s">
        <v>43</v>
      </c>
      <c r="AG3984" t="s">
        <v>43</v>
      </c>
      <c r="AH3984" t="s">
        <v>43</v>
      </c>
      <c r="AI3984" t="s">
        <v>43</v>
      </c>
      <c r="AJ3984" t="s">
        <v>43</v>
      </c>
      <c r="AK3984" t="s">
        <v>43</v>
      </c>
      <c r="AL3984" t="s">
        <v>43</v>
      </c>
      <c r="AM3984" t="s">
        <v>43</v>
      </c>
      <c r="AN3984" t="str">
        <f>HYPERLINK("https://www.google.com/maps?q=10.76306438,79.69438171","Open Location")</f>
        <v>Open Location</v>
      </c>
    </row>
    <row r="3985" spans="1:40" x14ac:dyDescent="0.3">
      <c r="A3985" s="1">
        <v>46210.538425925923</v>
      </c>
      <c r="B3985" t="s">
        <v>40</v>
      </c>
      <c r="C3985" t="s">
        <v>41</v>
      </c>
      <c r="D3985" s="1">
        <v>46210.542094907411</v>
      </c>
      <c r="E3985" t="s">
        <v>42</v>
      </c>
      <c r="F3985" t="s">
        <v>43</v>
      </c>
      <c r="G3985" t="s">
        <v>43</v>
      </c>
      <c r="H3985" t="s">
        <v>43</v>
      </c>
      <c r="I3985" t="s">
        <v>2222</v>
      </c>
      <c r="J3985" t="s">
        <v>43</v>
      </c>
      <c r="K3985" t="s">
        <v>43</v>
      </c>
      <c r="L3985" t="s">
        <v>43</v>
      </c>
      <c r="M3985" t="s">
        <v>43</v>
      </c>
      <c r="N3985" t="s">
        <v>45</v>
      </c>
      <c r="O3985" t="s">
        <v>43</v>
      </c>
      <c r="P3985" t="s">
        <v>43</v>
      </c>
      <c r="Q3985" t="s">
        <v>43</v>
      </c>
      <c r="R3985" t="s">
        <v>43</v>
      </c>
      <c r="S3985" t="s">
        <v>43</v>
      </c>
      <c r="T3985" t="s">
        <v>43</v>
      </c>
      <c r="U3985" t="s">
        <v>43</v>
      </c>
      <c r="V3985" t="s">
        <v>43</v>
      </c>
      <c r="W3985" t="s">
        <v>43</v>
      </c>
      <c r="X3985" t="s">
        <v>43</v>
      </c>
      <c r="Y3985" t="s">
        <v>43</v>
      </c>
      <c r="Z3985" t="s">
        <v>43</v>
      </c>
      <c r="AA3985" t="s">
        <v>43</v>
      </c>
      <c r="AB3985" t="s">
        <v>43</v>
      </c>
      <c r="AC3985" t="s">
        <v>43</v>
      </c>
      <c r="AD3985" t="s">
        <v>43</v>
      </c>
      <c r="AE3985" t="s">
        <v>43</v>
      </c>
      <c r="AF3985" t="s">
        <v>43</v>
      </c>
      <c r="AG3985" t="s">
        <v>43</v>
      </c>
      <c r="AH3985" t="s">
        <v>43</v>
      </c>
      <c r="AI3985" t="s">
        <v>43</v>
      </c>
      <c r="AJ3985" t="s">
        <v>43</v>
      </c>
      <c r="AK3985" t="s">
        <v>43</v>
      </c>
      <c r="AL3985" t="s">
        <v>43</v>
      </c>
      <c r="AM3985" t="s">
        <v>43</v>
      </c>
      <c r="AN3985" t="str">
        <f>HYPERLINK("https://www.google.com/maps?q=10.76306438,79.69438171","Open Location")</f>
        <v>Open Location</v>
      </c>
    </row>
    <row r="3986" spans="1:40" x14ac:dyDescent="0.3">
      <c r="A3986" s="1">
        <v>46210.538310185184</v>
      </c>
      <c r="B3986" t="s">
        <v>40</v>
      </c>
      <c r="C3986" t="s">
        <v>41</v>
      </c>
      <c r="D3986" s="1">
        <v>46210.542939814812</v>
      </c>
      <c r="E3986" t="s">
        <v>42</v>
      </c>
      <c r="F3986" t="s">
        <v>43</v>
      </c>
      <c r="G3986" t="s">
        <v>43</v>
      </c>
      <c r="H3986" t="s">
        <v>43</v>
      </c>
      <c r="I3986" t="s">
        <v>2223</v>
      </c>
      <c r="J3986" t="s">
        <v>43</v>
      </c>
      <c r="K3986" t="s">
        <v>43</v>
      </c>
      <c r="L3986" t="s">
        <v>43</v>
      </c>
      <c r="M3986" t="s">
        <v>43</v>
      </c>
      <c r="N3986" t="s">
        <v>45</v>
      </c>
      <c r="O3986" t="s">
        <v>43</v>
      </c>
      <c r="P3986" t="s">
        <v>43</v>
      </c>
      <c r="Q3986" t="s">
        <v>43</v>
      </c>
      <c r="R3986" t="s">
        <v>43</v>
      </c>
      <c r="S3986" t="s">
        <v>43</v>
      </c>
      <c r="T3986" t="s">
        <v>43</v>
      </c>
      <c r="U3986" t="s">
        <v>43</v>
      </c>
      <c r="V3986" t="s">
        <v>43</v>
      </c>
      <c r="W3986" t="s">
        <v>43</v>
      </c>
      <c r="X3986" t="s">
        <v>43</v>
      </c>
      <c r="Y3986" t="s">
        <v>43</v>
      </c>
      <c r="Z3986" t="s">
        <v>43</v>
      </c>
      <c r="AA3986" t="s">
        <v>43</v>
      </c>
      <c r="AB3986" t="s">
        <v>43</v>
      </c>
      <c r="AC3986" t="s">
        <v>43</v>
      </c>
      <c r="AD3986" t="s">
        <v>43</v>
      </c>
      <c r="AE3986" t="s">
        <v>43</v>
      </c>
      <c r="AF3986" t="s">
        <v>43</v>
      </c>
      <c r="AG3986" t="s">
        <v>43</v>
      </c>
      <c r="AH3986" t="s">
        <v>43</v>
      </c>
      <c r="AI3986" t="s">
        <v>43</v>
      </c>
      <c r="AJ3986" t="s">
        <v>43</v>
      </c>
      <c r="AK3986" t="s">
        <v>43</v>
      </c>
      <c r="AL3986" t="s">
        <v>43</v>
      </c>
      <c r="AM3986" t="s">
        <v>43</v>
      </c>
      <c r="AN3986" t="str">
        <f>HYPERLINK("https://www.google.com/maps?q=10.76306534,79.69438171","Open Location")</f>
        <v>Open Location</v>
      </c>
    </row>
    <row r="3987" spans="1:40" x14ac:dyDescent="0.3">
      <c r="A3987" s="1">
        <v>46210.538194444445</v>
      </c>
      <c r="B3987" t="s">
        <v>40</v>
      </c>
      <c r="C3987" t="s">
        <v>41</v>
      </c>
      <c r="D3987" s="1">
        <v>46210.541967592595</v>
      </c>
      <c r="E3987" t="s">
        <v>42</v>
      </c>
      <c r="F3987" t="s">
        <v>43</v>
      </c>
      <c r="G3987" t="s">
        <v>43</v>
      </c>
      <c r="H3987" t="s">
        <v>43</v>
      </c>
      <c r="I3987" t="s">
        <v>2243</v>
      </c>
      <c r="J3987" t="s">
        <v>43</v>
      </c>
      <c r="K3987" t="s">
        <v>43</v>
      </c>
      <c r="L3987" t="s">
        <v>43</v>
      </c>
      <c r="M3987" t="s">
        <v>43</v>
      </c>
      <c r="N3987" t="s">
        <v>45</v>
      </c>
      <c r="O3987" t="s">
        <v>43</v>
      </c>
      <c r="P3987" t="s">
        <v>43</v>
      </c>
      <c r="Q3987" t="s">
        <v>43</v>
      </c>
      <c r="R3987" t="s">
        <v>43</v>
      </c>
      <c r="S3987" t="s">
        <v>43</v>
      </c>
      <c r="T3987" t="s">
        <v>43</v>
      </c>
      <c r="U3987" t="s">
        <v>43</v>
      </c>
      <c r="V3987" t="s">
        <v>43</v>
      </c>
      <c r="W3987" t="s">
        <v>43</v>
      </c>
      <c r="X3987" t="s">
        <v>43</v>
      </c>
      <c r="Y3987" t="s">
        <v>43</v>
      </c>
      <c r="Z3987" t="s">
        <v>43</v>
      </c>
      <c r="AA3987" t="s">
        <v>43</v>
      </c>
      <c r="AB3987" t="s">
        <v>43</v>
      </c>
      <c r="AC3987" t="s">
        <v>43</v>
      </c>
      <c r="AD3987" t="s">
        <v>43</v>
      </c>
      <c r="AE3987" t="s">
        <v>43</v>
      </c>
      <c r="AF3987" t="s">
        <v>43</v>
      </c>
      <c r="AG3987" t="s">
        <v>43</v>
      </c>
      <c r="AH3987" t="s">
        <v>43</v>
      </c>
      <c r="AI3987" t="s">
        <v>43</v>
      </c>
      <c r="AJ3987" t="s">
        <v>43</v>
      </c>
      <c r="AK3987" t="s">
        <v>43</v>
      </c>
      <c r="AL3987" t="s">
        <v>43</v>
      </c>
      <c r="AM3987" t="s">
        <v>43</v>
      </c>
      <c r="AN3987" t="str">
        <f>HYPERLINK("https://www.google.com/maps?q=10.76306629,79.69438171","Open Location")</f>
        <v>Open Location</v>
      </c>
    </row>
    <row r="3988" spans="1:40" x14ac:dyDescent="0.3">
      <c r="A3988" s="1">
        <v>46210.538078703707</v>
      </c>
      <c r="B3988" t="s">
        <v>40</v>
      </c>
      <c r="C3988" t="s">
        <v>41</v>
      </c>
      <c r="D3988" s="1">
        <v>46210.542523148149</v>
      </c>
      <c r="E3988" t="s">
        <v>42</v>
      </c>
      <c r="F3988" t="s">
        <v>43</v>
      </c>
      <c r="G3988" t="s">
        <v>43</v>
      </c>
      <c r="H3988" t="s">
        <v>43</v>
      </c>
      <c r="I3988" t="s">
        <v>43</v>
      </c>
      <c r="J3988" t="s">
        <v>43</v>
      </c>
      <c r="K3988" t="s">
        <v>43</v>
      </c>
      <c r="L3988" t="s">
        <v>43</v>
      </c>
      <c r="M3988" t="s">
        <v>43</v>
      </c>
      <c r="N3988" t="s">
        <v>45</v>
      </c>
      <c r="O3988" t="s">
        <v>43</v>
      </c>
      <c r="P3988" t="s">
        <v>43</v>
      </c>
      <c r="Q3988" t="s">
        <v>43</v>
      </c>
      <c r="R3988" t="s">
        <v>43</v>
      </c>
      <c r="S3988" t="s">
        <v>43</v>
      </c>
      <c r="T3988" t="s">
        <v>43</v>
      </c>
      <c r="U3988" t="s">
        <v>43</v>
      </c>
      <c r="V3988" t="s">
        <v>43</v>
      </c>
      <c r="W3988" t="s">
        <v>43</v>
      </c>
      <c r="X3988" t="s">
        <v>43</v>
      </c>
      <c r="Y3988" t="s">
        <v>43</v>
      </c>
      <c r="Z3988" t="s">
        <v>43</v>
      </c>
      <c r="AA3988" t="s">
        <v>43</v>
      </c>
      <c r="AB3988" t="s">
        <v>43</v>
      </c>
      <c r="AC3988" t="s">
        <v>43</v>
      </c>
      <c r="AD3988" t="s">
        <v>43</v>
      </c>
      <c r="AE3988" t="s">
        <v>43</v>
      </c>
      <c r="AF3988" t="s">
        <v>43</v>
      </c>
      <c r="AG3988" t="s">
        <v>43</v>
      </c>
      <c r="AH3988" t="s">
        <v>43</v>
      </c>
      <c r="AI3988" t="s">
        <v>43</v>
      </c>
      <c r="AJ3988" t="s">
        <v>43</v>
      </c>
      <c r="AK3988" t="s">
        <v>43</v>
      </c>
      <c r="AL3988" t="s">
        <v>43</v>
      </c>
      <c r="AM3988" t="s">
        <v>43</v>
      </c>
      <c r="AN3988" t="s">
        <v>43</v>
      </c>
    </row>
    <row r="3989" spans="1:40" x14ac:dyDescent="0.3">
      <c r="A3989" s="1">
        <v>46210.537962962961</v>
      </c>
      <c r="B3989" t="s">
        <v>40</v>
      </c>
      <c r="C3989" t="s">
        <v>41</v>
      </c>
      <c r="D3989" s="1">
        <v>46210.542523148149</v>
      </c>
      <c r="E3989" t="s">
        <v>42</v>
      </c>
      <c r="F3989" t="s">
        <v>43</v>
      </c>
      <c r="G3989" t="s">
        <v>43</v>
      </c>
      <c r="H3989" t="s">
        <v>43</v>
      </c>
      <c r="I3989" t="s">
        <v>2299</v>
      </c>
      <c r="J3989" t="s">
        <v>43</v>
      </c>
      <c r="K3989" t="s">
        <v>43</v>
      </c>
      <c r="L3989" t="s">
        <v>43</v>
      </c>
      <c r="M3989" t="s">
        <v>43</v>
      </c>
      <c r="N3989" t="s">
        <v>45</v>
      </c>
      <c r="O3989" t="s">
        <v>43</v>
      </c>
      <c r="P3989" t="s">
        <v>43</v>
      </c>
      <c r="Q3989" t="s">
        <v>43</v>
      </c>
      <c r="R3989" t="s">
        <v>43</v>
      </c>
      <c r="S3989" t="s">
        <v>43</v>
      </c>
      <c r="T3989" t="s">
        <v>43</v>
      </c>
      <c r="U3989" t="s">
        <v>43</v>
      </c>
      <c r="V3989" t="s">
        <v>43</v>
      </c>
      <c r="W3989" t="s">
        <v>43</v>
      </c>
      <c r="X3989" t="s">
        <v>43</v>
      </c>
      <c r="Y3989" t="s">
        <v>43</v>
      </c>
      <c r="Z3989" t="s">
        <v>43</v>
      </c>
      <c r="AA3989" t="s">
        <v>43</v>
      </c>
      <c r="AB3989" t="s">
        <v>43</v>
      </c>
      <c r="AC3989" t="s">
        <v>43</v>
      </c>
      <c r="AD3989" t="s">
        <v>43</v>
      </c>
      <c r="AE3989" t="s">
        <v>43</v>
      </c>
      <c r="AF3989" t="s">
        <v>43</v>
      </c>
      <c r="AG3989" t="s">
        <v>43</v>
      </c>
      <c r="AH3989" t="s">
        <v>43</v>
      </c>
      <c r="AI3989" t="s">
        <v>43</v>
      </c>
      <c r="AJ3989" t="s">
        <v>43</v>
      </c>
      <c r="AK3989" t="s">
        <v>43</v>
      </c>
      <c r="AL3989" t="s">
        <v>43</v>
      </c>
      <c r="AM3989" t="s">
        <v>43</v>
      </c>
      <c r="AN3989" t="str">
        <f>HYPERLINK("https://www.google.com/maps?q=10.7630682,79.69438171","Open Location")</f>
        <v>Open Location</v>
      </c>
    </row>
    <row r="3990" spans="1:40" x14ac:dyDescent="0.3">
      <c r="A3990" s="1">
        <v>46210.537847222222</v>
      </c>
      <c r="B3990" t="s">
        <v>40</v>
      </c>
      <c r="C3990" t="s">
        <v>41</v>
      </c>
      <c r="D3990" s="1">
        <v>46210.542523148149</v>
      </c>
      <c r="E3990" t="s">
        <v>42</v>
      </c>
      <c r="F3990" t="s">
        <v>43</v>
      </c>
      <c r="G3990" t="s">
        <v>43</v>
      </c>
      <c r="H3990" t="s">
        <v>43</v>
      </c>
      <c r="I3990" t="s">
        <v>2241</v>
      </c>
      <c r="J3990" t="s">
        <v>43</v>
      </c>
      <c r="K3990" t="s">
        <v>43</v>
      </c>
      <c r="L3990" t="s">
        <v>43</v>
      </c>
      <c r="M3990" t="s">
        <v>43</v>
      </c>
      <c r="N3990" t="s">
        <v>45</v>
      </c>
      <c r="O3990" t="s">
        <v>43</v>
      </c>
      <c r="P3990" t="s">
        <v>43</v>
      </c>
      <c r="Q3990" t="s">
        <v>43</v>
      </c>
      <c r="R3990" t="s">
        <v>43</v>
      </c>
      <c r="S3990" t="s">
        <v>43</v>
      </c>
      <c r="T3990" t="s">
        <v>43</v>
      </c>
      <c r="U3990" t="s">
        <v>43</v>
      </c>
      <c r="V3990" t="s">
        <v>43</v>
      </c>
      <c r="W3990" t="s">
        <v>43</v>
      </c>
      <c r="X3990" t="s">
        <v>43</v>
      </c>
      <c r="Y3990" t="s">
        <v>43</v>
      </c>
      <c r="Z3990" t="s">
        <v>43</v>
      </c>
      <c r="AA3990" t="s">
        <v>43</v>
      </c>
      <c r="AB3990" t="s">
        <v>43</v>
      </c>
      <c r="AC3990" t="s">
        <v>43</v>
      </c>
      <c r="AD3990" t="s">
        <v>43</v>
      </c>
      <c r="AE3990" t="s">
        <v>43</v>
      </c>
      <c r="AF3990" t="s">
        <v>43</v>
      </c>
      <c r="AG3990" t="s">
        <v>43</v>
      </c>
      <c r="AH3990" t="s">
        <v>43</v>
      </c>
      <c r="AI3990" t="s">
        <v>43</v>
      </c>
      <c r="AJ3990" t="s">
        <v>43</v>
      </c>
      <c r="AK3990" t="s">
        <v>43</v>
      </c>
      <c r="AL3990" t="s">
        <v>43</v>
      </c>
      <c r="AM3990" t="s">
        <v>43</v>
      </c>
      <c r="AN3990" t="str">
        <f>HYPERLINK("https://www.google.com/maps?q=10.76306438,79.69437408","Open Location")</f>
        <v>Open Location</v>
      </c>
    </row>
    <row r="3991" spans="1:40" x14ac:dyDescent="0.3">
      <c r="A3991" s="1">
        <v>46210.537731481483</v>
      </c>
      <c r="B3991" t="s">
        <v>40</v>
      </c>
      <c r="C3991" t="s">
        <v>41</v>
      </c>
      <c r="D3991" s="1">
        <v>46210.541122685187</v>
      </c>
      <c r="E3991" t="s">
        <v>42</v>
      </c>
      <c r="F3991" t="s">
        <v>43</v>
      </c>
      <c r="G3991" t="s">
        <v>43</v>
      </c>
      <c r="H3991" t="s">
        <v>43</v>
      </c>
      <c r="I3991" t="s">
        <v>2241</v>
      </c>
      <c r="J3991" t="s">
        <v>43</v>
      </c>
      <c r="K3991" t="s">
        <v>43</v>
      </c>
      <c r="L3991" t="s">
        <v>43</v>
      </c>
      <c r="M3991" t="s">
        <v>43</v>
      </c>
      <c r="N3991" t="s">
        <v>45</v>
      </c>
      <c r="O3991" t="s">
        <v>43</v>
      </c>
      <c r="P3991" t="s">
        <v>43</v>
      </c>
      <c r="Q3991" t="s">
        <v>43</v>
      </c>
      <c r="R3991" t="s">
        <v>43</v>
      </c>
      <c r="S3991" t="s">
        <v>43</v>
      </c>
      <c r="T3991" t="s">
        <v>43</v>
      </c>
      <c r="U3991" t="s">
        <v>43</v>
      </c>
      <c r="V3991" t="s">
        <v>43</v>
      </c>
      <c r="W3991" t="s">
        <v>43</v>
      </c>
      <c r="X3991" t="s">
        <v>43</v>
      </c>
      <c r="Y3991" t="s">
        <v>43</v>
      </c>
      <c r="Z3991" t="s">
        <v>43</v>
      </c>
      <c r="AA3991" t="s">
        <v>43</v>
      </c>
      <c r="AB3991" t="s">
        <v>43</v>
      </c>
      <c r="AC3991" t="s">
        <v>43</v>
      </c>
      <c r="AD3991" t="s">
        <v>43</v>
      </c>
      <c r="AE3991" t="s">
        <v>43</v>
      </c>
      <c r="AF3991" t="s">
        <v>43</v>
      </c>
      <c r="AG3991" t="s">
        <v>43</v>
      </c>
      <c r="AH3991" t="s">
        <v>43</v>
      </c>
      <c r="AI3991" t="s">
        <v>43</v>
      </c>
      <c r="AJ3991" t="s">
        <v>43</v>
      </c>
      <c r="AK3991" t="s">
        <v>43</v>
      </c>
      <c r="AL3991" t="s">
        <v>43</v>
      </c>
      <c r="AM3991" t="s">
        <v>43</v>
      </c>
      <c r="AN3991" t="str">
        <f>HYPERLINK("https://www.google.com/maps?q=10.76306438,79.69437408","Open Location")</f>
        <v>Open Location</v>
      </c>
    </row>
    <row r="3992" spans="1:40" x14ac:dyDescent="0.3">
      <c r="A3992" s="1">
        <v>46210.537615740737</v>
      </c>
      <c r="B3992" t="s">
        <v>40</v>
      </c>
      <c r="C3992" t="s">
        <v>41</v>
      </c>
      <c r="D3992" s="1">
        <v>46210.541481481479</v>
      </c>
      <c r="E3992" t="s">
        <v>42</v>
      </c>
      <c r="F3992" t="s">
        <v>43</v>
      </c>
      <c r="G3992" t="s">
        <v>43</v>
      </c>
      <c r="H3992" t="s">
        <v>43</v>
      </c>
      <c r="I3992" t="s">
        <v>2241</v>
      </c>
      <c r="J3992" t="s">
        <v>43</v>
      </c>
      <c r="K3992" t="s">
        <v>43</v>
      </c>
      <c r="L3992" t="s">
        <v>43</v>
      </c>
      <c r="M3992" t="s">
        <v>43</v>
      </c>
      <c r="N3992" t="s">
        <v>45</v>
      </c>
      <c r="O3992" t="s">
        <v>43</v>
      </c>
      <c r="P3992" t="s">
        <v>43</v>
      </c>
      <c r="Q3992" t="s">
        <v>43</v>
      </c>
      <c r="R3992" t="s">
        <v>43</v>
      </c>
      <c r="S3992" t="s">
        <v>43</v>
      </c>
      <c r="T3992" t="s">
        <v>43</v>
      </c>
      <c r="U3992" t="s">
        <v>43</v>
      </c>
      <c r="V3992" t="s">
        <v>43</v>
      </c>
      <c r="W3992" t="s">
        <v>43</v>
      </c>
      <c r="X3992" t="s">
        <v>43</v>
      </c>
      <c r="Y3992" t="s">
        <v>43</v>
      </c>
      <c r="Z3992" t="s">
        <v>43</v>
      </c>
      <c r="AA3992" t="s">
        <v>43</v>
      </c>
      <c r="AB3992" t="s">
        <v>43</v>
      </c>
      <c r="AC3992" t="s">
        <v>43</v>
      </c>
      <c r="AD3992" t="s">
        <v>43</v>
      </c>
      <c r="AE3992" t="s">
        <v>43</v>
      </c>
      <c r="AF3992" t="s">
        <v>43</v>
      </c>
      <c r="AG3992" t="s">
        <v>43</v>
      </c>
      <c r="AH3992" t="s">
        <v>43</v>
      </c>
      <c r="AI3992" t="s">
        <v>43</v>
      </c>
      <c r="AJ3992" t="s">
        <v>43</v>
      </c>
      <c r="AK3992" t="s">
        <v>43</v>
      </c>
      <c r="AL3992" t="s">
        <v>43</v>
      </c>
      <c r="AM3992" t="s">
        <v>43</v>
      </c>
      <c r="AN3992" t="str">
        <f>HYPERLINK("https://www.google.com/maps?q=10.76306438,79.69437408","Open Location")</f>
        <v>Open Location</v>
      </c>
    </row>
    <row r="3993" spans="1:40" x14ac:dyDescent="0.3">
      <c r="A3993" s="1">
        <v>46210.537499999999</v>
      </c>
      <c r="B3993" t="s">
        <v>40</v>
      </c>
      <c r="C3993" t="s">
        <v>41</v>
      </c>
      <c r="D3993" s="1">
        <v>46210.540995370371</v>
      </c>
      <c r="E3993" t="s">
        <v>42</v>
      </c>
      <c r="F3993" t="s">
        <v>43</v>
      </c>
      <c r="G3993" t="s">
        <v>43</v>
      </c>
      <c r="H3993" t="s">
        <v>43</v>
      </c>
      <c r="I3993" t="s">
        <v>2241</v>
      </c>
      <c r="J3993" t="s">
        <v>43</v>
      </c>
      <c r="K3993" t="s">
        <v>43</v>
      </c>
      <c r="L3993" t="s">
        <v>43</v>
      </c>
      <c r="M3993" t="s">
        <v>43</v>
      </c>
      <c r="N3993" t="s">
        <v>45</v>
      </c>
      <c r="O3993" t="s">
        <v>43</v>
      </c>
      <c r="P3993" t="s">
        <v>43</v>
      </c>
      <c r="Q3993" t="s">
        <v>43</v>
      </c>
      <c r="R3993" t="s">
        <v>43</v>
      </c>
      <c r="S3993" t="s">
        <v>43</v>
      </c>
      <c r="T3993" t="s">
        <v>43</v>
      </c>
      <c r="U3993" t="s">
        <v>43</v>
      </c>
      <c r="V3993" t="s">
        <v>43</v>
      </c>
      <c r="W3993" t="s">
        <v>43</v>
      </c>
      <c r="X3993" t="s">
        <v>43</v>
      </c>
      <c r="Y3993" t="s">
        <v>43</v>
      </c>
      <c r="Z3993" t="s">
        <v>43</v>
      </c>
      <c r="AA3993" t="s">
        <v>43</v>
      </c>
      <c r="AB3993" t="s">
        <v>43</v>
      </c>
      <c r="AC3993" t="s">
        <v>43</v>
      </c>
      <c r="AD3993" t="s">
        <v>43</v>
      </c>
      <c r="AE3993" t="s">
        <v>43</v>
      </c>
      <c r="AF3993" t="s">
        <v>43</v>
      </c>
      <c r="AG3993" t="s">
        <v>43</v>
      </c>
      <c r="AH3993" t="s">
        <v>43</v>
      </c>
      <c r="AI3993" t="s">
        <v>43</v>
      </c>
      <c r="AJ3993" t="s">
        <v>43</v>
      </c>
      <c r="AK3993" t="s">
        <v>43</v>
      </c>
      <c r="AL3993" t="s">
        <v>43</v>
      </c>
      <c r="AM3993" t="s">
        <v>43</v>
      </c>
      <c r="AN3993" t="str">
        <f>HYPERLINK("https://www.google.com/maps?q=10.76306438,79.69437408","Open Location")</f>
        <v>Open Location</v>
      </c>
    </row>
    <row r="3994" spans="1:40" x14ac:dyDescent="0.3">
      <c r="A3994" s="1">
        <v>46210.53738425926</v>
      </c>
      <c r="B3994" t="s">
        <v>40</v>
      </c>
      <c r="C3994" t="s">
        <v>41</v>
      </c>
      <c r="D3994" s="1">
        <v>46210.542939814812</v>
      </c>
      <c r="E3994" t="s">
        <v>42</v>
      </c>
      <c r="F3994" t="s">
        <v>43</v>
      </c>
      <c r="G3994" t="s">
        <v>43</v>
      </c>
      <c r="H3994" t="s">
        <v>43</v>
      </c>
      <c r="I3994" t="s">
        <v>43</v>
      </c>
      <c r="J3994" t="s">
        <v>43</v>
      </c>
      <c r="K3994" t="s">
        <v>43</v>
      </c>
      <c r="L3994" t="s">
        <v>43</v>
      </c>
      <c r="M3994" t="s">
        <v>43</v>
      </c>
      <c r="N3994" t="s">
        <v>45</v>
      </c>
      <c r="O3994" t="s">
        <v>43</v>
      </c>
      <c r="P3994" t="s">
        <v>43</v>
      </c>
      <c r="Q3994" t="s">
        <v>43</v>
      </c>
      <c r="R3994" t="s">
        <v>43</v>
      </c>
      <c r="S3994" t="s">
        <v>43</v>
      </c>
      <c r="T3994" t="s">
        <v>43</v>
      </c>
      <c r="U3994" t="s">
        <v>43</v>
      </c>
      <c r="V3994" t="s">
        <v>43</v>
      </c>
      <c r="W3994" t="s">
        <v>43</v>
      </c>
      <c r="X3994" t="s">
        <v>43</v>
      </c>
      <c r="Y3994" t="s">
        <v>43</v>
      </c>
      <c r="Z3994" t="s">
        <v>43</v>
      </c>
      <c r="AA3994" t="s">
        <v>43</v>
      </c>
      <c r="AB3994" t="s">
        <v>43</v>
      </c>
      <c r="AC3994" t="s">
        <v>43</v>
      </c>
      <c r="AD3994" t="s">
        <v>43</v>
      </c>
      <c r="AE3994" t="s">
        <v>43</v>
      </c>
      <c r="AF3994" t="s">
        <v>43</v>
      </c>
      <c r="AG3994" t="s">
        <v>43</v>
      </c>
      <c r="AH3994" t="s">
        <v>43</v>
      </c>
      <c r="AI3994" t="s">
        <v>43</v>
      </c>
      <c r="AJ3994" t="s">
        <v>43</v>
      </c>
      <c r="AK3994" t="s">
        <v>43</v>
      </c>
      <c r="AL3994" t="s">
        <v>43</v>
      </c>
      <c r="AM3994" t="s">
        <v>43</v>
      </c>
      <c r="AN3994" t="s">
        <v>43</v>
      </c>
    </row>
    <row r="3995" spans="1:40" x14ac:dyDescent="0.3">
      <c r="A3995" s="1">
        <v>46210.537268518521</v>
      </c>
      <c r="B3995" t="s">
        <v>40</v>
      </c>
      <c r="C3995" t="s">
        <v>41</v>
      </c>
      <c r="D3995" s="1">
        <v>46210.542870370373</v>
      </c>
      <c r="E3995" t="s">
        <v>42</v>
      </c>
      <c r="F3995" t="s">
        <v>43</v>
      </c>
      <c r="G3995" t="s">
        <v>43</v>
      </c>
      <c r="H3995" t="s">
        <v>43</v>
      </c>
      <c r="I3995" t="s">
        <v>2216</v>
      </c>
      <c r="J3995" t="s">
        <v>43</v>
      </c>
      <c r="K3995" t="s">
        <v>43</v>
      </c>
      <c r="L3995" t="s">
        <v>43</v>
      </c>
      <c r="M3995" t="s">
        <v>43</v>
      </c>
      <c r="N3995" t="s">
        <v>45</v>
      </c>
      <c r="O3995" t="s">
        <v>43</v>
      </c>
      <c r="P3995" t="s">
        <v>43</v>
      </c>
      <c r="Q3995" t="s">
        <v>43</v>
      </c>
      <c r="R3995" t="s">
        <v>43</v>
      </c>
      <c r="S3995" t="s">
        <v>43</v>
      </c>
      <c r="T3995" t="s">
        <v>43</v>
      </c>
      <c r="U3995" t="s">
        <v>43</v>
      </c>
      <c r="V3995" t="s">
        <v>43</v>
      </c>
      <c r="W3995" t="s">
        <v>43</v>
      </c>
      <c r="X3995" t="s">
        <v>43</v>
      </c>
      <c r="Y3995" t="s">
        <v>43</v>
      </c>
      <c r="Z3995" t="s">
        <v>43</v>
      </c>
      <c r="AA3995" t="s">
        <v>43</v>
      </c>
      <c r="AB3995" t="s">
        <v>43</v>
      </c>
      <c r="AC3995" t="s">
        <v>43</v>
      </c>
      <c r="AD3995" t="s">
        <v>43</v>
      </c>
      <c r="AE3995" t="s">
        <v>43</v>
      </c>
      <c r="AF3995" t="s">
        <v>43</v>
      </c>
      <c r="AG3995" t="s">
        <v>43</v>
      </c>
      <c r="AH3995" t="s">
        <v>43</v>
      </c>
      <c r="AI3995" t="s">
        <v>43</v>
      </c>
      <c r="AJ3995" t="s">
        <v>43</v>
      </c>
      <c r="AK3995" t="s">
        <v>43</v>
      </c>
      <c r="AL3995" t="s">
        <v>43</v>
      </c>
      <c r="AM3995" t="s">
        <v>43</v>
      </c>
      <c r="AN3995" t="str">
        <f>HYPERLINK("https://www.google.com/maps?q=10.76306629,79.69437408","Open Location")</f>
        <v>Open Location</v>
      </c>
    </row>
    <row r="3996" spans="1:40" x14ac:dyDescent="0.3">
      <c r="A3996" s="1">
        <v>46210.537152777775</v>
      </c>
      <c r="B3996" t="s">
        <v>40</v>
      </c>
      <c r="C3996" t="s">
        <v>41</v>
      </c>
      <c r="D3996" s="1">
        <v>46210.542905092596</v>
      </c>
      <c r="E3996" t="s">
        <v>42</v>
      </c>
      <c r="F3996" t="s">
        <v>43</v>
      </c>
      <c r="G3996" t="s">
        <v>43</v>
      </c>
      <c r="H3996" t="s">
        <v>43</v>
      </c>
      <c r="I3996" t="s">
        <v>2224</v>
      </c>
      <c r="J3996" t="s">
        <v>43</v>
      </c>
      <c r="K3996" t="s">
        <v>43</v>
      </c>
      <c r="L3996" t="s">
        <v>43</v>
      </c>
      <c r="M3996" t="s">
        <v>43</v>
      </c>
      <c r="N3996" t="s">
        <v>45</v>
      </c>
      <c r="O3996" t="s">
        <v>43</v>
      </c>
      <c r="P3996" t="s">
        <v>43</v>
      </c>
      <c r="Q3996" t="s">
        <v>43</v>
      </c>
      <c r="R3996" t="s">
        <v>43</v>
      </c>
      <c r="S3996" t="s">
        <v>43</v>
      </c>
      <c r="T3996" t="s">
        <v>43</v>
      </c>
      <c r="U3996" t="s">
        <v>43</v>
      </c>
      <c r="V3996" t="s">
        <v>43</v>
      </c>
      <c r="W3996" t="s">
        <v>43</v>
      </c>
      <c r="X3996" t="s">
        <v>43</v>
      </c>
      <c r="Y3996" t="s">
        <v>43</v>
      </c>
      <c r="Z3996" t="s">
        <v>43</v>
      </c>
      <c r="AA3996" t="s">
        <v>43</v>
      </c>
      <c r="AB3996" t="s">
        <v>43</v>
      </c>
      <c r="AC3996" t="s">
        <v>43</v>
      </c>
      <c r="AD3996" t="s">
        <v>43</v>
      </c>
      <c r="AE3996" t="s">
        <v>43</v>
      </c>
      <c r="AF3996" t="s">
        <v>43</v>
      </c>
      <c r="AG3996" t="s">
        <v>43</v>
      </c>
      <c r="AH3996" t="s">
        <v>43</v>
      </c>
      <c r="AI3996" t="s">
        <v>43</v>
      </c>
      <c r="AJ3996" t="s">
        <v>43</v>
      </c>
      <c r="AK3996" t="s">
        <v>43</v>
      </c>
      <c r="AL3996" t="s">
        <v>43</v>
      </c>
      <c r="AM3996" t="s">
        <v>43</v>
      </c>
      <c r="AN3996" t="str">
        <f>HYPERLINK("https://www.google.com/maps?q=10.76306915,79.69437408","Open Location")</f>
        <v>Open Location</v>
      </c>
    </row>
    <row r="3997" spans="1:40" x14ac:dyDescent="0.3">
      <c r="A3997" s="1">
        <v>46210.537037037036</v>
      </c>
      <c r="B3997" t="s">
        <v>40</v>
      </c>
      <c r="C3997" t="s">
        <v>41</v>
      </c>
      <c r="D3997" s="1">
        <v>46210.541712962964</v>
      </c>
      <c r="E3997" t="s">
        <v>42</v>
      </c>
      <c r="F3997" t="s">
        <v>43</v>
      </c>
      <c r="G3997" t="s">
        <v>43</v>
      </c>
      <c r="H3997" t="s">
        <v>43</v>
      </c>
      <c r="I3997" t="s">
        <v>2306</v>
      </c>
      <c r="J3997" t="s">
        <v>43</v>
      </c>
      <c r="K3997" t="s">
        <v>43</v>
      </c>
      <c r="L3997" t="s">
        <v>43</v>
      </c>
      <c r="M3997" t="s">
        <v>43</v>
      </c>
      <c r="N3997" t="s">
        <v>45</v>
      </c>
      <c r="O3997" t="s">
        <v>43</v>
      </c>
      <c r="P3997" t="s">
        <v>43</v>
      </c>
      <c r="Q3997" t="s">
        <v>43</v>
      </c>
      <c r="R3997" t="s">
        <v>43</v>
      </c>
      <c r="S3997" t="s">
        <v>43</v>
      </c>
      <c r="T3997" t="s">
        <v>43</v>
      </c>
      <c r="U3997" t="s">
        <v>43</v>
      </c>
      <c r="V3997" t="s">
        <v>43</v>
      </c>
      <c r="W3997" t="s">
        <v>43</v>
      </c>
      <c r="X3997" t="s">
        <v>43</v>
      </c>
      <c r="Y3997" t="s">
        <v>43</v>
      </c>
      <c r="Z3997" t="s">
        <v>43</v>
      </c>
      <c r="AA3997" t="s">
        <v>43</v>
      </c>
      <c r="AB3997" t="s">
        <v>43</v>
      </c>
      <c r="AC3997" t="s">
        <v>43</v>
      </c>
      <c r="AD3997" t="s">
        <v>43</v>
      </c>
      <c r="AE3997" t="s">
        <v>43</v>
      </c>
      <c r="AF3997" t="s">
        <v>43</v>
      </c>
      <c r="AG3997" t="s">
        <v>43</v>
      </c>
      <c r="AH3997" t="s">
        <v>43</v>
      </c>
      <c r="AI3997" t="s">
        <v>43</v>
      </c>
      <c r="AJ3997" t="s">
        <v>43</v>
      </c>
      <c r="AK3997" t="s">
        <v>43</v>
      </c>
      <c r="AL3997" t="s">
        <v>43</v>
      </c>
      <c r="AM3997" t="s">
        <v>43</v>
      </c>
      <c r="AN3997" t="str">
        <f>HYPERLINK("https://www.google.com/maps?q=10.7630682,79.69437408","Open Location")</f>
        <v>Open Location</v>
      </c>
    </row>
    <row r="3998" spans="1:40" x14ac:dyDescent="0.3">
      <c r="A3998" s="1">
        <v>46210.536921296298</v>
      </c>
      <c r="B3998" t="s">
        <v>40</v>
      </c>
      <c r="C3998" t="s">
        <v>41</v>
      </c>
      <c r="D3998" s="1">
        <v>46210.541747685187</v>
      </c>
      <c r="E3998" t="s">
        <v>42</v>
      </c>
      <c r="F3998" t="s">
        <v>43</v>
      </c>
      <c r="G3998" t="s">
        <v>43</v>
      </c>
      <c r="H3998" t="s">
        <v>43</v>
      </c>
      <c r="I3998" t="s">
        <v>2220</v>
      </c>
      <c r="J3998" t="s">
        <v>43</v>
      </c>
      <c r="K3998" t="s">
        <v>43</v>
      </c>
      <c r="L3998" t="s">
        <v>43</v>
      </c>
      <c r="M3998" t="s">
        <v>43</v>
      </c>
      <c r="N3998" t="s">
        <v>45</v>
      </c>
      <c r="O3998" t="s">
        <v>43</v>
      </c>
      <c r="P3998" t="s">
        <v>43</v>
      </c>
      <c r="Q3998" t="s">
        <v>43</v>
      </c>
      <c r="R3998" t="s">
        <v>43</v>
      </c>
      <c r="S3998" t="s">
        <v>43</v>
      </c>
      <c r="T3998" t="s">
        <v>43</v>
      </c>
      <c r="U3998" t="s">
        <v>43</v>
      </c>
      <c r="V3998" t="s">
        <v>43</v>
      </c>
      <c r="W3998" t="s">
        <v>43</v>
      </c>
      <c r="X3998" t="s">
        <v>43</v>
      </c>
      <c r="Y3998" t="s">
        <v>43</v>
      </c>
      <c r="Z3998" t="s">
        <v>43</v>
      </c>
      <c r="AA3998" t="s">
        <v>43</v>
      </c>
      <c r="AB3998" t="s">
        <v>43</v>
      </c>
      <c r="AC3998" t="s">
        <v>43</v>
      </c>
      <c r="AD3998" t="s">
        <v>43</v>
      </c>
      <c r="AE3998" t="s">
        <v>43</v>
      </c>
      <c r="AF3998" t="s">
        <v>43</v>
      </c>
      <c r="AG3998" t="s">
        <v>43</v>
      </c>
      <c r="AH3998" t="s">
        <v>43</v>
      </c>
      <c r="AI3998" t="s">
        <v>43</v>
      </c>
      <c r="AJ3998" t="s">
        <v>43</v>
      </c>
      <c r="AK3998" t="s">
        <v>43</v>
      </c>
      <c r="AL3998" t="s">
        <v>43</v>
      </c>
      <c r="AM3998" t="s">
        <v>43</v>
      </c>
      <c r="AN3998" t="str">
        <f>HYPERLINK("https://www.google.com/maps?q=10.76306725,79.69436646","Open Location")</f>
        <v>Open Location</v>
      </c>
    </row>
    <row r="3999" spans="1:40" x14ac:dyDescent="0.3">
      <c r="A3999" s="1">
        <v>46210.536805555559</v>
      </c>
      <c r="B3999" t="s">
        <v>40</v>
      </c>
      <c r="C3999" t="s">
        <v>41</v>
      </c>
      <c r="D3999" s="1">
        <v>46210.540891203702</v>
      </c>
      <c r="E3999" t="s">
        <v>42</v>
      </c>
      <c r="F3999" t="s">
        <v>43</v>
      </c>
      <c r="G3999" t="s">
        <v>43</v>
      </c>
      <c r="H3999" t="s">
        <v>43</v>
      </c>
      <c r="I3999" t="s">
        <v>2219</v>
      </c>
      <c r="J3999" t="s">
        <v>43</v>
      </c>
      <c r="K3999" t="s">
        <v>43</v>
      </c>
      <c r="L3999" t="s">
        <v>43</v>
      </c>
      <c r="M3999" t="s">
        <v>43</v>
      </c>
      <c r="N3999" t="s">
        <v>45</v>
      </c>
      <c r="O3999" t="s">
        <v>43</v>
      </c>
      <c r="P3999" t="s">
        <v>43</v>
      </c>
      <c r="Q3999" t="s">
        <v>43</v>
      </c>
      <c r="R3999" t="s">
        <v>43</v>
      </c>
      <c r="S3999" t="s">
        <v>43</v>
      </c>
      <c r="T3999" t="s">
        <v>43</v>
      </c>
      <c r="U3999" t="s">
        <v>43</v>
      </c>
      <c r="V3999" t="s">
        <v>43</v>
      </c>
      <c r="W3999" t="s">
        <v>43</v>
      </c>
      <c r="X3999" t="s">
        <v>43</v>
      </c>
      <c r="Y3999" t="s">
        <v>43</v>
      </c>
      <c r="Z3999" t="s">
        <v>43</v>
      </c>
      <c r="AA3999" t="s">
        <v>43</v>
      </c>
      <c r="AB3999" t="s">
        <v>43</v>
      </c>
      <c r="AC3999" t="s">
        <v>43</v>
      </c>
      <c r="AD3999" t="s">
        <v>43</v>
      </c>
      <c r="AE3999" t="s">
        <v>43</v>
      </c>
      <c r="AF3999" t="s">
        <v>43</v>
      </c>
      <c r="AG3999" t="s">
        <v>43</v>
      </c>
      <c r="AH3999" t="s">
        <v>43</v>
      </c>
      <c r="AI3999" t="s">
        <v>43</v>
      </c>
      <c r="AJ3999" t="s">
        <v>43</v>
      </c>
      <c r="AK3999" t="s">
        <v>43</v>
      </c>
      <c r="AL3999" t="s">
        <v>43</v>
      </c>
      <c r="AM3999" t="s">
        <v>43</v>
      </c>
      <c r="AN3999" t="str">
        <f>HYPERLINK("https://www.google.com/maps?q=10.76306629,79.69436646","Open Location")</f>
        <v>Open Location</v>
      </c>
    </row>
    <row r="4000" spans="1:40" x14ac:dyDescent="0.3">
      <c r="A4000" s="1">
        <v>46210.536689814813</v>
      </c>
      <c r="B4000" t="s">
        <v>40</v>
      </c>
      <c r="C4000" t="s">
        <v>41</v>
      </c>
      <c r="D4000" s="1">
        <v>46210.541203703702</v>
      </c>
      <c r="E4000" t="s">
        <v>42</v>
      </c>
      <c r="F4000" t="s">
        <v>43</v>
      </c>
      <c r="G4000" t="s">
        <v>43</v>
      </c>
      <c r="H4000" t="s">
        <v>43</v>
      </c>
      <c r="I4000" t="s">
        <v>43</v>
      </c>
      <c r="J4000" t="s">
        <v>43</v>
      </c>
      <c r="K4000" t="s">
        <v>43</v>
      </c>
      <c r="L4000" t="s">
        <v>43</v>
      </c>
      <c r="M4000" t="s">
        <v>43</v>
      </c>
      <c r="N4000" t="s">
        <v>45</v>
      </c>
      <c r="O4000" t="s">
        <v>43</v>
      </c>
      <c r="P4000" t="s">
        <v>43</v>
      </c>
      <c r="Q4000" t="s">
        <v>43</v>
      </c>
      <c r="R4000" t="s">
        <v>43</v>
      </c>
      <c r="S4000" t="s">
        <v>43</v>
      </c>
      <c r="T4000" t="s">
        <v>43</v>
      </c>
      <c r="U4000" t="s">
        <v>43</v>
      </c>
      <c r="V4000" t="s">
        <v>43</v>
      </c>
      <c r="W4000" t="s">
        <v>43</v>
      </c>
      <c r="X4000" t="s">
        <v>43</v>
      </c>
      <c r="Y4000" t="s">
        <v>43</v>
      </c>
      <c r="Z4000" t="s">
        <v>43</v>
      </c>
      <c r="AA4000" t="s">
        <v>43</v>
      </c>
      <c r="AB4000" t="s">
        <v>43</v>
      </c>
      <c r="AC4000" t="s">
        <v>43</v>
      </c>
      <c r="AD4000" t="s">
        <v>43</v>
      </c>
      <c r="AE4000" t="s">
        <v>43</v>
      </c>
      <c r="AF4000" t="s">
        <v>43</v>
      </c>
      <c r="AG4000" t="s">
        <v>43</v>
      </c>
      <c r="AH4000" t="s">
        <v>43</v>
      </c>
      <c r="AI4000" t="s">
        <v>43</v>
      </c>
      <c r="AJ4000" t="s">
        <v>43</v>
      </c>
      <c r="AK4000" t="s">
        <v>43</v>
      </c>
      <c r="AL4000" t="s">
        <v>43</v>
      </c>
      <c r="AM4000" t="s">
        <v>43</v>
      </c>
      <c r="AN4000" t="s">
        <v>43</v>
      </c>
    </row>
    <row r="4001" spans="1:40" x14ac:dyDescent="0.3">
      <c r="A4001" s="1">
        <v>46210.536574074074</v>
      </c>
      <c r="B4001" t="s">
        <v>40</v>
      </c>
      <c r="C4001" t="s">
        <v>41</v>
      </c>
      <c r="D4001" s="1">
        <v>46210.541122685187</v>
      </c>
      <c r="E4001" t="s">
        <v>42</v>
      </c>
      <c r="F4001" t="s">
        <v>43</v>
      </c>
      <c r="G4001" t="s">
        <v>43</v>
      </c>
      <c r="H4001" t="s">
        <v>43</v>
      </c>
      <c r="I4001" t="s">
        <v>2255</v>
      </c>
      <c r="J4001" t="s">
        <v>43</v>
      </c>
      <c r="K4001" t="s">
        <v>43</v>
      </c>
      <c r="L4001" t="s">
        <v>43</v>
      </c>
      <c r="M4001" t="s">
        <v>43</v>
      </c>
      <c r="N4001" t="s">
        <v>45</v>
      </c>
      <c r="O4001" t="s">
        <v>43</v>
      </c>
      <c r="P4001" t="s">
        <v>43</v>
      </c>
      <c r="Q4001" t="s">
        <v>43</v>
      </c>
      <c r="R4001" t="s">
        <v>43</v>
      </c>
      <c r="S4001" t="s">
        <v>43</v>
      </c>
      <c r="T4001" t="s">
        <v>43</v>
      </c>
      <c r="U4001" t="s">
        <v>43</v>
      </c>
      <c r="V4001" t="s">
        <v>43</v>
      </c>
      <c r="W4001" t="s">
        <v>43</v>
      </c>
      <c r="X4001" t="s">
        <v>43</v>
      </c>
      <c r="Y4001" t="s">
        <v>43</v>
      </c>
      <c r="Z4001" t="s">
        <v>43</v>
      </c>
      <c r="AA4001" t="s">
        <v>43</v>
      </c>
      <c r="AB4001" t="s">
        <v>43</v>
      </c>
      <c r="AC4001" t="s">
        <v>43</v>
      </c>
      <c r="AD4001" t="s">
        <v>43</v>
      </c>
      <c r="AE4001" t="s">
        <v>43</v>
      </c>
      <c r="AF4001" t="s">
        <v>43</v>
      </c>
      <c r="AG4001" t="s">
        <v>43</v>
      </c>
      <c r="AH4001" t="s">
        <v>43</v>
      </c>
      <c r="AI4001" t="s">
        <v>43</v>
      </c>
      <c r="AJ4001" t="s">
        <v>43</v>
      </c>
      <c r="AK4001" t="s">
        <v>43</v>
      </c>
      <c r="AL4001" t="s">
        <v>43</v>
      </c>
      <c r="AM4001" t="s">
        <v>43</v>
      </c>
      <c r="AN4001" t="str">
        <f>HYPERLINK("https://www.google.com/maps?q=10.76306915,79.69436646","Open Location")</f>
        <v>Open Location</v>
      </c>
    </row>
    <row r="4002" spans="1:40" x14ac:dyDescent="0.3">
      <c r="A4002" s="1">
        <v>46210.536458333336</v>
      </c>
      <c r="B4002" t="s">
        <v>40</v>
      </c>
      <c r="C4002" t="s">
        <v>41</v>
      </c>
      <c r="D4002" s="1">
        <v>46210.54210648148</v>
      </c>
      <c r="E4002" t="s">
        <v>42</v>
      </c>
      <c r="F4002" t="s">
        <v>43</v>
      </c>
      <c r="G4002" t="s">
        <v>43</v>
      </c>
      <c r="H4002" t="s">
        <v>43</v>
      </c>
      <c r="I4002" t="s">
        <v>2253</v>
      </c>
      <c r="J4002" t="s">
        <v>43</v>
      </c>
      <c r="K4002" t="s">
        <v>43</v>
      </c>
      <c r="L4002" t="s">
        <v>43</v>
      </c>
      <c r="M4002" t="s">
        <v>43</v>
      </c>
      <c r="N4002" t="s">
        <v>45</v>
      </c>
      <c r="O4002" t="s">
        <v>43</v>
      </c>
      <c r="P4002" t="s">
        <v>43</v>
      </c>
      <c r="Q4002" t="s">
        <v>43</v>
      </c>
      <c r="R4002" t="s">
        <v>43</v>
      </c>
      <c r="S4002" t="s">
        <v>43</v>
      </c>
      <c r="T4002" t="s">
        <v>43</v>
      </c>
      <c r="U4002" t="s">
        <v>43</v>
      </c>
      <c r="V4002" t="s">
        <v>43</v>
      </c>
      <c r="W4002" t="s">
        <v>43</v>
      </c>
      <c r="X4002" t="s">
        <v>43</v>
      </c>
      <c r="Y4002" t="s">
        <v>43</v>
      </c>
      <c r="Z4002" t="s">
        <v>43</v>
      </c>
      <c r="AA4002" t="s">
        <v>43</v>
      </c>
      <c r="AB4002" t="s">
        <v>43</v>
      </c>
      <c r="AC4002" t="s">
        <v>43</v>
      </c>
      <c r="AD4002" t="s">
        <v>43</v>
      </c>
      <c r="AE4002" t="s">
        <v>43</v>
      </c>
      <c r="AF4002" t="s">
        <v>43</v>
      </c>
      <c r="AG4002" t="s">
        <v>43</v>
      </c>
      <c r="AH4002" t="s">
        <v>43</v>
      </c>
      <c r="AI4002" t="s">
        <v>43</v>
      </c>
      <c r="AJ4002" t="s">
        <v>43</v>
      </c>
      <c r="AK4002" t="s">
        <v>43</v>
      </c>
      <c r="AL4002" t="s">
        <v>43</v>
      </c>
      <c r="AM4002" t="s">
        <v>43</v>
      </c>
      <c r="AN4002" t="str">
        <f>HYPERLINK("https://www.google.com/maps?q=10.76307011,79.69436646","Open Location")</f>
        <v>Open Location</v>
      </c>
    </row>
    <row r="4003" spans="1:40" x14ac:dyDescent="0.3">
      <c r="A4003" s="1">
        <v>46210.53634259259</v>
      </c>
      <c r="B4003" t="s">
        <v>40</v>
      </c>
      <c r="C4003" t="s">
        <v>41</v>
      </c>
      <c r="D4003" s="1">
        <v>46210.541261574072</v>
      </c>
      <c r="E4003" t="s">
        <v>42</v>
      </c>
      <c r="F4003" t="s">
        <v>43</v>
      </c>
      <c r="G4003" t="s">
        <v>43</v>
      </c>
      <c r="H4003" t="s">
        <v>43</v>
      </c>
      <c r="I4003" t="s">
        <v>2322</v>
      </c>
      <c r="J4003" t="s">
        <v>43</v>
      </c>
      <c r="K4003" t="s">
        <v>43</v>
      </c>
      <c r="L4003" t="s">
        <v>43</v>
      </c>
      <c r="M4003" t="s">
        <v>43</v>
      </c>
      <c r="N4003" t="s">
        <v>45</v>
      </c>
      <c r="O4003" t="s">
        <v>43</v>
      </c>
      <c r="P4003" t="s">
        <v>43</v>
      </c>
      <c r="Q4003" t="s">
        <v>43</v>
      </c>
      <c r="R4003" t="s">
        <v>43</v>
      </c>
      <c r="S4003" t="s">
        <v>43</v>
      </c>
      <c r="T4003" t="s">
        <v>43</v>
      </c>
      <c r="U4003" t="s">
        <v>43</v>
      </c>
      <c r="V4003" t="s">
        <v>43</v>
      </c>
      <c r="W4003" t="s">
        <v>43</v>
      </c>
      <c r="X4003" t="s">
        <v>43</v>
      </c>
      <c r="Y4003" t="s">
        <v>43</v>
      </c>
      <c r="Z4003" t="s">
        <v>43</v>
      </c>
      <c r="AA4003" t="s">
        <v>43</v>
      </c>
      <c r="AB4003" t="s">
        <v>43</v>
      </c>
      <c r="AC4003" t="s">
        <v>43</v>
      </c>
      <c r="AD4003" t="s">
        <v>43</v>
      </c>
      <c r="AE4003" t="s">
        <v>43</v>
      </c>
      <c r="AF4003" t="s">
        <v>43</v>
      </c>
      <c r="AG4003" t="s">
        <v>43</v>
      </c>
      <c r="AH4003" t="s">
        <v>43</v>
      </c>
      <c r="AI4003" t="s">
        <v>43</v>
      </c>
      <c r="AJ4003" t="s">
        <v>43</v>
      </c>
      <c r="AK4003" t="s">
        <v>43</v>
      </c>
      <c r="AL4003" t="s">
        <v>43</v>
      </c>
      <c r="AM4003" t="s">
        <v>43</v>
      </c>
      <c r="AN4003" t="str">
        <f>HYPERLINK("https://www.google.com/maps?q=10.76307106,79.69435883","Open Location")</f>
        <v>Open Location</v>
      </c>
    </row>
    <row r="4004" spans="1:40" x14ac:dyDescent="0.3">
      <c r="A4004" s="1">
        <v>46210.536226851851</v>
      </c>
      <c r="B4004" t="s">
        <v>40</v>
      </c>
      <c r="C4004" t="s">
        <v>41</v>
      </c>
      <c r="D4004" s="1">
        <v>46210.542384259257</v>
      </c>
      <c r="E4004" t="s">
        <v>42</v>
      </c>
      <c r="F4004" t="s">
        <v>43</v>
      </c>
      <c r="G4004" t="s">
        <v>43</v>
      </c>
      <c r="H4004" t="s">
        <v>43</v>
      </c>
      <c r="I4004" t="s">
        <v>2309</v>
      </c>
      <c r="J4004" t="s">
        <v>43</v>
      </c>
      <c r="K4004" t="s">
        <v>43</v>
      </c>
      <c r="L4004" t="s">
        <v>43</v>
      </c>
      <c r="M4004" t="s">
        <v>43</v>
      </c>
      <c r="N4004" t="s">
        <v>45</v>
      </c>
      <c r="O4004" t="s">
        <v>43</v>
      </c>
      <c r="P4004" t="s">
        <v>43</v>
      </c>
      <c r="Q4004" t="s">
        <v>43</v>
      </c>
      <c r="R4004" t="s">
        <v>43</v>
      </c>
      <c r="S4004" t="s">
        <v>43</v>
      </c>
      <c r="T4004" t="s">
        <v>43</v>
      </c>
      <c r="U4004" t="s">
        <v>43</v>
      </c>
      <c r="V4004" t="s">
        <v>43</v>
      </c>
      <c r="W4004" t="s">
        <v>43</v>
      </c>
      <c r="X4004" t="s">
        <v>43</v>
      </c>
      <c r="Y4004" t="s">
        <v>43</v>
      </c>
      <c r="Z4004" t="s">
        <v>43</v>
      </c>
      <c r="AA4004" t="s">
        <v>43</v>
      </c>
      <c r="AB4004" t="s">
        <v>43</v>
      </c>
      <c r="AC4004" t="s">
        <v>43</v>
      </c>
      <c r="AD4004" t="s">
        <v>43</v>
      </c>
      <c r="AE4004" t="s">
        <v>43</v>
      </c>
      <c r="AF4004" t="s">
        <v>43</v>
      </c>
      <c r="AG4004" t="s">
        <v>43</v>
      </c>
      <c r="AH4004" t="s">
        <v>43</v>
      </c>
      <c r="AI4004" t="s">
        <v>43</v>
      </c>
      <c r="AJ4004" t="s">
        <v>43</v>
      </c>
      <c r="AK4004" t="s">
        <v>43</v>
      </c>
      <c r="AL4004" t="s">
        <v>43</v>
      </c>
      <c r="AM4004" t="s">
        <v>43</v>
      </c>
      <c r="AN4004" t="str">
        <f>HYPERLINK("https://www.google.com/maps?q=10.76307011,79.69435883","Open Location")</f>
        <v>Open Location</v>
      </c>
    </row>
    <row r="4005" spans="1:40" x14ac:dyDescent="0.3">
      <c r="A4005" s="1">
        <v>46210.536111111112</v>
      </c>
      <c r="B4005" t="s">
        <v>40</v>
      </c>
      <c r="C4005" t="s">
        <v>41</v>
      </c>
      <c r="D4005" s="1">
        <v>46210.541273148148</v>
      </c>
      <c r="E4005" t="s">
        <v>42</v>
      </c>
      <c r="F4005" t="s">
        <v>43</v>
      </c>
      <c r="G4005" t="s">
        <v>43</v>
      </c>
      <c r="H4005" t="s">
        <v>43</v>
      </c>
      <c r="I4005" t="s">
        <v>2254</v>
      </c>
      <c r="J4005" t="s">
        <v>43</v>
      </c>
      <c r="K4005" t="s">
        <v>43</v>
      </c>
      <c r="L4005" t="s">
        <v>43</v>
      </c>
      <c r="M4005" t="s">
        <v>43</v>
      </c>
      <c r="N4005" t="s">
        <v>45</v>
      </c>
      <c r="O4005" t="s">
        <v>43</v>
      </c>
      <c r="P4005" t="s">
        <v>43</v>
      </c>
      <c r="Q4005" t="s">
        <v>43</v>
      </c>
      <c r="R4005" t="s">
        <v>43</v>
      </c>
      <c r="S4005" t="s">
        <v>43</v>
      </c>
      <c r="T4005" t="s">
        <v>43</v>
      </c>
      <c r="U4005" t="s">
        <v>43</v>
      </c>
      <c r="V4005" t="s">
        <v>43</v>
      </c>
      <c r="W4005" t="s">
        <v>43</v>
      </c>
      <c r="X4005" t="s">
        <v>43</v>
      </c>
      <c r="Y4005" t="s">
        <v>43</v>
      </c>
      <c r="Z4005" t="s">
        <v>43</v>
      </c>
      <c r="AA4005" t="s">
        <v>43</v>
      </c>
      <c r="AB4005" t="s">
        <v>43</v>
      </c>
      <c r="AC4005" t="s">
        <v>43</v>
      </c>
      <c r="AD4005" t="s">
        <v>43</v>
      </c>
      <c r="AE4005" t="s">
        <v>43</v>
      </c>
      <c r="AF4005" t="s">
        <v>43</v>
      </c>
      <c r="AG4005" t="s">
        <v>43</v>
      </c>
      <c r="AH4005" t="s">
        <v>43</v>
      </c>
      <c r="AI4005" t="s">
        <v>43</v>
      </c>
      <c r="AJ4005" t="s">
        <v>43</v>
      </c>
      <c r="AK4005" t="s">
        <v>43</v>
      </c>
      <c r="AL4005" t="s">
        <v>43</v>
      </c>
      <c r="AM4005" t="s">
        <v>43</v>
      </c>
      <c r="AN4005" t="str">
        <f>HYPERLINK("https://www.google.com/maps?q=10.7630682,79.69435883","Open Location")</f>
        <v>Open Location</v>
      </c>
    </row>
    <row r="4006" spans="1:40" x14ac:dyDescent="0.3">
      <c r="A4006" s="1">
        <v>46210.535995370374</v>
      </c>
      <c r="B4006" t="s">
        <v>40</v>
      </c>
      <c r="C4006" t="s">
        <v>41</v>
      </c>
      <c r="D4006" s="1">
        <v>46210.543009259258</v>
      </c>
      <c r="E4006" t="s">
        <v>42</v>
      </c>
      <c r="F4006" t="s">
        <v>43</v>
      </c>
      <c r="G4006" t="s">
        <v>43</v>
      </c>
      <c r="H4006" t="s">
        <v>43</v>
      </c>
      <c r="I4006" t="s">
        <v>43</v>
      </c>
      <c r="J4006" t="s">
        <v>43</v>
      </c>
      <c r="K4006" t="s">
        <v>43</v>
      </c>
      <c r="L4006" t="s">
        <v>43</v>
      </c>
      <c r="M4006" t="s">
        <v>43</v>
      </c>
      <c r="N4006" t="s">
        <v>45</v>
      </c>
      <c r="O4006" t="s">
        <v>43</v>
      </c>
      <c r="P4006" t="s">
        <v>43</v>
      </c>
      <c r="Q4006" t="s">
        <v>43</v>
      </c>
      <c r="R4006" t="s">
        <v>43</v>
      </c>
      <c r="S4006" t="s">
        <v>43</v>
      </c>
      <c r="T4006" t="s">
        <v>43</v>
      </c>
      <c r="U4006" t="s">
        <v>43</v>
      </c>
      <c r="V4006" t="s">
        <v>43</v>
      </c>
      <c r="W4006" t="s">
        <v>43</v>
      </c>
      <c r="X4006" t="s">
        <v>43</v>
      </c>
      <c r="Y4006" t="s">
        <v>43</v>
      </c>
      <c r="Z4006" t="s">
        <v>43</v>
      </c>
      <c r="AA4006" t="s">
        <v>43</v>
      </c>
      <c r="AB4006" t="s">
        <v>43</v>
      </c>
      <c r="AC4006" t="s">
        <v>43</v>
      </c>
      <c r="AD4006" t="s">
        <v>43</v>
      </c>
      <c r="AE4006" t="s">
        <v>43</v>
      </c>
      <c r="AF4006" t="s">
        <v>43</v>
      </c>
      <c r="AG4006" t="s">
        <v>43</v>
      </c>
      <c r="AH4006" t="s">
        <v>43</v>
      </c>
      <c r="AI4006" t="s">
        <v>43</v>
      </c>
      <c r="AJ4006" t="s">
        <v>43</v>
      </c>
      <c r="AK4006" t="s">
        <v>43</v>
      </c>
      <c r="AL4006" t="s">
        <v>43</v>
      </c>
      <c r="AM4006" t="s">
        <v>43</v>
      </c>
      <c r="AN4006" t="s">
        <v>43</v>
      </c>
    </row>
    <row r="4007" spans="1:40" x14ac:dyDescent="0.3">
      <c r="A4007" s="1">
        <v>46210.535879629628</v>
      </c>
      <c r="B4007" t="s">
        <v>40</v>
      </c>
      <c r="C4007" t="s">
        <v>41</v>
      </c>
      <c r="D4007" s="1">
        <v>46210.541122685187</v>
      </c>
      <c r="E4007" t="s">
        <v>42</v>
      </c>
      <c r="F4007" t="s">
        <v>43</v>
      </c>
      <c r="G4007" t="s">
        <v>43</v>
      </c>
      <c r="H4007" t="s">
        <v>43</v>
      </c>
      <c r="I4007" t="s">
        <v>2328</v>
      </c>
      <c r="J4007" t="s">
        <v>43</v>
      </c>
      <c r="K4007" t="s">
        <v>43</v>
      </c>
      <c r="L4007" t="s">
        <v>43</v>
      </c>
      <c r="M4007" t="s">
        <v>43</v>
      </c>
      <c r="N4007" t="s">
        <v>45</v>
      </c>
      <c r="O4007" t="s">
        <v>43</v>
      </c>
      <c r="P4007" t="s">
        <v>43</v>
      </c>
      <c r="Q4007" t="s">
        <v>43</v>
      </c>
      <c r="R4007" t="s">
        <v>43</v>
      </c>
      <c r="S4007" t="s">
        <v>43</v>
      </c>
      <c r="T4007" t="s">
        <v>43</v>
      </c>
      <c r="U4007" t="s">
        <v>43</v>
      </c>
      <c r="V4007" t="s">
        <v>43</v>
      </c>
      <c r="W4007" t="s">
        <v>43</v>
      </c>
      <c r="X4007" t="s">
        <v>43</v>
      </c>
      <c r="Y4007" t="s">
        <v>43</v>
      </c>
      <c r="Z4007" t="s">
        <v>43</v>
      </c>
      <c r="AA4007" t="s">
        <v>43</v>
      </c>
      <c r="AB4007" t="s">
        <v>43</v>
      </c>
      <c r="AC4007" t="s">
        <v>43</v>
      </c>
      <c r="AD4007" t="s">
        <v>43</v>
      </c>
      <c r="AE4007" t="s">
        <v>43</v>
      </c>
      <c r="AF4007" t="s">
        <v>43</v>
      </c>
      <c r="AG4007" t="s">
        <v>43</v>
      </c>
      <c r="AH4007" t="s">
        <v>43</v>
      </c>
      <c r="AI4007" t="s">
        <v>43</v>
      </c>
      <c r="AJ4007" t="s">
        <v>43</v>
      </c>
      <c r="AK4007" t="s">
        <v>43</v>
      </c>
      <c r="AL4007" t="s">
        <v>43</v>
      </c>
      <c r="AM4007" t="s">
        <v>43</v>
      </c>
      <c r="AN4007" t="str">
        <f>HYPERLINK("https://www.google.com/maps?q=10.76306438,79.69435883","Open Location")</f>
        <v>Open Location</v>
      </c>
    </row>
    <row r="4008" spans="1:40" x14ac:dyDescent="0.3">
      <c r="A4008" s="1">
        <v>46210.535763888889</v>
      </c>
      <c r="B4008" t="s">
        <v>40</v>
      </c>
      <c r="C4008" t="s">
        <v>41</v>
      </c>
      <c r="D4008" s="1">
        <v>46210.542303240742</v>
      </c>
      <c r="E4008" t="s">
        <v>42</v>
      </c>
      <c r="F4008" t="s">
        <v>43</v>
      </c>
      <c r="G4008" t="s">
        <v>43</v>
      </c>
      <c r="H4008" t="s">
        <v>43</v>
      </c>
      <c r="I4008" t="s">
        <v>2328</v>
      </c>
      <c r="J4008" t="s">
        <v>43</v>
      </c>
      <c r="K4008" t="s">
        <v>43</v>
      </c>
      <c r="L4008" t="s">
        <v>43</v>
      </c>
      <c r="M4008" t="s">
        <v>43</v>
      </c>
      <c r="N4008" t="s">
        <v>45</v>
      </c>
      <c r="O4008" t="s">
        <v>43</v>
      </c>
      <c r="P4008" t="s">
        <v>43</v>
      </c>
      <c r="Q4008" t="s">
        <v>43</v>
      </c>
      <c r="R4008" t="s">
        <v>43</v>
      </c>
      <c r="S4008" t="s">
        <v>43</v>
      </c>
      <c r="T4008" t="s">
        <v>43</v>
      </c>
      <c r="U4008" t="s">
        <v>43</v>
      </c>
      <c r="V4008" t="s">
        <v>43</v>
      </c>
      <c r="W4008" t="s">
        <v>43</v>
      </c>
      <c r="X4008" t="s">
        <v>43</v>
      </c>
      <c r="Y4008" t="s">
        <v>43</v>
      </c>
      <c r="Z4008" t="s">
        <v>43</v>
      </c>
      <c r="AA4008" t="s">
        <v>43</v>
      </c>
      <c r="AB4008" t="s">
        <v>43</v>
      </c>
      <c r="AC4008" t="s">
        <v>43</v>
      </c>
      <c r="AD4008" t="s">
        <v>43</v>
      </c>
      <c r="AE4008" t="s">
        <v>43</v>
      </c>
      <c r="AF4008" t="s">
        <v>43</v>
      </c>
      <c r="AG4008" t="s">
        <v>43</v>
      </c>
      <c r="AH4008" t="s">
        <v>43</v>
      </c>
      <c r="AI4008" t="s">
        <v>43</v>
      </c>
      <c r="AJ4008" t="s">
        <v>43</v>
      </c>
      <c r="AK4008" t="s">
        <v>43</v>
      </c>
      <c r="AL4008" t="s">
        <v>43</v>
      </c>
      <c r="AM4008" t="s">
        <v>43</v>
      </c>
      <c r="AN4008" t="str">
        <f>HYPERLINK("https://www.google.com/maps?q=10.76306438,79.69435883","Open Location")</f>
        <v>Open Location</v>
      </c>
    </row>
    <row r="4009" spans="1:40" x14ac:dyDescent="0.3">
      <c r="A4009" s="1">
        <v>46210.53564814815</v>
      </c>
      <c r="B4009" t="s">
        <v>40</v>
      </c>
      <c r="C4009" t="s">
        <v>41</v>
      </c>
      <c r="D4009" s="1">
        <v>46210.54277777778</v>
      </c>
      <c r="E4009" t="s">
        <v>42</v>
      </c>
      <c r="F4009" t="s">
        <v>43</v>
      </c>
      <c r="G4009" t="s">
        <v>43</v>
      </c>
      <c r="H4009" t="s">
        <v>43</v>
      </c>
      <c r="I4009" t="s">
        <v>2267</v>
      </c>
      <c r="J4009" t="s">
        <v>43</v>
      </c>
      <c r="K4009" t="s">
        <v>43</v>
      </c>
      <c r="L4009" t="s">
        <v>43</v>
      </c>
      <c r="M4009" t="s">
        <v>43</v>
      </c>
      <c r="N4009" t="s">
        <v>45</v>
      </c>
      <c r="O4009" t="s">
        <v>43</v>
      </c>
      <c r="P4009" t="s">
        <v>43</v>
      </c>
      <c r="Q4009" t="s">
        <v>43</v>
      </c>
      <c r="R4009" t="s">
        <v>43</v>
      </c>
      <c r="S4009" t="s">
        <v>43</v>
      </c>
      <c r="T4009" t="s">
        <v>43</v>
      </c>
      <c r="U4009" t="s">
        <v>43</v>
      </c>
      <c r="V4009" t="s">
        <v>43</v>
      </c>
      <c r="W4009" t="s">
        <v>43</v>
      </c>
      <c r="X4009" t="s">
        <v>43</v>
      </c>
      <c r="Y4009" t="s">
        <v>43</v>
      </c>
      <c r="Z4009" t="s">
        <v>43</v>
      </c>
      <c r="AA4009" t="s">
        <v>43</v>
      </c>
      <c r="AB4009" t="s">
        <v>43</v>
      </c>
      <c r="AC4009" t="s">
        <v>43</v>
      </c>
      <c r="AD4009" t="s">
        <v>43</v>
      </c>
      <c r="AE4009" t="s">
        <v>43</v>
      </c>
      <c r="AF4009" t="s">
        <v>43</v>
      </c>
      <c r="AG4009" t="s">
        <v>43</v>
      </c>
      <c r="AH4009" t="s">
        <v>43</v>
      </c>
      <c r="AI4009" t="s">
        <v>43</v>
      </c>
      <c r="AJ4009" t="s">
        <v>43</v>
      </c>
      <c r="AK4009" t="s">
        <v>43</v>
      </c>
      <c r="AL4009" t="s">
        <v>43</v>
      </c>
      <c r="AM4009" t="s">
        <v>43</v>
      </c>
      <c r="AN4009" t="str">
        <f>HYPERLINK("https://www.google.com/maps?q=10.76306438,79.69436646","Open Location")</f>
        <v>Open Location</v>
      </c>
    </row>
    <row r="4010" spans="1:40" x14ac:dyDescent="0.3">
      <c r="A4010" s="1">
        <v>46210.535532407404</v>
      </c>
      <c r="B4010" t="s">
        <v>40</v>
      </c>
      <c r="C4010" t="s">
        <v>41</v>
      </c>
      <c r="D4010" s="1">
        <v>46210.54277777778</v>
      </c>
      <c r="E4010" t="s">
        <v>42</v>
      </c>
      <c r="F4010" t="s">
        <v>43</v>
      </c>
      <c r="G4010" t="s">
        <v>43</v>
      </c>
      <c r="H4010" t="s">
        <v>43</v>
      </c>
      <c r="I4010" t="s">
        <v>2268</v>
      </c>
      <c r="J4010" t="s">
        <v>43</v>
      </c>
      <c r="K4010" t="s">
        <v>43</v>
      </c>
      <c r="L4010" t="s">
        <v>43</v>
      </c>
      <c r="M4010" t="s">
        <v>43</v>
      </c>
      <c r="N4010" t="s">
        <v>45</v>
      </c>
      <c r="O4010" t="s">
        <v>43</v>
      </c>
      <c r="P4010" t="s">
        <v>43</v>
      </c>
      <c r="Q4010" t="s">
        <v>43</v>
      </c>
      <c r="R4010" t="s">
        <v>43</v>
      </c>
      <c r="S4010" t="s">
        <v>43</v>
      </c>
      <c r="T4010" t="s">
        <v>43</v>
      </c>
      <c r="U4010" t="s">
        <v>43</v>
      </c>
      <c r="V4010" t="s">
        <v>43</v>
      </c>
      <c r="W4010" t="s">
        <v>43</v>
      </c>
      <c r="X4010" t="s">
        <v>43</v>
      </c>
      <c r="Y4010" t="s">
        <v>43</v>
      </c>
      <c r="Z4010" t="s">
        <v>43</v>
      </c>
      <c r="AA4010" t="s">
        <v>43</v>
      </c>
      <c r="AB4010" t="s">
        <v>43</v>
      </c>
      <c r="AC4010" t="s">
        <v>43</v>
      </c>
      <c r="AD4010" t="s">
        <v>43</v>
      </c>
      <c r="AE4010" t="s">
        <v>43</v>
      </c>
      <c r="AF4010" t="s">
        <v>43</v>
      </c>
      <c r="AG4010" t="s">
        <v>43</v>
      </c>
      <c r="AH4010" t="s">
        <v>43</v>
      </c>
      <c r="AI4010" t="s">
        <v>43</v>
      </c>
      <c r="AJ4010" t="s">
        <v>43</v>
      </c>
      <c r="AK4010" t="s">
        <v>43</v>
      </c>
      <c r="AL4010" t="s">
        <v>43</v>
      </c>
      <c r="AM4010" t="s">
        <v>43</v>
      </c>
      <c r="AN4010" t="str">
        <f>HYPERLINK("https://www.google.com/maps?q=10.76306152,79.69436646","Open Location")</f>
        <v>Open Location</v>
      </c>
    </row>
    <row r="4011" spans="1:40" x14ac:dyDescent="0.3">
      <c r="A4011" s="1">
        <v>46210.535416666666</v>
      </c>
      <c r="B4011" t="s">
        <v>40</v>
      </c>
      <c r="C4011" t="s">
        <v>41</v>
      </c>
      <c r="D4011" s="1">
        <v>46210.539849537039</v>
      </c>
      <c r="E4011" t="s">
        <v>42</v>
      </c>
      <c r="F4011" t="s">
        <v>43</v>
      </c>
      <c r="G4011" t="s">
        <v>43</v>
      </c>
      <c r="H4011" t="s">
        <v>43</v>
      </c>
      <c r="I4011" t="s">
        <v>43</v>
      </c>
      <c r="J4011" t="s">
        <v>43</v>
      </c>
      <c r="K4011" t="s">
        <v>43</v>
      </c>
      <c r="L4011" t="s">
        <v>43</v>
      </c>
      <c r="M4011" t="s">
        <v>43</v>
      </c>
      <c r="N4011" t="s">
        <v>45</v>
      </c>
      <c r="O4011" t="s">
        <v>43</v>
      </c>
      <c r="P4011" t="s">
        <v>43</v>
      </c>
      <c r="Q4011" t="s">
        <v>43</v>
      </c>
      <c r="R4011" t="s">
        <v>43</v>
      </c>
      <c r="S4011" t="s">
        <v>43</v>
      </c>
      <c r="T4011" t="s">
        <v>43</v>
      </c>
      <c r="U4011" t="s">
        <v>43</v>
      </c>
      <c r="V4011" t="s">
        <v>43</v>
      </c>
      <c r="W4011" t="s">
        <v>43</v>
      </c>
      <c r="X4011" t="s">
        <v>43</v>
      </c>
      <c r="Y4011" t="s">
        <v>43</v>
      </c>
      <c r="Z4011" t="s">
        <v>43</v>
      </c>
      <c r="AA4011" t="s">
        <v>43</v>
      </c>
      <c r="AB4011" t="s">
        <v>43</v>
      </c>
      <c r="AC4011" t="s">
        <v>43</v>
      </c>
      <c r="AD4011" t="s">
        <v>43</v>
      </c>
      <c r="AE4011" t="s">
        <v>43</v>
      </c>
      <c r="AF4011" t="s">
        <v>43</v>
      </c>
      <c r="AG4011" t="s">
        <v>43</v>
      </c>
      <c r="AH4011" t="s">
        <v>43</v>
      </c>
      <c r="AI4011" t="s">
        <v>43</v>
      </c>
      <c r="AJ4011" t="s">
        <v>43</v>
      </c>
      <c r="AK4011" t="s">
        <v>43</v>
      </c>
      <c r="AL4011" t="s">
        <v>43</v>
      </c>
      <c r="AM4011" t="s">
        <v>43</v>
      </c>
      <c r="AN4011" t="s">
        <v>43</v>
      </c>
    </row>
    <row r="4012" spans="1:40" x14ac:dyDescent="0.3">
      <c r="A4012" s="1">
        <v>46210.535300925927</v>
      </c>
      <c r="B4012" t="s">
        <v>40</v>
      </c>
      <c r="C4012" t="s">
        <v>41</v>
      </c>
      <c r="D4012" s="1">
        <v>46210.540682870371</v>
      </c>
      <c r="E4012" t="s">
        <v>42</v>
      </c>
      <c r="F4012" t="s">
        <v>43</v>
      </c>
      <c r="G4012" t="s">
        <v>43</v>
      </c>
      <c r="H4012" t="s">
        <v>43</v>
      </c>
      <c r="I4012" t="s">
        <v>2257</v>
      </c>
      <c r="J4012" t="s">
        <v>43</v>
      </c>
      <c r="K4012" t="s">
        <v>43</v>
      </c>
      <c r="L4012" t="s">
        <v>43</v>
      </c>
      <c r="M4012" t="s">
        <v>43</v>
      </c>
      <c r="N4012" t="s">
        <v>45</v>
      </c>
      <c r="O4012" t="s">
        <v>43</v>
      </c>
      <c r="P4012" t="s">
        <v>43</v>
      </c>
      <c r="Q4012" t="s">
        <v>43</v>
      </c>
      <c r="R4012" t="s">
        <v>43</v>
      </c>
      <c r="S4012" t="s">
        <v>43</v>
      </c>
      <c r="T4012" t="s">
        <v>43</v>
      </c>
      <c r="U4012" t="s">
        <v>43</v>
      </c>
      <c r="V4012" t="s">
        <v>43</v>
      </c>
      <c r="W4012" t="s">
        <v>43</v>
      </c>
      <c r="X4012" t="s">
        <v>43</v>
      </c>
      <c r="Y4012" t="s">
        <v>43</v>
      </c>
      <c r="Z4012" t="s">
        <v>43</v>
      </c>
      <c r="AA4012" t="s">
        <v>43</v>
      </c>
      <c r="AB4012" t="s">
        <v>43</v>
      </c>
      <c r="AC4012" t="s">
        <v>43</v>
      </c>
      <c r="AD4012" t="s">
        <v>43</v>
      </c>
      <c r="AE4012" t="s">
        <v>43</v>
      </c>
      <c r="AF4012" t="s">
        <v>43</v>
      </c>
      <c r="AG4012" t="s">
        <v>43</v>
      </c>
      <c r="AH4012" t="s">
        <v>43</v>
      </c>
      <c r="AI4012" t="s">
        <v>43</v>
      </c>
      <c r="AJ4012" t="s">
        <v>43</v>
      </c>
      <c r="AK4012" t="s">
        <v>43</v>
      </c>
      <c r="AL4012" t="s">
        <v>43</v>
      </c>
      <c r="AM4012" t="s">
        <v>43</v>
      </c>
      <c r="AN4012" t="str">
        <f>HYPERLINK("https://www.google.com/maps?q=10.76306057,79.69436646","Open Location")</f>
        <v>Open Location</v>
      </c>
    </row>
    <row r="4013" spans="1:40" x14ac:dyDescent="0.3">
      <c r="A4013" s="1">
        <v>46210.535185185188</v>
      </c>
      <c r="B4013" t="s">
        <v>40</v>
      </c>
      <c r="C4013" t="s">
        <v>41</v>
      </c>
      <c r="D4013" s="1">
        <v>46210.540902777779</v>
      </c>
      <c r="E4013" t="s">
        <v>42</v>
      </c>
      <c r="F4013" t="s">
        <v>43</v>
      </c>
      <c r="G4013" t="s">
        <v>43</v>
      </c>
      <c r="H4013" t="s">
        <v>43</v>
      </c>
      <c r="I4013" t="s">
        <v>2301</v>
      </c>
      <c r="J4013" t="s">
        <v>43</v>
      </c>
      <c r="K4013" t="s">
        <v>43</v>
      </c>
      <c r="L4013" t="s">
        <v>43</v>
      </c>
      <c r="M4013" t="s">
        <v>43</v>
      </c>
      <c r="N4013" t="s">
        <v>45</v>
      </c>
      <c r="O4013" t="s">
        <v>43</v>
      </c>
      <c r="P4013" t="s">
        <v>43</v>
      </c>
      <c r="Q4013" t="s">
        <v>43</v>
      </c>
      <c r="R4013" t="s">
        <v>43</v>
      </c>
      <c r="S4013" t="s">
        <v>43</v>
      </c>
      <c r="T4013" t="s">
        <v>43</v>
      </c>
      <c r="U4013" t="s">
        <v>43</v>
      </c>
      <c r="V4013" t="s">
        <v>43</v>
      </c>
      <c r="W4013" t="s">
        <v>43</v>
      </c>
      <c r="X4013" t="s">
        <v>43</v>
      </c>
      <c r="Y4013" t="s">
        <v>43</v>
      </c>
      <c r="Z4013" t="s">
        <v>43</v>
      </c>
      <c r="AA4013" t="s">
        <v>43</v>
      </c>
      <c r="AB4013" t="s">
        <v>43</v>
      </c>
      <c r="AC4013" t="s">
        <v>43</v>
      </c>
      <c r="AD4013" t="s">
        <v>43</v>
      </c>
      <c r="AE4013" t="s">
        <v>43</v>
      </c>
      <c r="AF4013" t="s">
        <v>43</v>
      </c>
      <c r="AG4013" t="s">
        <v>43</v>
      </c>
      <c r="AH4013" t="s">
        <v>43</v>
      </c>
      <c r="AI4013" t="s">
        <v>43</v>
      </c>
      <c r="AJ4013" t="s">
        <v>43</v>
      </c>
      <c r="AK4013" t="s">
        <v>43</v>
      </c>
      <c r="AL4013" t="s">
        <v>43</v>
      </c>
      <c r="AM4013" t="s">
        <v>43</v>
      </c>
      <c r="AN4013" t="str">
        <f>HYPERLINK("https://www.google.com/maps?q=10.76305962,79.69436646","Open Location")</f>
        <v>Open Location</v>
      </c>
    </row>
    <row r="4014" spans="1:40" x14ac:dyDescent="0.3">
      <c r="A4014" s="1">
        <v>46210.535069444442</v>
      </c>
      <c r="B4014" t="s">
        <v>40</v>
      </c>
      <c r="C4014" t="s">
        <v>41</v>
      </c>
      <c r="D4014" s="1">
        <v>46210.540196759262</v>
      </c>
      <c r="E4014" t="s">
        <v>42</v>
      </c>
      <c r="F4014" t="s">
        <v>43</v>
      </c>
      <c r="G4014" t="s">
        <v>43</v>
      </c>
      <c r="H4014" t="s">
        <v>43</v>
      </c>
      <c r="I4014" t="s">
        <v>2268</v>
      </c>
      <c r="J4014" t="s">
        <v>43</v>
      </c>
      <c r="K4014" t="s">
        <v>43</v>
      </c>
      <c r="L4014" t="s">
        <v>43</v>
      </c>
      <c r="M4014" t="s">
        <v>43</v>
      </c>
      <c r="N4014" t="s">
        <v>45</v>
      </c>
      <c r="O4014" t="s">
        <v>43</v>
      </c>
      <c r="P4014" t="s">
        <v>43</v>
      </c>
      <c r="Q4014" t="s">
        <v>43</v>
      </c>
      <c r="R4014" t="s">
        <v>43</v>
      </c>
      <c r="S4014" t="s">
        <v>43</v>
      </c>
      <c r="T4014" t="s">
        <v>43</v>
      </c>
      <c r="U4014" t="s">
        <v>43</v>
      </c>
      <c r="V4014" t="s">
        <v>43</v>
      </c>
      <c r="W4014" t="s">
        <v>43</v>
      </c>
      <c r="X4014" t="s">
        <v>43</v>
      </c>
      <c r="Y4014" t="s">
        <v>43</v>
      </c>
      <c r="Z4014" t="s">
        <v>43</v>
      </c>
      <c r="AA4014" t="s">
        <v>43</v>
      </c>
      <c r="AB4014" t="s">
        <v>43</v>
      </c>
      <c r="AC4014" t="s">
        <v>43</v>
      </c>
      <c r="AD4014" t="s">
        <v>43</v>
      </c>
      <c r="AE4014" t="s">
        <v>43</v>
      </c>
      <c r="AF4014" t="s">
        <v>43</v>
      </c>
      <c r="AG4014" t="s">
        <v>43</v>
      </c>
      <c r="AH4014" t="s">
        <v>43</v>
      </c>
      <c r="AI4014" t="s">
        <v>43</v>
      </c>
      <c r="AJ4014" t="s">
        <v>43</v>
      </c>
      <c r="AK4014" t="s">
        <v>43</v>
      </c>
      <c r="AL4014" t="s">
        <v>43</v>
      </c>
      <c r="AM4014" t="s">
        <v>43</v>
      </c>
      <c r="AN4014" t="str">
        <f>HYPERLINK("https://www.google.com/maps?q=10.76306152,79.69436646","Open Location")</f>
        <v>Open Location</v>
      </c>
    </row>
    <row r="4015" spans="1:40" x14ac:dyDescent="0.3">
      <c r="A4015" s="1">
        <v>46210.534953703704</v>
      </c>
      <c r="B4015" t="s">
        <v>40</v>
      </c>
      <c r="C4015" t="s">
        <v>41</v>
      </c>
      <c r="D4015" s="1">
        <v>46210.538668981484</v>
      </c>
      <c r="E4015" t="s">
        <v>42</v>
      </c>
      <c r="F4015" t="s">
        <v>43</v>
      </c>
      <c r="G4015" t="s">
        <v>43</v>
      </c>
      <c r="H4015" t="s">
        <v>43</v>
      </c>
      <c r="I4015" t="s">
        <v>2266</v>
      </c>
      <c r="J4015" t="s">
        <v>43</v>
      </c>
      <c r="K4015" t="s">
        <v>43</v>
      </c>
      <c r="L4015" t="s">
        <v>43</v>
      </c>
      <c r="M4015" t="s">
        <v>43</v>
      </c>
      <c r="N4015" t="s">
        <v>45</v>
      </c>
      <c r="O4015" t="s">
        <v>43</v>
      </c>
      <c r="P4015" t="s">
        <v>43</v>
      </c>
      <c r="Q4015" t="s">
        <v>43</v>
      </c>
      <c r="R4015" t="s">
        <v>43</v>
      </c>
      <c r="S4015" t="s">
        <v>43</v>
      </c>
      <c r="T4015" t="s">
        <v>43</v>
      </c>
      <c r="U4015" t="s">
        <v>43</v>
      </c>
      <c r="V4015" t="s">
        <v>43</v>
      </c>
      <c r="W4015" t="s">
        <v>43</v>
      </c>
      <c r="X4015" t="s">
        <v>43</v>
      </c>
      <c r="Y4015" t="s">
        <v>43</v>
      </c>
      <c r="Z4015" t="s">
        <v>43</v>
      </c>
      <c r="AA4015" t="s">
        <v>43</v>
      </c>
      <c r="AB4015" t="s">
        <v>43</v>
      </c>
      <c r="AC4015" t="s">
        <v>43</v>
      </c>
      <c r="AD4015" t="s">
        <v>43</v>
      </c>
      <c r="AE4015" t="s">
        <v>43</v>
      </c>
      <c r="AF4015" t="s">
        <v>43</v>
      </c>
      <c r="AG4015" t="s">
        <v>43</v>
      </c>
      <c r="AH4015" t="s">
        <v>43</v>
      </c>
      <c r="AI4015" t="s">
        <v>43</v>
      </c>
      <c r="AJ4015" t="s">
        <v>43</v>
      </c>
      <c r="AK4015" t="s">
        <v>43</v>
      </c>
      <c r="AL4015" t="s">
        <v>43</v>
      </c>
      <c r="AM4015" t="s">
        <v>43</v>
      </c>
      <c r="AN4015" t="str">
        <f>HYPERLINK("https://www.google.com/maps?q=10.76306343,79.69436646","Open Location")</f>
        <v>Open Location</v>
      </c>
    </row>
    <row r="4016" spans="1:40" x14ac:dyDescent="0.3">
      <c r="A4016" s="1">
        <v>46210.534837962965</v>
      </c>
      <c r="B4016" t="s">
        <v>40</v>
      </c>
      <c r="C4016" t="s">
        <v>41</v>
      </c>
      <c r="D4016" s="1">
        <v>46210.5390625</v>
      </c>
      <c r="E4016" t="s">
        <v>42</v>
      </c>
      <c r="F4016" t="s">
        <v>43</v>
      </c>
      <c r="G4016" t="s">
        <v>43</v>
      </c>
      <c r="H4016" t="s">
        <v>43</v>
      </c>
      <c r="I4016" t="s">
        <v>2268</v>
      </c>
      <c r="J4016" t="s">
        <v>43</v>
      </c>
      <c r="K4016" t="s">
        <v>43</v>
      </c>
      <c r="L4016" t="s">
        <v>43</v>
      </c>
      <c r="M4016" t="s">
        <v>43</v>
      </c>
      <c r="N4016" t="s">
        <v>45</v>
      </c>
      <c r="O4016" t="s">
        <v>43</v>
      </c>
      <c r="P4016" t="s">
        <v>43</v>
      </c>
      <c r="Q4016" t="s">
        <v>43</v>
      </c>
      <c r="R4016" t="s">
        <v>43</v>
      </c>
      <c r="S4016" t="s">
        <v>43</v>
      </c>
      <c r="T4016" t="s">
        <v>43</v>
      </c>
      <c r="U4016" t="s">
        <v>43</v>
      </c>
      <c r="V4016" t="s">
        <v>43</v>
      </c>
      <c r="W4016" t="s">
        <v>43</v>
      </c>
      <c r="X4016" t="s">
        <v>43</v>
      </c>
      <c r="Y4016" t="s">
        <v>43</v>
      </c>
      <c r="Z4016" t="s">
        <v>43</v>
      </c>
      <c r="AA4016" t="s">
        <v>43</v>
      </c>
      <c r="AB4016" t="s">
        <v>43</v>
      </c>
      <c r="AC4016" t="s">
        <v>43</v>
      </c>
      <c r="AD4016" t="s">
        <v>43</v>
      </c>
      <c r="AE4016" t="s">
        <v>43</v>
      </c>
      <c r="AF4016" t="s">
        <v>43</v>
      </c>
      <c r="AG4016" t="s">
        <v>43</v>
      </c>
      <c r="AH4016" t="s">
        <v>43</v>
      </c>
      <c r="AI4016" t="s">
        <v>43</v>
      </c>
      <c r="AJ4016" t="s">
        <v>43</v>
      </c>
      <c r="AK4016" t="s">
        <v>43</v>
      </c>
      <c r="AL4016" t="s">
        <v>43</v>
      </c>
      <c r="AM4016" t="s">
        <v>43</v>
      </c>
      <c r="AN4016" t="str">
        <f>HYPERLINK("https://www.google.com/maps?q=10.76306152,79.69436646","Open Location")</f>
        <v>Open Location</v>
      </c>
    </row>
    <row r="4017" spans="1:40" x14ac:dyDescent="0.3">
      <c r="A4017" s="1">
        <v>46210.534722222219</v>
      </c>
      <c r="B4017" t="s">
        <v>40</v>
      </c>
      <c r="C4017" t="s">
        <v>41</v>
      </c>
      <c r="D4017" s="1">
        <v>46210.539282407408</v>
      </c>
      <c r="E4017" t="s">
        <v>42</v>
      </c>
      <c r="F4017" t="s">
        <v>43</v>
      </c>
      <c r="G4017" t="s">
        <v>43</v>
      </c>
      <c r="H4017" t="s">
        <v>43</v>
      </c>
      <c r="I4017" t="s">
        <v>43</v>
      </c>
      <c r="J4017" t="s">
        <v>43</v>
      </c>
      <c r="K4017" t="s">
        <v>43</v>
      </c>
      <c r="L4017" t="s">
        <v>43</v>
      </c>
      <c r="M4017" t="s">
        <v>43</v>
      </c>
      <c r="N4017" t="s">
        <v>45</v>
      </c>
      <c r="O4017" t="s">
        <v>43</v>
      </c>
      <c r="P4017" t="s">
        <v>43</v>
      </c>
      <c r="Q4017" t="s">
        <v>43</v>
      </c>
      <c r="R4017" t="s">
        <v>43</v>
      </c>
      <c r="S4017" t="s">
        <v>43</v>
      </c>
      <c r="T4017" t="s">
        <v>43</v>
      </c>
      <c r="U4017" t="s">
        <v>43</v>
      </c>
      <c r="V4017" t="s">
        <v>43</v>
      </c>
      <c r="W4017" t="s">
        <v>43</v>
      </c>
      <c r="X4017" t="s">
        <v>43</v>
      </c>
      <c r="Y4017" t="s">
        <v>43</v>
      </c>
      <c r="Z4017" t="s">
        <v>43</v>
      </c>
      <c r="AA4017" t="s">
        <v>43</v>
      </c>
      <c r="AB4017" t="s">
        <v>43</v>
      </c>
      <c r="AC4017" t="s">
        <v>43</v>
      </c>
      <c r="AD4017" t="s">
        <v>43</v>
      </c>
      <c r="AE4017" t="s">
        <v>43</v>
      </c>
      <c r="AF4017" t="s">
        <v>43</v>
      </c>
      <c r="AG4017" t="s">
        <v>43</v>
      </c>
      <c r="AH4017" t="s">
        <v>43</v>
      </c>
      <c r="AI4017" t="s">
        <v>43</v>
      </c>
      <c r="AJ4017" t="s">
        <v>43</v>
      </c>
      <c r="AK4017" t="s">
        <v>43</v>
      </c>
      <c r="AL4017" t="s">
        <v>43</v>
      </c>
      <c r="AM4017" t="s">
        <v>43</v>
      </c>
      <c r="AN4017" t="s">
        <v>43</v>
      </c>
    </row>
    <row r="4018" spans="1:40" x14ac:dyDescent="0.3">
      <c r="A4018" s="1">
        <v>46210.53460648148</v>
      </c>
      <c r="B4018" t="s">
        <v>40</v>
      </c>
      <c r="C4018" t="s">
        <v>41</v>
      </c>
      <c r="D4018" s="1">
        <v>46210.539120370369</v>
      </c>
      <c r="E4018" t="s">
        <v>42</v>
      </c>
      <c r="F4018" t="s">
        <v>43</v>
      </c>
      <c r="G4018" t="s">
        <v>43</v>
      </c>
      <c r="H4018" t="s">
        <v>43</v>
      </c>
      <c r="I4018" t="s">
        <v>2268</v>
      </c>
      <c r="J4018" t="s">
        <v>43</v>
      </c>
      <c r="K4018" t="s">
        <v>43</v>
      </c>
      <c r="L4018" t="s">
        <v>43</v>
      </c>
      <c r="M4018" t="s">
        <v>43</v>
      </c>
      <c r="N4018" t="s">
        <v>45</v>
      </c>
      <c r="O4018" t="s">
        <v>43</v>
      </c>
      <c r="P4018" t="s">
        <v>43</v>
      </c>
      <c r="Q4018" t="s">
        <v>43</v>
      </c>
      <c r="R4018" t="s">
        <v>43</v>
      </c>
      <c r="S4018" t="s">
        <v>43</v>
      </c>
      <c r="T4018" t="s">
        <v>43</v>
      </c>
      <c r="U4018" t="s">
        <v>43</v>
      </c>
      <c r="V4018" t="s">
        <v>43</v>
      </c>
      <c r="W4018" t="s">
        <v>43</v>
      </c>
      <c r="X4018" t="s">
        <v>43</v>
      </c>
      <c r="Y4018" t="s">
        <v>43</v>
      </c>
      <c r="Z4018" t="s">
        <v>43</v>
      </c>
      <c r="AA4018" t="s">
        <v>43</v>
      </c>
      <c r="AB4018" t="s">
        <v>43</v>
      </c>
      <c r="AC4018" t="s">
        <v>43</v>
      </c>
      <c r="AD4018" t="s">
        <v>43</v>
      </c>
      <c r="AE4018" t="s">
        <v>43</v>
      </c>
      <c r="AF4018" t="s">
        <v>43</v>
      </c>
      <c r="AG4018" t="s">
        <v>43</v>
      </c>
      <c r="AH4018" t="s">
        <v>43</v>
      </c>
      <c r="AI4018" t="s">
        <v>43</v>
      </c>
      <c r="AJ4018" t="s">
        <v>43</v>
      </c>
      <c r="AK4018" t="s">
        <v>43</v>
      </c>
      <c r="AL4018" t="s">
        <v>43</v>
      </c>
      <c r="AM4018" t="s">
        <v>43</v>
      </c>
      <c r="AN4018" t="str">
        <f>HYPERLINK("https://www.google.com/maps?q=10.76306152,79.69436646","Open Location")</f>
        <v>Open Location</v>
      </c>
    </row>
    <row r="4019" spans="1:40" x14ac:dyDescent="0.3">
      <c r="A4019" s="1">
        <v>46210.534490740742</v>
      </c>
      <c r="B4019" t="s">
        <v>40</v>
      </c>
      <c r="C4019" t="s">
        <v>41</v>
      </c>
      <c r="D4019" s="1">
        <v>46210.538472222222</v>
      </c>
      <c r="E4019" t="s">
        <v>43</v>
      </c>
      <c r="F4019" t="s">
        <v>43</v>
      </c>
      <c r="G4019" t="s">
        <v>43</v>
      </c>
      <c r="H4019" t="s">
        <v>43</v>
      </c>
      <c r="I4019" t="s">
        <v>2329</v>
      </c>
      <c r="J4019" t="s">
        <v>43</v>
      </c>
      <c r="K4019" t="s">
        <v>43</v>
      </c>
      <c r="L4019" t="s">
        <v>43</v>
      </c>
      <c r="M4019" t="s">
        <v>43</v>
      </c>
      <c r="N4019" t="s">
        <v>45</v>
      </c>
      <c r="O4019" t="s">
        <v>43</v>
      </c>
      <c r="P4019" t="s">
        <v>43</v>
      </c>
      <c r="Q4019" t="s">
        <v>43</v>
      </c>
      <c r="R4019" t="s">
        <v>43</v>
      </c>
      <c r="S4019" t="s">
        <v>43</v>
      </c>
      <c r="T4019" t="s">
        <v>43</v>
      </c>
      <c r="U4019" t="s">
        <v>43</v>
      </c>
      <c r="V4019" t="s">
        <v>43</v>
      </c>
      <c r="W4019" t="s">
        <v>43</v>
      </c>
      <c r="X4019" t="s">
        <v>43</v>
      </c>
      <c r="Y4019" t="s">
        <v>43</v>
      </c>
      <c r="Z4019" t="s">
        <v>43</v>
      </c>
      <c r="AA4019" t="s">
        <v>43</v>
      </c>
      <c r="AB4019" t="s">
        <v>43</v>
      </c>
      <c r="AC4019" t="s">
        <v>43</v>
      </c>
      <c r="AD4019" t="s">
        <v>43</v>
      </c>
      <c r="AE4019" t="s">
        <v>43</v>
      </c>
      <c r="AF4019" t="s">
        <v>43</v>
      </c>
      <c r="AG4019" t="s">
        <v>43</v>
      </c>
      <c r="AH4019" t="s">
        <v>43</v>
      </c>
      <c r="AI4019" t="s">
        <v>43</v>
      </c>
      <c r="AJ4019" t="s">
        <v>43</v>
      </c>
      <c r="AK4019" t="s">
        <v>43</v>
      </c>
      <c r="AL4019" t="s">
        <v>43</v>
      </c>
      <c r="AM4019" t="s">
        <v>43</v>
      </c>
      <c r="AN4019" t="str">
        <f>HYPERLINK("https://www.google.com/maps?q=10.76306343,79.69435883","Open Location")</f>
        <v>Open Location</v>
      </c>
    </row>
    <row r="4020" spans="1:40" x14ac:dyDescent="0.3">
      <c r="A4020" s="1">
        <v>46210.534375000003</v>
      </c>
      <c r="B4020" t="s">
        <v>40</v>
      </c>
      <c r="C4020" t="s">
        <v>41</v>
      </c>
      <c r="D4020" s="1">
        <v>46210.540266203701</v>
      </c>
      <c r="E4020" t="s">
        <v>43</v>
      </c>
      <c r="F4020" t="s">
        <v>43</v>
      </c>
      <c r="G4020" t="s">
        <v>43</v>
      </c>
      <c r="H4020" t="s">
        <v>43</v>
      </c>
      <c r="I4020" t="s">
        <v>2265</v>
      </c>
      <c r="J4020" t="s">
        <v>43</v>
      </c>
      <c r="K4020" t="s">
        <v>43</v>
      </c>
      <c r="L4020" t="s">
        <v>43</v>
      </c>
      <c r="M4020" t="s">
        <v>43</v>
      </c>
      <c r="N4020" t="s">
        <v>45</v>
      </c>
      <c r="O4020" t="s">
        <v>43</v>
      </c>
      <c r="P4020" t="s">
        <v>43</v>
      </c>
      <c r="Q4020" t="s">
        <v>43</v>
      </c>
      <c r="R4020" t="s">
        <v>43</v>
      </c>
      <c r="S4020" t="s">
        <v>43</v>
      </c>
      <c r="T4020" t="s">
        <v>43</v>
      </c>
      <c r="U4020" t="s">
        <v>43</v>
      </c>
      <c r="V4020" t="s">
        <v>43</v>
      </c>
      <c r="W4020" t="s">
        <v>43</v>
      </c>
      <c r="X4020" t="s">
        <v>43</v>
      </c>
      <c r="Y4020" t="s">
        <v>43</v>
      </c>
      <c r="Z4020" t="s">
        <v>43</v>
      </c>
      <c r="AA4020" t="s">
        <v>43</v>
      </c>
      <c r="AB4020" t="s">
        <v>43</v>
      </c>
      <c r="AC4020" t="s">
        <v>43</v>
      </c>
      <c r="AD4020" t="s">
        <v>43</v>
      </c>
      <c r="AE4020" t="s">
        <v>43</v>
      </c>
      <c r="AF4020" t="s">
        <v>43</v>
      </c>
      <c r="AG4020" t="s">
        <v>43</v>
      </c>
      <c r="AH4020" t="s">
        <v>43</v>
      </c>
      <c r="AI4020" t="s">
        <v>43</v>
      </c>
      <c r="AJ4020" t="s">
        <v>43</v>
      </c>
      <c r="AK4020" t="s">
        <v>43</v>
      </c>
      <c r="AL4020" t="s">
        <v>43</v>
      </c>
      <c r="AM4020" t="s">
        <v>43</v>
      </c>
      <c r="AN4020" t="str">
        <f>HYPERLINK("https://www.google.com/maps?q=10.76305962,79.69435883","Open Location")</f>
        <v>Open Location</v>
      </c>
    </row>
    <row r="4021" spans="1:40" x14ac:dyDescent="0.3">
      <c r="A4021" s="1">
        <v>46210.534259259257</v>
      </c>
      <c r="B4021" t="s">
        <v>40</v>
      </c>
      <c r="C4021" t="s">
        <v>41</v>
      </c>
      <c r="D4021" s="1">
        <v>46210.540347222224</v>
      </c>
      <c r="E4021" t="s">
        <v>42</v>
      </c>
      <c r="F4021" t="s">
        <v>43</v>
      </c>
      <c r="G4021" t="s">
        <v>43</v>
      </c>
      <c r="H4021" t="s">
        <v>43</v>
      </c>
      <c r="I4021" t="s">
        <v>2307</v>
      </c>
      <c r="J4021" t="s">
        <v>43</v>
      </c>
      <c r="K4021" t="s">
        <v>43</v>
      </c>
      <c r="L4021" t="s">
        <v>43</v>
      </c>
      <c r="M4021" t="s">
        <v>43</v>
      </c>
      <c r="N4021" t="s">
        <v>45</v>
      </c>
      <c r="O4021" t="s">
        <v>43</v>
      </c>
      <c r="P4021" t="s">
        <v>43</v>
      </c>
      <c r="Q4021" t="s">
        <v>43</v>
      </c>
      <c r="R4021" t="s">
        <v>43</v>
      </c>
      <c r="S4021" t="s">
        <v>43</v>
      </c>
      <c r="T4021" t="s">
        <v>43</v>
      </c>
      <c r="U4021" t="s">
        <v>43</v>
      </c>
      <c r="V4021" t="s">
        <v>43</v>
      </c>
      <c r="W4021" t="s">
        <v>43</v>
      </c>
      <c r="X4021" t="s">
        <v>43</v>
      </c>
      <c r="Y4021" t="s">
        <v>43</v>
      </c>
      <c r="Z4021" t="s">
        <v>43</v>
      </c>
      <c r="AA4021" t="s">
        <v>43</v>
      </c>
      <c r="AB4021" t="s">
        <v>43</v>
      </c>
      <c r="AC4021" t="s">
        <v>43</v>
      </c>
      <c r="AD4021" t="s">
        <v>43</v>
      </c>
      <c r="AE4021" t="s">
        <v>43</v>
      </c>
      <c r="AF4021" t="s">
        <v>43</v>
      </c>
      <c r="AG4021" t="s">
        <v>43</v>
      </c>
      <c r="AH4021" t="s">
        <v>43</v>
      </c>
      <c r="AI4021" t="s">
        <v>43</v>
      </c>
      <c r="AJ4021" t="s">
        <v>43</v>
      </c>
      <c r="AK4021" t="s">
        <v>43</v>
      </c>
      <c r="AL4021" t="s">
        <v>43</v>
      </c>
      <c r="AM4021" t="s">
        <v>43</v>
      </c>
      <c r="AN4021" t="str">
        <f>HYPERLINK("https://www.google.com/maps?q=10.76305866,79.69436646","Open Location")</f>
        <v>Open Location</v>
      </c>
    </row>
    <row r="4022" spans="1:40" x14ac:dyDescent="0.3">
      <c r="A4022" s="1">
        <v>46210.534143518518</v>
      </c>
      <c r="B4022" t="s">
        <v>40</v>
      </c>
      <c r="C4022" t="s">
        <v>41</v>
      </c>
      <c r="D4022" s="1">
        <v>46210.540266203701</v>
      </c>
      <c r="E4022" t="s">
        <v>42</v>
      </c>
      <c r="F4022" t="s">
        <v>43</v>
      </c>
      <c r="G4022" t="s">
        <v>43</v>
      </c>
      <c r="H4022" t="s">
        <v>43</v>
      </c>
      <c r="I4022" t="s">
        <v>2302</v>
      </c>
      <c r="J4022" t="s">
        <v>43</v>
      </c>
      <c r="K4022" t="s">
        <v>43</v>
      </c>
      <c r="L4022" t="s">
        <v>43</v>
      </c>
      <c r="M4022" t="s">
        <v>43</v>
      </c>
      <c r="N4022" t="s">
        <v>45</v>
      </c>
      <c r="O4022" t="s">
        <v>43</v>
      </c>
      <c r="P4022" t="s">
        <v>43</v>
      </c>
      <c r="Q4022" t="s">
        <v>43</v>
      </c>
      <c r="R4022" t="s">
        <v>43</v>
      </c>
      <c r="S4022" t="s">
        <v>43</v>
      </c>
      <c r="T4022" t="s">
        <v>43</v>
      </c>
      <c r="U4022" t="s">
        <v>43</v>
      </c>
      <c r="V4022" t="s">
        <v>43</v>
      </c>
      <c r="W4022" t="s">
        <v>43</v>
      </c>
      <c r="X4022" t="s">
        <v>43</v>
      </c>
      <c r="Y4022" t="s">
        <v>43</v>
      </c>
      <c r="Z4022" t="s">
        <v>43</v>
      </c>
      <c r="AA4022" t="s">
        <v>43</v>
      </c>
      <c r="AB4022" t="s">
        <v>43</v>
      </c>
      <c r="AC4022" t="s">
        <v>43</v>
      </c>
      <c r="AD4022" t="s">
        <v>43</v>
      </c>
      <c r="AE4022" t="s">
        <v>43</v>
      </c>
      <c r="AF4022" t="s">
        <v>43</v>
      </c>
      <c r="AG4022" t="s">
        <v>43</v>
      </c>
      <c r="AH4022" t="s">
        <v>43</v>
      </c>
      <c r="AI4022" t="s">
        <v>43</v>
      </c>
      <c r="AJ4022" t="s">
        <v>43</v>
      </c>
      <c r="AK4022" t="s">
        <v>43</v>
      </c>
      <c r="AL4022" t="s">
        <v>43</v>
      </c>
      <c r="AM4022" t="s">
        <v>43</v>
      </c>
      <c r="AN4022" t="str">
        <f>HYPERLINK("https://www.google.com/maps?q=10.76305771,79.69436646","Open Location")</f>
        <v>Open Location</v>
      </c>
    </row>
    <row r="4023" spans="1:40" x14ac:dyDescent="0.3">
      <c r="A4023" s="1">
        <v>46210.53402777778</v>
      </c>
      <c r="B4023" t="s">
        <v>40</v>
      </c>
      <c r="C4023" t="s">
        <v>41</v>
      </c>
      <c r="D4023" s="1">
        <v>46210.539710648147</v>
      </c>
      <c r="E4023" t="s">
        <v>42</v>
      </c>
      <c r="F4023" t="s">
        <v>43</v>
      </c>
      <c r="G4023" t="s">
        <v>43</v>
      </c>
      <c r="H4023" t="s">
        <v>43</v>
      </c>
      <c r="I4023" t="s">
        <v>43</v>
      </c>
      <c r="J4023" t="s">
        <v>43</v>
      </c>
      <c r="K4023" t="s">
        <v>43</v>
      </c>
      <c r="L4023" t="s">
        <v>43</v>
      </c>
      <c r="M4023" t="s">
        <v>43</v>
      </c>
      <c r="N4023" t="s">
        <v>45</v>
      </c>
      <c r="O4023" t="s">
        <v>43</v>
      </c>
      <c r="P4023" t="s">
        <v>43</v>
      </c>
      <c r="Q4023" t="s">
        <v>43</v>
      </c>
      <c r="R4023" t="s">
        <v>43</v>
      </c>
      <c r="S4023" t="s">
        <v>43</v>
      </c>
      <c r="T4023" t="s">
        <v>43</v>
      </c>
      <c r="U4023" t="s">
        <v>43</v>
      </c>
      <c r="V4023" t="s">
        <v>43</v>
      </c>
      <c r="W4023" t="s">
        <v>43</v>
      </c>
      <c r="X4023" t="s">
        <v>43</v>
      </c>
      <c r="Y4023" t="s">
        <v>43</v>
      </c>
      <c r="Z4023" t="s">
        <v>43</v>
      </c>
      <c r="AA4023" t="s">
        <v>43</v>
      </c>
      <c r="AB4023" t="s">
        <v>43</v>
      </c>
      <c r="AC4023" t="s">
        <v>43</v>
      </c>
      <c r="AD4023" t="s">
        <v>43</v>
      </c>
      <c r="AE4023" t="s">
        <v>43</v>
      </c>
      <c r="AF4023" t="s">
        <v>43</v>
      </c>
      <c r="AG4023" t="s">
        <v>43</v>
      </c>
      <c r="AH4023" t="s">
        <v>43</v>
      </c>
      <c r="AI4023" t="s">
        <v>43</v>
      </c>
      <c r="AJ4023" t="s">
        <v>43</v>
      </c>
      <c r="AK4023" t="s">
        <v>43</v>
      </c>
      <c r="AL4023" t="s">
        <v>43</v>
      </c>
      <c r="AM4023" t="s">
        <v>43</v>
      </c>
      <c r="AN4023" t="s">
        <v>43</v>
      </c>
    </row>
    <row r="4024" spans="1:40" x14ac:dyDescent="0.3">
      <c r="A4024" s="1">
        <v>46210.533912037034</v>
      </c>
      <c r="B4024" t="s">
        <v>40</v>
      </c>
      <c r="C4024" t="s">
        <v>41</v>
      </c>
      <c r="D4024" s="1">
        <v>46210.539872685185</v>
      </c>
      <c r="E4024" t="s">
        <v>42</v>
      </c>
      <c r="F4024" t="s">
        <v>43</v>
      </c>
      <c r="G4024" t="s">
        <v>43</v>
      </c>
      <c r="H4024" t="s">
        <v>43</v>
      </c>
      <c r="I4024" t="s">
        <v>2307</v>
      </c>
      <c r="J4024" t="s">
        <v>43</v>
      </c>
      <c r="K4024" t="s">
        <v>43</v>
      </c>
      <c r="L4024" t="s">
        <v>43</v>
      </c>
      <c r="M4024" t="s">
        <v>43</v>
      </c>
      <c r="N4024" t="s">
        <v>45</v>
      </c>
      <c r="O4024" t="s">
        <v>43</v>
      </c>
      <c r="P4024" t="s">
        <v>43</v>
      </c>
      <c r="Q4024" t="s">
        <v>43</v>
      </c>
      <c r="R4024" t="s">
        <v>43</v>
      </c>
      <c r="S4024" t="s">
        <v>43</v>
      </c>
      <c r="T4024" t="s">
        <v>43</v>
      </c>
      <c r="U4024" t="s">
        <v>43</v>
      </c>
      <c r="V4024" t="s">
        <v>43</v>
      </c>
      <c r="W4024" t="s">
        <v>43</v>
      </c>
      <c r="X4024" t="s">
        <v>43</v>
      </c>
      <c r="Y4024" t="s">
        <v>43</v>
      </c>
      <c r="Z4024" t="s">
        <v>43</v>
      </c>
      <c r="AA4024" t="s">
        <v>43</v>
      </c>
      <c r="AB4024" t="s">
        <v>43</v>
      </c>
      <c r="AC4024" t="s">
        <v>43</v>
      </c>
      <c r="AD4024" t="s">
        <v>43</v>
      </c>
      <c r="AE4024" t="s">
        <v>43</v>
      </c>
      <c r="AF4024" t="s">
        <v>43</v>
      </c>
      <c r="AG4024" t="s">
        <v>43</v>
      </c>
      <c r="AH4024" t="s">
        <v>43</v>
      </c>
      <c r="AI4024" t="s">
        <v>43</v>
      </c>
      <c r="AJ4024" t="s">
        <v>43</v>
      </c>
      <c r="AK4024" t="s">
        <v>43</v>
      </c>
      <c r="AL4024" t="s">
        <v>43</v>
      </c>
      <c r="AM4024" t="s">
        <v>43</v>
      </c>
      <c r="AN4024" t="str">
        <f>HYPERLINK("https://www.google.com/maps?q=10.76305866,79.69436646","Open Location")</f>
        <v>Open Location</v>
      </c>
    </row>
    <row r="4025" spans="1:40" x14ac:dyDescent="0.3">
      <c r="A4025" s="1">
        <v>46210.533796296295</v>
      </c>
      <c r="B4025" t="s">
        <v>40</v>
      </c>
      <c r="C4025" t="s">
        <v>41</v>
      </c>
      <c r="D4025" s="1">
        <v>46210.538888888892</v>
      </c>
      <c r="E4025" t="s">
        <v>42</v>
      </c>
      <c r="F4025" t="s">
        <v>43</v>
      </c>
      <c r="G4025" t="s">
        <v>43</v>
      </c>
      <c r="H4025" t="s">
        <v>43</v>
      </c>
      <c r="I4025" t="s">
        <v>2257</v>
      </c>
      <c r="J4025" t="s">
        <v>43</v>
      </c>
      <c r="K4025" t="s">
        <v>43</v>
      </c>
      <c r="L4025" t="s">
        <v>43</v>
      </c>
      <c r="M4025" t="s">
        <v>43</v>
      </c>
      <c r="N4025" t="s">
        <v>45</v>
      </c>
      <c r="O4025" t="s">
        <v>43</v>
      </c>
      <c r="P4025" t="s">
        <v>43</v>
      </c>
      <c r="Q4025" t="s">
        <v>43</v>
      </c>
      <c r="R4025" t="s">
        <v>43</v>
      </c>
      <c r="S4025" t="s">
        <v>43</v>
      </c>
      <c r="T4025" t="s">
        <v>43</v>
      </c>
      <c r="U4025" t="s">
        <v>43</v>
      </c>
      <c r="V4025" t="s">
        <v>43</v>
      </c>
      <c r="W4025" t="s">
        <v>43</v>
      </c>
      <c r="X4025" t="s">
        <v>43</v>
      </c>
      <c r="Y4025" t="s">
        <v>43</v>
      </c>
      <c r="Z4025" t="s">
        <v>43</v>
      </c>
      <c r="AA4025" t="s">
        <v>43</v>
      </c>
      <c r="AB4025" t="s">
        <v>43</v>
      </c>
      <c r="AC4025" t="s">
        <v>43</v>
      </c>
      <c r="AD4025" t="s">
        <v>43</v>
      </c>
      <c r="AE4025" t="s">
        <v>43</v>
      </c>
      <c r="AF4025" t="s">
        <v>43</v>
      </c>
      <c r="AG4025" t="s">
        <v>43</v>
      </c>
      <c r="AH4025" t="s">
        <v>43</v>
      </c>
      <c r="AI4025" t="s">
        <v>43</v>
      </c>
      <c r="AJ4025" t="s">
        <v>43</v>
      </c>
      <c r="AK4025" t="s">
        <v>43</v>
      </c>
      <c r="AL4025" t="s">
        <v>43</v>
      </c>
      <c r="AM4025" t="s">
        <v>43</v>
      </c>
      <c r="AN4025" t="str">
        <f>HYPERLINK("https://www.google.com/maps?q=10.76306057,79.69436646","Open Location")</f>
        <v>Open Location</v>
      </c>
    </row>
    <row r="4026" spans="1:40" x14ac:dyDescent="0.3">
      <c r="A4026" s="1">
        <v>46210.533680555556</v>
      </c>
      <c r="B4026" t="s">
        <v>40</v>
      </c>
      <c r="C4026" t="s">
        <v>41</v>
      </c>
      <c r="D4026" s="1">
        <v>46210.539756944447</v>
      </c>
      <c r="E4026" t="s">
        <v>42</v>
      </c>
      <c r="F4026" t="s">
        <v>43</v>
      </c>
      <c r="G4026" t="s">
        <v>43</v>
      </c>
      <c r="H4026" t="s">
        <v>43</v>
      </c>
      <c r="I4026" t="s">
        <v>2301</v>
      </c>
      <c r="J4026" t="s">
        <v>43</v>
      </c>
      <c r="K4026" t="s">
        <v>43</v>
      </c>
      <c r="L4026" t="s">
        <v>43</v>
      </c>
      <c r="M4026" t="s">
        <v>43</v>
      </c>
      <c r="N4026" t="s">
        <v>45</v>
      </c>
      <c r="O4026" t="s">
        <v>43</v>
      </c>
      <c r="P4026" t="s">
        <v>43</v>
      </c>
      <c r="Q4026" t="s">
        <v>43</v>
      </c>
      <c r="R4026" t="s">
        <v>43</v>
      </c>
      <c r="S4026" t="s">
        <v>43</v>
      </c>
      <c r="T4026" t="s">
        <v>43</v>
      </c>
      <c r="U4026" t="s">
        <v>43</v>
      </c>
      <c r="V4026" t="s">
        <v>43</v>
      </c>
      <c r="W4026" t="s">
        <v>43</v>
      </c>
      <c r="X4026" t="s">
        <v>43</v>
      </c>
      <c r="Y4026" t="s">
        <v>43</v>
      </c>
      <c r="Z4026" t="s">
        <v>43</v>
      </c>
      <c r="AA4026" t="s">
        <v>43</v>
      </c>
      <c r="AB4026" t="s">
        <v>43</v>
      </c>
      <c r="AC4026" t="s">
        <v>43</v>
      </c>
      <c r="AD4026" t="s">
        <v>43</v>
      </c>
      <c r="AE4026" t="s">
        <v>43</v>
      </c>
      <c r="AF4026" t="s">
        <v>43</v>
      </c>
      <c r="AG4026" t="s">
        <v>43</v>
      </c>
      <c r="AH4026" t="s">
        <v>43</v>
      </c>
      <c r="AI4026" t="s">
        <v>43</v>
      </c>
      <c r="AJ4026" t="s">
        <v>43</v>
      </c>
      <c r="AK4026" t="s">
        <v>43</v>
      </c>
      <c r="AL4026" t="s">
        <v>43</v>
      </c>
      <c r="AM4026" t="s">
        <v>43</v>
      </c>
      <c r="AN4026" t="str">
        <f>HYPERLINK("https://www.google.com/maps?q=10.76305962,79.69436646","Open Location")</f>
        <v>Open Location</v>
      </c>
    </row>
    <row r="4027" spans="1:40" x14ac:dyDescent="0.3">
      <c r="A4027" s="1">
        <v>46210.533564814818</v>
      </c>
      <c r="B4027" t="s">
        <v>40</v>
      </c>
      <c r="C4027" t="s">
        <v>41</v>
      </c>
      <c r="D4027" s="1">
        <v>46210.539849537039</v>
      </c>
      <c r="E4027" t="s">
        <v>42</v>
      </c>
      <c r="F4027" t="s">
        <v>43</v>
      </c>
      <c r="G4027" t="s">
        <v>43</v>
      </c>
      <c r="H4027" t="s">
        <v>43</v>
      </c>
      <c r="I4027" t="s">
        <v>2238</v>
      </c>
      <c r="J4027" t="s">
        <v>43</v>
      </c>
      <c r="K4027" t="s">
        <v>43</v>
      </c>
      <c r="L4027" t="s">
        <v>43</v>
      </c>
      <c r="M4027" t="s">
        <v>43</v>
      </c>
      <c r="N4027" t="s">
        <v>45</v>
      </c>
      <c r="O4027" t="s">
        <v>43</v>
      </c>
      <c r="P4027" t="s">
        <v>43</v>
      </c>
      <c r="Q4027" t="s">
        <v>43</v>
      </c>
      <c r="R4027" t="s">
        <v>43</v>
      </c>
      <c r="S4027" t="s">
        <v>43</v>
      </c>
      <c r="T4027" t="s">
        <v>43</v>
      </c>
      <c r="U4027" t="s">
        <v>43</v>
      </c>
      <c r="V4027" t="s">
        <v>43</v>
      </c>
      <c r="W4027" t="s">
        <v>43</v>
      </c>
      <c r="X4027" t="s">
        <v>43</v>
      </c>
      <c r="Y4027" t="s">
        <v>43</v>
      </c>
      <c r="Z4027" t="s">
        <v>43</v>
      </c>
      <c r="AA4027" t="s">
        <v>43</v>
      </c>
      <c r="AB4027" t="s">
        <v>43</v>
      </c>
      <c r="AC4027" t="s">
        <v>43</v>
      </c>
      <c r="AD4027" t="s">
        <v>43</v>
      </c>
      <c r="AE4027" t="s">
        <v>43</v>
      </c>
      <c r="AF4027" t="s">
        <v>43</v>
      </c>
      <c r="AG4027" t="s">
        <v>43</v>
      </c>
      <c r="AH4027" t="s">
        <v>43</v>
      </c>
      <c r="AI4027" t="s">
        <v>43</v>
      </c>
      <c r="AJ4027" t="s">
        <v>43</v>
      </c>
      <c r="AK4027" t="s">
        <v>43</v>
      </c>
      <c r="AL4027" t="s">
        <v>43</v>
      </c>
      <c r="AM4027" t="s">
        <v>43</v>
      </c>
      <c r="AN4027" t="str">
        <f>HYPERLINK("https://www.google.com/maps?q=10.76306057,79.69438171","Open Location")</f>
        <v>Open Location</v>
      </c>
    </row>
    <row r="4028" spans="1:40" x14ac:dyDescent="0.3">
      <c r="A4028" s="1">
        <v>46210.533449074072</v>
      </c>
      <c r="B4028" t="s">
        <v>40</v>
      </c>
      <c r="C4028" t="s">
        <v>41</v>
      </c>
      <c r="D4028" s="1">
        <v>46210.540347222224</v>
      </c>
      <c r="E4028" t="s">
        <v>42</v>
      </c>
      <c r="F4028" t="s">
        <v>43</v>
      </c>
      <c r="G4028" t="s">
        <v>43</v>
      </c>
      <c r="H4028" t="s">
        <v>43</v>
      </c>
      <c r="I4028" t="s">
        <v>43</v>
      </c>
      <c r="J4028" t="s">
        <v>43</v>
      </c>
      <c r="K4028" t="s">
        <v>43</v>
      </c>
      <c r="L4028" t="s">
        <v>43</v>
      </c>
      <c r="M4028" t="s">
        <v>43</v>
      </c>
      <c r="N4028" t="s">
        <v>45</v>
      </c>
      <c r="O4028" t="s">
        <v>43</v>
      </c>
      <c r="P4028" t="s">
        <v>43</v>
      </c>
      <c r="Q4028" t="s">
        <v>43</v>
      </c>
      <c r="R4028" t="s">
        <v>43</v>
      </c>
      <c r="S4028" t="s">
        <v>43</v>
      </c>
      <c r="T4028" t="s">
        <v>43</v>
      </c>
      <c r="U4028" t="s">
        <v>43</v>
      </c>
      <c r="V4028" t="s">
        <v>43</v>
      </c>
      <c r="W4028" t="s">
        <v>43</v>
      </c>
      <c r="X4028" t="s">
        <v>43</v>
      </c>
      <c r="Y4028" t="s">
        <v>43</v>
      </c>
      <c r="Z4028" t="s">
        <v>43</v>
      </c>
      <c r="AA4028" t="s">
        <v>43</v>
      </c>
      <c r="AB4028" t="s">
        <v>43</v>
      </c>
      <c r="AC4028" t="s">
        <v>43</v>
      </c>
      <c r="AD4028" t="s">
        <v>43</v>
      </c>
      <c r="AE4028" t="s">
        <v>43</v>
      </c>
      <c r="AF4028" t="s">
        <v>43</v>
      </c>
      <c r="AG4028" t="s">
        <v>43</v>
      </c>
      <c r="AH4028" t="s">
        <v>43</v>
      </c>
      <c r="AI4028" t="s">
        <v>43</v>
      </c>
      <c r="AJ4028" t="s">
        <v>43</v>
      </c>
      <c r="AK4028" t="s">
        <v>43</v>
      </c>
      <c r="AL4028" t="s">
        <v>43</v>
      </c>
      <c r="AM4028" t="s">
        <v>43</v>
      </c>
      <c r="AN4028" t="s">
        <v>43</v>
      </c>
    </row>
    <row r="4029" spans="1:40" x14ac:dyDescent="0.3">
      <c r="A4029" s="1">
        <v>46210.533333333333</v>
      </c>
      <c r="B4029" t="s">
        <v>40</v>
      </c>
      <c r="C4029" t="s">
        <v>41</v>
      </c>
      <c r="D4029" s="1">
        <v>46210.540347222224</v>
      </c>
      <c r="E4029" t="s">
        <v>42</v>
      </c>
      <c r="F4029" t="s">
        <v>43</v>
      </c>
      <c r="G4029" t="s">
        <v>43</v>
      </c>
      <c r="H4029" t="s">
        <v>43</v>
      </c>
      <c r="I4029" t="s">
        <v>2236</v>
      </c>
      <c r="J4029" t="s">
        <v>43</v>
      </c>
      <c r="K4029" t="s">
        <v>43</v>
      </c>
      <c r="L4029" t="s">
        <v>43</v>
      </c>
      <c r="M4029" t="s">
        <v>43</v>
      </c>
      <c r="N4029" t="s">
        <v>45</v>
      </c>
      <c r="O4029" t="s">
        <v>43</v>
      </c>
      <c r="P4029" t="s">
        <v>43</v>
      </c>
      <c r="Q4029" t="s">
        <v>43</v>
      </c>
      <c r="R4029" t="s">
        <v>43</v>
      </c>
      <c r="S4029" t="s">
        <v>43</v>
      </c>
      <c r="T4029" t="s">
        <v>43</v>
      </c>
      <c r="U4029" t="s">
        <v>43</v>
      </c>
      <c r="V4029" t="s">
        <v>43</v>
      </c>
      <c r="W4029" t="s">
        <v>43</v>
      </c>
      <c r="X4029" t="s">
        <v>43</v>
      </c>
      <c r="Y4029" t="s">
        <v>43</v>
      </c>
      <c r="Z4029" t="s">
        <v>43</v>
      </c>
      <c r="AA4029" t="s">
        <v>43</v>
      </c>
      <c r="AB4029" t="s">
        <v>43</v>
      </c>
      <c r="AC4029" t="s">
        <v>43</v>
      </c>
      <c r="AD4029" t="s">
        <v>43</v>
      </c>
      <c r="AE4029" t="s">
        <v>43</v>
      </c>
      <c r="AF4029" t="s">
        <v>43</v>
      </c>
      <c r="AG4029" t="s">
        <v>43</v>
      </c>
      <c r="AH4029" t="s">
        <v>43</v>
      </c>
      <c r="AI4029" t="s">
        <v>43</v>
      </c>
      <c r="AJ4029" t="s">
        <v>43</v>
      </c>
      <c r="AK4029" t="s">
        <v>43</v>
      </c>
      <c r="AL4029" t="s">
        <v>43</v>
      </c>
      <c r="AM4029" t="s">
        <v>43</v>
      </c>
      <c r="AN4029" t="str">
        <f>HYPERLINK("https://www.google.com/maps?q=10.76305962,79.69438171","Open Location")</f>
        <v>Open Location</v>
      </c>
    </row>
    <row r="4030" spans="1:40" x14ac:dyDescent="0.3">
      <c r="A4030" s="1">
        <v>46210.533217592594</v>
      </c>
      <c r="B4030" t="s">
        <v>40</v>
      </c>
      <c r="C4030" t="s">
        <v>41</v>
      </c>
      <c r="D4030" s="1">
        <v>46210.540196759262</v>
      </c>
      <c r="E4030" t="s">
        <v>42</v>
      </c>
      <c r="F4030" t="s">
        <v>43</v>
      </c>
      <c r="G4030" t="s">
        <v>43</v>
      </c>
      <c r="H4030" t="s">
        <v>43</v>
      </c>
      <c r="I4030" t="s">
        <v>2235</v>
      </c>
      <c r="J4030" t="s">
        <v>43</v>
      </c>
      <c r="K4030" t="s">
        <v>43</v>
      </c>
      <c r="L4030" t="s">
        <v>43</v>
      </c>
      <c r="M4030" t="s">
        <v>43</v>
      </c>
      <c r="N4030" t="s">
        <v>45</v>
      </c>
      <c r="O4030" t="s">
        <v>43</v>
      </c>
      <c r="P4030" t="s">
        <v>43</v>
      </c>
      <c r="Q4030" t="s">
        <v>43</v>
      </c>
      <c r="R4030" t="s">
        <v>43</v>
      </c>
      <c r="S4030" t="s">
        <v>43</v>
      </c>
      <c r="T4030" t="s">
        <v>43</v>
      </c>
      <c r="U4030" t="s">
        <v>43</v>
      </c>
      <c r="V4030" t="s">
        <v>43</v>
      </c>
      <c r="W4030" t="s">
        <v>43</v>
      </c>
      <c r="X4030" t="s">
        <v>43</v>
      </c>
      <c r="Y4030" t="s">
        <v>43</v>
      </c>
      <c r="Z4030" t="s">
        <v>43</v>
      </c>
      <c r="AA4030" t="s">
        <v>43</v>
      </c>
      <c r="AB4030" t="s">
        <v>43</v>
      </c>
      <c r="AC4030" t="s">
        <v>43</v>
      </c>
      <c r="AD4030" t="s">
        <v>43</v>
      </c>
      <c r="AE4030" t="s">
        <v>43</v>
      </c>
      <c r="AF4030" t="s">
        <v>43</v>
      </c>
      <c r="AG4030" t="s">
        <v>43</v>
      </c>
      <c r="AH4030" t="s">
        <v>43</v>
      </c>
      <c r="AI4030" t="s">
        <v>43</v>
      </c>
      <c r="AJ4030" t="s">
        <v>43</v>
      </c>
      <c r="AK4030" t="s">
        <v>43</v>
      </c>
      <c r="AL4030" t="s">
        <v>43</v>
      </c>
      <c r="AM4030" t="s">
        <v>43</v>
      </c>
      <c r="AN4030" t="str">
        <f>HYPERLINK("https://www.google.com/maps?q=10.76305866,79.69438171","Open Location")</f>
        <v>Open Location</v>
      </c>
    </row>
    <row r="4031" spans="1:40" x14ac:dyDescent="0.3">
      <c r="A4031" s="1">
        <v>46210.533101851855</v>
      </c>
      <c r="B4031" t="s">
        <v>40</v>
      </c>
      <c r="C4031" t="s">
        <v>41</v>
      </c>
      <c r="D4031" s="1">
        <v>46210.536990740744</v>
      </c>
      <c r="E4031" t="s">
        <v>42</v>
      </c>
      <c r="F4031" t="s">
        <v>43</v>
      </c>
      <c r="G4031" t="s">
        <v>43</v>
      </c>
      <c r="H4031" t="s">
        <v>43</v>
      </c>
      <c r="I4031" t="s">
        <v>2330</v>
      </c>
      <c r="J4031" t="s">
        <v>43</v>
      </c>
      <c r="K4031" t="s">
        <v>43</v>
      </c>
      <c r="L4031" t="s">
        <v>43</v>
      </c>
      <c r="M4031" t="s">
        <v>43</v>
      </c>
      <c r="N4031" t="s">
        <v>45</v>
      </c>
      <c r="O4031" t="s">
        <v>43</v>
      </c>
      <c r="P4031" t="s">
        <v>43</v>
      </c>
      <c r="Q4031" t="s">
        <v>43</v>
      </c>
      <c r="R4031" t="s">
        <v>43</v>
      </c>
      <c r="S4031" t="s">
        <v>43</v>
      </c>
      <c r="T4031" t="s">
        <v>43</v>
      </c>
      <c r="U4031" t="s">
        <v>43</v>
      </c>
      <c r="V4031" t="s">
        <v>43</v>
      </c>
      <c r="W4031" t="s">
        <v>43</v>
      </c>
      <c r="X4031" t="s">
        <v>43</v>
      </c>
      <c r="Y4031" t="s">
        <v>43</v>
      </c>
      <c r="Z4031" t="s">
        <v>43</v>
      </c>
      <c r="AA4031" t="s">
        <v>43</v>
      </c>
      <c r="AB4031" t="s">
        <v>43</v>
      </c>
      <c r="AC4031" t="s">
        <v>43</v>
      </c>
      <c r="AD4031" t="s">
        <v>43</v>
      </c>
      <c r="AE4031" t="s">
        <v>43</v>
      </c>
      <c r="AF4031" t="s">
        <v>43</v>
      </c>
      <c r="AG4031" t="s">
        <v>43</v>
      </c>
      <c r="AH4031" t="s">
        <v>43</v>
      </c>
      <c r="AI4031" t="s">
        <v>43</v>
      </c>
      <c r="AJ4031" t="s">
        <v>43</v>
      </c>
      <c r="AK4031" t="s">
        <v>43</v>
      </c>
      <c r="AL4031" t="s">
        <v>43</v>
      </c>
      <c r="AM4031" t="s">
        <v>43</v>
      </c>
      <c r="AN4031" t="str">
        <f>HYPERLINK("https://www.google.com/maps?q=10.76305866,79.69438934","Open Location")</f>
        <v>Open Location</v>
      </c>
    </row>
    <row r="4032" spans="1:40" x14ac:dyDescent="0.3">
      <c r="A4032" s="1">
        <v>46210.532986111109</v>
      </c>
      <c r="B4032" t="s">
        <v>40</v>
      </c>
      <c r="C4032" t="s">
        <v>41</v>
      </c>
      <c r="D4032" s="1">
        <v>46210.536921296298</v>
      </c>
      <c r="E4032" t="s">
        <v>42</v>
      </c>
      <c r="F4032" t="s">
        <v>43</v>
      </c>
      <c r="G4032" t="s">
        <v>43</v>
      </c>
      <c r="H4032" t="s">
        <v>43</v>
      </c>
      <c r="I4032" t="s">
        <v>2236</v>
      </c>
      <c r="J4032" t="s">
        <v>43</v>
      </c>
      <c r="K4032" t="s">
        <v>43</v>
      </c>
      <c r="L4032" t="s">
        <v>43</v>
      </c>
      <c r="M4032" t="s">
        <v>43</v>
      </c>
      <c r="N4032" t="s">
        <v>45</v>
      </c>
      <c r="O4032" t="s">
        <v>43</v>
      </c>
      <c r="P4032" t="s">
        <v>43</v>
      </c>
      <c r="Q4032" t="s">
        <v>43</v>
      </c>
      <c r="R4032" t="s">
        <v>43</v>
      </c>
      <c r="S4032" t="s">
        <v>43</v>
      </c>
      <c r="T4032" t="s">
        <v>43</v>
      </c>
      <c r="U4032" t="s">
        <v>43</v>
      </c>
      <c r="V4032" t="s">
        <v>43</v>
      </c>
      <c r="W4032" t="s">
        <v>43</v>
      </c>
      <c r="X4032" t="s">
        <v>43</v>
      </c>
      <c r="Y4032" t="s">
        <v>43</v>
      </c>
      <c r="Z4032" t="s">
        <v>43</v>
      </c>
      <c r="AA4032" t="s">
        <v>43</v>
      </c>
      <c r="AB4032" t="s">
        <v>43</v>
      </c>
      <c r="AC4032" t="s">
        <v>43</v>
      </c>
      <c r="AD4032" t="s">
        <v>43</v>
      </c>
      <c r="AE4032" t="s">
        <v>43</v>
      </c>
      <c r="AF4032" t="s">
        <v>43</v>
      </c>
      <c r="AG4032" t="s">
        <v>43</v>
      </c>
      <c r="AH4032" t="s">
        <v>43</v>
      </c>
      <c r="AI4032" t="s">
        <v>43</v>
      </c>
      <c r="AJ4032" t="s">
        <v>43</v>
      </c>
      <c r="AK4032" t="s">
        <v>43</v>
      </c>
      <c r="AL4032" t="s">
        <v>43</v>
      </c>
      <c r="AM4032" t="s">
        <v>43</v>
      </c>
      <c r="AN4032" t="str">
        <f>HYPERLINK("https://www.google.com/maps?q=10.76305962,79.69438171","Open Location")</f>
        <v>Open Location</v>
      </c>
    </row>
    <row r="4033" spans="1:40" x14ac:dyDescent="0.3">
      <c r="A4033" s="1">
        <v>46210.532870370371</v>
      </c>
      <c r="B4033" t="s">
        <v>40</v>
      </c>
      <c r="C4033" t="s">
        <v>41</v>
      </c>
      <c r="D4033" s="1">
        <v>46210.536678240744</v>
      </c>
      <c r="E4033" t="s">
        <v>42</v>
      </c>
      <c r="F4033" t="s">
        <v>43</v>
      </c>
      <c r="G4033" t="s">
        <v>43</v>
      </c>
      <c r="H4033" t="s">
        <v>43</v>
      </c>
      <c r="I4033" t="s">
        <v>2221</v>
      </c>
      <c r="J4033" t="s">
        <v>43</v>
      </c>
      <c r="K4033" t="s">
        <v>43</v>
      </c>
      <c r="L4033" t="s">
        <v>43</v>
      </c>
      <c r="M4033" t="s">
        <v>43</v>
      </c>
      <c r="N4033" t="s">
        <v>45</v>
      </c>
      <c r="O4033" t="s">
        <v>43</v>
      </c>
      <c r="P4033" t="s">
        <v>43</v>
      </c>
      <c r="Q4033" t="s">
        <v>43</v>
      </c>
      <c r="R4033" t="s">
        <v>43</v>
      </c>
      <c r="S4033" t="s">
        <v>43</v>
      </c>
      <c r="T4033" t="s">
        <v>43</v>
      </c>
      <c r="U4033" t="s">
        <v>43</v>
      </c>
      <c r="V4033" t="s">
        <v>43</v>
      </c>
      <c r="W4033" t="s">
        <v>43</v>
      </c>
      <c r="X4033" t="s">
        <v>43</v>
      </c>
      <c r="Y4033" t="s">
        <v>43</v>
      </c>
      <c r="Z4033" t="s">
        <v>43</v>
      </c>
      <c r="AA4033" t="s">
        <v>43</v>
      </c>
      <c r="AB4033" t="s">
        <v>43</v>
      </c>
      <c r="AC4033" t="s">
        <v>43</v>
      </c>
      <c r="AD4033" t="s">
        <v>43</v>
      </c>
      <c r="AE4033" t="s">
        <v>43</v>
      </c>
      <c r="AF4033" t="s">
        <v>43</v>
      </c>
      <c r="AG4033" t="s">
        <v>43</v>
      </c>
      <c r="AH4033" t="s">
        <v>43</v>
      </c>
      <c r="AI4033" t="s">
        <v>43</v>
      </c>
      <c r="AJ4033" t="s">
        <v>43</v>
      </c>
      <c r="AK4033" t="s">
        <v>43</v>
      </c>
      <c r="AL4033" t="s">
        <v>43</v>
      </c>
      <c r="AM4033" t="s">
        <v>43</v>
      </c>
      <c r="AN4033" t="str">
        <f>HYPERLINK("https://www.google.com/maps?q=10.76306343,79.69438171","Open Location")</f>
        <v>Open Location</v>
      </c>
    </row>
    <row r="4034" spans="1:40" x14ac:dyDescent="0.3">
      <c r="A4034" s="1">
        <v>46210.532754629632</v>
      </c>
      <c r="B4034" t="s">
        <v>40</v>
      </c>
      <c r="C4034" t="s">
        <v>41</v>
      </c>
      <c r="D4034" s="1">
        <v>46210.537858796299</v>
      </c>
      <c r="E4034" t="s">
        <v>42</v>
      </c>
      <c r="F4034" t="s">
        <v>43</v>
      </c>
      <c r="G4034" t="s">
        <v>43</v>
      </c>
      <c r="H4034" t="s">
        <v>43</v>
      </c>
      <c r="I4034" t="s">
        <v>43</v>
      </c>
      <c r="J4034" t="s">
        <v>43</v>
      </c>
      <c r="K4034" t="s">
        <v>43</v>
      </c>
      <c r="L4034" t="s">
        <v>43</v>
      </c>
      <c r="M4034" t="s">
        <v>43</v>
      </c>
      <c r="N4034" t="s">
        <v>45</v>
      </c>
      <c r="O4034" t="s">
        <v>43</v>
      </c>
      <c r="P4034" t="s">
        <v>43</v>
      </c>
      <c r="Q4034" t="s">
        <v>43</v>
      </c>
      <c r="R4034" t="s">
        <v>43</v>
      </c>
      <c r="S4034" t="s">
        <v>43</v>
      </c>
      <c r="T4034" t="s">
        <v>43</v>
      </c>
      <c r="U4034" t="s">
        <v>43</v>
      </c>
      <c r="V4034" t="s">
        <v>43</v>
      </c>
      <c r="W4034" t="s">
        <v>43</v>
      </c>
      <c r="X4034" t="s">
        <v>43</v>
      </c>
      <c r="Y4034" t="s">
        <v>43</v>
      </c>
      <c r="Z4034" t="s">
        <v>43</v>
      </c>
      <c r="AA4034" t="s">
        <v>43</v>
      </c>
      <c r="AB4034" t="s">
        <v>43</v>
      </c>
      <c r="AC4034" t="s">
        <v>43</v>
      </c>
      <c r="AD4034" t="s">
        <v>43</v>
      </c>
      <c r="AE4034" t="s">
        <v>43</v>
      </c>
      <c r="AF4034" t="s">
        <v>43</v>
      </c>
      <c r="AG4034" t="s">
        <v>43</v>
      </c>
      <c r="AH4034" t="s">
        <v>43</v>
      </c>
      <c r="AI4034" t="s">
        <v>43</v>
      </c>
      <c r="AJ4034" t="s">
        <v>43</v>
      </c>
      <c r="AK4034" t="s">
        <v>43</v>
      </c>
      <c r="AL4034" t="s">
        <v>43</v>
      </c>
      <c r="AM4034" t="s">
        <v>43</v>
      </c>
      <c r="AN4034" t="s">
        <v>43</v>
      </c>
    </row>
    <row r="4035" spans="1:40" x14ac:dyDescent="0.3">
      <c r="A4035" s="1">
        <v>46210.532638888886</v>
      </c>
      <c r="B4035" t="s">
        <v>40</v>
      </c>
      <c r="C4035" t="s">
        <v>41</v>
      </c>
      <c r="D4035" s="1">
        <v>46210.537905092591</v>
      </c>
      <c r="E4035" t="s">
        <v>42</v>
      </c>
      <c r="F4035" t="s">
        <v>43</v>
      </c>
      <c r="G4035" t="s">
        <v>43</v>
      </c>
      <c r="H4035" t="s">
        <v>43</v>
      </c>
      <c r="I4035" t="s">
        <v>2223</v>
      </c>
      <c r="J4035" t="s">
        <v>43</v>
      </c>
      <c r="K4035" t="s">
        <v>43</v>
      </c>
      <c r="L4035" t="s">
        <v>43</v>
      </c>
      <c r="M4035" t="s">
        <v>43</v>
      </c>
      <c r="N4035" t="s">
        <v>45</v>
      </c>
      <c r="O4035" t="s">
        <v>43</v>
      </c>
      <c r="P4035" t="s">
        <v>43</v>
      </c>
      <c r="Q4035" t="s">
        <v>43</v>
      </c>
      <c r="R4035" t="s">
        <v>43</v>
      </c>
      <c r="S4035" t="s">
        <v>43</v>
      </c>
      <c r="T4035" t="s">
        <v>43</v>
      </c>
      <c r="U4035" t="s">
        <v>43</v>
      </c>
      <c r="V4035" t="s">
        <v>43</v>
      </c>
      <c r="W4035" t="s">
        <v>43</v>
      </c>
      <c r="X4035" t="s">
        <v>43</v>
      </c>
      <c r="Y4035" t="s">
        <v>43</v>
      </c>
      <c r="Z4035" t="s">
        <v>43</v>
      </c>
      <c r="AA4035" t="s">
        <v>43</v>
      </c>
      <c r="AB4035" t="s">
        <v>43</v>
      </c>
      <c r="AC4035" t="s">
        <v>43</v>
      </c>
      <c r="AD4035" t="s">
        <v>43</v>
      </c>
      <c r="AE4035" t="s">
        <v>43</v>
      </c>
      <c r="AF4035" t="s">
        <v>43</v>
      </c>
      <c r="AG4035" t="s">
        <v>43</v>
      </c>
      <c r="AH4035" t="s">
        <v>43</v>
      </c>
      <c r="AI4035" t="s">
        <v>43</v>
      </c>
      <c r="AJ4035" t="s">
        <v>43</v>
      </c>
      <c r="AK4035" t="s">
        <v>43</v>
      </c>
      <c r="AL4035" t="s">
        <v>43</v>
      </c>
      <c r="AM4035" t="s">
        <v>43</v>
      </c>
      <c r="AN4035" t="str">
        <f>HYPERLINK("https://www.google.com/maps?q=10.76306534,79.69438171","Open Location")</f>
        <v>Open Location</v>
      </c>
    </row>
    <row r="4036" spans="1:40" x14ac:dyDescent="0.3">
      <c r="A4036" s="1">
        <v>46210.532523148147</v>
      </c>
      <c r="B4036" t="s">
        <v>40</v>
      </c>
      <c r="C4036" t="s">
        <v>41</v>
      </c>
      <c r="D4036" s="1">
        <v>46210.538148148145</v>
      </c>
      <c r="E4036" t="s">
        <v>42</v>
      </c>
      <c r="F4036" t="s">
        <v>43</v>
      </c>
      <c r="G4036" t="s">
        <v>43</v>
      </c>
      <c r="H4036" t="s">
        <v>43</v>
      </c>
      <c r="I4036" t="s">
        <v>2223</v>
      </c>
      <c r="J4036" t="s">
        <v>43</v>
      </c>
      <c r="K4036" t="s">
        <v>43</v>
      </c>
      <c r="L4036" t="s">
        <v>43</v>
      </c>
      <c r="M4036" t="s">
        <v>43</v>
      </c>
      <c r="N4036" t="s">
        <v>45</v>
      </c>
      <c r="O4036" t="s">
        <v>43</v>
      </c>
      <c r="P4036" t="s">
        <v>43</v>
      </c>
      <c r="Q4036" t="s">
        <v>43</v>
      </c>
      <c r="R4036" t="s">
        <v>43</v>
      </c>
      <c r="S4036" t="s">
        <v>43</v>
      </c>
      <c r="T4036" t="s">
        <v>43</v>
      </c>
      <c r="U4036" t="s">
        <v>43</v>
      </c>
      <c r="V4036" t="s">
        <v>43</v>
      </c>
      <c r="W4036" t="s">
        <v>43</v>
      </c>
      <c r="X4036" t="s">
        <v>43</v>
      </c>
      <c r="Y4036" t="s">
        <v>43</v>
      </c>
      <c r="Z4036" t="s">
        <v>43</v>
      </c>
      <c r="AA4036" t="s">
        <v>43</v>
      </c>
      <c r="AB4036" t="s">
        <v>43</v>
      </c>
      <c r="AC4036" t="s">
        <v>43</v>
      </c>
      <c r="AD4036" t="s">
        <v>43</v>
      </c>
      <c r="AE4036" t="s">
        <v>43</v>
      </c>
      <c r="AF4036" t="s">
        <v>43</v>
      </c>
      <c r="AG4036" t="s">
        <v>43</v>
      </c>
      <c r="AH4036" t="s">
        <v>43</v>
      </c>
      <c r="AI4036" t="s">
        <v>43</v>
      </c>
      <c r="AJ4036" t="s">
        <v>43</v>
      </c>
      <c r="AK4036" t="s">
        <v>43</v>
      </c>
      <c r="AL4036" t="s">
        <v>43</v>
      </c>
      <c r="AM4036" t="s">
        <v>43</v>
      </c>
      <c r="AN4036" t="str">
        <f>HYPERLINK("https://www.google.com/maps?q=10.76306534,79.69438171","Open Location")</f>
        <v>Open Location</v>
      </c>
    </row>
    <row r="4037" spans="1:40" x14ac:dyDescent="0.3">
      <c r="A4037" s="1">
        <v>46210.532407407409</v>
      </c>
      <c r="B4037" t="s">
        <v>40</v>
      </c>
      <c r="C4037" t="s">
        <v>41</v>
      </c>
      <c r="D4037" s="1">
        <v>46210.537106481483</v>
      </c>
      <c r="E4037" t="s">
        <v>42</v>
      </c>
      <c r="F4037" t="s">
        <v>43</v>
      </c>
      <c r="G4037" t="s">
        <v>43</v>
      </c>
      <c r="H4037" t="s">
        <v>43</v>
      </c>
      <c r="I4037" t="s">
        <v>2243</v>
      </c>
      <c r="J4037" t="s">
        <v>43</v>
      </c>
      <c r="K4037" t="s">
        <v>43</v>
      </c>
      <c r="L4037" t="s">
        <v>43</v>
      </c>
      <c r="M4037" t="s">
        <v>43</v>
      </c>
      <c r="N4037" t="s">
        <v>45</v>
      </c>
      <c r="O4037" t="s">
        <v>43</v>
      </c>
      <c r="P4037" t="s">
        <v>43</v>
      </c>
      <c r="Q4037" t="s">
        <v>43</v>
      </c>
      <c r="R4037" t="s">
        <v>43</v>
      </c>
      <c r="S4037" t="s">
        <v>43</v>
      </c>
      <c r="T4037" t="s">
        <v>43</v>
      </c>
      <c r="U4037" t="s">
        <v>43</v>
      </c>
      <c r="V4037" t="s">
        <v>43</v>
      </c>
      <c r="W4037" t="s">
        <v>43</v>
      </c>
      <c r="X4037" t="s">
        <v>43</v>
      </c>
      <c r="Y4037" t="s">
        <v>43</v>
      </c>
      <c r="Z4037" t="s">
        <v>43</v>
      </c>
      <c r="AA4037" t="s">
        <v>43</v>
      </c>
      <c r="AB4037" t="s">
        <v>43</v>
      </c>
      <c r="AC4037" t="s">
        <v>43</v>
      </c>
      <c r="AD4037" t="s">
        <v>43</v>
      </c>
      <c r="AE4037" t="s">
        <v>43</v>
      </c>
      <c r="AF4037" t="s">
        <v>43</v>
      </c>
      <c r="AG4037" t="s">
        <v>43</v>
      </c>
      <c r="AH4037" t="s">
        <v>43</v>
      </c>
      <c r="AI4037" t="s">
        <v>43</v>
      </c>
      <c r="AJ4037" t="s">
        <v>43</v>
      </c>
      <c r="AK4037" t="s">
        <v>43</v>
      </c>
      <c r="AL4037" t="s">
        <v>43</v>
      </c>
      <c r="AM4037" t="s">
        <v>43</v>
      </c>
      <c r="AN4037" t="str">
        <f>HYPERLINK("https://www.google.com/maps?q=10.76306629,79.69438171","Open Location")</f>
        <v>Open Location</v>
      </c>
    </row>
    <row r="4038" spans="1:40" x14ac:dyDescent="0.3">
      <c r="A4038" s="1">
        <v>46210.53229166667</v>
      </c>
      <c r="B4038" t="s">
        <v>40</v>
      </c>
      <c r="C4038" t="s">
        <v>41</v>
      </c>
      <c r="D4038" s="1">
        <v>46210.538287037038</v>
      </c>
      <c r="E4038" t="s">
        <v>42</v>
      </c>
      <c r="F4038" t="s">
        <v>43</v>
      </c>
      <c r="G4038" t="s">
        <v>43</v>
      </c>
      <c r="H4038" t="s">
        <v>43</v>
      </c>
      <c r="I4038" t="s">
        <v>2243</v>
      </c>
      <c r="J4038" t="s">
        <v>43</v>
      </c>
      <c r="K4038" t="s">
        <v>43</v>
      </c>
      <c r="L4038" t="s">
        <v>43</v>
      </c>
      <c r="M4038" t="s">
        <v>43</v>
      </c>
      <c r="N4038" t="s">
        <v>45</v>
      </c>
      <c r="O4038" t="s">
        <v>43</v>
      </c>
      <c r="P4038" t="s">
        <v>43</v>
      </c>
      <c r="Q4038" t="s">
        <v>43</v>
      </c>
      <c r="R4038" t="s">
        <v>43</v>
      </c>
      <c r="S4038" t="s">
        <v>43</v>
      </c>
      <c r="T4038" t="s">
        <v>43</v>
      </c>
      <c r="U4038" t="s">
        <v>43</v>
      </c>
      <c r="V4038" t="s">
        <v>43</v>
      </c>
      <c r="W4038" t="s">
        <v>43</v>
      </c>
      <c r="X4038" t="s">
        <v>43</v>
      </c>
      <c r="Y4038" t="s">
        <v>43</v>
      </c>
      <c r="Z4038" t="s">
        <v>43</v>
      </c>
      <c r="AA4038" t="s">
        <v>43</v>
      </c>
      <c r="AB4038" t="s">
        <v>43</v>
      </c>
      <c r="AC4038" t="s">
        <v>43</v>
      </c>
      <c r="AD4038" t="s">
        <v>43</v>
      </c>
      <c r="AE4038" t="s">
        <v>43</v>
      </c>
      <c r="AF4038" t="s">
        <v>43</v>
      </c>
      <c r="AG4038" t="s">
        <v>43</v>
      </c>
      <c r="AH4038" t="s">
        <v>43</v>
      </c>
      <c r="AI4038" t="s">
        <v>43</v>
      </c>
      <c r="AJ4038" t="s">
        <v>43</v>
      </c>
      <c r="AK4038" t="s">
        <v>43</v>
      </c>
      <c r="AL4038" t="s">
        <v>43</v>
      </c>
      <c r="AM4038" t="s">
        <v>43</v>
      </c>
      <c r="AN4038" t="str">
        <f>HYPERLINK("https://www.google.com/maps?q=10.76306629,79.69438171","Open Location")</f>
        <v>Open Location</v>
      </c>
    </row>
    <row r="4039" spans="1:40" x14ac:dyDescent="0.3">
      <c r="A4039" s="1">
        <v>46210.532175925924</v>
      </c>
      <c r="B4039" t="s">
        <v>40</v>
      </c>
      <c r="C4039" t="s">
        <v>41</v>
      </c>
      <c r="D4039" s="1">
        <v>46210.538148148145</v>
      </c>
      <c r="E4039" t="s">
        <v>42</v>
      </c>
      <c r="F4039" t="s">
        <v>43</v>
      </c>
      <c r="G4039" t="s">
        <v>43</v>
      </c>
      <c r="H4039" t="s">
        <v>43</v>
      </c>
      <c r="I4039" t="s">
        <v>2331</v>
      </c>
      <c r="J4039" t="s">
        <v>43</v>
      </c>
      <c r="K4039" t="s">
        <v>43</v>
      </c>
      <c r="L4039" t="s">
        <v>43</v>
      </c>
      <c r="M4039" t="s">
        <v>43</v>
      </c>
      <c r="N4039" t="s">
        <v>45</v>
      </c>
      <c r="O4039" t="s">
        <v>43</v>
      </c>
      <c r="P4039" t="s">
        <v>43</v>
      </c>
      <c r="Q4039" t="s">
        <v>43</v>
      </c>
      <c r="R4039" t="s">
        <v>43</v>
      </c>
      <c r="S4039" t="s">
        <v>43</v>
      </c>
      <c r="T4039" t="s">
        <v>43</v>
      </c>
      <c r="U4039" t="s">
        <v>43</v>
      </c>
      <c r="V4039" t="s">
        <v>43</v>
      </c>
      <c r="W4039" t="s">
        <v>43</v>
      </c>
      <c r="X4039" t="s">
        <v>43</v>
      </c>
      <c r="Y4039" t="s">
        <v>43</v>
      </c>
      <c r="Z4039" t="s">
        <v>43</v>
      </c>
      <c r="AA4039" t="s">
        <v>43</v>
      </c>
      <c r="AB4039" t="s">
        <v>43</v>
      </c>
      <c r="AC4039" t="s">
        <v>43</v>
      </c>
      <c r="AD4039" t="s">
        <v>43</v>
      </c>
      <c r="AE4039" t="s">
        <v>43</v>
      </c>
      <c r="AF4039" t="s">
        <v>43</v>
      </c>
      <c r="AG4039" t="s">
        <v>43</v>
      </c>
      <c r="AH4039" t="s">
        <v>43</v>
      </c>
      <c r="AI4039" t="s">
        <v>43</v>
      </c>
      <c r="AJ4039" t="s">
        <v>43</v>
      </c>
      <c r="AK4039" t="s">
        <v>43</v>
      </c>
      <c r="AL4039" t="s">
        <v>43</v>
      </c>
      <c r="AM4039" t="s">
        <v>43</v>
      </c>
      <c r="AN4039" t="str">
        <f>HYPERLINK("https://www.google.com/maps?q=10.76306725,79.69438934","Open Location")</f>
        <v>Open Location</v>
      </c>
    </row>
    <row r="4040" spans="1:40" x14ac:dyDescent="0.3">
      <c r="A4040" s="1">
        <v>46210.532060185185</v>
      </c>
      <c r="B4040" t="s">
        <v>40</v>
      </c>
      <c r="C4040" t="s">
        <v>41</v>
      </c>
      <c r="D4040" s="1">
        <v>46210.538715277777</v>
      </c>
      <c r="E4040" t="s">
        <v>42</v>
      </c>
      <c r="F4040" t="s">
        <v>43</v>
      </c>
      <c r="G4040" t="s">
        <v>43</v>
      </c>
      <c r="H4040" t="s">
        <v>43</v>
      </c>
      <c r="I4040" t="s">
        <v>43</v>
      </c>
      <c r="J4040" t="s">
        <v>43</v>
      </c>
      <c r="K4040" t="s">
        <v>43</v>
      </c>
      <c r="L4040" t="s">
        <v>43</v>
      </c>
      <c r="M4040" t="s">
        <v>43</v>
      </c>
      <c r="N4040" t="s">
        <v>45</v>
      </c>
      <c r="O4040" t="s">
        <v>43</v>
      </c>
      <c r="P4040" t="s">
        <v>43</v>
      </c>
      <c r="Q4040" t="s">
        <v>43</v>
      </c>
      <c r="R4040" t="s">
        <v>43</v>
      </c>
      <c r="S4040" t="s">
        <v>43</v>
      </c>
      <c r="T4040" t="s">
        <v>43</v>
      </c>
      <c r="U4040" t="s">
        <v>43</v>
      </c>
      <c r="V4040" t="s">
        <v>43</v>
      </c>
      <c r="W4040" t="s">
        <v>43</v>
      </c>
      <c r="X4040" t="s">
        <v>43</v>
      </c>
      <c r="Y4040" t="s">
        <v>43</v>
      </c>
      <c r="Z4040" t="s">
        <v>43</v>
      </c>
      <c r="AA4040" t="s">
        <v>43</v>
      </c>
      <c r="AB4040" t="s">
        <v>43</v>
      </c>
      <c r="AC4040" t="s">
        <v>43</v>
      </c>
      <c r="AD4040" t="s">
        <v>43</v>
      </c>
      <c r="AE4040" t="s">
        <v>43</v>
      </c>
      <c r="AF4040" t="s">
        <v>43</v>
      </c>
      <c r="AG4040" t="s">
        <v>43</v>
      </c>
      <c r="AH4040" t="s">
        <v>43</v>
      </c>
      <c r="AI4040" t="s">
        <v>43</v>
      </c>
      <c r="AJ4040" t="s">
        <v>43</v>
      </c>
      <c r="AK4040" t="s">
        <v>43</v>
      </c>
      <c r="AL4040" t="s">
        <v>43</v>
      </c>
      <c r="AM4040" t="s">
        <v>43</v>
      </c>
      <c r="AN4040" t="s">
        <v>43</v>
      </c>
    </row>
    <row r="4041" spans="1:40" x14ac:dyDescent="0.3">
      <c r="A4041" s="1">
        <v>46210.531944444447</v>
      </c>
      <c r="B4041" t="s">
        <v>40</v>
      </c>
      <c r="C4041" t="s">
        <v>41</v>
      </c>
      <c r="D4041" s="1">
        <v>46210.535509259258</v>
      </c>
      <c r="E4041" t="s">
        <v>42</v>
      </c>
      <c r="F4041" t="s">
        <v>43</v>
      </c>
      <c r="G4041" t="s">
        <v>43</v>
      </c>
      <c r="H4041" t="s">
        <v>43</v>
      </c>
      <c r="I4041" t="s">
        <v>2332</v>
      </c>
      <c r="J4041" t="s">
        <v>43</v>
      </c>
      <c r="K4041" t="s">
        <v>43</v>
      </c>
      <c r="L4041" t="s">
        <v>43</v>
      </c>
      <c r="M4041" t="s">
        <v>43</v>
      </c>
      <c r="N4041" t="s">
        <v>45</v>
      </c>
      <c r="O4041" t="s">
        <v>43</v>
      </c>
      <c r="P4041" t="s">
        <v>43</v>
      </c>
      <c r="Q4041" t="s">
        <v>43</v>
      </c>
      <c r="R4041" t="s">
        <v>43</v>
      </c>
      <c r="S4041" t="s">
        <v>43</v>
      </c>
      <c r="T4041" t="s">
        <v>43</v>
      </c>
      <c r="U4041" t="s">
        <v>43</v>
      </c>
      <c r="V4041" t="s">
        <v>43</v>
      </c>
      <c r="W4041" t="s">
        <v>43</v>
      </c>
      <c r="X4041" t="s">
        <v>43</v>
      </c>
      <c r="Y4041" t="s">
        <v>43</v>
      </c>
      <c r="Z4041" t="s">
        <v>43</v>
      </c>
      <c r="AA4041" t="s">
        <v>43</v>
      </c>
      <c r="AB4041" t="s">
        <v>43</v>
      </c>
      <c r="AC4041" t="s">
        <v>43</v>
      </c>
      <c r="AD4041" t="s">
        <v>43</v>
      </c>
      <c r="AE4041" t="s">
        <v>43</v>
      </c>
      <c r="AF4041" t="s">
        <v>43</v>
      </c>
      <c r="AG4041" t="s">
        <v>43</v>
      </c>
      <c r="AH4041" t="s">
        <v>43</v>
      </c>
      <c r="AI4041" t="s">
        <v>43</v>
      </c>
      <c r="AJ4041" t="s">
        <v>43</v>
      </c>
      <c r="AK4041" t="s">
        <v>43</v>
      </c>
      <c r="AL4041" t="s">
        <v>43</v>
      </c>
      <c r="AM4041" t="s">
        <v>43</v>
      </c>
      <c r="AN4041" t="str">
        <f>HYPERLINK("https://www.google.com/maps?q=10.76307011,79.69438934","Open Location")</f>
        <v>Open Location</v>
      </c>
    </row>
    <row r="4042" spans="1:40" x14ac:dyDescent="0.3">
      <c r="A4042" s="1">
        <v>46210.531828703701</v>
      </c>
      <c r="B4042" t="s">
        <v>40</v>
      </c>
      <c r="C4042" t="s">
        <v>41</v>
      </c>
      <c r="D4042" s="1">
        <v>46210.535497685189</v>
      </c>
      <c r="E4042" t="s">
        <v>42</v>
      </c>
      <c r="F4042" t="s">
        <v>43</v>
      </c>
      <c r="G4042" t="s">
        <v>43</v>
      </c>
      <c r="H4042" t="s">
        <v>43</v>
      </c>
      <c r="I4042" t="s">
        <v>2333</v>
      </c>
      <c r="J4042" t="s">
        <v>43</v>
      </c>
      <c r="K4042" t="s">
        <v>43</v>
      </c>
      <c r="L4042" t="s">
        <v>43</v>
      </c>
      <c r="M4042" t="s">
        <v>43</v>
      </c>
      <c r="N4042" t="s">
        <v>45</v>
      </c>
      <c r="O4042" t="s">
        <v>43</v>
      </c>
      <c r="P4042" t="s">
        <v>43</v>
      </c>
      <c r="Q4042" t="s">
        <v>43</v>
      </c>
      <c r="R4042" t="s">
        <v>43</v>
      </c>
      <c r="S4042" t="s">
        <v>43</v>
      </c>
      <c r="T4042" t="s">
        <v>43</v>
      </c>
      <c r="U4042" t="s">
        <v>43</v>
      </c>
      <c r="V4042" t="s">
        <v>43</v>
      </c>
      <c r="W4042" t="s">
        <v>43</v>
      </c>
      <c r="X4042" t="s">
        <v>43</v>
      </c>
      <c r="Y4042" t="s">
        <v>43</v>
      </c>
      <c r="Z4042" t="s">
        <v>43</v>
      </c>
      <c r="AA4042" t="s">
        <v>43</v>
      </c>
      <c r="AB4042" t="s">
        <v>43</v>
      </c>
      <c r="AC4042" t="s">
        <v>43</v>
      </c>
      <c r="AD4042" t="s">
        <v>43</v>
      </c>
      <c r="AE4042" t="s">
        <v>43</v>
      </c>
      <c r="AF4042" t="s">
        <v>43</v>
      </c>
      <c r="AG4042" t="s">
        <v>43</v>
      </c>
      <c r="AH4042" t="s">
        <v>43</v>
      </c>
      <c r="AI4042" t="s">
        <v>43</v>
      </c>
      <c r="AJ4042" t="s">
        <v>43</v>
      </c>
      <c r="AK4042" t="s">
        <v>43</v>
      </c>
      <c r="AL4042" t="s">
        <v>43</v>
      </c>
      <c r="AM4042" t="s">
        <v>43</v>
      </c>
      <c r="AN4042" t="str">
        <f>HYPERLINK("https://www.google.com/maps?q=10.76307201,79.69438934","Open Location")</f>
        <v>Open Location</v>
      </c>
    </row>
    <row r="4043" spans="1:40" x14ac:dyDescent="0.3">
      <c r="A4043" s="1">
        <v>46210.531712962962</v>
      </c>
      <c r="B4043" t="s">
        <v>40</v>
      </c>
      <c r="C4043" t="s">
        <v>41</v>
      </c>
      <c r="D4043" s="1">
        <v>46210.535601851851</v>
      </c>
      <c r="E4043" t="s">
        <v>42</v>
      </c>
      <c r="F4043" t="s">
        <v>43</v>
      </c>
      <c r="G4043" t="s">
        <v>43</v>
      </c>
      <c r="H4043" t="s">
        <v>43</v>
      </c>
      <c r="I4043" t="s">
        <v>2276</v>
      </c>
      <c r="J4043" t="s">
        <v>43</v>
      </c>
      <c r="K4043" t="s">
        <v>43</v>
      </c>
      <c r="L4043" t="s">
        <v>43</v>
      </c>
      <c r="M4043" t="s">
        <v>43</v>
      </c>
      <c r="N4043" t="s">
        <v>45</v>
      </c>
      <c r="O4043" t="s">
        <v>43</v>
      </c>
      <c r="P4043" t="s">
        <v>43</v>
      </c>
      <c r="Q4043" t="s">
        <v>43</v>
      </c>
      <c r="R4043" t="s">
        <v>43</v>
      </c>
      <c r="S4043" t="s">
        <v>43</v>
      </c>
      <c r="T4043" t="s">
        <v>43</v>
      </c>
      <c r="U4043" t="s">
        <v>43</v>
      </c>
      <c r="V4043" t="s">
        <v>43</v>
      </c>
      <c r="W4043" t="s">
        <v>43</v>
      </c>
      <c r="X4043" t="s">
        <v>43</v>
      </c>
      <c r="Y4043" t="s">
        <v>43</v>
      </c>
      <c r="Z4043" t="s">
        <v>43</v>
      </c>
      <c r="AA4043" t="s">
        <v>43</v>
      </c>
      <c r="AB4043" t="s">
        <v>43</v>
      </c>
      <c r="AC4043" t="s">
        <v>43</v>
      </c>
      <c r="AD4043" t="s">
        <v>43</v>
      </c>
      <c r="AE4043" t="s">
        <v>43</v>
      </c>
      <c r="AF4043" t="s">
        <v>43</v>
      </c>
      <c r="AG4043" t="s">
        <v>43</v>
      </c>
      <c r="AH4043" t="s">
        <v>43</v>
      </c>
      <c r="AI4043" t="s">
        <v>43</v>
      </c>
      <c r="AJ4043" t="s">
        <v>43</v>
      </c>
      <c r="AK4043" t="s">
        <v>43</v>
      </c>
      <c r="AL4043" t="s">
        <v>43</v>
      </c>
      <c r="AM4043" t="s">
        <v>43</v>
      </c>
      <c r="AN4043" t="str">
        <f>HYPERLINK("https://www.google.com/maps?q=10.76307392,79.69438934","Open Location")</f>
        <v>Open Location</v>
      </c>
    </row>
    <row r="4044" spans="1:40" x14ac:dyDescent="0.3">
      <c r="A4044" s="1">
        <v>46210.531597222223</v>
      </c>
      <c r="B4044" t="s">
        <v>40</v>
      </c>
      <c r="C4044" t="s">
        <v>41</v>
      </c>
      <c r="D4044" s="1">
        <v>46210.535601851851</v>
      </c>
      <c r="E4044" t="s">
        <v>42</v>
      </c>
      <c r="F4044" t="s">
        <v>43</v>
      </c>
      <c r="G4044" t="s">
        <v>43</v>
      </c>
      <c r="H4044" t="s">
        <v>43</v>
      </c>
      <c r="I4044" t="s">
        <v>2334</v>
      </c>
      <c r="J4044" t="s">
        <v>43</v>
      </c>
      <c r="K4044" t="s">
        <v>43</v>
      </c>
      <c r="L4044" t="s">
        <v>43</v>
      </c>
      <c r="M4044" t="s">
        <v>43</v>
      </c>
      <c r="N4044" t="s">
        <v>45</v>
      </c>
      <c r="O4044" t="s">
        <v>43</v>
      </c>
      <c r="P4044" t="s">
        <v>43</v>
      </c>
      <c r="Q4044" t="s">
        <v>43</v>
      </c>
      <c r="R4044" t="s">
        <v>43</v>
      </c>
      <c r="S4044" t="s">
        <v>43</v>
      </c>
      <c r="T4044" t="s">
        <v>43</v>
      </c>
      <c r="U4044" t="s">
        <v>43</v>
      </c>
      <c r="V4044" t="s">
        <v>43</v>
      </c>
      <c r="W4044" t="s">
        <v>43</v>
      </c>
      <c r="X4044" t="s">
        <v>43</v>
      </c>
      <c r="Y4044" t="s">
        <v>43</v>
      </c>
      <c r="Z4044" t="s">
        <v>43</v>
      </c>
      <c r="AA4044" t="s">
        <v>43</v>
      </c>
      <c r="AB4044" t="s">
        <v>43</v>
      </c>
      <c r="AC4044" t="s">
        <v>43</v>
      </c>
      <c r="AD4044" t="s">
        <v>43</v>
      </c>
      <c r="AE4044" t="s">
        <v>43</v>
      </c>
      <c r="AF4044" t="s">
        <v>43</v>
      </c>
      <c r="AG4044" t="s">
        <v>43</v>
      </c>
      <c r="AH4044" t="s">
        <v>43</v>
      </c>
      <c r="AI4044" t="s">
        <v>43</v>
      </c>
      <c r="AJ4044" t="s">
        <v>43</v>
      </c>
      <c r="AK4044" t="s">
        <v>43</v>
      </c>
      <c r="AL4044" t="s">
        <v>43</v>
      </c>
      <c r="AM4044" t="s">
        <v>43</v>
      </c>
      <c r="AN4044" t="str">
        <f>HYPERLINK("https://www.google.com/maps?q=10.76307297,79.69438934","Open Location")</f>
        <v>Open Location</v>
      </c>
    </row>
    <row r="4045" spans="1:40" x14ac:dyDescent="0.3">
      <c r="A4045" s="1">
        <v>46210.531481481485</v>
      </c>
      <c r="B4045" t="s">
        <v>40</v>
      </c>
      <c r="C4045" t="s">
        <v>41</v>
      </c>
      <c r="D4045" s="1">
        <v>46210.535497685189</v>
      </c>
      <c r="E4045" t="s">
        <v>42</v>
      </c>
      <c r="F4045" t="s">
        <v>43</v>
      </c>
      <c r="G4045" t="s">
        <v>43</v>
      </c>
      <c r="H4045" t="s">
        <v>43</v>
      </c>
      <c r="I4045" t="s">
        <v>43</v>
      </c>
      <c r="J4045" t="s">
        <v>43</v>
      </c>
      <c r="K4045" t="s">
        <v>43</v>
      </c>
      <c r="L4045" t="s">
        <v>43</v>
      </c>
      <c r="M4045" t="s">
        <v>43</v>
      </c>
      <c r="N4045" t="s">
        <v>45</v>
      </c>
      <c r="O4045" t="s">
        <v>43</v>
      </c>
      <c r="P4045" t="s">
        <v>43</v>
      </c>
      <c r="Q4045" t="s">
        <v>43</v>
      </c>
      <c r="R4045" t="s">
        <v>43</v>
      </c>
      <c r="S4045" t="s">
        <v>43</v>
      </c>
      <c r="T4045" t="s">
        <v>43</v>
      </c>
      <c r="U4045" t="s">
        <v>43</v>
      </c>
      <c r="V4045" t="s">
        <v>43</v>
      </c>
      <c r="W4045" t="s">
        <v>43</v>
      </c>
      <c r="X4045" t="s">
        <v>43</v>
      </c>
      <c r="Y4045" t="s">
        <v>43</v>
      </c>
      <c r="Z4045" t="s">
        <v>43</v>
      </c>
      <c r="AA4045" t="s">
        <v>43</v>
      </c>
      <c r="AB4045" t="s">
        <v>43</v>
      </c>
      <c r="AC4045" t="s">
        <v>43</v>
      </c>
      <c r="AD4045" t="s">
        <v>43</v>
      </c>
      <c r="AE4045" t="s">
        <v>43</v>
      </c>
      <c r="AF4045" t="s">
        <v>43</v>
      </c>
      <c r="AG4045" t="s">
        <v>43</v>
      </c>
      <c r="AH4045" t="s">
        <v>43</v>
      </c>
      <c r="AI4045" t="s">
        <v>43</v>
      </c>
      <c r="AJ4045" t="s">
        <v>43</v>
      </c>
      <c r="AK4045" t="s">
        <v>43</v>
      </c>
      <c r="AL4045" t="s">
        <v>43</v>
      </c>
      <c r="AM4045" t="s">
        <v>43</v>
      </c>
      <c r="AN4045" t="s">
        <v>43</v>
      </c>
    </row>
    <row r="4046" spans="1:40" x14ac:dyDescent="0.3">
      <c r="A4046" s="1">
        <v>46210.531365740739</v>
      </c>
      <c r="B4046" t="s">
        <v>40</v>
      </c>
      <c r="C4046" t="s">
        <v>41</v>
      </c>
      <c r="D4046" s="1">
        <v>46210.535590277781</v>
      </c>
      <c r="E4046" t="s">
        <v>42</v>
      </c>
      <c r="F4046" t="s">
        <v>43</v>
      </c>
      <c r="G4046" t="s">
        <v>43</v>
      </c>
      <c r="H4046" t="s">
        <v>43</v>
      </c>
      <c r="I4046" t="s">
        <v>2226</v>
      </c>
      <c r="J4046" t="s">
        <v>43</v>
      </c>
      <c r="K4046" t="s">
        <v>43</v>
      </c>
      <c r="L4046" t="s">
        <v>43</v>
      </c>
      <c r="M4046" t="s">
        <v>43</v>
      </c>
      <c r="N4046" t="s">
        <v>45</v>
      </c>
      <c r="O4046" t="s">
        <v>43</v>
      </c>
      <c r="P4046" t="s">
        <v>43</v>
      </c>
      <c r="Q4046" t="s">
        <v>43</v>
      </c>
      <c r="R4046" t="s">
        <v>43</v>
      </c>
      <c r="S4046" t="s">
        <v>43</v>
      </c>
      <c r="T4046" t="s">
        <v>43</v>
      </c>
      <c r="U4046" t="s">
        <v>43</v>
      </c>
      <c r="V4046" t="s">
        <v>43</v>
      </c>
      <c r="W4046" t="s">
        <v>43</v>
      </c>
      <c r="X4046" t="s">
        <v>43</v>
      </c>
      <c r="Y4046" t="s">
        <v>43</v>
      </c>
      <c r="Z4046" t="s">
        <v>43</v>
      </c>
      <c r="AA4046" t="s">
        <v>43</v>
      </c>
      <c r="AB4046" t="s">
        <v>43</v>
      </c>
      <c r="AC4046" t="s">
        <v>43</v>
      </c>
      <c r="AD4046" t="s">
        <v>43</v>
      </c>
      <c r="AE4046" t="s">
        <v>43</v>
      </c>
      <c r="AF4046" t="s">
        <v>43</v>
      </c>
      <c r="AG4046" t="s">
        <v>43</v>
      </c>
      <c r="AH4046" t="s">
        <v>43</v>
      </c>
      <c r="AI4046" t="s">
        <v>43</v>
      </c>
      <c r="AJ4046" t="s">
        <v>43</v>
      </c>
      <c r="AK4046" t="s">
        <v>43</v>
      </c>
      <c r="AL4046" t="s">
        <v>43</v>
      </c>
      <c r="AM4046" t="s">
        <v>43</v>
      </c>
      <c r="AN4046" t="str">
        <f>HYPERLINK("https://www.google.com/maps?q=10.76307297,79.69438171","Open Location")</f>
        <v>Open Location</v>
      </c>
    </row>
    <row r="4047" spans="1:40" x14ac:dyDescent="0.3">
      <c r="A4047" s="1">
        <v>46210.53125</v>
      </c>
      <c r="B4047" t="s">
        <v>40</v>
      </c>
      <c r="C4047" t="s">
        <v>41</v>
      </c>
      <c r="D4047" s="1">
        <v>46210.535486111112</v>
      </c>
      <c r="E4047" t="s">
        <v>42</v>
      </c>
      <c r="F4047" t="s">
        <v>43</v>
      </c>
      <c r="G4047" t="s">
        <v>43</v>
      </c>
      <c r="H4047" t="s">
        <v>43</v>
      </c>
      <c r="I4047" t="s">
        <v>2335</v>
      </c>
      <c r="J4047" t="s">
        <v>43</v>
      </c>
      <c r="K4047" t="s">
        <v>43</v>
      </c>
      <c r="L4047" t="s">
        <v>43</v>
      </c>
      <c r="M4047" t="s">
        <v>43</v>
      </c>
      <c r="N4047" t="s">
        <v>45</v>
      </c>
      <c r="O4047" t="s">
        <v>43</v>
      </c>
      <c r="P4047" t="s">
        <v>43</v>
      </c>
      <c r="Q4047" t="s">
        <v>43</v>
      </c>
      <c r="R4047" t="s">
        <v>43</v>
      </c>
      <c r="S4047" t="s">
        <v>43</v>
      </c>
      <c r="T4047" t="s">
        <v>43</v>
      </c>
      <c r="U4047" t="s">
        <v>43</v>
      </c>
      <c r="V4047" t="s">
        <v>43</v>
      </c>
      <c r="W4047" t="s">
        <v>43</v>
      </c>
      <c r="X4047" t="s">
        <v>43</v>
      </c>
      <c r="Y4047" t="s">
        <v>43</v>
      </c>
      <c r="Z4047" t="s">
        <v>43</v>
      </c>
      <c r="AA4047" t="s">
        <v>43</v>
      </c>
      <c r="AB4047" t="s">
        <v>43</v>
      </c>
      <c r="AC4047" t="s">
        <v>43</v>
      </c>
      <c r="AD4047" t="s">
        <v>43</v>
      </c>
      <c r="AE4047" t="s">
        <v>43</v>
      </c>
      <c r="AF4047" t="s">
        <v>43</v>
      </c>
      <c r="AG4047" t="s">
        <v>43</v>
      </c>
      <c r="AH4047" t="s">
        <v>43</v>
      </c>
      <c r="AI4047" t="s">
        <v>43</v>
      </c>
      <c r="AJ4047" t="s">
        <v>43</v>
      </c>
      <c r="AK4047" t="s">
        <v>43</v>
      </c>
      <c r="AL4047" t="s">
        <v>43</v>
      </c>
      <c r="AM4047" t="s">
        <v>43</v>
      </c>
      <c r="AN4047" t="str">
        <f>HYPERLINK("https://www.google.com/maps?q=10.76307201,79.69438171","Open Location")</f>
        <v>Open Location</v>
      </c>
    </row>
    <row r="4048" spans="1:40" x14ac:dyDescent="0.3">
      <c r="A4048" s="1">
        <v>46210.531134259261</v>
      </c>
      <c r="B4048" t="s">
        <v>40</v>
      </c>
      <c r="C4048" t="s">
        <v>41</v>
      </c>
      <c r="D4048" s="1">
        <v>46210.535497685189</v>
      </c>
      <c r="E4048" t="s">
        <v>42</v>
      </c>
      <c r="F4048" t="s">
        <v>43</v>
      </c>
      <c r="G4048" t="s">
        <v>43</v>
      </c>
      <c r="H4048" t="s">
        <v>43</v>
      </c>
      <c r="I4048" t="s">
        <v>43</v>
      </c>
      <c r="J4048" t="s">
        <v>43</v>
      </c>
      <c r="K4048" t="s">
        <v>43</v>
      </c>
      <c r="L4048" t="s">
        <v>43</v>
      </c>
      <c r="M4048" t="s">
        <v>43</v>
      </c>
      <c r="N4048" t="s">
        <v>45</v>
      </c>
      <c r="O4048" t="s">
        <v>43</v>
      </c>
      <c r="P4048" t="s">
        <v>43</v>
      </c>
      <c r="Q4048" t="s">
        <v>43</v>
      </c>
      <c r="R4048" t="s">
        <v>43</v>
      </c>
      <c r="S4048" t="s">
        <v>43</v>
      </c>
      <c r="T4048" t="s">
        <v>43</v>
      </c>
      <c r="U4048" t="s">
        <v>43</v>
      </c>
      <c r="V4048" t="s">
        <v>43</v>
      </c>
      <c r="W4048" t="s">
        <v>43</v>
      </c>
      <c r="X4048" t="s">
        <v>43</v>
      </c>
      <c r="Y4048" t="s">
        <v>43</v>
      </c>
      <c r="Z4048" t="s">
        <v>43</v>
      </c>
      <c r="AA4048" t="s">
        <v>43</v>
      </c>
      <c r="AB4048" t="s">
        <v>43</v>
      </c>
      <c r="AC4048" t="s">
        <v>43</v>
      </c>
      <c r="AD4048" t="s">
        <v>43</v>
      </c>
      <c r="AE4048" t="s">
        <v>43</v>
      </c>
      <c r="AF4048" t="s">
        <v>43</v>
      </c>
      <c r="AG4048" t="s">
        <v>43</v>
      </c>
      <c r="AH4048" t="s">
        <v>43</v>
      </c>
      <c r="AI4048" t="s">
        <v>43</v>
      </c>
      <c r="AJ4048" t="s">
        <v>43</v>
      </c>
      <c r="AK4048" t="s">
        <v>43</v>
      </c>
      <c r="AL4048" t="s">
        <v>43</v>
      </c>
      <c r="AM4048" t="s">
        <v>43</v>
      </c>
      <c r="AN4048" t="s">
        <v>43</v>
      </c>
    </row>
    <row r="4049" spans="1:40" x14ac:dyDescent="0.3">
      <c r="A4049" s="1">
        <v>46210.530671296299</v>
      </c>
      <c r="B4049" t="s">
        <v>40</v>
      </c>
      <c r="C4049" t="s">
        <v>41</v>
      </c>
      <c r="D4049" s="1">
        <v>46210.53398148148</v>
      </c>
      <c r="E4049" t="s">
        <v>43</v>
      </c>
      <c r="F4049" t="s">
        <v>43</v>
      </c>
      <c r="G4049" t="s">
        <v>43</v>
      </c>
      <c r="H4049" t="s">
        <v>43</v>
      </c>
      <c r="I4049" t="s">
        <v>43</v>
      </c>
      <c r="J4049" t="s">
        <v>43</v>
      </c>
      <c r="K4049" t="s">
        <v>43</v>
      </c>
      <c r="L4049" t="s">
        <v>43</v>
      </c>
      <c r="M4049" t="s">
        <v>43</v>
      </c>
      <c r="N4049" t="s">
        <v>45</v>
      </c>
      <c r="O4049" t="s">
        <v>43</v>
      </c>
      <c r="P4049" t="s">
        <v>43</v>
      </c>
      <c r="Q4049" t="s">
        <v>43</v>
      </c>
      <c r="R4049" t="s">
        <v>43</v>
      </c>
      <c r="S4049" t="s">
        <v>43</v>
      </c>
      <c r="T4049" t="s">
        <v>43</v>
      </c>
      <c r="U4049" t="s">
        <v>43</v>
      </c>
      <c r="V4049" t="s">
        <v>43</v>
      </c>
      <c r="W4049" t="s">
        <v>43</v>
      </c>
      <c r="X4049" t="s">
        <v>43</v>
      </c>
      <c r="Y4049" t="s">
        <v>43</v>
      </c>
      <c r="Z4049" t="s">
        <v>43</v>
      </c>
      <c r="AA4049" t="s">
        <v>43</v>
      </c>
      <c r="AB4049" t="s">
        <v>43</v>
      </c>
      <c r="AC4049" t="s">
        <v>43</v>
      </c>
      <c r="AD4049" t="s">
        <v>43</v>
      </c>
      <c r="AE4049" t="s">
        <v>43</v>
      </c>
      <c r="AF4049" t="s">
        <v>43</v>
      </c>
      <c r="AG4049" t="s">
        <v>43</v>
      </c>
      <c r="AH4049" t="s">
        <v>43</v>
      </c>
      <c r="AI4049" t="s">
        <v>43</v>
      </c>
      <c r="AJ4049" t="s">
        <v>43</v>
      </c>
      <c r="AK4049" t="s">
        <v>43</v>
      </c>
      <c r="AL4049" t="s">
        <v>43</v>
      </c>
      <c r="AM4049" t="s">
        <v>43</v>
      </c>
      <c r="AN4049" t="s">
        <v>43</v>
      </c>
    </row>
    <row r="4050" spans="1:40" x14ac:dyDescent="0.3">
      <c r="A4050" s="1">
        <v>46210.530555555553</v>
      </c>
      <c r="B4050" t="s">
        <v>40</v>
      </c>
      <c r="C4050" t="s">
        <v>41</v>
      </c>
      <c r="D4050" s="1">
        <v>46210.534039351849</v>
      </c>
      <c r="E4050" t="s">
        <v>42</v>
      </c>
      <c r="F4050" t="s">
        <v>43</v>
      </c>
      <c r="G4050" t="s">
        <v>43</v>
      </c>
      <c r="H4050" t="s">
        <v>43</v>
      </c>
      <c r="I4050" t="s">
        <v>2217</v>
      </c>
      <c r="J4050" t="s">
        <v>43</v>
      </c>
      <c r="K4050" t="s">
        <v>43</v>
      </c>
      <c r="L4050" t="s">
        <v>43</v>
      </c>
      <c r="M4050" t="s">
        <v>43</v>
      </c>
      <c r="N4050" t="s">
        <v>45</v>
      </c>
      <c r="O4050" t="s">
        <v>43</v>
      </c>
      <c r="P4050" t="s">
        <v>43</v>
      </c>
      <c r="Q4050" t="s">
        <v>43</v>
      </c>
      <c r="R4050" t="s">
        <v>43</v>
      </c>
      <c r="S4050" t="s">
        <v>43</v>
      </c>
      <c r="T4050" t="s">
        <v>43</v>
      </c>
      <c r="U4050" t="s">
        <v>43</v>
      </c>
      <c r="V4050" t="s">
        <v>43</v>
      </c>
      <c r="W4050" t="s">
        <v>43</v>
      </c>
      <c r="X4050" t="s">
        <v>43</v>
      </c>
      <c r="Y4050" t="s">
        <v>43</v>
      </c>
      <c r="Z4050" t="s">
        <v>43</v>
      </c>
      <c r="AA4050" t="s">
        <v>43</v>
      </c>
      <c r="AB4050" t="s">
        <v>43</v>
      </c>
      <c r="AC4050" t="s">
        <v>43</v>
      </c>
      <c r="AD4050" t="s">
        <v>43</v>
      </c>
      <c r="AE4050" t="s">
        <v>43</v>
      </c>
      <c r="AF4050" t="s">
        <v>43</v>
      </c>
      <c r="AG4050" t="s">
        <v>43</v>
      </c>
      <c r="AH4050" t="s">
        <v>43</v>
      </c>
      <c r="AI4050" t="s">
        <v>43</v>
      </c>
      <c r="AJ4050" t="s">
        <v>43</v>
      </c>
      <c r="AK4050" t="s">
        <v>43</v>
      </c>
      <c r="AL4050" t="s">
        <v>43</v>
      </c>
      <c r="AM4050" t="s">
        <v>43</v>
      </c>
      <c r="AN4050" t="str">
        <f>HYPERLINK("https://www.google.com/maps?q=10.76306725,79.69437408","Open Location")</f>
        <v>Open Location</v>
      </c>
    </row>
    <row r="4051" spans="1:40" x14ac:dyDescent="0.3">
      <c r="A4051" s="1">
        <v>46210.530439814815</v>
      </c>
      <c r="B4051" t="s">
        <v>40</v>
      </c>
      <c r="C4051" t="s">
        <v>41</v>
      </c>
      <c r="D4051" s="1">
        <v>46210.533993055556</v>
      </c>
      <c r="E4051" t="s">
        <v>42</v>
      </c>
      <c r="F4051" t="s">
        <v>43</v>
      </c>
      <c r="G4051" t="s">
        <v>43</v>
      </c>
      <c r="H4051" t="s">
        <v>43</v>
      </c>
      <c r="I4051" t="s">
        <v>2241</v>
      </c>
      <c r="J4051" t="s">
        <v>43</v>
      </c>
      <c r="K4051" t="s">
        <v>43</v>
      </c>
      <c r="L4051" t="s">
        <v>43</v>
      </c>
      <c r="M4051" t="s">
        <v>43</v>
      </c>
      <c r="N4051" t="s">
        <v>45</v>
      </c>
      <c r="O4051" t="s">
        <v>43</v>
      </c>
      <c r="P4051" t="s">
        <v>43</v>
      </c>
      <c r="Q4051" t="s">
        <v>43</v>
      </c>
      <c r="R4051" t="s">
        <v>43</v>
      </c>
      <c r="S4051" t="s">
        <v>43</v>
      </c>
      <c r="T4051" t="s">
        <v>43</v>
      </c>
      <c r="U4051" t="s">
        <v>43</v>
      </c>
      <c r="V4051" t="s">
        <v>43</v>
      </c>
      <c r="W4051" t="s">
        <v>43</v>
      </c>
      <c r="X4051" t="s">
        <v>43</v>
      </c>
      <c r="Y4051" t="s">
        <v>43</v>
      </c>
      <c r="Z4051" t="s">
        <v>43</v>
      </c>
      <c r="AA4051" t="s">
        <v>43</v>
      </c>
      <c r="AB4051" t="s">
        <v>43</v>
      </c>
      <c r="AC4051" t="s">
        <v>43</v>
      </c>
      <c r="AD4051" t="s">
        <v>43</v>
      </c>
      <c r="AE4051" t="s">
        <v>43</v>
      </c>
      <c r="AF4051" t="s">
        <v>43</v>
      </c>
      <c r="AG4051" t="s">
        <v>43</v>
      </c>
      <c r="AH4051" t="s">
        <v>43</v>
      </c>
      <c r="AI4051" t="s">
        <v>43</v>
      </c>
      <c r="AJ4051" t="s">
        <v>43</v>
      </c>
      <c r="AK4051" t="s">
        <v>43</v>
      </c>
      <c r="AL4051" t="s">
        <v>43</v>
      </c>
      <c r="AM4051" t="s">
        <v>43</v>
      </c>
      <c r="AN4051" t="str">
        <f>HYPERLINK("https://www.google.com/maps?q=10.76306438,79.69437408","Open Location")</f>
        <v>Open Location</v>
      </c>
    </row>
    <row r="4052" spans="1:40" x14ac:dyDescent="0.3">
      <c r="A4052" s="1">
        <v>46210.530324074076</v>
      </c>
      <c r="B4052" t="s">
        <v>40</v>
      </c>
      <c r="C4052" t="s">
        <v>41</v>
      </c>
      <c r="D4052" s="1">
        <v>46210.53402777778</v>
      </c>
      <c r="E4052" t="s">
        <v>42</v>
      </c>
      <c r="F4052" t="s">
        <v>43</v>
      </c>
      <c r="G4052" t="s">
        <v>43</v>
      </c>
      <c r="H4052" t="s">
        <v>43</v>
      </c>
      <c r="I4052" t="s">
        <v>2266</v>
      </c>
      <c r="J4052" t="s">
        <v>43</v>
      </c>
      <c r="K4052" t="s">
        <v>43</v>
      </c>
      <c r="L4052" t="s">
        <v>43</v>
      </c>
      <c r="M4052" t="s">
        <v>43</v>
      </c>
      <c r="N4052" t="s">
        <v>45</v>
      </c>
      <c r="O4052" t="s">
        <v>43</v>
      </c>
      <c r="P4052" t="s">
        <v>43</v>
      </c>
      <c r="Q4052" t="s">
        <v>43</v>
      </c>
      <c r="R4052" t="s">
        <v>43</v>
      </c>
      <c r="S4052" t="s">
        <v>43</v>
      </c>
      <c r="T4052" t="s">
        <v>43</v>
      </c>
      <c r="U4052" t="s">
        <v>43</v>
      </c>
      <c r="V4052" t="s">
        <v>43</v>
      </c>
      <c r="W4052" t="s">
        <v>43</v>
      </c>
      <c r="X4052" t="s">
        <v>43</v>
      </c>
      <c r="Y4052" t="s">
        <v>43</v>
      </c>
      <c r="Z4052" t="s">
        <v>43</v>
      </c>
      <c r="AA4052" t="s">
        <v>43</v>
      </c>
      <c r="AB4052" t="s">
        <v>43</v>
      </c>
      <c r="AC4052" t="s">
        <v>43</v>
      </c>
      <c r="AD4052" t="s">
        <v>43</v>
      </c>
      <c r="AE4052" t="s">
        <v>43</v>
      </c>
      <c r="AF4052" t="s">
        <v>43</v>
      </c>
      <c r="AG4052" t="s">
        <v>43</v>
      </c>
      <c r="AH4052" t="s">
        <v>43</v>
      </c>
      <c r="AI4052" t="s">
        <v>43</v>
      </c>
      <c r="AJ4052" t="s">
        <v>43</v>
      </c>
      <c r="AK4052" t="s">
        <v>43</v>
      </c>
      <c r="AL4052" t="s">
        <v>43</v>
      </c>
      <c r="AM4052" t="s">
        <v>43</v>
      </c>
      <c r="AN4052" t="str">
        <f>HYPERLINK("https://www.google.com/maps?q=10.76306343,79.69436646","Open Location")</f>
        <v>Open Location</v>
      </c>
    </row>
    <row r="4053" spans="1:40" x14ac:dyDescent="0.3">
      <c r="A4053" s="1">
        <v>46210.53020833333</v>
      </c>
      <c r="B4053" t="s">
        <v>40</v>
      </c>
      <c r="C4053" t="s">
        <v>41</v>
      </c>
      <c r="D4053" s="1">
        <v>46210.53402777778</v>
      </c>
      <c r="E4053" t="s">
        <v>42</v>
      </c>
      <c r="F4053" t="s">
        <v>43</v>
      </c>
      <c r="G4053" t="s">
        <v>43</v>
      </c>
      <c r="H4053" t="s">
        <v>43</v>
      </c>
      <c r="I4053" t="s">
        <v>2218</v>
      </c>
      <c r="J4053" t="s">
        <v>43</v>
      </c>
      <c r="K4053" t="s">
        <v>43</v>
      </c>
      <c r="L4053" t="s">
        <v>43</v>
      </c>
      <c r="M4053" t="s">
        <v>43</v>
      </c>
      <c r="N4053" t="s">
        <v>45</v>
      </c>
      <c r="O4053" t="s">
        <v>43</v>
      </c>
      <c r="P4053" t="s">
        <v>43</v>
      </c>
      <c r="Q4053" t="s">
        <v>43</v>
      </c>
      <c r="R4053" t="s">
        <v>43</v>
      </c>
      <c r="S4053" t="s">
        <v>43</v>
      </c>
      <c r="T4053" t="s">
        <v>43</v>
      </c>
      <c r="U4053" t="s">
        <v>43</v>
      </c>
      <c r="V4053" t="s">
        <v>43</v>
      </c>
      <c r="W4053" t="s">
        <v>43</v>
      </c>
      <c r="X4053" t="s">
        <v>43</v>
      </c>
      <c r="Y4053" t="s">
        <v>43</v>
      </c>
      <c r="Z4053" t="s">
        <v>43</v>
      </c>
      <c r="AA4053" t="s">
        <v>43</v>
      </c>
      <c r="AB4053" t="s">
        <v>43</v>
      </c>
      <c r="AC4053" t="s">
        <v>43</v>
      </c>
      <c r="AD4053" t="s">
        <v>43</v>
      </c>
      <c r="AE4053" t="s">
        <v>43</v>
      </c>
      <c r="AF4053" t="s">
        <v>43</v>
      </c>
      <c r="AG4053" t="s">
        <v>43</v>
      </c>
      <c r="AH4053" t="s">
        <v>43</v>
      </c>
      <c r="AI4053" t="s">
        <v>43</v>
      </c>
      <c r="AJ4053" t="s">
        <v>43</v>
      </c>
      <c r="AK4053" t="s">
        <v>43</v>
      </c>
      <c r="AL4053" t="s">
        <v>43</v>
      </c>
      <c r="AM4053" t="s">
        <v>43</v>
      </c>
      <c r="AN4053" t="str">
        <f>HYPERLINK("https://www.google.com/maps?q=10.76306534,79.69436646","Open Location")</f>
        <v>Open Location</v>
      </c>
    </row>
    <row r="4054" spans="1:40" x14ac:dyDescent="0.3">
      <c r="A4054" s="1">
        <v>46210.530092592591</v>
      </c>
      <c r="B4054" t="s">
        <v>40</v>
      </c>
      <c r="C4054" t="s">
        <v>41</v>
      </c>
      <c r="D4054" s="1">
        <v>46210.534085648149</v>
      </c>
      <c r="E4054" t="s">
        <v>42</v>
      </c>
      <c r="F4054" t="s">
        <v>43</v>
      </c>
      <c r="G4054" t="s">
        <v>43</v>
      </c>
      <c r="H4054" t="s">
        <v>43</v>
      </c>
      <c r="I4054" t="s">
        <v>43</v>
      </c>
      <c r="J4054" t="s">
        <v>43</v>
      </c>
      <c r="K4054" t="s">
        <v>43</v>
      </c>
      <c r="L4054" t="s">
        <v>43</v>
      </c>
      <c r="M4054" t="s">
        <v>43</v>
      </c>
      <c r="N4054" t="s">
        <v>45</v>
      </c>
      <c r="O4054" t="s">
        <v>43</v>
      </c>
      <c r="P4054" t="s">
        <v>43</v>
      </c>
      <c r="Q4054" t="s">
        <v>43</v>
      </c>
      <c r="R4054" t="s">
        <v>43</v>
      </c>
      <c r="S4054" t="s">
        <v>43</v>
      </c>
      <c r="T4054" t="s">
        <v>43</v>
      </c>
      <c r="U4054" t="s">
        <v>43</v>
      </c>
      <c r="V4054" t="s">
        <v>43</v>
      </c>
      <c r="W4054" t="s">
        <v>43</v>
      </c>
      <c r="X4054" t="s">
        <v>43</v>
      </c>
      <c r="Y4054" t="s">
        <v>43</v>
      </c>
      <c r="Z4054" t="s">
        <v>43</v>
      </c>
      <c r="AA4054" t="s">
        <v>43</v>
      </c>
      <c r="AB4054" t="s">
        <v>43</v>
      </c>
      <c r="AC4054" t="s">
        <v>43</v>
      </c>
      <c r="AD4054" t="s">
        <v>43</v>
      </c>
      <c r="AE4054" t="s">
        <v>43</v>
      </c>
      <c r="AF4054" t="s">
        <v>43</v>
      </c>
      <c r="AG4054" t="s">
        <v>43</v>
      </c>
      <c r="AH4054" t="s">
        <v>43</v>
      </c>
      <c r="AI4054" t="s">
        <v>43</v>
      </c>
      <c r="AJ4054" t="s">
        <v>43</v>
      </c>
      <c r="AK4054" t="s">
        <v>43</v>
      </c>
      <c r="AL4054" t="s">
        <v>43</v>
      </c>
      <c r="AM4054" t="s">
        <v>43</v>
      </c>
      <c r="AN4054" t="s">
        <v>43</v>
      </c>
    </row>
    <row r="4055" spans="1:40" x14ac:dyDescent="0.3">
      <c r="A4055" s="1">
        <v>46210.529976851853</v>
      </c>
      <c r="B4055" t="s">
        <v>40</v>
      </c>
      <c r="C4055" t="s">
        <v>41</v>
      </c>
      <c r="D4055" s="1">
        <v>46210.534039351849</v>
      </c>
      <c r="E4055" t="s">
        <v>42</v>
      </c>
      <c r="F4055" t="s">
        <v>43</v>
      </c>
      <c r="G4055" t="s">
        <v>43</v>
      </c>
      <c r="H4055" t="s">
        <v>43</v>
      </c>
      <c r="I4055" t="s">
        <v>2328</v>
      </c>
      <c r="J4055" t="s">
        <v>43</v>
      </c>
      <c r="K4055" t="s">
        <v>43</v>
      </c>
      <c r="L4055" t="s">
        <v>43</v>
      </c>
      <c r="M4055" t="s">
        <v>43</v>
      </c>
      <c r="N4055" t="s">
        <v>45</v>
      </c>
      <c r="O4055" t="s">
        <v>43</v>
      </c>
      <c r="P4055" t="s">
        <v>43</v>
      </c>
      <c r="Q4055" t="s">
        <v>43</v>
      </c>
      <c r="R4055" t="s">
        <v>43</v>
      </c>
      <c r="S4055" t="s">
        <v>43</v>
      </c>
      <c r="T4055" t="s">
        <v>43</v>
      </c>
      <c r="U4055" t="s">
        <v>43</v>
      </c>
      <c r="V4055" t="s">
        <v>43</v>
      </c>
      <c r="W4055" t="s">
        <v>43</v>
      </c>
      <c r="X4055" t="s">
        <v>43</v>
      </c>
      <c r="Y4055" t="s">
        <v>43</v>
      </c>
      <c r="Z4055" t="s">
        <v>43</v>
      </c>
      <c r="AA4055" t="s">
        <v>43</v>
      </c>
      <c r="AB4055" t="s">
        <v>43</v>
      </c>
      <c r="AC4055" t="s">
        <v>43</v>
      </c>
      <c r="AD4055" t="s">
        <v>43</v>
      </c>
      <c r="AE4055" t="s">
        <v>43</v>
      </c>
      <c r="AF4055" t="s">
        <v>43</v>
      </c>
      <c r="AG4055" t="s">
        <v>43</v>
      </c>
      <c r="AH4055" t="s">
        <v>43</v>
      </c>
      <c r="AI4055" t="s">
        <v>43</v>
      </c>
      <c r="AJ4055" t="s">
        <v>43</v>
      </c>
      <c r="AK4055" t="s">
        <v>43</v>
      </c>
      <c r="AL4055" t="s">
        <v>43</v>
      </c>
      <c r="AM4055" t="s">
        <v>43</v>
      </c>
      <c r="AN4055" t="str">
        <f>HYPERLINK("https://www.google.com/maps?q=10.76306438,79.69435883","Open Location")</f>
        <v>Open Location</v>
      </c>
    </row>
    <row r="4056" spans="1:40" x14ac:dyDescent="0.3">
      <c r="A4056" s="1">
        <v>46210.529861111114</v>
      </c>
      <c r="B4056" t="s">
        <v>40</v>
      </c>
      <c r="C4056" t="s">
        <v>41</v>
      </c>
      <c r="D4056" s="1">
        <v>46210.53398148148</v>
      </c>
      <c r="E4056" t="s">
        <v>42</v>
      </c>
      <c r="F4056" t="s">
        <v>43</v>
      </c>
      <c r="G4056" t="s">
        <v>43</v>
      </c>
      <c r="H4056" t="s">
        <v>43</v>
      </c>
      <c r="I4056" t="s">
        <v>2336</v>
      </c>
      <c r="J4056" t="s">
        <v>43</v>
      </c>
      <c r="K4056" t="s">
        <v>43</v>
      </c>
      <c r="L4056" t="s">
        <v>43</v>
      </c>
      <c r="M4056" t="s">
        <v>43</v>
      </c>
      <c r="N4056" t="s">
        <v>45</v>
      </c>
      <c r="O4056" t="s">
        <v>43</v>
      </c>
      <c r="P4056" t="s">
        <v>43</v>
      </c>
      <c r="Q4056" t="s">
        <v>43</v>
      </c>
      <c r="R4056" t="s">
        <v>43</v>
      </c>
      <c r="S4056" t="s">
        <v>43</v>
      </c>
      <c r="T4056" t="s">
        <v>43</v>
      </c>
      <c r="U4056" t="s">
        <v>43</v>
      </c>
      <c r="V4056" t="s">
        <v>43</v>
      </c>
      <c r="W4056" t="s">
        <v>43</v>
      </c>
      <c r="X4056" t="s">
        <v>43</v>
      </c>
      <c r="Y4056" t="s">
        <v>43</v>
      </c>
      <c r="Z4056" t="s">
        <v>43</v>
      </c>
      <c r="AA4056" t="s">
        <v>43</v>
      </c>
      <c r="AB4056" t="s">
        <v>43</v>
      </c>
      <c r="AC4056" t="s">
        <v>43</v>
      </c>
      <c r="AD4056" t="s">
        <v>43</v>
      </c>
      <c r="AE4056" t="s">
        <v>43</v>
      </c>
      <c r="AF4056" t="s">
        <v>43</v>
      </c>
      <c r="AG4056" t="s">
        <v>43</v>
      </c>
      <c r="AH4056" t="s">
        <v>43</v>
      </c>
      <c r="AI4056" t="s">
        <v>43</v>
      </c>
      <c r="AJ4056" t="s">
        <v>43</v>
      </c>
      <c r="AK4056" t="s">
        <v>43</v>
      </c>
      <c r="AL4056" t="s">
        <v>43</v>
      </c>
      <c r="AM4056" t="s">
        <v>43</v>
      </c>
      <c r="AN4056" t="str">
        <f>HYPERLINK("https://www.google.com/maps?q=10.76306438,79.6943512","Open Location")</f>
        <v>Open Location</v>
      </c>
    </row>
    <row r="4057" spans="1:40" x14ac:dyDescent="0.3">
      <c r="A4057" s="1">
        <v>46210.529745370368</v>
      </c>
      <c r="B4057" t="s">
        <v>40</v>
      </c>
      <c r="C4057" t="s">
        <v>41</v>
      </c>
      <c r="D4057" s="1">
        <v>46210.534074074072</v>
      </c>
      <c r="E4057" t="s">
        <v>42</v>
      </c>
      <c r="F4057" t="s">
        <v>43</v>
      </c>
      <c r="G4057" t="s">
        <v>43</v>
      </c>
      <c r="H4057" t="s">
        <v>43</v>
      </c>
      <c r="I4057" t="s">
        <v>2337</v>
      </c>
      <c r="J4057" t="s">
        <v>43</v>
      </c>
      <c r="K4057" t="s">
        <v>43</v>
      </c>
      <c r="L4057" t="s">
        <v>43</v>
      </c>
      <c r="M4057" t="s">
        <v>43</v>
      </c>
      <c r="N4057" t="s">
        <v>45</v>
      </c>
      <c r="O4057" t="s">
        <v>43</v>
      </c>
      <c r="P4057" t="s">
        <v>43</v>
      </c>
      <c r="Q4057" t="s">
        <v>43</v>
      </c>
      <c r="R4057" t="s">
        <v>43</v>
      </c>
      <c r="S4057" t="s">
        <v>43</v>
      </c>
      <c r="T4057" t="s">
        <v>43</v>
      </c>
      <c r="U4057" t="s">
        <v>43</v>
      </c>
      <c r="V4057" t="s">
        <v>43</v>
      </c>
      <c r="W4057" t="s">
        <v>43</v>
      </c>
      <c r="X4057" t="s">
        <v>43</v>
      </c>
      <c r="Y4057" t="s">
        <v>43</v>
      </c>
      <c r="Z4057" t="s">
        <v>43</v>
      </c>
      <c r="AA4057" t="s">
        <v>43</v>
      </c>
      <c r="AB4057" t="s">
        <v>43</v>
      </c>
      <c r="AC4057" t="s">
        <v>43</v>
      </c>
      <c r="AD4057" t="s">
        <v>43</v>
      </c>
      <c r="AE4057" t="s">
        <v>43</v>
      </c>
      <c r="AF4057" t="s">
        <v>43</v>
      </c>
      <c r="AG4057" t="s">
        <v>43</v>
      </c>
      <c r="AH4057" t="s">
        <v>43</v>
      </c>
      <c r="AI4057" t="s">
        <v>43</v>
      </c>
      <c r="AJ4057" t="s">
        <v>43</v>
      </c>
      <c r="AK4057" t="s">
        <v>43</v>
      </c>
      <c r="AL4057" t="s">
        <v>43</v>
      </c>
      <c r="AM4057" t="s">
        <v>43</v>
      </c>
      <c r="AN4057" t="str">
        <f>HYPERLINK("https://www.google.com/maps?q=10.76306534,79.6943512","Open Location")</f>
        <v>Open Location</v>
      </c>
    </row>
    <row r="4058" spans="1:40" x14ac:dyDescent="0.3">
      <c r="A4058" s="1">
        <v>46210.529629629629</v>
      </c>
      <c r="B4058" t="s">
        <v>40</v>
      </c>
      <c r="C4058" t="s">
        <v>41</v>
      </c>
      <c r="D4058" s="1">
        <v>46210.532442129632</v>
      </c>
      <c r="E4058" t="s">
        <v>42</v>
      </c>
      <c r="F4058" t="s">
        <v>43</v>
      </c>
      <c r="G4058" t="s">
        <v>43</v>
      </c>
      <c r="H4058" t="s">
        <v>43</v>
      </c>
      <c r="I4058" t="s">
        <v>2338</v>
      </c>
      <c r="J4058" t="s">
        <v>43</v>
      </c>
      <c r="K4058" t="s">
        <v>43</v>
      </c>
      <c r="L4058" t="s">
        <v>43</v>
      </c>
      <c r="M4058" t="s">
        <v>43</v>
      </c>
      <c r="N4058" t="s">
        <v>45</v>
      </c>
      <c r="O4058" t="s">
        <v>43</v>
      </c>
      <c r="P4058" t="s">
        <v>43</v>
      </c>
      <c r="Q4058" t="s">
        <v>43</v>
      </c>
      <c r="R4058" t="s">
        <v>43</v>
      </c>
      <c r="S4058" t="s">
        <v>43</v>
      </c>
      <c r="T4058" t="s">
        <v>43</v>
      </c>
      <c r="U4058" t="s">
        <v>43</v>
      </c>
      <c r="V4058" t="s">
        <v>43</v>
      </c>
      <c r="W4058" t="s">
        <v>43</v>
      </c>
      <c r="X4058" t="s">
        <v>43</v>
      </c>
      <c r="Y4058" t="s">
        <v>43</v>
      </c>
      <c r="Z4058" t="s">
        <v>43</v>
      </c>
      <c r="AA4058" t="s">
        <v>43</v>
      </c>
      <c r="AB4058" t="s">
        <v>43</v>
      </c>
      <c r="AC4058" t="s">
        <v>43</v>
      </c>
      <c r="AD4058" t="s">
        <v>43</v>
      </c>
      <c r="AE4058" t="s">
        <v>43</v>
      </c>
      <c r="AF4058" t="s">
        <v>43</v>
      </c>
      <c r="AG4058" t="s">
        <v>43</v>
      </c>
      <c r="AH4058" t="s">
        <v>43</v>
      </c>
      <c r="AI4058" t="s">
        <v>43</v>
      </c>
      <c r="AJ4058" t="s">
        <v>43</v>
      </c>
      <c r="AK4058" t="s">
        <v>43</v>
      </c>
      <c r="AL4058" t="s">
        <v>43</v>
      </c>
      <c r="AM4058" t="s">
        <v>43</v>
      </c>
      <c r="AN4058" t="str">
        <f>HYPERLINK("https://www.google.com/maps?q=10.76306629,79.6943512","Open Location")</f>
        <v>Open Location</v>
      </c>
    </row>
    <row r="4059" spans="1:40" x14ac:dyDescent="0.3">
      <c r="A4059" s="1">
        <v>46210.529513888891</v>
      </c>
      <c r="B4059" t="s">
        <v>40</v>
      </c>
      <c r="C4059" t="s">
        <v>41</v>
      </c>
      <c r="D4059" s="1">
        <v>46210.532361111109</v>
      </c>
      <c r="E4059" t="s">
        <v>42</v>
      </c>
      <c r="F4059" t="s">
        <v>43</v>
      </c>
      <c r="G4059" t="s">
        <v>43</v>
      </c>
      <c r="H4059" t="s">
        <v>43</v>
      </c>
      <c r="I4059" t="s">
        <v>43</v>
      </c>
      <c r="J4059" t="s">
        <v>43</v>
      </c>
      <c r="K4059" t="s">
        <v>43</v>
      </c>
      <c r="L4059" t="s">
        <v>43</v>
      </c>
      <c r="M4059" t="s">
        <v>43</v>
      </c>
      <c r="N4059" t="s">
        <v>45</v>
      </c>
      <c r="O4059" t="s">
        <v>43</v>
      </c>
      <c r="P4059" t="s">
        <v>43</v>
      </c>
      <c r="Q4059" t="s">
        <v>43</v>
      </c>
      <c r="R4059" t="s">
        <v>43</v>
      </c>
      <c r="S4059" t="s">
        <v>43</v>
      </c>
      <c r="T4059" t="s">
        <v>43</v>
      </c>
      <c r="U4059" t="s">
        <v>43</v>
      </c>
      <c r="V4059" t="s">
        <v>43</v>
      </c>
      <c r="W4059" t="s">
        <v>43</v>
      </c>
      <c r="X4059" t="s">
        <v>43</v>
      </c>
      <c r="Y4059" t="s">
        <v>43</v>
      </c>
      <c r="Z4059" t="s">
        <v>43</v>
      </c>
      <c r="AA4059" t="s">
        <v>43</v>
      </c>
      <c r="AB4059" t="s">
        <v>43</v>
      </c>
      <c r="AC4059" t="s">
        <v>43</v>
      </c>
      <c r="AD4059" t="s">
        <v>43</v>
      </c>
      <c r="AE4059" t="s">
        <v>43</v>
      </c>
      <c r="AF4059" t="s">
        <v>43</v>
      </c>
      <c r="AG4059" t="s">
        <v>43</v>
      </c>
      <c r="AH4059" t="s">
        <v>43</v>
      </c>
      <c r="AI4059" t="s">
        <v>43</v>
      </c>
      <c r="AJ4059" t="s">
        <v>43</v>
      </c>
      <c r="AK4059" t="s">
        <v>43</v>
      </c>
      <c r="AL4059" t="s">
        <v>43</v>
      </c>
      <c r="AM4059" t="s">
        <v>43</v>
      </c>
      <c r="AN4059" t="s">
        <v>43</v>
      </c>
    </row>
    <row r="4060" spans="1:40" x14ac:dyDescent="0.3">
      <c r="A4060" s="1">
        <v>46210.529398148145</v>
      </c>
      <c r="B4060" t="s">
        <v>40</v>
      </c>
      <c r="C4060" t="s">
        <v>41</v>
      </c>
      <c r="D4060" s="1">
        <v>46210.53224537037</v>
      </c>
      <c r="E4060" t="s">
        <v>42</v>
      </c>
      <c r="F4060" t="s">
        <v>43</v>
      </c>
      <c r="G4060" t="s">
        <v>43</v>
      </c>
      <c r="H4060" t="s">
        <v>43</v>
      </c>
      <c r="I4060" t="s">
        <v>2336</v>
      </c>
      <c r="J4060" t="s">
        <v>43</v>
      </c>
      <c r="K4060" t="s">
        <v>43</v>
      </c>
      <c r="L4060" t="s">
        <v>43</v>
      </c>
      <c r="M4060" t="s">
        <v>43</v>
      </c>
      <c r="N4060" t="s">
        <v>45</v>
      </c>
      <c r="O4060" t="s">
        <v>43</v>
      </c>
      <c r="P4060" t="s">
        <v>43</v>
      </c>
      <c r="Q4060" t="s">
        <v>43</v>
      </c>
      <c r="R4060" t="s">
        <v>43</v>
      </c>
      <c r="S4060" t="s">
        <v>43</v>
      </c>
      <c r="T4060" t="s">
        <v>43</v>
      </c>
      <c r="U4060" t="s">
        <v>43</v>
      </c>
      <c r="V4060" t="s">
        <v>43</v>
      </c>
      <c r="W4060" t="s">
        <v>43</v>
      </c>
      <c r="X4060" t="s">
        <v>43</v>
      </c>
      <c r="Y4060" t="s">
        <v>43</v>
      </c>
      <c r="Z4060" t="s">
        <v>43</v>
      </c>
      <c r="AA4060" t="s">
        <v>43</v>
      </c>
      <c r="AB4060" t="s">
        <v>43</v>
      </c>
      <c r="AC4060" t="s">
        <v>43</v>
      </c>
      <c r="AD4060" t="s">
        <v>43</v>
      </c>
      <c r="AE4060" t="s">
        <v>43</v>
      </c>
      <c r="AF4060" t="s">
        <v>43</v>
      </c>
      <c r="AG4060" t="s">
        <v>43</v>
      </c>
      <c r="AH4060" t="s">
        <v>43</v>
      </c>
      <c r="AI4060" t="s">
        <v>43</v>
      </c>
      <c r="AJ4060" t="s">
        <v>43</v>
      </c>
      <c r="AK4060" t="s">
        <v>43</v>
      </c>
      <c r="AL4060" t="s">
        <v>43</v>
      </c>
      <c r="AM4060" t="s">
        <v>43</v>
      </c>
      <c r="AN4060" t="str">
        <f>HYPERLINK("https://www.google.com/maps?q=10.76306438,79.6943512","Open Location")</f>
        <v>Open Location</v>
      </c>
    </row>
    <row r="4061" spans="1:40" x14ac:dyDescent="0.3">
      <c r="A4061" s="1">
        <v>46210.529282407406</v>
      </c>
      <c r="B4061" t="s">
        <v>40</v>
      </c>
      <c r="C4061" t="s">
        <v>41</v>
      </c>
      <c r="D4061" s="1">
        <v>46210.532326388886</v>
      </c>
      <c r="E4061" t="s">
        <v>42</v>
      </c>
      <c r="F4061" t="s">
        <v>43</v>
      </c>
      <c r="G4061" t="s">
        <v>43</v>
      </c>
      <c r="H4061" t="s">
        <v>43</v>
      </c>
      <c r="I4061" t="s">
        <v>2339</v>
      </c>
      <c r="J4061" t="s">
        <v>43</v>
      </c>
      <c r="K4061" t="s">
        <v>43</v>
      </c>
      <c r="L4061" t="s">
        <v>43</v>
      </c>
      <c r="M4061" t="s">
        <v>43</v>
      </c>
      <c r="N4061" t="s">
        <v>45</v>
      </c>
      <c r="O4061" t="s">
        <v>43</v>
      </c>
      <c r="P4061" t="s">
        <v>43</v>
      </c>
      <c r="Q4061" t="s">
        <v>43</v>
      </c>
      <c r="R4061" t="s">
        <v>43</v>
      </c>
      <c r="S4061" t="s">
        <v>43</v>
      </c>
      <c r="T4061" t="s">
        <v>43</v>
      </c>
      <c r="U4061" t="s">
        <v>43</v>
      </c>
      <c r="V4061" t="s">
        <v>43</v>
      </c>
      <c r="W4061" t="s">
        <v>43</v>
      </c>
      <c r="X4061" t="s">
        <v>43</v>
      </c>
      <c r="Y4061" t="s">
        <v>43</v>
      </c>
      <c r="Z4061" t="s">
        <v>43</v>
      </c>
      <c r="AA4061" t="s">
        <v>43</v>
      </c>
      <c r="AB4061" t="s">
        <v>43</v>
      </c>
      <c r="AC4061" t="s">
        <v>43</v>
      </c>
      <c r="AD4061" t="s">
        <v>43</v>
      </c>
      <c r="AE4061" t="s">
        <v>43</v>
      </c>
      <c r="AF4061" t="s">
        <v>43</v>
      </c>
      <c r="AG4061" t="s">
        <v>43</v>
      </c>
      <c r="AH4061" t="s">
        <v>43</v>
      </c>
      <c r="AI4061" t="s">
        <v>43</v>
      </c>
      <c r="AJ4061" t="s">
        <v>43</v>
      </c>
      <c r="AK4061" t="s">
        <v>43</v>
      </c>
      <c r="AL4061" t="s">
        <v>43</v>
      </c>
      <c r="AM4061" t="s">
        <v>43</v>
      </c>
      <c r="AN4061" t="str">
        <f>HYPERLINK("https://www.google.com/maps?q=10.76305962,79.6943512","Open Location")</f>
        <v>Open Location</v>
      </c>
    </row>
    <row r="4062" spans="1:40" x14ac:dyDescent="0.3">
      <c r="A4062" s="1">
        <v>46210.529166666667</v>
      </c>
      <c r="B4062" t="s">
        <v>40</v>
      </c>
      <c r="C4062" t="s">
        <v>41</v>
      </c>
      <c r="D4062" s="1">
        <v>46210.531944444447</v>
      </c>
      <c r="E4062" t="s">
        <v>42</v>
      </c>
      <c r="F4062" t="s">
        <v>43</v>
      </c>
      <c r="G4062" t="s">
        <v>43</v>
      </c>
      <c r="H4062" t="s">
        <v>43</v>
      </c>
      <c r="I4062" t="s">
        <v>2340</v>
      </c>
      <c r="J4062" t="s">
        <v>43</v>
      </c>
      <c r="K4062" t="s">
        <v>43</v>
      </c>
      <c r="L4062" t="s">
        <v>43</v>
      </c>
      <c r="M4062" t="s">
        <v>43</v>
      </c>
      <c r="N4062" t="s">
        <v>45</v>
      </c>
      <c r="O4062" t="s">
        <v>43</v>
      </c>
      <c r="P4062" t="s">
        <v>43</v>
      </c>
      <c r="Q4062" t="s">
        <v>43</v>
      </c>
      <c r="R4062" t="s">
        <v>43</v>
      </c>
      <c r="S4062" t="s">
        <v>43</v>
      </c>
      <c r="T4062" t="s">
        <v>43</v>
      </c>
      <c r="U4062" t="s">
        <v>43</v>
      </c>
      <c r="V4062" t="s">
        <v>43</v>
      </c>
      <c r="W4062" t="s">
        <v>43</v>
      </c>
      <c r="X4062" t="s">
        <v>43</v>
      </c>
      <c r="Y4062" t="s">
        <v>43</v>
      </c>
      <c r="Z4062" t="s">
        <v>43</v>
      </c>
      <c r="AA4062" t="s">
        <v>43</v>
      </c>
      <c r="AB4062" t="s">
        <v>43</v>
      </c>
      <c r="AC4062" t="s">
        <v>43</v>
      </c>
      <c r="AD4062" t="s">
        <v>43</v>
      </c>
      <c r="AE4062" t="s">
        <v>43</v>
      </c>
      <c r="AF4062" t="s">
        <v>43</v>
      </c>
      <c r="AG4062" t="s">
        <v>43</v>
      </c>
      <c r="AH4062" t="s">
        <v>43</v>
      </c>
      <c r="AI4062" t="s">
        <v>43</v>
      </c>
      <c r="AJ4062" t="s">
        <v>43</v>
      </c>
      <c r="AK4062" t="s">
        <v>43</v>
      </c>
      <c r="AL4062" t="s">
        <v>43</v>
      </c>
      <c r="AM4062" t="s">
        <v>43</v>
      </c>
      <c r="AN4062" t="str">
        <f>HYPERLINK("https://www.google.com/maps?q=10.76306057,79.69435883","Open Location")</f>
        <v>Open Location</v>
      </c>
    </row>
    <row r="4063" spans="1:40" x14ac:dyDescent="0.3">
      <c r="A4063" s="1">
        <v>46210.529050925928</v>
      </c>
      <c r="B4063" t="s">
        <v>40</v>
      </c>
      <c r="C4063" t="s">
        <v>41</v>
      </c>
      <c r="D4063" s="1">
        <v>46210.532106481478</v>
      </c>
      <c r="E4063" t="s">
        <v>42</v>
      </c>
      <c r="F4063" t="s">
        <v>43</v>
      </c>
      <c r="G4063" t="s">
        <v>43</v>
      </c>
      <c r="H4063" t="s">
        <v>43</v>
      </c>
      <c r="I4063" t="s">
        <v>2301</v>
      </c>
      <c r="J4063" t="s">
        <v>43</v>
      </c>
      <c r="K4063" t="s">
        <v>43</v>
      </c>
      <c r="L4063" t="s">
        <v>43</v>
      </c>
      <c r="M4063" t="s">
        <v>43</v>
      </c>
      <c r="N4063" t="s">
        <v>45</v>
      </c>
      <c r="O4063" t="s">
        <v>43</v>
      </c>
      <c r="P4063" t="s">
        <v>43</v>
      </c>
      <c r="Q4063" t="s">
        <v>43</v>
      </c>
      <c r="R4063" t="s">
        <v>43</v>
      </c>
      <c r="S4063" t="s">
        <v>43</v>
      </c>
      <c r="T4063" t="s">
        <v>43</v>
      </c>
      <c r="U4063" t="s">
        <v>43</v>
      </c>
      <c r="V4063" t="s">
        <v>43</v>
      </c>
      <c r="W4063" t="s">
        <v>43</v>
      </c>
      <c r="X4063" t="s">
        <v>43</v>
      </c>
      <c r="Y4063" t="s">
        <v>43</v>
      </c>
      <c r="Z4063" t="s">
        <v>43</v>
      </c>
      <c r="AA4063" t="s">
        <v>43</v>
      </c>
      <c r="AB4063" t="s">
        <v>43</v>
      </c>
      <c r="AC4063" t="s">
        <v>43</v>
      </c>
      <c r="AD4063" t="s">
        <v>43</v>
      </c>
      <c r="AE4063" t="s">
        <v>43</v>
      </c>
      <c r="AF4063" t="s">
        <v>43</v>
      </c>
      <c r="AG4063" t="s">
        <v>43</v>
      </c>
      <c r="AH4063" t="s">
        <v>43</v>
      </c>
      <c r="AI4063" t="s">
        <v>43</v>
      </c>
      <c r="AJ4063" t="s">
        <v>43</v>
      </c>
      <c r="AK4063" t="s">
        <v>43</v>
      </c>
      <c r="AL4063" t="s">
        <v>43</v>
      </c>
      <c r="AM4063" t="s">
        <v>43</v>
      </c>
      <c r="AN4063" t="str">
        <f>HYPERLINK("https://www.google.com/maps?q=10.76305962,79.69436646","Open Location")</f>
        <v>Open Location</v>
      </c>
    </row>
    <row r="4064" spans="1:40" x14ac:dyDescent="0.3">
      <c r="A4064" s="1">
        <v>46210.528935185182</v>
      </c>
      <c r="B4064" t="s">
        <v>40</v>
      </c>
      <c r="C4064" t="s">
        <v>41</v>
      </c>
      <c r="D4064" s="1">
        <v>46210.531944444447</v>
      </c>
      <c r="E4064" t="s">
        <v>42</v>
      </c>
      <c r="F4064" t="s">
        <v>43</v>
      </c>
      <c r="G4064" t="s">
        <v>43</v>
      </c>
      <c r="H4064" t="s">
        <v>43</v>
      </c>
      <c r="I4064" t="s">
        <v>2268</v>
      </c>
      <c r="J4064" t="s">
        <v>43</v>
      </c>
      <c r="K4064" t="s">
        <v>43</v>
      </c>
      <c r="L4064" t="s">
        <v>43</v>
      </c>
      <c r="M4064" t="s">
        <v>43</v>
      </c>
      <c r="N4064" t="s">
        <v>45</v>
      </c>
      <c r="O4064" t="s">
        <v>43</v>
      </c>
      <c r="P4064" t="s">
        <v>43</v>
      </c>
      <c r="Q4064" t="s">
        <v>43</v>
      </c>
      <c r="R4064" t="s">
        <v>43</v>
      </c>
      <c r="S4064" t="s">
        <v>43</v>
      </c>
      <c r="T4064" t="s">
        <v>43</v>
      </c>
      <c r="U4064" t="s">
        <v>43</v>
      </c>
      <c r="V4064" t="s">
        <v>43</v>
      </c>
      <c r="W4064" t="s">
        <v>43</v>
      </c>
      <c r="X4064" t="s">
        <v>43</v>
      </c>
      <c r="Y4064" t="s">
        <v>43</v>
      </c>
      <c r="Z4064" t="s">
        <v>43</v>
      </c>
      <c r="AA4064" t="s">
        <v>43</v>
      </c>
      <c r="AB4064" t="s">
        <v>43</v>
      </c>
      <c r="AC4064" t="s">
        <v>43</v>
      </c>
      <c r="AD4064" t="s">
        <v>43</v>
      </c>
      <c r="AE4064" t="s">
        <v>43</v>
      </c>
      <c r="AF4064" t="s">
        <v>43</v>
      </c>
      <c r="AG4064" t="s">
        <v>43</v>
      </c>
      <c r="AH4064" t="s">
        <v>43</v>
      </c>
      <c r="AI4064" t="s">
        <v>43</v>
      </c>
      <c r="AJ4064" t="s">
        <v>43</v>
      </c>
      <c r="AK4064" t="s">
        <v>43</v>
      </c>
      <c r="AL4064" t="s">
        <v>43</v>
      </c>
      <c r="AM4064" t="s">
        <v>43</v>
      </c>
      <c r="AN4064" t="str">
        <f>HYPERLINK("https://www.google.com/maps?q=10.76306152,79.69436646","Open Location")</f>
        <v>Open Location</v>
      </c>
    </row>
    <row r="4065" spans="1:40" x14ac:dyDescent="0.3">
      <c r="A4065" s="1">
        <v>46210.528819444444</v>
      </c>
      <c r="B4065" t="s">
        <v>40</v>
      </c>
      <c r="C4065" t="s">
        <v>41</v>
      </c>
      <c r="D4065" s="1">
        <v>46210.531759259262</v>
      </c>
      <c r="E4065" t="s">
        <v>42</v>
      </c>
      <c r="F4065" t="s">
        <v>43</v>
      </c>
      <c r="G4065" t="s">
        <v>43</v>
      </c>
      <c r="H4065" t="s">
        <v>43</v>
      </c>
      <c r="I4065" t="s">
        <v>43</v>
      </c>
      <c r="J4065" t="s">
        <v>43</v>
      </c>
      <c r="K4065" t="s">
        <v>43</v>
      </c>
      <c r="L4065" t="s">
        <v>43</v>
      </c>
      <c r="M4065" t="s">
        <v>43</v>
      </c>
      <c r="N4065" t="s">
        <v>45</v>
      </c>
      <c r="O4065" t="s">
        <v>43</v>
      </c>
      <c r="P4065" t="s">
        <v>43</v>
      </c>
      <c r="Q4065" t="s">
        <v>43</v>
      </c>
      <c r="R4065" t="s">
        <v>43</v>
      </c>
      <c r="S4065" t="s">
        <v>43</v>
      </c>
      <c r="T4065" t="s">
        <v>43</v>
      </c>
      <c r="U4065" t="s">
        <v>43</v>
      </c>
      <c r="V4065" t="s">
        <v>43</v>
      </c>
      <c r="W4065" t="s">
        <v>43</v>
      </c>
      <c r="X4065" t="s">
        <v>43</v>
      </c>
      <c r="Y4065" t="s">
        <v>43</v>
      </c>
      <c r="Z4065" t="s">
        <v>43</v>
      </c>
      <c r="AA4065" t="s">
        <v>43</v>
      </c>
      <c r="AB4065" t="s">
        <v>43</v>
      </c>
      <c r="AC4065" t="s">
        <v>43</v>
      </c>
      <c r="AD4065" t="s">
        <v>43</v>
      </c>
      <c r="AE4065" t="s">
        <v>43</v>
      </c>
      <c r="AF4065" t="s">
        <v>43</v>
      </c>
      <c r="AG4065" t="s">
        <v>43</v>
      </c>
      <c r="AH4065" t="s">
        <v>43</v>
      </c>
      <c r="AI4065" t="s">
        <v>43</v>
      </c>
      <c r="AJ4065" t="s">
        <v>43</v>
      </c>
      <c r="AK4065" t="s">
        <v>43</v>
      </c>
      <c r="AL4065" t="s">
        <v>43</v>
      </c>
      <c r="AM4065" t="s">
        <v>43</v>
      </c>
      <c r="AN4065" t="s">
        <v>43</v>
      </c>
    </row>
    <row r="4066" spans="1:40" x14ac:dyDescent="0.3">
      <c r="A4066" s="1">
        <v>46210.528703703705</v>
      </c>
      <c r="B4066" t="s">
        <v>40</v>
      </c>
      <c r="C4066" t="s">
        <v>41</v>
      </c>
      <c r="D4066" s="1">
        <v>46210.5315162037</v>
      </c>
      <c r="E4066" t="s">
        <v>42</v>
      </c>
      <c r="F4066" t="s">
        <v>43</v>
      </c>
      <c r="G4066" t="s">
        <v>43</v>
      </c>
      <c r="H4066" t="s">
        <v>43</v>
      </c>
      <c r="I4066" t="s">
        <v>2267</v>
      </c>
      <c r="J4066" t="s">
        <v>43</v>
      </c>
      <c r="K4066" t="s">
        <v>43</v>
      </c>
      <c r="L4066" t="s">
        <v>43</v>
      </c>
      <c r="M4066" t="s">
        <v>43</v>
      </c>
      <c r="N4066" t="s">
        <v>45</v>
      </c>
      <c r="O4066" t="s">
        <v>43</v>
      </c>
      <c r="P4066" t="s">
        <v>43</v>
      </c>
      <c r="Q4066" t="s">
        <v>43</v>
      </c>
      <c r="R4066" t="s">
        <v>43</v>
      </c>
      <c r="S4066" t="s">
        <v>43</v>
      </c>
      <c r="T4066" t="s">
        <v>43</v>
      </c>
      <c r="U4066" t="s">
        <v>43</v>
      </c>
      <c r="V4066" t="s">
        <v>43</v>
      </c>
      <c r="W4066" t="s">
        <v>43</v>
      </c>
      <c r="X4066" t="s">
        <v>43</v>
      </c>
      <c r="Y4066" t="s">
        <v>43</v>
      </c>
      <c r="Z4066" t="s">
        <v>43</v>
      </c>
      <c r="AA4066" t="s">
        <v>43</v>
      </c>
      <c r="AB4066" t="s">
        <v>43</v>
      </c>
      <c r="AC4066" t="s">
        <v>43</v>
      </c>
      <c r="AD4066" t="s">
        <v>43</v>
      </c>
      <c r="AE4066" t="s">
        <v>43</v>
      </c>
      <c r="AF4066" t="s">
        <v>43</v>
      </c>
      <c r="AG4066" t="s">
        <v>43</v>
      </c>
      <c r="AH4066" t="s">
        <v>43</v>
      </c>
      <c r="AI4066" t="s">
        <v>43</v>
      </c>
      <c r="AJ4066" t="s">
        <v>43</v>
      </c>
      <c r="AK4066" t="s">
        <v>43</v>
      </c>
      <c r="AL4066" t="s">
        <v>43</v>
      </c>
      <c r="AM4066" t="s">
        <v>43</v>
      </c>
      <c r="AN4066" t="str">
        <f>HYPERLINK("https://www.google.com/maps?q=10.76306438,79.69436646","Open Location")</f>
        <v>Open Location</v>
      </c>
    </row>
    <row r="4067" spans="1:40" x14ac:dyDescent="0.3">
      <c r="A4067" s="1">
        <v>46210.528587962966</v>
      </c>
      <c r="B4067" t="s">
        <v>40</v>
      </c>
      <c r="C4067" t="s">
        <v>41</v>
      </c>
      <c r="D4067" s="1">
        <v>46210.531469907408</v>
      </c>
      <c r="E4067" t="s">
        <v>42</v>
      </c>
      <c r="F4067" t="s">
        <v>43</v>
      </c>
      <c r="G4067" t="s">
        <v>43</v>
      </c>
      <c r="H4067" t="s">
        <v>43</v>
      </c>
      <c r="I4067" t="s">
        <v>2218</v>
      </c>
      <c r="J4067" t="s">
        <v>43</v>
      </c>
      <c r="K4067" t="s">
        <v>43</v>
      </c>
      <c r="L4067" t="s">
        <v>43</v>
      </c>
      <c r="M4067" t="s">
        <v>43</v>
      </c>
      <c r="N4067" t="s">
        <v>45</v>
      </c>
      <c r="O4067" t="s">
        <v>43</v>
      </c>
      <c r="P4067" t="s">
        <v>43</v>
      </c>
      <c r="Q4067" t="s">
        <v>43</v>
      </c>
      <c r="R4067" t="s">
        <v>43</v>
      </c>
      <c r="S4067" t="s">
        <v>43</v>
      </c>
      <c r="T4067" t="s">
        <v>43</v>
      </c>
      <c r="U4067" t="s">
        <v>43</v>
      </c>
      <c r="V4067" t="s">
        <v>43</v>
      </c>
      <c r="W4067" t="s">
        <v>43</v>
      </c>
      <c r="X4067" t="s">
        <v>43</v>
      </c>
      <c r="Y4067" t="s">
        <v>43</v>
      </c>
      <c r="Z4067" t="s">
        <v>43</v>
      </c>
      <c r="AA4067" t="s">
        <v>43</v>
      </c>
      <c r="AB4067" t="s">
        <v>43</v>
      </c>
      <c r="AC4067" t="s">
        <v>43</v>
      </c>
      <c r="AD4067" t="s">
        <v>43</v>
      </c>
      <c r="AE4067" t="s">
        <v>43</v>
      </c>
      <c r="AF4067" t="s">
        <v>43</v>
      </c>
      <c r="AG4067" t="s">
        <v>43</v>
      </c>
      <c r="AH4067" t="s">
        <v>43</v>
      </c>
      <c r="AI4067" t="s">
        <v>43</v>
      </c>
      <c r="AJ4067" t="s">
        <v>43</v>
      </c>
      <c r="AK4067" t="s">
        <v>43</v>
      </c>
      <c r="AL4067" t="s">
        <v>43</v>
      </c>
      <c r="AM4067" t="s">
        <v>43</v>
      </c>
      <c r="AN4067" t="str">
        <f>HYPERLINK("https://www.google.com/maps?q=10.76306534,79.69436646","Open Location")</f>
        <v>Open Location</v>
      </c>
    </row>
    <row r="4068" spans="1:40" x14ac:dyDescent="0.3">
      <c r="A4068" s="1">
        <v>46210.52847222222</v>
      </c>
      <c r="B4068" t="s">
        <v>40</v>
      </c>
      <c r="C4068" t="s">
        <v>41</v>
      </c>
      <c r="D4068" s="1">
        <v>46210.531435185185</v>
      </c>
      <c r="E4068" t="s">
        <v>42</v>
      </c>
      <c r="F4068" t="s">
        <v>43</v>
      </c>
      <c r="G4068" t="s">
        <v>43</v>
      </c>
      <c r="H4068" t="s">
        <v>43</v>
      </c>
      <c r="I4068" t="s">
        <v>2219</v>
      </c>
      <c r="J4068" t="s">
        <v>43</v>
      </c>
      <c r="K4068" t="s">
        <v>43</v>
      </c>
      <c r="L4068" t="s">
        <v>43</v>
      </c>
      <c r="M4068" t="s">
        <v>43</v>
      </c>
      <c r="N4068" t="s">
        <v>45</v>
      </c>
      <c r="O4068" t="s">
        <v>43</v>
      </c>
      <c r="P4068" t="s">
        <v>43</v>
      </c>
      <c r="Q4068" t="s">
        <v>43</v>
      </c>
      <c r="R4068" t="s">
        <v>43</v>
      </c>
      <c r="S4068" t="s">
        <v>43</v>
      </c>
      <c r="T4068" t="s">
        <v>43</v>
      </c>
      <c r="U4068" t="s">
        <v>43</v>
      </c>
      <c r="V4068" t="s">
        <v>43</v>
      </c>
      <c r="W4068" t="s">
        <v>43</v>
      </c>
      <c r="X4068" t="s">
        <v>43</v>
      </c>
      <c r="Y4068" t="s">
        <v>43</v>
      </c>
      <c r="Z4068" t="s">
        <v>43</v>
      </c>
      <c r="AA4068" t="s">
        <v>43</v>
      </c>
      <c r="AB4068" t="s">
        <v>43</v>
      </c>
      <c r="AC4068" t="s">
        <v>43</v>
      </c>
      <c r="AD4068" t="s">
        <v>43</v>
      </c>
      <c r="AE4068" t="s">
        <v>43</v>
      </c>
      <c r="AF4068" t="s">
        <v>43</v>
      </c>
      <c r="AG4068" t="s">
        <v>43</v>
      </c>
      <c r="AH4068" t="s">
        <v>43</v>
      </c>
      <c r="AI4068" t="s">
        <v>43</v>
      </c>
      <c r="AJ4068" t="s">
        <v>43</v>
      </c>
      <c r="AK4068" t="s">
        <v>43</v>
      </c>
      <c r="AL4068" t="s">
        <v>43</v>
      </c>
      <c r="AM4068" t="s">
        <v>43</v>
      </c>
      <c r="AN4068" t="str">
        <f>HYPERLINK("https://www.google.com/maps?q=10.76306629,79.69436646","Open Location")</f>
        <v>Open Location</v>
      </c>
    </row>
    <row r="4069" spans="1:40" x14ac:dyDescent="0.3">
      <c r="A4069" s="1">
        <v>46210.528356481482</v>
      </c>
      <c r="B4069" t="s">
        <v>40</v>
      </c>
      <c r="C4069" t="s">
        <v>41</v>
      </c>
      <c r="D4069" s="1">
        <v>46210.531400462962</v>
      </c>
      <c r="E4069" t="s">
        <v>42</v>
      </c>
      <c r="F4069" t="s">
        <v>43</v>
      </c>
      <c r="G4069" t="s">
        <v>43</v>
      </c>
      <c r="H4069" t="s">
        <v>43</v>
      </c>
      <c r="I4069" t="s">
        <v>2220</v>
      </c>
      <c r="J4069" t="s">
        <v>43</v>
      </c>
      <c r="K4069" t="s">
        <v>43</v>
      </c>
      <c r="L4069" t="s">
        <v>43</v>
      </c>
      <c r="M4069" t="s">
        <v>43</v>
      </c>
      <c r="N4069" t="s">
        <v>45</v>
      </c>
      <c r="O4069" t="s">
        <v>43</v>
      </c>
      <c r="P4069" t="s">
        <v>43</v>
      </c>
      <c r="Q4069" t="s">
        <v>43</v>
      </c>
      <c r="R4069" t="s">
        <v>43</v>
      </c>
      <c r="S4069" t="s">
        <v>43</v>
      </c>
      <c r="T4069" t="s">
        <v>43</v>
      </c>
      <c r="U4069" t="s">
        <v>43</v>
      </c>
      <c r="V4069" t="s">
        <v>43</v>
      </c>
      <c r="W4069" t="s">
        <v>43</v>
      </c>
      <c r="X4069" t="s">
        <v>43</v>
      </c>
      <c r="Y4069" t="s">
        <v>43</v>
      </c>
      <c r="Z4069" t="s">
        <v>43</v>
      </c>
      <c r="AA4069" t="s">
        <v>43</v>
      </c>
      <c r="AB4069" t="s">
        <v>43</v>
      </c>
      <c r="AC4069" t="s">
        <v>43</v>
      </c>
      <c r="AD4069" t="s">
        <v>43</v>
      </c>
      <c r="AE4069" t="s">
        <v>43</v>
      </c>
      <c r="AF4069" t="s">
        <v>43</v>
      </c>
      <c r="AG4069" t="s">
        <v>43</v>
      </c>
      <c r="AH4069" t="s">
        <v>43</v>
      </c>
      <c r="AI4069" t="s">
        <v>43</v>
      </c>
      <c r="AJ4069" t="s">
        <v>43</v>
      </c>
      <c r="AK4069" t="s">
        <v>43</v>
      </c>
      <c r="AL4069" t="s">
        <v>43</v>
      </c>
      <c r="AM4069" t="s">
        <v>43</v>
      </c>
      <c r="AN4069" t="str">
        <f>HYPERLINK("https://www.google.com/maps?q=10.76306725,79.69436646","Open Location")</f>
        <v>Open Location</v>
      </c>
    </row>
    <row r="4070" spans="1:40" x14ac:dyDescent="0.3">
      <c r="A4070" s="1">
        <v>46210.528240740743</v>
      </c>
      <c r="B4070" t="s">
        <v>40</v>
      </c>
      <c r="C4070" t="s">
        <v>41</v>
      </c>
      <c r="D4070" s="1">
        <v>46210.5312037037</v>
      </c>
      <c r="E4070" t="s">
        <v>42</v>
      </c>
      <c r="F4070" t="s">
        <v>43</v>
      </c>
      <c r="G4070" t="s">
        <v>43</v>
      </c>
      <c r="H4070" t="s">
        <v>43</v>
      </c>
      <c r="I4070" t="s">
        <v>2327</v>
      </c>
      <c r="J4070" t="s">
        <v>43</v>
      </c>
      <c r="K4070" t="s">
        <v>43</v>
      </c>
      <c r="L4070" t="s">
        <v>43</v>
      </c>
      <c r="M4070" t="s">
        <v>43</v>
      </c>
      <c r="N4070" t="s">
        <v>45</v>
      </c>
      <c r="O4070" t="s">
        <v>43</v>
      </c>
      <c r="P4070" t="s">
        <v>43</v>
      </c>
      <c r="Q4070" t="s">
        <v>43</v>
      </c>
      <c r="R4070" t="s">
        <v>43</v>
      </c>
      <c r="S4070" t="s">
        <v>43</v>
      </c>
      <c r="T4070" t="s">
        <v>43</v>
      </c>
      <c r="U4070" t="s">
        <v>43</v>
      </c>
      <c r="V4070" t="s">
        <v>43</v>
      </c>
      <c r="W4070" t="s">
        <v>43</v>
      </c>
      <c r="X4070" t="s">
        <v>43</v>
      </c>
      <c r="Y4070" t="s">
        <v>43</v>
      </c>
      <c r="Z4070" t="s">
        <v>43</v>
      </c>
      <c r="AA4070" t="s">
        <v>43</v>
      </c>
      <c r="AB4070" t="s">
        <v>43</v>
      </c>
      <c r="AC4070" t="s">
        <v>43</v>
      </c>
      <c r="AD4070" t="s">
        <v>43</v>
      </c>
      <c r="AE4070" t="s">
        <v>43</v>
      </c>
      <c r="AF4070" t="s">
        <v>43</v>
      </c>
      <c r="AG4070" t="s">
        <v>43</v>
      </c>
      <c r="AH4070" t="s">
        <v>43</v>
      </c>
      <c r="AI4070" t="s">
        <v>43</v>
      </c>
      <c r="AJ4070" t="s">
        <v>43</v>
      </c>
      <c r="AK4070" t="s">
        <v>43</v>
      </c>
      <c r="AL4070" t="s">
        <v>43</v>
      </c>
      <c r="AM4070" t="s">
        <v>43</v>
      </c>
      <c r="AN4070" t="str">
        <f>HYPERLINK("https://www.google.com/maps?q=10.76306534,79.69435883","Open Location")</f>
        <v>Open Location</v>
      </c>
    </row>
    <row r="4071" spans="1:40" x14ac:dyDescent="0.3">
      <c r="A4071" s="1">
        <v>46210.528124999997</v>
      </c>
      <c r="B4071" t="s">
        <v>40</v>
      </c>
      <c r="C4071" t="s">
        <v>41</v>
      </c>
      <c r="D4071" s="1">
        <v>46210.5309837963</v>
      </c>
      <c r="E4071" t="s">
        <v>42</v>
      </c>
      <c r="F4071" t="s">
        <v>43</v>
      </c>
      <c r="G4071" t="s">
        <v>43</v>
      </c>
      <c r="H4071" t="s">
        <v>43</v>
      </c>
      <c r="I4071" t="s">
        <v>43</v>
      </c>
      <c r="J4071" t="s">
        <v>43</v>
      </c>
      <c r="K4071" t="s">
        <v>43</v>
      </c>
      <c r="L4071" t="s">
        <v>43</v>
      </c>
      <c r="M4071" t="s">
        <v>43</v>
      </c>
      <c r="N4071" t="s">
        <v>45</v>
      </c>
      <c r="O4071" t="s">
        <v>43</v>
      </c>
      <c r="P4071" t="s">
        <v>43</v>
      </c>
      <c r="Q4071" t="s">
        <v>43</v>
      </c>
      <c r="R4071" t="s">
        <v>43</v>
      </c>
      <c r="S4071" t="s">
        <v>43</v>
      </c>
      <c r="T4071" t="s">
        <v>43</v>
      </c>
      <c r="U4071" t="s">
        <v>43</v>
      </c>
      <c r="V4071" t="s">
        <v>43</v>
      </c>
      <c r="W4071" t="s">
        <v>43</v>
      </c>
      <c r="X4071" t="s">
        <v>43</v>
      </c>
      <c r="Y4071" t="s">
        <v>43</v>
      </c>
      <c r="Z4071" t="s">
        <v>43</v>
      </c>
      <c r="AA4071" t="s">
        <v>43</v>
      </c>
      <c r="AB4071" t="s">
        <v>43</v>
      </c>
      <c r="AC4071" t="s">
        <v>43</v>
      </c>
      <c r="AD4071" t="s">
        <v>43</v>
      </c>
      <c r="AE4071" t="s">
        <v>43</v>
      </c>
      <c r="AF4071" t="s">
        <v>43</v>
      </c>
      <c r="AG4071" t="s">
        <v>43</v>
      </c>
      <c r="AH4071" t="s">
        <v>43</v>
      </c>
      <c r="AI4071" t="s">
        <v>43</v>
      </c>
      <c r="AJ4071" t="s">
        <v>43</v>
      </c>
      <c r="AK4071" t="s">
        <v>43</v>
      </c>
      <c r="AL4071" t="s">
        <v>43</v>
      </c>
      <c r="AM4071" t="s">
        <v>43</v>
      </c>
      <c r="AN4071" t="s">
        <v>43</v>
      </c>
    </row>
    <row r="4072" spans="1:40" x14ac:dyDescent="0.3">
      <c r="A4072" s="1">
        <v>46210.528009259258</v>
      </c>
      <c r="B4072" t="s">
        <v>40</v>
      </c>
      <c r="C4072" t="s">
        <v>41</v>
      </c>
      <c r="D4072" s="1">
        <v>46210.5309375</v>
      </c>
      <c r="E4072" t="s">
        <v>42</v>
      </c>
      <c r="F4072" t="s">
        <v>43</v>
      </c>
      <c r="G4072" t="s">
        <v>43</v>
      </c>
      <c r="H4072" t="s">
        <v>43</v>
      </c>
      <c r="I4072" t="s">
        <v>2341</v>
      </c>
      <c r="J4072" t="s">
        <v>43</v>
      </c>
      <c r="K4072" t="s">
        <v>43</v>
      </c>
      <c r="L4072" t="s">
        <v>43</v>
      </c>
      <c r="M4072" t="s">
        <v>43</v>
      </c>
      <c r="N4072" t="s">
        <v>45</v>
      </c>
      <c r="O4072" t="s">
        <v>43</v>
      </c>
      <c r="P4072" t="s">
        <v>43</v>
      </c>
      <c r="Q4072" t="s">
        <v>43</v>
      </c>
      <c r="R4072" t="s">
        <v>43</v>
      </c>
      <c r="S4072" t="s">
        <v>43</v>
      </c>
      <c r="T4072" t="s">
        <v>43</v>
      </c>
      <c r="U4072" t="s">
        <v>43</v>
      </c>
      <c r="V4072" t="s">
        <v>43</v>
      </c>
      <c r="W4072" t="s">
        <v>43</v>
      </c>
      <c r="X4072" t="s">
        <v>43</v>
      </c>
      <c r="Y4072" t="s">
        <v>43</v>
      </c>
      <c r="Z4072" t="s">
        <v>43</v>
      </c>
      <c r="AA4072" t="s">
        <v>43</v>
      </c>
      <c r="AB4072" t="s">
        <v>43</v>
      </c>
      <c r="AC4072" t="s">
        <v>43</v>
      </c>
      <c r="AD4072" t="s">
        <v>43</v>
      </c>
      <c r="AE4072" t="s">
        <v>43</v>
      </c>
      <c r="AF4072" t="s">
        <v>43</v>
      </c>
      <c r="AG4072" t="s">
        <v>43</v>
      </c>
      <c r="AH4072" t="s">
        <v>43</v>
      </c>
      <c r="AI4072" t="s">
        <v>43</v>
      </c>
      <c r="AJ4072" t="s">
        <v>43</v>
      </c>
      <c r="AK4072" t="s">
        <v>43</v>
      </c>
      <c r="AL4072" t="s">
        <v>43</v>
      </c>
      <c r="AM4072" t="s">
        <v>43</v>
      </c>
      <c r="AN4072" t="str">
        <f>HYPERLINK("https://www.google.com/maps?q=10.76306629,79.69435883","Open Location")</f>
        <v>Open Location</v>
      </c>
    </row>
    <row r="4073" spans="1:40" x14ac:dyDescent="0.3">
      <c r="A4073" s="1">
        <v>46210.52789351852</v>
      </c>
      <c r="B4073" t="s">
        <v>40</v>
      </c>
      <c r="C4073" t="s">
        <v>41</v>
      </c>
      <c r="D4073" s="1">
        <v>46210.530902777777</v>
      </c>
      <c r="E4073" t="s">
        <v>42</v>
      </c>
      <c r="F4073" t="s">
        <v>43</v>
      </c>
      <c r="G4073" t="s">
        <v>43</v>
      </c>
      <c r="H4073" t="s">
        <v>43</v>
      </c>
      <c r="I4073" t="s">
        <v>2327</v>
      </c>
      <c r="J4073" t="s">
        <v>43</v>
      </c>
      <c r="K4073" t="s">
        <v>43</v>
      </c>
      <c r="L4073" t="s">
        <v>43</v>
      </c>
      <c r="M4073" t="s">
        <v>43</v>
      </c>
      <c r="N4073" t="s">
        <v>45</v>
      </c>
      <c r="O4073" t="s">
        <v>43</v>
      </c>
      <c r="P4073" t="s">
        <v>43</v>
      </c>
      <c r="Q4073" t="s">
        <v>43</v>
      </c>
      <c r="R4073" t="s">
        <v>43</v>
      </c>
      <c r="S4073" t="s">
        <v>43</v>
      </c>
      <c r="T4073" t="s">
        <v>43</v>
      </c>
      <c r="U4073" t="s">
        <v>43</v>
      </c>
      <c r="V4073" t="s">
        <v>43</v>
      </c>
      <c r="W4073" t="s">
        <v>43</v>
      </c>
      <c r="X4073" t="s">
        <v>43</v>
      </c>
      <c r="Y4073" t="s">
        <v>43</v>
      </c>
      <c r="Z4073" t="s">
        <v>43</v>
      </c>
      <c r="AA4073" t="s">
        <v>43</v>
      </c>
      <c r="AB4073" t="s">
        <v>43</v>
      </c>
      <c r="AC4073" t="s">
        <v>43</v>
      </c>
      <c r="AD4073" t="s">
        <v>43</v>
      </c>
      <c r="AE4073" t="s">
        <v>43</v>
      </c>
      <c r="AF4073" t="s">
        <v>43</v>
      </c>
      <c r="AG4073" t="s">
        <v>43</v>
      </c>
      <c r="AH4073" t="s">
        <v>43</v>
      </c>
      <c r="AI4073" t="s">
        <v>43</v>
      </c>
      <c r="AJ4073" t="s">
        <v>43</v>
      </c>
      <c r="AK4073" t="s">
        <v>43</v>
      </c>
      <c r="AL4073" t="s">
        <v>43</v>
      </c>
      <c r="AM4073" t="s">
        <v>43</v>
      </c>
      <c r="AN4073" t="str">
        <f>HYPERLINK("https://www.google.com/maps?q=10.76306534,79.69435883","Open Location")</f>
        <v>Open Location</v>
      </c>
    </row>
    <row r="4074" spans="1:40" x14ac:dyDescent="0.3">
      <c r="A4074" s="1">
        <v>46210.527777777781</v>
      </c>
      <c r="B4074" t="s">
        <v>40</v>
      </c>
      <c r="C4074" t="s">
        <v>41</v>
      </c>
      <c r="D4074" s="1">
        <v>46210.530844907407</v>
      </c>
      <c r="E4074" t="s">
        <v>42</v>
      </c>
      <c r="F4074" t="s">
        <v>43</v>
      </c>
      <c r="G4074" t="s">
        <v>43</v>
      </c>
      <c r="H4074" t="s">
        <v>43</v>
      </c>
      <c r="I4074" t="s">
        <v>2337</v>
      </c>
      <c r="J4074" t="s">
        <v>43</v>
      </c>
      <c r="K4074" t="s">
        <v>43</v>
      </c>
      <c r="L4074" t="s">
        <v>43</v>
      </c>
      <c r="M4074" t="s">
        <v>43</v>
      </c>
      <c r="N4074" t="s">
        <v>45</v>
      </c>
      <c r="O4074" t="s">
        <v>43</v>
      </c>
      <c r="P4074" t="s">
        <v>43</v>
      </c>
      <c r="Q4074" t="s">
        <v>43</v>
      </c>
      <c r="R4074" t="s">
        <v>43</v>
      </c>
      <c r="S4074" t="s">
        <v>43</v>
      </c>
      <c r="T4074" t="s">
        <v>43</v>
      </c>
      <c r="U4074" t="s">
        <v>43</v>
      </c>
      <c r="V4074" t="s">
        <v>43</v>
      </c>
      <c r="W4074" t="s">
        <v>43</v>
      </c>
      <c r="X4074" t="s">
        <v>43</v>
      </c>
      <c r="Y4074" t="s">
        <v>43</v>
      </c>
      <c r="Z4074" t="s">
        <v>43</v>
      </c>
      <c r="AA4074" t="s">
        <v>43</v>
      </c>
      <c r="AB4074" t="s">
        <v>43</v>
      </c>
      <c r="AC4074" t="s">
        <v>43</v>
      </c>
      <c r="AD4074" t="s">
        <v>43</v>
      </c>
      <c r="AE4074" t="s">
        <v>43</v>
      </c>
      <c r="AF4074" t="s">
        <v>43</v>
      </c>
      <c r="AG4074" t="s">
        <v>43</v>
      </c>
      <c r="AH4074" t="s">
        <v>43</v>
      </c>
      <c r="AI4074" t="s">
        <v>43</v>
      </c>
      <c r="AJ4074" t="s">
        <v>43</v>
      </c>
      <c r="AK4074" t="s">
        <v>43</v>
      </c>
      <c r="AL4074" t="s">
        <v>43</v>
      </c>
      <c r="AM4074" t="s">
        <v>43</v>
      </c>
      <c r="AN4074" t="str">
        <f>HYPERLINK("https://www.google.com/maps?q=10.76306534,79.6943512","Open Location")</f>
        <v>Open Location</v>
      </c>
    </row>
    <row r="4075" spans="1:40" x14ac:dyDescent="0.3">
      <c r="A4075" s="1">
        <v>46210.527662037035</v>
      </c>
      <c r="B4075" t="s">
        <v>40</v>
      </c>
      <c r="C4075" t="s">
        <v>41</v>
      </c>
      <c r="D4075" s="1">
        <v>46210.530706018515</v>
      </c>
      <c r="E4075" t="s">
        <v>42</v>
      </c>
      <c r="F4075" t="s">
        <v>43</v>
      </c>
      <c r="G4075" t="s">
        <v>43</v>
      </c>
      <c r="H4075" t="s">
        <v>43</v>
      </c>
      <c r="I4075" t="s">
        <v>2338</v>
      </c>
      <c r="J4075" t="s">
        <v>43</v>
      </c>
      <c r="K4075" t="s">
        <v>43</v>
      </c>
      <c r="L4075" t="s">
        <v>43</v>
      </c>
      <c r="M4075" t="s">
        <v>43</v>
      </c>
      <c r="N4075" t="s">
        <v>45</v>
      </c>
      <c r="O4075" t="s">
        <v>43</v>
      </c>
      <c r="P4075" t="s">
        <v>43</v>
      </c>
      <c r="Q4075" t="s">
        <v>43</v>
      </c>
      <c r="R4075" t="s">
        <v>43</v>
      </c>
      <c r="S4075" t="s">
        <v>43</v>
      </c>
      <c r="T4075" t="s">
        <v>43</v>
      </c>
      <c r="U4075" t="s">
        <v>43</v>
      </c>
      <c r="V4075" t="s">
        <v>43</v>
      </c>
      <c r="W4075" t="s">
        <v>43</v>
      </c>
      <c r="X4075" t="s">
        <v>43</v>
      </c>
      <c r="Y4075" t="s">
        <v>43</v>
      </c>
      <c r="Z4075" t="s">
        <v>43</v>
      </c>
      <c r="AA4075" t="s">
        <v>43</v>
      </c>
      <c r="AB4075" t="s">
        <v>43</v>
      </c>
      <c r="AC4075" t="s">
        <v>43</v>
      </c>
      <c r="AD4075" t="s">
        <v>43</v>
      </c>
      <c r="AE4075" t="s">
        <v>43</v>
      </c>
      <c r="AF4075" t="s">
        <v>43</v>
      </c>
      <c r="AG4075" t="s">
        <v>43</v>
      </c>
      <c r="AH4075" t="s">
        <v>43</v>
      </c>
      <c r="AI4075" t="s">
        <v>43</v>
      </c>
      <c r="AJ4075" t="s">
        <v>43</v>
      </c>
      <c r="AK4075" t="s">
        <v>43</v>
      </c>
      <c r="AL4075" t="s">
        <v>43</v>
      </c>
      <c r="AM4075" t="s">
        <v>43</v>
      </c>
      <c r="AN4075" t="str">
        <f>HYPERLINK("https://www.google.com/maps?q=10.76306629,79.6943512","Open Location")</f>
        <v>Open Location</v>
      </c>
    </row>
    <row r="4076" spans="1:40" x14ac:dyDescent="0.3">
      <c r="A4076" s="1">
        <v>46210.527546296296</v>
      </c>
      <c r="B4076" t="s">
        <v>40</v>
      </c>
      <c r="C4076" t="s">
        <v>41</v>
      </c>
      <c r="D4076" s="1">
        <v>46210.530474537038</v>
      </c>
      <c r="E4076" t="s">
        <v>42</v>
      </c>
      <c r="F4076" t="s">
        <v>43</v>
      </c>
      <c r="G4076" t="s">
        <v>43</v>
      </c>
      <c r="H4076" t="s">
        <v>43</v>
      </c>
      <c r="I4076" t="s">
        <v>43</v>
      </c>
      <c r="J4076" t="s">
        <v>43</v>
      </c>
      <c r="K4076" t="s">
        <v>43</v>
      </c>
      <c r="L4076" t="s">
        <v>43</v>
      </c>
      <c r="M4076" t="s">
        <v>43</v>
      </c>
      <c r="N4076" t="s">
        <v>45</v>
      </c>
      <c r="O4076" t="s">
        <v>43</v>
      </c>
      <c r="P4076" t="s">
        <v>43</v>
      </c>
      <c r="Q4076" t="s">
        <v>43</v>
      </c>
      <c r="R4076" t="s">
        <v>43</v>
      </c>
      <c r="S4076" t="s">
        <v>43</v>
      </c>
      <c r="T4076" t="s">
        <v>43</v>
      </c>
      <c r="U4076" t="s">
        <v>43</v>
      </c>
      <c r="V4076" t="s">
        <v>43</v>
      </c>
      <c r="W4076" t="s">
        <v>43</v>
      </c>
      <c r="X4076" t="s">
        <v>43</v>
      </c>
      <c r="Y4076" t="s">
        <v>43</v>
      </c>
      <c r="Z4076" t="s">
        <v>43</v>
      </c>
      <c r="AA4076" t="s">
        <v>43</v>
      </c>
      <c r="AB4076" t="s">
        <v>43</v>
      </c>
      <c r="AC4076" t="s">
        <v>43</v>
      </c>
      <c r="AD4076" t="s">
        <v>43</v>
      </c>
      <c r="AE4076" t="s">
        <v>43</v>
      </c>
      <c r="AF4076" t="s">
        <v>43</v>
      </c>
      <c r="AG4076" t="s">
        <v>43</v>
      </c>
      <c r="AH4076" t="s">
        <v>43</v>
      </c>
      <c r="AI4076" t="s">
        <v>43</v>
      </c>
      <c r="AJ4076" t="s">
        <v>43</v>
      </c>
      <c r="AK4076" t="s">
        <v>43</v>
      </c>
      <c r="AL4076" t="s">
        <v>43</v>
      </c>
      <c r="AM4076" t="s">
        <v>43</v>
      </c>
      <c r="AN4076" t="s">
        <v>43</v>
      </c>
    </row>
    <row r="4077" spans="1:40" x14ac:dyDescent="0.3">
      <c r="A4077" s="1">
        <v>46210.527430555558</v>
      </c>
      <c r="B4077" t="s">
        <v>40</v>
      </c>
      <c r="C4077" t="s">
        <v>41</v>
      </c>
      <c r="D4077" s="1">
        <v>46210.530370370368</v>
      </c>
      <c r="E4077" t="s">
        <v>42</v>
      </c>
      <c r="F4077" t="s">
        <v>43</v>
      </c>
      <c r="G4077" t="s">
        <v>43</v>
      </c>
      <c r="H4077" t="s">
        <v>43</v>
      </c>
      <c r="I4077" t="s">
        <v>2337</v>
      </c>
      <c r="J4077" t="s">
        <v>43</v>
      </c>
      <c r="K4077" t="s">
        <v>43</v>
      </c>
      <c r="L4077" t="s">
        <v>43</v>
      </c>
      <c r="M4077" t="s">
        <v>43</v>
      </c>
      <c r="N4077" t="s">
        <v>45</v>
      </c>
      <c r="O4077" t="s">
        <v>43</v>
      </c>
      <c r="P4077" t="s">
        <v>43</v>
      </c>
      <c r="Q4077" t="s">
        <v>43</v>
      </c>
      <c r="R4077" t="s">
        <v>43</v>
      </c>
      <c r="S4077" t="s">
        <v>43</v>
      </c>
      <c r="T4077" t="s">
        <v>43</v>
      </c>
      <c r="U4077" t="s">
        <v>43</v>
      </c>
      <c r="V4077" t="s">
        <v>43</v>
      </c>
      <c r="W4077" t="s">
        <v>43</v>
      </c>
      <c r="X4077" t="s">
        <v>43</v>
      </c>
      <c r="Y4077" t="s">
        <v>43</v>
      </c>
      <c r="Z4077" t="s">
        <v>43</v>
      </c>
      <c r="AA4077" t="s">
        <v>43</v>
      </c>
      <c r="AB4077" t="s">
        <v>43</v>
      </c>
      <c r="AC4077" t="s">
        <v>43</v>
      </c>
      <c r="AD4077" t="s">
        <v>43</v>
      </c>
      <c r="AE4077" t="s">
        <v>43</v>
      </c>
      <c r="AF4077" t="s">
        <v>43</v>
      </c>
      <c r="AG4077" t="s">
        <v>43</v>
      </c>
      <c r="AH4077" t="s">
        <v>43</v>
      </c>
      <c r="AI4077" t="s">
        <v>43</v>
      </c>
      <c r="AJ4077" t="s">
        <v>43</v>
      </c>
      <c r="AK4077" t="s">
        <v>43</v>
      </c>
      <c r="AL4077" t="s">
        <v>43</v>
      </c>
      <c r="AM4077" t="s">
        <v>43</v>
      </c>
      <c r="AN4077" t="str">
        <f>HYPERLINK("https://www.google.com/maps?q=10.76306534,79.6943512","Open Location")</f>
        <v>Open Location</v>
      </c>
    </row>
    <row r="4078" spans="1:40" x14ac:dyDescent="0.3">
      <c r="A4078" s="1">
        <v>46210.527314814812</v>
      </c>
      <c r="B4078" t="s">
        <v>40</v>
      </c>
      <c r="C4078" t="s">
        <v>41</v>
      </c>
      <c r="D4078" s="1">
        <v>46210.530474537038</v>
      </c>
      <c r="E4078" t="s">
        <v>42</v>
      </c>
      <c r="F4078" t="s">
        <v>43</v>
      </c>
      <c r="G4078" t="s">
        <v>43</v>
      </c>
      <c r="H4078" t="s">
        <v>43</v>
      </c>
      <c r="I4078" t="s">
        <v>2338</v>
      </c>
      <c r="J4078" t="s">
        <v>43</v>
      </c>
      <c r="K4078" t="s">
        <v>43</v>
      </c>
      <c r="L4078" t="s">
        <v>43</v>
      </c>
      <c r="M4078" t="s">
        <v>43</v>
      </c>
      <c r="N4078" t="s">
        <v>45</v>
      </c>
      <c r="O4078" t="s">
        <v>43</v>
      </c>
      <c r="P4078" t="s">
        <v>43</v>
      </c>
      <c r="Q4078" t="s">
        <v>43</v>
      </c>
      <c r="R4078" t="s">
        <v>43</v>
      </c>
      <c r="S4078" t="s">
        <v>43</v>
      </c>
      <c r="T4078" t="s">
        <v>43</v>
      </c>
      <c r="U4078" t="s">
        <v>43</v>
      </c>
      <c r="V4078" t="s">
        <v>43</v>
      </c>
      <c r="W4078" t="s">
        <v>43</v>
      </c>
      <c r="X4078" t="s">
        <v>43</v>
      </c>
      <c r="Y4078" t="s">
        <v>43</v>
      </c>
      <c r="Z4078" t="s">
        <v>43</v>
      </c>
      <c r="AA4078" t="s">
        <v>43</v>
      </c>
      <c r="AB4078" t="s">
        <v>43</v>
      </c>
      <c r="AC4078" t="s">
        <v>43</v>
      </c>
      <c r="AD4078" t="s">
        <v>43</v>
      </c>
      <c r="AE4078" t="s">
        <v>43</v>
      </c>
      <c r="AF4078" t="s">
        <v>43</v>
      </c>
      <c r="AG4078" t="s">
        <v>43</v>
      </c>
      <c r="AH4078" t="s">
        <v>43</v>
      </c>
      <c r="AI4078" t="s">
        <v>43</v>
      </c>
      <c r="AJ4078" t="s">
        <v>43</v>
      </c>
      <c r="AK4078" t="s">
        <v>43</v>
      </c>
      <c r="AL4078" t="s">
        <v>43</v>
      </c>
      <c r="AM4078" t="s">
        <v>43</v>
      </c>
      <c r="AN4078" t="str">
        <f>HYPERLINK("https://www.google.com/maps?q=10.76306629,79.6943512","Open Location")</f>
        <v>Open Location</v>
      </c>
    </row>
    <row r="4079" spans="1:40" x14ac:dyDescent="0.3">
      <c r="A4079" s="1">
        <v>46210.527199074073</v>
      </c>
      <c r="B4079" t="s">
        <v>40</v>
      </c>
      <c r="C4079" t="s">
        <v>41</v>
      </c>
      <c r="D4079" s="1">
        <v>46210.530127314814</v>
      </c>
      <c r="E4079" t="s">
        <v>42</v>
      </c>
      <c r="F4079" t="s">
        <v>43</v>
      </c>
      <c r="G4079" t="s">
        <v>43</v>
      </c>
      <c r="H4079" t="s">
        <v>43</v>
      </c>
      <c r="I4079" t="s">
        <v>2341</v>
      </c>
      <c r="J4079" t="s">
        <v>43</v>
      </c>
      <c r="K4079" t="s">
        <v>43</v>
      </c>
      <c r="L4079" t="s">
        <v>43</v>
      </c>
      <c r="M4079" t="s">
        <v>43</v>
      </c>
      <c r="N4079" t="s">
        <v>45</v>
      </c>
      <c r="O4079" t="s">
        <v>43</v>
      </c>
      <c r="P4079" t="s">
        <v>43</v>
      </c>
      <c r="Q4079" t="s">
        <v>43</v>
      </c>
      <c r="R4079" t="s">
        <v>43</v>
      </c>
      <c r="S4079" t="s">
        <v>43</v>
      </c>
      <c r="T4079" t="s">
        <v>43</v>
      </c>
      <c r="U4079" t="s">
        <v>43</v>
      </c>
      <c r="V4079" t="s">
        <v>43</v>
      </c>
      <c r="W4079" t="s">
        <v>43</v>
      </c>
      <c r="X4079" t="s">
        <v>43</v>
      </c>
      <c r="Y4079" t="s">
        <v>43</v>
      </c>
      <c r="Z4079" t="s">
        <v>43</v>
      </c>
      <c r="AA4079" t="s">
        <v>43</v>
      </c>
      <c r="AB4079" t="s">
        <v>43</v>
      </c>
      <c r="AC4079" t="s">
        <v>43</v>
      </c>
      <c r="AD4079" t="s">
        <v>43</v>
      </c>
      <c r="AE4079" t="s">
        <v>43</v>
      </c>
      <c r="AF4079" t="s">
        <v>43</v>
      </c>
      <c r="AG4079" t="s">
        <v>43</v>
      </c>
      <c r="AH4079" t="s">
        <v>43</v>
      </c>
      <c r="AI4079" t="s">
        <v>43</v>
      </c>
      <c r="AJ4079" t="s">
        <v>43</v>
      </c>
      <c r="AK4079" t="s">
        <v>43</v>
      </c>
      <c r="AL4079" t="s">
        <v>43</v>
      </c>
      <c r="AM4079" t="s">
        <v>43</v>
      </c>
      <c r="AN4079" t="str">
        <f>HYPERLINK("https://www.google.com/maps?q=10.76306629,79.69435883","Open Location")</f>
        <v>Open Location</v>
      </c>
    </row>
    <row r="4080" spans="1:40" x14ac:dyDescent="0.3">
      <c r="A4080" s="1">
        <v>46210.527083333334</v>
      </c>
      <c r="B4080" t="s">
        <v>40</v>
      </c>
      <c r="C4080" t="s">
        <v>41</v>
      </c>
      <c r="D4080" s="1">
        <v>46210.530057870368</v>
      </c>
      <c r="E4080" t="s">
        <v>42</v>
      </c>
      <c r="F4080" t="s">
        <v>43</v>
      </c>
      <c r="G4080" t="s">
        <v>43</v>
      </c>
      <c r="H4080" t="s">
        <v>43</v>
      </c>
      <c r="I4080" t="s">
        <v>2329</v>
      </c>
      <c r="J4080" t="s">
        <v>43</v>
      </c>
      <c r="K4080" t="s">
        <v>43</v>
      </c>
      <c r="L4080" t="s">
        <v>43</v>
      </c>
      <c r="M4080" t="s">
        <v>43</v>
      </c>
      <c r="N4080" t="s">
        <v>45</v>
      </c>
      <c r="O4080" t="s">
        <v>43</v>
      </c>
      <c r="P4080" t="s">
        <v>43</v>
      </c>
      <c r="Q4080" t="s">
        <v>43</v>
      </c>
      <c r="R4080" t="s">
        <v>43</v>
      </c>
      <c r="S4080" t="s">
        <v>43</v>
      </c>
      <c r="T4080" t="s">
        <v>43</v>
      </c>
      <c r="U4080" t="s">
        <v>43</v>
      </c>
      <c r="V4080" t="s">
        <v>43</v>
      </c>
      <c r="W4080" t="s">
        <v>43</v>
      </c>
      <c r="X4080" t="s">
        <v>43</v>
      </c>
      <c r="Y4080" t="s">
        <v>43</v>
      </c>
      <c r="Z4080" t="s">
        <v>43</v>
      </c>
      <c r="AA4080" t="s">
        <v>43</v>
      </c>
      <c r="AB4080" t="s">
        <v>43</v>
      </c>
      <c r="AC4080" t="s">
        <v>43</v>
      </c>
      <c r="AD4080" t="s">
        <v>43</v>
      </c>
      <c r="AE4080" t="s">
        <v>43</v>
      </c>
      <c r="AF4080" t="s">
        <v>43</v>
      </c>
      <c r="AG4080" t="s">
        <v>43</v>
      </c>
      <c r="AH4080" t="s">
        <v>43</v>
      </c>
      <c r="AI4080" t="s">
        <v>43</v>
      </c>
      <c r="AJ4080" t="s">
        <v>43</v>
      </c>
      <c r="AK4080" t="s">
        <v>43</v>
      </c>
      <c r="AL4080" t="s">
        <v>43</v>
      </c>
      <c r="AM4080" t="s">
        <v>43</v>
      </c>
      <c r="AN4080" t="str">
        <f>HYPERLINK("https://www.google.com/maps?q=10.76306343,79.69435883","Open Location")</f>
        <v>Open Location</v>
      </c>
    </row>
    <row r="4081" spans="1:40" x14ac:dyDescent="0.3">
      <c r="A4081" s="1">
        <v>46210.526967592596</v>
      </c>
      <c r="B4081" t="s">
        <v>40</v>
      </c>
      <c r="C4081" t="s">
        <v>41</v>
      </c>
      <c r="D4081" s="1">
        <v>46210.52983796296</v>
      </c>
      <c r="E4081" t="s">
        <v>42</v>
      </c>
      <c r="F4081" t="s">
        <v>43</v>
      </c>
      <c r="G4081" t="s">
        <v>43</v>
      </c>
      <c r="H4081" t="s">
        <v>43</v>
      </c>
      <c r="I4081" t="s">
        <v>2218</v>
      </c>
      <c r="J4081" t="s">
        <v>43</v>
      </c>
      <c r="K4081" t="s">
        <v>43</v>
      </c>
      <c r="L4081" t="s">
        <v>43</v>
      </c>
      <c r="M4081" t="s">
        <v>43</v>
      </c>
      <c r="N4081" t="s">
        <v>45</v>
      </c>
      <c r="O4081" t="s">
        <v>43</v>
      </c>
      <c r="P4081" t="s">
        <v>43</v>
      </c>
      <c r="Q4081" t="s">
        <v>43</v>
      </c>
      <c r="R4081" t="s">
        <v>43</v>
      </c>
      <c r="S4081" t="s">
        <v>43</v>
      </c>
      <c r="T4081" t="s">
        <v>43</v>
      </c>
      <c r="U4081" t="s">
        <v>43</v>
      </c>
      <c r="V4081" t="s">
        <v>43</v>
      </c>
      <c r="W4081" t="s">
        <v>43</v>
      </c>
      <c r="X4081" t="s">
        <v>43</v>
      </c>
      <c r="Y4081" t="s">
        <v>43</v>
      </c>
      <c r="Z4081" t="s">
        <v>43</v>
      </c>
      <c r="AA4081" t="s">
        <v>43</v>
      </c>
      <c r="AB4081" t="s">
        <v>43</v>
      </c>
      <c r="AC4081" t="s">
        <v>43</v>
      </c>
      <c r="AD4081" t="s">
        <v>43</v>
      </c>
      <c r="AE4081" t="s">
        <v>43</v>
      </c>
      <c r="AF4081" t="s">
        <v>43</v>
      </c>
      <c r="AG4081" t="s">
        <v>43</v>
      </c>
      <c r="AH4081" t="s">
        <v>43</v>
      </c>
      <c r="AI4081" t="s">
        <v>43</v>
      </c>
      <c r="AJ4081" t="s">
        <v>43</v>
      </c>
      <c r="AK4081" t="s">
        <v>43</v>
      </c>
      <c r="AL4081" t="s">
        <v>43</v>
      </c>
      <c r="AM4081" t="s">
        <v>43</v>
      </c>
      <c r="AN4081" t="str">
        <f>HYPERLINK("https://www.google.com/maps?q=10.76306534,79.69436646","Open Location")</f>
        <v>Open Location</v>
      </c>
    </row>
    <row r="4082" spans="1:40" x14ac:dyDescent="0.3">
      <c r="A4082" s="1">
        <v>46210.52685185185</v>
      </c>
      <c r="B4082" t="s">
        <v>40</v>
      </c>
      <c r="C4082" t="s">
        <v>41</v>
      </c>
      <c r="D4082" s="1">
        <v>46210.529641203706</v>
      </c>
      <c r="E4082" t="s">
        <v>42</v>
      </c>
      <c r="F4082" t="s">
        <v>43</v>
      </c>
      <c r="G4082" t="s">
        <v>43</v>
      </c>
      <c r="H4082" t="s">
        <v>43</v>
      </c>
      <c r="I4082" t="s">
        <v>43</v>
      </c>
      <c r="J4082" t="s">
        <v>43</v>
      </c>
      <c r="K4082" t="s">
        <v>43</v>
      </c>
      <c r="L4082" t="s">
        <v>43</v>
      </c>
      <c r="M4082" t="s">
        <v>43</v>
      </c>
      <c r="N4082" t="s">
        <v>45</v>
      </c>
      <c r="O4082" t="s">
        <v>43</v>
      </c>
      <c r="P4082" t="s">
        <v>43</v>
      </c>
      <c r="Q4082" t="s">
        <v>43</v>
      </c>
      <c r="R4082" t="s">
        <v>43</v>
      </c>
      <c r="S4082" t="s">
        <v>43</v>
      </c>
      <c r="T4082" t="s">
        <v>43</v>
      </c>
      <c r="U4082" t="s">
        <v>43</v>
      </c>
      <c r="V4082" t="s">
        <v>43</v>
      </c>
      <c r="W4082" t="s">
        <v>43</v>
      </c>
      <c r="X4082" t="s">
        <v>43</v>
      </c>
      <c r="Y4082" t="s">
        <v>43</v>
      </c>
      <c r="Z4082" t="s">
        <v>43</v>
      </c>
      <c r="AA4082" t="s">
        <v>43</v>
      </c>
      <c r="AB4082" t="s">
        <v>43</v>
      </c>
      <c r="AC4082" t="s">
        <v>43</v>
      </c>
      <c r="AD4082" t="s">
        <v>43</v>
      </c>
      <c r="AE4082" t="s">
        <v>43</v>
      </c>
      <c r="AF4082" t="s">
        <v>43</v>
      </c>
      <c r="AG4082" t="s">
        <v>43</v>
      </c>
      <c r="AH4082" t="s">
        <v>43</v>
      </c>
      <c r="AI4082" t="s">
        <v>43</v>
      </c>
      <c r="AJ4082" t="s">
        <v>43</v>
      </c>
      <c r="AK4082" t="s">
        <v>43</v>
      </c>
      <c r="AL4082" t="s">
        <v>43</v>
      </c>
      <c r="AM4082" t="s">
        <v>43</v>
      </c>
      <c r="AN4082" t="s">
        <v>43</v>
      </c>
    </row>
    <row r="4083" spans="1:40" x14ac:dyDescent="0.3">
      <c r="A4083" s="1">
        <v>46210.526736111111</v>
      </c>
      <c r="B4083" t="s">
        <v>40</v>
      </c>
      <c r="C4083" t="s">
        <v>41</v>
      </c>
      <c r="D4083" s="1">
        <v>46210.529756944445</v>
      </c>
      <c r="E4083" t="s">
        <v>42</v>
      </c>
      <c r="F4083" t="s">
        <v>43</v>
      </c>
      <c r="G4083" t="s">
        <v>43</v>
      </c>
      <c r="H4083" t="s">
        <v>43</v>
      </c>
      <c r="I4083" t="s">
        <v>2218</v>
      </c>
      <c r="J4083" t="s">
        <v>43</v>
      </c>
      <c r="K4083" t="s">
        <v>43</v>
      </c>
      <c r="L4083" t="s">
        <v>43</v>
      </c>
      <c r="M4083" t="s">
        <v>43</v>
      </c>
      <c r="N4083" t="s">
        <v>45</v>
      </c>
      <c r="O4083" t="s">
        <v>43</v>
      </c>
      <c r="P4083" t="s">
        <v>43</v>
      </c>
      <c r="Q4083" t="s">
        <v>43</v>
      </c>
      <c r="R4083" t="s">
        <v>43</v>
      </c>
      <c r="S4083" t="s">
        <v>43</v>
      </c>
      <c r="T4083" t="s">
        <v>43</v>
      </c>
      <c r="U4083" t="s">
        <v>43</v>
      </c>
      <c r="V4083" t="s">
        <v>43</v>
      </c>
      <c r="W4083" t="s">
        <v>43</v>
      </c>
      <c r="X4083" t="s">
        <v>43</v>
      </c>
      <c r="Y4083" t="s">
        <v>43</v>
      </c>
      <c r="Z4083" t="s">
        <v>43</v>
      </c>
      <c r="AA4083" t="s">
        <v>43</v>
      </c>
      <c r="AB4083" t="s">
        <v>43</v>
      </c>
      <c r="AC4083" t="s">
        <v>43</v>
      </c>
      <c r="AD4083" t="s">
        <v>43</v>
      </c>
      <c r="AE4083" t="s">
        <v>43</v>
      </c>
      <c r="AF4083" t="s">
        <v>43</v>
      </c>
      <c r="AG4083" t="s">
        <v>43</v>
      </c>
      <c r="AH4083" t="s">
        <v>43</v>
      </c>
      <c r="AI4083" t="s">
        <v>43</v>
      </c>
      <c r="AJ4083" t="s">
        <v>43</v>
      </c>
      <c r="AK4083" t="s">
        <v>43</v>
      </c>
      <c r="AL4083" t="s">
        <v>43</v>
      </c>
      <c r="AM4083" t="s">
        <v>43</v>
      </c>
      <c r="AN4083" t="str">
        <f>HYPERLINK("https://www.google.com/maps?q=10.76306534,79.69436646","Open Location")</f>
        <v>Open Location</v>
      </c>
    </row>
    <row r="4084" spans="1:40" x14ac:dyDescent="0.3">
      <c r="A4084" s="1">
        <v>46210.526620370372</v>
      </c>
      <c r="B4084" t="s">
        <v>40</v>
      </c>
      <c r="C4084" t="s">
        <v>41</v>
      </c>
      <c r="D4084" s="1">
        <v>46210.529351851852</v>
      </c>
      <c r="E4084" t="s">
        <v>42</v>
      </c>
      <c r="F4084" t="s">
        <v>43</v>
      </c>
      <c r="G4084" t="s">
        <v>43</v>
      </c>
      <c r="H4084" t="s">
        <v>43</v>
      </c>
      <c r="I4084" t="s">
        <v>2303</v>
      </c>
      <c r="J4084" t="s">
        <v>43</v>
      </c>
      <c r="K4084" t="s">
        <v>43</v>
      </c>
      <c r="L4084" t="s">
        <v>43</v>
      </c>
      <c r="M4084" t="s">
        <v>43</v>
      </c>
      <c r="N4084" t="s">
        <v>45</v>
      </c>
      <c r="O4084" t="s">
        <v>43</v>
      </c>
      <c r="P4084" t="s">
        <v>43</v>
      </c>
      <c r="Q4084" t="s">
        <v>43</v>
      </c>
      <c r="R4084" t="s">
        <v>43</v>
      </c>
      <c r="S4084" t="s">
        <v>43</v>
      </c>
      <c r="T4084" t="s">
        <v>43</v>
      </c>
      <c r="U4084" t="s">
        <v>43</v>
      </c>
      <c r="V4084" t="s">
        <v>43</v>
      </c>
      <c r="W4084" t="s">
        <v>43</v>
      </c>
      <c r="X4084" t="s">
        <v>43</v>
      </c>
      <c r="Y4084" t="s">
        <v>43</v>
      </c>
      <c r="Z4084" t="s">
        <v>43</v>
      </c>
      <c r="AA4084" t="s">
        <v>43</v>
      </c>
      <c r="AB4084" t="s">
        <v>43</v>
      </c>
      <c r="AC4084" t="s">
        <v>43</v>
      </c>
      <c r="AD4084" t="s">
        <v>43</v>
      </c>
      <c r="AE4084" t="s">
        <v>43</v>
      </c>
      <c r="AF4084" t="s">
        <v>43</v>
      </c>
      <c r="AG4084" t="s">
        <v>43</v>
      </c>
      <c r="AH4084" t="s">
        <v>43</v>
      </c>
      <c r="AI4084" t="s">
        <v>43</v>
      </c>
      <c r="AJ4084" t="s">
        <v>43</v>
      </c>
      <c r="AK4084" t="s">
        <v>43</v>
      </c>
      <c r="AL4084" t="s">
        <v>43</v>
      </c>
      <c r="AM4084" t="s">
        <v>43</v>
      </c>
      <c r="AN4084" t="str">
        <f>HYPERLINK("https://www.google.com/maps?q=10.7630682,79.69436646","Open Location")</f>
        <v>Open Location</v>
      </c>
    </row>
    <row r="4085" spans="1:40" x14ac:dyDescent="0.3">
      <c r="A4085" s="1">
        <v>46210.526504629626</v>
      </c>
      <c r="B4085" t="s">
        <v>40</v>
      </c>
      <c r="C4085" t="s">
        <v>41</v>
      </c>
      <c r="D4085" s="1">
        <v>46210.529583333337</v>
      </c>
      <c r="E4085" t="s">
        <v>42</v>
      </c>
      <c r="F4085" t="s">
        <v>43</v>
      </c>
      <c r="G4085" t="s">
        <v>43</v>
      </c>
      <c r="H4085" t="s">
        <v>43</v>
      </c>
      <c r="I4085" t="s">
        <v>2255</v>
      </c>
      <c r="J4085" t="s">
        <v>43</v>
      </c>
      <c r="K4085" t="s">
        <v>43</v>
      </c>
      <c r="L4085" t="s">
        <v>43</v>
      </c>
      <c r="M4085" t="s">
        <v>43</v>
      </c>
      <c r="N4085" t="s">
        <v>45</v>
      </c>
      <c r="O4085" t="s">
        <v>43</v>
      </c>
      <c r="P4085" t="s">
        <v>43</v>
      </c>
      <c r="Q4085" t="s">
        <v>43</v>
      </c>
      <c r="R4085" t="s">
        <v>43</v>
      </c>
      <c r="S4085" t="s">
        <v>43</v>
      </c>
      <c r="T4085" t="s">
        <v>43</v>
      </c>
      <c r="U4085" t="s">
        <v>43</v>
      </c>
      <c r="V4085" t="s">
        <v>43</v>
      </c>
      <c r="W4085" t="s">
        <v>43</v>
      </c>
      <c r="X4085" t="s">
        <v>43</v>
      </c>
      <c r="Y4085" t="s">
        <v>43</v>
      </c>
      <c r="Z4085" t="s">
        <v>43</v>
      </c>
      <c r="AA4085" t="s">
        <v>43</v>
      </c>
      <c r="AB4085" t="s">
        <v>43</v>
      </c>
      <c r="AC4085" t="s">
        <v>43</v>
      </c>
      <c r="AD4085" t="s">
        <v>43</v>
      </c>
      <c r="AE4085" t="s">
        <v>43</v>
      </c>
      <c r="AF4085" t="s">
        <v>43</v>
      </c>
      <c r="AG4085" t="s">
        <v>43</v>
      </c>
      <c r="AH4085" t="s">
        <v>43</v>
      </c>
      <c r="AI4085" t="s">
        <v>43</v>
      </c>
      <c r="AJ4085" t="s">
        <v>43</v>
      </c>
      <c r="AK4085" t="s">
        <v>43</v>
      </c>
      <c r="AL4085" t="s">
        <v>43</v>
      </c>
      <c r="AM4085" t="s">
        <v>43</v>
      </c>
      <c r="AN4085" t="str">
        <f>HYPERLINK("https://www.google.com/maps?q=10.76306915,79.69436646","Open Location")</f>
        <v>Open Location</v>
      </c>
    </row>
    <row r="4086" spans="1:40" x14ac:dyDescent="0.3">
      <c r="A4086" s="1">
        <v>46210.526388888888</v>
      </c>
      <c r="B4086" t="s">
        <v>40</v>
      </c>
      <c r="C4086" t="s">
        <v>41</v>
      </c>
      <c r="D4086" s="1">
        <v>46210.529143518521</v>
      </c>
      <c r="E4086" t="s">
        <v>42</v>
      </c>
      <c r="F4086" t="s">
        <v>43</v>
      </c>
      <c r="G4086" t="s">
        <v>43</v>
      </c>
      <c r="H4086" t="s">
        <v>43</v>
      </c>
      <c r="I4086" t="s">
        <v>2303</v>
      </c>
      <c r="J4086" t="s">
        <v>43</v>
      </c>
      <c r="K4086" t="s">
        <v>43</v>
      </c>
      <c r="L4086" t="s">
        <v>43</v>
      </c>
      <c r="M4086" t="s">
        <v>43</v>
      </c>
      <c r="N4086" t="s">
        <v>45</v>
      </c>
      <c r="O4086" t="s">
        <v>43</v>
      </c>
      <c r="P4086" t="s">
        <v>43</v>
      </c>
      <c r="Q4086" t="s">
        <v>43</v>
      </c>
      <c r="R4086" t="s">
        <v>43</v>
      </c>
      <c r="S4086" t="s">
        <v>43</v>
      </c>
      <c r="T4086" t="s">
        <v>43</v>
      </c>
      <c r="U4086" t="s">
        <v>43</v>
      </c>
      <c r="V4086" t="s">
        <v>43</v>
      </c>
      <c r="W4086" t="s">
        <v>43</v>
      </c>
      <c r="X4086" t="s">
        <v>43</v>
      </c>
      <c r="Y4086" t="s">
        <v>43</v>
      </c>
      <c r="Z4086" t="s">
        <v>43</v>
      </c>
      <c r="AA4086" t="s">
        <v>43</v>
      </c>
      <c r="AB4086" t="s">
        <v>43</v>
      </c>
      <c r="AC4086" t="s">
        <v>43</v>
      </c>
      <c r="AD4086" t="s">
        <v>43</v>
      </c>
      <c r="AE4086" t="s">
        <v>43</v>
      </c>
      <c r="AF4086" t="s">
        <v>43</v>
      </c>
      <c r="AG4086" t="s">
        <v>43</v>
      </c>
      <c r="AH4086" t="s">
        <v>43</v>
      </c>
      <c r="AI4086" t="s">
        <v>43</v>
      </c>
      <c r="AJ4086" t="s">
        <v>43</v>
      </c>
      <c r="AK4086" t="s">
        <v>43</v>
      </c>
      <c r="AL4086" t="s">
        <v>43</v>
      </c>
      <c r="AM4086" t="s">
        <v>43</v>
      </c>
      <c r="AN4086" t="str">
        <f>HYPERLINK("https://www.google.com/maps?q=10.7630682,79.69436646","Open Location")</f>
        <v>Open Location</v>
      </c>
    </row>
    <row r="4087" spans="1:40" x14ac:dyDescent="0.3">
      <c r="A4087" s="1">
        <v>46210.526273148149</v>
      </c>
      <c r="B4087" t="s">
        <v>40</v>
      </c>
      <c r="C4087" t="s">
        <v>41</v>
      </c>
      <c r="D4087" s="1">
        <v>46210.529143518521</v>
      </c>
      <c r="E4087" t="s">
        <v>42</v>
      </c>
      <c r="F4087" t="s">
        <v>43</v>
      </c>
      <c r="G4087" t="s">
        <v>43</v>
      </c>
      <c r="H4087" t="s">
        <v>43</v>
      </c>
      <c r="I4087" t="s">
        <v>2268</v>
      </c>
      <c r="J4087" t="s">
        <v>43</v>
      </c>
      <c r="K4087" t="s">
        <v>43</v>
      </c>
      <c r="L4087" t="s">
        <v>43</v>
      </c>
      <c r="M4087" t="s">
        <v>43</v>
      </c>
      <c r="N4087" t="s">
        <v>45</v>
      </c>
      <c r="O4087" t="s">
        <v>43</v>
      </c>
      <c r="P4087" t="s">
        <v>43</v>
      </c>
      <c r="Q4087" t="s">
        <v>43</v>
      </c>
      <c r="R4087" t="s">
        <v>43</v>
      </c>
      <c r="S4087" t="s">
        <v>43</v>
      </c>
      <c r="T4087" t="s">
        <v>43</v>
      </c>
      <c r="U4087" t="s">
        <v>43</v>
      </c>
      <c r="V4087" t="s">
        <v>43</v>
      </c>
      <c r="W4087" t="s">
        <v>43</v>
      </c>
      <c r="X4087" t="s">
        <v>43</v>
      </c>
      <c r="Y4087" t="s">
        <v>43</v>
      </c>
      <c r="Z4087" t="s">
        <v>43</v>
      </c>
      <c r="AA4087" t="s">
        <v>43</v>
      </c>
      <c r="AB4087" t="s">
        <v>43</v>
      </c>
      <c r="AC4087" t="s">
        <v>43</v>
      </c>
      <c r="AD4087" t="s">
        <v>43</v>
      </c>
      <c r="AE4087" t="s">
        <v>43</v>
      </c>
      <c r="AF4087" t="s">
        <v>43</v>
      </c>
      <c r="AG4087" t="s">
        <v>43</v>
      </c>
      <c r="AH4087" t="s">
        <v>43</v>
      </c>
      <c r="AI4087" t="s">
        <v>43</v>
      </c>
      <c r="AJ4087" t="s">
        <v>43</v>
      </c>
      <c r="AK4087" t="s">
        <v>43</v>
      </c>
      <c r="AL4087" t="s">
        <v>43</v>
      </c>
      <c r="AM4087" t="s">
        <v>43</v>
      </c>
      <c r="AN4087" t="str">
        <f>HYPERLINK("https://www.google.com/maps?q=10.76306152,79.69436646","Open Location")</f>
        <v>Open Location</v>
      </c>
    </row>
    <row r="4088" spans="1:40" x14ac:dyDescent="0.3">
      <c r="A4088" s="1">
        <v>46210.52615740741</v>
      </c>
      <c r="B4088" t="s">
        <v>40</v>
      </c>
      <c r="C4088" t="s">
        <v>41</v>
      </c>
      <c r="D4088" s="1">
        <v>46210.528969907406</v>
      </c>
      <c r="E4088" t="s">
        <v>42</v>
      </c>
      <c r="F4088" t="s">
        <v>43</v>
      </c>
      <c r="G4088" t="s">
        <v>43</v>
      </c>
      <c r="H4088" t="s">
        <v>43</v>
      </c>
      <c r="I4088" t="s">
        <v>43</v>
      </c>
      <c r="J4088" t="s">
        <v>43</v>
      </c>
      <c r="K4088" t="s">
        <v>43</v>
      </c>
      <c r="L4088" t="s">
        <v>43</v>
      </c>
      <c r="M4088" t="s">
        <v>43</v>
      </c>
      <c r="N4088" t="s">
        <v>45</v>
      </c>
      <c r="O4088" t="s">
        <v>43</v>
      </c>
      <c r="P4088" t="s">
        <v>43</v>
      </c>
      <c r="Q4088" t="s">
        <v>43</v>
      </c>
      <c r="R4088" t="s">
        <v>43</v>
      </c>
      <c r="S4088" t="s">
        <v>43</v>
      </c>
      <c r="T4088" t="s">
        <v>43</v>
      </c>
      <c r="U4088" t="s">
        <v>43</v>
      </c>
      <c r="V4088" t="s">
        <v>43</v>
      </c>
      <c r="W4088" t="s">
        <v>43</v>
      </c>
      <c r="X4088" t="s">
        <v>43</v>
      </c>
      <c r="Y4088" t="s">
        <v>43</v>
      </c>
      <c r="Z4088" t="s">
        <v>43</v>
      </c>
      <c r="AA4088" t="s">
        <v>43</v>
      </c>
      <c r="AB4088" t="s">
        <v>43</v>
      </c>
      <c r="AC4088" t="s">
        <v>43</v>
      </c>
      <c r="AD4088" t="s">
        <v>43</v>
      </c>
      <c r="AE4088" t="s">
        <v>43</v>
      </c>
      <c r="AF4088" t="s">
        <v>43</v>
      </c>
      <c r="AG4088" t="s">
        <v>43</v>
      </c>
      <c r="AH4088" t="s">
        <v>43</v>
      </c>
      <c r="AI4088" t="s">
        <v>43</v>
      </c>
      <c r="AJ4088" t="s">
        <v>43</v>
      </c>
      <c r="AK4088" t="s">
        <v>43</v>
      </c>
      <c r="AL4088" t="s">
        <v>43</v>
      </c>
      <c r="AM4088" t="s">
        <v>43</v>
      </c>
      <c r="AN4088" t="s">
        <v>43</v>
      </c>
    </row>
    <row r="4089" spans="1:40" x14ac:dyDescent="0.3">
      <c r="A4089" s="1">
        <v>46210.526041666664</v>
      </c>
      <c r="B4089" t="s">
        <v>40</v>
      </c>
      <c r="C4089" t="s">
        <v>41</v>
      </c>
      <c r="D4089" s="1">
        <v>46210.528981481482</v>
      </c>
      <c r="E4089" t="s">
        <v>42</v>
      </c>
      <c r="F4089" t="s">
        <v>43</v>
      </c>
      <c r="G4089" t="s">
        <v>43</v>
      </c>
      <c r="H4089" t="s">
        <v>43</v>
      </c>
      <c r="I4089" t="s">
        <v>2268</v>
      </c>
      <c r="J4089" t="s">
        <v>43</v>
      </c>
      <c r="K4089" t="s">
        <v>43</v>
      </c>
      <c r="L4089" t="s">
        <v>43</v>
      </c>
      <c r="M4089" t="s">
        <v>43</v>
      </c>
      <c r="N4089" t="s">
        <v>45</v>
      </c>
      <c r="O4089" t="s">
        <v>43</v>
      </c>
      <c r="P4089" t="s">
        <v>43</v>
      </c>
      <c r="Q4089" t="s">
        <v>43</v>
      </c>
      <c r="R4089" t="s">
        <v>43</v>
      </c>
      <c r="S4089" t="s">
        <v>43</v>
      </c>
      <c r="T4089" t="s">
        <v>43</v>
      </c>
      <c r="U4089" t="s">
        <v>43</v>
      </c>
      <c r="V4089" t="s">
        <v>43</v>
      </c>
      <c r="W4089" t="s">
        <v>43</v>
      </c>
      <c r="X4089" t="s">
        <v>43</v>
      </c>
      <c r="Y4089" t="s">
        <v>43</v>
      </c>
      <c r="Z4089" t="s">
        <v>43</v>
      </c>
      <c r="AA4089" t="s">
        <v>43</v>
      </c>
      <c r="AB4089" t="s">
        <v>43</v>
      </c>
      <c r="AC4089" t="s">
        <v>43</v>
      </c>
      <c r="AD4089" t="s">
        <v>43</v>
      </c>
      <c r="AE4089" t="s">
        <v>43</v>
      </c>
      <c r="AF4089" t="s">
        <v>43</v>
      </c>
      <c r="AG4089" t="s">
        <v>43</v>
      </c>
      <c r="AH4089" t="s">
        <v>43</v>
      </c>
      <c r="AI4089" t="s">
        <v>43</v>
      </c>
      <c r="AJ4089" t="s">
        <v>43</v>
      </c>
      <c r="AK4089" t="s">
        <v>43</v>
      </c>
      <c r="AL4089" t="s">
        <v>43</v>
      </c>
      <c r="AM4089" t="s">
        <v>43</v>
      </c>
      <c r="AN4089" t="str">
        <f>HYPERLINK("https://www.google.com/maps?q=10.76306152,79.69436646","Open Location")</f>
        <v>Open Location</v>
      </c>
    </row>
    <row r="4090" spans="1:40" x14ac:dyDescent="0.3">
      <c r="A4090" s="1">
        <v>46210.525925925926</v>
      </c>
      <c r="B4090" t="s">
        <v>40</v>
      </c>
      <c r="C4090" t="s">
        <v>41</v>
      </c>
      <c r="D4090" s="1">
        <v>46210.528645833336</v>
      </c>
      <c r="E4090" t="s">
        <v>42</v>
      </c>
      <c r="F4090" t="s">
        <v>43</v>
      </c>
      <c r="G4090" t="s">
        <v>43</v>
      </c>
      <c r="H4090" t="s">
        <v>43</v>
      </c>
      <c r="I4090" t="s">
        <v>2257</v>
      </c>
      <c r="J4090" t="s">
        <v>43</v>
      </c>
      <c r="K4090" t="s">
        <v>43</v>
      </c>
      <c r="L4090" t="s">
        <v>43</v>
      </c>
      <c r="M4090" t="s">
        <v>43</v>
      </c>
      <c r="N4090" t="s">
        <v>45</v>
      </c>
      <c r="O4090" t="s">
        <v>43</v>
      </c>
      <c r="P4090" t="s">
        <v>43</v>
      </c>
      <c r="Q4090" t="s">
        <v>43</v>
      </c>
      <c r="R4090" t="s">
        <v>43</v>
      </c>
      <c r="S4090" t="s">
        <v>43</v>
      </c>
      <c r="T4090" t="s">
        <v>43</v>
      </c>
      <c r="U4090" t="s">
        <v>43</v>
      </c>
      <c r="V4090" t="s">
        <v>43</v>
      </c>
      <c r="W4090" t="s">
        <v>43</v>
      </c>
      <c r="X4090" t="s">
        <v>43</v>
      </c>
      <c r="Y4090" t="s">
        <v>43</v>
      </c>
      <c r="Z4090" t="s">
        <v>43</v>
      </c>
      <c r="AA4090" t="s">
        <v>43</v>
      </c>
      <c r="AB4090" t="s">
        <v>43</v>
      </c>
      <c r="AC4090" t="s">
        <v>43</v>
      </c>
      <c r="AD4090" t="s">
        <v>43</v>
      </c>
      <c r="AE4090" t="s">
        <v>43</v>
      </c>
      <c r="AF4090" t="s">
        <v>43</v>
      </c>
      <c r="AG4090" t="s">
        <v>43</v>
      </c>
      <c r="AH4090" t="s">
        <v>43</v>
      </c>
      <c r="AI4090" t="s">
        <v>43</v>
      </c>
      <c r="AJ4090" t="s">
        <v>43</v>
      </c>
      <c r="AK4090" t="s">
        <v>43</v>
      </c>
      <c r="AL4090" t="s">
        <v>43</v>
      </c>
      <c r="AM4090" t="s">
        <v>43</v>
      </c>
      <c r="AN4090" t="str">
        <f>HYPERLINK("https://www.google.com/maps?q=10.76306057,79.69436646","Open Location")</f>
        <v>Open Location</v>
      </c>
    </row>
    <row r="4091" spans="1:40" x14ac:dyDescent="0.3">
      <c r="A4091" s="1">
        <v>46210.525810185187</v>
      </c>
      <c r="B4091" t="s">
        <v>40</v>
      </c>
      <c r="C4091" t="s">
        <v>41</v>
      </c>
      <c r="D4091" s="1">
        <v>46210.528645833336</v>
      </c>
      <c r="E4091" t="s">
        <v>42</v>
      </c>
      <c r="F4091" t="s">
        <v>43</v>
      </c>
      <c r="G4091" t="s">
        <v>43</v>
      </c>
      <c r="H4091" t="s">
        <v>43</v>
      </c>
      <c r="I4091" t="s">
        <v>2268</v>
      </c>
      <c r="J4091" t="s">
        <v>43</v>
      </c>
      <c r="K4091" t="s">
        <v>43</v>
      </c>
      <c r="L4091" t="s">
        <v>43</v>
      </c>
      <c r="M4091" t="s">
        <v>43</v>
      </c>
      <c r="N4091" t="s">
        <v>45</v>
      </c>
      <c r="O4091" t="s">
        <v>43</v>
      </c>
      <c r="P4091" t="s">
        <v>43</v>
      </c>
      <c r="Q4091" t="s">
        <v>43</v>
      </c>
      <c r="R4091" t="s">
        <v>43</v>
      </c>
      <c r="S4091" t="s">
        <v>43</v>
      </c>
      <c r="T4091" t="s">
        <v>43</v>
      </c>
      <c r="U4091" t="s">
        <v>43</v>
      </c>
      <c r="V4091" t="s">
        <v>43</v>
      </c>
      <c r="W4091" t="s">
        <v>43</v>
      </c>
      <c r="X4091" t="s">
        <v>43</v>
      </c>
      <c r="Y4091" t="s">
        <v>43</v>
      </c>
      <c r="Z4091" t="s">
        <v>43</v>
      </c>
      <c r="AA4091" t="s">
        <v>43</v>
      </c>
      <c r="AB4091" t="s">
        <v>43</v>
      </c>
      <c r="AC4091" t="s">
        <v>43</v>
      </c>
      <c r="AD4091" t="s">
        <v>43</v>
      </c>
      <c r="AE4091" t="s">
        <v>43</v>
      </c>
      <c r="AF4091" t="s">
        <v>43</v>
      </c>
      <c r="AG4091" t="s">
        <v>43</v>
      </c>
      <c r="AH4091" t="s">
        <v>43</v>
      </c>
      <c r="AI4091" t="s">
        <v>43</v>
      </c>
      <c r="AJ4091" t="s">
        <v>43</v>
      </c>
      <c r="AK4091" t="s">
        <v>43</v>
      </c>
      <c r="AL4091" t="s">
        <v>43</v>
      </c>
      <c r="AM4091" t="s">
        <v>43</v>
      </c>
      <c r="AN4091" t="str">
        <f>HYPERLINK("https://www.google.com/maps?q=10.76306152,79.69436646","Open Location")</f>
        <v>Open Location</v>
      </c>
    </row>
    <row r="4092" spans="1:40" x14ac:dyDescent="0.3">
      <c r="A4092" s="1">
        <v>46210.525694444441</v>
      </c>
      <c r="B4092" t="s">
        <v>40</v>
      </c>
      <c r="C4092" t="s">
        <v>41</v>
      </c>
      <c r="D4092" s="1">
        <v>46210.528611111113</v>
      </c>
      <c r="E4092" t="s">
        <v>42</v>
      </c>
      <c r="F4092" t="s">
        <v>43</v>
      </c>
      <c r="G4092" t="s">
        <v>43</v>
      </c>
      <c r="H4092" t="s">
        <v>43</v>
      </c>
      <c r="I4092" t="s">
        <v>2266</v>
      </c>
      <c r="J4092" t="s">
        <v>43</v>
      </c>
      <c r="K4092" t="s">
        <v>43</v>
      </c>
      <c r="L4092" t="s">
        <v>43</v>
      </c>
      <c r="M4092" t="s">
        <v>43</v>
      </c>
      <c r="N4092" t="s">
        <v>45</v>
      </c>
      <c r="O4092" t="s">
        <v>43</v>
      </c>
      <c r="P4092" t="s">
        <v>43</v>
      </c>
      <c r="Q4092" t="s">
        <v>43</v>
      </c>
      <c r="R4092" t="s">
        <v>43</v>
      </c>
      <c r="S4092" t="s">
        <v>43</v>
      </c>
      <c r="T4092" t="s">
        <v>43</v>
      </c>
      <c r="U4092" t="s">
        <v>43</v>
      </c>
      <c r="V4092" t="s">
        <v>43</v>
      </c>
      <c r="W4092" t="s">
        <v>43</v>
      </c>
      <c r="X4092" t="s">
        <v>43</v>
      </c>
      <c r="Y4092" t="s">
        <v>43</v>
      </c>
      <c r="Z4092" t="s">
        <v>43</v>
      </c>
      <c r="AA4092" t="s">
        <v>43</v>
      </c>
      <c r="AB4092" t="s">
        <v>43</v>
      </c>
      <c r="AC4092" t="s">
        <v>43</v>
      </c>
      <c r="AD4092" t="s">
        <v>43</v>
      </c>
      <c r="AE4092" t="s">
        <v>43</v>
      </c>
      <c r="AF4092" t="s">
        <v>43</v>
      </c>
      <c r="AG4092" t="s">
        <v>43</v>
      </c>
      <c r="AH4092" t="s">
        <v>43</v>
      </c>
      <c r="AI4092" t="s">
        <v>43</v>
      </c>
      <c r="AJ4092" t="s">
        <v>43</v>
      </c>
      <c r="AK4092" t="s">
        <v>43</v>
      </c>
      <c r="AL4092" t="s">
        <v>43</v>
      </c>
      <c r="AM4092" t="s">
        <v>43</v>
      </c>
      <c r="AN4092" t="str">
        <f>HYPERLINK("https://www.google.com/maps?q=10.76306343,79.69436646","Open Location")</f>
        <v>Open Location</v>
      </c>
    </row>
    <row r="4093" spans="1:40" x14ac:dyDescent="0.3">
      <c r="A4093" s="1">
        <v>46210.525578703702</v>
      </c>
      <c r="B4093" t="s">
        <v>40</v>
      </c>
      <c r="C4093" t="s">
        <v>41</v>
      </c>
      <c r="D4093" s="1">
        <v>46210.528657407405</v>
      </c>
      <c r="E4093" t="s">
        <v>42</v>
      </c>
      <c r="F4093" t="s">
        <v>43</v>
      </c>
      <c r="G4093" t="s">
        <v>43</v>
      </c>
      <c r="H4093" t="s">
        <v>43</v>
      </c>
      <c r="I4093" t="s">
        <v>43</v>
      </c>
      <c r="J4093" t="s">
        <v>43</v>
      </c>
      <c r="K4093" t="s">
        <v>43</v>
      </c>
      <c r="L4093" t="s">
        <v>43</v>
      </c>
      <c r="M4093" t="s">
        <v>43</v>
      </c>
      <c r="N4093" t="s">
        <v>45</v>
      </c>
      <c r="O4093" t="s">
        <v>43</v>
      </c>
      <c r="P4093" t="s">
        <v>43</v>
      </c>
      <c r="Q4093" t="s">
        <v>43</v>
      </c>
      <c r="R4093" t="s">
        <v>43</v>
      </c>
      <c r="S4093" t="s">
        <v>43</v>
      </c>
      <c r="T4093" t="s">
        <v>43</v>
      </c>
      <c r="U4093" t="s">
        <v>43</v>
      </c>
      <c r="V4093" t="s">
        <v>43</v>
      </c>
      <c r="W4093" t="s">
        <v>43</v>
      </c>
      <c r="X4093" t="s">
        <v>43</v>
      </c>
      <c r="Y4093" t="s">
        <v>43</v>
      </c>
      <c r="Z4093" t="s">
        <v>43</v>
      </c>
      <c r="AA4093" t="s">
        <v>43</v>
      </c>
      <c r="AB4093" t="s">
        <v>43</v>
      </c>
      <c r="AC4093" t="s">
        <v>43</v>
      </c>
      <c r="AD4093" t="s">
        <v>43</v>
      </c>
      <c r="AE4093" t="s">
        <v>43</v>
      </c>
      <c r="AF4093" t="s">
        <v>43</v>
      </c>
      <c r="AG4093" t="s">
        <v>43</v>
      </c>
      <c r="AH4093" t="s">
        <v>43</v>
      </c>
      <c r="AI4093" t="s">
        <v>43</v>
      </c>
      <c r="AJ4093" t="s">
        <v>43</v>
      </c>
      <c r="AK4093" t="s">
        <v>43</v>
      </c>
      <c r="AL4093" t="s">
        <v>43</v>
      </c>
      <c r="AM4093" t="s">
        <v>43</v>
      </c>
      <c r="AN4093" t="s">
        <v>43</v>
      </c>
    </row>
    <row r="4094" spans="1:40" x14ac:dyDescent="0.3">
      <c r="A4094" s="1">
        <v>46210.525462962964</v>
      </c>
      <c r="B4094" t="s">
        <v>40</v>
      </c>
      <c r="C4094" t="s">
        <v>41</v>
      </c>
      <c r="D4094" s="1">
        <v>46210.528194444443</v>
      </c>
      <c r="E4094" t="s">
        <v>42</v>
      </c>
      <c r="F4094" t="s">
        <v>43</v>
      </c>
      <c r="G4094" t="s">
        <v>43</v>
      </c>
      <c r="H4094" t="s">
        <v>43</v>
      </c>
      <c r="I4094" t="s">
        <v>2242</v>
      </c>
      <c r="J4094" t="s">
        <v>43</v>
      </c>
      <c r="K4094" t="s">
        <v>43</v>
      </c>
      <c r="L4094" t="s">
        <v>43</v>
      </c>
      <c r="M4094" t="s">
        <v>43</v>
      </c>
      <c r="N4094" t="s">
        <v>45</v>
      </c>
      <c r="O4094" t="s">
        <v>43</v>
      </c>
      <c r="P4094" t="s">
        <v>43</v>
      </c>
      <c r="Q4094" t="s">
        <v>43</v>
      </c>
      <c r="R4094" t="s">
        <v>43</v>
      </c>
      <c r="S4094" t="s">
        <v>43</v>
      </c>
      <c r="T4094" t="s">
        <v>43</v>
      </c>
      <c r="U4094" t="s">
        <v>43</v>
      </c>
      <c r="V4094" t="s">
        <v>43</v>
      </c>
      <c r="W4094" t="s">
        <v>43</v>
      </c>
      <c r="X4094" t="s">
        <v>43</v>
      </c>
      <c r="Y4094" t="s">
        <v>43</v>
      </c>
      <c r="Z4094" t="s">
        <v>43</v>
      </c>
      <c r="AA4094" t="s">
        <v>43</v>
      </c>
      <c r="AB4094" t="s">
        <v>43</v>
      </c>
      <c r="AC4094" t="s">
        <v>43</v>
      </c>
      <c r="AD4094" t="s">
        <v>43</v>
      </c>
      <c r="AE4094" t="s">
        <v>43</v>
      </c>
      <c r="AF4094" t="s">
        <v>43</v>
      </c>
      <c r="AG4094" t="s">
        <v>43</v>
      </c>
      <c r="AH4094" t="s">
        <v>43</v>
      </c>
      <c r="AI4094" t="s">
        <v>43</v>
      </c>
      <c r="AJ4094" t="s">
        <v>43</v>
      </c>
      <c r="AK4094" t="s">
        <v>43</v>
      </c>
      <c r="AL4094" t="s">
        <v>43</v>
      </c>
      <c r="AM4094" t="s">
        <v>43</v>
      </c>
      <c r="AN4094" t="str">
        <f>HYPERLINK("https://www.google.com/maps?q=10.76306534,79.69437408","Open Location")</f>
        <v>Open Location</v>
      </c>
    </row>
    <row r="4095" spans="1:40" x14ac:dyDescent="0.3">
      <c r="A4095" s="1">
        <v>46210.525347222225</v>
      </c>
      <c r="B4095" t="s">
        <v>40</v>
      </c>
      <c r="C4095" t="s">
        <v>41</v>
      </c>
      <c r="D4095" s="1">
        <v>46210.528240740743</v>
      </c>
      <c r="E4095" t="s">
        <v>42</v>
      </c>
      <c r="F4095" t="s">
        <v>43</v>
      </c>
      <c r="G4095" t="s">
        <v>43</v>
      </c>
      <c r="H4095" t="s">
        <v>43</v>
      </c>
      <c r="I4095" t="s">
        <v>2266</v>
      </c>
      <c r="J4095" t="s">
        <v>43</v>
      </c>
      <c r="K4095" t="s">
        <v>43</v>
      </c>
      <c r="L4095" t="s">
        <v>43</v>
      </c>
      <c r="M4095" t="s">
        <v>43</v>
      </c>
      <c r="N4095" t="s">
        <v>45</v>
      </c>
      <c r="O4095" t="s">
        <v>43</v>
      </c>
      <c r="P4095" t="s">
        <v>43</v>
      </c>
      <c r="Q4095" t="s">
        <v>43</v>
      </c>
      <c r="R4095" t="s">
        <v>43</v>
      </c>
      <c r="S4095" t="s">
        <v>43</v>
      </c>
      <c r="T4095" t="s">
        <v>43</v>
      </c>
      <c r="U4095" t="s">
        <v>43</v>
      </c>
      <c r="V4095" t="s">
        <v>43</v>
      </c>
      <c r="W4095" t="s">
        <v>43</v>
      </c>
      <c r="X4095" t="s">
        <v>43</v>
      </c>
      <c r="Y4095" t="s">
        <v>43</v>
      </c>
      <c r="Z4095" t="s">
        <v>43</v>
      </c>
      <c r="AA4095" t="s">
        <v>43</v>
      </c>
      <c r="AB4095" t="s">
        <v>43</v>
      </c>
      <c r="AC4095" t="s">
        <v>43</v>
      </c>
      <c r="AD4095" t="s">
        <v>43</v>
      </c>
      <c r="AE4095" t="s">
        <v>43</v>
      </c>
      <c r="AF4095" t="s">
        <v>43</v>
      </c>
      <c r="AG4095" t="s">
        <v>43</v>
      </c>
      <c r="AH4095" t="s">
        <v>43</v>
      </c>
      <c r="AI4095" t="s">
        <v>43</v>
      </c>
      <c r="AJ4095" t="s">
        <v>43</v>
      </c>
      <c r="AK4095" t="s">
        <v>43</v>
      </c>
      <c r="AL4095" t="s">
        <v>43</v>
      </c>
      <c r="AM4095" t="s">
        <v>43</v>
      </c>
      <c r="AN4095" t="str">
        <f>HYPERLINK("https://www.google.com/maps?q=10.76306343,79.69436646","Open Location")</f>
        <v>Open Location</v>
      </c>
    </row>
    <row r="4096" spans="1:40" x14ac:dyDescent="0.3">
      <c r="A4096" s="1">
        <v>46210.525231481479</v>
      </c>
      <c r="B4096" t="s">
        <v>40</v>
      </c>
      <c r="C4096" t="s">
        <v>41</v>
      </c>
      <c r="D4096" s="1">
        <v>46210.528078703705</v>
      </c>
      <c r="E4096" t="s">
        <v>42</v>
      </c>
      <c r="F4096" t="s">
        <v>43</v>
      </c>
      <c r="G4096" t="s">
        <v>43</v>
      </c>
      <c r="H4096" t="s">
        <v>43</v>
      </c>
      <c r="I4096" t="s">
        <v>2342</v>
      </c>
      <c r="J4096" t="s">
        <v>43</v>
      </c>
      <c r="K4096" t="s">
        <v>43</v>
      </c>
      <c r="L4096" t="s">
        <v>43</v>
      </c>
      <c r="M4096" t="s">
        <v>43</v>
      </c>
      <c r="N4096" t="s">
        <v>45</v>
      </c>
      <c r="O4096" t="s">
        <v>43</v>
      </c>
      <c r="P4096" t="s">
        <v>43</v>
      </c>
      <c r="Q4096" t="s">
        <v>43</v>
      </c>
      <c r="R4096" t="s">
        <v>43</v>
      </c>
      <c r="S4096" t="s">
        <v>43</v>
      </c>
      <c r="T4096" t="s">
        <v>43</v>
      </c>
      <c r="U4096" t="s">
        <v>43</v>
      </c>
      <c r="V4096" t="s">
        <v>43</v>
      </c>
      <c r="W4096" t="s">
        <v>43</v>
      </c>
      <c r="X4096" t="s">
        <v>43</v>
      </c>
      <c r="Y4096" t="s">
        <v>43</v>
      </c>
      <c r="Z4096" t="s">
        <v>43</v>
      </c>
      <c r="AA4096" t="s">
        <v>43</v>
      </c>
      <c r="AB4096" t="s">
        <v>43</v>
      </c>
      <c r="AC4096" t="s">
        <v>43</v>
      </c>
      <c r="AD4096" t="s">
        <v>43</v>
      </c>
      <c r="AE4096" t="s">
        <v>43</v>
      </c>
      <c r="AF4096" t="s">
        <v>43</v>
      </c>
      <c r="AG4096" t="s">
        <v>43</v>
      </c>
      <c r="AH4096" t="s">
        <v>43</v>
      </c>
      <c r="AI4096" t="s">
        <v>43</v>
      </c>
      <c r="AJ4096" t="s">
        <v>43</v>
      </c>
      <c r="AK4096" t="s">
        <v>43</v>
      </c>
      <c r="AL4096" t="s">
        <v>43</v>
      </c>
      <c r="AM4096" t="s">
        <v>43</v>
      </c>
      <c r="AN4096" t="str">
        <f>HYPERLINK("https://www.google.com/maps?q=10.76305866,79.69435883","Open Location")</f>
        <v>Open Location</v>
      </c>
    </row>
    <row r="4097" spans="1:40" x14ac:dyDescent="0.3">
      <c r="A4097" s="1">
        <v>46210.52511574074</v>
      </c>
      <c r="B4097" t="s">
        <v>40</v>
      </c>
      <c r="C4097" t="s">
        <v>41</v>
      </c>
      <c r="D4097" s="1">
        <v>46210.528240740743</v>
      </c>
      <c r="E4097" t="s">
        <v>42</v>
      </c>
      <c r="F4097" t="s">
        <v>43</v>
      </c>
      <c r="G4097" t="s">
        <v>43</v>
      </c>
      <c r="H4097" t="s">
        <v>43</v>
      </c>
      <c r="I4097" t="s">
        <v>2342</v>
      </c>
      <c r="J4097" t="s">
        <v>43</v>
      </c>
      <c r="K4097" t="s">
        <v>43</v>
      </c>
      <c r="L4097" t="s">
        <v>43</v>
      </c>
      <c r="M4097" t="s">
        <v>43</v>
      </c>
      <c r="N4097" t="s">
        <v>45</v>
      </c>
      <c r="O4097" t="s">
        <v>43</v>
      </c>
      <c r="P4097" t="s">
        <v>43</v>
      </c>
      <c r="Q4097" t="s">
        <v>43</v>
      </c>
      <c r="R4097" t="s">
        <v>43</v>
      </c>
      <c r="S4097" t="s">
        <v>43</v>
      </c>
      <c r="T4097" t="s">
        <v>43</v>
      </c>
      <c r="U4097" t="s">
        <v>43</v>
      </c>
      <c r="V4097" t="s">
        <v>43</v>
      </c>
      <c r="W4097" t="s">
        <v>43</v>
      </c>
      <c r="X4097" t="s">
        <v>43</v>
      </c>
      <c r="Y4097" t="s">
        <v>43</v>
      </c>
      <c r="Z4097" t="s">
        <v>43</v>
      </c>
      <c r="AA4097" t="s">
        <v>43</v>
      </c>
      <c r="AB4097" t="s">
        <v>43</v>
      </c>
      <c r="AC4097" t="s">
        <v>43</v>
      </c>
      <c r="AD4097" t="s">
        <v>43</v>
      </c>
      <c r="AE4097" t="s">
        <v>43</v>
      </c>
      <c r="AF4097" t="s">
        <v>43</v>
      </c>
      <c r="AG4097" t="s">
        <v>43</v>
      </c>
      <c r="AH4097" t="s">
        <v>43</v>
      </c>
      <c r="AI4097" t="s">
        <v>43</v>
      </c>
      <c r="AJ4097" t="s">
        <v>43</v>
      </c>
      <c r="AK4097" t="s">
        <v>43</v>
      </c>
      <c r="AL4097" t="s">
        <v>43</v>
      </c>
      <c r="AM4097" t="s">
        <v>43</v>
      </c>
      <c r="AN4097" t="str">
        <f>HYPERLINK("https://www.google.com/maps?q=10.76305866,79.69435883","Open Location")</f>
        <v>Open Location</v>
      </c>
    </row>
    <row r="4098" spans="1:40" x14ac:dyDescent="0.3">
      <c r="A4098" s="1">
        <v>46210.525000000001</v>
      </c>
      <c r="B4098" t="s">
        <v>40</v>
      </c>
      <c r="C4098" t="s">
        <v>41</v>
      </c>
      <c r="D4098" s="1">
        <v>46210.52783564815</v>
      </c>
      <c r="E4098" t="s">
        <v>42</v>
      </c>
      <c r="F4098" t="s">
        <v>43</v>
      </c>
      <c r="G4098" t="s">
        <v>43</v>
      </c>
      <c r="H4098" t="s">
        <v>43</v>
      </c>
      <c r="I4098" t="s">
        <v>2342</v>
      </c>
      <c r="J4098" t="s">
        <v>43</v>
      </c>
      <c r="K4098" t="s">
        <v>43</v>
      </c>
      <c r="L4098" t="s">
        <v>43</v>
      </c>
      <c r="M4098" t="s">
        <v>43</v>
      </c>
      <c r="N4098" t="s">
        <v>45</v>
      </c>
      <c r="O4098" t="s">
        <v>43</v>
      </c>
      <c r="P4098" t="s">
        <v>43</v>
      </c>
      <c r="Q4098" t="s">
        <v>43</v>
      </c>
      <c r="R4098" t="s">
        <v>43</v>
      </c>
      <c r="S4098" t="s">
        <v>43</v>
      </c>
      <c r="T4098" t="s">
        <v>43</v>
      </c>
      <c r="U4098" t="s">
        <v>43</v>
      </c>
      <c r="V4098" t="s">
        <v>43</v>
      </c>
      <c r="W4098" t="s">
        <v>43</v>
      </c>
      <c r="X4098" t="s">
        <v>43</v>
      </c>
      <c r="Y4098" t="s">
        <v>43</v>
      </c>
      <c r="Z4098" t="s">
        <v>43</v>
      </c>
      <c r="AA4098" t="s">
        <v>43</v>
      </c>
      <c r="AB4098" t="s">
        <v>43</v>
      </c>
      <c r="AC4098" t="s">
        <v>43</v>
      </c>
      <c r="AD4098" t="s">
        <v>43</v>
      </c>
      <c r="AE4098" t="s">
        <v>43</v>
      </c>
      <c r="AF4098" t="s">
        <v>43</v>
      </c>
      <c r="AG4098" t="s">
        <v>43</v>
      </c>
      <c r="AH4098" t="s">
        <v>43</v>
      </c>
      <c r="AI4098" t="s">
        <v>43</v>
      </c>
      <c r="AJ4098" t="s">
        <v>43</v>
      </c>
      <c r="AK4098" t="s">
        <v>43</v>
      </c>
      <c r="AL4098" t="s">
        <v>43</v>
      </c>
      <c r="AM4098" t="s">
        <v>43</v>
      </c>
      <c r="AN4098" t="str">
        <f>HYPERLINK("https://www.google.com/maps?q=10.76305866,79.69435883","Open Location")</f>
        <v>Open Location</v>
      </c>
    </row>
    <row r="4099" spans="1:40" x14ac:dyDescent="0.3">
      <c r="A4099" s="1">
        <v>46210.524884259263</v>
      </c>
      <c r="B4099" t="s">
        <v>40</v>
      </c>
      <c r="C4099" t="s">
        <v>41</v>
      </c>
      <c r="D4099" s="1">
        <v>46210.52783564815</v>
      </c>
      <c r="E4099" t="s">
        <v>42</v>
      </c>
      <c r="F4099" t="s">
        <v>43</v>
      </c>
      <c r="G4099" t="s">
        <v>43</v>
      </c>
      <c r="H4099" t="s">
        <v>43</v>
      </c>
      <c r="I4099" t="s">
        <v>43</v>
      </c>
      <c r="J4099" t="s">
        <v>43</v>
      </c>
      <c r="K4099" t="s">
        <v>43</v>
      </c>
      <c r="L4099" t="s">
        <v>43</v>
      </c>
      <c r="M4099" t="s">
        <v>43</v>
      </c>
      <c r="N4099" t="s">
        <v>45</v>
      </c>
      <c r="O4099" t="s">
        <v>43</v>
      </c>
      <c r="P4099" t="s">
        <v>43</v>
      </c>
      <c r="Q4099" t="s">
        <v>43</v>
      </c>
      <c r="R4099" t="s">
        <v>43</v>
      </c>
      <c r="S4099" t="s">
        <v>43</v>
      </c>
      <c r="T4099" t="s">
        <v>43</v>
      </c>
      <c r="U4099" t="s">
        <v>43</v>
      </c>
      <c r="V4099" t="s">
        <v>43</v>
      </c>
      <c r="W4099" t="s">
        <v>43</v>
      </c>
      <c r="X4099" t="s">
        <v>43</v>
      </c>
      <c r="Y4099" t="s">
        <v>43</v>
      </c>
      <c r="Z4099" t="s">
        <v>43</v>
      </c>
      <c r="AA4099" t="s">
        <v>43</v>
      </c>
      <c r="AB4099" t="s">
        <v>43</v>
      </c>
      <c r="AC4099" t="s">
        <v>43</v>
      </c>
      <c r="AD4099" t="s">
        <v>43</v>
      </c>
      <c r="AE4099" t="s">
        <v>43</v>
      </c>
      <c r="AF4099" t="s">
        <v>43</v>
      </c>
      <c r="AG4099" t="s">
        <v>43</v>
      </c>
      <c r="AH4099" t="s">
        <v>43</v>
      </c>
      <c r="AI4099" t="s">
        <v>43</v>
      </c>
      <c r="AJ4099" t="s">
        <v>43</v>
      </c>
      <c r="AK4099" t="s">
        <v>43</v>
      </c>
      <c r="AL4099" t="s">
        <v>43</v>
      </c>
      <c r="AM4099" t="s">
        <v>43</v>
      </c>
      <c r="AN4099" t="s">
        <v>43</v>
      </c>
    </row>
    <row r="4100" spans="1:40" x14ac:dyDescent="0.3">
      <c r="A4100" s="1">
        <v>46210.524768518517</v>
      </c>
      <c r="B4100" t="s">
        <v>40</v>
      </c>
      <c r="C4100" t="s">
        <v>41</v>
      </c>
      <c r="D4100" s="1">
        <v>46210.527546296296</v>
      </c>
      <c r="E4100" t="s">
        <v>42</v>
      </c>
      <c r="F4100" t="s">
        <v>43</v>
      </c>
      <c r="G4100" t="s">
        <v>43</v>
      </c>
      <c r="H4100" t="s">
        <v>43</v>
      </c>
      <c r="I4100" t="s">
        <v>2257</v>
      </c>
      <c r="J4100" t="s">
        <v>43</v>
      </c>
      <c r="K4100" t="s">
        <v>43</v>
      </c>
      <c r="L4100" t="s">
        <v>43</v>
      </c>
      <c r="M4100" t="s">
        <v>43</v>
      </c>
      <c r="N4100" t="s">
        <v>45</v>
      </c>
      <c r="O4100" t="s">
        <v>43</v>
      </c>
      <c r="P4100" t="s">
        <v>43</v>
      </c>
      <c r="Q4100" t="s">
        <v>43</v>
      </c>
      <c r="R4100" t="s">
        <v>43</v>
      </c>
      <c r="S4100" t="s">
        <v>43</v>
      </c>
      <c r="T4100" t="s">
        <v>43</v>
      </c>
      <c r="U4100" t="s">
        <v>43</v>
      </c>
      <c r="V4100" t="s">
        <v>43</v>
      </c>
      <c r="W4100" t="s">
        <v>43</v>
      </c>
      <c r="X4100" t="s">
        <v>43</v>
      </c>
      <c r="Y4100" t="s">
        <v>43</v>
      </c>
      <c r="Z4100" t="s">
        <v>43</v>
      </c>
      <c r="AA4100" t="s">
        <v>43</v>
      </c>
      <c r="AB4100" t="s">
        <v>43</v>
      </c>
      <c r="AC4100" t="s">
        <v>43</v>
      </c>
      <c r="AD4100" t="s">
        <v>43</v>
      </c>
      <c r="AE4100" t="s">
        <v>43</v>
      </c>
      <c r="AF4100" t="s">
        <v>43</v>
      </c>
      <c r="AG4100" t="s">
        <v>43</v>
      </c>
      <c r="AH4100" t="s">
        <v>43</v>
      </c>
      <c r="AI4100" t="s">
        <v>43</v>
      </c>
      <c r="AJ4100" t="s">
        <v>43</v>
      </c>
      <c r="AK4100" t="s">
        <v>43</v>
      </c>
      <c r="AL4100" t="s">
        <v>43</v>
      </c>
      <c r="AM4100" t="s">
        <v>43</v>
      </c>
      <c r="AN4100" t="str">
        <f>HYPERLINK("https://www.google.com/maps?q=10.76306057,79.69436646","Open Location")</f>
        <v>Open Location</v>
      </c>
    </row>
    <row r="4101" spans="1:40" x14ac:dyDescent="0.3">
      <c r="A4101" s="1">
        <v>46210.524652777778</v>
      </c>
      <c r="B4101" t="s">
        <v>40</v>
      </c>
      <c r="C4101" t="s">
        <v>41</v>
      </c>
      <c r="D4101" s="1">
        <v>46210.527569444443</v>
      </c>
      <c r="E4101" t="s">
        <v>42</v>
      </c>
      <c r="F4101" t="s">
        <v>43</v>
      </c>
      <c r="G4101" t="s">
        <v>43</v>
      </c>
      <c r="H4101" t="s">
        <v>43</v>
      </c>
      <c r="I4101" t="s">
        <v>2307</v>
      </c>
      <c r="J4101" t="s">
        <v>43</v>
      </c>
      <c r="K4101" t="s">
        <v>43</v>
      </c>
      <c r="L4101" t="s">
        <v>43</v>
      </c>
      <c r="M4101" t="s">
        <v>43</v>
      </c>
      <c r="N4101" t="s">
        <v>45</v>
      </c>
      <c r="O4101" t="s">
        <v>43</v>
      </c>
      <c r="P4101" t="s">
        <v>43</v>
      </c>
      <c r="Q4101" t="s">
        <v>43</v>
      </c>
      <c r="R4101" t="s">
        <v>43</v>
      </c>
      <c r="S4101" t="s">
        <v>43</v>
      </c>
      <c r="T4101" t="s">
        <v>43</v>
      </c>
      <c r="U4101" t="s">
        <v>43</v>
      </c>
      <c r="V4101" t="s">
        <v>43</v>
      </c>
      <c r="W4101" t="s">
        <v>43</v>
      </c>
      <c r="X4101" t="s">
        <v>43</v>
      </c>
      <c r="Y4101" t="s">
        <v>43</v>
      </c>
      <c r="Z4101" t="s">
        <v>43</v>
      </c>
      <c r="AA4101" t="s">
        <v>43</v>
      </c>
      <c r="AB4101" t="s">
        <v>43</v>
      </c>
      <c r="AC4101" t="s">
        <v>43</v>
      </c>
      <c r="AD4101" t="s">
        <v>43</v>
      </c>
      <c r="AE4101" t="s">
        <v>43</v>
      </c>
      <c r="AF4101" t="s">
        <v>43</v>
      </c>
      <c r="AG4101" t="s">
        <v>43</v>
      </c>
      <c r="AH4101" t="s">
        <v>43</v>
      </c>
      <c r="AI4101" t="s">
        <v>43</v>
      </c>
      <c r="AJ4101" t="s">
        <v>43</v>
      </c>
      <c r="AK4101" t="s">
        <v>43</v>
      </c>
      <c r="AL4101" t="s">
        <v>43</v>
      </c>
      <c r="AM4101" t="s">
        <v>43</v>
      </c>
      <c r="AN4101" t="str">
        <f>HYPERLINK("https://www.google.com/maps?q=10.76305866,79.69436646","Open Location")</f>
        <v>Open Location</v>
      </c>
    </row>
    <row r="4102" spans="1:40" x14ac:dyDescent="0.3">
      <c r="A4102" s="1">
        <v>46210.524537037039</v>
      </c>
      <c r="B4102" t="s">
        <v>40</v>
      </c>
      <c r="C4102" t="s">
        <v>41</v>
      </c>
      <c r="D4102" s="1">
        <v>46210.527592592596</v>
      </c>
      <c r="E4102" t="s">
        <v>42</v>
      </c>
      <c r="F4102" t="s">
        <v>43</v>
      </c>
      <c r="G4102" t="s">
        <v>43</v>
      </c>
      <c r="H4102" t="s">
        <v>43</v>
      </c>
      <c r="I4102" t="s">
        <v>2263</v>
      </c>
      <c r="J4102" t="s">
        <v>43</v>
      </c>
      <c r="K4102" t="s">
        <v>43</v>
      </c>
      <c r="L4102" t="s">
        <v>43</v>
      </c>
      <c r="M4102" t="s">
        <v>43</v>
      </c>
      <c r="N4102" t="s">
        <v>45</v>
      </c>
      <c r="O4102" t="s">
        <v>43</v>
      </c>
      <c r="P4102" t="s">
        <v>43</v>
      </c>
      <c r="Q4102" t="s">
        <v>43</v>
      </c>
      <c r="R4102" t="s">
        <v>43</v>
      </c>
      <c r="S4102" t="s">
        <v>43</v>
      </c>
      <c r="T4102" t="s">
        <v>43</v>
      </c>
      <c r="U4102" t="s">
        <v>43</v>
      </c>
      <c r="V4102" t="s">
        <v>43</v>
      </c>
      <c r="W4102" t="s">
        <v>43</v>
      </c>
      <c r="X4102" t="s">
        <v>43</v>
      </c>
      <c r="Y4102" t="s">
        <v>43</v>
      </c>
      <c r="Z4102" t="s">
        <v>43</v>
      </c>
      <c r="AA4102" t="s">
        <v>43</v>
      </c>
      <c r="AB4102" t="s">
        <v>43</v>
      </c>
      <c r="AC4102" t="s">
        <v>43</v>
      </c>
      <c r="AD4102" t="s">
        <v>43</v>
      </c>
      <c r="AE4102" t="s">
        <v>43</v>
      </c>
      <c r="AF4102" t="s">
        <v>43</v>
      </c>
      <c r="AG4102" t="s">
        <v>43</v>
      </c>
      <c r="AH4102" t="s">
        <v>43</v>
      </c>
      <c r="AI4102" t="s">
        <v>43</v>
      </c>
      <c r="AJ4102" t="s">
        <v>43</v>
      </c>
      <c r="AK4102" t="s">
        <v>43</v>
      </c>
      <c r="AL4102" t="s">
        <v>43</v>
      </c>
      <c r="AM4102" t="s">
        <v>43</v>
      </c>
      <c r="AN4102" t="str">
        <f>HYPERLINK("https://www.google.com/maps?q=10.76305389,79.69435883","Open Location")</f>
        <v>Open Location</v>
      </c>
    </row>
    <row r="4103" spans="1:40" x14ac:dyDescent="0.3">
      <c r="A4103" s="1">
        <v>46210.524421296293</v>
      </c>
      <c r="B4103" t="s">
        <v>40</v>
      </c>
      <c r="C4103" t="s">
        <v>41</v>
      </c>
      <c r="D4103" s="1">
        <v>46210.527465277781</v>
      </c>
      <c r="E4103" t="s">
        <v>42</v>
      </c>
      <c r="F4103" t="s">
        <v>43</v>
      </c>
      <c r="G4103" t="s">
        <v>43</v>
      </c>
      <c r="H4103" t="s">
        <v>43</v>
      </c>
      <c r="I4103" t="s">
        <v>2342</v>
      </c>
      <c r="J4103" t="s">
        <v>43</v>
      </c>
      <c r="K4103" t="s">
        <v>43</v>
      </c>
      <c r="L4103" t="s">
        <v>43</v>
      </c>
      <c r="M4103" t="s">
        <v>43</v>
      </c>
      <c r="N4103" t="s">
        <v>45</v>
      </c>
      <c r="O4103" t="s">
        <v>43</v>
      </c>
      <c r="P4103" t="s">
        <v>43</v>
      </c>
      <c r="Q4103" t="s">
        <v>43</v>
      </c>
      <c r="R4103" t="s">
        <v>43</v>
      </c>
      <c r="S4103" t="s">
        <v>43</v>
      </c>
      <c r="T4103" t="s">
        <v>43</v>
      </c>
      <c r="U4103" t="s">
        <v>43</v>
      </c>
      <c r="V4103" t="s">
        <v>43</v>
      </c>
      <c r="W4103" t="s">
        <v>43</v>
      </c>
      <c r="X4103" t="s">
        <v>43</v>
      </c>
      <c r="Y4103" t="s">
        <v>43</v>
      </c>
      <c r="Z4103" t="s">
        <v>43</v>
      </c>
      <c r="AA4103" t="s">
        <v>43</v>
      </c>
      <c r="AB4103" t="s">
        <v>43</v>
      </c>
      <c r="AC4103" t="s">
        <v>43</v>
      </c>
      <c r="AD4103" t="s">
        <v>43</v>
      </c>
      <c r="AE4103" t="s">
        <v>43</v>
      </c>
      <c r="AF4103" t="s">
        <v>43</v>
      </c>
      <c r="AG4103" t="s">
        <v>43</v>
      </c>
      <c r="AH4103" t="s">
        <v>43</v>
      </c>
      <c r="AI4103" t="s">
        <v>43</v>
      </c>
      <c r="AJ4103" t="s">
        <v>43</v>
      </c>
      <c r="AK4103" t="s">
        <v>43</v>
      </c>
      <c r="AL4103" t="s">
        <v>43</v>
      </c>
      <c r="AM4103" t="s">
        <v>43</v>
      </c>
      <c r="AN4103" t="str">
        <f>HYPERLINK("https://www.google.com/maps?q=10.76305866,79.69435883","Open Location")</f>
        <v>Open Location</v>
      </c>
    </row>
    <row r="4104" spans="1:40" x14ac:dyDescent="0.3">
      <c r="A4104" s="1">
        <v>46210.524305555555</v>
      </c>
      <c r="B4104" t="s">
        <v>40</v>
      </c>
      <c r="C4104" t="s">
        <v>41</v>
      </c>
      <c r="D4104" s="1">
        <v>46210.527314814812</v>
      </c>
      <c r="E4104" t="s">
        <v>42</v>
      </c>
      <c r="F4104" t="s">
        <v>43</v>
      </c>
      <c r="G4104" t="s">
        <v>43</v>
      </c>
      <c r="H4104" t="s">
        <v>43</v>
      </c>
      <c r="I4104" t="s">
        <v>2343</v>
      </c>
      <c r="J4104" t="s">
        <v>43</v>
      </c>
      <c r="K4104" t="s">
        <v>43</v>
      </c>
      <c r="L4104" t="s">
        <v>43</v>
      </c>
      <c r="M4104" t="s">
        <v>43</v>
      </c>
      <c r="N4104" t="s">
        <v>45</v>
      </c>
      <c r="O4104" t="s">
        <v>43</v>
      </c>
      <c r="P4104" t="s">
        <v>43</v>
      </c>
      <c r="Q4104" t="s">
        <v>43</v>
      </c>
      <c r="R4104" t="s">
        <v>43</v>
      </c>
      <c r="S4104" t="s">
        <v>43</v>
      </c>
      <c r="T4104" t="s">
        <v>43</v>
      </c>
      <c r="U4104" t="s">
        <v>43</v>
      </c>
      <c r="V4104" t="s">
        <v>43</v>
      </c>
      <c r="W4104" t="s">
        <v>43</v>
      </c>
      <c r="X4104" t="s">
        <v>43</v>
      </c>
      <c r="Y4104" t="s">
        <v>43</v>
      </c>
      <c r="Z4104" t="s">
        <v>43</v>
      </c>
      <c r="AA4104" t="s">
        <v>43</v>
      </c>
      <c r="AB4104" t="s">
        <v>43</v>
      </c>
      <c r="AC4104" t="s">
        <v>43</v>
      </c>
      <c r="AD4104" t="s">
        <v>43</v>
      </c>
      <c r="AE4104" t="s">
        <v>43</v>
      </c>
      <c r="AF4104" t="s">
        <v>43</v>
      </c>
      <c r="AG4104" t="s">
        <v>43</v>
      </c>
      <c r="AH4104" t="s">
        <v>43</v>
      </c>
      <c r="AI4104" t="s">
        <v>43</v>
      </c>
      <c r="AJ4104" t="s">
        <v>43</v>
      </c>
      <c r="AK4104" t="s">
        <v>43</v>
      </c>
      <c r="AL4104" t="s">
        <v>43</v>
      </c>
      <c r="AM4104" t="s">
        <v>43</v>
      </c>
      <c r="AN4104" t="str">
        <f>HYPERLINK("https://www.google.com/maps?q=10.76305389,79.6943512","Open Location")</f>
        <v>Open Location</v>
      </c>
    </row>
    <row r="4105" spans="1:40" x14ac:dyDescent="0.3">
      <c r="A4105" s="1">
        <v>46210.524189814816</v>
      </c>
      <c r="B4105" t="s">
        <v>40</v>
      </c>
      <c r="C4105" t="s">
        <v>41</v>
      </c>
      <c r="D4105" s="1">
        <v>46210.52721064815</v>
      </c>
      <c r="E4105" t="s">
        <v>42</v>
      </c>
      <c r="F4105" t="s">
        <v>43</v>
      </c>
      <c r="G4105" t="s">
        <v>43</v>
      </c>
      <c r="H4105" t="s">
        <v>43</v>
      </c>
      <c r="I4105" t="s">
        <v>43</v>
      </c>
      <c r="J4105" t="s">
        <v>43</v>
      </c>
      <c r="K4105" t="s">
        <v>43</v>
      </c>
      <c r="L4105" t="s">
        <v>43</v>
      </c>
      <c r="M4105" t="s">
        <v>43</v>
      </c>
      <c r="N4105" t="s">
        <v>45</v>
      </c>
      <c r="O4105" t="s">
        <v>43</v>
      </c>
      <c r="P4105" t="s">
        <v>43</v>
      </c>
      <c r="Q4105" t="s">
        <v>43</v>
      </c>
      <c r="R4105" t="s">
        <v>43</v>
      </c>
      <c r="S4105" t="s">
        <v>43</v>
      </c>
      <c r="T4105" t="s">
        <v>43</v>
      </c>
      <c r="U4105" t="s">
        <v>43</v>
      </c>
      <c r="V4105" t="s">
        <v>43</v>
      </c>
      <c r="W4105" t="s">
        <v>43</v>
      </c>
      <c r="X4105" t="s">
        <v>43</v>
      </c>
      <c r="Y4105" t="s">
        <v>43</v>
      </c>
      <c r="Z4105" t="s">
        <v>43</v>
      </c>
      <c r="AA4105" t="s">
        <v>43</v>
      </c>
      <c r="AB4105" t="s">
        <v>43</v>
      </c>
      <c r="AC4105" t="s">
        <v>43</v>
      </c>
      <c r="AD4105" t="s">
        <v>43</v>
      </c>
      <c r="AE4105" t="s">
        <v>43</v>
      </c>
      <c r="AF4105" t="s">
        <v>43</v>
      </c>
      <c r="AG4105" t="s">
        <v>43</v>
      </c>
      <c r="AH4105" t="s">
        <v>43</v>
      </c>
      <c r="AI4105" t="s">
        <v>43</v>
      </c>
      <c r="AJ4105" t="s">
        <v>43</v>
      </c>
      <c r="AK4105" t="s">
        <v>43</v>
      </c>
      <c r="AL4105" t="s">
        <v>43</v>
      </c>
      <c r="AM4105" t="s">
        <v>43</v>
      </c>
      <c r="AN4105" t="s">
        <v>43</v>
      </c>
    </row>
    <row r="4106" spans="1:40" x14ac:dyDescent="0.3">
      <c r="A4106" s="1">
        <v>46210.524074074077</v>
      </c>
      <c r="B4106" t="s">
        <v>40</v>
      </c>
      <c r="C4106" t="s">
        <v>41</v>
      </c>
      <c r="D4106" s="1">
        <v>46210.526967592596</v>
      </c>
      <c r="E4106" t="s">
        <v>42</v>
      </c>
      <c r="F4106" t="s">
        <v>43</v>
      </c>
      <c r="G4106" t="s">
        <v>43</v>
      </c>
      <c r="H4106" t="s">
        <v>43</v>
      </c>
      <c r="I4106" t="s">
        <v>2259</v>
      </c>
      <c r="J4106" t="s">
        <v>43</v>
      </c>
      <c r="K4106" t="s">
        <v>43</v>
      </c>
      <c r="L4106" t="s">
        <v>43</v>
      </c>
      <c r="M4106" t="s">
        <v>43</v>
      </c>
      <c r="N4106" t="s">
        <v>45</v>
      </c>
      <c r="O4106" t="s">
        <v>43</v>
      </c>
      <c r="P4106" t="s">
        <v>43</v>
      </c>
      <c r="Q4106" t="s">
        <v>43</v>
      </c>
      <c r="R4106" t="s">
        <v>43</v>
      </c>
      <c r="S4106" t="s">
        <v>43</v>
      </c>
      <c r="T4106" t="s">
        <v>43</v>
      </c>
      <c r="U4106" t="s">
        <v>43</v>
      </c>
      <c r="V4106" t="s">
        <v>43</v>
      </c>
      <c r="W4106" t="s">
        <v>43</v>
      </c>
      <c r="X4106" t="s">
        <v>43</v>
      </c>
      <c r="Y4106" t="s">
        <v>43</v>
      </c>
      <c r="Z4106" t="s">
        <v>43</v>
      </c>
      <c r="AA4106" t="s">
        <v>43</v>
      </c>
      <c r="AB4106" t="s">
        <v>43</v>
      </c>
      <c r="AC4106" t="s">
        <v>43</v>
      </c>
      <c r="AD4106" t="s">
        <v>43</v>
      </c>
      <c r="AE4106" t="s">
        <v>43</v>
      </c>
      <c r="AF4106" t="s">
        <v>43</v>
      </c>
      <c r="AG4106" t="s">
        <v>43</v>
      </c>
      <c r="AH4106" t="s">
        <v>43</v>
      </c>
      <c r="AI4106" t="s">
        <v>43</v>
      </c>
      <c r="AJ4106" t="s">
        <v>43</v>
      </c>
      <c r="AK4106" t="s">
        <v>43</v>
      </c>
      <c r="AL4106" t="s">
        <v>43</v>
      </c>
      <c r="AM4106" t="s">
        <v>43</v>
      </c>
      <c r="AN4106" t="str">
        <f>HYPERLINK("https://www.google.com/maps?q=10.76305485,79.6943512","Open Location")</f>
        <v>Open Location</v>
      </c>
    </row>
    <row r="4107" spans="1:40" x14ac:dyDescent="0.3">
      <c r="A4107" s="1">
        <v>46210.523958333331</v>
      </c>
      <c r="B4107" t="s">
        <v>40</v>
      </c>
      <c r="C4107" t="s">
        <v>41</v>
      </c>
      <c r="D4107" s="1">
        <v>46210.526759259257</v>
      </c>
      <c r="E4107" t="s">
        <v>42</v>
      </c>
      <c r="F4107" t="s">
        <v>43</v>
      </c>
      <c r="G4107" t="s">
        <v>43</v>
      </c>
      <c r="H4107" t="s">
        <v>43</v>
      </c>
      <c r="I4107" t="s">
        <v>2259</v>
      </c>
      <c r="J4107" t="s">
        <v>43</v>
      </c>
      <c r="K4107" t="s">
        <v>43</v>
      </c>
      <c r="L4107" t="s">
        <v>43</v>
      </c>
      <c r="M4107" t="s">
        <v>43</v>
      </c>
      <c r="N4107" t="s">
        <v>45</v>
      </c>
      <c r="O4107" t="s">
        <v>43</v>
      </c>
      <c r="P4107" t="s">
        <v>43</v>
      </c>
      <c r="Q4107" t="s">
        <v>43</v>
      </c>
      <c r="R4107" t="s">
        <v>43</v>
      </c>
      <c r="S4107" t="s">
        <v>43</v>
      </c>
      <c r="T4107" t="s">
        <v>43</v>
      </c>
      <c r="U4107" t="s">
        <v>43</v>
      </c>
      <c r="V4107" t="s">
        <v>43</v>
      </c>
      <c r="W4107" t="s">
        <v>43</v>
      </c>
      <c r="X4107" t="s">
        <v>43</v>
      </c>
      <c r="Y4107" t="s">
        <v>43</v>
      </c>
      <c r="Z4107" t="s">
        <v>43</v>
      </c>
      <c r="AA4107" t="s">
        <v>43</v>
      </c>
      <c r="AB4107" t="s">
        <v>43</v>
      </c>
      <c r="AC4107" t="s">
        <v>43</v>
      </c>
      <c r="AD4107" t="s">
        <v>43</v>
      </c>
      <c r="AE4107" t="s">
        <v>43</v>
      </c>
      <c r="AF4107" t="s">
        <v>43</v>
      </c>
      <c r="AG4107" t="s">
        <v>43</v>
      </c>
      <c r="AH4107" t="s">
        <v>43</v>
      </c>
      <c r="AI4107" t="s">
        <v>43</v>
      </c>
      <c r="AJ4107" t="s">
        <v>43</v>
      </c>
      <c r="AK4107" t="s">
        <v>43</v>
      </c>
      <c r="AL4107" t="s">
        <v>43</v>
      </c>
      <c r="AM4107" t="s">
        <v>43</v>
      </c>
      <c r="AN4107" t="str">
        <f>HYPERLINK("https://www.google.com/maps?q=10.76305485,79.6943512","Open Location")</f>
        <v>Open Location</v>
      </c>
    </row>
    <row r="4108" spans="1:40" x14ac:dyDescent="0.3">
      <c r="A4108" s="1">
        <v>46210.523842592593</v>
      </c>
      <c r="B4108" t="s">
        <v>40</v>
      </c>
      <c r="C4108" t="s">
        <v>41</v>
      </c>
      <c r="D4108" s="1">
        <v>46210.526886574073</v>
      </c>
      <c r="E4108" t="s">
        <v>42</v>
      </c>
      <c r="F4108" t="s">
        <v>43</v>
      </c>
      <c r="G4108" t="s">
        <v>43</v>
      </c>
      <c r="H4108" t="s">
        <v>43</v>
      </c>
      <c r="I4108" t="s">
        <v>2343</v>
      </c>
      <c r="J4108" t="s">
        <v>43</v>
      </c>
      <c r="K4108" t="s">
        <v>43</v>
      </c>
      <c r="L4108" t="s">
        <v>43</v>
      </c>
      <c r="M4108" t="s">
        <v>43</v>
      </c>
      <c r="N4108" t="s">
        <v>45</v>
      </c>
      <c r="O4108" t="s">
        <v>43</v>
      </c>
      <c r="P4108" t="s">
        <v>43</v>
      </c>
      <c r="Q4108" t="s">
        <v>43</v>
      </c>
      <c r="R4108" t="s">
        <v>43</v>
      </c>
      <c r="S4108" t="s">
        <v>43</v>
      </c>
      <c r="T4108" t="s">
        <v>43</v>
      </c>
      <c r="U4108" t="s">
        <v>43</v>
      </c>
      <c r="V4108" t="s">
        <v>43</v>
      </c>
      <c r="W4108" t="s">
        <v>43</v>
      </c>
      <c r="X4108" t="s">
        <v>43</v>
      </c>
      <c r="Y4108" t="s">
        <v>43</v>
      </c>
      <c r="Z4108" t="s">
        <v>43</v>
      </c>
      <c r="AA4108" t="s">
        <v>43</v>
      </c>
      <c r="AB4108" t="s">
        <v>43</v>
      </c>
      <c r="AC4108" t="s">
        <v>43</v>
      </c>
      <c r="AD4108" t="s">
        <v>43</v>
      </c>
      <c r="AE4108" t="s">
        <v>43</v>
      </c>
      <c r="AF4108" t="s">
        <v>43</v>
      </c>
      <c r="AG4108" t="s">
        <v>43</v>
      </c>
      <c r="AH4108" t="s">
        <v>43</v>
      </c>
      <c r="AI4108" t="s">
        <v>43</v>
      </c>
      <c r="AJ4108" t="s">
        <v>43</v>
      </c>
      <c r="AK4108" t="s">
        <v>43</v>
      </c>
      <c r="AL4108" t="s">
        <v>43</v>
      </c>
      <c r="AM4108" t="s">
        <v>43</v>
      </c>
      <c r="AN4108" t="str">
        <f>HYPERLINK("https://www.google.com/maps?q=10.76305389,79.6943512","Open Location")</f>
        <v>Open Location</v>
      </c>
    </row>
    <row r="4109" spans="1:40" x14ac:dyDescent="0.3">
      <c r="A4109" s="1">
        <v>46210.523726851854</v>
      </c>
      <c r="B4109" t="s">
        <v>40</v>
      </c>
      <c r="C4109" t="s">
        <v>41</v>
      </c>
      <c r="D4109" s="1">
        <v>46210.527199074073</v>
      </c>
      <c r="E4109" t="s">
        <v>42</v>
      </c>
      <c r="F4109" t="s">
        <v>43</v>
      </c>
      <c r="G4109" t="s">
        <v>43</v>
      </c>
      <c r="H4109" t="s">
        <v>43</v>
      </c>
      <c r="I4109" t="s">
        <v>2344</v>
      </c>
      <c r="J4109" t="s">
        <v>43</v>
      </c>
      <c r="K4109" t="s">
        <v>43</v>
      </c>
      <c r="L4109" t="s">
        <v>43</v>
      </c>
      <c r="M4109" t="s">
        <v>43</v>
      </c>
      <c r="N4109" t="s">
        <v>45</v>
      </c>
      <c r="O4109" t="s">
        <v>43</v>
      </c>
      <c r="P4109" t="s">
        <v>43</v>
      </c>
      <c r="Q4109" t="s">
        <v>43</v>
      </c>
      <c r="R4109" t="s">
        <v>43</v>
      </c>
      <c r="S4109" t="s">
        <v>43</v>
      </c>
      <c r="T4109" t="s">
        <v>43</v>
      </c>
      <c r="U4109" t="s">
        <v>43</v>
      </c>
      <c r="V4109" t="s">
        <v>43</v>
      </c>
      <c r="W4109" t="s">
        <v>43</v>
      </c>
      <c r="X4109" t="s">
        <v>43</v>
      </c>
      <c r="Y4109" t="s">
        <v>43</v>
      </c>
      <c r="Z4109" t="s">
        <v>43</v>
      </c>
      <c r="AA4109" t="s">
        <v>43</v>
      </c>
      <c r="AB4109" t="s">
        <v>43</v>
      </c>
      <c r="AC4109" t="s">
        <v>43</v>
      </c>
      <c r="AD4109" t="s">
        <v>43</v>
      </c>
      <c r="AE4109" t="s">
        <v>43</v>
      </c>
      <c r="AF4109" t="s">
        <v>43</v>
      </c>
      <c r="AG4109" t="s">
        <v>43</v>
      </c>
      <c r="AH4109" t="s">
        <v>43</v>
      </c>
      <c r="AI4109" t="s">
        <v>43</v>
      </c>
      <c r="AJ4109" t="s">
        <v>43</v>
      </c>
      <c r="AK4109" t="s">
        <v>43</v>
      </c>
      <c r="AL4109" t="s">
        <v>43</v>
      </c>
      <c r="AM4109" t="s">
        <v>43</v>
      </c>
      <c r="AN4109" t="str">
        <f>HYPERLINK("https://www.google.com/maps?q=10.7630558,79.69434357","Open Location")</f>
        <v>Open Location</v>
      </c>
    </row>
    <row r="4110" spans="1:40" x14ac:dyDescent="0.3">
      <c r="A4110" s="1">
        <v>46210.523611111108</v>
      </c>
      <c r="B4110" t="s">
        <v>40</v>
      </c>
      <c r="C4110" t="s">
        <v>41</v>
      </c>
      <c r="D4110" s="1">
        <v>46210.526620370372</v>
      </c>
      <c r="E4110" t="s">
        <v>42</v>
      </c>
      <c r="F4110" t="s">
        <v>43</v>
      </c>
      <c r="G4110" t="s">
        <v>43</v>
      </c>
      <c r="H4110" t="s">
        <v>43</v>
      </c>
      <c r="I4110" t="s">
        <v>43</v>
      </c>
      <c r="J4110" t="s">
        <v>43</v>
      </c>
      <c r="K4110" t="s">
        <v>43</v>
      </c>
      <c r="L4110" t="s">
        <v>43</v>
      </c>
      <c r="M4110" t="s">
        <v>43</v>
      </c>
      <c r="N4110" t="s">
        <v>45</v>
      </c>
      <c r="O4110" t="s">
        <v>43</v>
      </c>
      <c r="P4110" t="s">
        <v>43</v>
      </c>
      <c r="Q4110" t="s">
        <v>43</v>
      </c>
      <c r="R4110" t="s">
        <v>43</v>
      </c>
      <c r="S4110" t="s">
        <v>43</v>
      </c>
      <c r="T4110" t="s">
        <v>43</v>
      </c>
      <c r="U4110" t="s">
        <v>43</v>
      </c>
      <c r="V4110" t="s">
        <v>43</v>
      </c>
      <c r="W4110" t="s">
        <v>43</v>
      </c>
      <c r="X4110" t="s">
        <v>43</v>
      </c>
      <c r="Y4110" t="s">
        <v>43</v>
      </c>
      <c r="Z4110" t="s">
        <v>43</v>
      </c>
      <c r="AA4110" t="s">
        <v>43</v>
      </c>
      <c r="AB4110" t="s">
        <v>43</v>
      </c>
      <c r="AC4110" t="s">
        <v>43</v>
      </c>
      <c r="AD4110" t="s">
        <v>43</v>
      </c>
      <c r="AE4110" t="s">
        <v>43</v>
      </c>
      <c r="AF4110" t="s">
        <v>43</v>
      </c>
      <c r="AG4110" t="s">
        <v>43</v>
      </c>
      <c r="AH4110" t="s">
        <v>43</v>
      </c>
      <c r="AI4110" t="s">
        <v>43</v>
      </c>
      <c r="AJ4110" t="s">
        <v>43</v>
      </c>
      <c r="AK4110" t="s">
        <v>43</v>
      </c>
      <c r="AL4110" t="s">
        <v>43</v>
      </c>
      <c r="AM4110" t="s">
        <v>43</v>
      </c>
      <c r="AN4110" t="s">
        <v>43</v>
      </c>
    </row>
    <row r="4111" spans="1:40" x14ac:dyDescent="0.3">
      <c r="A4111" s="1">
        <v>46210.523495370369</v>
      </c>
      <c r="B4111" t="s">
        <v>40</v>
      </c>
      <c r="C4111" t="s">
        <v>41</v>
      </c>
      <c r="D4111" s="1">
        <v>46210.526388888888</v>
      </c>
      <c r="E4111" t="s">
        <v>42</v>
      </c>
      <c r="F4111" t="s">
        <v>43</v>
      </c>
      <c r="G4111" t="s">
        <v>43</v>
      </c>
      <c r="H4111" t="s">
        <v>43</v>
      </c>
      <c r="I4111" t="s">
        <v>2345</v>
      </c>
      <c r="J4111" t="s">
        <v>43</v>
      </c>
      <c r="K4111" t="s">
        <v>43</v>
      </c>
      <c r="L4111" t="s">
        <v>43</v>
      </c>
      <c r="M4111" t="s">
        <v>43</v>
      </c>
      <c r="N4111" t="s">
        <v>45</v>
      </c>
      <c r="O4111" t="s">
        <v>43</v>
      </c>
      <c r="P4111" t="s">
        <v>43</v>
      </c>
      <c r="Q4111" t="s">
        <v>43</v>
      </c>
      <c r="R4111" t="s">
        <v>43</v>
      </c>
      <c r="S4111" t="s">
        <v>43</v>
      </c>
      <c r="T4111" t="s">
        <v>43</v>
      </c>
      <c r="U4111" t="s">
        <v>43</v>
      </c>
      <c r="V4111" t="s">
        <v>43</v>
      </c>
      <c r="W4111" t="s">
        <v>43</v>
      </c>
      <c r="X4111" t="s">
        <v>43</v>
      </c>
      <c r="Y4111" t="s">
        <v>43</v>
      </c>
      <c r="Z4111" t="s">
        <v>43</v>
      </c>
      <c r="AA4111" t="s">
        <v>43</v>
      </c>
      <c r="AB4111" t="s">
        <v>43</v>
      </c>
      <c r="AC4111" t="s">
        <v>43</v>
      </c>
      <c r="AD4111" t="s">
        <v>43</v>
      </c>
      <c r="AE4111" t="s">
        <v>43</v>
      </c>
      <c r="AF4111" t="s">
        <v>43</v>
      </c>
      <c r="AG4111" t="s">
        <v>43</v>
      </c>
      <c r="AH4111" t="s">
        <v>43</v>
      </c>
      <c r="AI4111" t="s">
        <v>43</v>
      </c>
      <c r="AJ4111" t="s">
        <v>43</v>
      </c>
      <c r="AK4111" t="s">
        <v>43</v>
      </c>
      <c r="AL4111" t="s">
        <v>43</v>
      </c>
      <c r="AM4111" t="s">
        <v>43</v>
      </c>
      <c r="AN4111" t="str">
        <f>HYPERLINK("https://www.google.com/maps?q=10.76305771,79.6943512","Open Location")</f>
        <v>Open Location</v>
      </c>
    </row>
    <row r="4112" spans="1:40" x14ac:dyDescent="0.3">
      <c r="A4112" s="1">
        <v>46210.523379629631</v>
      </c>
      <c r="B4112" t="s">
        <v>40</v>
      </c>
      <c r="C4112" t="s">
        <v>41</v>
      </c>
      <c r="D4112" s="1">
        <v>46210.52621527778</v>
      </c>
      <c r="E4112" t="s">
        <v>42</v>
      </c>
      <c r="F4112" t="s">
        <v>43</v>
      </c>
      <c r="G4112" t="s">
        <v>43</v>
      </c>
      <c r="H4112" t="s">
        <v>43</v>
      </c>
      <c r="I4112" t="s">
        <v>2346</v>
      </c>
      <c r="J4112" t="s">
        <v>43</v>
      </c>
      <c r="K4112" t="s">
        <v>43</v>
      </c>
      <c r="L4112" t="s">
        <v>43</v>
      </c>
      <c r="M4112" t="s">
        <v>43</v>
      </c>
      <c r="N4112" t="s">
        <v>45</v>
      </c>
      <c r="O4112" t="s">
        <v>43</v>
      </c>
      <c r="P4112" t="s">
        <v>43</v>
      </c>
      <c r="Q4112" t="s">
        <v>43</v>
      </c>
      <c r="R4112" t="s">
        <v>43</v>
      </c>
      <c r="S4112" t="s">
        <v>43</v>
      </c>
      <c r="T4112" t="s">
        <v>43</v>
      </c>
      <c r="U4112" t="s">
        <v>43</v>
      </c>
      <c r="V4112" t="s">
        <v>43</v>
      </c>
      <c r="W4112" t="s">
        <v>43</v>
      </c>
      <c r="X4112" t="s">
        <v>43</v>
      </c>
      <c r="Y4112" t="s">
        <v>43</v>
      </c>
      <c r="Z4112" t="s">
        <v>43</v>
      </c>
      <c r="AA4112" t="s">
        <v>43</v>
      </c>
      <c r="AB4112" t="s">
        <v>43</v>
      </c>
      <c r="AC4112" t="s">
        <v>43</v>
      </c>
      <c r="AD4112" t="s">
        <v>43</v>
      </c>
      <c r="AE4112" t="s">
        <v>43</v>
      </c>
      <c r="AF4112" t="s">
        <v>43</v>
      </c>
      <c r="AG4112" t="s">
        <v>43</v>
      </c>
      <c r="AH4112" t="s">
        <v>43</v>
      </c>
      <c r="AI4112" t="s">
        <v>43</v>
      </c>
      <c r="AJ4112" t="s">
        <v>43</v>
      </c>
      <c r="AK4112" t="s">
        <v>43</v>
      </c>
      <c r="AL4112" t="s">
        <v>43</v>
      </c>
      <c r="AM4112" t="s">
        <v>43</v>
      </c>
      <c r="AN4112" t="str">
        <f>HYPERLINK("https://www.google.com/maps?q=10.76305866,79.6943512","Open Location")</f>
        <v>Open Location</v>
      </c>
    </row>
    <row r="4113" spans="1:40" x14ac:dyDescent="0.3">
      <c r="A4113" s="1">
        <v>46210.523263888892</v>
      </c>
      <c r="B4113" t="s">
        <v>40</v>
      </c>
      <c r="C4113" t="s">
        <v>41</v>
      </c>
      <c r="D4113" s="1">
        <v>46210.526238425926</v>
      </c>
      <c r="E4113" t="s">
        <v>42</v>
      </c>
      <c r="F4113" t="s">
        <v>43</v>
      </c>
      <c r="G4113" t="s">
        <v>43</v>
      </c>
      <c r="H4113" t="s">
        <v>43</v>
      </c>
      <c r="I4113" t="s">
        <v>2347</v>
      </c>
      <c r="J4113" t="s">
        <v>43</v>
      </c>
      <c r="K4113" t="s">
        <v>43</v>
      </c>
      <c r="L4113" t="s">
        <v>43</v>
      </c>
      <c r="M4113" t="s">
        <v>43</v>
      </c>
      <c r="N4113" t="s">
        <v>45</v>
      </c>
      <c r="O4113" t="s">
        <v>43</v>
      </c>
      <c r="P4113" t="s">
        <v>43</v>
      </c>
      <c r="Q4113" t="s">
        <v>43</v>
      </c>
      <c r="R4113" t="s">
        <v>43</v>
      </c>
      <c r="S4113" t="s">
        <v>43</v>
      </c>
      <c r="T4113" t="s">
        <v>43</v>
      </c>
      <c r="U4113" t="s">
        <v>43</v>
      </c>
      <c r="V4113" t="s">
        <v>43</v>
      </c>
      <c r="W4113" t="s">
        <v>43</v>
      </c>
      <c r="X4113" t="s">
        <v>43</v>
      </c>
      <c r="Y4113" t="s">
        <v>43</v>
      </c>
      <c r="Z4113" t="s">
        <v>43</v>
      </c>
      <c r="AA4113" t="s">
        <v>43</v>
      </c>
      <c r="AB4113" t="s">
        <v>43</v>
      </c>
      <c r="AC4113" t="s">
        <v>43</v>
      </c>
      <c r="AD4113" t="s">
        <v>43</v>
      </c>
      <c r="AE4113" t="s">
        <v>43</v>
      </c>
      <c r="AF4113" t="s">
        <v>43</v>
      </c>
      <c r="AG4113" t="s">
        <v>43</v>
      </c>
      <c r="AH4113" t="s">
        <v>43</v>
      </c>
      <c r="AI4113" t="s">
        <v>43</v>
      </c>
      <c r="AJ4113" t="s">
        <v>43</v>
      </c>
      <c r="AK4113" t="s">
        <v>43</v>
      </c>
      <c r="AL4113" t="s">
        <v>43</v>
      </c>
      <c r="AM4113" t="s">
        <v>43</v>
      </c>
      <c r="AN4113" t="str">
        <f>HYPERLINK("https://www.google.com/maps?q=10.76305676,79.6943512","Open Location")</f>
        <v>Open Location</v>
      </c>
    </row>
    <row r="4114" spans="1:40" x14ac:dyDescent="0.3">
      <c r="A4114" s="1">
        <v>46210.523148148146</v>
      </c>
      <c r="B4114" t="s">
        <v>40</v>
      </c>
      <c r="C4114" t="s">
        <v>41</v>
      </c>
      <c r="D4114" s="1">
        <v>46210.52611111111</v>
      </c>
      <c r="E4114" t="s">
        <v>42</v>
      </c>
      <c r="F4114" t="s">
        <v>43</v>
      </c>
      <c r="G4114" t="s">
        <v>43</v>
      </c>
      <c r="H4114" t="s">
        <v>43</v>
      </c>
      <c r="I4114" t="s">
        <v>2345</v>
      </c>
      <c r="J4114" t="s">
        <v>43</v>
      </c>
      <c r="K4114" t="s">
        <v>43</v>
      </c>
      <c r="L4114" t="s">
        <v>43</v>
      </c>
      <c r="M4114" t="s">
        <v>43</v>
      </c>
      <c r="N4114" t="s">
        <v>45</v>
      </c>
      <c r="O4114" t="s">
        <v>43</v>
      </c>
      <c r="P4114" t="s">
        <v>43</v>
      </c>
      <c r="Q4114" t="s">
        <v>43</v>
      </c>
      <c r="R4114" t="s">
        <v>43</v>
      </c>
      <c r="S4114" t="s">
        <v>43</v>
      </c>
      <c r="T4114" t="s">
        <v>43</v>
      </c>
      <c r="U4114" t="s">
        <v>43</v>
      </c>
      <c r="V4114" t="s">
        <v>43</v>
      </c>
      <c r="W4114" t="s">
        <v>43</v>
      </c>
      <c r="X4114" t="s">
        <v>43</v>
      </c>
      <c r="Y4114" t="s">
        <v>43</v>
      </c>
      <c r="Z4114" t="s">
        <v>43</v>
      </c>
      <c r="AA4114" t="s">
        <v>43</v>
      </c>
      <c r="AB4114" t="s">
        <v>43</v>
      </c>
      <c r="AC4114" t="s">
        <v>43</v>
      </c>
      <c r="AD4114" t="s">
        <v>43</v>
      </c>
      <c r="AE4114" t="s">
        <v>43</v>
      </c>
      <c r="AF4114" t="s">
        <v>43</v>
      </c>
      <c r="AG4114" t="s">
        <v>43</v>
      </c>
      <c r="AH4114" t="s">
        <v>43</v>
      </c>
      <c r="AI4114" t="s">
        <v>43</v>
      </c>
      <c r="AJ4114" t="s">
        <v>43</v>
      </c>
      <c r="AK4114" t="s">
        <v>43</v>
      </c>
      <c r="AL4114" t="s">
        <v>43</v>
      </c>
      <c r="AM4114" t="s">
        <v>43</v>
      </c>
      <c r="AN4114" t="str">
        <f>HYPERLINK("https://www.google.com/maps?q=10.76305771,79.6943512","Open Location")</f>
        <v>Open Location</v>
      </c>
    </row>
    <row r="4115" spans="1:40" x14ac:dyDescent="0.3">
      <c r="A4115" s="1">
        <v>46210.523032407407</v>
      </c>
      <c r="B4115" t="s">
        <v>40</v>
      </c>
      <c r="C4115" t="s">
        <v>41</v>
      </c>
      <c r="D4115" s="1">
        <v>46210.52611111111</v>
      </c>
      <c r="E4115" t="s">
        <v>42</v>
      </c>
      <c r="F4115" t="s">
        <v>43</v>
      </c>
      <c r="G4115" t="s">
        <v>43</v>
      </c>
      <c r="H4115" t="s">
        <v>43</v>
      </c>
      <c r="I4115" t="s">
        <v>2340</v>
      </c>
      <c r="J4115" t="s">
        <v>43</v>
      </c>
      <c r="K4115" t="s">
        <v>43</v>
      </c>
      <c r="L4115" t="s">
        <v>43</v>
      </c>
      <c r="M4115" t="s">
        <v>43</v>
      </c>
      <c r="N4115" t="s">
        <v>45</v>
      </c>
      <c r="O4115" t="s">
        <v>43</v>
      </c>
      <c r="P4115" t="s">
        <v>43</v>
      </c>
      <c r="Q4115" t="s">
        <v>43</v>
      </c>
      <c r="R4115" t="s">
        <v>43</v>
      </c>
      <c r="S4115" t="s">
        <v>43</v>
      </c>
      <c r="T4115" t="s">
        <v>43</v>
      </c>
      <c r="U4115" t="s">
        <v>43</v>
      </c>
      <c r="V4115" t="s">
        <v>43</v>
      </c>
      <c r="W4115" t="s">
        <v>43</v>
      </c>
      <c r="X4115" t="s">
        <v>43</v>
      </c>
      <c r="Y4115" t="s">
        <v>43</v>
      </c>
      <c r="Z4115" t="s">
        <v>43</v>
      </c>
      <c r="AA4115" t="s">
        <v>43</v>
      </c>
      <c r="AB4115" t="s">
        <v>43</v>
      </c>
      <c r="AC4115" t="s">
        <v>43</v>
      </c>
      <c r="AD4115" t="s">
        <v>43</v>
      </c>
      <c r="AE4115" t="s">
        <v>43</v>
      </c>
      <c r="AF4115" t="s">
        <v>43</v>
      </c>
      <c r="AG4115" t="s">
        <v>43</v>
      </c>
      <c r="AH4115" t="s">
        <v>43</v>
      </c>
      <c r="AI4115" t="s">
        <v>43</v>
      </c>
      <c r="AJ4115" t="s">
        <v>43</v>
      </c>
      <c r="AK4115" t="s">
        <v>43</v>
      </c>
      <c r="AL4115" t="s">
        <v>43</v>
      </c>
      <c r="AM4115" t="s">
        <v>43</v>
      </c>
      <c r="AN4115" t="str">
        <f>HYPERLINK("https://www.google.com/maps?q=10.76306057,79.69435883","Open Location")</f>
        <v>Open Location</v>
      </c>
    </row>
    <row r="4116" spans="1:40" x14ac:dyDescent="0.3">
      <c r="A4116" s="1">
        <v>46210.522916666669</v>
      </c>
      <c r="B4116" t="s">
        <v>40</v>
      </c>
      <c r="C4116" t="s">
        <v>41</v>
      </c>
      <c r="D4116" s="1">
        <v>46210.525682870371</v>
      </c>
      <c r="E4116" t="s">
        <v>42</v>
      </c>
      <c r="F4116" t="s">
        <v>43</v>
      </c>
      <c r="G4116" t="s">
        <v>43</v>
      </c>
      <c r="H4116" t="s">
        <v>43</v>
      </c>
      <c r="I4116" t="s">
        <v>43</v>
      </c>
      <c r="J4116" t="s">
        <v>43</v>
      </c>
      <c r="K4116" t="s">
        <v>43</v>
      </c>
      <c r="L4116" t="s">
        <v>43</v>
      </c>
      <c r="M4116" t="s">
        <v>43</v>
      </c>
      <c r="N4116" t="s">
        <v>45</v>
      </c>
      <c r="O4116" t="s">
        <v>43</v>
      </c>
      <c r="P4116" t="s">
        <v>43</v>
      </c>
      <c r="Q4116" t="s">
        <v>43</v>
      </c>
      <c r="R4116" t="s">
        <v>43</v>
      </c>
      <c r="S4116" t="s">
        <v>43</v>
      </c>
      <c r="T4116" t="s">
        <v>43</v>
      </c>
      <c r="U4116" t="s">
        <v>43</v>
      </c>
      <c r="V4116" t="s">
        <v>43</v>
      </c>
      <c r="W4116" t="s">
        <v>43</v>
      </c>
      <c r="X4116" t="s">
        <v>43</v>
      </c>
      <c r="Y4116" t="s">
        <v>43</v>
      </c>
      <c r="Z4116" t="s">
        <v>43</v>
      </c>
      <c r="AA4116" t="s">
        <v>43</v>
      </c>
      <c r="AB4116" t="s">
        <v>43</v>
      </c>
      <c r="AC4116" t="s">
        <v>43</v>
      </c>
      <c r="AD4116" t="s">
        <v>43</v>
      </c>
      <c r="AE4116" t="s">
        <v>43</v>
      </c>
      <c r="AF4116" t="s">
        <v>43</v>
      </c>
      <c r="AG4116" t="s">
        <v>43</v>
      </c>
      <c r="AH4116" t="s">
        <v>43</v>
      </c>
      <c r="AI4116" t="s">
        <v>43</v>
      </c>
      <c r="AJ4116" t="s">
        <v>43</v>
      </c>
      <c r="AK4116" t="s">
        <v>43</v>
      </c>
      <c r="AL4116" t="s">
        <v>43</v>
      </c>
      <c r="AM4116" t="s">
        <v>43</v>
      </c>
      <c r="AN4116" t="s">
        <v>43</v>
      </c>
    </row>
    <row r="4117" spans="1:40" x14ac:dyDescent="0.3">
      <c r="A4117" s="1">
        <v>46210.522800925923</v>
      </c>
      <c r="B4117" t="s">
        <v>40</v>
      </c>
      <c r="C4117" t="s">
        <v>41</v>
      </c>
      <c r="D4117" s="1">
        <v>46210.525682870371</v>
      </c>
      <c r="E4117" t="s">
        <v>42</v>
      </c>
      <c r="F4117" t="s">
        <v>43</v>
      </c>
      <c r="G4117" t="s">
        <v>43</v>
      </c>
      <c r="H4117" t="s">
        <v>43</v>
      </c>
      <c r="I4117" t="s">
        <v>2254</v>
      </c>
      <c r="J4117" t="s">
        <v>43</v>
      </c>
      <c r="K4117" t="s">
        <v>43</v>
      </c>
      <c r="L4117" t="s">
        <v>43</v>
      </c>
      <c r="M4117" t="s">
        <v>43</v>
      </c>
      <c r="N4117" t="s">
        <v>45</v>
      </c>
      <c r="O4117" t="s">
        <v>43</v>
      </c>
      <c r="P4117" t="s">
        <v>43</v>
      </c>
      <c r="Q4117" t="s">
        <v>43</v>
      </c>
      <c r="R4117" t="s">
        <v>43</v>
      </c>
      <c r="S4117" t="s">
        <v>43</v>
      </c>
      <c r="T4117" t="s">
        <v>43</v>
      </c>
      <c r="U4117" t="s">
        <v>43</v>
      </c>
      <c r="V4117" t="s">
        <v>43</v>
      </c>
      <c r="W4117" t="s">
        <v>43</v>
      </c>
      <c r="X4117" t="s">
        <v>43</v>
      </c>
      <c r="Y4117" t="s">
        <v>43</v>
      </c>
      <c r="Z4117" t="s">
        <v>43</v>
      </c>
      <c r="AA4117" t="s">
        <v>43</v>
      </c>
      <c r="AB4117" t="s">
        <v>43</v>
      </c>
      <c r="AC4117" t="s">
        <v>43</v>
      </c>
      <c r="AD4117" t="s">
        <v>43</v>
      </c>
      <c r="AE4117" t="s">
        <v>43</v>
      </c>
      <c r="AF4117" t="s">
        <v>43</v>
      </c>
      <c r="AG4117" t="s">
        <v>43</v>
      </c>
      <c r="AH4117" t="s">
        <v>43</v>
      </c>
      <c r="AI4117" t="s">
        <v>43</v>
      </c>
      <c r="AJ4117" t="s">
        <v>43</v>
      </c>
      <c r="AK4117" t="s">
        <v>43</v>
      </c>
      <c r="AL4117" t="s">
        <v>43</v>
      </c>
      <c r="AM4117" t="s">
        <v>43</v>
      </c>
      <c r="AN4117" t="str">
        <f>HYPERLINK("https://www.google.com/maps?q=10.7630682,79.69435883","Open Location")</f>
        <v>Open Location</v>
      </c>
    </row>
    <row r="4118" spans="1:40" x14ac:dyDescent="0.3">
      <c r="A4118" s="1">
        <v>46210.522685185184</v>
      </c>
      <c r="B4118" t="s">
        <v>40</v>
      </c>
      <c r="C4118" t="s">
        <v>41</v>
      </c>
      <c r="D4118" s="1">
        <v>46210.52547453704</v>
      </c>
      <c r="E4118" t="s">
        <v>42</v>
      </c>
      <c r="F4118" t="s">
        <v>43</v>
      </c>
      <c r="G4118" t="s">
        <v>43</v>
      </c>
      <c r="H4118" t="s">
        <v>43</v>
      </c>
      <c r="I4118" t="s">
        <v>2323</v>
      </c>
      <c r="J4118" t="s">
        <v>43</v>
      </c>
      <c r="K4118" t="s">
        <v>43</v>
      </c>
      <c r="L4118" t="s">
        <v>43</v>
      </c>
      <c r="M4118" t="s">
        <v>43</v>
      </c>
      <c r="N4118" t="s">
        <v>45</v>
      </c>
      <c r="O4118" t="s">
        <v>43</v>
      </c>
      <c r="P4118" t="s">
        <v>43</v>
      </c>
      <c r="Q4118" t="s">
        <v>43</v>
      </c>
      <c r="R4118" t="s">
        <v>43</v>
      </c>
      <c r="S4118" t="s">
        <v>43</v>
      </c>
      <c r="T4118" t="s">
        <v>43</v>
      </c>
      <c r="U4118" t="s">
        <v>43</v>
      </c>
      <c r="V4118" t="s">
        <v>43</v>
      </c>
      <c r="W4118" t="s">
        <v>43</v>
      </c>
      <c r="X4118" t="s">
        <v>43</v>
      </c>
      <c r="Y4118" t="s">
        <v>43</v>
      </c>
      <c r="Z4118" t="s">
        <v>43</v>
      </c>
      <c r="AA4118" t="s">
        <v>43</v>
      </c>
      <c r="AB4118" t="s">
        <v>43</v>
      </c>
      <c r="AC4118" t="s">
        <v>43</v>
      </c>
      <c r="AD4118" t="s">
        <v>43</v>
      </c>
      <c r="AE4118" t="s">
        <v>43</v>
      </c>
      <c r="AF4118" t="s">
        <v>43</v>
      </c>
      <c r="AG4118" t="s">
        <v>43</v>
      </c>
      <c r="AH4118" t="s">
        <v>43</v>
      </c>
      <c r="AI4118" t="s">
        <v>43</v>
      </c>
      <c r="AJ4118" t="s">
        <v>43</v>
      </c>
      <c r="AK4118" t="s">
        <v>43</v>
      </c>
      <c r="AL4118" t="s">
        <v>43</v>
      </c>
      <c r="AM4118" t="s">
        <v>43</v>
      </c>
      <c r="AN4118" t="str">
        <f>HYPERLINK("https://www.google.com/maps?q=10.76307201,79.69435883","Open Location")</f>
        <v>Open Location</v>
      </c>
    </row>
    <row r="4119" spans="1:40" x14ac:dyDescent="0.3">
      <c r="A4119" s="1">
        <v>46210.522569444445</v>
      </c>
      <c r="B4119" t="s">
        <v>40</v>
      </c>
      <c r="C4119" t="s">
        <v>41</v>
      </c>
      <c r="D4119" s="1">
        <v>46210.525625000002</v>
      </c>
      <c r="E4119" t="s">
        <v>42</v>
      </c>
      <c r="F4119" t="s">
        <v>43</v>
      </c>
      <c r="G4119" t="s">
        <v>43</v>
      </c>
      <c r="H4119" t="s">
        <v>43</v>
      </c>
      <c r="I4119" t="s">
        <v>2348</v>
      </c>
      <c r="J4119" t="s">
        <v>43</v>
      </c>
      <c r="K4119" t="s">
        <v>43</v>
      </c>
      <c r="L4119" t="s">
        <v>43</v>
      </c>
      <c r="M4119" t="s">
        <v>43</v>
      </c>
      <c r="N4119" t="s">
        <v>45</v>
      </c>
      <c r="O4119" t="s">
        <v>43</v>
      </c>
      <c r="P4119" t="s">
        <v>43</v>
      </c>
      <c r="Q4119" t="s">
        <v>43</v>
      </c>
      <c r="R4119" t="s">
        <v>43</v>
      </c>
      <c r="S4119" t="s">
        <v>43</v>
      </c>
      <c r="T4119" t="s">
        <v>43</v>
      </c>
      <c r="U4119" t="s">
        <v>43</v>
      </c>
      <c r="V4119" t="s">
        <v>43</v>
      </c>
      <c r="W4119" t="s">
        <v>43</v>
      </c>
      <c r="X4119" t="s">
        <v>43</v>
      </c>
      <c r="Y4119" t="s">
        <v>43</v>
      </c>
      <c r="Z4119" t="s">
        <v>43</v>
      </c>
      <c r="AA4119" t="s">
        <v>43</v>
      </c>
      <c r="AB4119" t="s">
        <v>43</v>
      </c>
      <c r="AC4119" t="s">
        <v>43</v>
      </c>
      <c r="AD4119" t="s">
        <v>43</v>
      </c>
      <c r="AE4119" t="s">
        <v>43</v>
      </c>
      <c r="AF4119" t="s">
        <v>43</v>
      </c>
      <c r="AG4119" t="s">
        <v>43</v>
      </c>
      <c r="AH4119" t="s">
        <v>43</v>
      </c>
      <c r="AI4119" t="s">
        <v>43</v>
      </c>
      <c r="AJ4119" t="s">
        <v>43</v>
      </c>
      <c r="AK4119" t="s">
        <v>43</v>
      </c>
      <c r="AL4119" t="s">
        <v>43</v>
      </c>
      <c r="AM4119" t="s">
        <v>43</v>
      </c>
      <c r="AN4119" t="str">
        <f>HYPERLINK("https://www.google.com/maps?q=10.76307583,79.69435883","Open Location")</f>
        <v>Open Location</v>
      </c>
    </row>
    <row r="4120" spans="1:40" x14ac:dyDescent="0.3">
      <c r="A4120" s="1">
        <v>46210.522453703707</v>
      </c>
      <c r="B4120" t="s">
        <v>40</v>
      </c>
      <c r="C4120" t="s">
        <v>41</v>
      </c>
      <c r="D4120" s="1">
        <v>46210.525567129633</v>
      </c>
      <c r="E4120" t="s">
        <v>42</v>
      </c>
      <c r="F4120" t="s">
        <v>43</v>
      </c>
      <c r="G4120" t="s">
        <v>43</v>
      </c>
      <c r="H4120" t="s">
        <v>43</v>
      </c>
      <c r="I4120" t="s">
        <v>2348</v>
      </c>
      <c r="J4120" t="s">
        <v>43</v>
      </c>
      <c r="K4120" t="s">
        <v>43</v>
      </c>
      <c r="L4120" t="s">
        <v>43</v>
      </c>
      <c r="M4120" t="s">
        <v>43</v>
      </c>
      <c r="N4120" t="s">
        <v>45</v>
      </c>
      <c r="O4120" t="s">
        <v>43</v>
      </c>
      <c r="P4120" t="s">
        <v>43</v>
      </c>
      <c r="Q4120" t="s">
        <v>43</v>
      </c>
      <c r="R4120" t="s">
        <v>43</v>
      </c>
      <c r="S4120" t="s">
        <v>43</v>
      </c>
      <c r="T4120" t="s">
        <v>43</v>
      </c>
      <c r="U4120" t="s">
        <v>43</v>
      </c>
      <c r="V4120" t="s">
        <v>43</v>
      </c>
      <c r="W4120" t="s">
        <v>43</v>
      </c>
      <c r="X4120" t="s">
        <v>43</v>
      </c>
      <c r="Y4120" t="s">
        <v>43</v>
      </c>
      <c r="Z4120" t="s">
        <v>43</v>
      </c>
      <c r="AA4120" t="s">
        <v>43</v>
      </c>
      <c r="AB4120" t="s">
        <v>43</v>
      </c>
      <c r="AC4120" t="s">
        <v>43</v>
      </c>
      <c r="AD4120" t="s">
        <v>43</v>
      </c>
      <c r="AE4120" t="s">
        <v>43</v>
      </c>
      <c r="AF4120" t="s">
        <v>43</v>
      </c>
      <c r="AG4120" t="s">
        <v>43</v>
      </c>
      <c r="AH4120" t="s">
        <v>43</v>
      </c>
      <c r="AI4120" t="s">
        <v>43</v>
      </c>
      <c r="AJ4120" t="s">
        <v>43</v>
      </c>
      <c r="AK4120" t="s">
        <v>43</v>
      </c>
      <c r="AL4120" t="s">
        <v>43</v>
      </c>
      <c r="AM4120" t="s">
        <v>43</v>
      </c>
      <c r="AN4120" t="str">
        <f>HYPERLINK("https://www.google.com/maps?q=10.76307583,79.69435883","Open Location")</f>
        <v>Open Location</v>
      </c>
    </row>
    <row r="4121" spans="1:40" x14ac:dyDescent="0.3">
      <c r="A4121" s="1">
        <v>46210.522337962961</v>
      </c>
      <c r="B4121" t="s">
        <v>40</v>
      </c>
      <c r="C4121" t="s">
        <v>41</v>
      </c>
      <c r="D4121" s="1">
        <v>46210.525289351855</v>
      </c>
      <c r="E4121" t="s">
        <v>42</v>
      </c>
      <c r="F4121" t="s">
        <v>43</v>
      </c>
      <c r="G4121" t="s">
        <v>43</v>
      </c>
      <c r="H4121" t="s">
        <v>43</v>
      </c>
      <c r="I4121" t="s">
        <v>2311</v>
      </c>
      <c r="J4121" t="s">
        <v>43</v>
      </c>
      <c r="K4121" t="s">
        <v>43</v>
      </c>
      <c r="L4121" t="s">
        <v>43</v>
      </c>
      <c r="M4121" t="s">
        <v>43</v>
      </c>
      <c r="N4121" t="s">
        <v>45</v>
      </c>
      <c r="O4121" t="s">
        <v>43</v>
      </c>
      <c r="P4121" t="s">
        <v>43</v>
      </c>
      <c r="Q4121" t="s">
        <v>43</v>
      </c>
      <c r="R4121" t="s">
        <v>43</v>
      </c>
      <c r="S4121" t="s">
        <v>43</v>
      </c>
      <c r="T4121" t="s">
        <v>43</v>
      </c>
      <c r="U4121" t="s">
        <v>43</v>
      </c>
      <c r="V4121" t="s">
        <v>43</v>
      </c>
      <c r="W4121" t="s">
        <v>43</v>
      </c>
      <c r="X4121" t="s">
        <v>43</v>
      </c>
      <c r="Y4121" t="s">
        <v>43</v>
      </c>
      <c r="Z4121" t="s">
        <v>43</v>
      </c>
      <c r="AA4121" t="s">
        <v>43</v>
      </c>
      <c r="AB4121" t="s">
        <v>43</v>
      </c>
      <c r="AC4121" t="s">
        <v>43</v>
      </c>
      <c r="AD4121" t="s">
        <v>43</v>
      </c>
      <c r="AE4121" t="s">
        <v>43</v>
      </c>
      <c r="AF4121" t="s">
        <v>43</v>
      </c>
      <c r="AG4121" t="s">
        <v>43</v>
      </c>
      <c r="AH4121" t="s">
        <v>43</v>
      </c>
      <c r="AI4121" t="s">
        <v>43</v>
      </c>
      <c r="AJ4121" t="s">
        <v>43</v>
      </c>
      <c r="AK4121" t="s">
        <v>43</v>
      </c>
      <c r="AL4121" t="s">
        <v>43</v>
      </c>
      <c r="AM4121" t="s">
        <v>43</v>
      </c>
      <c r="AN4121" t="str">
        <f>HYPERLINK("https://www.google.com/maps?q=10.76307011,79.6943512","Open Location")</f>
        <v>Open Location</v>
      </c>
    </row>
    <row r="4122" spans="1:40" x14ac:dyDescent="0.3">
      <c r="A4122" s="1">
        <v>46210.522222222222</v>
      </c>
      <c r="B4122" t="s">
        <v>40</v>
      </c>
      <c r="C4122" t="s">
        <v>41</v>
      </c>
      <c r="D4122" s="1">
        <v>46210.525011574071</v>
      </c>
      <c r="E4122" t="s">
        <v>42</v>
      </c>
      <c r="F4122" t="s">
        <v>43</v>
      </c>
      <c r="G4122" t="s">
        <v>43</v>
      </c>
      <c r="H4122" t="s">
        <v>43</v>
      </c>
      <c r="I4122" t="s">
        <v>43</v>
      </c>
      <c r="J4122" t="s">
        <v>43</v>
      </c>
      <c r="K4122" t="s">
        <v>43</v>
      </c>
      <c r="L4122" t="s">
        <v>43</v>
      </c>
      <c r="M4122" t="s">
        <v>43</v>
      </c>
      <c r="N4122" t="s">
        <v>45</v>
      </c>
      <c r="O4122" t="s">
        <v>43</v>
      </c>
      <c r="P4122" t="s">
        <v>43</v>
      </c>
      <c r="Q4122" t="s">
        <v>43</v>
      </c>
      <c r="R4122" t="s">
        <v>43</v>
      </c>
      <c r="S4122" t="s">
        <v>43</v>
      </c>
      <c r="T4122" t="s">
        <v>43</v>
      </c>
      <c r="U4122" t="s">
        <v>43</v>
      </c>
      <c r="V4122" t="s">
        <v>43</v>
      </c>
      <c r="W4122" t="s">
        <v>43</v>
      </c>
      <c r="X4122" t="s">
        <v>43</v>
      </c>
      <c r="Y4122" t="s">
        <v>43</v>
      </c>
      <c r="Z4122" t="s">
        <v>43</v>
      </c>
      <c r="AA4122" t="s">
        <v>43</v>
      </c>
      <c r="AB4122" t="s">
        <v>43</v>
      </c>
      <c r="AC4122" t="s">
        <v>43</v>
      </c>
      <c r="AD4122" t="s">
        <v>43</v>
      </c>
      <c r="AE4122" t="s">
        <v>43</v>
      </c>
      <c r="AF4122" t="s">
        <v>43</v>
      </c>
      <c r="AG4122" t="s">
        <v>43</v>
      </c>
      <c r="AH4122" t="s">
        <v>43</v>
      </c>
      <c r="AI4122" t="s">
        <v>43</v>
      </c>
      <c r="AJ4122" t="s">
        <v>43</v>
      </c>
      <c r="AK4122" t="s">
        <v>43</v>
      </c>
      <c r="AL4122" t="s">
        <v>43</v>
      </c>
      <c r="AM4122" t="s">
        <v>43</v>
      </c>
      <c r="AN4122" t="s">
        <v>43</v>
      </c>
    </row>
    <row r="4123" spans="1:40" x14ac:dyDescent="0.3">
      <c r="A4123" s="1">
        <v>46210.522106481483</v>
      </c>
      <c r="B4123" t="s">
        <v>40</v>
      </c>
      <c r="C4123" t="s">
        <v>41</v>
      </c>
      <c r="D4123" s="1">
        <v>46210.525277777779</v>
      </c>
      <c r="E4123" t="s">
        <v>42</v>
      </c>
      <c r="F4123" t="s">
        <v>43</v>
      </c>
      <c r="G4123" t="s">
        <v>43</v>
      </c>
      <c r="H4123" t="s">
        <v>43</v>
      </c>
      <c r="I4123" t="s">
        <v>2336</v>
      </c>
      <c r="J4123" t="s">
        <v>43</v>
      </c>
      <c r="K4123" t="s">
        <v>43</v>
      </c>
      <c r="L4123" t="s">
        <v>43</v>
      </c>
      <c r="M4123" t="s">
        <v>43</v>
      </c>
      <c r="N4123" t="s">
        <v>45</v>
      </c>
      <c r="O4123" t="s">
        <v>43</v>
      </c>
      <c r="P4123" t="s">
        <v>43</v>
      </c>
      <c r="Q4123" t="s">
        <v>43</v>
      </c>
      <c r="R4123" t="s">
        <v>43</v>
      </c>
      <c r="S4123" t="s">
        <v>43</v>
      </c>
      <c r="T4123" t="s">
        <v>43</v>
      </c>
      <c r="U4123" t="s">
        <v>43</v>
      </c>
      <c r="V4123" t="s">
        <v>43</v>
      </c>
      <c r="W4123" t="s">
        <v>43</v>
      </c>
      <c r="X4123" t="s">
        <v>43</v>
      </c>
      <c r="Y4123" t="s">
        <v>43</v>
      </c>
      <c r="Z4123" t="s">
        <v>43</v>
      </c>
      <c r="AA4123" t="s">
        <v>43</v>
      </c>
      <c r="AB4123" t="s">
        <v>43</v>
      </c>
      <c r="AC4123" t="s">
        <v>43</v>
      </c>
      <c r="AD4123" t="s">
        <v>43</v>
      </c>
      <c r="AE4123" t="s">
        <v>43</v>
      </c>
      <c r="AF4123" t="s">
        <v>43</v>
      </c>
      <c r="AG4123" t="s">
        <v>43</v>
      </c>
      <c r="AH4123" t="s">
        <v>43</v>
      </c>
      <c r="AI4123" t="s">
        <v>43</v>
      </c>
      <c r="AJ4123" t="s">
        <v>43</v>
      </c>
      <c r="AK4123" t="s">
        <v>43</v>
      </c>
      <c r="AL4123" t="s">
        <v>43</v>
      </c>
      <c r="AM4123" t="s">
        <v>43</v>
      </c>
      <c r="AN4123" t="str">
        <f>HYPERLINK("https://www.google.com/maps?q=10.76306438,79.6943512","Open Location")</f>
        <v>Open Location</v>
      </c>
    </row>
    <row r="4124" spans="1:40" x14ac:dyDescent="0.3">
      <c r="A4124" s="1">
        <v>46210.521990740737</v>
      </c>
      <c r="B4124" t="s">
        <v>40</v>
      </c>
      <c r="C4124" t="s">
        <v>41</v>
      </c>
      <c r="D4124" s="1">
        <v>46210.524907407409</v>
      </c>
      <c r="E4124" t="s">
        <v>42</v>
      </c>
      <c r="F4124" t="s">
        <v>43</v>
      </c>
      <c r="G4124" t="s">
        <v>43</v>
      </c>
      <c r="H4124" t="s">
        <v>43</v>
      </c>
      <c r="I4124" t="s">
        <v>2339</v>
      </c>
      <c r="J4124" t="s">
        <v>43</v>
      </c>
      <c r="K4124" t="s">
        <v>43</v>
      </c>
      <c r="L4124" t="s">
        <v>43</v>
      </c>
      <c r="M4124" t="s">
        <v>43</v>
      </c>
      <c r="N4124" t="s">
        <v>45</v>
      </c>
      <c r="O4124" t="s">
        <v>43</v>
      </c>
      <c r="P4124" t="s">
        <v>43</v>
      </c>
      <c r="Q4124" t="s">
        <v>43</v>
      </c>
      <c r="R4124" t="s">
        <v>43</v>
      </c>
      <c r="S4124" t="s">
        <v>43</v>
      </c>
      <c r="T4124" t="s">
        <v>43</v>
      </c>
      <c r="U4124" t="s">
        <v>43</v>
      </c>
      <c r="V4124" t="s">
        <v>43</v>
      </c>
      <c r="W4124" t="s">
        <v>43</v>
      </c>
      <c r="X4124" t="s">
        <v>43</v>
      </c>
      <c r="Y4124" t="s">
        <v>43</v>
      </c>
      <c r="Z4124" t="s">
        <v>43</v>
      </c>
      <c r="AA4124" t="s">
        <v>43</v>
      </c>
      <c r="AB4124" t="s">
        <v>43</v>
      </c>
      <c r="AC4124" t="s">
        <v>43</v>
      </c>
      <c r="AD4124" t="s">
        <v>43</v>
      </c>
      <c r="AE4124" t="s">
        <v>43</v>
      </c>
      <c r="AF4124" t="s">
        <v>43</v>
      </c>
      <c r="AG4124" t="s">
        <v>43</v>
      </c>
      <c r="AH4124" t="s">
        <v>43</v>
      </c>
      <c r="AI4124" t="s">
        <v>43</v>
      </c>
      <c r="AJ4124" t="s">
        <v>43</v>
      </c>
      <c r="AK4124" t="s">
        <v>43</v>
      </c>
      <c r="AL4124" t="s">
        <v>43</v>
      </c>
      <c r="AM4124" t="s">
        <v>43</v>
      </c>
      <c r="AN4124" t="str">
        <f>HYPERLINK("https://www.google.com/maps?q=10.76305962,79.6943512","Open Location")</f>
        <v>Open Location</v>
      </c>
    </row>
    <row r="4125" spans="1:40" x14ac:dyDescent="0.3">
      <c r="A4125" s="1">
        <v>46210.521874999999</v>
      </c>
      <c r="B4125" t="s">
        <v>40</v>
      </c>
      <c r="C4125" t="s">
        <v>41</v>
      </c>
      <c r="D4125" s="1">
        <v>46210.525150462963</v>
      </c>
      <c r="E4125" t="s">
        <v>42</v>
      </c>
      <c r="F4125" t="s">
        <v>43</v>
      </c>
      <c r="G4125" t="s">
        <v>43</v>
      </c>
      <c r="H4125" t="s">
        <v>43</v>
      </c>
      <c r="I4125" t="s">
        <v>2259</v>
      </c>
      <c r="J4125" t="s">
        <v>43</v>
      </c>
      <c r="K4125" t="s">
        <v>43</v>
      </c>
      <c r="L4125" t="s">
        <v>43</v>
      </c>
      <c r="M4125" t="s">
        <v>43</v>
      </c>
      <c r="N4125" t="s">
        <v>45</v>
      </c>
      <c r="O4125" t="s">
        <v>43</v>
      </c>
      <c r="P4125" t="s">
        <v>43</v>
      </c>
      <c r="Q4125" t="s">
        <v>43</v>
      </c>
      <c r="R4125" t="s">
        <v>43</v>
      </c>
      <c r="S4125" t="s">
        <v>43</v>
      </c>
      <c r="T4125" t="s">
        <v>43</v>
      </c>
      <c r="U4125" t="s">
        <v>43</v>
      </c>
      <c r="V4125" t="s">
        <v>43</v>
      </c>
      <c r="W4125" t="s">
        <v>43</v>
      </c>
      <c r="X4125" t="s">
        <v>43</v>
      </c>
      <c r="Y4125" t="s">
        <v>43</v>
      </c>
      <c r="Z4125" t="s">
        <v>43</v>
      </c>
      <c r="AA4125" t="s">
        <v>43</v>
      </c>
      <c r="AB4125" t="s">
        <v>43</v>
      </c>
      <c r="AC4125" t="s">
        <v>43</v>
      </c>
      <c r="AD4125" t="s">
        <v>43</v>
      </c>
      <c r="AE4125" t="s">
        <v>43</v>
      </c>
      <c r="AF4125" t="s">
        <v>43</v>
      </c>
      <c r="AG4125" t="s">
        <v>43</v>
      </c>
      <c r="AH4125" t="s">
        <v>43</v>
      </c>
      <c r="AI4125" t="s">
        <v>43</v>
      </c>
      <c r="AJ4125" t="s">
        <v>43</v>
      </c>
      <c r="AK4125" t="s">
        <v>43</v>
      </c>
      <c r="AL4125" t="s">
        <v>43</v>
      </c>
      <c r="AM4125" t="s">
        <v>43</v>
      </c>
      <c r="AN4125" t="str">
        <f>HYPERLINK("https://www.google.com/maps?q=10.76305485,79.6943512","Open Location")</f>
        <v>Open Location</v>
      </c>
    </row>
    <row r="4126" spans="1:40" x14ac:dyDescent="0.3">
      <c r="A4126" s="1">
        <v>46210.52175925926</v>
      </c>
      <c r="B4126" t="s">
        <v>40</v>
      </c>
      <c r="C4126" t="s">
        <v>41</v>
      </c>
      <c r="D4126" s="1">
        <v>46210.524641203701</v>
      </c>
      <c r="E4126" t="s">
        <v>42</v>
      </c>
      <c r="F4126" t="s">
        <v>43</v>
      </c>
      <c r="G4126" t="s">
        <v>43</v>
      </c>
      <c r="H4126" t="s">
        <v>43</v>
      </c>
      <c r="I4126" t="s">
        <v>2339</v>
      </c>
      <c r="J4126" t="s">
        <v>43</v>
      </c>
      <c r="K4126" t="s">
        <v>43</v>
      </c>
      <c r="L4126" t="s">
        <v>43</v>
      </c>
      <c r="M4126" t="s">
        <v>43</v>
      </c>
      <c r="N4126" t="s">
        <v>45</v>
      </c>
      <c r="O4126" t="s">
        <v>43</v>
      </c>
      <c r="P4126" t="s">
        <v>43</v>
      </c>
      <c r="Q4126" t="s">
        <v>43</v>
      </c>
      <c r="R4126" t="s">
        <v>43</v>
      </c>
      <c r="S4126" t="s">
        <v>43</v>
      </c>
      <c r="T4126" t="s">
        <v>43</v>
      </c>
      <c r="U4126" t="s">
        <v>43</v>
      </c>
      <c r="V4126" t="s">
        <v>43</v>
      </c>
      <c r="W4126" t="s">
        <v>43</v>
      </c>
      <c r="X4126" t="s">
        <v>43</v>
      </c>
      <c r="Y4126" t="s">
        <v>43</v>
      </c>
      <c r="Z4126" t="s">
        <v>43</v>
      </c>
      <c r="AA4126" t="s">
        <v>43</v>
      </c>
      <c r="AB4126" t="s">
        <v>43</v>
      </c>
      <c r="AC4126" t="s">
        <v>43</v>
      </c>
      <c r="AD4126" t="s">
        <v>43</v>
      </c>
      <c r="AE4126" t="s">
        <v>43</v>
      </c>
      <c r="AF4126" t="s">
        <v>43</v>
      </c>
      <c r="AG4126" t="s">
        <v>43</v>
      </c>
      <c r="AH4126" t="s">
        <v>43</v>
      </c>
      <c r="AI4126" t="s">
        <v>43</v>
      </c>
      <c r="AJ4126" t="s">
        <v>43</v>
      </c>
      <c r="AK4126" t="s">
        <v>43</v>
      </c>
      <c r="AL4126" t="s">
        <v>43</v>
      </c>
      <c r="AM4126" t="s">
        <v>43</v>
      </c>
      <c r="AN4126" t="str">
        <f>HYPERLINK("https://www.google.com/maps?q=10.76305962,79.6943512","Open Location")</f>
        <v>Open Location</v>
      </c>
    </row>
    <row r="4127" spans="1:40" x14ac:dyDescent="0.3">
      <c r="A4127" s="1">
        <v>46210.521643518521</v>
      </c>
      <c r="B4127" t="s">
        <v>40</v>
      </c>
      <c r="C4127" t="s">
        <v>41</v>
      </c>
      <c r="D4127" s="1">
        <v>46210.524537037039</v>
      </c>
      <c r="E4127" t="s">
        <v>42</v>
      </c>
      <c r="F4127" t="s">
        <v>43</v>
      </c>
      <c r="G4127" t="s">
        <v>43</v>
      </c>
      <c r="H4127" t="s">
        <v>43</v>
      </c>
      <c r="I4127" t="s">
        <v>43</v>
      </c>
      <c r="J4127" t="s">
        <v>43</v>
      </c>
      <c r="K4127" t="s">
        <v>43</v>
      </c>
      <c r="L4127" t="s">
        <v>43</v>
      </c>
      <c r="M4127" t="s">
        <v>43</v>
      </c>
      <c r="N4127" t="s">
        <v>45</v>
      </c>
      <c r="O4127" t="s">
        <v>43</v>
      </c>
      <c r="P4127" t="s">
        <v>43</v>
      </c>
      <c r="Q4127" t="s">
        <v>43</v>
      </c>
      <c r="R4127" t="s">
        <v>43</v>
      </c>
      <c r="S4127" t="s">
        <v>43</v>
      </c>
      <c r="T4127" t="s">
        <v>43</v>
      </c>
      <c r="U4127" t="s">
        <v>43</v>
      </c>
      <c r="V4127" t="s">
        <v>43</v>
      </c>
      <c r="W4127" t="s">
        <v>43</v>
      </c>
      <c r="X4127" t="s">
        <v>43</v>
      </c>
      <c r="Y4127" t="s">
        <v>43</v>
      </c>
      <c r="Z4127" t="s">
        <v>43</v>
      </c>
      <c r="AA4127" t="s">
        <v>43</v>
      </c>
      <c r="AB4127" t="s">
        <v>43</v>
      </c>
      <c r="AC4127" t="s">
        <v>43</v>
      </c>
      <c r="AD4127" t="s">
        <v>43</v>
      </c>
      <c r="AE4127" t="s">
        <v>43</v>
      </c>
      <c r="AF4127" t="s">
        <v>43</v>
      </c>
      <c r="AG4127" t="s">
        <v>43</v>
      </c>
      <c r="AH4127" t="s">
        <v>43</v>
      </c>
      <c r="AI4127" t="s">
        <v>43</v>
      </c>
      <c r="AJ4127" t="s">
        <v>43</v>
      </c>
      <c r="AK4127" t="s">
        <v>43</v>
      </c>
      <c r="AL4127" t="s">
        <v>43</v>
      </c>
      <c r="AM4127" t="s">
        <v>43</v>
      </c>
      <c r="AN4127" t="s">
        <v>43</v>
      </c>
    </row>
    <row r="4128" spans="1:40" x14ac:dyDescent="0.3">
      <c r="A4128" s="1">
        <v>46210.521527777775</v>
      </c>
      <c r="B4128" t="s">
        <v>40</v>
      </c>
      <c r="C4128" t="s">
        <v>41</v>
      </c>
      <c r="D4128" s="1">
        <v>46210.524351851855</v>
      </c>
      <c r="E4128" t="s">
        <v>42</v>
      </c>
      <c r="F4128" t="s">
        <v>43</v>
      </c>
      <c r="G4128" t="s">
        <v>43</v>
      </c>
      <c r="H4128" t="s">
        <v>43</v>
      </c>
      <c r="I4128" t="s">
        <v>2349</v>
      </c>
      <c r="J4128" t="s">
        <v>43</v>
      </c>
      <c r="K4128" t="s">
        <v>43</v>
      </c>
      <c r="L4128" t="s">
        <v>43</v>
      </c>
      <c r="M4128" t="s">
        <v>43</v>
      </c>
      <c r="N4128" t="s">
        <v>45</v>
      </c>
      <c r="O4128" t="s">
        <v>43</v>
      </c>
      <c r="P4128" t="s">
        <v>43</v>
      </c>
      <c r="Q4128" t="s">
        <v>43</v>
      </c>
      <c r="R4128" t="s">
        <v>43</v>
      </c>
      <c r="S4128" t="s">
        <v>43</v>
      </c>
      <c r="T4128" t="s">
        <v>43</v>
      </c>
      <c r="U4128" t="s">
        <v>43</v>
      </c>
      <c r="V4128" t="s">
        <v>43</v>
      </c>
      <c r="W4128" t="s">
        <v>43</v>
      </c>
      <c r="X4128" t="s">
        <v>43</v>
      </c>
      <c r="Y4128" t="s">
        <v>43</v>
      </c>
      <c r="Z4128" t="s">
        <v>43</v>
      </c>
      <c r="AA4128" t="s">
        <v>43</v>
      </c>
      <c r="AB4128" t="s">
        <v>43</v>
      </c>
      <c r="AC4128" t="s">
        <v>43</v>
      </c>
      <c r="AD4128" t="s">
        <v>43</v>
      </c>
      <c r="AE4128" t="s">
        <v>43</v>
      </c>
      <c r="AF4128" t="s">
        <v>43</v>
      </c>
      <c r="AG4128" t="s">
        <v>43</v>
      </c>
      <c r="AH4128" t="s">
        <v>43</v>
      </c>
      <c r="AI4128" t="s">
        <v>43</v>
      </c>
      <c r="AJ4128" t="s">
        <v>43</v>
      </c>
      <c r="AK4128" t="s">
        <v>43</v>
      </c>
      <c r="AL4128" t="s">
        <v>43</v>
      </c>
      <c r="AM4128" t="s">
        <v>43</v>
      </c>
      <c r="AN4128" t="str">
        <f>HYPERLINK("https://www.google.com/maps?q=10.76307392,79.69435883","Open Location")</f>
        <v>Open Location</v>
      </c>
    </row>
    <row r="4129" spans="1:40" x14ac:dyDescent="0.3">
      <c r="A4129" s="1">
        <v>46210.521412037036</v>
      </c>
      <c r="B4129" t="s">
        <v>40</v>
      </c>
      <c r="C4129" t="s">
        <v>41</v>
      </c>
      <c r="D4129" s="1">
        <v>46210.524363425924</v>
      </c>
      <c r="E4129" t="s">
        <v>42</v>
      </c>
      <c r="F4129" t="s">
        <v>43</v>
      </c>
      <c r="G4129" t="s">
        <v>43</v>
      </c>
      <c r="H4129" t="s">
        <v>43</v>
      </c>
      <c r="I4129" t="s">
        <v>2350</v>
      </c>
      <c r="J4129" t="s">
        <v>43</v>
      </c>
      <c r="K4129" t="s">
        <v>43</v>
      </c>
      <c r="L4129" t="s">
        <v>43</v>
      </c>
      <c r="M4129" t="s">
        <v>43</v>
      </c>
      <c r="N4129" t="s">
        <v>45</v>
      </c>
      <c r="O4129" t="s">
        <v>43</v>
      </c>
      <c r="P4129" t="s">
        <v>43</v>
      </c>
      <c r="Q4129" t="s">
        <v>43</v>
      </c>
      <c r="R4129" t="s">
        <v>43</v>
      </c>
      <c r="S4129" t="s">
        <v>43</v>
      </c>
      <c r="T4129" t="s">
        <v>43</v>
      </c>
      <c r="U4129" t="s">
        <v>43</v>
      </c>
      <c r="V4129" t="s">
        <v>43</v>
      </c>
      <c r="W4129" t="s">
        <v>43</v>
      </c>
      <c r="X4129" t="s">
        <v>43</v>
      </c>
      <c r="Y4129" t="s">
        <v>43</v>
      </c>
      <c r="Z4129" t="s">
        <v>43</v>
      </c>
      <c r="AA4129" t="s">
        <v>43</v>
      </c>
      <c r="AB4129" t="s">
        <v>43</v>
      </c>
      <c r="AC4129" t="s">
        <v>43</v>
      </c>
      <c r="AD4129" t="s">
        <v>43</v>
      </c>
      <c r="AE4129" t="s">
        <v>43</v>
      </c>
      <c r="AF4129" t="s">
        <v>43</v>
      </c>
      <c r="AG4129" t="s">
        <v>43</v>
      </c>
      <c r="AH4129" t="s">
        <v>43</v>
      </c>
      <c r="AI4129" t="s">
        <v>43</v>
      </c>
      <c r="AJ4129" t="s">
        <v>43</v>
      </c>
      <c r="AK4129" t="s">
        <v>43</v>
      </c>
      <c r="AL4129" t="s">
        <v>43</v>
      </c>
      <c r="AM4129" t="s">
        <v>43</v>
      </c>
      <c r="AN4129" t="str">
        <f>HYPERLINK("https://www.google.com/maps?q=10.76307487,79.69435883","Open Location")</f>
        <v>Open Location</v>
      </c>
    </row>
    <row r="4130" spans="1:40" x14ac:dyDescent="0.3">
      <c r="A4130" s="1">
        <v>46210.521296296298</v>
      </c>
      <c r="B4130" t="s">
        <v>40</v>
      </c>
      <c r="C4130" t="s">
        <v>41</v>
      </c>
      <c r="D4130" s="1">
        <v>46210.524155092593</v>
      </c>
      <c r="E4130" t="s">
        <v>42</v>
      </c>
      <c r="F4130" t="s">
        <v>43</v>
      </c>
      <c r="G4130" t="s">
        <v>43</v>
      </c>
      <c r="H4130" t="s">
        <v>43</v>
      </c>
      <c r="I4130" t="s">
        <v>2296</v>
      </c>
      <c r="J4130" t="s">
        <v>43</v>
      </c>
      <c r="K4130" t="s">
        <v>43</v>
      </c>
      <c r="L4130" t="s">
        <v>43</v>
      </c>
      <c r="M4130" t="s">
        <v>43</v>
      </c>
      <c r="N4130" t="s">
        <v>45</v>
      </c>
      <c r="O4130" t="s">
        <v>43</v>
      </c>
      <c r="P4130" t="s">
        <v>43</v>
      </c>
      <c r="Q4130" t="s">
        <v>43</v>
      </c>
      <c r="R4130" t="s">
        <v>43</v>
      </c>
      <c r="S4130" t="s">
        <v>43</v>
      </c>
      <c r="T4130" t="s">
        <v>43</v>
      </c>
      <c r="U4130" t="s">
        <v>43</v>
      </c>
      <c r="V4130" t="s">
        <v>43</v>
      </c>
      <c r="W4130" t="s">
        <v>43</v>
      </c>
      <c r="X4130" t="s">
        <v>43</v>
      </c>
      <c r="Y4130" t="s">
        <v>43</v>
      </c>
      <c r="Z4130" t="s">
        <v>43</v>
      </c>
      <c r="AA4130" t="s">
        <v>43</v>
      </c>
      <c r="AB4130" t="s">
        <v>43</v>
      </c>
      <c r="AC4130" t="s">
        <v>43</v>
      </c>
      <c r="AD4130" t="s">
        <v>43</v>
      </c>
      <c r="AE4130" t="s">
        <v>43</v>
      </c>
      <c r="AF4130" t="s">
        <v>43</v>
      </c>
      <c r="AG4130" t="s">
        <v>43</v>
      </c>
      <c r="AH4130" t="s">
        <v>43</v>
      </c>
      <c r="AI4130" t="s">
        <v>43</v>
      </c>
      <c r="AJ4130" t="s">
        <v>43</v>
      </c>
      <c r="AK4130" t="s">
        <v>43</v>
      </c>
      <c r="AL4130" t="s">
        <v>43</v>
      </c>
      <c r="AM4130" t="s">
        <v>43</v>
      </c>
      <c r="AN4130" t="str">
        <f>HYPERLINK("https://www.google.com/maps?q=10.76307678,79.69436646","Open Location")</f>
        <v>Open Location</v>
      </c>
    </row>
    <row r="4131" spans="1:40" x14ac:dyDescent="0.3">
      <c r="A4131" s="1">
        <v>46210.521180555559</v>
      </c>
      <c r="B4131" t="s">
        <v>40</v>
      </c>
      <c r="C4131" t="s">
        <v>41</v>
      </c>
      <c r="D4131" s="1">
        <v>46210.524178240739</v>
      </c>
      <c r="E4131" t="s">
        <v>42</v>
      </c>
      <c r="F4131" t="s">
        <v>43</v>
      </c>
      <c r="G4131" t="s">
        <v>43</v>
      </c>
      <c r="H4131" t="s">
        <v>43</v>
      </c>
      <c r="I4131" t="s">
        <v>2323</v>
      </c>
      <c r="J4131" t="s">
        <v>43</v>
      </c>
      <c r="K4131" t="s">
        <v>43</v>
      </c>
      <c r="L4131" t="s">
        <v>43</v>
      </c>
      <c r="M4131" t="s">
        <v>43</v>
      </c>
      <c r="N4131" t="s">
        <v>45</v>
      </c>
      <c r="O4131" t="s">
        <v>43</v>
      </c>
      <c r="P4131" t="s">
        <v>43</v>
      </c>
      <c r="Q4131" t="s">
        <v>43</v>
      </c>
      <c r="R4131" t="s">
        <v>43</v>
      </c>
      <c r="S4131" t="s">
        <v>43</v>
      </c>
      <c r="T4131" t="s">
        <v>43</v>
      </c>
      <c r="U4131" t="s">
        <v>43</v>
      </c>
      <c r="V4131" t="s">
        <v>43</v>
      </c>
      <c r="W4131" t="s">
        <v>43</v>
      </c>
      <c r="X4131" t="s">
        <v>43</v>
      </c>
      <c r="Y4131" t="s">
        <v>43</v>
      </c>
      <c r="Z4131" t="s">
        <v>43</v>
      </c>
      <c r="AA4131" t="s">
        <v>43</v>
      </c>
      <c r="AB4131" t="s">
        <v>43</v>
      </c>
      <c r="AC4131" t="s">
        <v>43</v>
      </c>
      <c r="AD4131" t="s">
        <v>43</v>
      </c>
      <c r="AE4131" t="s">
        <v>43</v>
      </c>
      <c r="AF4131" t="s">
        <v>43</v>
      </c>
      <c r="AG4131" t="s">
        <v>43</v>
      </c>
      <c r="AH4131" t="s">
        <v>43</v>
      </c>
      <c r="AI4131" t="s">
        <v>43</v>
      </c>
      <c r="AJ4131" t="s">
        <v>43</v>
      </c>
      <c r="AK4131" t="s">
        <v>43</v>
      </c>
      <c r="AL4131" t="s">
        <v>43</v>
      </c>
      <c r="AM4131" t="s">
        <v>43</v>
      </c>
      <c r="AN4131" t="str">
        <f>HYPERLINK("https://www.google.com/maps?q=10.76307201,79.69435883","Open Location")</f>
        <v>Open Location</v>
      </c>
    </row>
    <row r="4132" spans="1:40" x14ac:dyDescent="0.3">
      <c r="A4132" s="1">
        <v>46210.521064814813</v>
      </c>
      <c r="B4132" t="s">
        <v>40</v>
      </c>
      <c r="C4132" t="s">
        <v>41</v>
      </c>
      <c r="D4132" s="1">
        <v>46210.523935185185</v>
      </c>
      <c r="E4132" t="s">
        <v>42</v>
      </c>
      <c r="F4132" t="s">
        <v>43</v>
      </c>
      <c r="G4132" t="s">
        <v>43</v>
      </c>
      <c r="H4132" t="s">
        <v>43</v>
      </c>
      <c r="I4132" t="s">
        <v>2351</v>
      </c>
      <c r="J4132" t="s">
        <v>43</v>
      </c>
      <c r="K4132" t="s">
        <v>43</v>
      </c>
      <c r="L4132" t="s">
        <v>43</v>
      </c>
      <c r="M4132" t="s">
        <v>43</v>
      </c>
      <c r="N4132" t="s">
        <v>45</v>
      </c>
      <c r="O4132" t="s">
        <v>43</v>
      </c>
      <c r="P4132" t="s">
        <v>43</v>
      </c>
      <c r="Q4132" t="s">
        <v>43</v>
      </c>
      <c r="R4132" t="s">
        <v>43</v>
      </c>
      <c r="S4132" t="s">
        <v>43</v>
      </c>
      <c r="T4132" t="s">
        <v>43</v>
      </c>
      <c r="U4132" t="s">
        <v>43</v>
      </c>
      <c r="V4132" t="s">
        <v>43</v>
      </c>
      <c r="W4132" t="s">
        <v>43</v>
      </c>
      <c r="X4132" t="s">
        <v>43</v>
      </c>
      <c r="Y4132" t="s">
        <v>43</v>
      </c>
      <c r="Z4132" t="s">
        <v>43</v>
      </c>
      <c r="AA4132" t="s">
        <v>43</v>
      </c>
      <c r="AB4132" t="s">
        <v>43</v>
      </c>
      <c r="AC4132" t="s">
        <v>43</v>
      </c>
      <c r="AD4132" t="s">
        <v>43</v>
      </c>
      <c r="AE4132" t="s">
        <v>43</v>
      </c>
      <c r="AF4132" t="s">
        <v>43</v>
      </c>
      <c r="AG4132" t="s">
        <v>43</v>
      </c>
      <c r="AH4132" t="s">
        <v>43</v>
      </c>
      <c r="AI4132" t="s">
        <v>43</v>
      </c>
      <c r="AJ4132" t="s">
        <v>43</v>
      </c>
      <c r="AK4132" t="s">
        <v>43</v>
      </c>
      <c r="AL4132" t="s">
        <v>43</v>
      </c>
      <c r="AM4132" t="s">
        <v>43</v>
      </c>
      <c r="AN4132" t="str">
        <f>HYPERLINK("https://www.google.com/maps?q=10.76307487,79.69434357","Open Location")</f>
        <v>Open Location</v>
      </c>
    </row>
    <row r="4133" spans="1:40" x14ac:dyDescent="0.3">
      <c r="A4133" s="1">
        <v>46210.520949074074</v>
      </c>
      <c r="B4133" t="s">
        <v>40</v>
      </c>
      <c r="C4133" t="s">
        <v>41</v>
      </c>
      <c r="D4133" s="1">
        <v>46210.524085648147</v>
      </c>
      <c r="E4133" t="s">
        <v>42</v>
      </c>
      <c r="F4133" t="s">
        <v>43</v>
      </c>
      <c r="G4133" t="s">
        <v>43</v>
      </c>
      <c r="H4133" t="s">
        <v>43</v>
      </c>
      <c r="I4133" t="s">
        <v>43</v>
      </c>
      <c r="J4133" t="s">
        <v>43</v>
      </c>
      <c r="K4133" t="s">
        <v>43</v>
      </c>
      <c r="L4133" t="s">
        <v>43</v>
      </c>
      <c r="M4133" t="s">
        <v>43</v>
      </c>
      <c r="N4133" t="s">
        <v>45</v>
      </c>
      <c r="O4133" t="s">
        <v>43</v>
      </c>
      <c r="P4133" t="s">
        <v>43</v>
      </c>
      <c r="Q4133" t="s">
        <v>43</v>
      </c>
      <c r="R4133" t="s">
        <v>43</v>
      </c>
      <c r="S4133" t="s">
        <v>43</v>
      </c>
      <c r="T4133" t="s">
        <v>43</v>
      </c>
      <c r="U4133" t="s">
        <v>43</v>
      </c>
      <c r="V4133" t="s">
        <v>43</v>
      </c>
      <c r="W4133" t="s">
        <v>43</v>
      </c>
      <c r="X4133" t="s">
        <v>43</v>
      </c>
      <c r="Y4133" t="s">
        <v>43</v>
      </c>
      <c r="Z4133" t="s">
        <v>43</v>
      </c>
      <c r="AA4133" t="s">
        <v>43</v>
      </c>
      <c r="AB4133" t="s">
        <v>43</v>
      </c>
      <c r="AC4133" t="s">
        <v>43</v>
      </c>
      <c r="AD4133" t="s">
        <v>43</v>
      </c>
      <c r="AE4133" t="s">
        <v>43</v>
      </c>
      <c r="AF4133" t="s">
        <v>43</v>
      </c>
      <c r="AG4133" t="s">
        <v>43</v>
      </c>
      <c r="AH4133" t="s">
        <v>43</v>
      </c>
      <c r="AI4133" t="s">
        <v>43</v>
      </c>
      <c r="AJ4133" t="s">
        <v>43</v>
      </c>
      <c r="AK4133" t="s">
        <v>43</v>
      </c>
      <c r="AL4133" t="s">
        <v>43</v>
      </c>
      <c r="AM4133" t="s">
        <v>43</v>
      </c>
      <c r="AN4133" t="s">
        <v>43</v>
      </c>
    </row>
    <row r="4134" spans="1:40" x14ac:dyDescent="0.3">
      <c r="A4134" s="1">
        <v>46210.520833333336</v>
      </c>
      <c r="B4134" t="s">
        <v>40</v>
      </c>
      <c r="C4134" t="s">
        <v>41</v>
      </c>
      <c r="D4134" s="1">
        <v>46210.523865740739</v>
      </c>
      <c r="E4134" t="s">
        <v>42</v>
      </c>
      <c r="F4134" t="s">
        <v>43</v>
      </c>
      <c r="G4134" t="s">
        <v>43</v>
      </c>
      <c r="H4134" t="s">
        <v>43</v>
      </c>
      <c r="I4134" t="s">
        <v>2324</v>
      </c>
      <c r="J4134" t="s">
        <v>43</v>
      </c>
      <c r="K4134" t="s">
        <v>43</v>
      </c>
      <c r="L4134" t="s">
        <v>43</v>
      </c>
      <c r="M4134" t="s">
        <v>43</v>
      </c>
      <c r="N4134" t="s">
        <v>45</v>
      </c>
      <c r="O4134" t="s">
        <v>43</v>
      </c>
      <c r="P4134" t="s">
        <v>43</v>
      </c>
      <c r="Q4134" t="s">
        <v>43</v>
      </c>
      <c r="R4134" t="s">
        <v>43</v>
      </c>
      <c r="S4134" t="s">
        <v>43</v>
      </c>
      <c r="T4134" t="s">
        <v>43</v>
      </c>
      <c r="U4134" t="s">
        <v>43</v>
      </c>
      <c r="V4134" t="s">
        <v>43</v>
      </c>
      <c r="W4134" t="s">
        <v>43</v>
      </c>
      <c r="X4134" t="s">
        <v>43</v>
      </c>
      <c r="Y4134" t="s">
        <v>43</v>
      </c>
      <c r="Z4134" t="s">
        <v>43</v>
      </c>
      <c r="AA4134" t="s">
        <v>43</v>
      </c>
      <c r="AB4134" t="s">
        <v>43</v>
      </c>
      <c r="AC4134" t="s">
        <v>43</v>
      </c>
      <c r="AD4134" t="s">
        <v>43</v>
      </c>
      <c r="AE4134" t="s">
        <v>43</v>
      </c>
      <c r="AF4134" t="s">
        <v>43</v>
      </c>
      <c r="AG4134" t="s">
        <v>43</v>
      </c>
      <c r="AH4134" t="s">
        <v>43</v>
      </c>
      <c r="AI4134" t="s">
        <v>43</v>
      </c>
      <c r="AJ4134" t="s">
        <v>43</v>
      </c>
      <c r="AK4134" t="s">
        <v>43</v>
      </c>
      <c r="AL4134" t="s">
        <v>43</v>
      </c>
      <c r="AM4134" t="s">
        <v>43</v>
      </c>
      <c r="AN4134" t="str">
        <f>HYPERLINK("https://www.google.com/maps?q=10.76307106,79.69434357","Open Location")</f>
        <v>Open Location</v>
      </c>
    </row>
    <row r="4135" spans="1:40" x14ac:dyDescent="0.3">
      <c r="A4135" s="1">
        <v>46210.52071759259</v>
      </c>
      <c r="B4135" t="s">
        <v>40</v>
      </c>
      <c r="C4135" t="s">
        <v>41</v>
      </c>
      <c r="D4135" s="1">
        <v>46210.523877314816</v>
      </c>
      <c r="E4135" t="s">
        <v>42</v>
      </c>
      <c r="F4135" t="s">
        <v>43</v>
      </c>
      <c r="G4135" t="s">
        <v>43</v>
      </c>
      <c r="H4135" t="s">
        <v>43</v>
      </c>
      <c r="I4135" t="s">
        <v>2320</v>
      </c>
      <c r="J4135" t="s">
        <v>43</v>
      </c>
      <c r="K4135" t="s">
        <v>43</v>
      </c>
      <c r="L4135" t="s">
        <v>43</v>
      </c>
      <c r="M4135" t="s">
        <v>43</v>
      </c>
      <c r="N4135" t="s">
        <v>45</v>
      </c>
      <c r="O4135" t="s">
        <v>43</v>
      </c>
      <c r="P4135" t="s">
        <v>43</v>
      </c>
      <c r="Q4135" t="s">
        <v>43</v>
      </c>
      <c r="R4135" t="s">
        <v>43</v>
      </c>
      <c r="S4135" t="s">
        <v>43</v>
      </c>
      <c r="T4135" t="s">
        <v>43</v>
      </c>
      <c r="U4135" t="s">
        <v>43</v>
      </c>
      <c r="V4135" t="s">
        <v>43</v>
      </c>
      <c r="W4135" t="s">
        <v>43</v>
      </c>
      <c r="X4135" t="s">
        <v>43</v>
      </c>
      <c r="Y4135" t="s">
        <v>43</v>
      </c>
      <c r="Z4135" t="s">
        <v>43</v>
      </c>
      <c r="AA4135" t="s">
        <v>43</v>
      </c>
      <c r="AB4135" t="s">
        <v>43</v>
      </c>
      <c r="AC4135" t="s">
        <v>43</v>
      </c>
      <c r="AD4135" t="s">
        <v>43</v>
      </c>
      <c r="AE4135" t="s">
        <v>43</v>
      </c>
      <c r="AF4135" t="s">
        <v>43</v>
      </c>
      <c r="AG4135" t="s">
        <v>43</v>
      </c>
      <c r="AH4135" t="s">
        <v>43</v>
      </c>
      <c r="AI4135" t="s">
        <v>43</v>
      </c>
      <c r="AJ4135" t="s">
        <v>43</v>
      </c>
      <c r="AK4135" t="s">
        <v>43</v>
      </c>
      <c r="AL4135" t="s">
        <v>43</v>
      </c>
      <c r="AM4135" t="s">
        <v>43</v>
      </c>
      <c r="AN4135" t="str">
        <f>HYPERLINK("https://www.google.com/maps?q=10.76306725,79.69434357","Open Location")</f>
        <v>Open Location</v>
      </c>
    </row>
    <row r="4136" spans="1:40" x14ac:dyDescent="0.3">
      <c r="A4136" s="1">
        <v>46210.520601851851</v>
      </c>
      <c r="B4136" t="s">
        <v>40</v>
      </c>
      <c r="C4136" t="s">
        <v>41</v>
      </c>
      <c r="D4136" s="1">
        <v>46210.523425925923</v>
      </c>
      <c r="E4136" t="s">
        <v>42</v>
      </c>
      <c r="F4136" t="s">
        <v>43</v>
      </c>
      <c r="G4136" t="s">
        <v>43</v>
      </c>
      <c r="H4136" t="s">
        <v>43</v>
      </c>
      <c r="I4136" t="s">
        <v>2352</v>
      </c>
      <c r="J4136" t="s">
        <v>43</v>
      </c>
      <c r="K4136" t="s">
        <v>43</v>
      </c>
      <c r="L4136" t="s">
        <v>43</v>
      </c>
      <c r="M4136" t="s">
        <v>43</v>
      </c>
      <c r="N4136" t="s">
        <v>45</v>
      </c>
      <c r="O4136" t="s">
        <v>43</v>
      </c>
      <c r="P4136" t="s">
        <v>43</v>
      </c>
      <c r="Q4136" t="s">
        <v>43</v>
      </c>
      <c r="R4136" t="s">
        <v>43</v>
      </c>
      <c r="S4136" t="s">
        <v>43</v>
      </c>
      <c r="T4136" t="s">
        <v>43</v>
      </c>
      <c r="U4136" t="s">
        <v>43</v>
      </c>
      <c r="V4136" t="s">
        <v>43</v>
      </c>
      <c r="W4136" t="s">
        <v>43</v>
      </c>
      <c r="X4136" t="s">
        <v>43</v>
      </c>
      <c r="Y4136" t="s">
        <v>43</v>
      </c>
      <c r="Z4136" t="s">
        <v>43</v>
      </c>
      <c r="AA4136" t="s">
        <v>43</v>
      </c>
      <c r="AB4136" t="s">
        <v>43</v>
      </c>
      <c r="AC4136" t="s">
        <v>43</v>
      </c>
      <c r="AD4136" t="s">
        <v>43</v>
      </c>
      <c r="AE4136" t="s">
        <v>43</v>
      </c>
      <c r="AF4136" t="s">
        <v>43</v>
      </c>
      <c r="AG4136" t="s">
        <v>43</v>
      </c>
      <c r="AH4136" t="s">
        <v>43</v>
      </c>
      <c r="AI4136" t="s">
        <v>43</v>
      </c>
      <c r="AJ4136" t="s">
        <v>43</v>
      </c>
      <c r="AK4136" t="s">
        <v>43</v>
      </c>
      <c r="AL4136" t="s">
        <v>43</v>
      </c>
      <c r="AM4136" t="s">
        <v>43</v>
      </c>
      <c r="AN4136" t="str">
        <f>HYPERLINK("https://www.google.com/maps?q=10.76306629,79.69434357","Open Location")</f>
        <v>Open Location</v>
      </c>
    </row>
    <row r="4137" spans="1:40" x14ac:dyDescent="0.3">
      <c r="A4137" s="1">
        <v>46210.520486111112</v>
      </c>
      <c r="B4137" t="s">
        <v>40</v>
      </c>
      <c r="C4137" t="s">
        <v>41</v>
      </c>
      <c r="D4137" s="1">
        <v>46210.523564814815</v>
      </c>
      <c r="E4137" t="s">
        <v>42</v>
      </c>
      <c r="F4137" t="s">
        <v>43</v>
      </c>
      <c r="G4137" t="s">
        <v>43</v>
      </c>
      <c r="H4137" t="s">
        <v>43</v>
      </c>
      <c r="I4137" t="s">
        <v>2353</v>
      </c>
      <c r="J4137" t="s">
        <v>43</v>
      </c>
      <c r="K4137" t="s">
        <v>43</v>
      </c>
      <c r="L4137" t="s">
        <v>43</v>
      </c>
      <c r="M4137" t="s">
        <v>43</v>
      </c>
      <c r="N4137" t="s">
        <v>45</v>
      </c>
      <c r="O4137" t="s">
        <v>43</v>
      </c>
      <c r="P4137" t="s">
        <v>43</v>
      </c>
      <c r="Q4137" t="s">
        <v>43</v>
      </c>
      <c r="R4137" t="s">
        <v>43</v>
      </c>
      <c r="S4137" t="s">
        <v>43</v>
      </c>
      <c r="T4137" t="s">
        <v>43</v>
      </c>
      <c r="U4137" t="s">
        <v>43</v>
      </c>
      <c r="V4137" t="s">
        <v>43</v>
      </c>
      <c r="W4137" t="s">
        <v>43</v>
      </c>
      <c r="X4137" t="s">
        <v>43</v>
      </c>
      <c r="Y4137" t="s">
        <v>43</v>
      </c>
      <c r="Z4137" t="s">
        <v>43</v>
      </c>
      <c r="AA4137" t="s">
        <v>43</v>
      </c>
      <c r="AB4137" t="s">
        <v>43</v>
      </c>
      <c r="AC4137" t="s">
        <v>43</v>
      </c>
      <c r="AD4137" t="s">
        <v>43</v>
      </c>
      <c r="AE4137" t="s">
        <v>43</v>
      </c>
      <c r="AF4137" t="s">
        <v>43</v>
      </c>
      <c r="AG4137" t="s">
        <v>43</v>
      </c>
      <c r="AH4137" t="s">
        <v>43</v>
      </c>
      <c r="AI4137" t="s">
        <v>43</v>
      </c>
      <c r="AJ4137" t="s">
        <v>43</v>
      </c>
      <c r="AK4137" t="s">
        <v>43</v>
      </c>
      <c r="AL4137" t="s">
        <v>43</v>
      </c>
      <c r="AM4137" t="s">
        <v>43</v>
      </c>
      <c r="AN4137" t="str">
        <f>HYPERLINK("https://www.google.com/maps?q=10.76307201,79.69434357","Open Location")</f>
        <v>Open Location</v>
      </c>
    </row>
    <row r="4138" spans="1:40" x14ac:dyDescent="0.3">
      <c r="A4138" s="1">
        <v>46210.520370370374</v>
      </c>
      <c r="B4138" t="s">
        <v>40</v>
      </c>
      <c r="C4138" t="s">
        <v>41</v>
      </c>
      <c r="D4138" s="1">
        <v>46210.5233912037</v>
      </c>
      <c r="E4138" t="s">
        <v>42</v>
      </c>
      <c r="F4138" t="s">
        <v>43</v>
      </c>
      <c r="G4138" t="s">
        <v>43</v>
      </c>
      <c r="H4138" t="s">
        <v>43</v>
      </c>
      <c r="I4138" t="s">
        <v>2354</v>
      </c>
      <c r="J4138" t="s">
        <v>43</v>
      </c>
      <c r="K4138" t="s">
        <v>43</v>
      </c>
      <c r="L4138" t="s">
        <v>43</v>
      </c>
      <c r="M4138" t="s">
        <v>43</v>
      </c>
      <c r="N4138" t="s">
        <v>45</v>
      </c>
      <c r="O4138" t="s">
        <v>43</v>
      </c>
      <c r="P4138" t="s">
        <v>43</v>
      </c>
      <c r="Q4138" t="s">
        <v>43</v>
      </c>
      <c r="R4138" t="s">
        <v>43</v>
      </c>
      <c r="S4138" t="s">
        <v>43</v>
      </c>
      <c r="T4138" t="s">
        <v>43</v>
      </c>
      <c r="U4138" t="s">
        <v>43</v>
      </c>
      <c r="V4138" t="s">
        <v>43</v>
      </c>
      <c r="W4138" t="s">
        <v>43</v>
      </c>
      <c r="X4138" t="s">
        <v>43</v>
      </c>
      <c r="Y4138" t="s">
        <v>43</v>
      </c>
      <c r="Z4138" t="s">
        <v>43</v>
      </c>
      <c r="AA4138" t="s">
        <v>43</v>
      </c>
      <c r="AB4138" t="s">
        <v>43</v>
      </c>
      <c r="AC4138" t="s">
        <v>43</v>
      </c>
      <c r="AD4138" t="s">
        <v>43</v>
      </c>
      <c r="AE4138" t="s">
        <v>43</v>
      </c>
      <c r="AF4138" t="s">
        <v>43</v>
      </c>
      <c r="AG4138" t="s">
        <v>43</v>
      </c>
      <c r="AH4138" t="s">
        <v>43</v>
      </c>
      <c r="AI4138" t="s">
        <v>43</v>
      </c>
      <c r="AJ4138" t="s">
        <v>43</v>
      </c>
      <c r="AK4138" t="s">
        <v>43</v>
      </c>
      <c r="AL4138" t="s">
        <v>43</v>
      </c>
      <c r="AM4138" t="s">
        <v>43</v>
      </c>
      <c r="AN4138" t="str">
        <f>HYPERLINK("https://www.google.com/maps?q=10.76307297,79.69434357","Open Location")</f>
        <v>Open Location</v>
      </c>
    </row>
    <row r="4139" spans="1:40" x14ac:dyDescent="0.3">
      <c r="A4139" s="1">
        <v>46210.520254629628</v>
      </c>
      <c r="B4139" t="s">
        <v>40</v>
      </c>
      <c r="C4139" t="s">
        <v>41</v>
      </c>
      <c r="D4139" s="1">
        <v>46210.5233912037</v>
      </c>
      <c r="E4139" t="s">
        <v>42</v>
      </c>
      <c r="F4139" t="s">
        <v>43</v>
      </c>
      <c r="G4139" t="s">
        <v>43</v>
      </c>
      <c r="H4139" t="s">
        <v>43</v>
      </c>
      <c r="I4139" t="s">
        <v>43</v>
      </c>
      <c r="J4139" t="s">
        <v>43</v>
      </c>
      <c r="K4139" t="s">
        <v>43</v>
      </c>
      <c r="L4139" t="s">
        <v>43</v>
      </c>
      <c r="M4139" t="s">
        <v>43</v>
      </c>
      <c r="N4139" t="s">
        <v>45</v>
      </c>
      <c r="O4139" t="s">
        <v>43</v>
      </c>
      <c r="P4139" t="s">
        <v>43</v>
      </c>
      <c r="Q4139" t="s">
        <v>43</v>
      </c>
      <c r="R4139" t="s">
        <v>43</v>
      </c>
      <c r="S4139" t="s">
        <v>43</v>
      </c>
      <c r="T4139" t="s">
        <v>43</v>
      </c>
      <c r="U4139" t="s">
        <v>43</v>
      </c>
      <c r="V4139" t="s">
        <v>43</v>
      </c>
      <c r="W4139" t="s">
        <v>43</v>
      </c>
      <c r="X4139" t="s">
        <v>43</v>
      </c>
      <c r="Y4139" t="s">
        <v>43</v>
      </c>
      <c r="Z4139" t="s">
        <v>43</v>
      </c>
      <c r="AA4139" t="s">
        <v>43</v>
      </c>
      <c r="AB4139" t="s">
        <v>43</v>
      </c>
      <c r="AC4139" t="s">
        <v>43</v>
      </c>
      <c r="AD4139" t="s">
        <v>43</v>
      </c>
      <c r="AE4139" t="s">
        <v>43</v>
      </c>
      <c r="AF4139" t="s">
        <v>43</v>
      </c>
      <c r="AG4139" t="s">
        <v>43</v>
      </c>
      <c r="AH4139" t="s">
        <v>43</v>
      </c>
      <c r="AI4139" t="s">
        <v>43</v>
      </c>
      <c r="AJ4139" t="s">
        <v>43</v>
      </c>
      <c r="AK4139" t="s">
        <v>43</v>
      </c>
      <c r="AL4139" t="s">
        <v>43</v>
      </c>
      <c r="AM4139" t="s">
        <v>43</v>
      </c>
      <c r="AN4139" t="s">
        <v>43</v>
      </c>
    </row>
    <row r="4140" spans="1:40" x14ac:dyDescent="0.3">
      <c r="A4140" s="1">
        <v>46210.520138888889</v>
      </c>
      <c r="B4140" t="s">
        <v>40</v>
      </c>
      <c r="C4140" t="s">
        <v>41</v>
      </c>
      <c r="D4140" s="1">
        <v>46210.522951388892</v>
      </c>
      <c r="E4140" t="s">
        <v>42</v>
      </c>
      <c r="F4140" t="s">
        <v>43</v>
      </c>
      <c r="G4140" t="s">
        <v>43</v>
      </c>
      <c r="H4140" t="s">
        <v>43</v>
      </c>
      <c r="I4140" t="s">
        <v>2355</v>
      </c>
      <c r="J4140" t="s">
        <v>43</v>
      </c>
      <c r="K4140" t="s">
        <v>43</v>
      </c>
      <c r="L4140" t="s">
        <v>43</v>
      </c>
      <c r="M4140" t="s">
        <v>43</v>
      </c>
      <c r="N4140" t="s">
        <v>45</v>
      </c>
      <c r="O4140" t="s">
        <v>43</v>
      </c>
      <c r="P4140" t="s">
        <v>43</v>
      </c>
      <c r="Q4140" t="s">
        <v>43</v>
      </c>
      <c r="R4140" t="s">
        <v>43</v>
      </c>
      <c r="S4140" t="s">
        <v>43</v>
      </c>
      <c r="T4140" t="s">
        <v>43</v>
      </c>
      <c r="U4140" t="s">
        <v>43</v>
      </c>
      <c r="V4140" t="s">
        <v>43</v>
      </c>
      <c r="W4140" t="s">
        <v>43</v>
      </c>
      <c r="X4140" t="s">
        <v>43</v>
      </c>
      <c r="Y4140" t="s">
        <v>43</v>
      </c>
      <c r="Z4140" t="s">
        <v>43</v>
      </c>
      <c r="AA4140" t="s">
        <v>43</v>
      </c>
      <c r="AB4140" t="s">
        <v>43</v>
      </c>
      <c r="AC4140" t="s">
        <v>43</v>
      </c>
      <c r="AD4140" t="s">
        <v>43</v>
      </c>
      <c r="AE4140" t="s">
        <v>43</v>
      </c>
      <c r="AF4140" t="s">
        <v>43</v>
      </c>
      <c r="AG4140" t="s">
        <v>43</v>
      </c>
      <c r="AH4140" t="s">
        <v>43</v>
      </c>
      <c r="AI4140" t="s">
        <v>43</v>
      </c>
      <c r="AJ4140" t="s">
        <v>43</v>
      </c>
      <c r="AK4140" t="s">
        <v>43</v>
      </c>
      <c r="AL4140" t="s">
        <v>43</v>
      </c>
      <c r="AM4140" t="s">
        <v>43</v>
      </c>
      <c r="AN4140" t="str">
        <f>HYPERLINK("https://www.google.com/maps?q=10.76307678,79.69433594","Open Location")</f>
        <v>Open Location</v>
      </c>
    </row>
    <row r="4141" spans="1:40" x14ac:dyDescent="0.3">
      <c r="A4141" s="1">
        <v>46210.52002314815</v>
      </c>
      <c r="B4141" t="s">
        <v>40</v>
      </c>
      <c r="C4141" t="s">
        <v>41</v>
      </c>
      <c r="D4141" s="1">
        <v>46210.522731481484</v>
      </c>
      <c r="E4141" t="s">
        <v>42</v>
      </c>
      <c r="F4141" t="s">
        <v>43</v>
      </c>
      <c r="G4141" t="s">
        <v>43</v>
      </c>
      <c r="H4141" t="s">
        <v>43</v>
      </c>
      <c r="I4141" t="s">
        <v>2356</v>
      </c>
      <c r="J4141" t="s">
        <v>43</v>
      </c>
      <c r="K4141" t="s">
        <v>43</v>
      </c>
      <c r="L4141" t="s">
        <v>43</v>
      </c>
      <c r="M4141" t="s">
        <v>43</v>
      </c>
      <c r="N4141" t="s">
        <v>45</v>
      </c>
      <c r="O4141" t="s">
        <v>43</v>
      </c>
      <c r="P4141" t="s">
        <v>43</v>
      </c>
      <c r="Q4141" t="s">
        <v>43</v>
      </c>
      <c r="R4141" t="s">
        <v>43</v>
      </c>
      <c r="S4141" t="s">
        <v>43</v>
      </c>
      <c r="T4141" t="s">
        <v>43</v>
      </c>
      <c r="U4141" t="s">
        <v>43</v>
      </c>
      <c r="V4141" t="s">
        <v>43</v>
      </c>
      <c r="W4141" t="s">
        <v>43</v>
      </c>
      <c r="X4141" t="s">
        <v>43</v>
      </c>
      <c r="Y4141" t="s">
        <v>43</v>
      </c>
      <c r="Z4141" t="s">
        <v>43</v>
      </c>
      <c r="AA4141" t="s">
        <v>43</v>
      </c>
      <c r="AB4141" t="s">
        <v>43</v>
      </c>
      <c r="AC4141" t="s">
        <v>43</v>
      </c>
      <c r="AD4141" t="s">
        <v>43</v>
      </c>
      <c r="AE4141" t="s">
        <v>43</v>
      </c>
      <c r="AF4141" t="s">
        <v>43</v>
      </c>
      <c r="AG4141" t="s">
        <v>43</v>
      </c>
      <c r="AH4141" t="s">
        <v>43</v>
      </c>
      <c r="AI4141" t="s">
        <v>43</v>
      </c>
      <c r="AJ4141" t="s">
        <v>43</v>
      </c>
      <c r="AK4141" t="s">
        <v>43</v>
      </c>
      <c r="AL4141" t="s">
        <v>43</v>
      </c>
      <c r="AM4141" t="s">
        <v>43</v>
      </c>
      <c r="AN4141" t="str">
        <f>HYPERLINK("https://www.google.com/maps?q=10.76307869,79.6943512","Open Location")</f>
        <v>Open Location</v>
      </c>
    </row>
    <row r="4142" spans="1:40" x14ac:dyDescent="0.3">
      <c r="A4142" s="1">
        <v>46210.519907407404</v>
      </c>
      <c r="B4142" t="s">
        <v>40</v>
      </c>
      <c r="C4142" t="s">
        <v>41</v>
      </c>
      <c r="D4142" s="1">
        <v>46210.522870370369</v>
      </c>
      <c r="E4142" t="s">
        <v>42</v>
      </c>
      <c r="F4142" t="s">
        <v>43</v>
      </c>
      <c r="G4142" t="s">
        <v>43</v>
      </c>
      <c r="H4142" t="s">
        <v>43</v>
      </c>
      <c r="I4142" t="s">
        <v>2357</v>
      </c>
      <c r="J4142" t="s">
        <v>43</v>
      </c>
      <c r="K4142" t="s">
        <v>43</v>
      </c>
      <c r="L4142" t="s">
        <v>43</v>
      </c>
      <c r="M4142" t="s">
        <v>43</v>
      </c>
      <c r="N4142" t="s">
        <v>45</v>
      </c>
      <c r="O4142" t="s">
        <v>43</v>
      </c>
      <c r="P4142" t="s">
        <v>43</v>
      </c>
      <c r="Q4142" t="s">
        <v>43</v>
      </c>
      <c r="R4142" t="s">
        <v>43</v>
      </c>
      <c r="S4142" t="s">
        <v>43</v>
      </c>
      <c r="T4142" t="s">
        <v>43</v>
      </c>
      <c r="U4142" t="s">
        <v>43</v>
      </c>
      <c r="V4142" t="s">
        <v>43</v>
      </c>
      <c r="W4142" t="s">
        <v>43</v>
      </c>
      <c r="X4142" t="s">
        <v>43</v>
      </c>
      <c r="Y4142" t="s">
        <v>43</v>
      </c>
      <c r="Z4142" t="s">
        <v>43</v>
      </c>
      <c r="AA4142" t="s">
        <v>43</v>
      </c>
      <c r="AB4142" t="s">
        <v>43</v>
      </c>
      <c r="AC4142" t="s">
        <v>43</v>
      </c>
      <c r="AD4142" t="s">
        <v>43</v>
      </c>
      <c r="AE4142" t="s">
        <v>43</v>
      </c>
      <c r="AF4142" t="s">
        <v>43</v>
      </c>
      <c r="AG4142" t="s">
        <v>43</v>
      </c>
      <c r="AH4142" t="s">
        <v>43</v>
      </c>
      <c r="AI4142" t="s">
        <v>43</v>
      </c>
      <c r="AJ4142" t="s">
        <v>43</v>
      </c>
      <c r="AK4142" t="s">
        <v>43</v>
      </c>
      <c r="AL4142" t="s">
        <v>43</v>
      </c>
      <c r="AM4142" t="s">
        <v>43</v>
      </c>
      <c r="AN4142" t="str">
        <f>HYPERLINK("https://www.google.com/maps?q=10.7630806,79.6943512","Open Location")</f>
        <v>Open Location</v>
      </c>
    </row>
    <row r="4143" spans="1:40" x14ac:dyDescent="0.3">
      <c r="A4143" s="1">
        <v>46210.519791666666</v>
      </c>
      <c r="B4143" t="s">
        <v>40</v>
      </c>
      <c r="C4143" t="s">
        <v>41</v>
      </c>
      <c r="D4143" s="1">
        <v>46210.522743055553</v>
      </c>
      <c r="E4143" t="s">
        <v>42</v>
      </c>
      <c r="F4143" t="s">
        <v>43</v>
      </c>
      <c r="G4143" t="s">
        <v>43</v>
      </c>
      <c r="H4143" t="s">
        <v>43</v>
      </c>
      <c r="I4143" t="s">
        <v>2314</v>
      </c>
      <c r="J4143" t="s">
        <v>43</v>
      </c>
      <c r="K4143" t="s">
        <v>43</v>
      </c>
      <c r="L4143" t="s">
        <v>43</v>
      </c>
      <c r="M4143" t="s">
        <v>43</v>
      </c>
      <c r="N4143" t="s">
        <v>45</v>
      </c>
      <c r="O4143" t="s">
        <v>43</v>
      </c>
      <c r="P4143" t="s">
        <v>43</v>
      </c>
      <c r="Q4143" t="s">
        <v>43</v>
      </c>
      <c r="R4143" t="s">
        <v>43</v>
      </c>
      <c r="S4143" t="s">
        <v>43</v>
      </c>
      <c r="T4143" t="s">
        <v>43</v>
      </c>
      <c r="U4143" t="s">
        <v>43</v>
      </c>
      <c r="V4143" t="s">
        <v>43</v>
      </c>
      <c r="W4143" t="s">
        <v>43</v>
      </c>
      <c r="X4143" t="s">
        <v>43</v>
      </c>
      <c r="Y4143" t="s">
        <v>43</v>
      </c>
      <c r="Z4143" t="s">
        <v>43</v>
      </c>
      <c r="AA4143" t="s">
        <v>43</v>
      </c>
      <c r="AB4143" t="s">
        <v>43</v>
      </c>
      <c r="AC4143" t="s">
        <v>43</v>
      </c>
      <c r="AD4143" t="s">
        <v>43</v>
      </c>
      <c r="AE4143" t="s">
        <v>43</v>
      </c>
      <c r="AF4143" t="s">
        <v>43</v>
      </c>
      <c r="AG4143" t="s">
        <v>43</v>
      </c>
      <c r="AH4143" t="s">
        <v>43</v>
      </c>
      <c r="AI4143" t="s">
        <v>43</v>
      </c>
      <c r="AJ4143" t="s">
        <v>43</v>
      </c>
      <c r="AK4143" t="s">
        <v>43</v>
      </c>
      <c r="AL4143" t="s">
        <v>43</v>
      </c>
      <c r="AM4143" t="s">
        <v>43</v>
      </c>
      <c r="AN4143" t="str">
        <f>HYPERLINK("https://www.google.com/maps?q=10.76307487,79.6943512","Open Location")</f>
        <v>Open Location</v>
      </c>
    </row>
    <row r="4144" spans="1:40" x14ac:dyDescent="0.3">
      <c r="A4144" s="1">
        <v>46210.519675925927</v>
      </c>
      <c r="B4144" t="s">
        <v>40</v>
      </c>
      <c r="C4144" t="s">
        <v>41</v>
      </c>
      <c r="D4144" s="1">
        <v>46210.522870370369</v>
      </c>
      <c r="E4144" t="s">
        <v>42</v>
      </c>
      <c r="F4144" t="s">
        <v>43</v>
      </c>
      <c r="G4144" t="s">
        <v>43</v>
      </c>
      <c r="H4144" t="s">
        <v>43</v>
      </c>
      <c r="I4144" t="s">
        <v>43</v>
      </c>
      <c r="J4144" t="s">
        <v>43</v>
      </c>
      <c r="K4144" t="s">
        <v>43</v>
      </c>
      <c r="L4144" t="s">
        <v>43</v>
      </c>
      <c r="M4144" t="s">
        <v>43</v>
      </c>
      <c r="N4144" t="s">
        <v>45</v>
      </c>
      <c r="O4144" t="s">
        <v>43</v>
      </c>
      <c r="P4144" t="s">
        <v>43</v>
      </c>
      <c r="Q4144" t="s">
        <v>43</v>
      </c>
      <c r="R4144" t="s">
        <v>43</v>
      </c>
      <c r="S4144" t="s">
        <v>43</v>
      </c>
      <c r="T4144" t="s">
        <v>43</v>
      </c>
      <c r="U4144" t="s">
        <v>43</v>
      </c>
      <c r="V4144" t="s">
        <v>43</v>
      </c>
      <c r="W4144" t="s">
        <v>43</v>
      </c>
      <c r="X4144" t="s">
        <v>43</v>
      </c>
      <c r="Y4144" t="s">
        <v>43</v>
      </c>
      <c r="Z4144" t="s">
        <v>43</v>
      </c>
      <c r="AA4144" t="s">
        <v>43</v>
      </c>
      <c r="AB4144" t="s">
        <v>43</v>
      </c>
      <c r="AC4144" t="s">
        <v>43</v>
      </c>
      <c r="AD4144" t="s">
        <v>43</v>
      </c>
      <c r="AE4144" t="s">
        <v>43</v>
      </c>
      <c r="AF4144" t="s">
        <v>43</v>
      </c>
      <c r="AG4144" t="s">
        <v>43</v>
      </c>
      <c r="AH4144" t="s">
        <v>43</v>
      </c>
      <c r="AI4144" t="s">
        <v>43</v>
      </c>
      <c r="AJ4144" t="s">
        <v>43</v>
      </c>
      <c r="AK4144" t="s">
        <v>43</v>
      </c>
      <c r="AL4144" t="s">
        <v>43</v>
      </c>
      <c r="AM4144" t="s">
        <v>43</v>
      </c>
      <c r="AN4144" t="s">
        <v>43</v>
      </c>
    </row>
    <row r="4145" spans="1:40" x14ac:dyDescent="0.3">
      <c r="A4145" s="1">
        <v>46210.519560185188</v>
      </c>
      <c r="B4145" t="s">
        <v>40</v>
      </c>
      <c r="C4145" t="s">
        <v>41</v>
      </c>
      <c r="D4145" s="1">
        <v>46210.52270833333</v>
      </c>
      <c r="E4145" t="s">
        <v>42</v>
      </c>
      <c r="F4145" t="s">
        <v>43</v>
      </c>
      <c r="G4145" t="s">
        <v>43</v>
      </c>
      <c r="H4145" t="s">
        <v>43</v>
      </c>
      <c r="I4145" t="s">
        <v>2356</v>
      </c>
      <c r="J4145" t="s">
        <v>43</v>
      </c>
      <c r="K4145" t="s">
        <v>43</v>
      </c>
      <c r="L4145" t="s">
        <v>43</v>
      </c>
      <c r="M4145" t="s">
        <v>43</v>
      </c>
      <c r="N4145" t="s">
        <v>45</v>
      </c>
      <c r="O4145" t="s">
        <v>43</v>
      </c>
      <c r="P4145" t="s">
        <v>43</v>
      </c>
      <c r="Q4145" t="s">
        <v>43</v>
      </c>
      <c r="R4145" t="s">
        <v>43</v>
      </c>
      <c r="S4145" t="s">
        <v>43</v>
      </c>
      <c r="T4145" t="s">
        <v>43</v>
      </c>
      <c r="U4145" t="s">
        <v>43</v>
      </c>
      <c r="V4145" t="s">
        <v>43</v>
      </c>
      <c r="W4145" t="s">
        <v>43</v>
      </c>
      <c r="X4145" t="s">
        <v>43</v>
      </c>
      <c r="Y4145" t="s">
        <v>43</v>
      </c>
      <c r="Z4145" t="s">
        <v>43</v>
      </c>
      <c r="AA4145" t="s">
        <v>43</v>
      </c>
      <c r="AB4145" t="s">
        <v>43</v>
      </c>
      <c r="AC4145" t="s">
        <v>43</v>
      </c>
      <c r="AD4145" t="s">
        <v>43</v>
      </c>
      <c r="AE4145" t="s">
        <v>43</v>
      </c>
      <c r="AF4145" t="s">
        <v>43</v>
      </c>
      <c r="AG4145" t="s">
        <v>43</v>
      </c>
      <c r="AH4145" t="s">
        <v>43</v>
      </c>
      <c r="AI4145" t="s">
        <v>43</v>
      </c>
      <c r="AJ4145" t="s">
        <v>43</v>
      </c>
      <c r="AK4145" t="s">
        <v>43</v>
      </c>
      <c r="AL4145" t="s">
        <v>43</v>
      </c>
      <c r="AM4145" t="s">
        <v>43</v>
      </c>
      <c r="AN4145" t="str">
        <f>HYPERLINK("https://www.google.com/maps?q=10.76307869,79.6943512","Open Location")</f>
        <v>Open Location</v>
      </c>
    </row>
    <row r="4146" spans="1:40" x14ac:dyDescent="0.3">
      <c r="A4146" s="1">
        <v>46210.519444444442</v>
      </c>
      <c r="B4146" t="s">
        <v>40</v>
      </c>
      <c r="C4146" t="s">
        <v>41</v>
      </c>
      <c r="D4146" s="1">
        <v>46210.522187499999</v>
      </c>
      <c r="E4146" t="s">
        <v>42</v>
      </c>
      <c r="F4146" t="s">
        <v>43</v>
      </c>
      <c r="G4146" t="s">
        <v>43</v>
      </c>
      <c r="H4146" t="s">
        <v>43</v>
      </c>
      <c r="I4146" t="s">
        <v>2356</v>
      </c>
      <c r="J4146" t="s">
        <v>43</v>
      </c>
      <c r="K4146" t="s">
        <v>43</v>
      </c>
      <c r="L4146" t="s">
        <v>43</v>
      </c>
      <c r="M4146" t="s">
        <v>43</v>
      </c>
      <c r="N4146" t="s">
        <v>45</v>
      </c>
      <c r="O4146" t="s">
        <v>43</v>
      </c>
      <c r="P4146" t="s">
        <v>43</v>
      </c>
      <c r="Q4146" t="s">
        <v>43</v>
      </c>
      <c r="R4146" t="s">
        <v>43</v>
      </c>
      <c r="S4146" t="s">
        <v>43</v>
      </c>
      <c r="T4146" t="s">
        <v>43</v>
      </c>
      <c r="U4146" t="s">
        <v>43</v>
      </c>
      <c r="V4146" t="s">
        <v>43</v>
      </c>
      <c r="W4146" t="s">
        <v>43</v>
      </c>
      <c r="X4146" t="s">
        <v>43</v>
      </c>
      <c r="Y4146" t="s">
        <v>43</v>
      </c>
      <c r="Z4146" t="s">
        <v>43</v>
      </c>
      <c r="AA4146" t="s">
        <v>43</v>
      </c>
      <c r="AB4146" t="s">
        <v>43</v>
      </c>
      <c r="AC4146" t="s">
        <v>43</v>
      </c>
      <c r="AD4146" t="s">
        <v>43</v>
      </c>
      <c r="AE4146" t="s">
        <v>43</v>
      </c>
      <c r="AF4146" t="s">
        <v>43</v>
      </c>
      <c r="AG4146" t="s">
        <v>43</v>
      </c>
      <c r="AH4146" t="s">
        <v>43</v>
      </c>
      <c r="AI4146" t="s">
        <v>43</v>
      </c>
      <c r="AJ4146" t="s">
        <v>43</v>
      </c>
      <c r="AK4146" t="s">
        <v>43</v>
      </c>
      <c r="AL4146" t="s">
        <v>43</v>
      </c>
      <c r="AM4146" t="s">
        <v>43</v>
      </c>
      <c r="AN4146" t="str">
        <f>HYPERLINK("https://www.google.com/maps?q=10.76307869,79.6943512","Open Location")</f>
        <v>Open Location</v>
      </c>
    </row>
    <row r="4147" spans="1:40" x14ac:dyDescent="0.3">
      <c r="A4147" s="1">
        <v>46210.519328703704</v>
      </c>
      <c r="B4147" t="s">
        <v>40</v>
      </c>
      <c r="C4147" t="s">
        <v>41</v>
      </c>
      <c r="D4147" s="1">
        <v>46210.522222222222</v>
      </c>
      <c r="E4147" t="s">
        <v>42</v>
      </c>
      <c r="F4147" t="s">
        <v>43</v>
      </c>
      <c r="G4147" t="s">
        <v>43</v>
      </c>
      <c r="H4147" t="s">
        <v>43</v>
      </c>
      <c r="I4147" t="s">
        <v>2358</v>
      </c>
      <c r="J4147" t="s">
        <v>43</v>
      </c>
      <c r="K4147" t="s">
        <v>43</v>
      </c>
      <c r="L4147" t="s">
        <v>43</v>
      </c>
      <c r="M4147" t="s">
        <v>43</v>
      </c>
      <c r="N4147" t="s">
        <v>45</v>
      </c>
      <c r="O4147" t="s">
        <v>43</v>
      </c>
      <c r="P4147" t="s">
        <v>43</v>
      </c>
      <c r="Q4147" t="s">
        <v>43</v>
      </c>
      <c r="R4147" t="s">
        <v>43</v>
      </c>
      <c r="S4147" t="s">
        <v>43</v>
      </c>
      <c r="T4147" t="s">
        <v>43</v>
      </c>
      <c r="U4147" t="s">
        <v>43</v>
      </c>
      <c r="V4147" t="s">
        <v>43</v>
      </c>
      <c r="W4147" t="s">
        <v>43</v>
      </c>
      <c r="X4147" t="s">
        <v>43</v>
      </c>
      <c r="Y4147" t="s">
        <v>43</v>
      </c>
      <c r="Z4147" t="s">
        <v>43</v>
      </c>
      <c r="AA4147" t="s">
        <v>43</v>
      </c>
      <c r="AB4147" t="s">
        <v>43</v>
      </c>
      <c r="AC4147" t="s">
        <v>43</v>
      </c>
      <c r="AD4147" t="s">
        <v>43</v>
      </c>
      <c r="AE4147" t="s">
        <v>43</v>
      </c>
      <c r="AF4147" t="s">
        <v>43</v>
      </c>
      <c r="AG4147" t="s">
        <v>43</v>
      </c>
      <c r="AH4147" t="s">
        <v>43</v>
      </c>
      <c r="AI4147" t="s">
        <v>43</v>
      </c>
      <c r="AJ4147" t="s">
        <v>43</v>
      </c>
      <c r="AK4147" t="s">
        <v>43</v>
      </c>
      <c r="AL4147" t="s">
        <v>43</v>
      </c>
      <c r="AM4147" t="s">
        <v>43</v>
      </c>
      <c r="AN4147" t="str">
        <f>HYPERLINK("https://www.google.com/maps?q=10.76308918,79.69436646","Open Location")</f>
        <v>Open Location</v>
      </c>
    </row>
    <row r="4148" spans="1:40" x14ac:dyDescent="0.3">
      <c r="A4148" s="1">
        <v>46210.519212962965</v>
      </c>
      <c r="B4148" t="s">
        <v>40</v>
      </c>
      <c r="C4148" t="s">
        <v>41</v>
      </c>
      <c r="D4148" s="1">
        <v>46210.522013888891</v>
      </c>
      <c r="E4148" t="s">
        <v>42</v>
      </c>
      <c r="F4148" t="s">
        <v>43</v>
      </c>
      <c r="G4148" t="s">
        <v>43</v>
      </c>
      <c r="H4148" t="s">
        <v>43</v>
      </c>
      <c r="I4148" t="s">
        <v>2359</v>
      </c>
      <c r="J4148" t="s">
        <v>43</v>
      </c>
      <c r="K4148" t="s">
        <v>43</v>
      </c>
      <c r="L4148" t="s">
        <v>43</v>
      </c>
      <c r="M4148" t="s">
        <v>43</v>
      </c>
      <c r="N4148" t="s">
        <v>45</v>
      </c>
      <c r="O4148" t="s">
        <v>43</v>
      </c>
      <c r="P4148" t="s">
        <v>43</v>
      </c>
      <c r="Q4148" t="s">
        <v>43</v>
      </c>
      <c r="R4148" t="s">
        <v>43</v>
      </c>
      <c r="S4148" t="s">
        <v>43</v>
      </c>
      <c r="T4148" t="s">
        <v>43</v>
      </c>
      <c r="U4148" t="s">
        <v>43</v>
      </c>
      <c r="V4148" t="s">
        <v>43</v>
      </c>
      <c r="W4148" t="s">
        <v>43</v>
      </c>
      <c r="X4148" t="s">
        <v>43</v>
      </c>
      <c r="Y4148" t="s">
        <v>43</v>
      </c>
      <c r="Z4148" t="s">
        <v>43</v>
      </c>
      <c r="AA4148" t="s">
        <v>43</v>
      </c>
      <c r="AB4148" t="s">
        <v>43</v>
      </c>
      <c r="AC4148" t="s">
        <v>43</v>
      </c>
      <c r="AD4148" t="s">
        <v>43</v>
      </c>
      <c r="AE4148" t="s">
        <v>43</v>
      </c>
      <c r="AF4148" t="s">
        <v>43</v>
      </c>
      <c r="AG4148" t="s">
        <v>43</v>
      </c>
      <c r="AH4148" t="s">
        <v>43</v>
      </c>
      <c r="AI4148" t="s">
        <v>43</v>
      </c>
      <c r="AJ4148" t="s">
        <v>43</v>
      </c>
      <c r="AK4148" t="s">
        <v>43</v>
      </c>
      <c r="AL4148" t="s">
        <v>43</v>
      </c>
      <c r="AM4148" t="s">
        <v>43</v>
      </c>
      <c r="AN4148" t="str">
        <f>HYPERLINK("https://www.google.com/maps?q=10.76308918,79.69435883","Open Location")</f>
        <v>Open Location</v>
      </c>
    </row>
    <row r="4149" spans="1:40" x14ac:dyDescent="0.3">
      <c r="A4149" s="1">
        <v>46210.519097222219</v>
      </c>
      <c r="B4149" t="s">
        <v>40</v>
      </c>
      <c r="C4149" t="s">
        <v>41</v>
      </c>
      <c r="D4149" s="1">
        <v>46210.522048611114</v>
      </c>
      <c r="E4149" t="s">
        <v>42</v>
      </c>
      <c r="F4149" t="s">
        <v>43</v>
      </c>
      <c r="G4149" t="s">
        <v>43</v>
      </c>
      <c r="H4149" t="s">
        <v>43</v>
      </c>
      <c r="I4149" t="s">
        <v>2360</v>
      </c>
      <c r="J4149" t="s">
        <v>43</v>
      </c>
      <c r="K4149" t="s">
        <v>43</v>
      </c>
      <c r="L4149" t="s">
        <v>43</v>
      </c>
      <c r="M4149" t="s">
        <v>43</v>
      </c>
      <c r="N4149" t="s">
        <v>45</v>
      </c>
      <c r="O4149" t="s">
        <v>43</v>
      </c>
      <c r="P4149" t="s">
        <v>43</v>
      </c>
      <c r="Q4149" t="s">
        <v>43</v>
      </c>
      <c r="R4149" t="s">
        <v>43</v>
      </c>
      <c r="S4149" t="s">
        <v>43</v>
      </c>
      <c r="T4149" t="s">
        <v>43</v>
      </c>
      <c r="U4149" t="s">
        <v>43</v>
      </c>
      <c r="V4149" t="s">
        <v>43</v>
      </c>
      <c r="W4149" t="s">
        <v>43</v>
      </c>
      <c r="X4149" t="s">
        <v>43</v>
      </c>
      <c r="Y4149" t="s">
        <v>43</v>
      </c>
      <c r="Z4149" t="s">
        <v>43</v>
      </c>
      <c r="AA4149" t="s">
        <v>43</v>
      </c>
      <c r="AB4149" t="s">
        <v>43</v>
      </c>
      <c r="AC4149" t="s">
        <v>43</v>
      </c>
      <c r="AD4149" t="s">
        <v>43</v>
      </c>
      <c r="AE4149" t="s">
        <v>43</v>
      </c>
      <c r="AF4149" t="s">
        <v>43</v>
      </c>
      <c r="AG4149" t="s">
        <v>43</v>
      </c>
      <c r="AH4149" t="s">
        <v>43</v>
      </c>
      <c r="AI4149" t="s">
        <v>43</v>
      </c>
      <c r="AJ4149" t="s">
        <v>43</v>
      </c>
      <c r="AK4149" t="s">
        <v>43</v>
      </c>
      <c r="AL4149" t="s">
        <v>43</v>
      </c>
      <c r="AM4149" t="s">
        <v>43</v>
      </c>
      <c r="AN4149" t="str">
        <f>HYPERLINK("https://www.google.com/maps?q=10.76308632,79.69435883","Open Location")</f>
        <v>Open Location</v>
      </c>
    </row>
    <row r="4150" spans="1:40" x14ac:dyDescent="0.3">
      <c r="A4150" s="1">
        <v>46210.51898148148</v>
      </c>
      <c r="B4150" t="s">
        <v>40</v>
      </c>
      <c r="C4150" t="s">
        <v>41</v>
      </c>
      <c r="D4150" s="1">
        <v>46210.521863425929</v>
      </c>
      <c r="E4150" t="s">
        <v>42</v>
      </c>
      <c r="F4150" t="s">
        <v>43</v>
      </c>
      <c r="G4150" t="s">
        <v>43</v>
      </c>
      <c r="H4150" t="s">
        <v>43</v>
      </c>
      <c r="I4150" t="s">
        <v>43</v>
      </c>
      <c r="J4150" t="s">
        <v>43</v>
      </c>
      <c r="K4150" t="s">
        <v>43</v>
      </c>
      <c r="L4150" t="s">
        <v>43</v>
      </c>
      <c r="M4150" t="s">
        <v>43</v>
      </c>
      <c r="N4150" t="s">
        <v>45</v>
      </c>
      <c r="O4150" t="s">
        <v>43</v>
      </c>
      <c r="P4150" t="s">
        <v>43</v>
      </c>
      <c r="Q4150" t="s">
        <v>43</v>
      </c>
      <c r="R4150" t="s">
        <v>43</v>
      </c>
      <c r="S4150" t="s">
        <v>43</v>
      </c>
      <c r="T4150" t="s">
        <v>43</v>
      </c>
      <c r="U4150" t="s">
        <v>43</v>
      </c>
      <c r="V4150" t="s">
        <v>43</v>
      </c>
      <c r="W4150" t="s">
        <v>43</v>
      </c>
      <c r="X4150" t="s">
        <v>43</v>
      </c>
      <c r="Y4150" t="s">
        <v>43</v>
      </c>
      <c r="Z4150" t="s">
        <v>43</v>
      </c>
      <c r="AA4150" t="s">
        <v>43</v>
      </c>
      <c r="AB4150" t="s">
        <v>43</v>
      </c>
      <c r="AC4150" t="s">
        <v>43</v>
      </c>
      <c r="AD4150" t="s">
        <v>43</v>
      </c>
      <c r="AE4150" t="s">
        <v>43</v>
      </c>
      <c r="AF4150" t="s">
        <v>43</v>
      </c>
      <c r="AG4150" t="s">
        <v>43</v>
      </c>
      <c r="AH4150" t="s">
        <v>43</v>
      </c>
      <c r="AI4150" t="s">
        <v>43</v>
      </c>
      <c r="AJ4150" t="s">
        <v>43</v>
      </c>
      <c r="AK4150" t="s">
        <v>43</v>
      </c>
      <c r="AL4150" t="s">
        <v>43</v>
      </c>
      <c r="AM4150" t="s">
        <v>43</v>
      </c>
      <c r="AN4150" t="s">
        <v>43</v>
      </c>
    </row>
    <row r="4151" spans="1:40" x14ac:dyDescent="0.3">
      <c r="A4151" s="1">
        <v>46210.518865740742</v>
      </c>
      <c r="B4151" t="s">
        <v>40</v>
      </c>
      <c r="C4151" t="s">
        <v>41</v>
      </c>
      <c r="D4151" s="1">
        <v>46210.521828703706</v>
      </c>
      <c r="E4151" t="s">
        <v>42</v>
      </c>
      <c r="F4151" t="s">
        <v>43</v>
      </c>
      <c r="G4151" t="s">
        <v>43</v>
      </c>
      <c r="H4151" t="s">
        <v>43</v>
      </c>
      <c r="I4151" t="s">
        <v>2361</v>
      </c>
      <c r="J4151" t="s">
        <v>43</v>
      </c>
      <c r="K4151" t="s">
        <v>43</v>
      </c>
      <c r="L4151" t="s">
        <v>43</v>
      </c>
      <c r="M4151" t="s">
        <v>43</v>
      </c>
      <c r="N4151" t="s">
        <v>45</v>
      </c>
      <c r="O4151" t="s">
        <v>43</v>
      </c>
      <c r="P4151" t="s">
        <v>43</v>
      </c>
      <c r="Q4151" t="s">
        <v>43</v>
      </c>
      <c r="R4151" t="s">
        <v>43</v>
      </c>
      <c r="S4151" t="s">
        <v>43</v>
      </c>
      <c r="T4151" t="s">
        <v>43</v>
      </c>
      <c r="U4151" t="s">
        <v>43</v>
      </c>
      <c r="V4151" t="s">
        <v>43</v>
      </c>
      <c r="W4151" t="s">
        <v>43</v>
      </c>
      <c r="X4151" t="s">
        <v>43</v>
      </c>
      <c r="Y4151" t="s">
        <v>43</v>
      </c>
      <c r="Z4151" t="s">
        <v>43</v>
      </c>
      <c r="AA4151" t="s">
        <v>43</v>
      </c>
      <c r="AB4151" t="s">
        <v>43</v>
      </c>
      <c r="AC4151" t="s">
        <v>43</v>
      </c>
      <c r="AD4151" t="s">
        <v>43</v>
      </c>
      <c r="AE4151" t="s">
        <v>43</v>
      </c>
      <c r="AF4151" t="s">
        <v>43</v>
      </c>
      <c r="AG4151" t="s">
        <v>43</v>
      </c>
      <c r="AH4151" t="s">
        <v>43</v>
      </c>
      <c r="AI4151" t="s">
        <v>43</v>
      </c>
      <c r="AJ4151" t="s">
        <v>43</v>
      </c>
      <c r="AK4151" t="s">
        <v>43</v>
      </c>
      <c r="AL4151" t="s">
        <v>43</v>
      </c>
      <c r="AM4151" t="s">
        <v>43</v>
      </c>
      <c r="AN4151" t="str">
        <f>HYPERLINK("https://www.google.com/maps?q=10.7630806,79.69435883","Open Location")</f>
        <v>Open Location</v>
      </c>
    </row>
    <row r="4152" spans="1:40" x14ac:dyDescent="0.3">
      <c r="A4152" s="1">
        <v>46210.518750000003</v>
      </c>
      <c r="B4152" t="s">
        <v>40</v>
      </c>
      <c r="C4152" t="s">
        <v>41</v>
      </c>
      <c r="D4152" s="1">
        <v>46210.521678240744</v>
      </c>
      <c r="E4152" t="s">
        <v>42</v>
      </c>
      <c r="F4152" t="s">
        <v>43</v>
      </c>
      <c r="G4152" t="s">
        <v>43</v>
      </c>
      <c r="H4152" t="s">
        <v>43</v>
      </c>
      <c r="I4152" t="s">
        <v>2362</v>
      </c>
      <c r="J4152" t="s">
        <v>43</v>
      </c>
      <c r="K4152" t="s">
        <v>43</v>
      </c>
      <c r="L4152" t="s">
        <v>43</v>
      </c>
      <c r="M4152" t="s">
        <v>43</v>
      </c>
      <c r="N4152" t="s">
        <v>45</v>
      </c>
      <c r="O4152" t="s">
        <v>43</v>
      </c>
      <c r="P4152" t="s">
        <v>43</v>
      </c>
      <c r="Q4152" t="s">
        <v>43</v>
      </c>
      <c r="R4152" t="s">
        <v>43</v>
      </c>
      <c r="S4152" t="s">
        <v>43</v>
      </c>
      <c r="T4152" t="s">
        <v>43</v>
      </c>
      <c r="U4152" t="s">
        <v>43</v>
      </c>
      <c r="V4152" t="s">
        <v>43</v>
      </c>
      <c r="W4152" t="s">
        <v>43</v>
      </c>
      <c r="X4152" t="s">
        <v>43</v>
      </c>
      <c r="Y4152" t="s">
        <v>43</v>
      </c>
      <c r="Z4152" t="s">
        <v>43</v>
      </c>
      <c r="AA4152" t="s">
        <v>43</v>
      </c>
      <c r="AB4152" t="s">
        <v>43</v>
      </c>
      <c r="AC4152" t="s">
        <v>43</v>
      </c>
      <c r="AD4152" t="s">
        <v>43</v>
      </c>
      <c r="AE4152" t="s">
        <v>43</v>
      </c>
      <c r="AF4152" t="s">
        <v>43</v>
      </c>
      <c r="AG4152" t="s">
        <v>43</v>
      </c>
      <c r="AH4152" t="s">
        <v>43</v>
      </c>
      <c r="AI4152" t="s">
        <v>43</v>
      </c>
      <c r="AJ4152" t="s">
        <v>43</v>
      </c>
      <c r="AK4152" t="s">
        <v>43</v>
      </c>
      <c r="AL4152" t="s">
        <v>43</v>
      </c>
      <c r="AM4152" t="s">
        <v>43</v>
      </c>
      <c r="AN4152" t="str">
        <f>HYPERLINK("https://www.google.com/maps?q=10.76307869,79.69435883","Open Location")</f>
        <v>Open Location</v>
      </c>
    </row>
    <row r="4153" spans="1:40" x14ac:dyDescent="0.3">
      <c r="A4153" s="1">
        <v>46210.518634259257</v>
      </c>
      <c r="B4153" t="s">
        <v>40</v>
      </c>
      <c r="C4153" t="s">
        <v>41</v>
      </c>
      <c r="D4153" s="1">
        <v>46210.521469907406</v>
      </c>
      <c r="E4153" t="s">
        <v>42</v>
      </c>
      <c r="F4153" t="s">
        <v>43</v>
      </c>
      <c r="G4153" t="s">
        <v>43</v>
      </c>
      <c r="H4153" t="s">
        <v>43</v>
      </c>
      <c r="I4153" t="s">
        <v>2356</v>
      </c>
      <c r="J4153" t="s">
        <v>43</v>
      </c>
      <c r="K4153" t="s">
        <v>43</v>
      </c>
      <c r="L4153" t="s">
        <v>43</v>
      </c>
      <c r="M4153" t="s">
        <v>43</v>
      </c>
      <c r="N4153" t="s">
        <v>45</v>
      </c>
      <c r="O4153" t="s">
        <v>43</v>
      </c>
      <c r="P4153" t="s">
        <v>43</v>
      </c>
      <c r="Q4153" t="s">
        <v>43</v>
      </c>
      <c r="R4153" t="s">
        <v>43</v>
      </c>
      <c r="S4153" t="s">
        <v>43</v>
      </c>
      <c r="T4153" t="s">
        <v>43</v>
      </c>
      <c r="U4153" t="s">
        <v>43</v>
      </c>
      <c r="V4153" t="s">
        <v>43</v>
      </c>
      <c r="W4153" t="s">
        <v>43</v>
      </c>
      <c r="X4153" t="s">
        <v>43</v>
      </c>
      <c r="Y4153" t="s">
        <v>43</v>
      </c>
      <c r="Z4153" t="s">
        <v>43</v>
      </c>
      <c r="AA4153" t="s">
        <v>43</v>
      </c>
      <c r="AB4153" t="s">
        <v>43</v>
      </c>
      <c r="AC4153" t="s">
        <v>43</v>
      </c>
      <c r="AD4153" t="s">
        <v>43</v>
      </c>
      <c r="AE4153" t="s">
        <v>43</v>
      </c>
      <c r="AF4153" t="s">
        <v>43</v>
      </c>
      <c r="AG4153" t="s">
        <v>43</v>
      </c>
      <c r="AH4153" t="s">
        <v>43</v>
      </c>
      <c r="AI4153" t="s">
        <v>43</v>
      </c>
      <c r="AJ4153" t="s">
        <v>43</v>
      </c>
      <c r="AK4153" t="s">
        <v>43</v>
      </c>
      <c r="AL4153" t="s">
        <v>43</v>
      </c>
      <c r="AM4153" t="s">
        <v>43</v>
      </c>
      <c r="AN4153" t="str">
        <f>HYPERLINK("https://www.google.com/maps?q=10.76307869,79.6943512","Open Location")</f>
        <v>Open Location</v>
      </c>
    </row>
    <row r="4154" spans="1:40" x14ac:dyDescent="0.3">
      <c r="A4154" s="1">
        <v>46210.518518518518</v>
      </c>
      <c r="B4154" t="s">
        <v>40</v>
      </c>
      <c r="C4154" t="s">
        <v>41</v>
      </c>
      <c r="D4154" s="1">
        <v>46210.521273148152</v>
      </c>
      <c r="E4154" t="s">
        <v>42</v>
      </c>
      <c r="F4154" t="s">
        <v>43</v>
      </c>
      <c r="G4154" t="s">
        <v>43</v>
      </c>
      <c r="H4154" t="s">
        <v>43</v>
      </c>
      <c r="I4154" t="s">
        <v>2363</v>
      </c>
      <c r="J4154" t="s">
        <v>43</v>
      </c>
      <c r="K4154" t="s">
        <v>43</v>
      </c>
      <c r="L4154" t="s">
        <v>43</v>
      </c>
      <c r="M4154" t="s">
        <v>43</v>
      </c>
      <c r="N4154" t="s">
        <v>45</v>
      </c>
      <c r="O4154" t="s">
        <v>43</v>
      </c>
      <c r="P4154" t="s">
        <v>43</v>
      </c>
      <c r="Q4154" t="s">
        <v>43</v>
      </c>
      <c r="R4154" t="s">
        <v>43</v>
      </c>
      <c r="S4154" t="s">
        <v>43</v>
      </c>
      <c r="T4154" t="s">
        <v>43</v>
      </c>
      <c r="U4154" t="s">
        <v>43</v>
      </c>
      <c r="V4154" t="s">
        <v>43</v>
      </c>
      <c r="W4154" t="s">
        <v>43</v>
      </c>
      <c r="X4154" t="s">
        <v>43</v>
      </c>
      <c r="Y4154" t="s">
        <v>43</v>
      </c>
      <c r="Z4154" t="s">
        <v>43</v>
      </c>
      <c r="AA4154" t="s">
        <v>43</v>
      </c>
      <c r="AB4154" t="s">
        <v>43</v>
      </c>
      <c r="AC4154" t="s">
        <v>43</v>
      </c>
      <c r="AD4154" t="s">
        <v>43</v>
      </c>
      <c r="AE4154" t="s">
        <v>43</v>
      </c>
      <c r="AF4154" t="s">
        <v>43</v>
      </c>
      <c r="AG4154" t="s">
        <v>43</v>
      </c>
      <c r="AH4154" t="s">
        <v>43</v>
      </c>
      <c r="AI4154" t="s">
        <v>43</v>
      </c>
      <c r="AJ4154" t="s">
        <v>43</v>
      </c>
      <c r="AK4154" t="s">
        <v>43</v>
      </c>
      <c r="AL4154" t="s">
        <v>43</v>
      </c>
      <c r="AM4154" t="s">
        <v>43</v>
      </c>
      <c r="AN4154" t="str">
        <f>HYPERLINK("https://www.google.com/maps?q=10.76308346,79.6943512","Open Location")</f>
        <v>Open Location</v>
      </c>
    </row>
    <row r="4155" spans="1:40" x14ac:dyDescent="0.3">
      <c r="A4155" s="1">
        <v>46210.51840277778</v>
      </c>
      <c r="B4155" t="s">
        <v>40</v>
      </c>
      <c r="C4155" t="s">
        <v>41</v>
      </c>
      <c r="D4155" s="1">
        <v>46210.52140046296</v>
      </c>
      <c r="E4155" t="s">
        <v>42</v>
      </c>
      <c r="F4155" t="s">
        <v>43</v>
      </c>
      <c r="G4155">
        <v>0</v>
      </c>
      <c r="H4155" t="s">
        <v>43</v>
      </c>
      <c r="I4155" t="s">
        <v>2357</v>
      </c>
      <c r="J4155" t="s">
        <v>43</v>
      </c>
      <c r="K4155" t="s">
        <v>43</v>
      </c>
      <c r="L4155" t="s">
        <v>43</v>
      </c>
      <c r="M4155" t="s">
        <v>43</v>
      </c>
      <c r="N4155" t="s">
        <v>81</v>
      </c>
      <c r="O4155" t="s">
        <v>43</v>
      </c>
      <c r="P4155">
        <v>125</v>
      </c>
      <c r="Q4155" t="s">
        <v>82</v>
      </c>
      <c r="R4155">
        <v>0</v>
      </c>
      <c r="S4155">
        <v>0</v>
      </c>
      <c r="T4155">
        <v>52</v>
      </c>
      <c r="U4155">
        <v>44</v>
      </c>
      <c r="V4155">
        <v>0</v>
      </c>
      <c r="W4155" t="s">
        <v>43</v>
      </c>
      <c r="X4155" t="s">
        <v>43</v>
      </c>
      <c r="Y4155" t="s">
        <v>43</v>
      </c>
      <c r="Z4155" t="s">
        <v>43</v>
      </c>
      <c r="AA4155" t="s">
        <v>43</v>
      </c>
      <c r="AB4155" t="s">
        <v>43</v>
      </c>
      <c r="AC4155" t="s">
        <v>43</v>
      </c>
      <c r="AD4155" t="s">
        <v>43</v>
      </c>
      <c r="AE4155" t="s">
        <v>43</v>
      </c>
      <c r="AF4155" t="s">
        <v>43</v>
      </c>
      <c r="AG4155" t="s">
        <v>43</v>
      </c>
      <c r="AH4155" t="s">
        <v>43</v>
      </c>
      <c r="AI4155" t="s">
        <v>43</v>
      </c>
      <c r="AJ4155" t="s">
        <v>43</v>
      </c>
      <c r="AK4155" t="s">
        <v>43</v>
      </c>
      <c r="AL4155" t="s">
        <v>43</v>
      </c>
      <c r="AM4155" t="s">
        <v>43</v>
      </c>
      <c r="AN4155" t="str">
        <f>HYPERLINK("https://www.google.com/maps?q=10.7630806,79.6943512","Open Location")</f>
        <v>Open Location</v>
      </c>
    </row>
    <row r="4156" spans="1:40" x14ac:dyDescent="0.3">
      <c r="A4156" s="1">
        <v>46210.518287037034</v>
      </c>
      <c r="B4156" t="s">
        <v>40</v>
      </c>
      <c r="C4156" t="s">
        <v>41</v>
      </c>
      <c r="D4156" s="1">
        <v>46210.521157407406</v>
      </c>
      <c r="E4156" t="s">
        <v>42</v>
      </c>
      <c r="F4156" t="s">
        <v>83</v>
      </c>
      <c r="G4156">
        <v>0</v>
      </c>
      <c r="H4156">
        <v>33107</v>
      </c>
      <c r="I4156" t="s">
        <v>43</v>
      </c>
      <c r="J4156">
        <v>47</v>
      </c>
      <c r="K4156">
        <v>1</v>
      </c>
      <c r="L4156">
        <v>98</v>
      </c>
      <c r="M4156">
        <v>630</v>
      </c>
      <c r="N4156" t="s">
        <v>81</v>
      </c>
      <c r="O4156" t="s">
        <v>82</v>
      </c>
      <c r="P4156">
        <v>125</v>
      </c>
      <c r="Q4156" t="s">
        <v>82</v>
      </c>
      <c r="R4156">
        <v>0</v>
      </c>
      <c r="S4156">
        <v>0</v>
      </c>
      <c r="T4156">
        <v>-40</v>
      </c>
      <c r="U4156">
        <v>44</v>
      </c>
      <c r="V4156">
        <v>0</v>
      </c>
      <c r="W4156">
        <v>27</v>
      </c>
      <c r="X4156">
        <v>27</v>
      </c>
      <c r="Y4156">
        <v>1</v>
      </c>
      <c r="Z4156">
        <v>8</v>
      </c>
      <c r="AA4156">
        <v>24</v>
      </c>
      <c r="AB4156">
        <v>2</v>
      </c>
      <c r="AC4156">
        <v>5</v>
      </c>
      <c r="AD4156">
        <v>3.2869999399999998</v>
      </c>
      <c r="AE4156">
        <v>1</v>
      </c>
      <c r="AF4156">
        <v>1</v>
      </c>
      <c r="AG4156">
        <v>3.28500009</v>
      </c>
      <c r="AH4156">
        <v>1</v>
      </c>
      <c r="AI4156">
        <v>30</v>
      </c>
      <c r="AJ4156">
        <v>1</v>
      </c>
      <c r="AK4156">
        <v>13</v>
      </c>
      <c r="AL4156">
        <v>51</v>
      </c>
      <c r="AM4156" t="s">
        <v>43</v>
      </c>
      <c r="AN4156" t="s">
        <v>43</v>
      </c>
    </row>
    <row r="4157" spans="1:40" x14ac:dyDescent="0.3">
      <c r="A4157" s="1">
        <v>46210.518171296295</v>
      </c>
      <c r="B4157" t="s">
        <v>40</v>
      </c>
      <c r="C4157" t="s">
        <v>41</v>
      </c>
      <c r="D4157" s="1">
        <v>46210.521215277775</v>
      </c>
      <c r="E4157" t="s">
        <v>42</v>
      </c>
      <c r="F4157" t="s">
        <v>83</v>
      </c>
      <c r="G4157">
        <v>0</v>
      </c>
      <c r="H4157">
        <v>33107</v>
      </c>
      <c r="I4157" t="s">
        <v>2364</v>
      </c>
      <c r="J4157">
        <v>47</v>
      </c>
      <c r="K4157">
        <v>1</v>
      </c>
      <c r="L4157">
        <v>98</v>
      </c>
      <c r="M4157">
        <v>629.90002441000001</v>
      </c>
      <c r="N4157" t="s">
        <v>81</v>
      </c>
      <c r="O4157" t="s">
        <v>82</v>
      </c>
      <c r="P4157">
        <v>125</v>
      </c>
      <c r="Q4157" t="s">
        <v>82</v>
      </c>
      <c r="R4157">
        <v>0</v>
      </c>
      <c r="S4157">
        <v>0</v>
      </c>
      <c r="T4157">
        <v>-40</v>
      </c>
      <c r="U4157">
        <v>44</v>
      </c>
      <c r="V4157">
        <v>0</v>
      </c>
      <c r="W4157">
        <v>27</v>
      </c>
      <c r="X4157">
        <v>27</v>
      </c>
      <c r="Y4157">
        <v>1</v>
      </c>
      <c r="Z4157">
        <v>8</v>
      </c>
      <c r="AA4157">
        <v>24</v>
      </c>
      <c r="AB4157">
        <v>2</v>
      </c>
      <c r="AC4157">
        <v>5</v>
      </c>
      <c r="AD4157">
        <v>3.2869999399999998</v>
      </c>
      <c r="AE4157">
        <v>1</v>
      </c>
      <c r="AF4157">
        <v>1</v>
      </c>
      <c r="AG4157">
        <v>3.28500009</v>
      </c>
      <c r="AH4157">
        <v>1</v>
      </c>
      <c r="AI4157">
        <v>30</v>
      </c>
      <c r="AJ4157">
        <v>1</v>
      </c>
      <c r="AK4157">
        <v>13</v>
      </c>
      <c r="AL4157">
        <v>51</v>
      </c>
      <c r="AM4157" t="s">
        <v>43</v>
      </c>
      <c r="AN4157" t="str">
        <f>HYPERLINK("https://www.google.com/maps?q=10.76308155,79.69435883","Open Location")</f>
        <v>Open Location</v>
      </c>
    </row>
    <row r="4158" spans="1:40" x14ac:dyDescent="0.3">
      <c r="A4158" s="1">
        <v>46210.518055555556</v>
      </c>
      <c r="B4158" t="s">
        <v>40</v>
      </c>
      <c r="C4158" t="s">
        <v>41</v>
      </c>
      <c r="D4158" s="1">
        <v>46210.52076388889</v>
      </c>
      <c r="E4158" t="s">
        <v>42</v>
      </c>
      <c r="F4158" t="s">
        <v>83</v>
      </c>
      <c r="G4158">
        <v>0</v>
      </c>
      <c r="H4158">
        <v>33107</v>
      </c>
      <c r="I4158" t="s">
        <v>2365</v>
      </c>
      <c r="J4158">
        <v>47</v>
      </c>
      <c r="K4158">
        <v>1</v>
      </c>
      <c r="L4158">
        <v>98</v>
      </c>
      <c r="M4158">
        <v>630</v>
      </c>
      <c r="N4158" t="s">
        <v>81</v>
      </c>
      <c r="O4158" t="s">
        <v>82</v>
      </c>
      <c r="P4158">
        <v>125</v>
      </c>
      <c r="Q4158" t="s">
        <v>82</v>
      </c>
      <c r="R4158">
        <v>0</v>
      </c>
      <c r="S4158">
        <v>0</v>
      </c>
      <c r="T4158">
        <v>-40</v>
      </c>
      <c r="U4158">
        <v>44</v>
      </c>
      <c r="V4158">
        <v>0</v>
      </c>
      <c r="W4158">
        <v>27</v>
      </c>
      <c r="X4158">
        <v>27</v>
      </c>
      <c r="Y4158">
        <v>1</v>
      </c>
      <c r="Z4158">
        <v>8</v>
      </c>
      <c r="AA4158">
        <v>24</v>
      </c>
      <c r="AB4158">
        <v>2</v>
      </c>
      <c r="AC4158">
        <v>5</v>
      </c>
      <c r="AD4158">
        <v>3.2869999399999998</v>
      </c>
      <c r="AE4158">
        <v>1</v>
      </c>
      <c r="AF4158">
        <v>1</v>
      </c>
      <c r="AG4158">
        <v>3.28500009</v>
      </c>
      <c r="AH4158">
        <v>1</v>
      </c>
      <c r="AI4158">
        <v>30</v>
      </c>
      <c r="AJ4158">
        <v>1</v>
      </c>
      <c r="AK4158">
        <v>13</v>
      </c>
      <c r="AL4158">
        <v>51</v>
      </c>
      <c r="AM4158" t="s">
        <v>43</v>
      </c>
      <c r="AN4158" t="str">
        <f>HYPERLINK("https://www.google.com/maps?q=10.76308537,79.69435883","Open Location")</f>
        <v>Open Location</v>
      </c>
    </row>
    <row r="4159" spans="1:40" x14ac:dyDescent="0.3">
      <c r="A4159" s="1">
        <v>46210.517939814818</v>
      </c>
      <c r="B4159" t="s">
        <v>40</v>
      </c>
      <c r="C4159" t="s">
        <v>41</v>
      </c>
      <c r="D4159" s="1">
        <v>46210.52071759259</v>
      </c>
      <c r="E4159" t="s">
        <v>42</v>
      </c>
      <c r="F4159" t="s">
        <v>83</v>
      </c>
      <c r="G4159">
        <v>0</v>
      </c>
      <c r="H4159" t="s">
        <v>43</v>
      </c>
      <c r="I4159" t="s">
        <v>2290</v>
      </c>
      <c r="J4159">
        <v>47</v>
      </c>
      <c r="K4159">
        <v>1</v>
      </c>
      <c r="L4159">
        <v>98</v>
      </c>
      <c r="M4159">
        <v>630.09997558999999</v>
      </c>
      <c r="N4159" t="s">
        <v>81</v>
      </c>
      <c r="O4159" t="s">
        <v>82</v>
      </c>
      <c r="P4159">
        <v>125</v>
      </c>
      <c r="Q4159" t="s">
        <v>82</v>
      </c>
      <c r="R4159">
        <v>0</v>
      </c>
      <c r="S4159">
        <v>0</v>
      </c>
      <c r="T4159">
        <v>-40</v>
      </c>
      <c r="U4159">
        <v>44</v>
      </c>
      <c r="V4159">
        <v>0</v>
      </c>
      <c r="W4159">
        <v>27</v>
      </c>
      <c r="X4159">
        <v>27</v>
      </c>
      <c r="Y4159">
        <v>1</v>
      </c>
      <c r="Z4159">
        <v>8</v>
      </c>
      <c r="AA4159">
        <v>24</v>
      </c>
      <c r="AB4159">
        <v>2</v>
      </c>
      <c r="AC4159">
        <v>5</v>
      </c>
      <c r="AD4159" t="s">
        <v>43</v>
      </c>
      <c r="AE4159" t="s">
        <v>43</v>
      </c>
      <c r="AF4159" t="s">
        <v>43</v>
      </c>
      <c r="AG4159" t="s">
        <v>43</v>
      </c>
      <c r="AH4159" t="s">
        <v>43</v>
      </c>
      <c r="AI4159" t="s">
        <v>43</v>
      </c>
      <c r="AJ4159">
        <v>1</v>
      </c>
      <c r="AK4159">
        <v>13</v>
      </c>
      <c r="AL4159">
        <v>51</v>
      </c>
      <c r="AM4159" t="s">
        <v>43</v>
      </c>
      <c r="AN4159" t="str">
        <f>HYPERLINK("https://www.google.com/maps?q=10.76308441,79.69436646","Open Location")</f>
        <v>Open Location</v>
      </c>
    </row>
    <row r="4160" spans="1:40" x14ac:dyDescent="0.3">
      <c r="A4160" s="1">
        <v>46210.517824074072</v>
      </c>
      <c r="B4160" t="s">
        <v>40</v>
      </c>
      <c r="C4160" t="s">
        <v>41</v>
      </c>
      <c r="D4160" s="1">
        <v>46210.520474537036</v>
      </c>
      <c r="E4160" t="s">
        <v>42</v>
      </c>
      <c r="F4160" t="s">
        <v>83</v>
      </c>
      <c r="G4160">
        <v>0</v>
      </c>
      <c r="H4160">
        <v>33107</v>
      </c>
      <c r="I4160" t="s">
        <v>2362</v>
      </c>
      <c r="J4160">
        <v>47</v>
      </c>
      <c r="K4160">
        <v>1</v>
      </c>
      <c r="L4160">
        <v>98</v>
      </c>
      <c r="M4160">
        <v>630.09997558999999</v>
      </c>
      <c r="N4160" t="s">
        <v>81</v>
      </c>
      <c r="O4160" t="s">
        <v>82</v>
      </c>
      <c r="P4160">
        <v>125</v>
      </c>
      <c r="Q4160" t="s">
        <v>82</v>
      </c>
      <c r="R4160">
        <v>0</v>
      </c>
      <c r="S4160">
        <v>0</v>
      </c>
      <c r="T4160">
        <v>-40</v>
      </c>
      <c r="U4160">
        <v>44</v>
      </c>
      <c r="V4160">
        <v>0</v>
      </c>
      <c r="W4160">
        <v>27</v>
      </c>
      <c r="X4160">
        <v>27</v>
      </c>
      <c r="Y4160">
        <v>1</v>
      </c>
      <c r="Z4160">
        <v>8</v>
      </c>
      <c r="AA4160">
        <v>24</v>
      </c>
      <c r="AB4160">
        <v>2</v>
      </c>
      <c r="AC4160">
        <v>5</v>
      </c>
      <c r="AD4160">
        <v>3.2869999399999998</v>
      </c>
      <c r="AE4160">
        <v>1</v>
      </c>
      <c r="AF4160">
        <v>1</v>
      </c>
      <c r="AG4160">
        <v>3.28500009</v>
      </c>
      <c r="AH4160">
        <v>1</v>
      </c>
      <c r="AI4160">
        <v>21</v>
      </c>
      <c r="AJ4160">
        <v>1</v>
      </c>
      <c r="AK4160">
        <v>13</v>
      </c>
      <c r="AL4160">
        <v>51</v>
      </c>
      <c r="AM4160" t="s">
        <v>43</v>
      </c>
      <c r="AN4160" t="str">
        <f>HYPERLINK("https://www.google.com/maps?q=10.76307869,79.69435883","Open Location")</f>
        <v>Open Location</v>
      </c>
    </row>
    <row r="4161" spans="1:40" x14ac:dyDescent="0.3">
      <c r="A4161" s="1">
        <v>46210.517708333333</v>
      </c>
      <c r="B4161" t="s">
        <v>40</v>
      </c>
      <c r="C4161" t="s">
        <v>41</v>
      </c>
      <c r="D4161" s="1">
        <v>46210.520578703705</v>
      </c>
      <c r="E4161" t="s">
        <v>42</v>
      </c>
      <c r="F4161" t="s">
        <v>83</v>
      </c>
      <c r="G4161">
        <v>0</v>
      </c>
      <c r="H4161">
        <v>33107</v>
      </c>
      <c r="I4161" t="s">
        <v>43</v>
      </c>
      <c r="J4161">
        <v>47</v>
      </c>
      <c r="K4161">
        <v>1</v>
      </c>
      <c r="L4161">
        <v>98</v>
      </c>
      <c r="M4161">
        <v>630.09997558999999</v>
      </c>
      <c r="N4161" t="s">
        <v>81</v>
      </c>
      <c r="O4161" t="s">
        <v>82</v>
      </c>
      <c r="P4161">
        <v>125</v>
      </c>
      <c r="Q4161" t="s">
        <v>82</v>
      </c>
      <c r="R4161">
        <v>0</v>
      </c>
      <c r="S4161">
        <v>0</v>
      </c>
      <c r="T4161">
        <v>-40</v>
      </c>
      <c r="U4161">
        <v>44</v>
      </c>
      <c r="V4161">
        <v>0</v>
      </c>
      <c r="W4161">
        <v>27</v>
      </c>
      <c r="X4161">
        <v>27</v>
      </c>
      <c r="Y4161">
        <v>1</v>
      </c>
      <c r="Z4161">
        <v>8</v>
      </c>
      <c r="AA4161">
        <v>24</v>
      </c>
      <c r="AB4161">
        <v>2</v>
      </c>
      <c r="AC4161">
        <v>5</v>
      </c>
      <c r="AD4161">
        <v>3.2869999399999998</v>
      </c>
      <c r="AE4161">
        <v>1</v>
      </c>
      <c r="AF4161">
        <v>1</v>
      </c>
      <c r="AG4161">
        <v>3.28500009</v>
      </c>
      <c r="AH4161">
        <v>1</v>
      </c>
      <c r="AI4161">
        <v>21</v>
      </c>
      <c r="AJ4161">
        <v>1</v>
      </c>
      <c r="AK4161">
        <v>13</v>
      </c>
      <c r="AL4161">
        <v>51</v>
      </c>
      <c r="AM4161" t="s">
        <v>43</v>
      </c>
      <c r="AN4161" t="s">
        <v>43</v>
      </c>
    </row>
    <row r="4162" spans="1:40" x14ac:dyDescent="0.3">
      <c r="A4162" s="1">
        <v>46210.517592592594</v>
      </c>
      <c r="B4162" t="s">
        <v>40</v>
      </c>
      <c r="C4162" t="s">
        <v>41</v>
      </c>
      <c r="D4162" s="1">
        <v>46210.520428240743</v>
      </c>
      <c r="E4162" t="s">
        <v>42</v>
      </c>
      <c r="F4162" t="s">
        <v>83</v>
      </c>
      <c r="G4162">
        <v>0</v>
      </c>
      <c r="H4162">
        <v>33107</v>
      </c>
      <c r="I4162" t="s">
        <v>2349</v>
      </c>
      <c r="J4162">
        <v>47</v>
      </c>
      <c r="K4162">
        <v>1</v>
      </c>
      <c r="L4162">
        <v>98</v>
      </c>
      <c r="M4162">
        <v>630.09997558999999</v>
      </c>
      <c r="N4162" t="s">
        <v>81</v>
      </c>
      <c r="O4162" t="s">
        <v>82</v>
      </c>
      <c r="P4162">
        <v>125</v>
      </c>
      <c r="Q4162" t="s">
        <v>82</v>
      </c>
      <c r="R4162">
        <v>0</v>
      </c>
      <c r="S4162">
        <v>0</v>
      </c>
      <c r="T4162">
        <v>-40</v>
      </c>
      <c r="U4162">
        <v>44</v>
      </c>
      <c r="V4162">
        <v>0</v>
      </c>
      <c r="W4162">
        <v>27</v>
      </c>
      <c r="X4162">
        <v>27</v>
      </c>
      <c r="Y4162">
        <v>1</v>
      </c>
      <c r="Z4162">
        <v>8</v>
      </c>
      <c r="AA4162">
        <v>24</v>
      </c>
      <c r="AB4162">
        <v>2</v>
      </c>
      <c r="AC4162">
        <v>5</v>
      </c>
      <c r="AD4162">
        <v>3.2869999399999998</v>
      </c>
      <c r="AE4162">
        <v>1</v>
      </c>
      <c r="AF4162">
        <v>1</v>
      </c>
      <c r="AG4162">
        <v>3.28500009</v>
      </c>
      <c r="AH4162">
        <v>1</v>
      </c>
      <c r="AI4162">
        <v>30</v>
      </c>
      <c r="AJ4162">
        <v>1</v>
      </c>
      <c r="AK4162">
        <v>13</v>
      </c>
      <c r="AL4162">
        <v>51</v>
      </c>
      <c r="AM4162" t="s">
        <v>43</v>
      </c>
      <c r="AN4162" t="str">
        <f>HYPERLINK("https://www.google.com/maps?q=10.76307392,79.69435883","Open Location")</f>
        <v>Open Location</v>
      </c>
    </row>
    <row r="4163" spans="1:40" x14ac:dyDescent="0.3">
      <c r="A4163" s="1">
        <v>46210.517476851855</v>
      </c>
      <c r="B4163" t="s">
        <v>40</v>
      </c>
      <c r="C4163" t="s">
        <v>41</v>
      </c>
      <c r="D4163" s="1">
        <v>46210.520520833335</v>
      </c>
      <c r="E4163" t="s">
        <v>42</v>
      </c>
      <c r="F4163" t="s">
        <v>83</v>
      </c>
      <c r="G4163">
        <v>0</v>
      </c>
      <c r="H4163">
        <v>33107</v>
      </c>
      <c r="I4163" t="s">
        <v>2256</v>
      </c>
      <c r="J4163">
        <v>47</v>
      </c>
      <c r="K4163">
        <v>1</v>
      </c>
      <c r="L4163">
        <v>98</v>
      </c>
      <c r="M4163">
        <v>630.20001220999995</v>
      </c>
      <c r="N4163" t="s">
        <v>81</v>
      </c>
      <c r="O4163" t="s">
        <v>82</v>
      </c>
      <c r="P4163">
        <v>125</v>
      </c>
      <c r="Q4163" t="s">
        <v>82</v>
      </c>
      <c r="R4163">
        <v>0</v>
      </c>
      <c r="S4163">
        <v>0</v>
      </c>
      <c r="T4163">
        <v>-40</v>
      </c>
      <c r="U4163">
        <v>44</v>
      </c>
      <c r="V4163">
        <v>0</v>
      </c>
      <c r="W4163">
        <v>27</v>
      </c>
      <c r="X4163">
        <v>27</v>
      </c>
      <c r="Y4163">
        <v>1</v>
      </c>
      <c r="Z4163">
        <v>8</v>
      </c>
      <c r="AA4163">
        <v>24</v>
      </c>
      <c r="AB4163">
        <v>2</v>
      </c>
      <c r="AC4163">
        <v>5</v>
      </c>
      <c r="AD4163">
        <v>3.2869999399999998</v>
      </c>
      <c r="AE4163">
        <v>1</v>
      </c>
      <c r="AF4163">
        <v>1</v>
      </c>
      <c r="AG4163">
        <v>3.28500009</v>
      </c>
      <c r="AH4163">
        <v>1</v>
      </c>
      <c r="AI4163">
        <v>4</v>
      </c>
      <c r="AJ4163">
        <v>1</v>
      </c>
      <c r="AK4163">
        <v>13</v>
      </c>
      <c r="AL4163">
        <v>51</v>
      </c>
      <c r="AM4163" t="s">
        <v>43</v>
      </c>
      <c r="AN4163" t="str">
        <f>HYPERLINK("https://www.google.com/maps?q=10.76306725,79.69435883","Open Location")</f>
        <v>Open Location</v>
      </c>
    </row>
    <row r="4164" spans="1:40" x14ac:dyDescent="0.3">
      <c r="A4164" s="1">
        <v>46210.517361111109</v>
      </c>
      <c r="B4164" t="s">
        <v>40</v>
      </c>
      <c r="C4164" t="s">
        <v>41</v>
      </c>
      <c r="D4164" s="1">
        <v>46210.520162037035</v>
      </c>
      <c r="E4164" t="s">
        <v>42</v>
      </c>
      <c r="F4164" t="s">
        <v>83</v>
      </c>
      <c r="G4164">
        <v>0</v>
      </c>
      <c r="H4164">
        <v>33107</v>
      </c>
      <c r="I4164" t="s">
        <v>2309</v>
      </c>
      <c r="J4164">
        <v>47</v>
      </c>
      <c r="K4164">
        <v>1</v>
      </c>
      <c r="L4164">
        <v>98</v>
      </c>
      <c r="M4164">
        <v>630.09997558999999</v>
      </c>
      <c r="N4164" t="s">
        <v>81</v>
      </c>
      <c r="O4164" t="s">
        <v>82</v>
      </c>
      <c r="P4164">
        <v>125</v>
      </c>
      <c r="Q4164" t="s">
        <v>82</v>
      </c>
      <c r="R4164">
        <v>0</v>
      </c>
      <c r="S4164">
        <v>0</v>
      </c>
      <c r="T4164">
        <v>-40</v>
      </c>
      <c r="U4164">
        <v>44</v>
      </c>
      <c r="V4164">
        <v>0</v>
      </c>
      <c r="W4164">
        <v>27</v>
      </c>
      <c r="X4164">
        <v>27</v>
      </c>
      <c r="Y4164">
        <v>1</v>
      </c>
      <c r="Z4164">
        <v>8</v>
      </c>
      <c r="AA4164">
        <v>24</v>
      </c>
      <c r="AB4164">
        <v>2</v>
      </c>
      <c r="AC4164">
        <v>5</v>
      </c>
      <c r="AD4164">
        <v>3.2869999399999998</v>
      </c>
      <c r="AE4164">
        <v>1</v>
      </c>
      <c r="AF4164">
        <v>1</v>
      </c>
      <c r="AG4164">
        <v>3.28500009</v>
      </c>
      <c r="AH4164">
        <v>1</v>
      </c>
      <c r="AI4164">
        <v>21</v>
      </c>
      <c r="AJ4164">
        <v>1</v>
      </c>
      <c r="AK4164">
        <v>13</v>
      </c>
      <c r="AL4164">
        <v>51</v>
      </c>
      <c r="AM4164" t="s">
        <v>43</v>
      </c>
      <c r="AN4164" t="str">
        <f>HYPERLINK("https://www.google.com/maps?q=10.76307011,79.69435883","Open Location")</f>
        <v>Open Location</v>
      </c>
    </row>
    <row r="4165" spans="1:40" x14ac:dyDescent="0.3">
      <c r="A4165" s="1">
        <v>46210.517245370371</v>
      </c>
      <c r="B4165" t="s">
        <v>40</v>
      </c>
      <c r="C4165" t="s">
        <v>41</v>
      </c>
      <c r="D4165" s="1">
        <v>46210.52003472222</v>
      </c>
      <c r="E4165" t="s">
        <v>42</v>
      </c>
      <c r="F4165" t="s">
        <v>83</v>
      </c>
      <c r="G4165">
        <v>0</v>
      </c>
      <c r="H4165">
        <v>33107</v>
      </c>
      <c r="I4165" t="s">
        <v>2256</v>
      </c>
      <c r="J4165">
        <v>47</v>
      </c>
      <c r="K4165">
        <v>1</v>
      </c>
      <c r="L4165">
        <v>98</v>
      </c>
      <c r="M4165">
        <v>630.09997558999999</v>
      </c>
      <c r="N4165" t="s">
        <v>81</v>
      </c>
      <c r="O4165" t="s">
        <v>82</v>
      </c>
      <c r="P4165">
        <v>125</v>
      </c>
      <c r="Q4165" t="s">
        <v>82</v>
      </c>
      <c r="R4165">
        <v>0</v>
      </c>
      <c r="S4165">
        <v>0</v>
      </c>
      <c r="T4165">
        <v>-40</v>
      </c>
      <c r="U4165">
        <v>44</v>
      </c>
      <c r="V4165">
        <v>0</v>
      </c>
      <c r="W4165">
        <v>27</v>
      </c>
      <c r="X4165">
        <v>27</v>
      </c>
      <c r="Y4165">
        <v>1</v>
      </c>
      <c r="Z4165">
        <v>8</v>
      </c>
      <c r="AA4165">
        <v>24</v>
      </c>
      <c r="AB4165">
        <v>2</v>
      </c>
      <c r="AC4165">
        <v>5</v>
      </c>
      <c r="AD4165" t="s">
        <v>43</v>
      </c>
      <c r="AE4165" t="s">
        <v>43</v>
      </c>
      <c r="AF4165" t="s">
        <v>43</v>
      </c>
      <c r="AG4165" t="s">
        <v>43</v>
      </c>
      <c r="AH4165" t="s">
        <v>43</v>
      </c>
      <c r="AI4165" t="s">
        <v>43</v>
      </c>
      <c r="AJ4165">
        <v>1</v>
      </c>
      <c r="AK4165">
        <v>13</v>
      </c>
      <c r="AL4165">
        <v>51</v>
      </c>
      <c r="AM4165" t="s">
        <v>43</v>
      </c>
      <c r="AN4165" t="str">
        <f>HYPERLINK("https://www.google.com/maps?q=10.76306725,79.69435883","Open Location")</f>
        <v>Open Location</v>
      </c>
    </row>
    <row r="4166" spans="1:40" x14ac:dyDescent="0.3">
      <c r="A4166" s="1">
        <v>46210.517129629632</v>
      </c>
      <c r="B4166" t="s">
        <v>40</v>
      </c>
      <c r="C4166" t="s">
        <v>41</v>
      </c>
      <c r="D4166" s="1">
        <v>46210.520046296297</v>
      </c>
      <c r="E4166" t="s">
        <v>42</v>
      </c>
      <c r="F4166" t="s">
        <v>83</v>
      </c>
      <c r="G4166">
        <v>0</v>
      </c>
      <c r="H4166" t="s">
        <v>43</v>
      </c>
      <c r="I4166" t="s">
        <v>2366</v>
      </c>
      <c r="J4166">
        <v>47</v>
      </c>
      <c r="K4166">
        <v>1</v>
      </c>
      <c r="L4166">
        <v>98</v>
      </c>
      <c r="M4166">
        <v>630.20001220999995</v>
      </c>
      <c r="N4166" t="s">
        <v>81</v>
      </c>
      <c r="O4166" t="s">
        <v>82</v>
      </c>
      <c r="P4166">
        <v>125</v>
      </c>
      <c r="Q4166" t="s">
        <v>82</v>
      </c>
      <c r="R4166">
        <v>0</v>
      </c>
      <c r="S4166">
        <v>0</v>
      </c>
      <c r="T4166">
        <v>-40</v>
      </c>
      <c r="U4166">
        <v>44</v>
      </c>
      <c r="V4166">
        <v>0</v>
      </c>
      <c r="W4166">
        <v>27</v>
      </c>
      <c r="X4166">
        <v>27</v>
      </c>
      <c r="Y4166">
        <v>1</v>
      </c>
      <c r="Z4166">
        <v>8</v>
      </c>
      <c r="AA4166">
        <v>24</v>
      </c>
      <c r="AB4166">
        <v>2</v>
      </c>
      <c r="AC4166">
        <v>5</v>
      </c>
      <c r="AD4166">
        <v>3.2869999399999998</v>
      </c>
      <c r="AE4166">
        <v>1</v>
      </c>
      <c r="AF4166">
        <v>1</v>
      </c>
      <c r="AG4166">
        <v>3.28500009</v>
      </c>
      <c r="AH4166">
        <v>1</v>
      </c>
      <c r="AI4166">
        <v>4</v>
      </c>
      <c r="AJ4166">
        <v>1</v>
      </c>
      <c r="AK4166">
        <v>13</v>
      </c>
      <c r="AL4166">
        <v>51</v>
      </c>
      <c r="AM4166" t="s">
        <v>43</v>
      </c>
      <c r="AN4166" t="str">
        <f>HYPERLINK("https://www.google.com/maps?q=10.76306152,79.69435883","Open Location")</f>
        <v>Open Location</v>
      </c>
    </row>
    <row r="4167" spans="1:40" x14ac:dyDescent="0.3">
      <c r="A4167" s="1">
        <v>46210.517013888886</v>
      </c>
      <c r="B4167" t="s">
        <v>40</v>
      </c>
      <c r="C4167" t="s">
        <v>41</v>
      </c>
      <c r="D4167" s="1">
        <v>46210.520138888889</v>
      </c>
      <c r="E4167" t="s">
        <v>42</v>
      </c>
      <c r="F4167" t="s">
        <v>83</v>
      </c>
      <c r="G4167">
        <v>0</v>
      </c>
      <c r="H4167">
        <v>33107</v>
      </c>
      <c r="I4167" t="s">
        <v>43</v>
      </c>
      <c r="J4167">
        <v>47</v>
      </c>
      <c r="K4167">
        <v>1</v>
      </c>
      <c r="L4167">
        <v>98</v>
      </c>
      <c r="M4167">
        <v>630</v>
      </c>
      <c r="N4167" t="s">
        <v>81</v>
      </c>
      <c r="O4167" t="s">
        <v>82</v>
      </c>
      <c r="P4167">
        <v>125</v>
      </c>
      <c r="Q4167" t="s">
        <v>82</v>
      </c>
      <c r="R4167">
        <v>0</v>
      </c>
      <c r="S4167">
        <v>0</v>
      </c>
      <c r="T4167">
        <v>-40</v>
      </c>
      <c r="U4167">
        <v>44</v>
      </c>
      <c r="V4167">
        <v>0</v>
      </c>
      <c r="W4167">
        <v>27</v>
      </c>
      <c r="X4167">
        <v>27</v>
      </c>
      <c r="Y4167">
        <v>1</v>
      </c>
      <c r="Z4167">
        <v>8</v>
      </c>
      <c r="AA4167">
        <v>24</v>
      </c>
      <c r="AB4167">
        <v>2</v>
      </c>
      <c r="AC4167">
        <v>5</v>
      </c>
      <c r="AD4167">
        <v>3.2869999399999998</v>
      </c>
      <c r="AE4167">
        <v>1</v>
      </c>
      <c r="AF4167">
        <v>1</v>
      </c>
      <c r="AG4167">
        <v>3.28500009</v>
      </c>
      <c r="AH4167">
        <v>1</v>
      </c>
      <c r="AI4167">
        <v>4</v>
      </c>
      <c r="AJ4167">
        <v>1</v>
      </c>
      <c r="AK4167">
        <v>13</v>
      </c>
      <c r="AL4167">
        <v>51</v>
      </c>
      <c r="AM4167" t="s">
        <v>43</v>
      </c>
      <c r="AN4167" t="s">
        <v>43</v>
      </c>
    </row>
    <row r="4168" spans="1:40" x14ac:dyDescent="0.3">
      <c r="A4168" s="1">
        <v>46210.516898148147</v>
      </c>
      <c r="B4168" t="s">
        <v>40</v>
      </c>
      <c r="C4168" t="s">
        <v>41</v>
      </c>
      <c r="D4168" s="1">
        <v>46210.519745370373</v>
      </c>
      <c r="E4168" t="s">
        <v>42</v>
      </c>
      <c r="F4168" t="s">
        <v>83</v>
      </c>
      <c r="G4168">
        <v>0</v>
      </c>
      <c r="H4168">
        <v>33107</v>
      </c>
      <c r="I4168" t="s">
        <v>2258</v>
      </c>
      <c r="J4168">
        <v>47</v>
      </c>
      <c r="K4168">
        <v>1</v>
      </c>
      <c r="L4168">
        <v>98</v>
      </c>
      <c r="M4168">
        <v>630.20001220999995</v>
      </c>
      <c r="N4168" t="s">
        <v>81</v>
      </c>
      <c r="O4168" t="s">
        <v>82</v>
      </c>
      <c r="P4168">
        <v>125</v>
      </c>
      <c r="Q4168" t="s">
        <v>82</v>
      </c>
      <c r="R4168">
        <v>0</v>
      </c>
      <c r="S4168">
        <v>0</v>
      </c>
      <c r="T4168">
        <v>-40</v>
      </c>
      <c r="U4168">
        <v>44</v>
      </c>
      <c r="V4168">
        <v>0</v>
      </c>
      <c r="W4168">
        <v>27</v>
      </c>
      <c r="X4168">
        <v>27</v>
      </c>
      <c r="Y4168">
        <v>1</v>
      </c>
      <c r="Z4168">
        <v>8</v>
      </c>
      <c r="AA4168">
        <v>24</v>
      </c>
      <c r="AB4168">
        <v>2</v>
      </c>
      <c r="AC4168">
        <v>5</v>
      </c>
      <c r="AD4168">
        <v>3.2869999399999998</v>
      </c>
      <c r="AE4168">
        <v>1</v>
      </c>
      <c r="AF4168">
        <v>1</v>
      </c>
      <c r="AG4168">
        <v>3.28500009</v>
      </c>
      <c r="AH4168">
        <v>1</v>
      </c>
      <c r="AI4168">
        <v>4</v>
      </c>
      <c r="AJ4168">
        <v>1</v>
      </c>
      <c r="AK4168">
        <v>13</v>
      </c>
      <c r="AL4168">
        <v>51</v>
      </c>
      <c r="AM4168" t="s">
        <v>43</v>
      </c>
      <c r="AN4168" t="str">
        <f>HYPERLINK("https://www.google.com/maps?q=10.76305771,79.69435883","Open Location")</f>
        <v>Open Location</v>
      </c>
    </row>
    <row r="4169" spans="1:40" x14ac:dyDescent="0.3">
      <c r="A4169" s="1">
        <v>46210.516782407409</v>
      </c>
      <c r="B4169" t="s">
        <v>40</v>
      </c>
      <c r="C4169" t="s">
        <v>41</v>
      </c>
      <c r="D4169" s="1">
        <v>46210.519803240742</v>
      </c>
      <c r="E4169" t="s">
        <v>42</v>
      </c>
      <c r="F4169" t="s">
        <v>83</v>
      </c>
      <c r="G4169">
        <v>0</v>
      </c>
      <c r="H4169">
        <v>33107</v>
      </c>
      <c r="I4169" t="s">
        <v>2327</v>
      </c>
      <c r="J4169">
        <v>47</v>
      </c>
      <c r="K4169">
        <v>1</v>
      </c>
      <c r="L4169">
        <v>98</v>
      </c>
      <c r="M4169">
        <v>630.20001220999995</v>
      </c>
      <c r="N4169" t="s">
        <v>81</v>
      </c>
      <c r="O4169" t="s">
        <v>82</v>
      </c>
      <c r="P4169">
        <v>125</v>
      </c>
      <c r="Q4169" t="s">
        <v>82</v>
      </c>
      <c r="R4169">
        <v>0</v>
      </c>
      <c r="S4169">
        <v>0</v>
      </c>
      <c r="T4169">
        <v>-40</v>
      </c>
      <c r="U4169">
        <v>44</v>
      </c>
      <c r="V4169">
        <v>0</v>
      </c>
      <c r="W4169">
        <v>27</v>
      </c>
      <c r="X4169">
        <v>27</v>
      </c>
      <c r="Y4169">
        <v>1</v>
      </c>
      <c r="Z4169">
        <v>8</v>
      </c>
      <c r="AA4169">
        <v>24</v>
      </c>
      <c r="AB4169">
        <v>2</v>
      </c>
      <c r="AC4169">
        <v>5</v>
      </c>
      <c r="AD4169">
        <v>3.2869999399999998</v>
      </c>
      <c r="AE4169">
        <v>1</v>
      </c>
      <c r="AF4169">
        <v>1</v>
      </c>
      <c r="AG4169">
        <v>3.28500009</v>
      </c>
      <c r="AH4169">
        <v>1</v>
      </c>
      <c r="AI4169">
        <v>4</v>
      </c>
      <c r="AJ4169">
        <v>1</v>
      </c>
      <c r="AK4169">
        <v>13</v>
      </c>
      <c r="AL4169">
        <v>51</v>
      </c>
      <c r="AM4169" t="s">
        <v>43</v>
      </c>
      <c r="AN4169" t="str">
        <f>HYPERLINK("https://www.google.com/maps?q=10.76306534,79.69435883","Open Location")</f>
        <v>Open Location</v>
      </c>
    </row>
    <row r="4170" spans="1:40" x14ac:dyDescent="0.3">
      <c r="A4170" s="1">
        <v>46210.51666666667</v>
      </c>
      <c r="B4170" t="s">
        <v>40</v>
      </c>
      <c r="C4170" t="s">
        <v>41</v>
      </c>
      <c r="D4170" s="1">
        <v>46210.519432870373</v>
      </c>
      <c r="E4170" t="s">
        <v>42</v>
      </c>
      <c r="F4170" t="s">
        <v>83</v>
      </c>
      <c r="G4170">
        <v>0</v>
      </c>
      <c r="H4170">
        <v>33107</v>
      </c>
      <c r="I4170" t="s">
        <v>2323</v>
      </c>
      <c r="J4170">
        <v>47</v>
      </c>
      <c r="K4170">
        <v>1</v>
      </c>
      <c r="L4170">
        <v>98</v>
      </c>
      <c r="M4170">
        <v>629.90002441000001</v>
      </c>
      <c r="N4170" t="s">
        <v>81</v>
      </c>
      <c r="O4170" t="s">
        <v>82</v>
      </c>
      <c r="P4170">
        <v>125</v>
      </c>
      <c r="Q4170" t="s">
        <v>82</v>
      </c>
      <c r="R4170">
        <v>0</v>
      </c>
      <c r="S4170">
        <v>0</v>
      </c>
      <c r="T4170">
        <v>-40</v>
      </c>
      <c r="U4170">
        <v>44</v>
      </c>
      <c r="V4170">
        <v>0</v>
      </c>
      <c r="W4170">
        <v>27</v>
      </c>
      <c r="X4170">
        <v>27</v>
      </c>
      <c r="Y4170">
        <v>1</v>
      </c>
      <c r="Z4170">
        <v>8</v>
      </c>
      <c r="AA4170">
        <v>24</v>
      </c>
      <c r="AB4170">
        <v>2</v>
      </c>
      <c r="AC4170">
        <v>5</v>
      </c>
      <c r="AD4170">
        <v>3.2869999399999998</v>
      </c>
      <c r="AE4170">
        <v>1</v>
      </c>
      <c r="AF4170">
        <v>1</v>
      </c>
      <c r="AG4170">
        <v>3.28500009</v>
      </c>
      <c r="AH4170">
        <v>1</v>
      </c>
      <c r="AI4170">
        <v>4</v>
      </c>
      <c r="AJ4170">
        <v>1</v>
      </c>
      <c r="AK4170">
        <v>13</v>
      </c>
      <c r="AL4170">
        <v>51</v>
      </c>
      <c r="AM4170" t="s">
        <v>43</v>
      </c>
      <c r="AN4170" t="str">
        <f>HYPERLINK("https://www.google.com/maps?q=10.76307201,79.69435883","Open Location")</f>
        <v>Open Location</v>
      </c>
    </row>
    <row r="4171" spans="1:40" x14ac:dyDescent="0.3">
      <c r="A4171" s="1">
        <v>46210.516550925924</v>
      </c>
      <c r="B4171" t="s">
        <v>40</v>
      </c>
      <c r="C4171" t="s">
        <v>41</v>
      </c>
      <c r="D4171" s="1">
        <v>46210.519745370373</v>
      </c>
      <c r="E4171" t="s">
        <v>42</v>
      </c>
      <c r="F4171" t="s">
        <v>83</v>
      </c>
      <c r="G4171">
        <v>0</v>
      </c>
      <c r="H4171" t="s">
        <v>43</v>
      </c>
      <c r="I4171" t="s">
        <v>2350</v>
      </c>
      <c r="J4171">
        <v>47</v>
      </c>
      <c r="K4171">
        <v>1</v>
      </c>
      <c r="L4171">
        <v>98</v>
      </c>
      <c r="M4171">
        <v>629.90002441000001</v>
      </c>
      <c r="N4171" t="s">
        <v>81</v>
      </c>
      <c r="O4171" t="s">
        <v>82</v>
      </c>
      <c r="P4171">
        <v>125</v>
      </c>
      <c r="Q4171" t="s">
        <v>82</v>
      </c>
      <c r="R4171">
        <v>0</v>
      </c>
      <c r="S4171">
        <v>0</v>
      </c>
      <c r="T4171">
        <v>-40</v>
      </c>
      <c r="U4171">
        <v>44</v>
      </c>
      <c r="V4171">
        <v>0</v>
      </c>
      <c r="W4171" t="s">
        <v>43</v>
      </c>
      <c r="X4171" t="s">
        <v>43</v>
      </c>
      <c r="Y4171" t="s">
        <v>43</v>
      </c>
      <c r="Z4171" t="s">
        <v>43</v>
      </c>
      <c r="AA4171" t="s">
        <v>43</v>
      </c>
      <c r="AB4171" t="s">
        <v>43</v>
      </c>
      <c r="AC4171" t="s">
        <v>43</v>
      </c>
      <c r="AD4171" t="s">
        <v>43</v>
      </c>
      <c r="AE4171" t="s">
        <v>43</v>
      </c>
      <c r="AF4171" t="s">
        <v>43</v>
      </c>
      <c r="AG4171" t="s">
        <v>43</v>
      </c>
      <c r="AH4171" t="s">
        <v>43</v>
      </c>
      <c r="AI4171" t="s">
        <v>43</v>
      </c>
      <c r="AJ4171">
        <v>1</v>
      </c>
      <c r="AK4171">
        <v>13</v>
      </c>
      <c r="AL4171">
        <v>51</v>
      </c>
      <c r="AM4171" t="s">
        <v>43</v>
      </c>
      <c r="AN4171" t="str">
        <f>HYPERLINK("https://www.google.com/maps?q=10.76307487,79.69435883","Open Location")</f>
        <v>Open Location</v>
      </c>
    </row>
    <row r="4172" spans="1:40" x14ac:dyDescent="0.3">
      <c r="A4172" s="1">
        <v>46210.516435185185</v>
      </c>
      <c r="B4172" t="s">
        <v>40</v>
      </c>
      <c r="C4172" t="s">
        <v>41</v>
      </c>
      <c r="D4172" s="1">
        <v>46210.519131944442</v>
      </c>
      <c r="E4172" t="s">
        <v>42</v>
      </c>
      <c r="F4172" t="s">
        <v>83</v>
      </c>
      <c r="G4172">
        <v>0</v>
      </c>
      <c r="H4172">
        <v>33107</v>
      </c>
      <c r="I4172" t="s">
        <v>2367</v>
      </c>
      <c r="J4172">
        <v>47</v>
      </c>
      <c r="K4172">
        <v>1</v>
      </c>
      <c r="L4172">
        <v>98</v>
      </c>
      <c r="M4172">
        <v>629.90002441000001</v>
      </c>
      <c r="N4172" t="s">
        <v>81</v>
      </c>
      <c r="O4172" t="s">
        <v>82</v>
      </c>
      <c r="P4172">
        <v>125</v>
      </c>
      <c r="Q4172" t="s">
        <v>82</v>
      </c>
      <c r="R4172">
        <v>0</v>
      </c>
      <c r="S4172">
        <v>0</v>
      </c>
      <c r="T4172">
        <v>-40</v>
      </c>
      <c r="U4172">
        <v>44</v>
      </c>
      <c r="V4172">
        <v>0</v>
      </c>
      <c r="W4172">
        <v>27</v>
      </c>
      <c r="X4172">
        <v>27</v>
      </c>
      <c r="Y4172">
        <v>1</v>
      </c>
      <c r="Z4172">
        <v>8</v>
      </c>
      <c r="AA4172">
        <v>24</v>
      </c>
      <c r="AB4172">
        <v>2</v>
      </c>
      <c r="AC4172">
        <v>5</v>
      </c>
      <c r="AD4172">
        <v>3.2869999399999998</v>
      </c>
      <c r="AE4172">
        <v>1</v>
      </c>
      <c r="AF4172">
        <v>1</v>
      </c>
      <c r="AG4172">
        <v>3.28500009</v>
      </c>
      <c r="AH4172">
        <v>1</v>
      </c>
      <c r="AI4172">
        <v>4</v>
      </c>
      <c r="AJ4172">
        <v>1</v>
      </c>
      <c r="AK4172">
        <v>13</v>
      </c>
      <c r="AL4172">
        <v>51</v>
      </c>
      <c r="AM4172" t="s">
        <v>43</v>
      </c>
      <c r="AN4172" t="str">
        <f>HYPERLINK("https://www.google.com/maps?q=10.76308346,79.69434357","Open Location")</f>
        <v>Open Location</v>
      </c>
    </row>
    <row r="4173" spans="1:40" x14ac:dyDescent="0.3">
      <c r="A4173" s="1">
        <v>46210.516319444447</v>
      </c>
      <c r="B4173" t="s">
        <v>40</v>
      </c>
      <c r="C4173" t="s">
        <v>41</v>
      </c>
      <c r="D4173" s="1">
        <v>46210.519143518519</v>
      </c>
      <c r="E4173" t="s">
        <v>42</v>
      </c>
      <c r="F4173" t="s">
        <v>83</v>
      </c>
      <c r="G4173">
        <v>0</v>
      </c>
      <c r="H4173">
        <v>33107</v>
      </c>
      <c r="I4173" t="s">
        <v>43</v>
      </c>
      <c r="J4173">
        <v>47</v>
      </c>
      <c r="K4173">
        <v>1</v>
      </c>
      <c r="L4173">
        <v>98</v>
      </c>
      <c r="M4173">
        <v>630.09997558999999</v>
      </c>
      <c r="N4173" t="s">
        <v>81</v>
      </c>
      <c r="O4173" t="s">
        <v>82</v>
      </c>
      <c r="P4173">
        <v>125</v>
      </c>
      <c r="Q4173" t="s">
        <v>82</v>
      </c>
      <c r="R4173">
        <v>0</v>
      </c>
      <c r="S4173">
        <v>0</v>
      </c>
      <c r="T4173">
        <v>-40</v>
      </c>
      <c r="U4173">
        <v>44</v>
      </c>
      <c r="V4173">
        <v>0</v>
      </c>
      <c r="W4173">
        <v>27</v>
      </c>
      <c r="X4173">
        <v>27</v>
      </c>
      <c r="Y4173">
        <v>1</v>
      </c>
      <c r="Z4173">
        <v>8</v>
      </c>
      <c r="AA4173">
        <v>24</v>
      </c>
      <c r="AB4173">
        <v>2</v>
      </c>
      <c r="AC4173">
        <v>5</v>
      </c>
      <c r="AD4173">
        <v>3.2869999399999998</v>
      </c>
      <c r="AE4173">
        <v>1</v>
      </c>
      <c r="AF4173">
        <v>29</v>
      </c>
      <c r="AG4173">
        <v>3.28500009</v>
      </c>
      <c r="AH4173">
        <v>1</v>
      </c>
      <c r="AI4173">
        <v>4</v>
      </c>
      <c r="AJ4173">
        <v>1</v>
      </c>
      <c r="AK4173">
        <v>13</v>
      </c>
      <c r="AL4173">
        <v>51</v>
      </c>
      <c r="AM4173" t="s">
        <v>43</v>
      </c>
      <c r="AN4173" t="s">
        <v>43</v>
      </c>
    </row>
    <row r="4174" spans="1:40" x14ac:dyDescent="0.3">
      <c r="A4174" s="1">
        <v>46210.516203703701</v>
      </c>
      <c r="B4174" t="s">
        <v>40</v>
      </c>
      <c r="C4174" t="s">
        <v>41</v>
      </c>
      <c r="D4174" s="1">
        <v>46210.519074074073</v>
      </c>
      <c r="E4174" t="s">
        <v>42</v>
      </c>
      <c r="F4174" t="s">
        <v>83</v>
      </c>
      <c r="G4174">
        <v>0</v>
      </c>
      <c r="H4174">
        <v>33107</v>
      </c>
      <c r="I4174" t="s">
        <v>2368</v>
      </c>
      <c r="J4174">
        <v>47</v>
      </c>
      <c r="K4174">
        <v>1</v>
      </c>
      <c r="L4174">
        <v>98</v>
      </c>
      <c r="M4174">
        <v>630.09997558999999</v>
      </c>
      <c r="N4174" t="s">
        <v>81</v>
      </c>
      <c r="O4174" t="s">
        <v>82</v>
      </c>
      <c r="P4174">
        <v>125</v>
      </c>
      <c r="Q4174" t="s">
        <v>82</v>
      </c>
      <c r="R4174">
        <v>0</v>
      </c>
      <c r="S4174">
        <v>0</v>
      </c>
      <c r="T4174">
        <v>-40</v>
      </c>
      <c r="U4174">
        <v>44</v>
      </c>
      <c r="V4174">
        <v>0</v>
      </c>
      <c r="W4174">
        <v>27</v>
      </c>
      <c r="X4174">
        <v>27</v>
      </c>
      <c r="Y4174">
        <v>1</v>
      </c>
      <c r="Z4174">
        <v>8</v>
      </c>
      <c r="AA4174">
        <v>24</v>
      </c>
      <c r="AB4174">
        <v>2</v>
      </c>
      <c r="AC4174">
        <v>5</v>
      </c>
      <c r="AD4174">
        <v>3.2869999399999998</v>
      </c>
      <c r="AE4174">
        <v>1</v>
      </c>
      <c r="AF4174">
        <v>1</v>
      </c>
      <c r="AG4174">
        <v>3.28500009</v>
      </c>
      <c r="AH4174">
        <v>1</v>
      </c>
      <c r="AI4174">
        <v>4</v>
      </c>
      <c r="AJ4174">
        <v>1</v>
      </c>
      <c r="AK4174">
        <v>13</v>
      </c>
      <c r="AL4174">
        <v>51</v>
      </c>
      <c r="AM4174" t="s">
        <v>43</v>
      </c>
      <c r="AN4174" t="str">
        <f>HYPERLINK("https://www.google.com/maps?q=10.76309109,79.69434357","Open Location")</f>
        <v>Open Location</v>
      </c>
    </row>
    <row r="4175" spans="1:40" x14ac:dyDescent="0.3">
      <c r="A4175" s="1">
        <v>46210.516087962962</v>
      </c>
      <c r="B4175" t="s">
        <v>40</v>
      </c>
      <c r="C4175" t="s">
        <v>41</v>
      </c>
      <c r="D4175" s="1">
        <v>46210.519432870373</v>
      </c>
      <c r="E4175" t="s">
        <v>42</v>
      </c>
      <c r="F4175" t="s">
        <v>83</v>
      </c>
      <c r="G4175">
        <v>0</v>
      </c>
      <c r="H4175">
        <v>33107</v>
      </c>
      <c r="I4175" t="s">
        <v>2369</v>
      </c>
      <c r="J4175">
        <v>47</v>
      </c>
      <c r="K4175">
        <v>1</v>
      </c>
      <c r="L4175">
        <v>98</v>
      </c>
      <c r="M4175">
        <v>629.90002441000001</v>
      </c>
      <c r="N4175" t="s">
        <v>81</v>
      </c>
      <c r="O4175" t="s">
        <v>82</v>
      </c>
      <c r="P4175">
        <v>125</v>
      </c>
      <c r="Q4175" t="s">
        <v>82</v>
      </c>
      <c r="R4175">
        <v>0</v>
      </c>
      <c r="S4175">
        <v>0</v>
      </c>
      <c r="T4175">
        <v>-40</v>
      </c>
      <c r="U4175">
        <v>44</v>
      </c>
      <c r="V4175">
        <v>0</v>
      </c>
      <c r="W4175">
        <v>27</v>
      </c>
      <c r="X4175">
        <v>27</v>
      </c>
      <c r="Y4175">
        <v>1</v>
      </c>
      <c r="Z4175">
        <v>8</v>
      </c>
      <c r="AA4175">
        <v>24</v>
      </c>
      <c r="AB4175">
        <v>2</v>
      </c>
      <c r="AC4175">
        <v>5</v>
      </c>
      <c r="AD4175">
        <v>3.2869999399999998</v>
      </c>
      <c r="AE4175">
        <v>1</v>
      </c>
      <c r="AF4175">
        <v>29</v>
      </c>
      <c r="AG4175">
        <v>3.28500009</v>
      </c>
      <c r="AH4175">
        <v>1</v>
      </c>
      <c r="AI4175">
        <v>4</v>
      </c>
      <c r="AJ4175">
        <v>1</v>
      </c>
      <c r="AK4175">
        <v>13</v>
      </c>
      <c r="AL4175">
        <v>51</v>
      </c>
      <c r="AM4175" t="s">
        <v>43</v>
      </c>
      <c r="AN4175" t="str">
        <f>HYPERLINK("https://www.google.com/maps?q=10.76309013,79.69434357","Open Location")</f>
        <v>Open Location</v>
      </c>
    </row>
    <row r="4176" spans="1:40" x14ac:dyDescent="0.3">
      <c r="A4176" s="1">
        <v>46210.515972222223</v>
      </c>
      <c r="B4176" t="s">
        <v>40</v>
      </c>
      <c r="C4176" t="s">
        <v>41</v>
      </c>
      <c r="D4176" s="1">
        <v>46210.518969907411</v>
      </c>
      <c r="E4176" t="s">
        <v>42</v>
      </c>
      <c r="F4176" t="s">
        <v>83</v>
      </c>
      <c r="G4176">
        <v>0</v>
      </c>
      <c r="H4176">
        <v>33107</v>
      </c>
      <c r="I4176" t="s">
        <v>2370</v>
      </c>
      <c r="J4176">
        <v>47</v>
      </c>
      <c r="K4176">
        <v>1</v>
      </c>
      <c r="L4176">
        <v>98</v>
      </c>
      <c r="M4176">
        <v>630.09997558999999</v>
      </c>
      <c r="N4176" t="s">
        <v>81</v>
      </c>
      <c r="O4176" t="s">
        <v>82</v>
      </c>
      <c r="P4176">
        <v>125</v>
      </c>
      <c r="Q4176" t="s">
        <v>82</v>
      </c>
      <c r="R4176">
        <v>0</v>
      </c>
      <c r="S4176">
        <v>0</v>
      </c>
      <c r="T4176">
        <v>-40</v>
      </c>
      <c r="U4176">
        <v>44</v>
      </c>
      <c r="V4176">
        <v>0</v>
      </c>
      <c r="W4176">
        <v>27</v>
      </c>
      <c r="X4176">
        <v>27</v>
      </c>
      <c r="Y4176">
        <v>1</v>
      </c>
      <c r="Z4176">
        <v>8</v>
      </c>
      <c r="AA4176">
        <v>24</v>
      </c>
      <c r="AB4176">
        <v>2</v>
      </c>
      <c r="AC4176">
        <v>5</v>
      </c>
      <c r="AD4176">
        <v>3.2869999399999998</v>
      </c>
      <c r="AE4176">
        <v>1</v>
      </c>
      <c r="AF4176">
        <v>29</v>
      </c>
      <c r="AG4176">
        <v>3.28500009</v>
      </c>
      <c r="AH4176">
        <v>1</v>
      </c>
      <c r="AI4176">
        <v>4</v>
      </c>
      <c r="AJ4176">
        <v>1</v>
      </c>
      <c r="AK4176">
        <v>13</v>
      </c>
      <c r="AL4176">
        <v>51</v>
      </c>
      <c r="AM4176" t="s">
        <v>43</v>
      </c>
      <c r="AN4176" t="str">
        <f>HYPERLINK("https://www.google.com/maps?q=10.76309395,79.6943512","Open Location")</f>
        <v>Open Location</v>
      </c>
    </row>
    <row r="4177" spans="1:40" x14ac:dyDescent="0.3">
      <c r="A4177" s="1">
        <v>46210.515856481485</v>
      </c>
      <c r="B4177" t="s">
        <v>40</v>
      </c>
      <c r="C4177" t="s">
        <v>41</v>
      </c>
      <c r="D4177" s="1">
        <v>46210.51871527778</v>
      </c>
      <c r="E4177" t="s">
        <v>42</v>
      </c>
      <c r="F4177" t="s">
        <v>83</v>
      </c>
      <c r="G4177">
        <v>0</v>
      </c>
      <c r="H4177" t="s">
        <v>43</v>
      </c>
      <c r="I4177" t="s">
        <v>2371</v>
      </c>
      <c r="J4177">
        <v>47</v>
      </c>
      <c r="K4177">
        <v>1</v>
      </c>
      <c r="L4177">
        <v>98</v>
      </c>
      <c r="M4177">
        <v>630</v>
      </c>
      <c r="N4177" t="s">
        <v>81</v>
      </c>
      <c r="O4177" t="s">
        <v>82</v>
      </c>
      <c r="P4177">
        <v>125</v>
      </c>
      <c r="Q4177" t="s">
        <v>82</v>
      </c>
      <c r="R4177">
        <v>0</v>
      </c>
      <c r="S4177">
        <v>0</v>
      </c>
      <c r="T4177">
        <v>-40</v>
      </c>
      <c r="U4177">
        <v>44</v>
      </c>
      <c r="V4177">
        <v>0</v>
      </c>
      <c r="W4177">
        <v>27</v>
      </c>
      <c r="X4177">
        <v>27</v>
      </c>
      <c r="Y4177">
        <v>1</v>
      </c>
      <c r="Z4177">
        <v>8</v>
      </c>
      <c r="AA4177">
        <v>24</v>
      </c>
      <c r="AB4177">
        <v>2</v>
      </c>
      <c r="AC4177">
        <v>5</v>
      </c>
      <c r="AD4177">
        <v>3.2869999399999998</v>
      </c>
      <c r="AE4177">
        <v>1</v>
      </c>
      <c r="AF4177">
        <v>43</v>
      </c>
      <c r="AG4177">
        <v>3.28500009</v>
      </c>
      <c r="AH4177">
        <v>1</v>
      </c>
      <c r="AI4177">
        <v>4</v>
      </c>
      <c r="AJ4177">
        <v>1</v>
      </c>
      <c r="AK4177">
        <v>13</v>
      </c>
      <c r="AL4177">
        <v>51</v>
      </c>
      <c r="AM4177" t="s">
        <v>43</v>
      </c>
      <c r="AN4177" t="str">
        <f>HYPERLINK("https://www.google.com/maps?q=10.76309395,79.69435883","Open Location")</f>
        <v>Open Location</v>
      </c>
    </row>
    <row r="4178" spans="1:40" x14ac:dyDescent="0.3">
      <c r="A4178" s="1">
        <v>46210.515740740739</v>
      </c>
      <c r="B4178" t="s">
        <v>40</v>
      </c>
      <c r="C4178" t="s">
        <v>41</v>
      </c>
      <c r="D4178" s="1">
        <v>46210.51835648148</v>
      </c>
      <c r="E4178" t="s">
        <v>42</v>
      </c>
      <c r="F4178" t="s">
        <v>83</v>
      </c>
      <c r="G4178">
        <v>0</v>
      </c>
      <c r="H4178">
        <v>33107</v>
      </c>
      <c r="I4178" t="s">
        <v>43</v>
      </c>
      <c r="J4178">
        <v>47</v>
      </c>
      <c r="K4178">
        <v>1</v>
      </c>
      <c r="L4178">
        <v>98</v>
      </c>
      <c r="M4178">
        <v>629.90002441000001</v>
      </c>
      <c r="N4178" t="s">
        <v>81</v>
      </c>
      <c r="O4178" t="s">
        <v>82</v>
      </c>
      <c r="P4178">
        <v>125</v>
      </c>
      <c r="Q4178" t="s">
        <v>82</v>
      </c>
      <c r="R4178">
        <v>0</v>
      </c>
      <c r="S4178">
        <v>0</v>
      </c>
      <c r="T4178">
        <v>-40</v>
      </c>
      <c r="U4178">
        <v>44</v>
      </c>
      <c r="V4178">
        <v>0</v>
      </c>
      <c r="W4178">
        <v>27</v>
      </c>
      <c r="X4178">
        <v>27</v>
      </c>
      <c r="Y4178">
        <v>1</v>
      </c>
      <c r="Z4178">
        <v>8</v>
      </c>
      <c r="AA4178">
        <v>24</v>
      </c>
      <c r="AB4178">
        <v>2</v>
      </c>
      <c r="AC4178">
        <v>5</v>
      </c>
      <c r="AD4178">
        <v>3.2869999399999998</v>
      </c>
      <c r="AE4178">
        <v>1</v>
      </c>
      <c r="AF4178">
        <v>29</v>
      </c>
      <c r="AG4178">
        <v>3.28500009</v>
      </c>
      <c r="AH4178">
        <v>1</v>
      </c>
      <c r="AI4178">
        <v>4</v>
      </c>
      <c r="AJ4178">
        <v>1</v>
      </c>
      <c r="AK4178">
        <v>13</v>
      </c>
      <c r="AL4178">
        <v>51</v>
      </c>
      <c r="AM4178" t="s">
        <v>43</v>
      </c>
      <c r="AN4178" t="s">
        <v>43</v>
      </c>
    </row>
    <row r="4179" spans="1:40" x14ac:dyDescent="0.3">
      <c r="A4179" s="1">
        <v>46210.515625</v>
      </c>
      <c r="B4179" t="s">
        <v>40</v>
      </c>
      <c r="C4179" t="s">
        <v>41</v>
      </c>
      <c r="D4179" s="1">
        <v>46210.518263888887</v>
      </c>
      <c r="E4179" t="s">
        <v>42</v>
      </c>
      <c r="F4179" t="s">
        <v>83</v>
      </c>
      <c r="G4179">
        <v>0</v>
      </c>
      <c r="H4179">
        <v>33107</v>
      </c>
      <c r="I4179" t="s">
        <v>2372</v>
      </c>
      <c r="J4179">
        <v>47</v>
      </c>
      <c r="K4179">
        <v>1</v>
      </c>
      <c r="L4179">
        <v>98</v>
      </c>
      <c r="M4179">
        <v>630.09997558999999</v>
      </c>
      <c r="N4179" t="s">
        <v>81</v>
      </c>
      <c r="O4179" t="s">
        <v>82</v>
      </c>
      <c r="P4179">
        <v>125</v>
      </c>
      <c r="Q4179" t="s">
        <v>82</v>
      </c>
      <c r="R4179">
        <v>0</v>
      </c>
      <c r="S4179">
        <v>0</v>
      </c>
      <c r="T4179">
        <v>-40</v>
      </c>
      <c r="U4179">
        <v>44</v>
      </c>
      <c r="V4179">
        <v>0</v>
      </c>
      <c r="W4179">
        <v>27</v>
      </c>
      <c r="X4179">
        <v>27</v>
      </c>
      <c r="Y4179">
        <v>1</v>
      </c>
      <c r="Z4179">
        <v>8</v>
      </c>
      <c r="AA4179">
        <v>24</v>
      </c>
      <c r="AB4179">
        <v>2</v>
      </c>
      <c r="AC4179">
        <v>5</v>
      </c>
      <c r="AD4179">
        <v>3.2869999399999998</v>
      </c>
      <c r="AE4179">
        <v>1</v>
      </c>
      <c r="AF4179">
        <v>29</v>
      </c>
      <c r="AG4179">
        <v>3.28500009</v>
      </c>
      <c r="AH4179">
        <v>1</v>
      </c>
      <c r="AI4179">
        <v>4</v>
      </c>
      <c r="AJ4179">
        <v>1</v>
      </c>
      <c r="AK4179">
        <v>13</v>
      </c>
      <c r="AL4179">
        <v>51</v>
      </c>
      <c r="AM4179" t="s">
        <v>43</v>
      </c>
      <c r="AN4179" t="str">
        <f>HYPERLINK("https://www.google.com/maps?q=10.76309299,79.6943512","Open Location")</f>
        <v>Open Location</v>
      </c>
    </row>
    <row r="4180" spans="1:40" x14ac:dyDescent="0.3">
      <c r="A4180" s="1">
        <v>46210.515509259261</v>
      </c>
      <c r="B4180" t="s">
        <v>40</v>
      </c>
      <c r="C4180" t="s">
        <v>41</v>
      </c>
      <c r="D4180" s="1">
        <v>46210.518090277779</v>
      </c>
      <c r="E4180" t="s">
        <v>42</v>
      </c>
      <c r="F4180" t="s">
        <v>83</v>
      </c>
      <c r="G4180">
        <v>0</v>
      </c>
      <c r="H4180">
        <v>33107</v>
      </c>
      <c r="I4180" t="s">
        <v>2373</v>
      </c>
      <c r="J4180">
        <v>47</v>
      </c>
      <c r="K4180">
        <v>1</v>
      </c>
      <c r="L4180">
        <v>98</v>
      </c>
      <c r="M4180">
        <v>630.09997558999999</v>
      </c>
      <c r="N4180" t="s">
        <v>81</v>
      </c>
      <c r="O4180" t="s">
        <v>82</v>
      </c>
      <c r="P4180">
        <v>125</v>
      </c>
      <c r="Q4180" t="s">
        <v>82</v>
      </c>
      <c r="R4180">
        <v>0</v>
      </c>
      <c r="S4180">
        <v>0</v>
      </c>
      <c r="T4180">
        <v>-40</v>
      </c>
      <c r="U4180">
        <v>44</v>
      </c>
      <c r="V4180">
        <v>0</v>
      </c>
      <c r="W4180">
        <v>27</v>
      </c>
      <c r="X4180">
        <v>27</v>
      </c>
      <c r="Y4180">
        <v>1</v>
      </c>
      <c r="Z4180">
        <v>8</v>
      </c>
      <c r="AA4180">
        <v>24</v>
      </c>
      <c r="AB4180">
        <v>2</v>
      </c>
      <c r="AC4180">
        <v>5</v>
      </c>
      <c r="AD4180">
        <v>3.2869999399999998</v>
      </c>
      <c r="AE4180">
        <v>1</v>
      </c>
      <c r="AF4180">
        <v>46</v>
      </c>
      <c r="AG4180">
        <v>3.28500009</v>
      </c>
      <c r="AH4180">
        <v>1</v>
      </c>
      <c r="AI4180">
        <v>4</v>
      </c>
      <c r="AJ4180">
        <v>1</v>
      </c>
      <c r="AK4180">
        <v>13</v>
      </c>
      <c r="AL4180">
        <v>51</v>
      </c>
      <c r="AM4180" t="s">
        <v>43</v>
      </c>
      <c r="AN4180" t="str">
        <f>HYPERLINK("https://www.google.com/maps?q=10.76309109,79.6943512","Open Location")</f>
        <v>Open Location</v>
      </c>
    </row>
    <row r="4181" spans="1:40" x14ac:dyDescent="0.3">
      <c r="A4181" s="1">
        <v>46210.515393518515</v>
      </c>
      <c r="B4181" t="s">
        <v>40</v>
      </c>
      <c r="C4181" t="s">
        <v>41</v>
      </c>
      <c r="D4181" s="1">
        <v>46210.518090277779</v>
      </c>
      <c r="E4181" t="s">
        <v>42</v>
      </c>
      <c r="F4181" t="s">
        <v>83</v>
      </c>
      <c r="G4181">
        <v>0</v>
      </c>
      <c r="H4181">
        <v>33107</v>
      </c>
      <c r="I4181" t="s">
        <v>2374</v>
      </c>
      <c r="J4181">
        <v>47</v>
      </c>
      <c r="K4181">
        <v>1</v>
      </c>
      <c r="L4181">
        <v>98</v>
      </c>
      <c r="M4181">
        <v>630.20001220999995</v>
      </c>
      <c r="N4181" t="s">
        <v>81</v>
      </c>
      <c r="O4181" t="s">
        <v>82</v>
      </c>
      <c r="P4181">
        <v>125</v>
      </c>
      <c r="Q4181" t="s">
        <v>82</v>
      </c>
      <c r="R4181">
        <v>0</v>
      </c>
      <c r="S4181">
        <v>0</v>
      </c>
      <c r="T4181">
        <v>-40</v>
      </c>
      <c r="U4181">
        <v>44</v>
      </c>
      <c r="V4181">
        <v>0</v>
      </c>
      <c r="W4181">
        <v>27</v>
      </c>
      <c r="X4181">
        <v>27</v>
      </c>
      <c r="Y4181">
        <v>1</v>
      </c>
      <c r="Z4181">
        <v>8</v>
      </c>
      <c r="AA4181">
        <v>24</v>
      </c>
      <c r="AB4181">
        <v>2</v>
      </c>
      <c r="AC4181">
        <v>5</v>
      </c>
      <c r="AD4181">
        <v>3.2869999399999998</v>
      </c>
      <c r="AE4181">
        <v>1</v>
      </c>
      <c r="AF4181">
        <v>46</v>
      </c>
      <c r="AG4181">
        <v>3.28500009</v>
      </c>
      <c r="AH4181">
        <v>1</v>
      </c>
      <c r="AI4181">
        <v>4</v>
      </c>
      <c r="AJ4181">
        <v>1</v>
      </c>
      <c r="AK4181">
        <v>13</v>
      </c>
      <c r="AL4181">
        <v>51</v>
      </c>
      <c r="AM4181" t="s">
        <v>43</v>
      </c>
      <c r="AN4181" t="str">
        <f>HYPERLINK("https://www.google.com/maps?q=10.76309013,79.6943512","Open Location")</f>
        <v>Open Location</v>
      </c>
    </row>
    <row r="4182" spans="1:40" x14ac:dyDescent="0.3">
      <c r="A4182" s="1">
        <v>46210.515277777777</v>
      </c>
      <c r="B4182" t="s">
        <v>40</v>
      </c>
      <c r="C4182" t="s">
        <v>41</v>
      </c>
      <c r="D4182" s="1">
        <v>46210.518263888887</v>
      </c>
      <c r="E4182" t="s">
        <v>42</v>
      </c>
      <c r="F4182" t="s">
        <v>83</v>
      </c>
      <c r="G4182">
        <v>0</v>
      </c>
      <c r="H4182">
        <v>33107</v>
      </c>
      <c r="I4182" t="s">
        <v>2375</v>
      </c>
      <c r="J4182">
        <v>47</v>
      </c>
      <c r="K4182">
        <v>1</v>
      </c>
      <c r="L4182">
        <v>98</v>
      </c>
      <c r="M4182">
        <v>630.09997558999999</v>
      </c>
      <c r="N4182" t="s">
        <v>81</v>
      </c>
      <c r="O4182" t="s">
        <v>82</v>
      </c>
      <c r="P4182">
        <v>125</v>
      </c>
      <c r="Q4182" t="s">
        <v>82</v>
      </c>
      <c r="R4182">
        <v>0</v>
      </c>
      <c r="S4182">
        <v>0</v>
      </c>
      <c r="T4182">
        <v>-40</v>
      </c>
      <c r="U4182">
        <v>44</v>
      </c>
      <c r="V4182">
        <v>0</v>
      </c>
      <c r="W4182">
        <v>27</v>
      </c>
      <c r="X4182">
        <v>27</v>
      </c>
      <c r="Y4182">
        <v>1</v>
      </c>
      <c r="Z4182">
        <v>8</v>
      </c>
      <c r="AA4182">
        <v>24</v>
      </c>
      <c r="AB4182">
        <v>2</v>
      </c>
      <c r="AC4182">
        <v>5</v>
      </c>
      <c r="AD4182">
        <v>3.2869999399999998</v>
      </c>
      <c r="AE4182">
        <v>1</v>
      </c>
      <c r="AF4182">
        <v>46</v>
      </c>
      <c r="AG4182">
        <v>3.28500009</v>
      </c>
      <c r="AH4182">
        <v>1</v>
      </c>
      <c r="AI4182">
        <v>4</v>
      </c>
      <c r="AJ4182">
        <v>1</v>
      </c>
      <c r="AK4182">
        <v>13</v>
      </c>
      <c r="AL4182">
        <v>51</v>
      </c>
      <c r="AM4182" t="s">
        <v>43</v>
      </c>
      <c r="AN4182" t="str">
        <f>HYPERLINK("https://www.google.com/maps?q=10.76308823,79.6943512","Open Location")</f>
        <v>Open Location</v>
      </c>
    </row>
    <row r="4183" spans="1:40" x14ac:dyDescent="0.3">
      <c r="A4183" s="1">
        <v>46210.515162037038</v>
      </c>
      <c r="B4183" t="s">
        <v>40</v>
      </c>
      <c r="C4183" t="s">
        <v>41</v>
      </c>
      <c r="D4183" s="1">
        <v>46210.51835648148</v>
      </c>
      <c r="E4183" t="s">
        <v>42</v>
      </c>
      <c r="F4183" t="s">
        <v>83</v>
      </c>
      <c r="G4183">
        <v>0</v>
      </c>
      <c r="H4183" t="s">
        <v>43</v>
      </c>
      <c r="I4183" t="s">
        <v>2376</v>
      </c>
      <c r="J4183">
        <v>47</v>
      </c>
      <c r="K4183">
        <v>1</v>
      </c>
      <c r="L4183">
        <v>98</v>
      </c>
      <c r="M4183">
        <v>630.09997558999999</v>
      </c>
      <c r="N4183" t="s">
        <v>81</v>
      </c>
      <c r="O4183" t="s">
        <v>82</v>
      </c>
      <c r="P4183">
        <v>125</v>
      </c>
      <c r="Q4183" t="s">
        <v>82</v>
      </c>
      <c r="R4183">
        <v>0</v>
      </c>
      <c r="S4183">
        <v>0</v>
      </c>
      <c r="T4183">
        <v>-40</v>
      </c>
      <c r="U4183">
        <v>44</v>
      </c>
      <c r="V4183">
        <v>0</v>
      </c>
      <c r="W4183" t="s">
        <v>43</v>
      </c>
      <c r="X4183" t="s">
        <v>43</v>
      </c>
      <c r="Y4183" t="s">
        <v>43</v>
      </c>
      <c r="Z4183" t="s">
        <v>43</v>
      </c>
      <c r="AA4183" t="s">
        <v>43</v>
      </c>
      <c r="AB4183" t="s">
        <v>43</v>
      </c>
      <c r="AC4183" t="s">
        <v>43</v>
      </c>
      <c r="AD4183" t="s">
        <v>43</v>
      </c>
      <c r="AE4183" t="s">
        <v>43</v>
      </c>
      <c r="AF4183" t="s">
        <v>43</v>
      </c>
      <c r="AG4183" t="s">
        <v>43</v>
      </c>
      <c r="AH4183" t="s">
        <v>43</v>
      </c>
      <c r="AI4183" t="s">
        <v>43</v>
      </c>
      <c r="AJ4183">
        <v>1</v>
      </c>
      <c r="AK4183">
        <v>13</v>
      </c>
      <c r="AL4183">
        <v>51</v>
      </c>
      <c r="AM4183" t="s">
        <v>43</v>
      </c>
      <c r="AN4183" t="str">
        <f>HYPERLINK("https://www.google.com/maps?q=10.76308918,79.6943512","Open Location")</f>
        <v>Open Location</v>
      </c>
    </row>
    <row r="4184" spans="1:40" x14ac:dyDescent="0.3">
      <c r="A4184" s="1">
        <v>46210.515046296299</v>
      </c>
      <c r="B4184" t="s">
        <v>40</v>
      </c>
      <c r="C4184" t="s">
        <v>41</v>
      </c>
      <c r="D4184" s="1">
        <v>46210.517777777779</v>
      </c>
      <c r="E4184" t="s">
        <v>42</v>
      </c>
      <c r="F4184" t="s">
        <v>83</v>
      </c>
      <c r="G4184">
        <v>0</v>
      </c>
      <c r="H4184">
        <v>33107</v>
      </c>
      <c r="I4184" t="s">
        <v>43</v>
      </c>
      <c r="J4184">
        <v>47</v>
      </c>
      <c r="K4184">
        <v>1</v>
      </c>
      <c r="L4184">
        <v>98</v>
      </c>
      <c r="M4184">
        <v>630</v>
      </c>
      <c r="N4184" t="s">
        <v>81</v>
      </c>
      <c r="O4184" t="s">
        <v>82</v>
      </c>
      <c r="P4184">
        <v>125</v>
      </c>
      <c r="Q4184" t="s">
        <v>82</v>
      </c>
      <c r="R4184">
        <v>0</v>
      </c>
      <c r="S4184">
        <v>0</v>
      </c>
      <c r="T4184">
        <v>-40</v>
      </c>
      <c r="U4184">
        <v>44</v>
      </c>
      <c r="V4184">
        <v>0</v>
      </c>
      <c r="W4184">
        <v>27</v>
      </c>
      <c r="X4184">
        <v>27</v>
      </c>
      <c r="Y4184">
        <v>1</v>
      </c>
      <c r="Z4184">
        <v>8</v>
      </c>
      <c r="AA4184">
        <v>24</v>
      </c>
      <c r="AB4184">
        <v>2</v>
      </c>
      <c r="AC4184">
        <v>5</v>
      </c>
      <c r="AD4184">
        <v>3.2869999399999998</v>
      </c>
      <c r="AE4184">
        <v>1</v>
      </c>
      <c r="AF4184">
        <v>46</v>
      </c>
      <c r="AG4184">
        <v>3.2839999199999999</v>
      </c>
      <c r="AH4184">
        <v>7</v>
      </c>
      <c r="AI4184">
        <v>27</v>
      </c>
      <c r="AJ4184">
        <v>1</v>
      </c>
      <c r="AK4184">
        <v>13</v>
      </c>
      <c r="AL4184">
        <v>51</v>
      </c>
      <c r="AM4184" t="s">
        <v>43</v>
      </c>
      <c r="AN4184" t="s">
        <v>43</v>
      </c>
    </row>
    <row r="4185" spans="1:40" x14ac:dyDescent="0.3">
      <c r="A4185" s="1">
        <v>46210.514930555553</v>
      </c>
      <c r="B4185" t="s">
        <v>40</v>
      </c>
      <c r="C4185" t="s">
        <v>41</v>
      </c>
      <c r="D4185" s="1">
        <v>46210.517777777779</v>
      </c>
      <c r="E4185" t="s">
        <v>42</v>
      </c>
      <c r="F4185" t="s">
        <v>83</v>
      </c>
      <c r="G4185">
        <v>0</v>
      </c>
      <c r="H4185" t="s">
        <v>43</v>
      </c>
      <c r="I4185" t="s">
        <v>2377</v>
      </c>
      <c r="J4185">
        <v>47</v>
      </c>
      <c r="K4185">
        <v>1</v>
      </c>
      <c r="L4185">
        <v>98</v>
      </c>
      <c r="M4185">
        <v>630.09997558999999</v>
      </c>
      <c r="N4185" t="s">
        <v>81</v>
      </c>
      <c r="O4185" t="s">
        <v>82</v>
      </c>
      <c r="P4185">
        <v>125</v>
      </c>
      <c r="Q4185" t="s">
        <v>82</v>
      </c>
      <c r="R4185">
        <v>0</v>
      </c>
      <c r="S4185">
        <v>0</v>
      </c>
      <c r="T4185">
        <v>-40</v>
      </c>
      <c r="U4185">
        <v>44</v>
      </c>
      <c r="V4185">
        <v>0</v>
      </c>
      <c r="W4185">
        <v>27</v>
      </c>
      <c r="X4185">
        <v>27</v>
      </c>
      <c r="Y4185">
        <v>1</v>
      </c>
      <c r="Z4185">
        <v>8</v>
      </c>
      <c r="AA4185">
        <v>24</v>
      </c>
      <c r="AB4185">
        <v>2</v>
      </c>
      <c r="AC4185">
        <v>5</v>
      </c>
      <c r="AD4185" t="s">
        <v>43</v>
      </c>
      <c r="AE4185" t="s">
        <v>43</v>
      </c>
      <c r="AF4185" t="s">
        <v>43</v>
      </c>
      <c r="AG4185" t="s">
        <v>43</v>
      </c>
      <c r="AH4185" t="s">
        <v>43</v>
      </c>
      <c r="AI4185" t="s">
        <v>43</v>
      </c>
      <c r="AJ4185">
        <v>1</v>
      </c>
      <c r="AK4185">
        <v>13</v>
      </c>
      <c r="AL4185">
        <v>51</v>
      </c>
      <c r="AM4185" t="s">
        <v>43</v>
      </c>
      <c r="AN4185" t="str">
        <f>HYPERLINK("https://www.google.com/maps?q=10.76309013,79.69435883","Open Location")</f>
        <v>Open Location</v>
      </c>
    </row>
    <row r="4186" spans="1:40" x14ac:dyDescent="0.3">
      <c r="A4186" s="1">
        <v>46210.514814814815</v>
      </c>
      <c r="B4186" t="s">
        <v>40</v>
      </c>
      <c r="C4186" t="s">
        <v>41</v>
      </c>
      <c r="D4186" s="1">
        <v>46210.51771990741</v>
      </c>
      <c r="E4186" t="s">
        <v>42</v>
      </c>
      <c r="F4186" t="s">
        <v>83</v>
      </c>
      <c r="G4186">
        <v>0</v>
      </c>
      <c r="H4186">
        <v>33107</v>
      </c>
      <c r="I4186" t="s">
        <v>2378</v>
      </c>
      <c r="J4186">
        <v>47</v>
      </c>
      <c r="K4186">
        <v>1</v>
      </c>
      <c r="L4186">
        <v>98</v>
      </c>
      <c r="M4186">
        <v>630.20001220999995</v>
      </c>
      <c r="N4186" t="s">
        <v>81</v>
      </c>
      <c r="O4186" t="s">
        <v>82</v>
      </c>
      <c r="P4186">
        <v>125</v>
      </c>
      <c r="Q4186" t="s">
        <v>82</v>
      </c>
      <c r="R4186">
        <v>0</v>
      </c>
      <c r="S4186">
        <v>0</v>
      </c>
      <c r="T4186">
        <v>-40</v>
      </c>
      <c r="U4186">
        <v>44</v>
      </c>
      <c r="V4186">
        <v>0</v>
      </c>
      <c r="W4186">
        <v>27</v>
      </c>
      <c r="X4186">
        <v>27</v>
      </c>
      <c r="Y4186">
        <v>1</v>
      </c>
      <c r="Z4186">
        <v>8</v>
      </c>
      <c r="AA4186">
        <v>24</v>
      </c>
      <c r="AB4186">
        <v>2</v>
      </c>
      <c r="AC4186">
        <v>5</v>
      </c>
      <c r="AD4186">
        <v>3.2869999399999998</v>
      </c>
      <c r="AE4186">
        <v>5</v>
      </c>
      <c r="AF4186">
        <v>3</v>
      </c>
      <c r="AG4186">
        <v>3.2839999199999999</v>
      </c>
      <c r="AH4186">
        <v>2</v>
      </c>
      <c r="AI4186">
        <v>38</v>
      </c>
      <c r="AJ4186">
        <v>1</v>
      </c>
      <c r="AK4186">
        <v>13</v>
      </c>
      <c r="AL4186">
        <v>51</v>
      </c>
      <c r="AM4186" t="s">
        <v>43</v>
      </c>
      <c r="AN4186" t="str">
        <f>HYPERLINK("https://www.google.com/maps?q=10.76308632,79.6943512","Open Location")</f>
        <v>Open Location</v>
      </c>
    </row>
    <row r="4187" spans="1:40" x14ac:dyDescent="0.3">
      <c r="A4187" s="1">
        <v>46210.514699074076</v>
      </c>
      <c r="B4187" t="s">
        <v>40</v>
      </c>
      <c r="C4187" t="s">
        <v>41</v>
      </c>
      <c r="D4187" s="1">
        <v>46210.517928240741</v>
      </c>
      <c r="E4187" t="s">
        <v>42</v>
      </c>
      <c r="F4187" t="s">
        <v>83</v>
      </c>
      <c r="G4187">
        <v>0</v>
      </c>
      <c r="H4187" t="s">
        <v>43</v>
      </c>
      <c r="I4187" t="s">
        <v>2379</v>
      </c>
      <c r="J4187">
        <v>47</v>
      </c>
      <c r="K4187">
        <v>1</v>
      </c>
      <c r="L4187">
        <v>98</v>
      </c>
      <c r="M4187">
        <v>629.90002441000001</v>
      </c>
      <c r="N4187" t="s">
        <v>81</v>
      </c>
      <c r="O4187" t="s">
        <v>82</v>
      </c>
      <c r="P4187">
        <v>125</v>
      </c>
      <c r="Q4187" t="s">
        <v>82</v>
      </c>
      <c r="R4187">
        <v>0</v>
      </c>
      <c r="S4187">
        <v>0</v>
      </c>
      <c r="T4187">
        <v>-40</v>
      </c>
      <c r="U4187">
        <v>44</v>
      </c>
      <c r="V4187">
        <v>0</v>
      </c>
      <c r="W4187">
        <v>27</v>
      </c>
      <c r="X4187">
        <v>27</v>
      </c>
      <c r="Y4187">
        <v>1</v>
      </c>
      <c r="Z4187">
        <v>8</v>
      </c>
      <c r="AA4187">
        <v>24</v>
      </c>
      <c r="AB4187">
        <v>2</v>
      </c>
      <c r="AC4187">
        <v>5</v>
      </c>
      <c r="AD4187">
        <v>3.2869999399999998</v>
      </c>
      <c r="AE4187">
        <v>5</v>
      </c>
      <c r="AF4187">
        <v>3</v>
      </c>
      <c r="AG4187">
        <v>3.2839999199999999</v>
      </c>
      <c r="AH4187">
        <v>2</v>
      </c>
      <c r="AI4187">
        <v>38</v>
      </c>
      <c r="AJ4187">
        <v>1</v>
      </c>
      <c r="AK4187">
        <v>13</v>
      </c>
      <c r="AL4187">
        <v>51</v>
      </c>
      <c r="AM4187" t="s">
        <v>43</v>
      </c>
      <c r="AN4187" t="str">
        <f>HYPERLINK("https://www.google.com/maps?q=10.76308441,79.6943512","Open Location")</f>
        <v>Open Location</v>
      </c>
    </row>
    <row r="4188" spans="1:40" x14ac:dyDescent="0.3">
      <c r="A4188" s="1">
        <v>46210.51458333333</v>
      </c>
      <c r="B4188" t="s">
        <v>40</v>
      </c>
      <c r="C4188" t="s">
        <v>41</v>
      </c>
      <c r="D4188" s="1">
        <v>46210.517430555556</v>
      </c>
      <c r="E4188" t="s">
        <v>42</v>
      </c>
      <c r="F4188" t="s">
        <v>83</v>
      </c>
      <c r="G4188">
        <v>0</v>
      </c>
      <c r="H4188">
        <v>33107</v>
      </c>
      <c r="I4188" t="s">
        <v>2380</v>
      </c>
      <c r="J4188">
        <v>47</v>
      </c>
      <c r="K4188">
        <v>1</v>
      </c>
      <c r="L4188">
        <v>98</v>
      </c>
      <c r="M4188">
        <v>629.90002441000001</v>
      </c>
      <c r="N4188" t="s">
        <v>81</v>
      </c>
      <c r="O4188" t="s">
        <v>82</v>
      </c>
      <c r="P4188">
        <v>125</v>
      </c>
      <c r="Q4188" t="s">
        <v>82</v>
      </c>
      <c r="R4188">
        <v>0</v>
      </c>
      <c r="S4188">
        <v>0</v>
      </c>
      <c r="T4188">
        <v>-40</v>
      </c>
      <c r="U4188">
        <v>45</v>
      </c>
      <c r="V4188">
        <v>0</v>
      </c>
      <c r="W4188">
        <v>27</v>
      </c>
      <c r="X4188">
        <v>27</v>
      </c>
      <c r="Y4188">
        <v>1</v>
      </c>
      <c r="Z4188">
        <v>8</v>
      </c>
      <c r="AA4188">
        <v>24</v>
      </c>
      <c r="AB4188">
        <v>2</v>
      </c>
      <c r="AC4188">
        <v>5</v>
      </c>
      <c r="AD4188">
        <v>3.28600001</v>
      </c>
      <c r="AE4188">
        <v>1</v>
      </c>
      <c r="AF4188">
        <v>1</v>
      </c>
      <c r="AG4188">
        <v>3.2839999199999999</v>
      </c>
      <c r="AH4188">
        <v>2</v>
      </c>
      <c r="AI4188">
        <v>38</v>
      </c>
      <c r="AJ4188">
        <v>1</v>
      </c>
      <c r="AK4188">
        <v>13</v>
      </c>
      <c r="AL4188">
        <v>51</v>
      </c>
      <c r="AM4188" t="s">
        <v>43</v>
      </c>
      <c r="AN4188" t="str">
        <f>HYPERLINK("https://www.google.com/maps?q=10.76308727,79.69435883","Open Location")</f>
        <v>Open Location</v>
      </c>
    </row>
    <row r="4189" spans="1:40" x14ac:dyDescent="0.3">
      <c r="A4189" s="1">
        <v>46210.514467592591</v>
      </c>
      <c r="B4189" t="s">
        <v>40</v>
      </c>
      <c r="C4189" t="s">
        <v>41</v>
      </c>
      <c r="D4189" s="1">
        <v>46210.517546296294</v>
      </c>
      <c r="E4189" t="s">
        <v>42</v>
      </c>
      <c r="F4189" t="s">
        <v>83</v>
      </c>
      <c r="G4189">
        <v>0</v>
      </c>
      <c r="H4189">
        <v>33107</v>
      </c>
      <c r="I4189" t="s">
        <v>2360</v>
      </c>
      <c r="J4189">
        <v>47</v>
      </c>
      <c r="K4189">
        <v>1</v>
      </c>
      <c r="L4189">
        <v>98</v>
      </c>
      <c r="M4189">
        <v>630.20001220999995</v>
      </c>
      <c r="N4189" t="s">
        <v>81</v>
      </c>
      <c r="O4189" t="s">
        <v>82</v>
      </c>
      <c r="P4189">
        <v>125</v>
      </c>
      <c r="Q4189" t="s">
        <v>82</v>
      </c>
      <c r="R4189">
        <v>0</v>
      </c>
      <c r="S4189">
        <v>0</v>
      </c>
      <c r="T4189">
        <v>-40</v>
      </c>
      <c r="U4189">
        <v>45</v>
      </c>
      <c r="V4189">
        <v>0</v>
      </c>
      <c r="W4189" t="s">
        <v>43</v>
      </c>
      <c r="X4189" t="s">
        <v>43</v>
      </c>
      <c r="Y4189" t="s">
        <v>43</v>
      </c>
      <c r="Z4189" t="s">
        <v>43</v>
      </c>
      <c r="AA4189" t="s">
        <v>43</v>
      </c>
      <c r="AB4189" t="s">
        <v>43</v>
      </c>
      <c r="AC4189" t="s">
        <v>43</v>
      </c>
      <c r="AD4189" t="s">
        <v>43</v>
      </c>
      <c r="AE4189" t="s">
        <v>43</v>
      </c>
      <c r="AF4189" t="s">
        <v>43</v>
      </c>
      <c r="AG4189" t="s">
        <v>43</v>
      </c>
      <c r="AH4189" t="s">
        <v>43</v>
      </c>
      <c r="AI4189" t="s">
        <v>43</v>
      </c>
      <c r="AJ4189">
        <v>1</v>
      </c>
      <c r="AK4189">
        <v>13</v>
      </c>
      <c r="AL4189">
        <v>51</v>
      </c>
      <c r="AM4189" t="s">
        <v>43</v>
      </c>
      <c r="AN4189" t="str">
        <f>HYPERLINK("https://www.google.com/maps?q=10.76308632,79.69435883","Open Location")</f>
        <v>Open Location</v>
      </c>
    </row>
    <row r="4190" spans="1:40" x14ac:dyDescent="0.3">
      <c r="A4190" s="1">
        <v>46210.514351851853</v>
      </c>
      <c r="B4190" t="s">
        <v>40</v>
      </c>
      <c r="C4190" t="s">
        <v>41</v>
      </c>
      <c r="D4190" s="1">
        <v>46210.517233796294</v>
      </c>
      <c r="E4190" t="s">
        <v>42</v>
      </c>
      <c r="F4190" t="s">
        <v>83</v>
      </c>
      <c r="G4190">
        <v>0</v>
      </c>
      <c r="H4190">
        <v>33107</v>
      </c>
      <c r="I4190" t="s">
        <v>43</v>
      </c>
      <c r="J4190">
        <v>47</v>
      </c>
      <c r="K4190">
        <v>1</v>
      </c>
      <c r="L4190">
        <v>98</v>
      </c>
      <c r="M4190">
        <v>629.90002441000001</v>
      </c>
      <c r="N4190" t="s">
        <v>81</v>
      </c>
      <c r="O4190" t="s">
        <v>82</v>
      </c>
      <c r="P4190">
        <v>125</v>
      </c>
      <c r="Q4190" t="s">
        <v>82</v>
      </c>
      <c r="R4190">
        <v>0</v>
      </c>
      <c r="S4190">
        <v>0</v>
      </c>
      <c r="T4190">
        <v>-40</v>
      </c>
      <c r="U4190">
        <v>45</v>
      </c>
      <c r="V4190">
        <v>0</v>
      </c>
      <c r="W4190">
        <v>27</v>
      </c>
      <c r="X4190">
        <v>27</v>
      </c>
      <c r="Y4190">
        <v>1</v>
      </c>
      <c r="Z4190">
        <v>8</v>
      </c>
      <c r="AA4190">
        <v>24</v>
      </c>
      <c r="AB4190">
        <v>2</v>
      </c>
      <c r="AC4190">
        <v>5</v>
      </c>
      <c r="AD4190">
        <v>3.2869999399999998</v>
      </c>
      <c r="AE4190">
        <v>5</v>
      </c>
      <c r="AF4190">
        <v>3</v>
      </c>
      <c r="AG4190">
        <v>3.2839999199999999</v>
      </c>
      <c r="AH4190">
        <v>2</v>
      </c>
      <c r="AI4190">
        <v>38</v>
      </c>
      <c r="AJ4190">
        <v>1</v>
      </c>
      <c r="AK4190">
        <v>13</v>
      </c>
      <c r="AL4190">
        <v>51</v>
      </c>
      <c r="AM4190" t="s">
        <v>43</v>
      </c>
      <c r="AN4190" t="s">
        <v>43</v>
      </c>
    </row>
    <row r="4191" spans="1:40" x14ac:dyDescent="0.3">
      <c r="A4191" s="1">
        <v>46210.514236111114</v>
      </c>
      <c r="B4191" t="s">
        <v>40</v>
      </c>
      <c r="C4191" t="s">
        <v>41</v>
      </c>
      <c r="D4191" s="1">
        <v>46210.517164351855</v>
      </c>
      <c r="E4191" t="s">
        <v>42</v>
      </c>
      <c r="F4191" t="s">
        <v>83</v>
      </c>
      <c r="G4191">
        <v>0</v>
      </c>
      <c r="H4191">
        <v>33107</v>
      </c>
      <c r="I4191" t="s">
        <v>43</v>
      </c>
      <c r="J4191">
        <v>47</v>
      </c>
      <c r="K4191">
        <v>1</v>
      </c>
      <c r="L4191">
        <v>98</v>
      </c>
      <c r="M4191">
        <v>630.09997558999999</v>
      </c>
      <c r="N4191" t="s">
        <v>81</v>
      </c>
      <c r="O4191" t="s">
        <v>82</v>
      </c>
      <c r="P4191">
        <v>125</v>
      </c>
      <c r="Q4191" t="s">
        <v>43</v>
      </c>
      <c r="R4191">
        <v>0</v>
      </c>
      <c r="S4191">
        <v>0</v>
      </c>
      <c r="T4191">
        <v>-40</v>
      </c>
      <c r="U4191">
        <v>45</v>
      </c>
      <c r="V4191">
        <v>0</v>
      </c>
      <c r="W4191" t="s">
        <v>43</v>
      </c>
      <c r="X4191" t="s">
        <v>43</v>
      </c>
      <c r="Y4191" t="s">
        <v>43</v>
      </c>
      <c r="Z4191" t="s">
        <v>43</v>
      </c>
      <c r="AA4191" t="s">
        <v>43</v>
      </c>
      <c r="AB4191" t="s">
        <v>43</v>
      </c>
      <c r="AC4191" t="s">
        <v>43</v>
      </c>
      <c r="AD4191" t="s">
        <v>43</v>
      </c>
      <c r="AE4191" t="s">
        <v>43</v>
      </c>
      <c r="AF4191" t="s">
        <v>43</v>
      </c>
      <c r="AG4191" t="s">
        <v>43</v>
      </c>
      <c r="AH4191" t="s">
        <v>43</v>
      </c>
      <c r="AI4191" t="s">
        <v>43</v>
      </c>
      <c r="AJ4191">
        <v>1</v>
      </c>
      <c r="AK4191">
        <v>13</v>
      </c>
      <c r="AL4191">
        <v>51</v>
      </c>
      <c r="AM4191" t="s">
        <v>43</v>
      </c>
      <c r="AN4191" t="s">
        <v>43</v>
      </c>
    </row>
    <row r="4192" spans="1:40" x14ac:dyDescent="0.3">
      <c r="A4192" s="1">
        <v>46210.514120370368</v>
      </c>
      <c r="B4192" t="s">
        <v>40</v>
      </c>
      <c r="C4192" t="s">
        <v>41</v>
      </c>
      <c r="D4192" s="1">
        <v>46210.51699074074</v>
      </c>
      <c r="E4192" t="s">
        <v>42</v>
      </c>
      <c r="F4192" t="s">
        <v>83</v>
      </c>
      <c r="G4192">
        <v>0</v>
      </c>
      <c r="H4192">
        <v>33107</v>
      </c>
      <c r="I4192" t="s">
        <v>2375</v>
      </c>
      <c r="J4192">
        <v>47</v>
      </c>
      <c r="K4192">
        <v>1</v>
      </c>
      <c r="L4192">
        <v>98</v>
      </c>
      <c r="M4192">
        <v>630.09997558999999</v>
      </c>
      <c r="N4192" t="s">
        <v>81</v>
      </c>
      <c r="O4192" t="s">
        <v>82</v>
      </c>
      <c r="P4192">
        <v>125</v>
      </c>
      <c r="Q4192" t="s">
        <v>82</v>
      </c>
      <c r="R4192">
        <v>0</v>
      </c>
      <c r="S4192">
        <v>0</v>
      </c>
      <c r="T4192">
        <v>-40</v>
      </c>
      <c r="U4192">
        <v>45</v>
      </c>
      <c r="V4192">
        <v>0</v>
      </c>
      <c r="W4192">
        <v>27</v>
      </c>
      <c r="X4192">
        <v>27</v>
      </c>
      <c r="Y4192">
        <v>1</v>
      </c>
      <c r="Z4192">
        <v>8</v>
      </c>
      <c r="AA4192">
        <v>24</v>
      </c>
      <c r="AB4192">
        <v>2</v>
      </c>
      <c r="AC4192">
        <v>5</v>
      </c>
      <c r="AD4192">
        <v>3.28600001</v>
      </c>
      <c r="AE4192">
        <v>1</v>
      </c>
      <c r="AF4192">
        <v>1</v>
      </c>
      <c r="AG4192">
        <v>3.2839999199999999</v>
      </c>
      <c r="AH4192">
        <v>2</v>
      </c>
      <c r="AI4192">
        <v>38</v>
      </c>
      <c r="AJ4192">
        <v>1</v>
      </c>
      <c r="AK4192">
        <v>13</v>
      </c>
      <c r="AL4192">
        <v>51</v>
      </c>
      <c r="AM4192" t="s">
        <v>43</v>
      </c>
      <c r="AN4192" t="str">
        <f>HYPERLINK("https://www.google.com/maps?q=10.76308823,79.6943512","Open Location")</f>
        <v>Open Location</v>
      </c>
    </row>
    <row r="4193" spans="1:40" x14ac:dyDescent="0.3">
      <c r="A4193" s="1">
        <v>46210.514004629629</v>
      </c>
      <c r="B4193" t="s">
        <v>40</v>
      </c>
      <c r="C4193" t="s">
        <v>41</v>
      </c>
      <c r="D4193" s="1">
        <v>46210.516921296294</v>
      </c>
      <c r="E4193" t="s">
        <v>42</v>
      </c>
      <c r="F4193" t="s">
        <v>83</v>
      </c>
      <c r="G4193">
        <v>0</v>
      </c>
      <c r="H4193">
        <v>33107</v>
      </c>
      <c r="I4193" t="s">
        <v>2381</v>
      </c>
      <c r="J4193">
        <v>47</v>
      </c>
      <c r="K4193">
        <v>1</v>
      </c>
      <c r="L4193">
        <v>98</v>
      </c>
      <c r="M4193">
        <v>629.90002441000001</v>
      </c>
      <c r="N4193" t="s">
        <v>81</v>
      </c>
      <c r="O4193" t="s">
        <v>82</v>
      </c>
      <c r="P4193">
        <v>125</v>
      </c>
      <c r="Q4193" t="s">
        <v>82</v>
      </c>
      <c r="R4193">
        <v>0</v>
      </c>
      <c r="S4193">
        <v>0</v>
      </c>
      <c r="T4193">
        <v>-40</v>
      </c>
      <c r="U4193">
        <v>45</v>
      </c>
      <c r="V4193">
        <v>0</v>
      </c>
      <c r="W4193">
        <v>27</v>
      </c>
      <c r="X4193">
        <v>27</v>
      </c>
      <c r="Y4193">
        <v>1</v>
      </c>
      <c r="Z4193">
        <v>8</v>
      </c>
      <c r="AA4193">
        <v>24</v>
      </c>
      <c r="AB4193">
        <v>2</v>
      </c>
      <c r="AC4193">
        <v>5</v>
      </c>
      <c r="AD4193">
        <v>3.28600001</v>
      </c>
      <c r="AE4193">
        <v>1</v>
      </c>
      <c r="AF4193">
        <v>1</v>
      </c>
      <c r="AG4193">
        <v>3.2839999199999999</v>
      </c>
      <c r="AH4193">
        <v>2</v>
      </c>
      <c r="AI4193">
        <v>12</v>
      </c>
      <c r="AJ4193">
        <v>1</v>
      </c>
      <c r="AK4193">
        <v>13</v>
      </c>
      <c r="AL4193">
        <v>51</v>
      </c>
      <c r="AM4193" t="s">
        <v>43</v>
      </c>
      <c r="AN4193" t="str">
        <f>HYPERLINK("https://www.google.com/maps?q=10.76308727,79.6943512","Open Location")</f>
        <v>Open Location</v>
      </c>
    </row>
    <row r="4194" spans="1:40" x14ac:dyDescent="0.3">
      <c r="A4194" s="1">
        <v>46210.513888888891</v>
      </c>
      <c r="B4194" t="s">
        <v>40</v>
      </c>
      <c r="C4194" t="s">
        <v>41</v>
      </c>
      <c r="D4194" s="1">
        <v>46210.517071759263</v>
      </c>
      <c r="E4194" t="s">
        <v>42</v>
      </c>
      <c r="F4194" t="s">
        <v>83</v>
      </c>
      <c r="G4194">
        <v>0</v>
      </c>
      <c r="H4194">
        <v>33107</v>
      </c>
      <c r="I4194" t="s">
        <v>2382</v>
      </c>
      <c r="J4194">
        <v>47</v>
      </c>
      <c r="K4194">
        <v>1</v>
      </c>
      <c r="L4194">
        <v>98</v>
      </c>
      <c r="M4194">
        <v>629.90002441000001</v>
      </c>
      <c r="N4194" t="s">
        <v>81</v>
      </c>
      <c r="O4194" t="s">
        <v>82</v>
      </c>
      <c r="P4194">
        <v>125</v>
      </c>
      <c r="Q4194" t="s">
        <v>82</v>
      </c>
      <c r="R4194">
        <v>0</v>
      </c>
      <c r="S4194">
        <v>0</v>
      </c>
      <c r="T4194">
        <v>-40</v>
      </c>
      <c r="U4194">
        <v>45</v>
      </c>
      <c r="V4194">
        <v>0</v>
      </c>
      <c r="W4194">
        <v>27</v>
      </c>
      <c r="X4194">
        <v>27</v>
      </c>
      <c r="Y4194">
        <v>1</v>
      </c>
      <c r="Z4194">
        <v>8</v>
      </c>
      <c r="AA4194">
        <v>24</v>
      </c>
      <c r="AB4194">
        <v>2</v>
      </c>
      <c r="AC4194">
        <v>5</v>
      </c>
      <c r="AD4194">
        <v>3.28600001</v>
      </c>
      <c r="AE4194">
        <v>1</v>
      </c>
      <c r="AF4194">
        <v>1</v>
      </c>
      <c r="AG4194">
        <v>3.2839999199999999</v>
      </c>
      <c r="AH4194">
        <v>2</v>
      </c>
      <c r="AI4194">
        <v>12</v>
      </c>
      <c r="AJ4194">
        <v>1</v>
      </c>
      <c r="AK4194">
        <v>13</v>
      </c>
      <c r="AL4194">
        <v>51</v>
      </c>
      <c r="AM4194" t="s">
        <v>43</v>
      </c>
      <c r="AN4194" t="str">
        <f>HYPERLINK("https://www.google.com/maps?q=10.76309299,79.69434357","Open Location")</f>
        <v>Open Location</v>
      </c>
    </row>
    <row r="4195" spans="1:40" x14ac:dyDescent="0.3">
      <c r="A4195" s="1">
        <v>46210.513773148145</v>
      </c>
      <c r="B4195" t="s">
        <v>40</v>
      </c>
      <c r="C4195" t="s">
        <v>41</v>
      </c>
      <c r="D4195" s="1">
        <v>46210.516643518517</v>
      </c>
      <c r="E4195" t="s">
        <v>42</v>
      </c>
      <c r="F4195" t="s">
        <v>83</v>
      </c>
      <c r="G4195">
        <v>0</v>
      </c>
      <c r="H4195" t="s">
        <v>43</v>
      </c>
      <c r="I4195" t="s">
        <v>43</v>
      </c>
      <c r="J4195">
        <v>47</v>
      </c>
      <c r="K4195">
        <v>1</v>
      </c>
      <c r="L4195">
        <v>98</v>
      </c>
      <c r="M4195">
        <v>630</v>
      </c>
      <c r="N4195" t="s">
        <v>81</v>
      </c>
      <c r="O4195" t="s">
        <v>82</v>
      </c>
      <c r="P4195">
        <v>125</v>
      </c>
      <c r="Q4195" t="s">
        <v>82</v>
      </c>
      <c r="R4195">
        <v>0</v>
      </c>
      <c r="S4195">
        <v>0</v>
      </c>
      <c r="T4195">
        <v>-40</v>
      </c>
      <c r="U4195">
        <v>45</v>
      </c>
      <c r="V4195">
        <v>0</v>
      </c>
      <c r="W4195" t="s">
        <v>43</v>
      </c>
      <c r="X4195" t="s">
        <v>43</v>
      </c>
      <c r="Y4195" t="s">
        <v>43</v>
      </c>
      <c r="Z4195" t="s">
        <v>43</v>
      </c>
      <c r="AA4195" t="s">
        <v>43</v>
      </c>
      <c r="AB4195" t="s">
        <v>43</v>
      </c>
      <c r="AC4195" t="s">
        <v>43</v>
      </c>
      <c r="AD4195" t="s">
        <v>43</v>
      </c>
      <c r="AE4195" t="s">
        <v>43</v>
      </c>
      <c r="AF4195" t="s">
        <v>43</v>
      </c>
      <c r="AG4195" t="s">
        <v>43</v>
      </c>
      <c r="AH4195" t="s">
        <v>43</v>
      </c>
      <c r="AI4195" t="s">
        <v>43</v>
      </c>
      <c r="AJ4195">
        <v>1</v>
      </c>
      <c r="AK4195">
        <v>13</v>
      </c>
      <c r="AL4195">
        <v>51</v>
      </c>
      <c r="AM4195" t="s">
        <v>43</v>
      </c>
      <c r="AN4195" t="s">
        <v>43</v>
      </c>
    </row>
    <row r="4196" spans="1:40" x14ac:dyDescent="0.3">
      <c r="A4196" s="1">
        <v>46210.513657407406</v>
      </c>
      <c r="B4196" t="s">
        <v>40</v>
      </c>
      <c r="C4196" t="s">
        <v>41</v>
      </c>
      <c r="D4196" s="1">
        <v>46210.516446759262</v>
      </c>
      <c r="E4196" t="s">
        <v>42</v>
      </c>
      <c r="F4196" t="s">
        <v>83</v>
      </c>
      <c r="G4196">
        <v>0</v>
      </c>
      <c r="H4196">
        <v>33107</v>
      </c>
      <c r="I4196" t="s">
        <v>2383</v>
      </c>
      <c r="J4196">
        <v>47</v>
      </c>
      <c r="K4196">
        <v>1</v>
      </c>
      <c r="L4196">
        <v>98</v>
      </c>
      <c r="M4196">
        <v>630.09997558999999</v>
      </c>
      <c r="N4196" t="s">
        <v>81</v>
      </c>
      <c r="O4196" t="s">
        <v>82</v>
      </c>
      <c r="P4196">
        <v>125</v>
      </c>
      <c r="Q4196" t="s">
        <v>82</v>
      </c>
      <c r="R4196">
        <v>0</v>
      </c>
      <c r="S4196">
        <v>0</v>
      </c>
      <c r="T4196">
        <v>-40</v>
      </c>
      <c r="U4196">
        <v>45</v>
      </c>
      <c r="V4196">
        <v>0</v>
      </c>
      <c r="W4196">
        <v>27</v>
      </c>
      <c r="X4196">
        <v>27</v>
      </c>
      <c r="Y4196">
        <v>1</v>
      </c>
      <c r="Z4196">
        <v>8</v>
      </c>
      <c r="AA4196">
        <v>24</v>
      </c>
      <c r="AB4196">
        <v>2</v>
      </c>
      <c r="AC4196">
        <v>4</v>
      </c>
      <c r="AD4196">
        <v>3.28600001</v>
      </c>
      <c r="AE4196">
        <v>1</v>
      </c>
      <c r="AF4196">
        <v>1</v>
      </c>
      <c r="AG4196">
        <v>3.2839999199999999</v>
      </c>
      <c r="AH4196">
        <v>2</v>
      </c>
      <c r="AI4196">
        <v>12</v>
      </c>
      <c r="AJ4196">
        <v>1</v>
      </c>
      <c r="AK4196">
        <v>13</v>
      </c>
      <c r="AL4196">
        <v>51</v>
      </c>
      <c r="AM4196" t="s">
        <v>43</v>
      </c>
      <c r="AN4196" t="str">
        <f>HYPERLINK("https://www.google.com/maps?q=10.76308727,79.69434357","Open Location")</f>
        <v>Open Location</v>
      </c>
    </row>
    <row r="4197" spans="1:40" x14ac:dyDescent="0.3">
      <c r="A4197" s="1">
        <v>46210.513541666667</v>
      </c>
      <c r="B4197" t="s">
        <v>40</v>
      </c>
      <c r="C4197" t="s">
        <v>41</v>
      </c>
      <c r="D4197" s="1">
        <v>46210.516296296293</v>
      </c>
      <c r="E4197" t="s">
        <v>42</v>
      </c>
      <c r="F4197" t="s">
        <v>83</v>
      </c>
      <c r="G4197">
        <v>0</v>
      </c>
      <c r="H4197" t="s">
        <v>43</v>
      </c>
      <c r="I4197" t="s">
        <v>43</v>
      </c>
      <c r="J4197">
        <v>47</v>
      </c>
      <c r="K4197">
        <v>1</v>
      </c>
      <c r="L4197">
        <v>98</v>
      </c>
      <c r="M4197">
        <v>630.09997558999999</v>
      </c>
      <c r="N4197" t="s">
        <v>81</v>
      </c>
      <c r="O4197" t="s">
        <v>82</v>
      </c>
      <c r="P4197">
        <v>125</v>
      </c>
      <c r="Q4197" t="s">
        <v>82</v>
      </c>
      <c r="R4197">
        <v>0</v>
      </c>
      <c r="S4197">
        <v>0</v>
      </c>
      <c r="T4197">
        <v>-40</v>
      </c>
      <c r="U4197">
        <v>45</v>
      </c>
      <c r="V4197">
        <v>0</v>
      </c>
      <c r="W4197">
        <v>27</v>
      </c>
      <c r="X4197">
        <v>27</v>
      </c>
      <c r="Y4197">
        <v>1</v>
      </c>
      <c r="Z4197">
        <v>8</v>
      </c>
      <c r="AA4197">
        <v>24</v>
      </c>
      <c r="AB4197">
        <v>2</v>
      </c>
      <c r="AC4197">
        <v>4</v>
      </c>
      <c r="AD4197" t="s">
        <v>43</v>
      </c>
      <c r="AE4197" t="s">
        <v>43</v>
      </c>
      <c r="AF4197" t="s">
        <v>43</v>
      </c>
      <c r="AG4197" t="s">
        <v>43</v>
      </c>
      <c r="AH4197" t="s">
        <v>43</v>
      </c>
      <c r="AI4197" t="s">
        <v>43</v>
      </c>
      <c r="AJ4197">
        <v>1</v>
      </c>
      <c r="AK4197">
        <v>13</v>
      </c>
      <c r="AL4197">
        <v>51</v>
      </c>
      <c r="AM4197" t="s">
        <v>43</v>
      </c>
      <c r="AN4197" t="s">
        <v>43</v>
      </c>
    </row>
    <row r="4198" spans="1:40" x14ac:dyDescent="0.3">
      <c r="A4198" s="1">
        <v>46210.513425925928</v>
      </c>
      <c r="B4198" t="s">
        <v>40</v>
      </c>
      <c r="C4198" t="s">
        <v>41</v>
      </c>
      <c r="D4198" s="1">
        <v>46210.516122685185</v>
      </c>
      <c r="E4198" t="s">
        <v>42</v>
      </c>
      <c r="F4198" t="s">
        <v>83</v>
      </c>
      <c r="G4198">
        <v>0</v>
      </c>
      <c r="H4198">
        <v>33107</v>
      </c>
      <c r="I4198" t="s">
        <v>2384</v>
      </c>
      <c r="J4198">
        <v>47</v>
      </c>
      <c r="K4198">
        <v>1</v>
      </c>
      <c r="L4198">
        <v>98</v>
      </c>
      <c r="M4198">
        <v>630.09997558999999</v>
      </c>
      <c r="N4198" t="s">
        <v>81</v>
      </c>
      <c r="O4198" t="s">
        <v>82</v>
      </c>
      <c r="P4198">
        <v>125</v>
      </c>
      <c r="Q4198" t="s">
        <v>82</v>
      </c>
      <c r="R4198">
        <v>0</v>
      </c>
      <c r="S4198">
        <v>0</v>
      </c>
      <c r="T4198">
        <v>-40</v>
      </c>
      <c r="U4198">
        <v>45</v>
      </c>
      <c r="V4198">
        <v>0</v>
      </c>
      <c r="W4198">
        <v>27</v>
      </c>
      <c r="X4198">
        <v>27</v>
      </c>
      <c r="Y4198">
        <v>1</v>
      </c>
      <c r="Z4198">
        <v>8</v>
      </c>
      <c r="AA4198">
        <v>24</v>
      </c>
      <c r="AB4198">
        <v>2</v>
      </c>
      <c r="AC4198">
        <v>4</v>
      </c>
      <c r="AD4198">
        <v>3.28600001</v>
      </c>
      <c r="AE4198">
        <v>1</v>
      </c>
      <c r="AF4198">
        <v>1</v>
      </c>
      <c r="AG4198">
        <v>3.2839999199999999</v>
      </c>
      <c r="AH4198">
        <v>2</v>
      </c>
      <c r="AI4198">
        <v>12</v>
      </c>
      <c r="AJ4198">
        <v>1</v>
      </c>
      <c r="AK4198">
        <v>13</v>
      </c>
      <c r="AL4198">
        <v>51</v>
      </c>
      <c r="AM4198" t="s">
        <v>43</v>
      </c>
      <c r="AN4198" t="str">
        <f>HYPERLINK("https://www.google.com/maps?q=10.76308537,79.69433594","Open Location")</f>
        <v>Open Location</v>
      </c>
    </row>
    <row r="4199" spans="1:40" x14ac:dyDescent="0.3">
      <c r="A4199" s="1">
        <v>46210.513310185182</v>
      </c>
      <c r="B4199" t="s">
        <v>40</v>
      </c>
      <c r="C4199" t="s">
        <v>41</v>
      </c>
      <c r="D4199" s="1">
        <v>46210.516145833331</v>
      </c>
      <c r="E4199" t="s">
        <v>42</v>
      </c>
      <c r="F4199" t="s">
        <v>83</v>
      </c>
      <c r="G4199">
        <v>0</v>
      </c>
      <c r="H4199" t="s">
        <v>43</v>
      </c>
      <c r="I4199" t="s">
        <v>2385</v>
      </c>
      <c r="J4199">
        <v>47</v>
      </c>
      <c r="K4199">
        <v>1</v>
      </c>
      <c r="L4199">
        <v>98</v>
      </c>
      <c r="M4199">
        <v>630.09997558999999</v>
      </c>
      <c r="N4199" t="s">
        <v>81</v>
      </c>
      <c r="O4199" t="s">
        <v>82</v>
      </c>
      <c r="P4199">
        <v>125</v>
      </c>
      <c r="Q4199" t="s">
        <v>82</v>
      </c>
      <c r="R4199">
        <v>0</v>
      </c>
      <c r="S4199">
        <v>0</v>
      </c>
      <c r="T4199">
        <v>-40</v>
      </c>
      <c r="U4199">
        <v>45</v>
      </c>
      <c r="V4199">
        <v>0</v>
      </c>
      <c r="W4199">
        <v>27</v>
      </c>
      <c r="X4199">
        <v>27</v>
      </c>
      <c r="Y4199">
        <v>1</v>
      </c>
      <c r="Z4199">
        <v>8</v>
      </c>
      <c r="AA4199">
        <v>24</v>
      </c>
      <c r="AB4199">
        <v>2</v>
      </c>
      <c r="AC4199">
        <v>4</v>
      </c>
      <c r="AD4199">
        <v>3.28600001</v>
      </c>
      <c r="AE4199">
        <v>1</v>
      </c>
      <c r="AF4199">
        <v>1</v>
      </c>
      <c r="AG4199">
        <v>3.2839999199999999</v>
      </c>
      <c r="AH4199">
        <v>2</v>
      </c>
      <c r="AI4199">
        <v>12</v>
      </c>
      <c r="AJ4199">
        <v>1</v>
      </c>
      <c r="AK4199">
        <v>13</v>
      </c>
      <c r="AL4199">
        <v>51</v>
      </c>
      <c r="AM4199" t="s">
        <v>43</v>
      </c>
      <c r="AN4199" t="str">
        <f>HYPERLINK("https://www.google.com/maps?q=10.76308441,79.69433594","Open Location")</f>
        <v>Open Location</v>
      </c>
    </row>
    <row r="4200" spans="1:40" x14ac:dyDescent="0.3">
      <c r="A4200" s="1">
        <v>46210.513194444444</v>
      </c>
      <c r="B4200" t="s">
        <v>40</v>
      </c>
      <c r="C4200" t="s">
        <v>41</v>
      </c>
      <c r="D4200" s="1">
        <v>46210.516030092593</v>
      </c>
      <c r="E4200" t="s">
        <v>42</v>
      </c>
      <c r="F4200" t="s">
        <v>83</v>
      </c>
      <c r="G4200">
        <v>0</v>
      </c>
      <c r="H4200">
        <v>33107</v>
      </c>
      <c r="I4200" t="s">
        <v>2386</v>
      </c>
      <c r="J4200">
        <v>47</v>
      </c>
      <c r="K4200">
        <v>1</v>
      </c>
      <c r="L4200">
        <v>98</v>
      </c>
      <c r="M4200">
        <v>629.90002441000001</v>
      </c>
      <c r="N4200" t="s">
        <v>81</v>
      </c>
      <c r="O4200" t="s">
        <v>82</v>
      </c>
      <c r="P4200">
        <v>125</v>
      </c>
      <c r="Q4200" t="s">
        <v>82</v>
      </c>
      <c r="R4200">
        <v>0</v>
      </c>
      <c r="S4200">
        <v>0</v>
      </c>
      <c r="T4200">
        <v>-40</v>
      </c>
      <c r="U4200">
        <v>45</v>
      </c>
      <c r="V4200">
        <v>0</v>
      </c>
      <c r="W4200">
        <v>27</v>
      </c>
      <c r="X4200">
        <v>27</v>
      </c>
      <c r="Y4200">
        <v>1</v>
      </c>
      <c r="Z4200">
        <v>8</v>
      </c>
      <c r="AA4200">
        <v>24</v>
      </c>
      <c r="AB4200">
        <v>2</v>
      </c>
      <c r="AC4200">
        <v>4</v>
      </c>
      <c r="AD4200">
        <v>3.28600001</v>
      </c>
      <c r="AE4200">
        <v>1</v>
      </c>
      <c r="AF4200">
        <v>1</v>
      </c>
      <c r="AG4200">
        <v>3.2839999199999999</v>
      </c>
      <c r="AH4200">
        <v>2</v>
      </c>
      <c r="AI4200">
        <v>12</v>
      </c>
      <c r="AJ4200">
        <v>1</v>
      </c>
      <c r="AK4200">
        <v>13</v>
      </c>
      <c r="AL4200">
        <v>50</v>
      </c>
      <c r="AM4200" t="s">
        <v>43</v>
      </c>
      <c r="AN4200" t="str">
        <f>HYPERLINK("https://www.google.com/maps?q=10.76308155,79.69433594","Open Location")</f>
        <v>Open Location</v>
      </c>
    </row>
    <row r="4201" spans="1:40" x14ac:dyDescent="0.3">
      <c r="A4201" s="1">
        <v>46210.513078703705</v>
      </c>
      <c r="B4201" t="s">
        <v>40</v>
      </c>
      <c r="C4201" t="s">
        <v>41</v>
      </c>
      <c r="D4201" s="1">
        <v>46210.516122685185</v>
      </c>
      <c r="E4201" t="s">
        <v>42</v>
      </c>
      <c r="F4201" t="s">
        <v>83</v>
      </c>
      <c r="G4201">
        <v>0</v>
      </c>
      <c r="H4201" t="s">
        <v>43</v>
      </c>
      <c r="I4201" t="s">
        <v>43</v>
      </c>
      <c r="J4201">
        <v>47</v>
      </c>
      <c r="K4201">
        <v>1</v>
      </c>
      <c r="L4201">
        <v>98</v>
      </c>
      <c r="M4201">
        <v>630.09997558999999</v>
      </c>
      <c r="N4201" t="s">
        <v>81</v>
      </c>
      <c r="O4201" t="s">
        <v>82</v>
      </c>
      <c r="P4201">
        <v>125</v>
      </c>
      <c r="Q4201" t="s">
        <v>82</v>
      </c>
      <c r="R4201">
        <v>0</v>
      </c>
      <c r="S4201">
        <v>0</v>
      </c>
      <c r="T4201">
        <v>-40</v>
      </c>
      <c r="U4201">
        <v>45</v>
      </c>
      <c r="V4201">
        <v>0</v>
      </c>
      <c r="W4201">
        <v>27</v>
      </c>
      <c r="X4201">
        <v>27</v>
      </c>
      <c r="Y4201">
        <v>1</v>
      </c>
      <c r="Z4201">
        <v>8</v>
      </c>
      <c r="AA4201">
        <v>24</v>
      </c>
      <c r="AB4201">
        <v>2</v>
      </c>
      <c r="AC4201">
        <v>4</v>
      </c>
      <c r="AD4201">
        <v>3.28600001</v>
      </c>
      <c r="AE4201">
        <v>1</v>
      </c>
      <c r="AF4201">
        <v>1</v>
      </c>
      <c r="AG4201">
        <v>3.2839999199999999</v>
      </c>
      <c r="AH4201">
        <v>2</v>
      </c>
      <c r="AI4201">
        <v>12</v>
      </c>
      <c r="AJ4201">
        <v>1</v>
      </c>
      <c r="AK4201">
        <v>13</v>
      </c>
      <c r="AL4201">
        <v>50</v>
      </c>
      <c r="AM4201" t="s">
        <v>43</v>
      </c>
      <c r="AN4201" t="s">
        <v>43</v>
      </c>
    </row>
    <row r="4202" spans="1:40" x14ac:dyDescent="0.3">
      <c r="A4202" s="1">
        <v>46210.512962962966</v>
      </c>
      <c r="B4202" t="s">
        <v>40</v>
      </c>
      <c r="C4202" t="s">
        <v>41</v>
      </c>
      <c r="D4202" s="1">
        <v>46210.515555555554</v>
      </c>
      <c r="E4202" t="s">
        <v>42</v>
      </c>
      <c r="F4202" t="s">
        <v>83</v>
      </c>
      <c r="G4202">
        <v>0</v>
      </c>
      <c r="H4202">
        <v>33107</v>
      </c>
      <c r="I4202" t="s">
        <v>2387</v>
      </c>
      <c r="J4202">
        <v>47</v>
      </c>
      <c r="K4202">
        <v>1</v>
      </c>
      <c r="L4202">
        <v>98</v>
      </c>
      <c r="M4202">
        <v>629.90002441000001</v>
      </c>
      <c r="N4202" t="s">
        <v>81</v>
      </c>
      <c r="O4202" t="s">
        <v>82</v>
      </c>
      <c r="P4202">
        <v>125</v>
      </c>
      <c r="Q4202" t="s">
        <v>82</v>
      </c>
      <c r="R4202">
        <v>0</v>
      </c>
      <c r="S4202">
        <v>0</v>
      </c>
      <c r="T4202">
        <v>-40</v>
      </c>
      <c r="U4202">
        <v>45</v>
      </c>
      <c r="V4202">
        <v>0</v>
      </c>
      <c r="W4202">
        <v>27</v>
      </c>
      <c r="X4202">
        <v>27</v>
      </c>
      <c r="Y4202">
        <v>1</v>
      </c>
      <c r="Z4202">
        <v>8</v>
      </c>
      <c r="AA4202">
        <v>24</v>
      </c>
      <c r="AB4202">
        <v>2</v>
      </c>
      <c r="AC4202">
        <v>4</v>
      </c>
      <c r="AD4202">
        <v>3.28600001</v>
      </c>
      <c r="AE4202">
        <v>1</v>
      </c>
      <c r="AF4202">
        <v>1</v>
      </c>
      <c r="AG4202">
        <v>3.2839999199999999</v>
      </c>
      <c r="AH4202">
        <v>2</v>
      </c>
      <c r="AI4202">
        <v>12</v>
      </c>
      <c r="AJ4202">
        <v>1</v>
      </c>
      <c r="AK4202">
        <v>13</v>
      </c>
      <c r="AL4202">
        <v>50</v>
      </c>
      <c r="AM4202" t="s">
        <v>43</v>
      </c>
      <c r="AN4202" t="str">
        <f>HYPERLINK("https://www.google.com/maps?q=10.76307487,79.69433594","Open Location")</f>
        <v>Open Location</v>
      </c>
    </row>
    <row r="4203" spans="1:40" x14ac:dyDescent="0.3">
      <c r="A4203" s="1">
        <v>46210.51284722222</v>
      </c>
      <c r="B4203" t="s">
        <v>40</v>
      </c>
      <c r="C4203" t="s">
        <v>41</v>
      </c>
      <c r="D4203" s="1">
        <v>46210.515567129631</v>
      </c>
      <c r="E4203" t="s">
        <v>42</v>
      </c>
      <c r="F4203" t="s">
        <v>83</v>
      </c>
      <c r="G4203">
        <v>0</v>
      </c>
      <c r="H4203">
        <v>33107</v>
      </c>
      <c r="I4203" t="s">
        <v>43</v>
      </c>
      <c r="J4203">
        <v>47</v>
      </c>
      <c r="K4203">
        <v>1</v>
      </c>
      <c r="L4203">
        <v>98</v>
      </c>
      <c r="M4203">
        <v>630.09997558999999</v>
      </c>
      <c r="N4203" t="s">
        <v>81</v>
      </c>
      <c r="O4203" t="s">
        <v>82</v>
      </c>
      <c r="P4203">
        <v>125</v>
      </c>
      <c r="Q4203" t="s">
        <v>82</v>
      </c>
      <c r="R4203">
        <v>0</v>
      </c>
      <c r="S4203">
        <v>0</v>
      </c>
      <c r="T4203">
        <v>-40</v>
      </c>
      <c r="U4203">
        <v>45</v>
      </c>
      <c r="V4203">
        <v>0</v>
      </c>
      <c r="W4203">
        <v>27</v>
      </c>
      <c r="X4203">
        <v>27</v>
      </c>
      <c r="Y4203">
        <v>1</v>
      </c>
      <c r="Z4203">
        <v>8</v>
      </c>
      <c r="AA4203">
        <v>24</v>
      </c>
      <c r="AB4203">
        <v>2</v>
      </c>
      <c r="AC4203">
        <v>4</v>
      </c>
      <c r="AD4203" t="s">
        <v>43</v>
      </c>
      <c r="AE4203" t="s">
        <v>43</v>
      </c>
      <c r="AF4203" t="s">
        <v>43</v>
      </c>
      <c r="AG4203" t="s">
        <v>43</v>
      </c>
      <c r="AH4203" t="s">
        <v>43</v>
      </c>
      <c r="AI4203" t="s">
        <v>43</v>
      </c>
      <c r="AJ4203">
        <v>1</v>
      </c>
      <c r="AK4203">
        <v>13</v>
      </c>
      <c r="AL4203">
        <v>50</v>
      </c>
      <c r="AM4203" t="s">
        <v>43</v>
      </c>
      <c r="AN4203" t="s">
        <v>43</v>
      </c>
    </row>
    <row r="4204" spans="1:40" x14ac:dyDescent="0.3">
      <c r="A4204" s="1">
        <v>46210.512731481482</v>
      </c>
      <c r="B4204" t="s">
        <v>40</v>
      </c>
      <c r="C4204" t="s">
        <v>41</v>
      </c>
      <c r="D4204" s="1">
        <v>46210.515428240738</v>
      </c>
      <c r="E4204" t="s">
        <v>42</v>
      </c>
      <c r="F4204" t="s">
        <v>83</v>
      </c>
      <c r="G4204">
        <v>0</v>
      </c>
      <c r="H4204">
        <v>33107</v>
      </c>
      <c r="I4204" t="s">
        <v>2353</v>
      </c>
      <c r="J4204">
        <v>47</v>
      </c>
      <c r="K4204">
        <v>1</v>
      </c>
      <c r="L4204">
        <v>98</v>
      </c>
      <c r="M4204">
        <v>630</v>
      </c>
      <c r="N4204" t="s">
        <v>81</v>
      </c>
      <c r="O4204" t="s">
        <v>82</v>
      </c>
      <c r="P4204">
        <v>125</v>
      </c>
      <c r="Q4204" t="s">
        <v>82</v>
      </c>
      <c r="R4204">
        <v>0</v>
      </c>
      <c r="S4204">
        <v>0</v>
      </c>
      <c r="T4204">
        <v>-40</v>
      </c>
      <c r="U4204">
        <v>45</v>
      </c>
      <c r="V4204">
        <v>0</v>
      </c>
      <c r="W4204">
        <v>27</v>
      </c>
      <c r="X4204">
        <v>27</v>
      </c>
      <c r="Y4204">
        <v>1</v>
      </c>
      <c r="Z4204">
        <v>8</v>
      </c>
      <c r="AA4204">
        <v>24</v>
      </c>
      <c r="AB4204">
        <v>2</v>
      </c>
      <c r="AC4204">
        <v>4</v>
      </c>
      <c r="AD4204">
        <v>3.28600001</v>
      </c>
      <c r="AE4204">
        <v>1</v>
      </c>
      <c r="AF4204">
        <v>1</v>
      </c>
      <c r="AG4204">
        <v>3.2839999199999999</v>
      </c>
      <c r="AH4204">
        <v>2</v>
      </c>
      <c r="AI4204">
        <v>12</v>
      </c>
      <c r="AJ4204">
        <v>1</v>
      </c>
      <c r="AK4204">
        <v>13</v>
      </c>
      <c r="AL4204">
        <v>50</v>
      </c>
      <c r="AM4204" t="s">
        <v>43</v>
      </c>
      <c r="AN4204" t="str">
        <f>HYPERLINK("https://www.google.com/maps?q=10.76307201,79.69434357","Open Location")</f>
        <v>Open Location</v>
      </c>
    </row>
    <row r="4205" spans="1:40" x14ac:dyDescent="0.3">
      <c r="A4205" s="1">
        <v>46210.512615740743</v>
      </c>
      <c r="B4205" t="s">
        <v>40</v>
      </c>
      <c r="C4205" t="s">
        <v>41</v>
      </c>
      <c r="D4205" s="1">
        <v>46210.515486111108</v>
      </c>
      <c r="E4205" t="s">
        <v>42</v>
      </c>
      <c r="F4205" t="s">
        <v>83</v>
      </c>
      <c r="G4205">
        <v>0</v>
      </c>
      <c r="H4205" t="s">
        <v>43</v>
      </c>
      <c r="I4205" t="s">
        <v>2388</v>
      </c>
      <c r="J4205">
        <v>47</v>
      </c>
      <c r="K4205">
        <v>1</v>
      </c>
      <c r="L4205">
        <v>98</v>
      </c>
      <c r="M4205">
        <v>629.90002441000001</v>
      </c>
      <c r="N4205" t="s">
        <v>81</v>
      </c>
      <c r="O4205" t="s">
        <v>82</v>
      </c>
      <c r="P4205">
        <v>125</v>
      </c>
      <c r="Q4205" t="s">
        <v>82</v>
      </c>
      <c r="R4205">
        <v>0</v>
      </c>
      <c r="S4205">
        <v>0</v>
      </c>
      <c r="T4205">
        <v>-40</v>
      </c>
      <c r="U4205">
        <v>45</v>
      </c>
      <c r="V4205">
        <v>0</v>
      </c>
      <c r="W4205">
        <v>27</v>
      </c>
      <c r="X4205">
        <v>27</v>
      </c>
      <c r="Y4205">
        <v>1</v>
      </c>
      <c r="Z4205">
        <v>8</v>
      </c>
      <c r="AA4205">
        <v>24</v>
      </c>
      <c r="AB4205">
        <v>2</v>
      </c>
      <c r="AC4205">
        <v>4</v>
      </c>
      <c r="AD4205" t="s">
        <v>43</v>
      </c>
      <c r="AE4205" t="s">
        <v>43</v>
      </c>
      <c r="AF4205" t="s">
        <v>43</v>
      </c>
      <c r="AG4205" t="s">
        <v>43</v>
      </c>
      <c r="AH4205" t="s">
        <v>43</v>
      </c>
      <c r="AI4205" t="s">
        <v>43</v>
      </c>
      <c r="AJ4205">
        <v>1</v>
      </c>
      <c r="AK4205">
        <v>13</v>
      </c>
      <c r="AL4205">
        <v>50</v>
      </c>
      <c r="AM4205" t="s">
        <v>43</v>
      </c>
      <c r="AN4205" t="str">
        <f>HYPERLINK("https://www.google.com/maps?q=10.76306438,79.69434357","Open Location")</f>
        <v>Open Location</v>
      </c>
    </row>
    <row r="4206" spans="1:40" x14ac:dyDescent="0.3">
      <c r="A4206" s="1">
        <v>46210.512499999997</v>
      </c>
      <c r="B4206" t="s">
        <v>40</v>
      </c>
      <c r="C4206" t="s">
        <v>41</v>
      </c>
      <c r="D4206" s="1">
        <v>46210.515636574077</v>
      </c>
      <c r="E4206" t="s">
        <v>42</v>
      </c>
      <c r="F4206" t="s">
        <v>83</v>
      </c>
      <c r="G4206">
        <v>0</v>
      </c>
      <c r="H4206">
        <v>33107</v>
      </c>
      <c r="I4206" t="s">
        <v>2389</v>
      </c>
      <c r="J4206">
        <v>47</v>
      </c>
      <c r="K4206">
        <v>1</v>
      </c>
      <c r="L4206">
        <v>98</v>
      </c>
      <c r="M4206">
        <v>630</v>
      </c>
      <c r="N4206" t="s">
        <v>81</v>
      </c>
      <c r="O4206" t="s">
        <v>82</v>
      </c>
      <c r="P4206">
        <v>125</v>
      </c>
      <c r="Q4206" t="s">
        <v>82</v>
      </c>
      <c r="R4206">
        <v>0</v>
      </c>
      <c r="S4206">
        <v>0</v>
      </c>
      <c r="T4206">
        <v>-40</v>
      </c>
      <c r="U4206">
        <v>45</v>
      </c>
      <c r="V4206">
        <v>0</v>
      </c>
      <c r="W4206">
        <v>27</v>
      </c>
      <c r="X4206">
        <v>27</v>
      </c>
      <c r="Y4206">
        <v>1</v>
      </c>
      <c r="Z4206">
        <v>8</v>
      </c>
      <c r="AA4206">
        <v>24</v>
      </c>
      <c r="AB4206">
        <v>2</v>
      </c>
      <c r="AC4206">
        <v>4</v>
      </c>
      <c r="AD4206">
        <v>3.28600001</v>
      </c>
      <c r="AE4206">
        <v>1</v>
      </c>
      <c r="AF4206">
        <v>1</v>
      </c>
      <c r="AG4206">
        <v>3.2839999199999999</v>
      </c>
      <c r="AH4206">
        <v>2</v>
      </c>
      <c r="AI4206">
        <v>3</v>
      </c>
      <c r="AJ4206">
        <v>1</v>
      </c>
      <c r="AK4206">
        <v>13</v>
      </c>
      <c r="AL4206">
        <v>50</v>
      </c>
      <c r="AM4206" t="s">
        <v>43</v>
      </c>
      <c r="AN4206" t="str">
        <f>HYPERLINK("https://www.google.com/maps?q=10.76305962,79.69433594","Open Location")</f>
        <v>Open Location</v>
      </c>
    </row>
    <row r="4207" spans="1:40" x14ac:dyDescent="0.3">
      <c r="A4207" s="1">
        <v>46210.512384259258</v>
      </c>
      <c r="B4207" t="s">
        <v>40</v>
      </c>
      <c r="C4207" t="s">
        <v>41</v>
      </c>
      <c r="D4207" s="1">
        <v>46210.515219907407</v>
      </c>
      <c r="E4207" t="s">
        <v>42</v>
      </c>
      <c r="F4207" t="s">
        <v>83</v>
      </c>
      <c r="G4207">
        <v>0</v>
      </c>
      <c r="H4207">
        <v>33107</v>
      </c>
      <c r="I4207" t="s">
        <v>43</v>
      </c>
      <c r="J4207">
        <v>47</v>
      </c>
      <c r="K4207">
        <v>1</v>
      </c>
      <c r="L4207">
        <v>98</v>
      </c>
      <c r="M4207">
        <v>630.09997558999999</v>
      </c>
      <c r="N4207" t="s">
        <v>81</v>
      </c>
      <c r="O4207" t="s">
        <v>82</v>
      </c>
      <c r="P4207">
        <v>125</v>
      </c>
      <c r="Q4207" t="s">
        <v>82</v>
      </c>
      <c r="R4207">
        <v>0</v>
      </c>
      <c r="S4207">
        <v>0</v>
      </c>
      <c r="T4207">
        <v>-40</v>
      </c>
      <c r="U4207">
        <v>45</v>
      </c>
      <c r="V4207">
        <v>0</v>
      </c>
      <c r="W4207">
        <v>27</v>
      </c>
      <c r="X4207">
        <v>27</v>
      </c>
      <c r="Y4207">
        <v>1</v>
      </c>
      <c r="Z4207">
        <v>8</v>
      </c>
      <c r="AA4207">
        <v>24</v>
      </c>
      <c r="AB4207">
        <v>2</v>
      </c>
      <c r="AC4207">
        <v>4</v>
      </c>
      <c r="AD4207">
        <v>3.28600001</v>
      </c>
      <c r="AE4207">
        <v>1</v>
      </c>
      <c r="AF4207">
        <v>1</v>
      </c>
      <c r="AG4207">
        <v>3.2839999199999999</v>
      </c>
      <c r="AH4207">
        <v>2</v>
      </c>
      <c r="AI4207">
        <v>3</v>
      </c>
      <c r="AJ4207">
        <v>1</v>
      </c>
      <c r="AK4207">
        <v>13</v>
      </c>
      <c r="AL4207">
        <v>50</v>
      </c>
      <c r="AM4207" t="s">
        <v>43</v>
      </c>
      <c r="AN4207" t="s">
        <v>43</v>
      </c>
    </row>
    <row r="4208" spans="1:40" x14ac:dyDescent="0.3">
      <c r="A4208" s="1">
        <v>46210.51226851852</v>
      </c>
      <c r="B4208" t="s">
        <v>40</v>
      </c>
      <c r="C4208" t="s">
        <v>41</v>
      </c>
      <c r="D4208" s="1">
        <v>46210.514965277776</v>
      </c>
      <c r="E4208" t="s">
        <v>42</v>
      </c>
      <c r="F4208" t="s">
        <v>83</v>
      </c>
      <c r="G4208">
        <v>0</v>
      </c>
      <c r="H4208">
        <v>33107</v>
      </c>
      <c r="I4208" t="s">
        <v>2390</v>
      </c>
      <c r="J4208">
        <v>47</v>
      </c>
      <c r="K4208">
        <v>1</v>
      </c>
      <c r="L4208">
        <v>98</v>
      </c>
      <c r="M4208">
        <v>629.90002441000001</v>
      </c>
      <c r="N4208" t="s">
        <v>81</v>
      </c>
      <c r="O4208" t="s">
        <v>82</v>
      </c>
      <c r="P4208">
        <v>125</v>
      </c>
      <c r="Q4208" t="s">
        <v>82</v>
      </c>
      <c r="R4208">
        <v>0</v>
      </c>
      <c r="S4208">
        <v>0</v>
      </c>
      <c r="T4208">
        <v>-40</v>
      </c>
      <c r="U4208">
        <v>45</v>
      </c>
      <c r="V4208">
        <v>0</v>
      </c>
      <c r="W4208">
        <v>27</v>
      </c>
      <c r="X4208">
        <v>27</v>
      </c>
      <c r="Y4208">
        <v>1</v>
      </c>
      <c r="Z4208">
        <v>8</v>
      </c>
      <c r="AA4208">
        <v>24</v>
      </c>
      <c r="AB4208">
        <v>2</v>
      </c>
      <c r="AC4208">
        <v>4</v>
      </c>
      <c r="AD4208">
        <v>3.28600001</v>
      </c>
      <c r="AE4208">
        <v>1</v>
      </c>
      <c r="AF4208">
        <v>1</v>
      </c>
      <c r="AG4208">
        <v>3.2839999199999999</v>
      </c>
      <c r="AH4208">
        <v>2</v>
      </c>
      <c r="AI4208">
        <v>3</v>
      </c>
      <c r="AJ4208">
        <v>1</v>
      </c>
      <c r="AK4208">
        <v>13</v>
      </c>
      <c r="AL4208">
        <v>50</v>
      </c>
      <c r="AM4208" t="s">
        <v>43</v>
      </c>
      <c r="AN4208" t="str">
        <f>HYPERLINK("https://www.google.com/maps?q=10.76306152,79.69434357","Open Location")</f>
        <v>Open Location</v>
      </c>
    </row>
    <row r="4209" spans="1:40" x14ac:dyDescent="0.3">
      <c r="A4209" s="1">
        <v>46210.512152777781</v>
      </c>
      <c r="B4209" t="s">
        <v>40</v>
      </c>
      <c r="C4209" t="s">
        <v>41</v>
      </c>
      <c r="D4209" s="1">
        <v>46210.514965277776</v>
      </c>
      <c r="E4209" t="s">
        <v>42</v>
      </c>
      <c r="F4209" t="s">
        <v>83</v>
      </c>
      <c r="G4209">
        <v>0</v>
      </c>
      <c r="H4209" t="s">
        <v>43</v>
      </c>
      <c r="I4209" t="s">
        <v>43</v>
      </c>
      <c r="J4209">
        <v>47</v>
      </c>
      <c r="K4209">
        <v>1</v>
      </c>
      <c r="L4209">
        <v>98</v>
      </c>
      <c r="M4209">
        <v>630</v>
      </c>
      <c r="N4209" t="s">
        <v>81</v>
      </c>
      <c r="O4209" t="s">
        <v>82</v>
      </c>
      <c r="P4209">
        <v>125</v>
      </c>
      <c r="Q4209" t="s">
        <v>82</v>
      </c>
      <c r="R4209">
        <v>0</v>
      </c>
      <c r="S4209">
        <v>0</v>
      </c>
      <c r="T4209">
        <v>-40</v>
      </c>
      <c r="U4209">
        <v>45</v>
      </c>
      <c r="V4209">
        <v>0</v>
      </c>
      <c r="W4209">
        <v>27</v>
      </c>
      <c r="X4209">
        <v>27</v>
      </c>
      <c r="Y4209">
        <v>1</v>
      </c>
      <c r="Z4209">
        <v>8</v>
      </c>
      <c r="AA4209">
        <v>24</v>
      </c>
      <c r="AB4209">
        <v>2</v>
      </c>
      <c r="AC4209">
        <v>4</v>
      </c>
      <c r="AD4209">
        <v>3.28600001</v>
      </c>
      <c r="AE4209">
        <v>1</v>
      </c>
      <c r="AF4209">
        <v>1</v>
      </c>
      <c r="AG4209">
        <v>3.2839999199999999</v>
      </c>
      <c r="AH4209">
        <v>2</v>
      </c>
      <c r="AI4209">
        <v>3</v>
      </c>
      <c r="AJ4209">
        <v>1</v>
      </c>
      <c r="AK4209">
        <v>13</v>
      </c>
      <c r="AL4209">
        <v>50</v>
      </c>
      <c r="AM4209" t="s">
        <v>43</v>
      </c>
      <c r="AN4209" t="s">
        <v>43</v>
      </c>
    </row>
    <row r="4210" spans="1:40" x14ac:dyDescent="0.3">
      <c r="A4210" s="1">
        <v>46210.512037037035</v>
      </c>
      <c r="B4210" t="s">
        <v>40</v>
      </c>
      <c r="C4210" t="s">
        <v>41</v>
      </c>
      <c r="D4210" s="1">
        <v>46210.514837962961</v>
      </c>
      <c r="E4210" t="s">
        <v>42</v>
      </c>
      <c r="F4210" t="s">
        <v>83</v>
      </c>
      <c r="G4210">
        <v>0</v>
      </c>
      <c r="H4210">
        <v>33107</v>
      </c>
      <c r="I4210" t="s">
        <v>2322</v>
      </c>
      <c r="J4210">
        <v>47</v>
      </c>
      <c r="K4210">
        <v>1</v>
      </c>
      <c r="L4210">
        <v>98</v>
      </c>
      <c r="M4210">
        <v>629.90002441000001</v>
      </c>
      <c r="N4210" t="s">
        <v>81</v>
      </c>
      <c r="O4210" t="s">
        <v>82</v>
      </c>
      <c r="P4210">
        <v>125</v>
      </c>
      <c r="Q4210" t="s">
        <v>82</v>
      </c>
      <c r="R4210">
        <v>0</v>
      </c>
      <c r="S4210">
        <v>0</v>
      </c>
      <c r="T4210">
        <v>-40</v>
      </c>
      <c r="U4210">
        <v>45</v>
      </c>
      <c r="V4210">
        <v>0</v>
      </c>
      <c r="W4210">
        <v>27</v>
      </c>
      <c r="X4210">
        <v>27</v>
      </c>
      <c r="Y4210">
        <v>1</v>
      </c>
      <c r="Z4210">
        <v>8</v>
      </c>
      <c r="AA4210">
        <v>24</v>
      </c>
      <c r="AB4210">
        <v>2</v>
      </c>
      <c r="AC4210">
        <v>4</v>
      </c>
      <c r="AD4210">
        <v>3.28600001</v>
      </c>
      <c r="AE4210">
        <v>1</v>
      </c>
      <c r="AF4210">
        <v>1</v>
      </c>
      <c r="AG4210">
        <v>3.2839999199999999</v>
      </c>
      <c r="AH4210">
        <v>2</v>
      </c>
      <c r="AI4210">
        <v>3</v>
      </c>
      <c r="AJ4210">
        <v>1</v>
      </c>
      <c r="AK4210">
        <v>13</v>
      </c>
      <c r="AL4210">
        <v>50</v>
      </c>
      <c r="AM4210" t="s">
        <v>43</v>
      </c>
      <c r="AN4210" t="str">
        <f>HYPERLINK("https://www.google.com/maps?q=10.76307106,79.69435883","Open Location")</f>
        <v>Open Location</v>
      </c>
    </row>
    <row r="4211" spans="1:40" x14ac:dyDescent="0.3">
      <c r="A4211" s="1">
        <v>46210.511921296296</v>
      </c>
      <c r="B4211" t="s">
        <v>40</v>
      </c>
      <c r="C4211" t="s">
        <v>41</v>
      </c>
      <c r="D4211" s="1">
        <v>46210.514837962961</v>
      </c>
      <c r="E4211" t="s">
        <v>42</v>
      </c>
      <c r="F4211" t="s">
        <v>83</v>
      </c>
      <c r="G4211">
        <v>0</v>
      </c>
      <c r="H4211">
        <v>33107</v>
      </c>
      <c r="I4211" t="s">
        <v>2256</v>
      </c>
      <c r="J4211">
        <v>47</v>
      </c>
      <c r="K4211">
        <v>1</v>
      </c>
      <c r="L4211">
        <v>98</v>
      </c>
      <c r="M4211">
        <v>629.79998779000005</v>
      </c>
      <c r="N4211" t="s">
        <v>81</v>
      </c>
      <c r="O4211" t="s">
        <v>82</v>
      </c>
      <c r="P4211">
        <v>125</v>
      </c>
      <c r="Q4211" t="s">
        <v>82</v>
      </c>
      <c r="R4211">
        <v>0</v>
      </c>
      <c r="S4211">
        <v>0</v>
      </c>
      <c r="T4211">
        <v>-40</v>
      </c>
      <c r="U4211">
        <v>45</v>
      </c>
      <c r="V4211">
        <v>0</v>
      </c>
      <c r="W4211">
        <v>27</v>
      </c>
      <c r="X4211">
        <v>27</v>
      </c>
      <c r="Y4211">
        <v>1</v>
      </c>
      <c r="Z4211">
        <v>8</v>
      </c>
      <c r="AA4211">
        <v>24</v>
      </c>
      <c r="AB4211">
        <v>2</v>
      </c>
      <c r="AC4211">
        <v>4</v>
      </c>
      <c r="AD4211">
        <v>3.28600001</v>
      </c>
      <c r="AE4211">
        <v>1</v>
      </c>
      <c r="AF4211">
        <v>1</v>
      </c>
      <c r="AG4211">
        <v>3.2839999199999999</v>
      </c>
      <c r="AH4211">
        <v>2</v>
      </c>
      <c r="AI4211">
        <v>3</v>
      </c>
      <c r="AJ4211">
        <v>1</v>
      </c>
      <c r="AK4211">
        <v>13</v>
      </c>
      <c r="AL4211">
        <v>50</v>
      </c>
      <c r="AM4211" t="s">
        <v>43</v>
      </c>
      <c r="AN4211" t="str">
        <f>HYPERLINK("https://www.google.com/maps?q=10.76306725,79.69435883","Open Location")</f>
        <v>Open Location</v>
      </c>
    </row>
    <row r="4212" spans="1:40" x14ac:dyDescent="0.3">
      <c r="A4212" s="1">
        <v>46210.511805555558</v>
      </c>
      <c r="B4212" t="s">
        <v>40</v>
      </c>
      <c r="C4212" t="s">
        <v>41</v>
      </c>
      <c r="D4212" s="1">
        <v>46210.514594907407</v>
      </c>
      <c r="E4212" t="s">
        <v>42</v>
      </c>
      <c r="F4212" t="s">
        <v>83</v>
      </c>
      <c r="G4212">
        <v>0</v>
      </c>
      <c r="H4212">
        <v>33107</v>
      </c>
      <c r="I4212" t="s">
        <v>43</v>
      </c>
      <c r="J4212">
        <v>47</v>
      </c>
      <c r="K4212">
        <v>1</v>
      </c>
      <c r="L4212">
        <v>98</v>
      </c>
      <c r="M4212">
        <v>629.79998779000005</v>
      </c>
      <c r="N4212" t="s">
        <v>81</v>
      </c>
      <c r="O4212" t="s">
        <v>82</v>
      </c>
      <c r="P4212">
        <v>125</v>
      </c>
      <c r="Q4212" t="s">
        <v>82</v>
      </c>
      <c r="R4212">
        <v>0</v>
      </c>
      <c r="S4212">
        <v>0</v>
      </c>
      <c r="T4212">
        <v>-40</v>
      </c>
      <c r="U4212">
        <v>45</v>
      </c>
      <c r="V4212">
        <v>0</v>
      </c>
      <c r="W4212">
        <v>27</v>
      </c>
      <c r="X4212">
        <v>27</v>
      </c>
      <c r="Y4212">
        <v>1</v>
      </c>
      <c r="Z4212">
        <v>8</v>
      </c>
      <c r="AA4212">
        <v>24</v>
      </c>
      <c r="AB4212">
        <v>2</v>
      </c>
      <c r="AC4212">
        <v>4</v>
      </c>
      <c r="AD4212">
        <v>3.28600001</v>
      </c>
      <c r="AE4212">
        <v>1</v>
      </c>
      <c r="AF4212">
        <v>1</v>
      </c>
      <c r="AG4212">
        <v>3.2839999199999999</v>
      </c>
      <c r="AH4212">
        <v>2</v>
      </c>
      <c r="AI4212">
        <v>3</v>
      </c>
      <c r="AJ4212">
        <v>1</v>
      </c>
      <c r="AK4212">
        <v>13</v>
      </c>
      <c r="AL4212">
        <v>50</v>
      </c>
      <c r="AM4212" t="s">
        <v>43</v>
      </c>
      <c r="AN4212" t="s">
        <v>43</v>
      </c>
    </row>
    <row r="4213" spans="1:40" x14ac:dyDescent="0.3">
      <c r="A4213" s="1">
        <v>46210.511689814812</v>
      </c>
      <c r="B4213" t="s">
        <v>40</v>
      </c>
      <c r="C4213" t="s">
        <v>41</v>
      </c>
      <c r="D4213" s="1">
        <v>46210.514861111114</v>
      </c>
      <c r="E4213" t="s">
        <v>42</v>
      </c>
      <c r="F4213" t="s">
        <v>83</v>
      </c>
      <c r="G4213">
        <v>0</v>
      </c>
      <c r="H4213">
        <v>33107</v>
      </c>
      <c r="I4213" t="s">
        <v>2219</v>
      </c>
      <c r="J4213">
        <v>47</v>
      </c>
      <c r="K4213">
        <v>1</v>
      </c>
      <c r="L4213">
        <v>98</v>
      </c>
      <c r="M4213">
        <v>630.09997558999999</v>
      </c>
      <c r="N4213" t="s">
        <v>81</v>
      </c>
      <c r="O4213" t="s">
        <v>82</v>
      </c>
      <c r="P4213">
        <v>125</v>
      </c>
      <c r="Q4213" t="s">
        <v>82</v>
      </c>
      <c r="R4213">
        <v>0</v>
      </c>
      <c r="S4213">
        <v>0</v>
      </c>
      <c r="T4213">
        <v>-40</v>
      </c>
      <c r="U4213">
        <v>45</v>
      </c>
      <c r="V4213">
        <v>0</v>
      </c>
      <c r="W4213">
        <v>27</v>
      </c>
      <c r="X4213">
        <v>27</v>
      </c>
      <c r="Y4213">
        <v>1</v>
      </c>
      <c r="Z4213">
        <v>8</v>
      </c>
      <c r="AA4213">
        <v>24</v>
      </c>
      <c r="AB4213">
        <v>2</v>
      </c>
      <c r="AC4213">
        <v>4</v>
      </c>
      <c r="AD4213">
        <v>3.28600001</v>
      </c>
      <c r="AE4213">
        <v>1</v>
      </c>
      <c r="AF4213">
        <v>1</v>
      </c>
      <c r="AG4213">
        <v>3.2839999199999999</v>
      </c>
      <c r="AH4213">
        <v>2</v>
      </c>
      <c r="AI4213">
        <v>3</v>
      </c>
      <c r="AJ4213">
        <v>1</v>
      </c>
      <c r="AK4213">
        <v>13</v>
      </c>
      <c r="AL4213">
        <v>50</v>
      </c>
      <c r="AM4213" t="s">
        <v>43</v>
      </c>
      <c r="AN4213" t="str">
        <f>HYPERLINK("https://www.google.com/maps?q=10.76306629,79.69436646","Open Location")</f>
        <v>Open Location</v>
      </c>
    </row>
    <row r="4214" spans="1:40" x14ac:dyDescent="0.3">
      <c r="A4214" s="1">
        <v>46210.511574074073</v>
      </c>
      <c r="B4214" t="s">
        <v>40</v>
      </c>
      <c r="C4214" t="s">
        <v>41</v>
      </c>
      <c r="D4214" s="1">
        <v>46210.514340277776</v>
      </c>
      <c r="E4214" t="s">
        <v>42</v>
      </c>
      <c r="F4214" t="s">
        <v>83</v>
      </c>
      <c r="G4214">
        <v>0</v>
      </c>
      <c r="H4214">
        <v>33107</v>
      </c>
      <c r="I4214" t="s">
        <v>2329</v>
      </c>
      <c r="J4214">
        <v>47</v>
      </c>
      <c r="K4214">
        <v>1</v>
      </c>
      <c r="L4214">
        <v>98</v>
      </c>
      <c r="M4214">
        <v>630.09997558999999</v>
      </c>
      <c r="N4214" t="s">
        <v>81</v>
      </c>
      <c r="O4214" t="s">
        <v>82</v>
      </c>
      <c r="P4214">
        <v>125</v>
      </c>
      <c r="Q4214" t="s">
        <v>82</v>
      </c>
      <c r="R4214">
        <v>0</v>
      </c>
      <c r="S4214">
        <v>0</v>
      </c>
      <c r="T4214">
        <v>-40</v>
      </c>
      <c r="U4214">
        <v>45</v>
      </c>
      <c r="V4214">
        <v>0</v>
      </c>
      <c r="W4214">
        <v>27</v>
      </c>
      <c r="X4214">
        <v>27</v>
      </c>
      <c r="Y4214">
        <v>1</v>
      </c>
      <c r="Z4214">
        <v>8</v>
      </c>
      <c r="AA4214">
        <v>24</v>
      </c>
      <c r="AB4214">
        <v>2</v>
      </c>
      <c r="AC4214">
        <v>4</v>
      </c>
      <c r="AD4214">
        <v>3.28600001</v>
      </c>
      <c r="AE4214">
        <v>1</v>
      </c>
      <c r="AF4214">
        <v>1</v>
      </c>
      <c r="AG4214">
        <v>3.2839999199999999</v>
      </c>
      <c r="AH4214">
        <v>1</v>
      </c>
      <c r="AI4214">
        <v>30</v>
      </c>
      <c r="AJ4214">
        <v>1</v>
      </c>
      <c r="AK4214">
        <v>13</v>
      </c>
      <c r="AL4214">
        <v>50</v>
      </c>
      <c r="AM4214" t="s">
        <v>43</v>
      </c>
      <c r="AN4214" t="str">
        <f>HYPERLINK("https://www.google.com/maps?q=10.76306343,79.69435883","Open Location")</f>
        <v>Open Location</v>
      </c>
    </row>
    <row r="4215" spans="1:40" x14ac:dyDescent="0.3">
      <c r="A4215" s="1">
        <v>46210.511458333334</v>
      </c>
      <c r="B4215" t="s">
        <v>40</v>
      </c>
      <c r="C4215" t="s">
        <v>41</v>
      </c>
      <c r="D4215" s="1">
        <v>46210.514305555553</v>
      </c>
      <c r="E4215" t="s">
        <v>42</v>
      </c>
      <c r="F4215" t="s">
        <v>83</v>
      </c>
      <c r="G4215">
        <v>0</v>
      </c>
      <c r="H4215">
        <v>33107</v>
      </c>
      <c r="I4215" t="s">
        <v>43</v>
      </c>
      <c r="J4215">
        <v>47</v>
      </c>
      <c r="K4215">
        <v>1</v>
      </c>
      <c r="L4215">
        <v>98</v>
      </c>
      <c r="M4215">
        <v>630</v>
      </c>
      <c r="N4215" t="s">
        <v>81</v>
      </c>
      <c r="O4215" t="s">
        <v>82</v>
      </c>
      <c r="P4215">
        <v>125</v>
      </c>
      <c r="Q4215" t="s">
        <v>82</v>
      </c>
      <c r="R4215">
        <v>0</v>
      </c>
      <c r="S4215">
        <v>0</v>
      </c>
      <c r="T4215">
        <v>-40</v>
      </c>
      <c r="U4215">
        <v>45</v>
      </c>
      <c r="V4215">
        <v>0</v>
      </c>
      <c r="W4215">
        <v>27</v>
      </c>
      <c r="X4215">
        <v>27</v>
      </c>
      <c r="Y4215">
        <v>1</v>
      </c>
      <c r="Z4215">
        <v>8</v>
      </c>
      <c r="AA4215">
        <v>24</v>
      </c>
      <c r="AB4215">
        <v>2</v>
      </c>
      <c r="AC4215">
        <v>4</v>
      </c>
      <c r="AD4215">
        <v>3.28600001</v>
      </c>
      <c r="AE4215">
        <v>1</v>
      </c>
      <c r="AF4215">
        <v>1</v>
      </c>
      <c r="AG4215">
        <v>3.2839999199999999</v>
      </c>
      <c r="AH4215">
        <v>1</v>
      </c>
      <c r="AI4215">
        <v>30</v>
      </c>
      <c r="AJ4215">
        <v>1</v>
      </c>
      <c r="AK4215">
        <v>13</v>
      </c>
      <c r="AL4215">
        <v>50</v>
      </c>
      <c r="AM4215" t="s">
        <v>43</v>
      </c>
      <c r="AN4215" t="s">
        <v>43</v>
      </c>
    </row>
    <row r="4216" spans="1:40" x14ac:dyDescent="0.3">
      <c r="A4216" s="1">
        <v>46210.511342592596</v>
      </c>
      <c r="B4216" t="s">
        <v>40</v>
      </c>
      <c r="C4216" t="s">
        <v>41</v>
      </c>
      <c r="D4216" s="1">
        <v>46210.514432870368</v>
      </c>
      <c r="E4216" t="s">
        <v>42</v>
      </c>
      <c r="F4216" t="s">
        <v>83</v>
      </c>
      <c r="G4216">
        <v>0</v>
      </c>
      <c r="H4216">
        <v>33107</v>
      </c>
      <c r="I4216" t="s">
        <v>2337</v>
      </c>
      <c r="J4216">
        <v>47</v>
      </c>
      <c r="K4216">
        <v>1</v>
      </c>
      <c r="L4216">
        <v>98</v>
      </c>
      <c r="M4216">
        <v>629.79998779000005</v>
      </c>
      <c r="N4216" t="s">
        <v>81</v>
      </c>
      <c r="O4216" t="s">
        <v>82</v>
      </c>
      <c r="P4216">
        <v>125</v>
      </c>
      <c r="Q4216" t="s">
        <v>82</v>
      </c>
      <c r="R4216">
        <v>0</v>
      </c>
      <c r="S4216">
        <v>0</v>
      </c>
      <c r="T4216">
        <v>-40</v>
      </c>
      <c r="U4216">
        <v>45</v>
      </c>
      <c r="V4216">
        <v>0</v>
      </c>
      <c r="W4216">
        <v>27</v>
      </c>
      <c r="X4216">
        <v>27</v>
      </c>
      <c r="Y4216">
        <v>1</v>
      </c>
      <c r="Z4216">
        <v>8</v>
      </c>
      <c r="AA4216">
        <v>24</v>
      </c>
      <c r="AB4216">
        <v>2</v>
      </c>
      <c r="AC4216">
        <v>4</v>
      </c>
      <c r="AD4216">
        <v>3.28600001</v>
      </c>
      <c r="AE4216">
        <v>1</v>
      </c>
      <c r="AF4216">
        <v>1</v>
      </c>
      <c r="AG4216">
        <v>3.2839999199999999</v>
      </c>
      <c r="AH4216">
        <v>1</v>
      </c>
      <c r="AI4216">
        <v>30</v>
      </c>
      <c r="AJ4216">
        <v>1</v>
      </c>
      <c r="AK4216">
        <v>13</v>
      </c>
      <c r="AL4216">
        <v>50</v>
      </c>
      <c r="AM4216" t="s">
        <v>43</v>
      </c>
      <c r="AN4216" t="str">
        <f>HYPERLINK("https://www.google.com/maps?q=10.76306534,79.6943512","Open Location")</f>
        <v>Open Location</v>
      </c>
    </row>
    <row r="4217" spans="1:40" x14ac:dyDescent="0.3">
      <c r="A4217" s="1">
        <v>46210.51122685185</v>
      </c>
      <c r="B4217" t="s">
        <v>40</v>
      </c>
      <c r="C4217" t="s">
        <v>41</v>
      </c>
      <c r="D4217" s="1">
        <v>46210.514097222222</v>
      </c>
      <c r="E4217" t="s">
        <v>42</v>
      </c>
      <c r="F4217" t="s">
        <v>83</v>
      </c>
      <c r="G4217">
        <v>0</v>
      </c>
      <c r="H4217">
        <v>33107</v>
      </c>
      <c r="I4217" t="s">
        <v>2311</v>
      </c>
      <c r="J4217">
        <v>47</v>
      </c>
      <c r="K4217">
        <v>1</v>
      </c>
      <c r="L4217">
        <v>98</v>
      </c>
      <c r="M4217">
        <v>629.79998779000005</v>
      </c>
      <c r="N4217" t="s">
        <v>81</v>
      </c>
      <c r="O4217" t="s">
        <v>82</v>
      </c>
      <c r="P4217">
        <v>125</v>
      </c>
      <c r="Q4217" t="s">
        <v>82</v>
      </c>
      <c r="R4217">
        <v>0</v>
      </c>
      <c r="S4217">
        <v>0</v>
      </c>
      <c r="T4217">
        <v>-40</v>
      </c>
      <c r="U4217">
        <v>45</v>
      </c>
      <c r="V4217">
        <v>0</v>
      </c>
      <c r="W4217">
        <v>27</v>
      </c>
      <c r="X4217">
        <v>27</v>
      </c>
      <c r="Y4217">
        <v>1</v>
      </c>
      <c r="Z4217">
        <v>8</v>
      </c>
      <c r="AA4217">
        <v>24</v>
      </c>
      <c r="AB4217">
        <v>2</v>
      </c>
      <c r="AC4217">
        <v>4</v>
      </c>
      <c r="AD4217">
        <v>3.28600001</v>
      </c>
      <c r="AE4217">
        <v>1</v>
      </c>
      <c r="AF4217">
        <v>1</v>
      </c>
      <c r="AG4217">
        <v>3.2839999199999999</v>
      </c>
      <c r="AH4217">
        <v>1</v>
      </c>
      <c r="AI4217">
        <v>30</v>
      </c>
      <c r="AJ4217">
        <v>1</v>
      </c>
      <c r="AK4217">
        <v>13</v>
      </c>
      <c r="AL4217">
        <v>50</v>
      </c>
      <c r="AM4217" t="s">
        <v>43</v>
      </c>
      <c r="AN4217" t="str">
        <f>HYPERLINK("https://www.google.com/maps?q=10.76307011,79.6943512","Open Location")</f>
        <v>Open Location</v>
      </c>
    </row>
    <row r="4218" spans="1:40" x14ac:dyDescent="0.3">
      <c r="A4218" s="1">
        <v>46210.511111111111</v>
      </c>
      <c r="B4218" t="s">
        <v>40</v>
      </c>
      <c r="C4218" t="s">
        <v>41</v>
      </c>
      <c r="D4218" s="1">
        <v>46210.514155092591</v>
      </c>
      <c r="E4218" t="s">
        <v>42</v>
      </c>
      <c r="F4218" t="s">
        <v>83</v>
      </c>
      <c r="G4218">
        <v>0</v>
      </c>
      <c r="H4218">
        <v>33107</v>
      </c>
      <c r="I4218" t="s">
        <v>43</v>
      </c>
      <c r="J4218">
        <v>47</v>
      </c>
      <c r="K4218">
        <v>1</v>
      </c>
      <c r="L4218">
        <v>98</v>
      </c>
      <c r="M4218">
        <v>629.90002441000001</v>
      </c>
      <c r="N4218" t="s">
        <v>81</v>
      </c>
      <c r="O4218" t="s">
        <v>82</v>
      </c>
      <c r="P4218">
        <v>125</v>
      </c>
      <c r="Q4218" t="s">
        <v>82</v>
      </c>
      <c r="R4218">
        <v>0</v>
      </c>
      <c r="S4218">
        <v>0</v>
      </c>
      <c r="T4218">
        <v>-40</v>
      </c>
      <c r="U4218">
        <v>45</v>
      </c>
      <c r="V4218">
        <v>0</v>
      </c>
      <c r="W4218">
        <v>27</v>
      </c>
      <c r="X4218">
        <v>27</v>
      </c>
      <c r="Y4218">
        <v>1</v>
      </c>
      <c r="Z4218">
        <v>8</v>
      </c>
      <c r="AA4218">
        <v>24</v>
      </c>
      <c r="AB4218">
        <v>2</v>
      </c>
      <c r="AC4218">
        <v>4</v>
      </c>
      <c r="AD4218">
        <v>3.28600001</v>
      </c>
      <c r="AE4218">
        <v>1</v>
      </c>
      <c r="AF4218">
        <v>1</v>
      </c>
      <c r="AG4218">
        <v>3.2839999199999999</v>
      </c>
      <c r="AH4218">
        <v>1</v>
      </c>
      <c r="AI4218">
        <v>4</v>
      </c>
      <c r="AJ4218">
        <v>1</v>
      </c>
      <c r="AK4218">
        <v>13</v>
      </c>
      <c r="AL4218">
        <v>50</v>
      </c>
      <c r="AM4218" t="s">
        <v>43</v>
      </c>
      <c r="AN4218" t="s">
        <v>43</v>
      </c>
    </row>
    <row r="4219" spans="1:40" x14ac:dyDescent="0.3">
      <c r="A4219" s="1">
        <v>46210.510995370372</v>
      </c>
      <c r="B4219" t="s">
        <v>40</v>
      </c>
      <c r="C4219" t="s">
        <v>41</v>
      </c>
      <c r="D4219" s="1">
        <v>46210.514085648145</v>
      </c>
      <c r="E4219" t="s">
        <v>42</v>
      </c>
      <c r="F4219" t="s">
        <v>83</v>
      </c>
      <c r="G4219">
        <v>0</v>
      </c>
      <c r="H4219">
        <v>33107</v>
      </c>
      <c r="I4219" t="s">
        <v>2391</v>
      </c>
      <c r="J4219">
        <v>47</v>
      </c>
      <c r="K4219">
        <v>1</v>
      </c>
      <c r="L4219">
        <v>98</v>
      </c>
      <c r="M4219">
        <v>629.90002441000001</v>
      </c>
      <c r="N4219" t="s">
        <v>81</v>
      </c>
      <c r="O4219" t="s">
        <v>82</v>
      </c>
      <c r="P4219">
        <v>125</v>
      </c>
      <c r="Q4219" t="s">
        <v>82</v>
      </c>
      <c r="R4219">
        <v>0</v>
      </c>
      <c r="S4219">
        <v>0</v>
      </c>
      <c r="T4219">
        <v>-40</v>
      </c>
      <c r="U4219">
        <v>45</v>
      </c>
      <c r="V4219">
        <v>0</v>
      </c>
      <c r="W4219">
        <v>27</v>
      </c>
      <c r="X4219">
        <v>27</v>
      </c>
      <c r="Y4219">
        <v>1</v>
      </c>
      <c r="Z4219">
        <v>8</v>
      </c>
      <c r="AA4219">
        <v>24</v>
      </c>
      <c r="AB4219">
        <v>2</v>
      </c>
      <c r="AC4219">
        <v>4</v>
      </c>
      <c r="AD4219">
        <v>3.28600001</v>
      </c>
      <c r="AE4219">
        <v>1</v>
      </c>
      <c r="AF4219">
        <v>1</v>
      </c>
      <c r="AG4219">
        <v>3.2839999199999999</v>
      </c>
      <c r="AH4219">
        <v>1</v>
      </c>
      <c r="AI4219">
        <v>4</v>
      </c>
      <c r="AJ4219">
        <v>1</v>
      </c>
      <c r="AK4219">
        <v>13</v>
      </c>
      <c r="AL4219">
        <v>50</v>
      </c>
      <c r="AM4219" t="s">
        <v>43</v>
      </c>
      <c r="AN4219" t="str">
        <f>HYPERLINK("https://www.google.com/maps?q=10.76307392,79.69434357","Open Location")</f>
        <v>Open Location</v>
      </c>
    </row>
    <row r="4220" spans="1:40" x14ac:dyDescent="0.3">
      <c r="A4220" s="1">
        <v>46210.510879629626</v>
      </c>
      <c r="B4220" t="s">
        <v>40</v>
      </c>
      <c r="C4220" t="s">
        <v>41</v>
      </c>
      <c r="D4220" s="1">
        <v>46210.51421296296</v>
      </c>
      <c r="E4220" t="s">
        <v>42</v>
      </c>
      <c r="F4220" t="s">
        <v>83</v>
      </c>
      <c r="G4220">
        <v>0</v>
      </c>
      <c r="H4220">
        <v>33107</v>
      </c>
      <c r="I4220" t="s">
        <v>2324</v>
      </c>
      <c r="J4220">
        <v>47</v>
      </c>
      <c r="K4220">
        <v>1</v>
      </c>
      <c r="L4220">
        <v>98</v>
      </c>
      <c r="M4220">
        <v>630</v>
      </c>
      <c r="N4220" t="s">
        <v>81</v>
      </c>
      <c r="O4220" t="s">
        <v>82</v>
      </c>
      <c r="P4220">
        <v>125</v>
      </c>
      <c r="Q4220" t="s">
        <v>82</v>
      </c>
      <c r="R4220">
        <v>0</v>
      </c>
      <c r="S4220">
        <v>0</v>
      </c>
      <c r="T4220">
        <v>-40</v>
      </c>
      <c r="U4220">
        <v>45</v>
      </c>
      <c r="V4220">
        <v>0</v>
      </c>
      <c r="W4220">
        <v>27</v>
      </c>
      <c r="X4220">
        <v>27</v>
      </c>
      <c r="Y4220">
        <v>1</v>
      </c>
      <c r="Z4220">
        <v>8</v>
      </c>
      <c r="AA4220">
        <v>24</v>
      </c>
      <c r="AB4220">
        <v>2</v>
      </c>
      <c r="AC4220">
        <v>4</v>
      </c>
      <c r="AD4220">
        <v>3.28600001</v>
      </c>
      <c r="AE4220">
        <v>1</v>
      </c>
      <c r="AF4220">
        <v>1</v>
      </c>
      <c r="AG4220">
        <v>3.2839999199999999</v>
      </c>
      <c r="AH4220">
        <v>1</v>
      </c>
      <c r="AI4220">
        <v>4</v>
      </c>
      <c r="AJ4220">
        <v>1</v>
      </c>
      <c r="AK4220">
        <v>13</v>
      </c>
      <c r="AL4220">
        <v>50</v>
      </c>
      <c r="AM4220" t="s">
        <v>43</v>
      </c>
      <c r="AN4220" t="str">
        <f>HYPERLINK("https://www.google.com/maps?q=10.76307106,79.69434357","Open Location")</f>
        <v>Open Location</v>
      </c>
    </row>
    <row r="4221" spans="1:40" x14ac:dyDescent="0.3">
      <c r="A4221" s="1">
        <v>46210.510763888888</v>
      </c>
      <c r="B4221" t="s">
        <v>40</v>
      </c>
      <c r="C4221" t="s">
        <v>41</v>
      </c>
      <c r="D4221" s="1">
        <v>46210.513773148145</v>
      </c>
      <c r="E4221" t="s">
        <v>42</v>
      </c>
      <c r="F4221" t="s">
        <v>83</v>
      </c>
      <c r="G4221">
        <v>0</v>
      </c>
      <c r="H4221">
        <v>33107</v>
      </c>
      <c r="I4221" t="s">
        <v>2391</v>
      </c>
      <c r="J4221">
        <v>47</v>
      </c>
      <c r="K4221">
        <v>1</v>
      </c>
      <c r="L4221">
        <v>98</v>
      </c>
      <c r="M4221">
        <v>629.70001220999995</v>
      </c>
      <c r="N4221" t="s">
        <v>81</v>
      </c>
      <c r="O4221" t="s">
        <v>82</v>
      </c>
      <c r="P4221">
        <v>125</v>
      </c>
      <c r="Q4221" t="s">
        <v>82</v>
      </c>
      <c r="R4221">
        <v>0</v>
      </c>
      <c r="S4221">
        <v>0</v>
      </c>
      <c r="T4221">
        <v>-40</v>
      </c>
      <c r="U4221">
        <v>45</v>
      </c>
      <c r="V4221">
        <v>0</v>
      </c>
      <c r="W4221">
        <v>27</v>
      </c>
      <c r="X4221">
        <v>27</v>
      </c>
      <c r="Y4221">
        <v>1</v>
      </c>
      <c r="Z4221">
        <v>8</v>
      </c>
      <c r="AA4221">
        <v>24</v>
      </c>
      <c r="AB4221">
        <v>2</v>
      </c>
      <c r="AC4221">
        <v>4</v>
      </c>
      <c r="AD4221">
        <v>3.28600001</v>
      </c>
      <c r="AE4221">
        <v>1</v>
      </c>
      <c r="AF4221">
        <v>1</v>
      </c>
      <c r="AG4221">
        <v>3.2839999199999999</v>
      </c>
      <c r="AH4221">
        <v>1</v>
      </c>
      <c r="AI4221">
        <v>4</v>
      </c>
      <c r="AJ4221">
        <v>1</v>
      </c>
      <c r="AK4221">
        <v>13</v>
      </c>
      <c r="AL4221">
        <v>50</v>
      </c>
      <c r="AM4221" t="s">
        <v>43</v>
      </c>
      <c r="AN4221" t="str">
        <f>HYPERLINK("https://www.google.com/maps?q=10.76307392,79.69434357","Open Location")</f>
        <v>Open Location</v>
      </c>
    </row>
    <row r="4222" spans="1:40" x14ac:dyDescent="0.3">
      <c r="A4222" s="1">
        <v>46210.510648148149</v>
      </c>
      <c r="B4222" t="s">
        <v>40</v>
      </c>
      <c r="C4222" t="s">
        <v>41</v>
      </c>
      <c r="D4222" s="1">
        <v>46210.513518518521</v>
      </c>
      <c r="E4222" t="s">
        <v>42</v>
      </c>
      <c r="F4222" t="s">
        <v>83</v>
      </c>
      <c r="G4222">
        <v>0</v>
      </c>
      <c r="H4222">
        <v>33107</v>
      </c>
      <c r="I4222" t="s">
        <v>2391</v>
      </c>
      <c r="J4222">
        <v>47</v>
      </c>
      <c r="K4222">
        <v>1</v>
      </c>
      <c r="L4222">
        <v>98</v>
      </c>
      <c r="M4222">
        <v>629.90002441000001</v>
      </c>
      <c r="N4222" t="s">
        <v>81</v>
      </c>
      <c r="O4222" t="s">
        <v>82</v>
      </c>
      <c r="P4222">
        <v>125</v>
      </c>
      <c r="Q4222" t="s">
        <v>82</v>
      </c>
      <c r="R4222">
        <v>0</v>
      </c>
      <c r="S4222">
        <v>0</v>
      </c>
      <c r="T4222">
        <v>-40</v>
      </c>
      <c r="U4222">
        <v>45</v>
      </c>
      <c r="V4222">
        <v>0</v>
      </c>
      <c r="W4222">
        <v>27</v>
      </c>
      <c r="X4222">
        <v>27</v>
      </c>
      <c r="Y4222">
        <v>1</v>
      </c>
      <c r="Z4222">
        <v>8</v>
      </c>
      <c r="AA4222">
        <v>24</v>
      </c>
      <c r="AB4222">
        <v>2</v>
      </c>
      <c r="AC4222">
        <v>4</v>
      </c>
      <c r="AD4222">
        <v>3.28600001</v>
      </c>
      <c r="AE4222">
        <v>1</v>
      </c>
      <c r="AF4222">
        <v>1</v>
      </c>
      <c r="AG4222">
        <v>3.2839999199999999</v>
      </c>
      <c r="AH4222">
        <v>1</v>
      </c>
      <c r="AI4222">
        <v>4</v>
      </c>
      <c r="AJ4222">
        <v>1</v>
      </c>
      <c r="AK4222">
        <v>13</v>
      </c>
      <c r="AL4222">
        <v>50</v>
      </c>
      <c r="AM4222" t="s">
        <v>43</v>
      </c>
      <c r="AN4222" t="str">
        <f>HYPERLINK("https://www.google.com/maps?q=10.76307392,79.69434357","Open Location")</f>
        <v>Open Location</v>
      </c>
    </row>
    <row r="4223" spans="1:40" x14ac:dyDescent="0.3">
      <c r="A4223" s="1">
        <v>46210.51053240741</v>
      </c>
      <c r="B4223" t="s">
        <v>40</v>
      </c>
      <c r="C4223" t="s">
        <v>41</v>
      </c>
      <c r="D4223" s="1">
        <v>46210.513622685183</v>
      </c>
      <c r="E4223" t="s">
        <v>42</v>
      </c>
      <c r="F4223" t="s">
        <v>83</v>
      </c>
      <c r="G4223">
        <v>0</v>
      </c>
      <c r="H4223">
        <v>33107</v>
      </c>
      <c r="I4223" t="s">
        <v>2392</v>
      </c>
      <c r="J4223">
        <v>47</v>
      </c>
      <c r="K4223">
        <v>1</v>
      </c>
      <c r="L4223">
        <v>98</v>
      </c>
      <c r="M4223">
        <v>630.09997558999999</v>
      </c>
      <c r="N4223" t="s">
        <v>81</v>
      </c>
      <c r="O4223" t="s">
        <v>82</v>
      </c>
      <c r="P4223">
        <v>125</v>
      </c>
      <c r="Q4223" t="s">
        <v>82</v>
      </c>
      <c r="R4223">
        <v>0</v>
      </c>
      <c r="S4223">
        <v>0</v>
      </c>
      <c r="T4223">
        <v>-40</v>
      </c>
      <c r="U4223">
        <v>45</v>
      </c>
      <c r="V4223">
        <v>0</v>
      </c>
      <c r="W4223" t="s">
        <v>43</v>
      </c>
      <c r="X4223" t="s">
        <v>43</v>
      </c>
      <c r="Y4223" t="s">
        <v>43</v>
      </c>
      <c r="Z4223" t="s">
        <v>43</v>
      </c>
      <c r="AA4223" t="s">
        <v>43</v>
      </c>
      <c r="AB4223" t="s">
        <v>43</v>
      </c>
      <c r="AC4223" t="s">
        <v>43</v>
      </c>
      <c r="AD4223" t="s">
        <v>43</v>
      </c>
      <c r="AE4223" t="s">
        <v>43</v>
      </c>
      <c r="AF4223" t="s">
        <v>43</v>
      </c>
      <c r="AG4223" t="s">
        <v>43</v>
      </c>
      <c r="AH4223" t="s">
        <v>43</v>
      </c>
      <c r="AI4223" t="s">
        <v>43</v>
      </c>
      <c r="AJ4223">
        <v>1</v>
      </c>
      <c r="AK4223">
        <v>13</v>
      </c>
      <c r="AL4223">
        <v>50</v>
      </c>
      <c r="AM4223" t="s">
        <v>43</v>
      </c>
      <c r="AN4223" t="str">
        <f>HYPERLINK("https://www.google.com/maps?q=10.76307964,79.69434357","Open Location")</f>
        <v>Open Location</v>
      </c>
    </row>
    <row r="4224" spans="1:40" x14ac:dyDescent="0.3">
      <c r="A4224" s="1">
        <v>46210.510416666664</v>
      </c>
      <c r="B4224" t="s">
        <v>40</v>
      </c>
      <c r="C4224" t="s">
        <v>41</v>
      </c>
      <c r="D4224" s="1">
        <v>46210.513009259259</v>
      </c>
      <c r="E4224" t="s">
        <v>42</v>
      </c>
      <c r="F4224" t="s">
        <v>83</v>
      </c>
      <c r="G4224">
        <v>0</v>
      </c>
      <c r="H4224">
        <v>33107</v>
      </c>
      <c r="I4224" t="s">
        <v>43</v>
      </c>
      <c r="J4224">
        <v>47</v>
      </c>
      <c r="K4224">
        <v>1</v>
      </c>
      <c r="L4224">
        <v>98</v>
      </c>
      <c r="M4224">
        <v>629.90002441000001</v>
      </c>
      <c r="N4224" t="s">
        <v>81</v>
      </c>
      <c r="O4224" t="s">
        <v>82</v>
      </c>
      <c r="P4224">
        <v>125</v>
      </c>
      <c r="Q4224" t="s">
        <v>82</v>
      </c>
      <c r="R4224">
        <v>0</v>
      </c>
      <c r="S4224">
        <v>0</v>
      </c>
      <c r="T4224">
        <v>-40</v>
      </c>
      <c r="U4224">
        <v>45</v>
      </c>
      <c r="V4224">
        <v>0</v>
      </c>
      <c r="W4224">
        <v>27</v>
      </c>
      <c r="X4224">
        <v>27</v>
      </c>
      <c r="Y4224">
        <v>1</v>
      </c>
      <c r="Z4224">
        <v>8</v>
      </c>
      <c r="AA4224">
        <v>24</v>
      </c>
      <c r="AB4224">
        <v>2</v>
      </c>
      <c r="AC4224">
        <v>4</v>
      </c>
      <c r="AD4224">
        <v>3.28600001</v>
      </c>
      <c r="AE4224">
        <v>1</v>
      </c>
      <c r="AF4224">
        <v>1</v>
      </c>
      <c r="AG4224">
        <v>3.2839999199999999</v>
      </c>
      <c r="AH4224">
        <v>1</v>
      </c>
      <c r="AI4224">
        <v>4</v>
      </c>
      <c r="AJ4224">
        <v>1</v>
      </c>
      <c r="AK4224">
        <v>13</v>
      </c>
      <c r="AL4224">
        <v>50</v>
      </c>
      <c r="AM4224" t="s">
        <v>43</v>
      </c>
      <c r="AN4224" t="s">
        <v>43</v>
      </c>
    </row>
    <row r="4225" spans="1:40" x14ac:dyDescent="0.3">
      <c r="A4225" s="1">
        <v>46210.510300925926</v>
      </c>
      <c r="B4225" t="s">
        <v>40</v>
      </c>
      <c r="C4225" t="s">
        <v>41</v>
      </c>
      <c r="D4225" s="1">
        <v>46210.513252314813</v>
      </c>
      <c r="E4225" t="s">
        <v>42</v>
      </c>
      <c r="F4225" t="s">
        <v>83</v>
      </c>
      <c r="G4225">
        <v>0</v>
      </c>
      <c r="H4225">
        <v>33107</v>
      </c>
      <c r="I4225" t="s">
        <v>2314</v>
      </c>
      <c r="J4225">
        <v>47</v>
      </c>
      <c r="K4225">
        <v>1</v>
      </c>
      <c r="L4225">
        <v>98</v>
      </c>
      <c r="M4225">
        <v>629.79998779000005</v>
      </c>
      <c r="N4225" t="s">
        <v>81</v>
      </c>
      <c r="O4225" t="s">
        <v>82</v>
      </c>
      <c r="P4225">
        <v>125</v>
      </c>
      <c r="Q4225" t="s">
        <v>82</v>
      </c>
      <c r="R4225">
        <v>0</v>
      </c>
      <c r="S4225">
        <v>0</v>
      </c>
      <c r="T4225">
        <v>-40</v>
      </c>
      <c r="U4225">
        <v>45</v>
      </c>
      <c r="V4225">
        <v>0</v>
      </c>
      <c r="W4225">
        <v>27</v>
      </c>
      <c r="X4225">
        <v>27</v>
      </c>
      <c r="Y4225">
        <v>1</v>
      </c>
      <c r="Z4225">
        <v>8</v>
      </c>
      <c r="AA4225">
        <v>24</v>
      </c>
      <c r="AB4225">
        <v>2</v>
      </c>
      <c r="AC4225">
        <v>4</v>
      </c>
      <c r="AD4225">
        <v>3.28600001</v>
      </c>
      <c r="AE4225">
        <v>1</v>
      </c>
      <c r="AF4225">
        <v>1</v>
      </c>
      <c r="AG4225">
        <v>3.2839999199999999</v>
      </c>
      <c r="AH4225">
        <v>1</v>
      </c>
      <c r="AI4225">
        <v>4</v>
      </c>
      <c r="AJ4225">
        <v>1</v>
      </c>
      <c r="AK4225">
        <v>13</v>
      </c>
      <c r="AL4225">
        <v>50</v>
      </c>
      <c r="AM4225" t="s">
        <v>43</v>
      </c>
      <c r="AN4225" t="str">
        <f>HYPERLINK("https://www.google.com/maps?q=10.76307487,79.6943512","Open Location")</f>
        <v>Open Location</v>
      </c>
    </row>
    <row r="4226" spans="1:40" x14ac:dyDescent="0.3">
      <c r="A4226" s="1">
        <v>46210.510185185187</v>
      </c>
      <c r="B4226" t="s">
        <v>40</v>
      </c>
      <c r="C4226" t="s">
        <v>41</v>
      </c>
      <c r="D4226" s="1">
        <v>46210.513252314813</v>
      </c>
      <c r="E4226" t="s">
        <v>42</v>
      </c>
      <c r="F4226" t="s">
        <v>83</v>
      </c>
      <c r="G4226">
        <v>0</v>
      </c>
      <c r="H4226">
        <v>33107</v>
      </c>
      <c r="I4226" t="s">
        <v>2325</v>
      </c>
      <c r="J4226">
        <v>47</v>
      </c>
      <c r="K4226">
        <v>1</v>
      </c>
      <c r="L4226">
        <v>98</v>
      </c>
      <c r="M4226">
        <v>630.09997558999999</v>
      </c>
      <c r="N4226" t="s">
        <v>81</v>
      </c>
      <c r="O4226" t="s">
        <v>82</v>
      </c>
      <c r="P4226">
        <v>125</v>
      </c>
      <c r="Q4226" t="s">
        <v>82</v>
      </c>
      <c r="R4226">
        <v>0</v>
      </c>
      <c r="S4226">
        <v>0</v>
      </c>
      <c r="T4226">
        <v>-40</v>
      </c>
      <c r="U4226">
        <v>45</v>
      </c>
      <c r="V4226">
        <v>0</v>
      </c>
      <c r="W4226">
        <v>27</v>
      </c>
      <c r="X4226">
        <v>27</v>
      </c>
      <c r="Y4226">
        <v>1</v>
      </c>
      <c r="Z4226">
        <v>8</v>
      </c>
      <c r="AA4226">
        <v>24</v>
      </c>
      <c r="AB4226">
        <v>2</v>
      </c>
      <c r="AC4226">
        <v>4</v>
      </c>
      <c r="AD4226">
        <v>3.28600001</v>
      </c>
      <c r="AE4226">
        <v>1</v>
      </c>
      <c r="AF4226">
        <v>29</v>
      </c>
      <c r="AG4226">
        <v>3.2839999199999999</v>
      </c>
      <c r="AH4226">
        <v>1</v>
      </c>
      <c r="AI4226">
        <v>4</v>
      </c>
      <c r="AJ4226">
        <v>1</v>
      </c>
      <c r="AK4226">
        <v>13</v>
      </c>
      <c r="AL4226">
        <v>50</v>
      </c>
      <c r="AM4226" t="s">
        <v>43</v>
      </c>
      <c r="AN4226" t="str">
        <f>HYPERLINK("https://www.google.com/maps?q=10.76307201,79.6943512","Open Location")</f>
        <v>Open Location</v>
      </c>
    </row>
    <row r="4227" spans="1:40" x14ac:dyDescent="0.3">
      <c r="A4227" s="1">
        <v>46210.510069444441</v>
      </c>
      <c r="B4227" t="s">
        <v>40</v>
      </c>
      <c r="C4227" t="s">
        <v>41</v>
      </c>
      <c r="D4227" s="1">
        <v>46210.513252314813</v>
      </c>
      <c r="E4227" t="s">
        <v>42</v>
      </c>
      <c r="F4227" t="s">
        <v>83</v>
      </c>
      <c r="G4227">
        <v>0</v>
      </c>
      <c r="H4227">
        <v>33107</v>
      </c>
      <c r="I4227" t="s">
        <v>2322</v>
      </c>
      <c r="J4227">
        <v>47</v>
      </c>
      <c r="K4227">
        <v>1</v>
      </c>
      <c r="L4227">
        <v>98</v>
      </c>
      <c r="M4227">
        <v>629.79998779000005</v>
      </c>
      <c r="N4227" t="s">
        <v>81</v>
      </c>
      <c r="O4227" t="s">
        <v>82</v>
      </c>
      <c r="P4227">
        <v>125</v>
      </c>
      <c r="Q4227" t="s">
        <v>82</v>
      </c>
      <c r="R4227">
        <v>0</v>
      </c>
      <c r="S4227">
        <v>0</v>
      </c>
      <c r="T4227">
        <v>-40</v>
      </c>
      <c r="U4227">
        <v>45</v>
      </c>
      <c r="V4227">
        <v>0</v>
      </c>
      <c r="W4227">
        <v>27</v>
      </c>
      <c r="X4227">
        <v>27</v>
      </c>
      <c r="Y4227">
        <v>1</v>
      </c>
      <c r="Z4227">
        <v>8</v>
      </c>
      <c r="AA4227">
        <v>24</v>
      </c>
      <c r="AB4227">
        <v>2</v>
      </c>
      <c r="AC4227">
        <v>4</v>
      </c>
      <c r="AD4227">
        <v>3.28600001</v>
      </c>
      <c r="AE4227">
        <v>1</v>
      </c>
      <c r="AF4227">
        <v>29</v>
      </c>
      <c r="AG4227">
        <v>3.2839999199999999</v>
      </c>
      <c r="AH4227">
        <v>1</v>
      </c>
      <c r="AI4227">
        <v>4</v>
      </c>
      <c r="AJ4227">
        <v>1</v>
      </c>
      <c r="AK4227">
        <v>13</v>
      </c>
      <c r="AL4227">
        <v>50</v>
      </c>
      <c r="AM4227" t="s">
        <v>43</v>
      </c>
      <c r="AN4227" t="str">
        <f>HYPERLINK("https://www.google.com/maps?q=10.76307106,79.69435883","Open Location")</f>
        <v>Open Location</v>
      </c>
    </row>
    <row r="4228" spans="1:40" x14ac:dyDescent="0.3">
      <c r="A4228" s="1">
        <v>46210.509953703702</v>
      </c>
      <c r="B4228" t="s">
        <v>40</v>
      </c>
      <c r="C4228" t="s">
        <v>41</v>
      </c>
      <c r="D4228" s="1">
        <v>46210.512835648151</v>
      </c>
      <c r="E4228" t="s">
        <v>42</v>
      </c>
      <c r="F4228" t="s">
        <v>83</v>
      </c>
      <c r="G4228">
        <v>0</v>
      </c>
      <c r="H4228">
        <v>33107</v>
      </c>
      <c r="I4228" t="s">
        <v>2309</v>
      </c>
      <c r="J4228">
        <v>47</v>
      </c>
      <c r="K4228">
        <v>1</v>
      </c>
      <c r="L4228">
        <v>98</v>
      </c>
      <c r="M4228">
        <v>629.90002441000001</v>
      </c>
      <c r="N4228" t="s">
        <v>81</v>
      </c>
      <c r="O4228" t="s">
        <v>82</v>
      </c>
      <c r="P4228">
        <v>125</v>
      </c>
      <c r="Q4228" t="s">
        <v>82</v>
      </c>
      <c r="R4228">
        <v>0</v>
      </c>
      <c r="S4228">
        <v>0</v>
      </c>
      <c r="T4228">
        <v>-40</v>
      </c>
      <c r="U4228">
        <v>45</v>
      </c>
      <c r="V4228">
        <v>0</v>
      </c>
      <c r="W4228">
        <v>27</v>
      </c>
      <c r="X4228">
        <v>27</v>
      </c>
      <c r="Y4228">
        <v>1</v>
      </c>
      <c r="Z4228">
        <v>8</v>
      </c>
      <c r="AA4228">
        <v>24</v>
      </c>
      <c r="AB4228">
        <v>2</v>
      </c>
      <c r="AC4228">
        <v>4</v>
      </c>
      <c r="AD4228">
        <v>3.28600001</v>
      </c>
      <c r="AE4228">
        <v>1</v>
      </c>
      <c r="AF4228">
        <v>29</v>
      </c>
      <c r="AG4228">
        <v>3.2839999199999999</v>
      </c>
      <c r="AH4228">
        <v>1</v>
      </c>
      <c r="AI4228">
        <v>4</v>
      </c>
      <c r="AJ4228">
        <v>1</v>
      </c>
      <c r="AK4228">
        <v>13</v>
      </c>
      <c r="AL4228">
        <v>50</v>
      </c>
      <c r="AM4228" t="s">
        <v>43</v>
      </c>
      <c r="AN4228" t="str">
        <f>HYPERLINK("https://www.google.com/maps?q=10.76307011,79.69435883","Open Location")</f>
        <v>Open Location</v>
      </c>
    </row>
    <row r="4229" spans="1:40" x14ac:dyDescent="0.3">
      <c r="A4229" s="1">
        <v>46210.509837962964</v>
      </c>
      <c r="B4229" t="s">
        <v>40</v>
      </c>
      <c r="C4229" t="s">
        <v>41</v>
      </c>
      <c r="D4229" s="1">
        <v>46210.512824074074</v>
      </c>
      <c r="E4229" t="s">
        <v>42</v>
      </c>
      <c r="F4229" t="s">
        <v>83</v>
      </c>
      <c r="G4229">
        <v>0</v>
      </c>
      <c r="H4229" t="s">
        <v>43</v>
      </c>
      <c r="I4229" t="s">
        <v>43</v>
      </c>
      <c r="J4229">
        <v>47</v>
      </c>
      <c r="K4229">
        <v>1</v>
      </c>
      <c r="L4229">
        <v>98</v>
      </c>
      <c r="M4229">
        <v>629.79998779000005</v>
      </c>
      <c r="N4229" t="s">
        <v>81</v>
      </c>
      <c r="O4229" t="s">
        <v>82</v>
      </c>
      <c r="P4229">
        <v>125</v>
      </c>
      <c r="Q4229" t="s">
        <v>82</v>
      </c>
      <c r="R4229">
        <v>0</v>
      </c>
      <c r="S4229">
        <v>0</v>
      </c>
      <c r="T4229">
        <v>-40</v>
      </c>
      <c r="U4229">
        <v>45</v>
      </c>
      <c r="V4229">
        <v>0</v>
      </c>
      <c r="W4229">
        <v>27</v>
      </c>
      <c r="X4229">
        <v>27</v>
      </c>
      <c r="Y4229">
        <v>1</v>
      </c>
      <c r="Z4229">
        <v>8</v>
      </c>
      <c r="AA4229">
        <v>24</v>
      </c>
      <c r="AB4229">
        <v>2</v>
      </c>
      <c r="AC4229">
        <v>4</v>
      </c>
      <c r="AD4229">
        <v>3.28600001</v>
      </c>
      <c r="AE4229">
        <v>1</v>
      </c>
      <c r="AF4229">
        <v>29</v>
      </c>
      <c r="AG4229">
        <v>3.2839999199999999</v>
      </c>
      <c r="AH4229">
        <v>1</v>
      </c>
      <c r="AI4229">
        <v>4</v>
      </c>
      <c r="AJ4229">
        <v>1</v>
      </c>
      <c r="AK4229">
        <v>13</v>
      </c>
      <c r="AL4229">
        <v>50</v>
      </c>
      <c r="AM4229" t="s">
        <v>43</v>
      </c>
      <c r="AN4229" t="s">
        <v>43</v>
      </c>
    </row>
    <row r="4230" spans="1:40" x14ac:dyDescent="0.3">
      <c r="A4230" s="1">
        <v>46210.509722222225</v>
      </c>
      <c r="B4230" t="s">
        <v>40</v>
      </c>
      <c r="C4230" t="s">
        <v>41</v>
      </c>
      <c r="D4230" s="1">
        <v>46210.512546296297</v>
      </c>
      <c r="E4230" t="s">
        <v>42</v>
      </c>
      <c r="F4230" t="s">
        <v>83</v>
      </c>
      <c r="G4230">
        <v>0</v>
      </c>
      <c r="H4230">
        <v>33107</v>
      </c>
      <c r="I4230" t="s">
        <v>2305</v>
      </c>
      <c r="J4230">
        <v>47</v>
      </c>
      <c r="K4230">
        <v>1</v>
      </c>
      <c r="L4230">
        <v>98</v>
      </c>
      <c r="M4230">
        <v>629.90002441000001</v>
      </c>
      <c r="N4230" t="s">
        <v>81</v>
      </c>
      <c r="O4230" t="s">
        <v>82</v>
      </c>
      <c r="P4230">
        <v>125</v>
      </c>
      <c r="Q4230" t="s">
        <v>82</v>
      </c>
      <c r="R4230">
        <v>0</v>
      </c>
      <c r="S4230">
        <v>0</v>
      </c>
      <c r="T4230">
        <v>-40</v>
      </c>
      <c r="U4230">
        <v>45</v>
      </c>
      <c r="V4230">
        <v>0</v>
      </c>
      <c r="W4230">
        <v>27</v>
      </c>
      <c r="X4230">
        <v>27</v>
      </c>
      <c r="Y4230">
        <v>1</v>
      </c>
      <c r="Z4230">
        <v>8</v>
      </c>
      <c r="AA4230">
        <v>24</v>
      </c>
      <c r="AB4230">
        <v>2</v>
      </c>
      <c r="AC4230">
        <v>4</v>
      </c>
      <c r="AD4230">
        <v>3.28600001</v>
      </c>
      <c r="AE4230">
        <v>1</v>
      </c>
      <c r="AF4230">
        <v>29</v>
      </c>
      <c r="AG4230">
        <v>3.2839999199999999</v>
      </c>
      <c r="AH4230">
        <v>1</v>
      </c>
      <c r="AI4230">
        <v>4</v>
      </c>
      <c r="AJ4230">
        <v>1</v>
      </c>
      <c r="AK4230">
        <v>13</v>
      </c>
      <c r="AL4230">
        <v>50</v>
      </c>
      <c r="AM4230" t="s">
        <v>43</v>
      </c>
      <c r="AN4230" t="str">
        <f>HYPERLINK("https://www.google.com/maps?q=10.76306343,79.69437408","Open Location")</f>
        <v>Open Location</v>
      </c>
    </row>
    <row r="4231" spans="1:40" x14ac:dyDescent="0.3">
      <c r="A4231" s="1">
        <v>46210.509606481479</v>
      </c>
      <c r="B4231" t="s">
        <v>40</v>
      </c>
      <c r="C4231" t="s">
        <v>41</v>
      </c>
      <c r="D4231" s="1">
        <v>46210.512546296297</v>
      </c>
      <c r="E4231" t="s">
        <v>42</v>
      </c>
      <c r="F4231" t="s">
        <v>83</v>
      </c>
      <c r="G4231">
        <v>0</v>
      </c>
      <c r="H4231">
        <v>33107</v>
      </c>
      <c r="I4231" t="s">
        <v>2223</v>
      </c>
      <c r="J4231">
        <v>47</v>
      </c>
      <c r="K4231">
        <v>1</v>
      </c>
      <c r="L4231">
        <v>98</v>
      </c>
      <c r="M4231">
        <v>630</v>
      </c>
      <c r="N4231" t="s">
        <v>81</v>
      </c>
      <c r="O4231" t="s">
        <v>82</v>
      </c>
      <c r="P4231">
        <v>125</v>
      </c>
      <c r="Q4231" t="s">
        <v>82</v>
      </c>
      <c r="R4231">
        <v>0</v>
      </c>
      <c r="S4231">
        <v>0</v>
      </c>
      <c r="T4231">
        <v>-40</v>
      </c>
      <c r="U4231">
        <v>45</v>
      </c>
      <c r="V4231">
        <v>0</v>
      </c>
      <c r="W4231">
        <v>27</v>
      </c>
      <c r="X4231">
        <v>27</v>
      </c>
      <c r="Y4231">
        <v>1</v>
      </c>
      <c r="Z4231">
        <v>8</v>
      </c>
      <c r="AA4231">
        <v>24</v>
      </c>
      <c r="AB4231">
        <v>2</v>
      </c>
      <c r="AC4231">
        <v>4</v>
      </c>
      <c r="AD4231">
        <v>3.28600001</v>
      </c>
      <c r="AE4231">
        <v>1</v>
      </c>
      <c r="AF4231">
        <v>29</v>
      </c>
      <c r="AG4231">
        <v>3.2839999199999999</v>
      </c>
      <c r="AH4231">
        <v>1</v>
      </c>
      <c r="AI4231">
        <v>4</v>
      </c>
      <c r="AJ4231">
        <v>1</v>
      </c>
      <c r="AK4231">
        <v>13</v>
      </c>
      <c r="AL4231">
        <v>50</v>
      </c>
      <c r="AM4231" t="s">
        <v>43</v>
      </c>
      <c r="AN4231" t="str">
        <f>HYPERLINK("https://www.google.com/maps?q=10.76306534,79.69438171","Open Location")</f>
        <v>Open Location</v>
      </c>
    </row>
    <row r="4232" spans="1:40" x14ac:dyDescent="0.3">
      <c r="A4232" s="1">
        <v>46210.50949074074</v>
      </c>
      <c r="B4232" t="s">
        <v>40</v>
      </c>
      <c r="C4232" t="s">
        <v>41</v>
      </c>
      <c r="D4232" s="1">
        <v>46210.512361111112</v>
      </c>
      <c r="E4232" t="s">
        <v>42</v>
      </c>
      <c r="F4232" t="s">
        <v>83</v>
      </c>
      <c r="G4232">
        <v>0</v>
      </c>
      <c r="H4232">
        <v>33107</v>
      </c>
      <c r="I4232" t="s">
        <v>2237</v>
      </c>
      <c r="J4232">
        <v>47</v>
      </c>
      <c r="K4232">
        <v>1</v>
      </c>
      <c r="L4232">
        <v>98</v>
      </c>
      <c r="M4232">
        <v>629.90002441000001</v>
      </c>
      <c r="N4232" t="s">
        <v>81</v>
      </c>
      <c r="O4232" t="s">
        <v>82</v>
      </c>
      <c r="P4232">
        <v>125</v>
      </c>
      <c r="Q4232" t="s">
        <v>82</v>
      </c>
      <c r="R4232">
        <v>0</v>
      </c>
      <c r="S4232">
        <v>0</v>
      </c>
      <c r="T4232">
        <v>-40</v>
      </c>
      <c r="U4232">
        <v>45</v>
      </c>
      <c r="V4232">
        <v>0</v>
      </c>
      <c r="W4232">
        <v>27</v>
      </c>
      <c r="X4232">
        <v>27</v>
      </c>
      <c r="Y4232">
        <v>1</v>
      </c>
      <c r="Z4232">
        <v>8</v>
      </c>
      <c r="AA4232">
        <v>24</v>
      </c>
      <c r="AB4232">
        <v>2</v>
      </c>
      <c r="AC4232">
        <v>4</v>
      </c>
      <c r="AD4232">
        <v>3.28600001</v>
      </c>
      <c r="AE4232">
        <v>1</v>
      </c>
      <c r="AF4232">
        <v>29</v>
      </c>
      <c r="AG4232">
        <v>3.2839999199999999</v>
      </c>
      <c r="AH4232">
        <v>1</v>
      </c>
      <c r="AI4232">
        <v>4</v>
      </c>
      <c r="AJ4232">
        <v>1</v>
      </c>
      <c r="AK4232">
        <v>13</v>
      </c>
      <c r="AL4232">
        <v>50</v>
      </c>
      <c r="AM4232" t="s">
        <v>43</v>
      </c>
      <c r="AN4232" t="str">
        <f>HYPERLINK("https://www.google.com/maps?q=10.76306152,79.69438171","Open Location")</f>
        <v>Open Location</v>
      </c>
    </row>
    <row r="4233" spans="1:40" x14ac:dyDescent="0.3">
      <c r="A4233" s="1">
        <v>46210.509375000001</v>
      </c>
      <c r="B4233" t="s">
        <v>40</v>
      </c>
      <c r="C4233" t="s">
        <v>41</v>
      </c>
      <c r="D4233" s="1">
        <v>46210.512361111112</v>
      </c>
      <c r="E4233" t="s">
        <v>42</v>
      </c>
      <c r="F4233" t="s">
        <v>83</v>
      </c>
      <c r="G4233">
        <v>0</v>
      </c>
      <c r="H4233" t="s">
        <v>43</v>
      </c>
      <c r="I4233" t="s">
        <v>2221</v>
      </c>
      <c r="J4233">
        <v>47</v>
      </c>
      <c r="K4233">
        <v>1</v>
      </c>
      <c r="L4233">
        <v>98</v>
      </c>
      <c r="M4233">
        <v>630.09997558999999</v>
      </c>
      <c r="N4233" t="s">
        <v>81</v>
      </c>
      <c r="O4233" t="s">
        <v>82</v>
      </c>
      <c r="P4233">
        <v>125</v>
      </c>
      <c r="Q4233" t="s">
        <v>82</v>
      </c>
      <c r="R4233">
        <v>0</v>
      </c>
      <c r="S4233">
        <v>0</v>
      </c>
      <c r="T4233">
        <v>-40</v>
      </c>
      <c r="U4233">
        <v>45</v>
      </c>
      <c r="V4233">
        <v>0</v>
      </c>
      <c r="W4233">
        <v>27</v>
      </c>
      <c r="X4233">
        <v>27</v>
      </c>
      <c r="Y4233">
        <v>1</v>
      </c>
      <c r="Z4233">
        <v>8</v>
      </c>
      <c r="AA4233">
        <v>24</v>
      </c>
      <c r="AB4233">
        <v>2</v>
      </c>
      <c r="AC4233">
        <v>4</v>
      </c>
      <c r="AD4233">
        <v>3.28600001</v>
      </c>
      <c r="AE4233">
        <v>1</v>
      </c>
      <c r="AF4233">
        <v>41</v>
      </c>
      <c r="AG4233">
        <v>3.2839999199999999</v>
      </c>
      <c r="AH4233">
        <v>1</v>
      </c>
      <c r="AI4233">
        <v>4</v>
      </c>
      <c r="AJ4233">
        <v>1</v>
      </c>
      <c r="AK4233">
        <v>13</v>
      </c>
      <c r="AL4233">
        <v>50</v>
      </c>
      <c r="AM4233" t="s">
        <v>43</v>
      </c>
      <c r="AN4233" t="str">
        <f>HYPERLINK("https://www.google.com/maps?q=10.76306343,79.69438171","Open Location")</f>
        <v>Open Location</v>
      </c>
    </row>
    <row r="4234" spans="1:40" x14ac:dyDescent="0.3">
      <c r="A4234" s="1">
        <v>46210.509259259263</v>
      </c>
      <c r="B4234" t="s">
        <v>40</v>
      </c>
      <c r="C4234" t="s">
        <v>41</v>
      </c>
      <c r="D4234" s="1">
        <v>46210.511967592596</v>
      </c>
      <c r="E4234" t="s">
        <v>42</v>
      </c>
      <c r="F4234" t="s">
        <v>83</v>
      </c>
      <c r="G4234">
        <v>0</v>
      </c>
      <c r="H4234">
        <v>33107</v>
      </c>
      <c r="I4234" t="s">
        <v>2238</v>
      </c>
      <c r="J4234">
        <v>47</v>
      </c>
      <c r="K4234">
        <v>1</v>
      </c>
      <c r="L4234">
        <v>98</v>
      </c>
      <c r="M4234">
        <v>629.90002441000001</v>
      </c>
      <c r="N4234" t="s">
        <v>81</v>
      </c>
      <c r="O4234" t="s">
        <v>82</v>
      </c>
      <c r="P4234">
        <v>125</v>
      </c>
      <c r="Q4234" t="s">
        <v>82</v>
      </c>
      <c r="R4234">
        <v>0</v>
      </c>
      <c r="S4234">
        <v>0</v>
      </c>
      <c r="T4234">
        <v>-40</v>
      </c>
      <c r="U4234">
        <v>45</v>
      </c>
      <c r="V4234">
        <v>0</v>
      </c>
      <c r="W4234">
        <v>27</v>
      </c>
      <c r="X4234">
        <v>27</v>
      </c>
      <c r="Y4234">
        <v>1</v>
      </c>
      <c r="Z4234">
        <v>8</v>
      </c>
      <c r="AA4234">
        <v>24</v>
      </c>
      <c r="AB4234">
        <v>2</v>
      </c>
      <c r="AC4234">
        <v>4</v>
      </c>
      <c r="AD4234">
        <v>3.28600001</v>
      </c>
      <c r="AE4234">
        <v>1</v>
      </c>
      <c r="AF4234">
        <v>29</v>
      </c>
      <c r="AG4234">
        <v>3.2839999199999999</v>
      </c>
      <c r="AH4234">
        <v>1</v>
      </c>
      <c r="AI4234">
        <v>4</v>
      </c>
      <c r="AJ4234">
        <v>1</v>
      </c>
      <c r="AK4234">
        <v>13</v>
      </c>
      <c r="AL4234">
        <v>50</v>
      </c>
      <c r="AM4234" t="s">
        <v>43</v>
      </c>
      <c r="AN4234" t="str">
        <f>HYPERLINK("https://www.google.com/maps?q=10.76306057,79.69438171","Open Location")</f>
        <v>Open Location</v>
      </c>
    </row>
    <row r="4235" spans="1:40" x14ac:dyDescent="0.3">
      <c r="A4235" s="1">
        <v>46210.509143518517</v>
      </c>
      <c r="B4235" t="s">
        <v>40</v>
      </c>
      <c r="C4235" t="s">
        <v>41</v>
      </c>
      <c r="D4235" s="1">
        <v>46210.512118055558</v>
      </c>
      <c r="E4235" t="s">
        <v>42</v>
      </c>
      <c r="F4235" t="s">
        <v>83</v>
      </c>
      <c r="G4235">
        <v>0</v>
      </c>
      <c r="H4235">
        <v>33107</v>
      </c>
      <c r="I4235" t="s">
        <v>43</v>
      </c>
      <c r="J4235">
        <v>47</v>
      </c>
      <c r="K4235">
        <v>1</v>
      </c>
      <c r="L4235">
        <v>98</v>
      </c>
      <c r="M4235">
        <v>629.90002441000001</v>
      </c>
      <c r="N4235" t="s">
        <v>81</v>
      </c>
      <c r="O4235" t="s">
        <v>82</v>
      </c>
      <c r="P4235">
        <v>125</v>
      </c>
      <c r="Q4235" t="s">
        <v>82</v>
      </c>
      <c r="R4235">
        <v>0</v>
      </c>
      <c r="S4235">
        <v>0</v>
      </c>
      <c r="T4235">
        <v>-40</v>
      </c>
      <c r="U4235">
        <v>45</v>
      </c>
      <c r="V4235">
        <v>0</v>
      </c>
      <c r="W4235">
        <v>27</v>
      </c>
      <c r="X4235">
        <v>27</v>
      </c>
      <c r="Y4235">
        <v>1</v>
      </c>
      <c r="Z4235">
        <v>8</v>
      </c>
      <c r="AA4235">
        <v>24</v>
      </c>
      <c r="AB4235">
        <v>2</v>
      </c>
      <c r="AC4235">
        <v>4</v>
      </c>
      <c r="AD4235">
        <v>3.28600001</v>
      </c>
      <c r="AE4235">
        <v>1</v>
      </c>
      <c r="AF4235">
        <v>46</v>
      </c>
      <c r="AG4235">
        <v>3.28299999</v>
      </c>
      <c r="AH4235">
        <v>7</v>
      </c>
      <c r="AI4235">
        <v>27</v>
      </c>
      <c r="AJ4235">
        <v>1</v>
      </c>
      <c r="AK4235">
        <v>13</v>
      </c>
      <c r="AL4235">
        <v>50</v>
      </c>
      <c r="AM4235" t="s">
        <v>43</v>
      </c>
      <c r="AN4235" t="s">
        <v>43</v>
      </c>
    </row>
    <row r="4236" spans="1:40" x14ac:dyDescent="0.3">
      <c r="A4236" s="1">
        <v>46210.509027777778</v>
      </c>
      <c r="B4236" t="s">
        <v>40</v>
      </c>
      <c r="C4236" t="s">
        <v>41</v>
      </c>
      <c r="D4236" s="1">
        <v>46210.511932870373</v>
      </c>
      <c r="E4236" t="s">
        <v>42</v>
      </c>
      <c r="F4236" t="s">
        <v>83</v>
      </c>
      <c r="G4236">
        <v>0</v>
      </c>
      <c r="H4236">
        <v>33107</v>
      </c>
      <c r="I4236" t="s">
        <v>2241</v>
      </c>
      <c r="J4236">
        <v>47</v>
      </c>
      <c r="K4236">
        <v>1</v>
      </c>
      <c r="L4236">
        <v>98</v>
      </c>
      <c r="M4236">
        <v>629.70001220999995</v>
      </c>
      <c r="N4236" t="s">
        <v>81</v>
      </c>
      <c r="O4236" t="s">
        <v>82</v>
      </c>
      <c r="P4236">
        <v>125</v>
      </c>
      <c r="Q4236" t="s">
        <v>82</v>
      </c>
      <c r="R4236">
        <v>0</v>
      </c>
      <c r="S4236">
        <v>0</v>
      </c>
      <c r="T4236">
        <v>-40</v>
      </c>
      <c r="U4236">
        <v>45</v>
      </c>
      <c r="V4236">
        <v>0</v>
      </c>
      <c r="W4236">
        <v>27</v>
      </c>
      <c r="X4236">
        <v>27</v>
      </c>
      <c r="Y4236">
        <v>1</v>
      </c>
      <c r="Z4236">
        <v>8</v>
      </c>
      <c r="AA4236">
        <v>24</v>
      </c>
      <c r="AB4236">
        <v>2</v>
      </c>
      <c r="AC4236">
        <v>4</v>
      </c>
      <c r="AD4236">
        <v>3.28600001</v>
      </c>
      <c r="AE4236">
        <v>1</v>
      </c>
      <c r="AF4236">
        <v>46</v>
      </c>
      <c r="AG4236">
        <v>3.28299999</v>
      </c>
      <c r="AH4236">
        <v>2</v>
      </c>
      <c r="AI4236">
        <v>38</v>
      </c>
      <c r="AJ4236">
        <v>1</v>
      </c>
      <c r="AK4236">
        <v>13</v>
      </c>
      <c r="AL4236">
        <v>50</v>
      </c>
      <c r="AM4236" t="s">
        <v>43</v>
      </c>
      <c r="AN4236" t="str">
        <f>HYPERLINK("https://www.google.com/maps?q=10.76306438,79.69437408","Open Location")</f>
        <v>Open Location</v>
      </c>
    </row>
    <row r="4237" spans="1:40" x14ac:dyDescent="0.3">
      <c r="A4237" s="1">
        <v>46210.508912037039</v>
      </c>
      <c r="B4237" t="s">
        <v>40</v>
      </c>
      <c r="C4237" t="s">
        <v>41</v>
      </c>
      <c r="D4237" s="1">
        <v>46210.511932870373</v>
      </c>
      <c r="E4237" t="s">
        <v>42</v>
      </c>
      <c r="F4237" t="s">
        <v>83</v>
      </c>
      <c r="G4237">
        <v>0</v>
      </c>
      <c r="H4237">
        <v>33107</v>
      </c>
      <c r="I4237" t="s">
        <v>2303</v>
      </c>
      <c r="J4237">
        <v>47</v>
      </c>
      <c r="K4237">
        <v>1</v>
      </c>
      <c r="L4237">
        <v>98</v>
      </c>
      <c r="M4237">
        <v>629.90002441000001</v>
      </c>
      <c r="N4237" t="s">
        <v>81</v>
      </c>
      <c r="O4237" t="s">
        <v>82</v>
      </c>
      <c r="P4237">
        <v>125</v>
      </c>
      <c r="Q4237" t="s">
        <v>82</v>
      </c>
      <c r="R4237">
        <v>0</v>
      </c>
      <c r="S4237">
        <v>0</v>
      </c>
      <c r="T4237">
        <v>-40</v>
      </c>
      <c r="U4237">
        <v>45</v>
      </c>
      <c r="V4237">
        <v>0</v>
      </c>
      <c r="W4237">
        <v>27</v>
      </c>
      <c r="X4237">
        <v>27</v>
      </c>
      <c r="Y4237">
        <v>1</v>
      </c>
      <c r="Z4237">
        <v>8</v>
      </c>
      <c r="AA4237">
        <v>24</v>
      </c>
      <c r="AB4237">
        <v>2</v>
      </c>
      <c r="AC4237">
        <v>4</v>
      </c>
      <c r="AD4237">
        <v>3.28600001</v>
      </c>
      <c r="AE4237">
        <v>1</v>
      </c>
      <c r="AF4237">
        <v>46</v>
      </c>
      <c r="AG4237">
        <v>3.28299999</v>
      </c>
      <c r="AH4237">
        <v>2</v>
      </c>
      <c r="AI4237">
        <v>38</v>
      </c>
      <c r="AJ4237">
        <v>1</v>
      </c>
      <c r="AK4237">
        <v>13</v>
      </c>
      <c r="AL4237">
        <v>50</v>
      </c>
      <c r="AM4237" t="s">
        <v>43</v>
      </c>
      <c r="AN4237" t="str">
        <f>HYPERLINK("https://www.google.com/maps?q=10.7630682,79.69436646","Open Location")</f>
        <v>Open Location</v>
      </c>
    </row>
    <row r="4238" spans="1:40" x14ac:dyDescent="0.3">
      <c r="A4238" s="1">
        <v>46210.508796296293</v>
      </c>
      <c r="B4238" t="s">
        <v>40</v>
      </c>
      <c r="C4238" t="s">
        <v>41</v>
      </c>
      <c r="D4238" s="1">
        <v>46210.511817129627</v>
      </c>
      <c r="E4238" t="s">
        <v>42</v>
      </c>
      <c r="F4238" t="s">
        <v>83</v>
      </c>
      <c r="G4238">
        <v>0</v>
      </c>
      <c r="H4238">
        <v>33107</v>
      </c>
      <c r="I4238" t="s">
        <v>2252</v>
      </c>
      <c r="J4238">
        <v>47</v>
      </c>
      <c r="K4238">
        <v>1</v>
      </c>
      <c r="L4238">
        <v>98</v>
      </c>
      <c r="M4238">
        <v>629.90002441000001</v>
      </c>
      <c r="N4238" t="s">
        <v>81</v>
      </c>
      <c r="O4238" t="s">
        <v>82</v>
      </c>
      <c r="P4238">
        <v>125</v>
      </c>
      <c r="Q4238" t="s">
        <v>82</v>
      </c>
      <c r="R4238">
        <v>0</v>
      </c>
      <c r="S4238">
        <v>0</v>
      </c>
      <c r="T4238">
        <v>-40</v>
      </c>
      <c r="U4238">
        <v>45</v>
      </c>
      <c r="V4238">
        <v>0</v>
      </c>
      <c r="W4238">
        <v>27</v>
      </c>
      <c r="X4238">
        <v>27</v>
      </c>
      <c r="Y4238">
        <v>1</v>
      </c>
      <c r="Z4238">
        <v>8</v>
      </c>
      <c r="AA4238">
        <v>24</v>
      </c>
      <c r="AB4238">
        <v>2</v>
      </c>
      <c r="AC4238">
        <v>4</v>
      </c>
      <c r="AD4238">
        <v>3.28600001</v>
      </c>
      <c r="AE4238">
        <v>1</v>
      </c>
      <c r="AF4238">
        <v>46</v>
      </c>
      <c r="AG4238">
        <v>3.28299999</v>
      </c>
      <c r="AH4238">
        <v>2</v>
      </c>
      <c r="AI4238">
        <v>12</v>
      </c>
      <c r="AJ4238">
        <v>1</v>
      </c>
      <c r="AK4238">
        <v>13</v>
      </c>
      <c r="AL4238">
        <v>50</v>
      </c>
      <c r="AM4238" t="s">
        <v>43</v>
      </c>
      <c r="AN4238" t="str">
        <f>HYPERLINK("https://www.google.com/maps?q=10.76307106,79.69436646","Open Location")</f>
        <v>Open Location</v>
      </c>
    </row>
    <row r="4239" spans="1:40" x14ac:dyDescent="0.3">
      <c r="A4239" s="1">
        <v>46210.508680555555</v>
      </c>
      <c r="B4239" t="s">
        <v>40</v>
      </c>
      <c r="C4239" t="s">
        <v>41</v>
      </c>
      <c r="D4239" s="1">
        <v>46210.511608796296</v>
      </c>
      <c r="E4239" t="s">
        <v>42</v>
      </c>
      <c r="F4239" t="s">
        <v>83</v>
      </c>
      <c r="G4239">
        <v>0</v>
      </c>
      <c r="H4239">
        <v>33107</v>
      </c>
      <c r="I4239" t="s">
        <v>2293</v>
      </c>
      <c r="J4239">
        <v>47</v>
      </c>
      <c r="K4239">
        <v>1</v>
      </c>
      <c r="L4239">
        <v>98</v>
      </c>
      <c r="M4239">
        <v>629.79998779000005</v>
      </c>
      <c r="N4239" t="s">
        <v>81</v>
      </c>
      <c r="O4239" t="s">
        <v>82</v>
      </c>
      <c r="P4239">
        <v>125</v>
      </c>
      <c r="Q4239" t="s">
        <v>82</v>
      </c>
      <c r="R4239">
        <v>0</v>
      </c>
      <c r="S4239">
        <v>0</v>
      </c>
      <c r="T4239">
        <v>-40</v>
      </c>
      <c r="U4239">
        <v>46</v>
      </c>
      <c r="V4239">
        <v>0</v>
      </c>
      <c r="W4239">
        <v>27</v>
      </c>
      <c r="X4239">
        <v>27</v>
      </c>
      <c r="Y4239">
        <v>1</v>
      </c>
      <c r="Z4239">
        <v>8</v>
      </c>
      <c r="AA4239">
        <v>24</v>
      </c>
      <c r="AB4239">
        <v>2</v>
      </c>
      <c r="AC4239">
        <v>4</v>
      </c>
      <c r="AD4239">
        <v>3.28600001</v>
      </c>
      <c r="AE4239">
        <v>5</v>
      </c>
      <c r="AF4239">
        <v>3</v>
      </c>
      <c r="AG4239">
        <v>3.28299999</v>
      </c>
      <c r="AH4239">
        <v>2</v>
      </c>
      <c r="AI4239">
        <v>12</v>
      </c>
      <c r="AJ4239">
        <v>1</v>
      </c>
      <c r="AK4239">
        <v>13</v>
      </c>
      <c r="AL4239">
        <v>50</v>
      </c>
      <c r="AM4239" t="s">
        <v>43</v>
      </c>
      <c r="AN4239" t="str">
        <f>HYPERLINK("https://www.google.com/maps?q=10.76307392,79.69436646","Open Location")</f>
        <v>Open Location</v>
      </c>
    </row>
    <row r="4240" spans="1:40" x14ac:dyDescent="0.3">
      <c r="A4240" s="1">
        <v>46210.508564814816</v>
      </c>
      <c r="B4240" t="s">
        <v>40</v>
      </c>
      <c r="C4240" t="s">
        <v>41</v>
      </c>
      <c r="D4240" s="1">
        <v>46210.511469907404</v>
      </c>
      <c r="E4240" t="s">
        <v>42</v>
      </c>
      <c r="F4240" t="s">
        <v>83</v>
      </c>
      <c r="G4240">
        <v>0</v>
      </c>
      <c r="H4240">
        <v>33107</v>
      </c>
      <c r="I4240" t="s">
        <v>43</v>
      </c>
      <c r="J4240">
        <v>47</v>
      </c>
      <c r="K4240">
        <v>1</v>
      </c>
      <c r="L4240">
        <v>98</v>
      </c>
      <c r="M4240">
        <v>629.90002441000001</v>
      </c>
      <c r="N4240" t="s">
        <v>81</v>
      </c>
      <c r="O4240" t="s">
        <v>82</v>
      </c>
      <c r="P4240">
        <v>125</v>
      </c>
      <c r="Q4240" t="s">
        <v>82</v>
      </c>
      <c r="R4240">
        <v>0</v>
      </c>
      <c r="S4240">
        <v>0</v>
      </c>
      <c r="T4240">
        <v>-40</v>
      </c>
      <c r="U4240">
        <v>46</v>
      </c>
      <c r="V4240">
        <v>0</v>
      </c>
      <c r="W4240">
        <v>27</v>
      </c>
      <c r="X4240">
        <v>27</v>
      </c>
      <c r="Y4240">
        <v>1</v>
      </c>
      <c r="Z4240">
        <v>8</v>
      </c>
      <c r="AA4240">
        <v>24</v>
      </c>
      <c r="AB4240">
        <v>2</v>
      </c>
      <c r="AC4240">
        <v>4</v>
      </c>
      <c r="AD4240">
        <v>3.28600001</v>
      </c>
      <c r="AE4240">
        <v>1</v>
      </c>
      <c r="AF4240">
        <v>46</v>
      </c>
      <c r="AG4240">
        <v>3.28299999</v>
      </c>
      <c r="AH4240">
        <v>2</v>
      </c>
      <c r="AI4240">
        <v>12</v>
      </c>
      <c r="AJ4240">
        <v>1</v>
      </c>
      <c r="AK4240">
        <v>13</v>
      </c>
      <c r="AL4240">
        <v>50</v>
      </c>
      <c r="AM4240" t="s">
        <v>43</v>
      </c>
      <c r="AN4240" t="s">
        <v>43</v>
      </c>
    </row>
    <row r="4241" spans="1:40" x14ac:dyDescent="0.3">
      <c r="A4241" s="1">
        <v>46210.508449074077</v>
      </c>
      <c r="B4241" t="s">
        <v>40</v>
      </c>
      <c r="C4241" t="s">
        <v>41</v>
      </c>
      <c r="D4241" s="1">
        <v>46210.511446759258</v>
      </c>
      <c r="E4241" t="s">
        <v>42</v>
      </c>
      <c r="F4241" t="s">
        <v>83</v>
      </c>
      <c r="G4241">
        <v>0</v>
      </c>
      <c r="H4241">
        <v>33107</v>
      </c>
      <c r="I4241" t="s">
        <v>2267</v>
      </c>
      <c r="J4241">
        <v>47</v>
      </c>
      <c r="K4241">
        <v>1</v>
      </c>
      <c r="L4241">
        <v>98</v>
      </c>
      <c r="M4241">
        <v>629.90002441000001</v>
      </c>
      <c r="N4241" t="s">
        <v>81</v>
      </c>
      <c r="O4241" t="s">
        <v>82</v>
      </c>
      <c r="P4241">
        <v>125</v>
      </c>
      <c r="Q4241" t="s">
        <v>82</v>
      </c>
      <c r="R4241">
        <v>0</v>
      </c>
      <c r="S4241">
        <v>0</v>
      </c>
      <c r="T4241">
        <v>-40</v>
      </c>
      <c r="U4241">
        <v>46</v>
      </c>
      <c r="V4241">
        <v>0</v>
      </c>
      <c r="W4241" t="s">
        <v>43</v>
      </c>
      <c r="X4241" t="s">
        <v>43</v>
      </c>
      <c r="Y4241" t="s">
        <v>43</v>
      </c>
      <c r="Z4241" t="s">
        <v>43</v>
      </c>
      <c r="AA4241" t="s">
        <v>43</v>
      </c>
      <c r="AB4241" t="s">
        <v>43</v>
      </c>
      <c r="AC4241" t="s">
        <v>43</v>
      </c>
      <c r="AD4241" t="s">
        <v>43</v>
      </c>
      <c r="AE4241" t="s">
        <v>43</v>
      </c>
      <c r="AF4241" t="s">
        <v>43</v>
      </c>
      <c r="AG4241" t="s">
        <v>43</v>
      </c>
      <c r="AH4241" t="s">
        <v>43</v>
      </c>
      <c r="AI4241" t="s">
        <v>43</v>
      </c>
      <c r="AJ4241">
        <v>1</v>
      </c>
      <c r="AK4241">
        <v>13</v>
      </c>
      <c r="AL4241">
        <v>50</v>
      </c>
      <c r="AM4241" t="s">
        <v>43</v>
      </c>
      <c r="AN4241" t="str">
        <f>HYPERLINK("https://www.google.com/maps?q=10.76306438,79.69436646","Open Location")</f>
        <v>Open Location</v>
      </c>
    </row>
    <row r="4242" spans="1:40" x14ac:dyDescent="0.3">
      <c r="A4242" s="1">
        <v>46210.508333333331</v>
      </c>
      <c r="B4242" t="s">
        <v>40</v>
      </c>
      <c r="C4242" t="s">
        <v>41</v>
      </c>
      <c r="D4242" s="1">
        <v>46210.511250000003</v>
      </c>
      <c r="E4242" t="s">
        <v>42</v>
      </c>
      <c r="F4242" t="s">
        <v>83</v>
      </c>
      <c r="G4242">
        <v>0</v>
      </c>
      <c r="H4242">
        <v>33107</v>
      </c>
      <c r="I4242" t="s">
        <v>43</v>
      </c>
      <c r="J4242">
        <v>47</v>
      </c>
      <c r="K4242">
        <v>1</v>
      </c>
      <c r="L4242">
        <v>98</v>
      </c>
      <c r="M4242">
        <v>629.90002441000001</v>
      </c>
      <c r="N4242" t="s">
        <v>81</v>
      </c>
      <c r="O4242" t="s">
        <v>82</v>
      </c>
      <c r="P4242">
        <v>125</v>
      </c>
      <c r="Q4242" t="s">
        <v>82</v>
      </c>
      <c r="R4242">
        <v>0</v>
      </c>
      <c r="S4242">
        <v>0</v>
      </c>
      <c r="T4242">
        <v>-40</v>
      </c>
      <c r="U4242">
        <v>46</v>
      </c>
      <c r="V4242">
        <v>0</v>
      </c>
      <c r="W4242">
        <v>27</v>
      </c>
      <c r="X4242">
        <v>27</v>
      </c>
      <c r="Y4242">
        <v>1</v>
      </c>
      <c r="Z4242">
        <v>8</v>
      </c>
      <c r="AA4242">
        <v>24</v>
      </c>
      <c r="AB4242">
        <v>2</v>
      </c>
      <c r="AC4242">
        <v>4</v>
      </c>
      <c r="AD4242">
        <v>3.28600001</v>
      </c>
      <c r="AE4242">
        <v>5</v>
      </c>
      <c r="AF4242">
        <v>3</v>
      </c>
      <c r="AG4242">
        <v>3.28299999</v>
      </c>
      <c r="AH4242">
        <v>2</v>
      </c>
      <c r="AI4242">
        <v>12</v>
      </c>
      <c r="AJ4242">
        <v>1</v>
      </c>
      <c r="AK4242">
        <v>13</v>
      </c>
      <c r="AL4242">
        <v>50</v>
      </c>
      <c r="AM4242" t="s">
        <v>43</v>
      </c>
      <c r="AN4242" t="s">
        <v>43</v>
      </c>
    </row>
    <row r="4243" spans="1:40" x14ac:dyDescent="0.3">
      <c r="A4243" s="1">
        <v>46210.508217592593</v>
      </c>
      <c r="B4243" t="s">
        <v>40</v>
      </c>
      <c r="C4243" t="s">
        <v>41</v>
      </c>
      <c r="D4243" s="1">
        <v>46210.511076388888</v>
      </c>
      <c r="E4243" t="s">
        <v>42</v>
      </c>
      <c r="F4243" t="s">
        <v>83</v>
      </c>
      <c r="G4243">
        <v>0</v>
      </c>
      <c r="H4243">
        <v>33107</v>
      </c>
      <c r="I4243" t="s">
        <v>2307</v>
      </c>
      <c r="J4243">
        <v>47</v>
      </c>
      <c r="K4243">
        <v>1</v>
      </c>
      <c r="L4243">
        <v>98</v>
      </c>
      <c r="M4243">
        <v>629.90002441000001</v>
      </c>
      <c r="N4243" t="s">
        <v>81</v>
      </c>
      <c r="O4243" t="s">
        <v>82</v>
      </c>
      <c r="P4243">
        <v>125</v>
      </c>
      <c r="Q4243" t="s">
        <v>82</v>
      </c>
      <c r="R4243">
        <v>0</v>
      </c>
      <c r="S4243">
        <v>0</v>
      </c>
      <c r="T4243">
        <v>-40</v>
      </c>
      <c r="U4243">
        <v>46</v>
      </c>
      <c r="V4243">
        <v>0</v>
      </c>
      <c r="W4243" t="s">
        <v>43</v>
      </c>
      <c r="X4243" t="s">
        <v>43</v>
      </c>
      <c r="Y4243" t="s">
        <v>43</v>
      </c>
      <c r="Z4243" t="s">
        <v>43</v>
      </c>
      <c r="AA4243" t="s">
        <v>43</v>
      </c>
      <c r="AB4243" t="s">
        <v>43</v>
      </c>
      <c r="AC4243" t="s">
        <v>43</v>
      </c>
      <c r="AD4243" t="s">
        <v>43</v>
      </c>
      <c r="AE4243" t="s">
        <v>43</v>
      </c>
      <c r="AF4243" t="s">
        <v>43</v>
      </c>
      <c r="AG4243" t="s">
        <v>43</v>
      </c>
      <c r="AH4243" t="s">
        <v>43</v>
      </c>
      <c r="AI4243" t="s">
        <v>43</v>
      </c>
      <c r="AJ4243">
        <v>1</v>
      </c>
      <c r="AK4243">
        <v>13</v>
      </c>
      <c r="AL4243">
        <v>50</v>
      </c>
      <c r="AM4243" t="s">
        <v>43</v>
      </c>
      <c r="AN4243" t="str">
        <f>HYPERLINK("https://www.google.com/maps?q=10.76305866,79.69436646","Open Location")</f>
        <v>Open Location</v>
      </c>
    </row>
    <row r="4244" spans="1:40" x14ac:dyDescent="0.3">
      <c r="A4244" s="1">
        <v>46210.508101851854</v>
      </c>
      <c r="B4244" t="s">
        <v>40</v>
      </c>
      <c r="C4244" t="s">
        <v>41</v>
      </c>
      <c r="D4244" s="1">
        <v>46210.51085648148</v>
      </c>
      <c r="E4244" t="s">
        <v>42</v>
      </c>
      <c r="F4244" t="s">
        <v>83</v>
      </c>
      <c r="G4244">
        <v>0</v>
      </c>
      <c r="H4244">
        <v>33107</v>
      </c>
      <c r="I4244" t="s">
        <v>2393</v>
      </c>
      <c r="J4244">
        <v>47</v>
      </c>
      <c r="K4244">
        <v>1</v>
      </c>
      <c r="L4244">
        <v>98</v>
      </c>
      <c r="M4244">
        <v>629.90002441000001</v>
      </c>
      <c r="N4244" t="s">
        <v>81</v>
      </c>
      <c r="O4244" t="s">
        <v>82</v>
      </c>
      <c r="P4244">
        <v>125</v>
      </c>
      <c r="Q4244" t="s">
        <v>82</v>
      </c>
      <c r="R4244">
        <v>0</v>
      </c>
      <c r="S4244">
        <v>0</v>
      </c>
      <c r="T4244">
        <v>-40</v>
      </c>
      <c r="U4244">
        <v>46</v>
      </c>
      <c r="V4244">
        <v>0</v>
      </c>
      <c r="W4244">
        <v>27</v>
      </c>
      <c r="X4244">
        <v>27</v>
      </c>
      <c r="Y4244">
        <v>1</v>
      </c>
      <c r="Z4244">
        <v>8</v>
      </c>
      <c r="AA4244">
        <v>24</v>
      </c>
      <c r="AB4244">
        <v>2</v>
      </c>
      <c r="AC4244">
        <v>4</v>
      </c>
      <c r="AD4244">
        <v>3.28500009</v>
      </c>
      <c r="AE4244">
        <v>1</v>
      </c>
      <c r="AF4244">
        <v>1</v>
      </c>
      <c r="AG4244">
        <v>3.28299999</v>
      </c>
      <c r="AH4244">
        <v>2</v>
      </c>
      <c r="AI4244">
        <v>12</v>
      </c>
      <c r="AJ4244">
        <v>1</v>
      </c>
      <c r="AK4244">
        <v>13</v>
      </c>
      <c r="AL4244">
        <v>50</v>
      </c>
      <c r="AM4244" t="s">
        <v>43</v>
      </c>
      <c r="AN4244" t="str">
        <f>HYPERLINK("https://www.google.com/maps?q=10.76305199,79.69436646","Open Location")</f>
        <v>Open Location</v>
      </c>
    </row>
    <row r="4245" spans="1:40" x14ac:dyDescent="0.3">
      <c r="A4245" s="1">
        <v>46210.507986111108</v>
      </c>
      <c r="B4245" t="s">
        <v>40</v>
      </c>
      <c r="C4245" t="s">
        <v>41</v>
      </c>
      <c r="D4245" s="1">
        <v>46210.51085648148</v>
      </c>
      <c r="E4245" t="s">
        <v>42</v>
      </c>
      <c r="F4245" t="s">
        <v>83</v>
      </c>
      <c r="G4245">
        <v>0</v>
      </c>
      <c r="H4245">
        <v>33107</v>
      </c>
      <c r="I4245" t="s">
        <v>43</v>
      </c>
      <c r="J4245">
        <v>47</v>
      </c>
      <c r="K4245">
        <v>1</v>
      </c>
      <c r="L4245">
        <v>98</v>
      </c>
      <c r="M4245">
        <v>629.70001220999995</v>
      </c>
      <c r="N4245" t="s">
        <v>81</v>
      </c>
      <c r="O4245" t="s">
        <v>82</v>
      </c>
      <c r="P4245">
        <v>125</v>
      </c>
      <c r="Q4245" t="s">
        <v>82</v>
      </c>
      <c r="R4245">
        <v>0</v>
      </c>
      <c r="S4245">
        <v>0</v>
      </c>
      <c r="T4245">
        <v>-40</v>
      </c>
      <c r="U4245">
        <v>46</v>
      </c>
      <c r="V4245">
        <v>0</v>
      </c>
      <c r="W4245">
        <v>27</v>
      </c>
      <c r="X4245">
        <v>27</v>
      </c>
      <c r="Y4245">
        <v>1</v>
      </c>
      <c r="Z4245">
        <v>8</v>
      </c>
      <c r="AA4245">
        <v>24</v>
      </c>
      <c r="AB4245">
        <v>2</v>
      </c>
      <c r="AC4245">
        <v>4</v>
      </c>
      <c r="AD4245">
        <v>3.28500009</v>
      </c>
      <c r="AE4245">
        <v>1</v>
      </c>
      <c r="AF4245">
        <v>1</v>
      </c>
      <c r="AG4245">
        <v>3.28299999</v>
      </c>
      <c r="AH4245">
        <v>2</v>
      </c>
      <c r="AI4245">
        <v>12</v>
      </c>
      <c r="AJ4245">
        <v>1</v>
      </c>
      <c r="AK4245">
        <v>13</v>
      </c>
      <c r="AL4245">
        <v>50</v>
      </c>
      <c r="AM4245" t="s">
        <v>43</v>
      </c>
      <c r="AN4245" t="s">
        <v>43</v>
      </c>
    </row>
    <row r="4246" spans="1:40" x14ac:dyDescent="0.3">
      <c r="A4246" s="1">
        <v>46210.507870370369</v>
      </c>
      <c r="B4246" t="s">
        <v>40</v>
      </c>
      <c r="C4246" t="s">
        <v>41</v>
      </c>
      <c r="D4246" s="1">
        <v>46210.510763888888</v>
      </c>
      <c r="E4246" t="s">
        <v>42</v>
      </c>
      <c r="F4246" t="s">
        <v>83</v>
      </c>
      <c r="G4246">
        <v>0</v>
      </c>
      <c r="H4246">
        <v>33107</v>
      </c>
      <c r="I4246" t="s">
        <v>2213</v>
      </c>
      <c r="J4246">
        <v>47</v>
      </c>
      <c r="K4246">
        <v>1</v>
      </c>
      <c r="L4246">
        <v>98</v>
      </c>
      <c r="M4246">
        <v>630</v>
      </c>
      <c r="N4246" t="s">
        <v>81</v>
      </c>
      <c r="O4246" t="s">
        <v>82</v>
      </c>
      <c r="P4246">
        <v>125</v>
      </c>
      <c r="Q4246" t="s">
        <v>82</v>
      </c>
      <c r="R4246">
        <v>0</v>
      </c>
      <c r="S4246">
        <v>0</v>
      </c>
      <c r="T4246">
        <v>-40</v>
      </c>
      <c r="U4246">
        <v>46</v>
      </c>
      <c r="V4246">
        <v>0</v>
      </c>
      <c r="W4246">
        <v>27</v>
      </c>
      <c r="X4246">
        <v>27</v>
      </c>
      <c r="Y4246">
        <v>1</v>
      </c>
      <c r="Z4246">
        <v>8</v>
      </c>
      <c r="AA4246">
        <v>24</v>
      </c>
      <c r="AB4246">
        <v>2</v>
      </c>
      <c r="AC4246">
        <v>4</v>
      </c>
      <c r="AD4246">
        <v>3.28500009</v>
      </c>
      <c r="AE4246">
        <v>1</v>
      </c>
      <c r="AF4246">
        <v>1</v>
      </c>
      <c r="AG4246">
        <v>3.28299999</v>
      </c>
      <c r="AH4246">
        <v>2</v>
      </c>
      <c r="AI4246">
        <v>12</v>
      </c>
      <c r="AJ4246">
        <v>1</v>
      </c>
      <c r="AK4246">
        <v>13</v>
      </c>
      <c r="AL4246">
        <v>50</v>
      </c>
      <c r="AM4246" t="s">
        <v>43</v>
      </c>
      <c r="AN4246" t="str">
        <f>HYPERLINK("https://www.google.com/maps?q=10.76305294,79.69436646","Open Location")</f>
        <v>Open Location</v>
      </c>
    </row>
    <row r="4247" spans="1:40" x14ac:dyDescent="0.3">
      <c r="A4247" s="1">
        <v>46210.507754629631</v>
      </c>
      <c r="B4247" t="s">
        <v>40</v>
      </c>
      <c r="C4247" t="s">
        <v>41</v>
      </c>
      <c r="D4247" s="1">
        <v>46210.510648148149</v>
      </c>
      <c r="E4247" t="s">
        <v>42</v>
      </c>
      <c r="F4247" t="s">
        <v>83</v>
      </c>
      <c r="G4247">
        <v>0</v>
      </c>
      <c r="H4247">
        <v>33107</v>
      </c>
      <c r="I4247" t="s">
        <v>2213</v>
      </c>
      <c r="J4247">
        <v>47</v>
      </c>
      <c r="K4247">
        <v>1</v>
      </c>
      <c r="L4247">
        <v>98</v>
      </c>
      <c r="M4247">
        <v>629.70001220999995</v>
      </c>
      <c r="N4247" t="s">
        <v>81</v>
      </c>
      <c r="O4247" t="s">
        <v>82</v>
      </c>
      <c r="P4247">
        <v>125</v>
      </c>
      <c r="Q4247" t="s">
        <v>82</v>
      </c>
      <c r="R4247">
        <v>0</v>
      </c>
      <c r="S4247">
        <v>0</v>
      </c>
      <c r="T4247">
        <v>-40</v>
      </c>
      <c r="U4247">
        <v>46</v>
      </c>
      <c r="V4247">
        <v>0</v>
      </c>
      <c r="W4247">
        <v>27</v>
      </c>
      <c r="X4247">
        <v>27</v>
      </c>
      <c r="Y4247">
        <v>1</v>
      </c>
      <c r="Z4247">
        <v>8</v>
      </c>
      <c r="AA4247">
        <v>24</v>
      </c>
      <c r="AB4247">
        <v>2</v>
      </c>
      <c r="AC4247">
        <v>4</v>
      </c>
      <c r="AD4247">
        <v>3.28500009</v>
      </c>
      <c r="AE4247">
        <v>1</v>
      </c>
      <c r="AF4247">
        <v>1</v>
      </c>
      <c r="AG4247">
        <v>3.28299999</v>
      </c>
      <c r="AH4247">
        <v>2</v>
      </c>
      <c r="AI4247">
        <v>3</v>
      </c>
      <c r="AJ4247">
        <v>1</v>
      </c>
      <c r="AK4247">
        <v>13</v>
      </c>
      <c r="AL4247">
        <v>50</v>
      </c>
      <c r="AM4247" t="s">
        <v>43</v>
      </c>
      <c r="AN4247" t="str">
        <f>HYPERLINK("https://www.google.com/maps?q=10.76305294,79.69436646","Open Location")</f>
        <v>Open Location</v>
      </c>
    </row>
    <row r="4248" spans="1:40" x14ac:dyDescent="0.3">
      <c r="A4248" s="1">
        <v>46210.507638888892</v>
      </c>
      <c r="B4248" t="s">
        <v>40</v>
      </c>
      <c r="C4248" t="s">
        <v>41</v>
      </c>
      <c r="D4248" s="1">
        <v>46210.510578703703</v>
      </c>
      <c r="E4248" t="s">
        <v>42</v>
      </c>
      <c r="F4248" t="s">
        <v>83</v>
      </c>
      <c r="G4248">
        <v>0</v>
      </c>
      <c r="H4248">
        <v>33107</v>
      </c>
      <c r="I4248" t="s">
        <v>2394</v>
      </c>
      <c r="J4248">
        <v>47</v>
      </c>
      <c r="K4248">
        <v>1</v>
      </c>
      <c r="L4248">
        <v>98</v>
      </c>
      <c r="M4248">
        <v>629.59997558999999</v>
      </c>
      <c r="N4248" t="s">
        <v>81</v>
      </c>
      <c r="O4248" t="s">
        <v>82</v>
      </c>
      <c r="P4248">
        <v>125</v>
      </c>
      <c r="Q4248" t="s">
        <v>82</v>
      </c>
      <c r="R4248">
        <v>0</v>
      </c>
      <c r="S4248">
        <v>0</v>
      </c>
      <c r="T4248">
        <v>-40</v>
      </c>
      <c r="U4248">
        <v>46</v>
      </c>
      <c r="V4248">
        <v>0</v>
      </c>
      <c r="W4248">
        <v>27</v>
      </c>
      <c r="X4248">
        <v>27</v>
      </c>
      <c r="Y4248">
        <v>1</v>
      </c>
      <c r="Z4248">
        <v>8</v>
      </c>
      <c r="AA4248">
        <v>24</v>
      </c>
      <c r="AB4248">
        <v>2</v>
      </c>
      <c r="AC4248">
        <v>4</v>
      </c>
      <c r="AD4248">
        <v>3.28500009</v>
      </c>
      <c r="AE4248">
        <v>1</v>
      </c>
      <c r="AF4248">
        <v>1</v>
      </c>
      <c r="AG4248">
        <v>3.28299999</v>
      </c>
      <c r="AH4248">
        <v>2</v>
      </c>
      <c r="AI4248">
        <v>3</v>
      </c>
      <c r="AJ4248">
        <v>1</v>
      </c>
      <c r="AK4248">
        <v>13</v>
      </c>
      <c r="AL4248">
        <v>50</v>
      </c>
      <c r="AM4248" t="s">
        <v>43</v>
      </c>
      <c r="AN4248" t="str">
        <f>HYPERLINK("https://www.google.com/maps?q=10.7630558,79.69436646","Open Location")</f>
        <v>Open Location</v>
      </c>
    </row>
    <row r="4249" spans="1:40" x14ac:dyDescent="0.3">
      <c r="A4249" s="1">
        <v>46210.507523148146</v>
      </c>
      <c r="B4249" t="s">
        <v>40</v>
      </c>
      <c r="C4249" t="s">
        <v>41</v>
      </c>
      <c r="D4249" s="1">
        <v>46210.510416666664</v>
      </c>
      <c r="E4249" t="s">
        <v>42</v>
      </c>
      <c r="F4249" t="s">
        <v>83</v>
      </c>
      <c r="G4249">
        <v>0</v>
      </c>
      <c r="H4249" t="s">
        <v>43</v>
      </c>
      <c r="I4249" t="s">
        <v>2394</v>
      </c>
      <c r="J4249">
        <v>47</v>
      </c>
      <c r="K4249">
        <v>1</v>
      </c>
      <c r="L4249">
        <v>98</v>
      </c>
      <c r="M4249">
        <v>629.90002441000001</v>
      </c>
      <c r="N4249" t="s">
        <v>81</v>
      </c>
      <c r="O4249" t="s">
        <v>82</v>
      </c>
      <c r="P4249">
        <v>125</v>
      </c>
      <c r="Q4249" t="s">
        <v>43</v>
      </c>
      <c r="R4249">
        <v>0</v>
      </c>
      <c r="S4249">
        <v>0</v>
      </c>
      <c r="T4249">
        <v>-40</v>
      </c>
      <c r="U4249">
        <v>46</v>
      </c>
      <c r="V4249">
        <v>0</v>
      </c>
      <c r="W4249" t="s">
        <v>43</v>
      </c>
      <c r="X4249" t="s">
        <v>43</v>
      </c>
      <c r="Y4249" t="s">
        <v>43</v>
      </c>
      <c r="Z4249" t="s">
        <v>43</v>
      </c>
      <c r="AA4249" t="s">
        <v>43</v>
      </c>
      <c r="AB4249" t="s">
        <v>43</v>
      </c>
      <c r="AC4249" t="s">
        <v>43</v>
      </c>
      <c r="AD4249" t="s">
        <v>43</v>
      </c>
      <c r="AE4249" t="s">
        <v>43</v>
      </c>
      <c r="AF4249" t="s">
        <v>43</v>
      </c>
      <c r="AG4249" t="s">
        <v>43</v>
      </c>
      <c r="AH4249" t="s">
        <v>43</v>
      </c>
      <c r="AI4249" t="s">
        <v>43</v>
      </c>
      <c r="AJ4249">
        <v>1</v>
      </c>
      <c r="AK4249">
        <v>13</v>
      </c>
      <c r="AL4249">
        <v>50</v>
      </c>
      <c r="AM4249" t="s">
        <v>43</v>
      </c>
      <c r="AN4249" t="str">
        <f>HYPERLINK("https://www.google.com/maps?q=10.7630558,79.69436646","Open Location")</f>
        <v>Open Location</v>
      </c>
    </row>
    <row r="4250" spans="1:40" x14ac:dyDescent="0.3">
      <c r="A4250" s="1">
        <v>46210.507407407407</v>
      </c>
      <c r="B4250" t="s">
        <v>40</v>
      </c>
      <c r="C4250" t="s">
        <v>41</v>
      </c>
      <c r="D4250" s="1">
        <v>46210.510069444441</v>
      </c>
      <c r="E4250" t="s">
        <v>42</v>
      </c>
      <c r="F4250" t="s">
        <v>83</v>
      </c>
      <c r="G4250">
        <v>0</v>
      </c>
      <c r="H4250">
        <v>33107</v>
      </c>
      <c r="I4250" t="s">
        <v>2215</v>
      </c>
      <c r="J4250">
        <v>47</v>
      </c>
      <c r="K4250">
        <v>1</v>
      </c>
      <c r="L4250">
        <v>98</v>
      </c>
      <c r="M4250">
        <v>629.90002441000001</v>
      </c>
      <c r="N4250" t="s">
        <v>81</v>
      </c>
      <c r="O4250" t="s">
        <v>82</v>
      </c>
      <c r="P4250">
        <v>125</v>
      </c>
      <c r="Q4250" t="s">
        <v>82</v>
      </c>
      <c r="R4250">
        <v>0</v>
      </c>
      <c r="S4250">
        <v>0</v>
      </c>
      <c r="T4250">
        <v>-40</v>
      </c>
      <c r="U4250">
        <v>46</v>
      </c>
      <c r="V4250">
        <v>0</v>
      </c>
      <c r="W4250">
        <v>27</v>
      </c>
      <c r="X4250">
        <v>27</v>
      </c>
      <c r="Y4250">
        <v>1</v>
      </c>
      <c r="Z4250">
        <v>8</v>
      </c>
      <c r="AA4250">
        <v>24</v>
      </c>
      <c r="AB4250">
        <v>2</v>
      </c>
      <c r="AC4250">
        <v>4</v>
      </c>
      <c r="AD4250">
        <v>3.28500009</v>
      </c>
      <c r="AE4250">
        <v>1</v>
      </c>
      <c r="AF4250">
        <v>1</v>
      </c>
      <c r="AG4250">
        <v>3.28299999</v>
      </c>
      <c r="AH4250">
        <v>2</v>
      </c>
      <c r="AI4250">
        <v>3</v>
      </c>
      <c r="AJ4250">
        <v>1</v>
      </c>
      <c r="AK4250">
        <v>13</v>
      </c>
      <c r="AL4250">
        <v>50</v>
      </c>
      <c r="AM4250" t="s">
        <v>43</v>
      </c>
      <c r="AN4250" t="str">
        <f>HYPERLINK("https://www.google.com/maps?q=10.76305962,79.69437408","Open Location")</f>
        <v>Open Location</v>
      </c>
    </row>
    <row r="4251" spans="1:40" x14ac:dyDescent="0.3">
      <c r="A4251" s="1">
        <v>46210.507291666669</v>
      </c>
      <c r="B4251" t="s">
        <v>40</v>
      </c>
      <c r="C4251" t="s">
        <v>41</v>
      </c>
      <c r="D4251" s="1">
        <v>46210.510081018518</v>
      </c>
      <c r="E4251" t="s">
        <v>42</v>
      </c>
      <c r="F4251" t="s">
        <v>83</v>
      </c>
      <c r="G4251">
        <v>0</v>
      </c>
      <c r="H4251">
        <v>33107</v>
      </c>
      <c r="I4251" t="s">
        <v>43</v>
      </c>
      <c r="J4251">
        <v>47</v>
      </c>
      <c r="K4251">
        <v>1</v>
      </c>
      <c r="L4251">
        <v>98</v>
      </c>
      <c r="M4251">
        <v>629.79998779000005</v>
      </c>
      <c r="N4251" t="s">
        <v>81</v>
      </c>
      <c r="O4251" t="s">
        <v>82</v>
      </c>
      <c r="P4251">
        <v>125</v>
      </c>
      <c r="Q4251" t="s">
        <v>82</v>
      </c>
      <c r="R4251">
        <v>0</v>
      </c>
      <c r="S4251">
        <v>0</v>
      </c>
      <c r="T4251">
        <v>-40</v>
      </c>
      <c r="U4251">
        <v>46</v>
      </c>
      <c r="V4251">
        <v>0</v>
      </c>
      <c r="W4251">
        <v>27</v>
      </c>
      <c r="X4251">
        <v>27</v>
      </c>
      <c r="Y4251">
        <v>1</v>
      </c>
      <c r="Z4251">
        <v>8</v>
      </c>
      <c r="AA4251">
        <v>24</v>
      </c>
      <c r="AB4251">
        <v>2</v>
      </c>
      <c r="AC4251">
        <v>4</v>
      </c>
      <c r="AD4251">
        <v>3.28500009</v>
      </c>
      <c r="AE4251">
        <v>1</v>
      </c>
      <c r="AF4251">
        <v>1</v>
      </c>
      <c r="AG4251">
        <v>3.28299999</v>
      </c>
      <c r="AH4251">
        <v>2</v>
      </c>
      <c r="AI4251">
        <v>3</v>
      </c>
      <c r="AJ4251">
        <v>1</v>
      </c>
      <c r="AK4251">
        <v>13</v>
      </c>
      <c r="AL4251">
        <v>50</v>
      </c>
      <c r="AM4251" t="s">
        <v>43</v>
      </c>
      <c r="AN4251" t="s">
        <v>43</v>
      </c>
    </row>
    <row r="4252" spans="1:40" x14ac:dyDescent="0.3">
      <c r="A4252" s="1">
        <v>46210.507175925923</v>
      </c>
      <c r="B4252" t="s">
        <v>40</v>
      </c>
      <c r="C4252" t="s">
        <v>41</v>
      </c>
      <c r="D4252" s="1">
        <v>46210.510034722225</v>
      </c>
      <c r="E4252" t="s">
        <v>42</v>
      </c>
      <c r="F4252" t="s">
        <v>83</v>
      </c>
      <c r="G4252">
        <v>0</v>
      </c>
      <c r="H4252">
        <v>33107</v>
      </c>
      <c r="I4252" t="s">
        <v>2240</v>
      </c>
      <c r="J4252">
        <v>47</v>
      </c>
      <c r="K4252">
        <v>1</v>
      </c>
      <c r="L4252">
        <v>98</v>
      </c>
      <c r="M4252">
        <v>629.70001220999995</v>
      </c>
      <c r="N4252" t="s">
        <v>81</v>
      </c>
      <c r="O4252" t="s">
        <v>82</v>
      </c>
      <c r="P4252">
        <v>125</v>
      </c>
      <c r="Q4252" t="s">
        <v>82</v>
      </c>
      <c r="R4252">
        <v>0</v>
      </c>
      <c r="S4252">
        <v>0</v>
      </c>
      <c r="T4252">
        <v>-40</v>
      </c>
      <c r="U4252">
        <v>46</v>
      </c>
      <c r="V4252">
        <v>0</v>
      </c>
      <c r="W4252">
        <v>27</v>
      </c>
      <c r="X4252">
        <v>27</v>
      </c>
      <c r="Y4252">
        <v>1</v>
      </c>
      <c r="Z4252">
        <v>8</v>
      </c>
      <c r="AA4252">
        <v>24</v>
      </c>
      <c r="AB4252">
        <v>2</v>
      </c>
      <c r="AC4252">
        <v>4</v>
      </c>
      <c r="AD4252">
        <v>3.28500009</v>
      </c>
      <c r="AE4252">
        <v>1</v>
      </c>
      <c r="AF4252">
        <v>1</v>
      </c>
      <c r="AG4252">
        <v>3.28299999</v>
      </c>
      <c r="AH4252">
        <v>1</v>
      </c>
      <c r="AI4252">
        <v>30</v>
      </c>
      <c r="AJ4252">
        <v>1</v>
      </c>
      <c r="AK4252">
        <v>13</v>
      </c>
      <c r="AL4252">
        <v>50</v>
      </c>
      <c r="AM4252" t="s">
        <v>43</v>
      </c>
      <c r="AN4252" t="str">
        <f>HYPERLINK("https://www.google.com/maps?q=10.76306152,79.69437408","Open Location")</f>
        <v>Open Location</v>
      </c>
    </row>
    <row r="4253" spans="1:40" x14ac:dyDescent="0.3">
      <c r="A4253" s="1">
        <v>46210.507060185184</v>
      </c>
      <c r="B4253" t="s">
        <v>40</v>
      </c>
      <c r="C4253" t="s">
        <v>41</v>
      </c>
      <c r="D4253" s="1">
        <v>46210.50990740741</v>
      </c>
      <c r="E4253" t="s">
        <v>42</v>
      </c>
      <c r="F4253" t="s">
        <v>83</v>
      </c>
      <c r="G4253">
        <v>0</v>
      </c>
      <c r="H4253">
        <v>33107</v>
      </c>
      <c r="I4253" t="s">
        <v>2305</v>
      </c>
      <c r="J4253">
        <v>47</v>
      </c>
      <c r="K4253">
        <v>1</v>
      </c>
      <c r="L4253">
        <v>98</v>
      </c>
      <c r="M4253">
        <v>629.90002441000001</v>
      </c>
      <c r="N4253" t="s">
        <v>81</v>
      </c>
      <c r="O4253" t="s">
        <v>82</v>
      </c>
      <c r="P4253">
        <v>125</v>
      </c>
      <c r="Q4253" t="s">
        <v>82</v>
      </c>
      <c r="R4253">
        <v>0</v>
      </c>
      <c r="S4253">
        <v>0</v>
      </c>
      <c r="T4253">
        <v>-40</v>
      </c>
      <c r="U4253">
        <v>46</v>
      </c>
      <c r="V4253">
        <v>0</v>
      </c>
      <c r="W4253">
        <v>27</v>
      </c>
      <c r="X4253">
        <v>27</v>
      </c>
      <c r="Y4253">
        <v>1</v>
      </c>
      <c r="Z4253">
        <v>8</v>
      </c>
      <c r="AA4253">
        <v>24</v>
      </c>
      <c r="AB4253">
        <v>2</v>
      </c>
      <c r="AC4253">
        <v>4</v>
      </c>
      <c r="AD4253">
        <v>3.28500009</v>
      </c>
      <c r="AE4253">
        <v>1</v>
      </c>
      <c r="AF4253">
        <v>1</v>
      </c>
      <c r="AG4253">
        <v>3.28299999</v>
      </c>
      <c r="AH4253">
        <v>1</v>
      </c>
      <c r="AI4253">
        <v>30</v>
      </c>
      <c r="AJ4253">
        <v>1</v>
      </c>
      <c r="AK4253">
        <v>13</v>
      </c>
      <c r="AL4253">
        <v>50</v>
      </c>
      <c r="AM4253" t="s">
        <v>43</v>
      </c>
      <c r="AN4253" t="str">
        <f>HYPERLINK("https://www.google.com/maps?q=10.76306343,79.69437408","Open Location")</f>
        <v>Open Location</v>
      </c>
    </row>
    <row r="4254" spans="1:40" x14ac:dyDescent="0.3">
      <c r="A4254" s="1">
        <v>46210.506944444445</v>
      </c>
      <c r="B4254" t="s">
        <v>40</v>
      </c>
      <c r="C4254" t="s">
        <v>41</v>
      </c>
      <c r="D4254" s="1">
        <v>46210.509745370371</v>
      </c>
      <c r="E4254" t="s">
        <v>42</v>
      </c>
      <c r="F4254" t="s">
        <v>83</v>
      </c>
      <c r="G4254">
        <v>0</v>
      </c>
      <c r="H4254">
        <v>33107</v>
      </c>
      <c r="I4254" t="s">
        <v>2266</v>
      </c>
      <c r="J4254">
        <v>47</v>
      </c>
      <c r="K4254">
        <v>1</v>
      </c>
      <c r="L4254">
        <v>98</v>
      </c>
      <c r="M4254">
        <v>629.90002441000001</v>
      </c>
      <c r="N4254" t="s">
        <v>81</v>
      </c>
      <c r="O4254" t="s">
        <v>82</v>
      </c>
      <c r="P4254">
        <v>125</v>
      </c>
      <c r="Q4254" t="s">
        <v>82</v>
      </c>
      <c r="R4254">
        <v>0</v>
      </c>
      <c r="S4254">
        <v>0</v>
      </c>
      <c r="T4254">
        <v>-40</v>
      </c>
      <c r="U4254">
        <v>46</v>
      </c>
      <c r="V4254">
        <v>0</v>
      </c>
      <c r="W4254">
        <v>27</v>
      </c>
      <c r="X4254">
        <v>27</v>
      </c>
      <c r="Y4254">
        <v>1</v>
      </c>
      <c r="Z4254">
        <v>8</v>
      </c>
      <c r="AA4254">
        <v>24</v>
      </c>
      <c r="AB4254">
        <v>2</v>
      </c>
      <c r="AC4254">
        <v>4</v>
      </c>
      <c r="AD4254">
        <v>3.28500009</v>
      </c>
      <c r="AE4254">
        <v>1</v>
      </c>
      <c r="AF4254">
        <v>1</v>
      </c>
      <c r="AG4254">
        <v>3.28299999</v>
      </c>
      <c r="AH4254">
        <v>1</v>
      </c>
      <c r="AI4254">
        <v>30</v>
      </c>
      <c r="AJ4254">
        <v>1</v>
      </c>
      <c r="AK4254">
        <v>13</v>
      </c>
      <c r="AL4254">
        <v>50</v>
      </c>
      <c r="AM4254" t="s">
        <v>43</v>
      </c>
      <c r="AN4254" t="str">
        <f>HYPERLINK("https://www.google.com/maps?q=10.76306343,79.69436646","Open Location")</f>
        <v>Open Location</v>
      </c>
    </row>
    <row r="4255" spans="1:40" x14ac:dyDescent="0.3">
      <c r="A4255" s="1">
        <v>46210.506828703707</v>
      </c>
      <c r="B4255" t="s">
        <v>40</v>
      </c>
      <c r="C4255" t="s">
        <v>41</v>
      </c>
      <c r="D4255" s="1">
        <v>46210.509745370371</v>
      </c>
      <c r="E4255" t="s">
        <v>42</v>
      </c>
      <c r="F4255" t="s">
        <v>83</v>
      </c>
      <c r="G4255">
        <v>0</v>
      </c>
      <c r="H4255" t="s">
        <v>43</v>
      </c>
      <c r="I4255" t="s">
        <v>2301</v>
      </c>
      <c r="J4255">
        <v>47</v>
      </c>
      <c r="K4255">
        <v>1</v>
      </c>
      <c r="L4255">
        <v>98</v>
      </c>
      <c r="M4255">
        <v>629.70001220999995</v>
      </c>
      <c r="N4255" t="s">
        <v>81</v>
      </c>
      <c r="O4255" t="s">
        <v>82</v>
      </c>
      <c r="P4255">
        <v>125</v>
      </c>
      <c r="Q4255" t="s">
        <v>43</v>
      </c>
      <c r="R4255">
        <v>0</v>
      </c>
      <c r="S4255">
        <v>0</v>
      </c>
      <c r="T4255">
        <v>-40</v>
      </c>
      <c r="U4255">
        <v>46</v>
      </c>
      <c r="V4255">
        <v>0</v>
      </c>
      <c r="W4255">
        <v>27</v>
      </c>
      <c r="X4255">
        <v>27</v>
      </c>
      <c r="Y4255">
        <v>1</v>
      </c>
      <c r="Z4255">
        <v>8</v>
      </c>
      <c r="AA4255">
        <v>24</v>
      </c>
      <c r="AB4255">
        <v>2</v>
      </c>
      <c r="AC4255">
        <v>4</v>
      </c>
      <c r="AD4255">
        <v>3.28500009</v>
      </c>
      <c r="AE4255">
        <v>1</v>
      </c>
      <c r="AF4255">
        <v>1</v>
      </c>
      <c r="AG4255">
        <v>3.28299999</v>
      </c>
      <c r="AH4255">
        <v>1</v>
      </c>
      <c r="AI4255">
        <v>4</v>
      </c>
      <c r="AJ4255">
        <v>1</v>
      </c>
      <c r="AK4255">
        <v>13</v>
      </c>
      <c r="AL4255">
        <v>50</v>
      </c>
      <c r="AM4255" t="s">
        <v>43</v>
      </c>
      <c r="AN4255" t="str">
        <f>HYPERLINK("https://www.google.com/maps?q=10.76305962,79.69436646","Open Location")</f>
        <v>Open Location</v>
      </c>
    </row>
    <row r="4256" spans="1:40" x14ac:dyDescent="0.3">
      <c r="A4256" s="1">
        <v>46210.506712962961</v>
      </c>
      <c r="B4256" t="s">
        <v>40</v>
      </c>
      <c r="C4256" t="s">
        <v>41</v>
      </c>
      <c r="D4256" s="1">
        <v>46210.509560185186</v>
      </c>
      <c r="E4256" t="s">
        <v>42</v>
      </c>
      <c r="F4256" t="s">
        <v>83</v>
      </c>
      <c r="G4256">
        <v>0</v>
      </c>
      <c r="H4256">
        <v>33107</v>
      </c>
      <c r="I4256" t="s">
        <v>2302</v>
      </c>
      <c r="J4256">
        <v>47</v>
      </c>
      <c r="K4256">
        <v>1</v>
      </c>
      <c r="L4256">
        <v>98</v>
      </c>
      <c r="M4256">
        <v>629.79998779000005</v>
      </c>
      <c r="N4256" t="s">
        <v>81</v>
      </c>
      <c r="O4256" t="s">
        <v>82</v>
      </c>
      <c r="P4256">
        <v>125</v>
      </c>
      <c r="Q4256" t="s">
        <v>82</v>
      </c>
      <c r="R4256">
        <v>0</v>
      </c>
      <c r="S4256">
        <v>0</v>
      </c>
      <c r="T4256">
        <v>-40</v>
      </c>
      <c r="U4256">
        <v>46</v>
      </c>
      <c r="V4256">
        <v>0</v>
      </c>
      <c r="W4256">
        <v>27</v>
      </c>
      <c r="X4256">
        <v>27</v>
      </c>
      <c r="Y4256">
        <v>1</v>
      </c>
      <c r="Z4256">
        <v>8</v>
      </c>
      <c r="AA4256">
        <v>24</v>
      </c>
      <c r="AB4256">
        <v>2</v>
      </c>
      <c r="AC4256">
        <v>4</v>
      </c>
      <c r="AD4256">
        <v>3.28500009</v>
      </c>
      <c r="AE4256">
        <v>1</v>
      </c>
      <c r="AF4256">
        <v>1</v>
      </c>
      <c r="AG4256">
        <v>3.28299999</v>
      </c>
      <c r="AH4256">
        <v>1</v>
      </c>
      <c r="AI4256">
        <v>4</v>
      </c>
      <c r="AJ4256">
        <v>1</v>
      </c>
      <c r="AK4256">
        <v>13</v>
      </c>
      <c r="AL4256">
        <v>50</v>
      </c>
      <c r="AM4256" t="s">
        <v>43</v>
      </c>
      <c r="AN4256" t="str">
        <f>HYPERLINK("https://www.google.com/maps?q=10.76305771,79.69436646","Open Location")</f>
        <v>Open Location</v>
      </c>
    </row>
    <row r="4257" spans="1:40" x14ac:dyDescent="0.3">
      <c r="A4257" s="1">
        <v>46210.506597222222</v>
      </c>
      <c r="B4257" t="s">
        <v>40</v>
      </c>
      <c r="C4257" t="s">
        <v>41</v>
      </c>
      <c r="D4257" s="1">
        <v>46210.509641203702</v>
      </c>
      <c r="E4257" t="s">
        <v>42</v>
      </c>
      <c r="F4257" t="s">
        <v>83</v>
      </c>
      <c r="G4257">
        <v>0</v>
      </c>
      <c r="H4257">
        <v>33107</v>
      </c>
      <c r="I4257" t="s">
        <v>43</v>
      </c>
      <c r="J4257">
        <v>47</v>
      </c>
      <c r="K4257">
        <v>1</v>
      </c>
      <c r="L4257">
        <v>98</v>
      </c>
      <c r="M4257">
        <v>629.59997558999999</v>
      </c>
      <c r="N4257" t="s">
        <v>81</v>
      </c>
      <c r="O4257" t="s">
        <v>82</v>
      </c>
      <c r="P4257">
        <v>125</v>
      </c>
      <c r="Q4257" t="s">
        <v>82</v>
      </c>
      <c r="R4257">
        <v>0</v>
      </c>
      <c r="S4257">
        <v>0</v>
      </c>
      <c r="T4257">
        <v>-40</v>
      </c>
      <c r="U4257">
        <v>46</v>
      </c>
      <c r="V4257">
        <v>0</v>
      </c>
      <c r="W4257">
        <v>27</v>
      </c>
      <c r="X4257">
        <v>27</v>
      </c>
      <c r="Y4257">
        <v>1</v>
      </c>
      <c r="Z4257">
        <v>8</v>
      </c>
      <c r="AA4257">
        <v>24</v>
      </c>
      <c r="AB4257">
        <v>2</v>
      </c>
      <c r="AC4257">
        <v>4</v>
      </c>
      <c r="AD4257">
        <v>3.28500009</v>
      </c>
      <c r="AE4257">
        <v>1</v>
      </c>
      <c r="AF4257">
        <v>1</v>
      </c>
      <c r="AG4257">
        <v>3.28299999</v>
      </c>
      <c r="AH4257">
        <v>1</v>
      </c>
      <c r="AI4257">
        <v>4</v>
      </c>
      <c r="AJ4257">
        <v>1</v>
      </c>
      <c r="AK4257">
        <v>13</v>
      </c>
      <c r="AL4257">
        <v>50</v>
      </c>
      <c r="AM4257" t="s">
        <v>43</v>
      </c>
      <c r="AN4257" t="s">
        <v>43</v>
      </c>
    </row>
    <row r="4258" spans="1:40" x14ac:dyDescent="0.3">
      <c r="A4258" s="1">
        <v>46210.506481481483</v>
      </c>
      <c r="B4258" t="s">
        <v>40</v>
      </c>
      <c r="C4258" t="s">
        <v>41</v>
      </c>
      <c r="D4258" s="1">
        <v>46210.509212962963</v>
      </c>
      <c r="E4258" t="s">
        <v>42</v>
      </c>
      <c r="F4258" t="s">
        <v>83</v>
      </c>
      <c r="G4258">
        <v>0</v>
      </c>
      <c r="H4258">
        <v>33107</v>
      </c>
      <c r="I4258" t="s">
        <v>2395</v>
      </c>
      <c r="J4258">
        <v>47</v>
      </c>
      <c r="K4258">
        <v>1</v>
      </c>
      <c r="L4258">
        <v>98</v>
      </c>
      <c r="M4258">
        <v>629.70001220999995</v>
      </c>
      <c r="N4258" t="s">
        <v>81</v>
      </c>
      <c r="O4258" t="s">
        <v>82</v>
      </c>
      <c r="P4258">
        <v>125</v>
      </c>
      <c r="Q4258" t="s">
        <v>82</v>
      </c>
      <c r="R4258">
        <v>0</v>
      </c>
      <c r="S4258">
        <v>0</v>
      </c>
      <c r="T4258">
        <v>-40</v>
      </c>
      <c r="U4258">
        <v>46</v>
      </c>
      <c r="V4258">
        <v>0</v>
      </c>
      <c r="W4258">
        <v>27</v>
      </c>
      <c r="X4258">
        <v>27</v>
      </c>
      <c r="Y4258">
        <v>1</v>
      </c>
      <c r="Z4258">
        <v>8</v>
      </c>
      <c r="AA4258">
        <v>24</v>
      </c>
      <c r="AB4258">
        <v>2</v>
      </c>
      <c r="AC4258">
        <v>4</v>
      </c>
      <c r="AD4258">
        <v>3.28500009</v>
      </c>
      <c r="AE4258">
        <v>1</v>
      </c>
      <c r="AF4258">
        <v>1</v>
      </c>
      <c r="AG4258">
        <v>3.28299999</v>
      </c>
      <c r="AH4258">
        <v>1</v>
      </c>
      <c r="AI4258">
        <v>4</v>
      </c>
      <c r="AJ4258">
        <v>1</v>
      </c>
      <c r="AK4258">
        <v>13</v>
      </c>
      <c r="AL4258">
        <v>50</v>
      </c>
      <c r="AM4258" t="s">
        <v>43</v>
      </c>
      <c r="AN4258" t="str">
        <f>HYPERLINK("https://www.google.com/maps?q=10.76305485,79.69436646","Open Location")</f>
        <v>Open Location</v>
      </c>
    </row>
    <row r="4259" spans="1:40" x14ac:dyDescent="0.3">
      <c r="A4259" s="1">
        <v>46210.506365740737</v>
      </c>
      <c r="B4259" t="s">
        <v>40</v>
      </c>
      <c r="C4259" t="s">
        <v>41</v>
      </c>
      <c r="D4259" s="1">
        <v>46210.50922453704</v>
      </c>
      <c r="E4259" t="s">
        <v>42</v>
      </c>
      <c r="F4259" t="s">
        <v>83</v>
      </c>
      <c r="G4259">
        <v>0</v>
      </c>
      <c r="H4259">
        <v>33107</v>
      </c>
      <c r="I4259" t="s">
        <v>2395</v>
      </c>
      <c r="J4259">
        <v>47</v>
      </c>
      <c r="K4259">
        <v>1</v>
      </c>
      <c r="L4259">
        <v>98</v>
      </c>
      <c r="M4259">
        <v>629.79998779000005</v>
      </c>
      <c r="N4259" t="s">
        <v>81</v>
      </c>
      <c r="O4259" t="s">
        <v>82</v>
      </c>
      <c r="P4259">
        <v>125</v>
      </c>
      <c r="Q4259" t="s">
        <v>82</v>
      </c>
      <c r="R4259">
        <v>0</v>
      </c>
      <c r="S4259">
        <v>0</v>
      </c>
      <c r="T4259">
        <v>-40</v>
      </c>
      <c r="U4259">
        <v>46</v>
      </c>
      <c r="V4259">
        <v>0</v>
      </c>
      <c r="W4259">
        <v>27</v>
      </c>
      <c r="X4259">
        <v>27</v>
      </c>
      <c r="Y4259">
        <v>1</v>
      </c>
      <c r="Z4259">
        <v>8</v>
      </c>
      <c r="AA4259">
        <v>24</v>
      </c>
      <c r="AB4259">
        <v>2</v>
      </c>
      <c r="AC4259">
        <v>4</v>
      </c>
      <c r="AD4259">
        <v>3.28500009</v>
      </c>
      <c r="AE4259">
        <v>1</v>
      </c>
      <c r="AF4259">
        <v>1</v>
      </c>
      <c r="AG4259">
        <v>3.28299999</v>
      </c>
      <c r="AH4259">
        <v>1</v>
      </c>
      <c r="AI4259">
        <v>4</v>
      </c>
      <c r="AJ4259">
        <v>1</v>
      </c>
      <c r="AK4259">
        <v>13</v>
      </c>
      <c r="AL4259">
        <v>50</v>
      </c>
      <c r="AM4259" t="s">
        <v>43</v>
      </c>
      <c r="AN4259" t="str">
        <f>HYPERLINK("https://www.google.com/maps?q=10.76305485,79.69436646","Open Location")</f>
        <v>Open Location</v>
      </c>
    </row>
    <row r="4260" spans="1:40" x14ac:dyDescent="0.3">
      <c r="A4260" s="1">
        <v>46210.506249999999</v>
      </c>
      <c r="B4260" t="s">
        <v>40</v>
      </c>
      <c r="C4260" t="s">
        <v>41</v>
      </c>
      <c r="D4260" s="1">
        <v>46210.509097222224</v>
      </c>
      <c r="E4260" t="s">
        <v>42</v>
      </c>
      <c r="F4260" t="s">
        <v>83</v>
      </c>
      <c r="G4260">
        <v>0</v>
      </c>
      <c r="H4260">
        <v>33107</v>
      </c>
      <c r="I4260" t="s">
        <v>2396</v>
      </c>
      <c r="J4260">
        <v>47</v>
      </c>
      <c r="K4260">
        <v>1</v>
      </c>
      <c r="L4260">
        <v>98</v>
      </c>
      <c r="M4260">
        <v>629.79998779000005</v>
      </c>
      <c r="N4260" t="s">
        <v>81</v>
      </c>
      <c r="O4260" t="s">
        <v>82</v>
      </c>
      <c r="P4260">
        <v>125</v>
      </c>
      <c r="Q4260" t="s">
        <v>82</v>
      </c>
      <c r="R4260">
        <v>0</v>
      </c>
      <c r="S4260">
        <v>0</v>
      </c>
      <c r="T4260">
        <v>-40</v>
      </c>
      <c r="U4260">
        <v>46</v>
      </c>
      <c r="V4260">
        <v>0</v>
      </c>
      <c r="W4260">
        <v>27</v>
      </c>
      <c r="X4260">
        <v>27</v>
      </c>
      <c r="Y4260">
        <v>1</v>
      </c>
      <c r="Z4260">
        <v>8</v>
      </c>
      <c r="AA4260">
        <v>24</v>
      </c>
      <c r="AB4260">
        <v>2</v>
      </c>
      <c r="AC4260">
        <v>4</v>
      </c>
      <c r="AD4260">
        <v>3.28500009</v>
      </c>
      <c r="AE4260">
        <v>1</v>
      </c>
      <c r="AF4260">
        <v>1</v>
      </c>
      <c r="AG4260">
        <v>3.28299999</v>
      </c>
      <c r="AH4260">
        <v>1</v>
      </c>
      <c r="AI4260">
        <v>4</v>
      </c>
      <c r="AJ4260">
        <v>1</v>
      </c>
      <c r="AK4260">
        <v>13</v>
      </c>
      <c r="AL4260">
        <v>50</v>
      </c>
      <c r="AM4260" t="s">
        <v>43</v>
      </c>
      <c r="AN4260" t="str">
        <f>HYPERLINK("https://www.google.com/maps?q=10.76305676,79.69436646","Open Location")</f>
        <v>Open Location</v>
      </c>
    </row>
    <row r="4261" spans="1:40" x14ac:dyDescent="0.3">
      <c r="A4261" s="1">
        <v>46210.50613425926</v>
      </c>
      <c r="B4261" t="s">
        <v>40</v>
      </c>
      <c r="C4261" t="s">
        <v>41</v>
      </c>
      <c r="D4261" s="1">
        <v>46210.509143518517</v>
      </c>
      <c r="E4261" t="s">
        <v>42</v>
      </c>
      <c r="F4261" t="s">
        <v>83</v>
      </c>
      <c r="G4261">
        <v>0</v>
      </c>
      <c r="H4261">
        <v>33107</v>
      </c>
      <c r="I4261" t="s">
        <v>2266</v>
      </c>
      <c r="J4261">
        <v>47</v>
      </c>
      <c r="K4261">
        <v>1</v>
      </c>
      <c r="L4261">
        <v>98</v>
      </c>
      <c r="M4261">
        <v>629.70001220999995</v>
      </c>
      <c r="N4261" t="s">
        <v>81</v>
      </c>
      <c r="O4261" t="s">
        <v>82</v>
      </c>
      <c r="P4261">
        <v>125</v>
      </c>
      <c r="Q4261" t="s">
        <v>82</v>
      </c>
      <c r="R4261">
        <v>0</v>
      </c>
      <c r="S4261">
        <v>0</v>
      </c>
      <c r="T4261">
        <v>-40</v>
      </c>
      <c r="U4261">
        <v>46</v>
      </c>
      <c r="V4261">
        <v>0</v>
      </c>
      <c r="W4261" t="s">
        <v>43</v>
      </c>
      <c r="X4261" t="s">
        <v>43</v>
      </c>
      <c r="Y4261" t="s">
        <v>43</v>
      </c>
      <c r="Z4261" t="s">
        <v>43</v>
      </c>
      <c r="AA4261" t="s">
        <v>43</v>
      </c>
      <c r="AB4261" t="s">
        <v>43</v>
      </c>
      <c r="AC4261" t="s">
        <v>43</v>
      </c>
      <c r="AD4261">
        <v>3.28500009</v>
      </c>
      <c r="AE4261">
        <v>1</v>
      </c>
      <c r="AF4261">
        <v>1</v>
      </c>
      <c r="AG4261">
        <v>3.28299999</v>
      </c>
      <c r="AH4261">
        <v>1</v>
      </c>
      <c r="AI4261">
        <v>4</v>
      </c>
      <c r="AJ4261">
        <v>1</v>
      </c>
      <c r="AK4261">
        <v>13</v>
      </c>
      <c r="AL4261">
        <v>50</v>
      </c>
      <c r="AM4261" t="s">
        <v>43</v>
      </c>
      <c r="AN4261" t="str">
        <f>HYPERLINK("https://www.google.com/maps?q=10.76306343,79.69436646","Open Location")</f>
        <v>Open Location</v>
      </c>
    </row>
    <row r="4262" spans="1:40" x14ac:dyDescent="0.3">
      <c r="A4262" s="1">
        <v>46210.506018518521</v>
      </c>
      <c r="B4262" t="s">
        <v>40</v>
      </c>
      <c r="C4262" t="s">
        <v>41</v>
      </c>
      <c r="D4262" s="1">
        <v>46210.508888888886</v>
      </c>
      <c r="E4262" t="s">
        <v>42</v>
      </c>
      <c r="F4262" t="s">
        <v>83</v>
      </c>
      <c r="G4262">
        <v>0</v>
      </c>
      <c r="H4262">
        <v>33107</v>
      </c>
      <c r="I4262" t="s">
        <v>43</v>
      </c>
      <c r="J4262">
        <v>47</v>
      </c>
      <c r="K4262">
        <v>1</v>
      </c>
      <c r="L4262">
        <v>98</v>
      </c>
      <c r="M4262">
        <v>629.90002441000001</v>
      </c>
      <c r="N4262" t="s">
        <v>81</v>
      </c>
      <c r="O4262" t="s">
        <v>82</v>
      </c>
      <c r="P4262">
        <v>125</v>
      </c>
      <c r="Q4262" t="s">
        <v>82</v>
      </c>
      <c r="R4262">
        <v>0</v>
      </c>
      <c r="S4262">
        <v>0</v>
      </c>
      <c r="T4262">
        <v>-40</v>
      </c>
      <c r="U4262">
        <v>46</v>
      </c>
      <c r="V4262">
        <v>0</v>
      </c>
      <c r="W4262">
        <v>27</v>
      </c>
      <c r="X4262">
        <v>27</v>
      </c>
      <c r="Y4262">
        <v>1</v>
      </c>
      <c r="Z4262">
        <v>8</v>
      </c>
      <c r="AA4262">
        <v>24</v>
      </c>
      <c r="AB4262">
        <v>2</v>
      </c>
      <c r="AC4262">
        <v>5</v>
      </c>
      <c r="AD4262">
        <v>3.28500009</v>
      </c>
      <c r="AE4262">
        <v>1</v>
      </c>
      <c r="AF4262">
        <v>29</v>
      </c>
      <c r="AG4262">
        <v>3.28299999</v>
      </c>
      <c r="AH4262">
        <v>1</v>
      </c>
      <c r="AI4262">
        <v>4</v>
      </c>
      <c r="AJ4262">
        <v>1</v>
      </c>
      <c r="AK4262">
        <v>13</v>
      </c>
      <c r="AL4262">
        <v>50</v>
      </c>
      <c r="AM4262" t="s">
        <v>43</v>
      </c>
      <c r="AN4262" t="s">
        <v>43</v>
      </c>
    </row>
    <row r="4263" spans="1:40" x14ac:dyDescent="0.3">
      <c r="A4263" s="1">
        <v>46210.505902777775</v>
      </c>
      <c r="B4263" t="s">
        <v>40</v>
      </c>
      <c r="C4263" t="s">
        <v>41</v>
      </c>
      <c r="D4263" s="1">
        <v>46210.508946759262</v>
      </c>
      <c r="E4263" t="s">
        <v>42</v>
      </c>
      <c r="F4263" t="s">
        <v>83</v>
      </c>
      <c r="G4263">
        <v>0</v>
      </c>
      <c r="H4263">
        <v>33107</v>
      </c>
      <c r="I4263" t="s">
        <v>2267</v>
      </c>
      <c r="J4263">
        <v>47</v>
      </c>
      <c r="K4263">
        <v>1</v>
      </c>
      <c r="L4263">
        <v>98</v>
      </c>
      <c r="M4263">
        <v>629.79998779000005</v>
      </c>
      <c r="N4263" t="s">
        <v>81</v>
      </c>
      <c r="O4263" t="s">
        <v>82</v>
      </c>
      <c r="P4263">
        <v>125</v>
      </c>
      <c r="Q4263" t="s">
        <v>82</v>
      </c>
      <c r="R4263">
        <v>0</v>
      </c>
      <c r="S4263">
        <v>0</v>
      </c>
      <c r="T4263">
        <v>-40</v>
      </c>
      <c r="U4263">
        <v>46</v>
      </c>
      <c r="V4263">
        <v>0</v>
      </c>
      <c r="W4263">
        <v>27</v>
      </c>
      <c r="X4263">
        <v>27</v>
      </c>
      <c r="Y4263">
        <v>1</v>
      </c>
      <c r="Z4263">
        <v>8</v>
      </c>
      <c r="AA4263">
        <v>24</v>
      </c>
      <c r="AB4263">
        <v>2</v>
      </c>
      <c r="AC4263">
        <v>5</v>
      </c>
      <c r="AD4263">
        <v>3.28500009</v>
      </c>
      <c r="AE4263">
        <v>1</v>
      </c>
      <c r="AF4263">
        <v>29</v>
      </c>
      <c r="AG4263">
        <v>3.28299999</v>
      </c>
      <c r="AH4263">
        <v>1</v>
      </c>
      <c r="AI4263">
        <v>4</v>
      </c>
      <c r="AJ4263">
        <v>1</v>
      </c>
      <c r="AK4263">
        <v>13</v>
      </c>
      <c r="AL4263">
        <v>50</v>
      </c>
      <c r="AM4263" t="s">
        <v>43</v>
      </c>
      <c r="AN4263" t="str">
        <f>HYPERLINK("https://www.google.com/maps?q=10.76306438,79.69436646","Open Location")</f>
        <v>Open Location</v>
      </c>
    </row>
    <row r="4264" spans="1:40" x14ac:dyDescent="0.3">
      <c r="A4264" s="1">
        <v>46210.505787037036</v>
      </c>
      <c r="B4264" t="s">
        <v>40</v>
      </c>
      <c r="C4264" t="s">
        <v>41</v>
      </c>
      <c r="D4264" s="1">
        <v>46210.508692129632</v>
      </c>
      <c r="E4264" t="s">
        <v>42</v>
      </c>
      <c r="F4264" t="s">
        <v>83</v>
      </c>
      <c r="G4264">
        <v>0</v>
      </c>
      <c r="H4264">
        <v>33107</v>
      </c>
      <c r="I4264" t="s">
        <v>2323</v>
      </c>
      <c r="J4264">
        <v>47</v>
      </c>
      <c r="K4264">
        <v>1</v>
      </c>
      <c r="L4264">
        <v>98</v>
      </c>
      <c r="M4264">
        <v>629.79998779000005</v>
      </c>
      <c r="N4264" t="s">
        <v>81</v>
      </c>
      <c r="O4264" t="s">
        <v>82</v>
      </c>
      <c r="P4264">
        <v>125</v>
      </c>
      <c r="Q4264" t="s">
        <v>82</v>
      </c>
      <c r="R4264">
        <v>0</v>
      </c>
      <c r="S4264">
        <v>0</v>
      </c>
      <c r="T4264">
        <v>-40</v>
      </c>
      <c r="U4264">
        <v>46</v>
      </c>
      <c r="V4264">
        <v>0</v>
      </c>
      <c r="W4264">
        <v>27</v>
      </c>
      <c r="X4264">
        <v>27</v>
      </c>
      <c r="Y4264">
        <v>1</v>
      </c>
      <c r="Z4264">
        <v>8</v>
      </c>
      <c r="AA4264">
        <v>24</v>
      </c>
      <c r="AB4264">
        <v>2</v>
      </c>
      <c r="AC4264">
        <v>5</v>
      </c>
      <c r="AD4264">
        <v>3.28500009</v>
      </c>
      <c r="AE4264">
        <v>1</v>
      </c>
      <c r="AF4264">
        <v>29</v>
      </c>
      <c r="AG4264">
        <v>3.28299999</v>
      </c>
      <c r="AH4264">
        <v>1</v>
      </c>
      <c r="AI4264">
        <v>4</v>
      </c>
      <c r="AJ4264">
        <v>1</v>
      </c>
      <c r="AK4264">
        <v>13</v>
      </c>
      <c r="AL4264">
        <v>50</v>
      </c>
      <c r="AM4264" t="s">
        <v>43</v>
      </c>
      <c r="AN4264" t="str">
        <f>HYPERLINK("https://www.google.com/maps?q=10.76307201,79.69435883","Open Location")</f>
        <v>Open Location</v>
      </c>
    </row>
    <row r="4265" spans="1:40" x14ac:dyDescent="0.3">
      <c r="A4265" s="1">
        <v>46210.505671296298</v>
      </c>
      <c r="B4265" t="s">
        <v>40</v>
      </c>
      <c r="C4265" t="s">
        <v>41</v>
      </c>
      <c r="D4265" s="1">
        <v>46210.50849537037</v>
      </c>
      <c r="E4265" t="s">
        <v>42</v>
      </c>
      <c r="F4265" t="s">
        <v>83</v>
      </c>
      <c r="G4265">
        <v>0</v>
      </c>
      <c r="H4265">
        <v>33107</v>
      </c>
      <c r="I4265" t="s">
        <v>43</v>
      </c>
      <c r="J4265">
        <v>47</v>
      </c>
      <c r="K4265">
        <v>1</v>
      </c>
      <c r="L4265">
        <v>98</v>
      </c>
      <c r="M4265">
        <v>629.79998779000005</v>
      </c>
      <c r="N4265" t="s">
        <v>81</v>
      </c>
      <c r="O4265" t="s">
        <v>82</v>
      </c>
      <c r="P4265">
        <v>125</v>
      </c>
      <c r="Q4265" t="s">
        <v>82</v>
      </c>
      <c r="R4265">
        <v>0</v>
      </c>
      <c r="S4265">
        <v>0</v>
      </c>
      <c r="T4265">
        <v>-40</v>
      </c>
      <c r="U4265">
        <v>46</v>
      </c>
      <c r="V4265">
        <v>0</v>
      </c>
      <c r="W4265" t="s">
        <v>43</v>
      </c>
      <c r="X4265" t="s">
        <v>43</v>
      </c>
      <c r="Y4265" t="s">
        <v>43</v>
      </c>
      <c r="Z4265" t="s">
        <v>43</v>
      </c>
      <c r="AA4265" t="s">
        <v>43</v>
      </c>
      <c r="AB4265" t="s">
        <v>43</v>
      </c>
      <c r="AC4265" t="s">
        <v>43</v>
      </c>
      <c r="AD4265">
        <v>3.28500009</v>
      </c>
      <c r="AE4265">
        <v>1</v>
      </c>
      <c r="AF4265">
        <v>29</v>
      </c>
      <c r="AG4265">
        <v>3.2820000600000001</v>
      </c>
      <c r="AH4265">
        <v>2</v>
      </c>
      <c r="AI4265">
        <v>38</v>
      </c>
      <c r="AJ4265">
        <v>1</v>
      </c>
      <c r="AK4265">
        <v>14</v>
      </c>
      <c r="AL4265">
        <v>50</v>
      </c>
      <c r="AM4265" t="s">
        <v>43</v>
      </c>
      <c r="AN4265" t="s">
        <v>43</v>
      </c>
    </row>
    <row r="4266" spans="1:40" x14ac:dyDescent="0.3">
      <c r="A4266" s="1">
        <v>46210.505555555559</v>
      </c>
      <c r="B4266" t="s">
        <v>40</v>
      </c>
      <c r="C4266" t="s">
        <v>41</v>
      </c>
      <c r="D4266" s="1">
        <v>46210.508240740739</v>
      </c>
      <c r="E4266" t="s">
        <v>42</v>
      </c>
      <c r="F4266" t="s">
        <v>83</v>
      </c>
      <c r="G4266">
        <v>0</v>
      </c>
      <c r="H4266">
        <v>33107</v>
      </c>
      <c r="I4266" t="s">
        <v>2397</v>
      </c>
      <c r="J4266">
        <v>47</v>
      </c>
      <c r="K4266">
        <v>1</v>
      </c>
      <c r="L4266">
        <v>98</v>
      </c>
      <c r="M4266">
        <v>629.70001220999995</v>
      </c>
      <c r="N4266" t="s">
        <v>81</v>
      </c>
      <c r="O4266" t="s">
        <v>82</v>
      </c>
      <c r="P4266">
        <v>125</v>
      </c>
      <c r="Q4266" t="s">
        <v>82</v>
      </c>
      <c r="R4266">
        <v>0</v>
      </c>
      <c r="S4266">
        <v>0</v>
      </c>
      <c r="T4266">
        <v>-40</v>
      </c>
      <c r="U4266">
        <v>46</v>
      </c>
      <c r="V4266">
        <v>0</v>
      </c>
      <c r="W4266">
        <v>27</v>
      </c>
      <c r="X4266">
        <v>27</v>
      </c>
      <c r="Y4266">
        <v>1</v>
      </c>
      <c r="Z4266">
        <v>8</v>
      </c>
      <c r="AA4266">
        <v>24</v>
      </c>
      <c r="AB4266">
        <v>2</v>
      </c>
      <c r="AC4266">
        <v>5</v>
      </c>
      <c r="AD4266">
        <v>3.28500009</v>
      </c>
      <c r="AE4266">
        <v>1</v>
      </c>
      <c r="AF4266">
        <v>29</v>
      </c>
      <c r="AG4266">
        <v>3.2820000600000001</v>
      </c>
      <c r="AH4266">
        <v>2</v>
      </c>
      <c r="AI4266">
        <v>28</v>
      </c>
      <c r="AJ4266">
        <v>1</v>
      </c>
      <c r="AK4266">
        <v>15</v>
      </c>
      <c r="AL4266">
        <v>50</v>
      </c>
      <c r="AM4266" t="s">
        <v>43</v>
      </c>
      <c r="AN4266" t="str">
        <f>HYPERLINK("https://www.google.com/maps?q=10.76308727,79.69436646","Open Location")</f>
        <v>Open Location</v>
      </c>
    </row>
    <row r="4267" spans="1:40" x14ac:dyDescent="0.3">
      <c r="A4267" s="1">
        <v>46210.505439814813</v>
      </c>
      <c r="B4267" t="s">
        <v>40</v>
      </c>
      <c r="C4267" t="s">
        <v>41</v>
      </c>
      <c r="D4267" s="1">
        <v>46210.508240740739</v>
      </c>
      <c r="E4267" t="s">
        <v>43</v>
      </c>
      <c r="F4267" t="s">
        <v>83</v>
      </c>
      <c r="G4267">
        <v>0</v>
      </c>
      <c r="H4267">
        <v>33107</v>
      </c>
      <c r="I4267" t="s">
        <v>2398</v>
      </c>
      <c r="J4267">
        <v>47</v>
      </c>
      <c r="K4267">
        <v>1</v>
      </c>
      <c r="L4267">
        <v>98</v>
      </c>
      <c r="M4267">
        <v>629.59997558999999</v>
      </c>
      <c r="N4267" t="s">
        <v>81</v>
      </c>
      <c r="O4267" t="s">
        <v>82</v>
      </c>
      <c r="P4267">
        <v>125</v>
      </c>
      <c r="Q4267" t="s">
        <v>82</v>
      </c>
      <c r="R4267">
        <v>0</v>
      </c>
      <c r="S4267">
        <v>0</v>
      </c>
      <c r="T4267">
        <v>-40</v>
      </c>
      <c r="U4267">
        <v>46</v>
      </c>
      <c r="V4267">
        <v>0</v>
      </c>
      <c r="W4267" t="s">
        <v>43</v>
      </c>
      <c r="X4267" t="s">
        <v>43</v>
      </c>
      <c r="Y4267" t="s">
        <v>43</v>
      </c>
      <c r="Z4267" t="s">
        <v>43</v>
      </c>
      <c r="AA4267" t="s">
        <v>43</v>
      </c>
      <c r="AB4267" t="s">
        <v>43</v>
      </c>
      <c r="AC4267" t="s">
        <v>43</v>
      </c>
      <c r="AD4267">
        <v>3.28500009</v>
      </c>
      <c r="AE4267">
        <v>1</v>
      </c>
      <c r="AF4267">
        <v>29</v>
      </c>
      <c r="AG4267">
        <v>3.2820000600000001</v>
      </c>
      <c r="AH4267">
        <v>2</v>
      </c>
      <c r="AI4267">
        <v>28</v>
      </c>
      <c r="AJ4267">
        <v>1</v>
      </c>
      <c r="AK4267">
        <v>15</v>
      </c>
      <c r="AL4267">
        <v>50</v>
      </c>
      <c r="AM4267" t="s">
        <v>43</v>
      </c>
      <c r="AN4267" t="str">
        <f>HYPERLINK("https://www.google.com/maps?q=10.76308823,79.69436646","Open Location")</f>
        <v>Open Location</v>
      </c>
    </row>
    <row r="4268" spans="1:40" x14ac:dyDescent="0.3">
      <c r="A4268" s="1">
        <v>46210.505324074074</v>
      </c>
      <c r="B4268" t="s">
        <v>40</v>
      </c>
      <c r="C4268" t="s">
        <v>41</v>
      </c>
      <c r="D4268" s="1">
        <v>46210.508101851854</v>
      </c>
      <c r="E4268" t="s">
        <v>42</v>
      </c>
      <c r="F4268" t="s">
        <v>83</v>
      </c>
      <c r="G4268">
        <v>0</v>
      </c>
      <c r="H4268">
        <v>33107</v>
      </c>
      <c r="I4268" t="s">
        <v>43</v>
      </c>
      <c r="J4268">
        <v>47</v>
      </c>
      <c r="K4268">
        <v>1</v>
      </c>
      <c r="L4268">
        <v>98</v>
      </c>
      <c r="M4268">
        <v>629.70001220999995</v>
      </c>
      <c r="N4268" t="s">
        <v>81</v>
      </c>
      <c r="O4268" t="s">
        <v>82</v>
      </c>
      <c r="P4268">
        <v>125</v>
      </c>
      <c r="Q4268" t="s">
        <v>82</v>
      </c>
      <c r="R4268">
        <v>0</v>
      </c>
      <c r="S4268">
        <v>0</v>
      </c>
      <c r="T4268">
        <v>-40</v>
      </c>
      <c r="U4268">
        <v>46</v>
      </c>
      <c r="V4268">
        <v>0</v>
      </c>
      <c r="W4268">
        <v>27</v>
      </c>
      <c r="X4268">
        <v>27</v>
      </c>
      <c r="Y4268">
        <v>1</v>
      </c>
      <c r="Z4268">
        <v>8</v>
      </c>
      <c r="AA4268">
        <v>24</v>
      </c>
      <c r="AB4268">
        <v>2</v>
      </c>
      <c r="AC4268">
        <v>5</v>
      </c>
      <c r="AD4268">
        <v>3.28500009</v>
      </c>
      <c r="AE4268">
        <v>1</v>
      </c>
      <c r="AF4268">
        <v>46</v>
      </c>
      <c r="AG4268">
        <v>3.2820000600000001</v>
      </c>
      <c r="AH4268">
        <v>2</v>
      </c>
      <c r="AI4268">
        <v>12</v>
      </c>
      <c r="AJ4268">
        <v>1</v>
      </c>
      <c r="AK4268">
        <v>15</v>
      </c>
      <c r="AL4268">
        <v>50</v>
      </c>
      <c r="AM4268" t="s">
        <v>43</v>
      </c>
      <c r="AN4268" t="s">
        <v>43</v>
      </c>
    </row>
    <row r="4269" spans="1:40" x14ac:dyDescent="0.3">
      <c r="A4269" s="1">
        <v>46210.505208333336</v>
      </c>
      <c r="B4269" t="s">
        <v>40</v>
      </c>
      <c r="C4269" t="s">
        <v>41</v>
      </c>
      <c r="D4269" s="1">
        <v>46210.508101851854</v>
      </c>
      <c r="E4269" t="s">
        <v>42</v>
      </c>
      <c r="F4269" t="s">
        <v>83</v>
      </c>
      <c r="G4269">
        <v>0</v>
      </c>
      <c r="H4269">
        <v>33107</v>
      </c>
      <c r="I4269" t="s">
        <v>43</v>
      </c>
      <c r="J4269">
        <v>47</v>
      </c>
      <c r="K4269">
        <v>1</v>
      </c>
      <c r="L4269">
        <v>98</v>
      </c>
      <c r="M4269">
        <v>629.5</v>
      </c>
      <c r="N4269" t="s">
        <v>81</v>
      </c>
      <c r="O4269" t="s">
        <v>82</v>
      </c>
      <c r="P4269">
        <v>125</v>
      </c>
      <c r="Q4269" t="s">
        <v>82</v>
      </c>
      <c r="R4269">
        <v>0</v>
      </c>
      <c r="S4269">
        <v>0</v>
      </c>
      <c r="T4269">
        <v>-40</v>
      </c>
      <c r="U4269">
        <v>46</v>
      </c>
      <c r="V4269">
        <v>0</v>
      </c>
      <c r="W4269" t="s">
        <v>43</v>
      </c>
      <c r="X4269" t="s">
        <v>43</v>
      </c>
      <c r="Y4269" t="s">
        <v>43</v>
      </c>
      <c r="Z4269" t="s">
        <v>43</v>
      </c>
      <c r="AA4269" t="s">
        <v>43</v>
      </c>
      <c r="AB4269" t="s">
        <v>43</v>
      </c>
      <c r="AC4269" t="s">
        <v>43</v>
      </c>
      <c r="AD4269">
        <v>3.28500009</v>
      </c>
      <c r="AE4269">
        <v>1</v>
      </c>
      <c r="AF4269">
        <v>46</v>
      </c>
      <c r="AG4269">
        <v>3.2820000600000001</v>
      </c>
      <c r="AH4269">
        <v>2</v>
      </c>
      <c r="AI4269">
        <v>12</v>
      </c>
      <c r="AJ4269">
        <v>1</v>
      </c>
      <c r="AK4269">
        <v>15</v>
      </c>
      <c r="AL4269">
        <v>50</v>
      </c>
      <c r="AM4269" t="s">
        <v>43</v>
      </c>
      <c r="AN4269" t="s">
        <v>43</v>
      </c>
    </row>
    <row r="4270" spans="1:40" x14ac:dyDescent="0.3">
      <c r="A4270" s="1">
        <v>46210.50509259259</v>
      </c>
      <c r="B4270" t="s">
        <v>40</v>
      </c>
      <c r="C4270" t="s">
        <v>41</v>
      </c>
      <c r="D4270" s="1">
        <v>46210.5077662037</v>
      </c>
      <c r="E4270" t="s">
        <v>42</v>
      </c>
      <c r="F4270" t="s">
        <v>83</v>
      </c>
      <c r="G4270">
        <v>0</v>
      </c>
      <c r="H4270">
        <v>33107</v>
      </c>
      <c r="I4270" t="s">
        <v>2291</v>
      </c>
      <c r="J4270">
        <v>47</v>
      </c>
      <c r="K4270">
        <v>1</v>
      </c>
      <c r="L4270">
        <v>98</v>
      </c>
      <c r="M4270">
        <v>629.5</v>
      </c>
      <c r="N4270" t="s">
        <v>81</v>
      </c>
      <c r="O4270" t="s">
        <v>82</v>
      </c>
      <c r="P4270">
        <v>125</v>
      </c>
      <c r="Q4270" t="s">
        <v>82</v>
      </c>
      <c r="R4270">
        <v>0</v>
      </c>
      <c r="S4270">
        <v>0</v>
      </c>
      <c r="T4270">
        <v>-40</v>
      </c>
      <c r="U4270">
        <v>46</v>
      </c>
      <c r="V4270">
        <v>0</v>
      </c>
      <c r="W4270">
        <v>27</v>
      </c>
      <c r="X4270">
        <v>27</v>
      </c>
      <c r="Y4270">
        <v>1</v>
      </c>
      <c r="Z4270">
        <v>8</v>
      </c>
      <c r="AA4270">
        <v>24</v>
      </c>
      <c r="AB4270">
        <v>2</v>
      </c>
      <c r="AC4270">
        <v>5</v>
      </c>
      <c r="AD4270">
        <v>3.28500009</v>
      </c>
      <c r="AE4270">
        <v>1</v>
      </c>
      <c r="AF4270">
        <v>46</v>
      </c>
      <c r="AG4270">
        <v>3.2820000600000001</v>
      </c>
      <c r="AH4270">
        <v>2</v>
      </c>
      <c r="AI4270">
        <v>12</v>
      </c>
      <c r="AJ4270">
        <v>1</v>
      </c>
      <c r="AK4270">
        <v>15</v>
      </c>
      <c r="AL4270">
        <v>49</v>
      </c>
      <c r="AM4270" t="s">
        <v>43</v>
      </c>
      <c r="AN4270" t="str">
        <f>HYPERLINK("https://www.google.com/maps?q=10.76307964,79.69436646","Open Location")</f>
        <v>Open Location</v>
      </c>
    </row>
    <row r="4271" spans="1:40" x14ac:dyDescent="0.3">
      <c r="A4271" s="1">
        <v>46210.504976851851</v>
      </c>
      <c r="B4271" t="s">
        <v>40</v>
      </c>
      <c r="C4271" t="s">
        <v>41</v>
      </c>
      <c r="D4271" s="1">
        <v>46210.5077662037</v>
      </c>
      <c r="E4271" t="s">
        <v>42</v>
      </c>
      <c r="F4271" t="s">
        <v>83</v>
      </c>
      <c r="G4271">
        <v>0</v>
      </c>
      <c r="H4271">
        <v>33107</v>
      </c>
      <c r="I4271" t="s">
        <v>43</v>
      </c>
      <c r="J4271">
        <v>47</v>
      </c>
      <c r="K4271">
        <v>1</v>
      </c>
      <c r="L4271">
        <v>98</v>
      </c>
      <c r="M4271">
        <v>629.59997558999999</v>
      </c>
      <c r="N4271" t="s">
        <v>81</v>
      </c>
      <c r="O4271" t="s">
        <v>82</v>
      </c>
      <c r="P4271">
        <v>125</v>
      </c>
      <c r="Q4271" t="s">
        <v>82</v>
      </c>
      <c r="R4271">
        <v>0</v>
      </c>
      <c r="S4271">
        <v>0</v>
      </c>
      <c r="T4271">
        <v>-40</v>
      </c>
      <c r="U4271">
        <v>46</v>
      </c>
      <c r="V4271">
        <v>0</v>
      </c>
      <c r="W4271">
        <v>27</v>
      </c>
      <c r="X4271">
        <v>27</v>
      </c>
      <c r="Y4271">
        <v>1</v>
      </c>
      <c r="Z4271">
        <v>8</v>
      </c>
      <c r="AA4271">
        <v>24</v>
      </c>
      <c r="AB4271">
        <v>2</v>
      </c>
      <c r="AC4271">
        <v>5</v>
      </c>
      <c r="AD4271">
        <v>3.28500009</v>
      </c>
      <c r="AE4271">
        <v>5</v>
      </c>
      <c r="AF4271">
        <v>3</v>
      </c>
      <c r="AG4271">
        <v>3.2820000600000001</v>
      </c>
      <c r="AH4271">
        <v>2</v>
      </c>
      <c r="AI4271">
        <v>12</v>
      </c>
      <c r="AJ4271">
        <v>1</v>
      </c>
      <c r="AK4271">
        <v>15</v>
      </c>
      <c r="AL4271">
        <v>49</v>
      </c>
      <c r="AM4271" t="s">
        <v>43</v>
      </c>
      <c r="AN4271" t="s">
        <v>43</v>
      </c>
    </row>
    <row r="4272" spans="1:40" x14ac:dyDescent="0.3">
      <c r="A4272" s="1">
        <v>46210.504861111112</v>
      </c>
      <c r="B4272" t="s">
        <v>40</v>
      </c>
      <c r="C4272" t="s">
        <v>41</v>
      </c>
      <c r="D4272" s="1">
        <v>46210.507488425923</v>
      </c>
      <c r="E4272" t="s">
        <v>42</v>
      </c>
      <c r="F4272" t="s">
        <v>83</v>
      </c>
      <c r="G4272">
        <v>0</v>
      </c>
      <c r="H4272">
        <v>33107</v>
      </c>
      <c r="I4272" t="s">
        <v>2399</v>
      </c>
      <c r="J4272">
        <v>47</v>
      </c>
      <c r="K4272">
        <v>1</v>
      </c>
      <c r="L4272">
        <v>98</v>
      </c>
      <c r="M4272">
        <v>629.79998779000005</v>
      </c>
      <c r="N4272" t="s">
        <v>81</v>
      </c>
      <c r="O4272" t="s">
        <v>82</v>
      </c>
      <c r="P4272">
        <v>125</v>
      </c>
      <c r="Q4272" t="s">
        <v>82</v>
      </c>
      <c r="R4272">
        <v>0</v>
      </c>
      <c r="S4272">
        <v>0</v>
      </c>
      <c r="T4272">
        <v>-40</v>
      </c>
      <c r="U4272">
        <v>46</v>
      </c>
      <c r="V4272">
        <v>0</v>
      </c>
      <c r="W4272">
        <v>27</v>
      </c>
      <c r="X4272">
        <v>27</v>
      </c>
      <c r="Y4272">
        <v>1</v>
      </c>
      <c r="Z4272">
        <v>8</v>
      </c>
      <c r="AA4272">
        <v>24</v>
      </c>
      <c r="AB4272">
        <v>2</v>
      </c>
      <c r="AC4272">
        <v>5</v>
      </c>
      <c r="AD4272">
        <v>3.28500009</v>
      </c>
      <c r="AE4272">
        <v>5</v>
      </c>
      <c r="AF4272">
        <v>3</v>
      </c>
      <c r="AG4272">
        <v>3.2820000600000001</v>
      </c>
      <c r="AH4272">
        <v>2</v>
      </c>
      <c r="AI4272">
        <v>12</v>
      </c>
      <c r="AJ4272">
        <v>1</v>
      </c>
      <c r="AK4272">
        <v>15</v>
      </c>
      <c r="AL4272">
        <v>49</v>
      </c>
      <c r="AM4272" t="s">
        <v>43</v>
      </c>
      <c r="AN4272" t="str">
        <f>HYPERLINK("https://www.google.com/maps?q=10.76307869,79.69436646","Open Location")</f>
        <v>Open Location</v>
      </c>
    </row>
    <row r="4273" spans="1:40" x14ac:dyDescent="0.3">
      <c r="A4273" s="1">
        <v>46210.504745370374</v>
      </c>
      <c r="B4273" t="s">
        <v>40</v>
      </c>
      <c r="C4273" t="s">
        <v>41</v>
      </c>
      <c r="D4273" s="1">
        <v>46210.507638888892</v>
      </c>
      <c r="E4273" t="s">
        <v>42</v>
      </c>
      <c r="F4273" t="s">
        <v>83</v>
      </c>
      <c r="G4273">
        <v>0</v>
      </c>
      <c r="H4273">
        <v>33107</v>
      </c>
      <c r="I4273" t="s">
        <v>2399</v>
      </c>
      <c r="J4273">
        <v>47</v>
      </c>
      <c r="K4273">
        <v>1</v>
      </c>
      <c r="L4273">
        <v>98</v>
      </c>
      <c r="M4273">
        <v>629.59997558999999</v>
      </c>
      <c r="N4273" t="s">
        <v>81</v>
      </c>
      <c r="O4273" t="s">
        <v>82</v>
      </c>
      <c r="P4273">
        <v>125</v>
      </c>
      <c r="Q4273" t="s">
        <v>82</v>
      </c>
      <c r="R4273">
        <v>0</v>
      </c>
      <c r="S4273">
        <v>0</v>
      </c>
      <c r="T4273">
        <v>-40</v>
      </c>
      <c r="U4273">
        <v>46</v>
      </c>
      <c r="V4273">
        <v>0</v>
      </c>
      <c r="W4273" t="s">
        <v>43</v>
      </c>
      <c r="X4273" t="s">
        <v>43</v>
      </c>
      <c r="Y4273" t="s">
        <v>43</v>
      </c>
      <c r="Z4273" t="s">
        <v>43</v>
      </c>
      <c r="AA4273" t="s">
        <v>43</v>
      </c>
      <c r="AB4273" t="s">
        <v>43</v>
      </c>
      <c r="AC4273" t="s">
        <v>43</v>
      </c>
      <c r="AD4273">
        <v>3.2839999199999999</v>
      </c>
      <c r="AE4273">
        <v>1</v>
      </c>
      <c r="AF4273">
        <v>1</v>
      </c>
      <c r="AG4273">
        <v>3.2820000600000001</v>
      </c>
      <c r="AH4273">
        <v>2</v>
      </c>
      <c r="AI4273">
        <v>3</v>
      </c>
      <c r="AJ4273">
        <v>1</v>
      </c>
      <c r="AK4273">
        <v>15</v>
      </c>
      <c r="AL4273">
        <v>49</v>
      </c>
      <c r="AM4273" t="s">
        <v>43</v>
      </c>
      <c r="AN4273" t="str">
        <f>HYPERLINK("https://www.google.com/maps?q=10.76307869,79.69436646","Open Location")</f>
        <v>Open Location</v>
      </c>
    </row>
    <row r="4274" spans="1:40" x14ac:dyDescent="0.3">
      <c r="A4274" s="1">
        <v>46210.504629629628</v>
      </c>
      <c r="B4274" t="s">
        <v>40</v>
      </c>
      <c r="C4274" t="s">
        <v>41</v>
      </c>
      <c r="D4274" s="1">
        <v>46210.507256944446</v>
      </c>
      <c r="E4274" t="s">
        <v>42</v>
      </c>
      <c r="F4274" t="s">
        <v>83</v>
      </c>
      <c r="G4274">
        <v>0</v>
      </c>
      <c r="H4274">
        <v>33107</v>
      </c>
      <c r="I4274" t="s">
        <v>43</v>
      </c>
      <c r="J4274">
        <v>47</v>
      </c>
      <c r="K4274">
        <v>1</v>
      </c>
      <c r="L4274">
        <v>98</v>
      </c>
      <c r="M4274">
        <v>629.40002441000001</v>
      </c>
      <c r="N4274" t="s">
        <v>81</v>
      </c>
      <c r="O4274" t="s">
        <v>82</v>
      </c>
      <c r="P4274">
        <v>125</v>
      </c>
      <c r="Q4274" t="s">
        <v>82</v>
      </c>
      <c r="R4274">
        <v>0</v>
      </c>
      <c r="S4274">
        <v>0</v>
      </c>
      <c r="T4274">
        <v>-40</v>
      </c>
      <c r="U4274">
        <v>46</v>
      </c>
      <c r="V4274">
        <v>0</v>
      </c>
      <c r="W4274">
        <v>27</v>
      </c>
      <c r="X4274">
        <v>27</v>
      </c>
      <c r="Y4274">
        <v>1</v>
      </c>
      <c r="Z4274">
        <v>8</v>
      </c>
      <c r="AA4274">
        <v>24</v>
      </c>
      <c r="AB4274">
        <v>2</v>
      </c>
      <c r="AC4274">
        <v>5</v>
      </c>
      <c r="AD4274">
        <v>3.2839999199999999</v>
      </c>
      <c r="AE4274">
        <v>1</v>
      </c>
      <c r="AF4274">
        <v>1</v>
      </c>
      <c r="AG4274">
        <v>3.2820000600000001</v>
      </c>
      <c r="AH4274">
        <v>2</v>
      </c>
      <c r="AI4274">
        <v>3</v>
      </c>
      <c r="AJ4274">
        <v>1</v>
      </c>
      <c r="AK4274">
        <v>14</v>
      </c>
      <c r="AL4274">
        <v>49</v>
      </c>
      <c r="AM4274" t="s">
        <v>43</v>
      </c>
      <c r="AN4274" t="s">
        <v>43</v>
      </c>
    </row>
    <row r="4275" spans="1:40" x14ac:dyDescent="0.3">
      <c r="A4275" s="1">
        <v>46210.504513888889</v>
      </c>
      <c r="B4275" t="s">
        <v>40</v>
      </c>
      <c r="C4275" t="s">
        <v>41</v>
      </c>
      <c r="D4275" s="1">
        <v>46210.507337962961</v>
      </c>
      <c r="E4275" t="s">
        <v>42</v>
      </c>
      <c r="F4275" t="s">
        <v>83</v>
      </c>
      <c r="G4275">
        <v>0</v>
      </c>
      <c r="H4275">
        <v>33107</v>
      </c>
      <c r="I4275" t="s">
        <v>43</v>
      </c>
      <c r="J4275">
        <v>47</v>
      </c>
      <c r="K4275">
        <v>1</v>
      </c>
      <c r="L4275">
        <v>98</v>
      </c>
      <c r="M4275">
        <v>629.59997558999999</v>
      </c>
      <c r="N4275" t="s">
        <v>81</v>
      </c>
      <c r="O4275" t="s">
        <v>82</v>
      </c>
      <c r="P4275">
        <v>125</v>
      </c>
      <c r="Q4275" t="s">
        <v>82</v>
      </c>
      <c r="R4275">
        <v>0</v>
      </c>
      <c r="S4275">
        <v>0</v>
      </c>
      <c r="T4275">
        <v>-40</v>
      </c>
      <c r="U4275">
        <v>46</v>
      </c>
      <c r="V4275">
        <v>0</v>
      </c>
      <c r="W4275" t="s">
        <v>43</v>
      </c>
      <c r="X4275" t="s">
        <v>43</v>
      </c>
      <c r="Y4275" t="s">
        <v>43</v>
      </c>
      <c r="Z4275" t="s">
        <v>43</v>
      </c>
      <c r="AA4275" t="s">
        <v>43</v>
      </c>
      <c r="AB4275" t="s">
        <v>43</v>
      </c>
      <c r="AC4275" t="s">
        <v>43</v>
      </c>
      <c r="AD4275">
        <v>3.2839999199999999</v>
      </c>
      <c r="AE4275">
        <v>1</v>
      </c>
      <c r="AF4275">
        <v>1</v>
      </c>
      <c r="AG4275">
        <v>3.2820000600000001</v>
      </c>
      <c r="AH4275">
        <v>2</v>
      </c>
      <c r="AI4275">
        <v>3</v>
      </c>
      <c r="AJ4275">
        <v>1</v>
      </c>
      <c r="AK4275">
        <v>15</v>
      </c>
      <c r="AL4275">
        <v>49</v>
      </c>
      <c r="AM4275" t="s">
        <v>43</v>
      </c>
      <c r="AN4275" t="s">
        <v>43</v>
      </c>
    </row>
    <row r="4276" spans="1:40" x14ac:dyDescent="0.3">
      <c r="A4276" s="1">
        <v>46210.50439814815</v>
      </c>
      <c r="B4276" t="s">
        <v>40</v>
      </c>
      <c r="C4276" t="s">
        <v>41</v>
      </c>
      <c r="D4276" s="1">
        <v>46210.507245370369</v>
      </c>
      <c r="E4276" t="s">
        <v>42</v>
      </c>
      <c r="F4276" t="s">
        <v>83</v>
      </c>
      <c r="G4276">
        <v>0</v>
      </c>
      <c r="H4276">
        <v>33107</v>
      </c>
      <c r="I4276" t="s">
        <v>2298</v>
      </c>
      <c r="J4276">
        <v>47</v>
      </c>
      <c r="K4276">
        <v>1</v>
      </c>
      <c r="L4276">
        <v>98</v>
      </c>
      <c r="M4276">
        <v>629.59997558999999</v>
      </c>
      <c r="N4276" t="s">
        <v>81</v>
      </c>
      <c r="O4276" t="s">
        <v>82</v>
      </c>
      <c r="P4276">
        <v>125</v>
      </c>
      <c r="Q4276" t="s">
        <v>82</v>
      </c>
      <c r="R4276">
        <v>0</v>
      </c>
      <c r="S4276">
        <v>0</v>
      </c>
      <c r="T4276">
        <v>-40</v>
      </c>
      <c r="U4276">
        <v>47</v>
      </c>
      <c r="V4276">
        <v>0</v>
      </c>
      <c r="W4276">
        <v>27</v>
      </c>
      <c r="X4276">
        <v>27</v>
      </c>
      <c r="Y4276">
        <v>1</v>
      </c>
      <c r="Z4276">
        <v>8</v>
      </c>
      <c r="AA4276">
        <v>24</v>
      </c>
      <c r="AB4276">
        <v>2</v>
      </c>
      <c r="AC4276">
        <v>6</v>
      </c>
      <c r="AD4276">
        <v>3.2839999199999999</v>
      </c>
      <c r="AE4276">
        <v>1</v>
      </c>
      <c r="AF4276">
        <v>1</v>
      </c>
      <c r="AG4276">
        <v>3.2820000600000001</v>
      </c>
      <c r="AH4276">
        <v>1</v>
      </c>
      <c r="AI4276">
        <v>30</v>
      </c>
      <c r="AJ4276">
        <v>1</v>
      </c>
      <c r="AK4276">
        <v>14</v>
      </c>
      <c r="AL4276">
        <v>49</v>
      </c>
      <c r="AM4276" t="s">
        <v>43</v>
      </c>
      <c r="AN4276" t="str">
        <f>HYPERLINK("https://www.google.com/maps?q=10.76307774,79.69436646","Open Location")</f>
        <v>Open Location</v>
      </c>
    </row>
    <row r="4277" spans="1:40" x14ac:dyDescent="0.3">
      <c r="A4277" s="1">
        <v>46210.504282407404</v>
      </c>
      <c r="B4277" t="s">
        <v>40</v>
      </c>
      <c r="C4277" t="s">
        <v>41</v>
      </c>
      <c r="D4277" s="1">
        <v>46210.507187499999</v>
      </c>
      <c r="E4277" t="s">
        <v>42</v>
      </c>
      <c r="F4277" t="s">
        <v>83</v>
      </c>
      <c r="G4277">
        <v>0</v>
      </c>
      <c r="H4277">
        <v>33107</v>
      </c>
      <c r="I4277" t="s">
        <v>2322</v>
      </c>
      <c r="J4277">
        <v>47</v>
      </c>
      <c r="K4277">
        <v>1</v>
      </c>
      <c r="L4277">
        <v>98</v>
      </c>
      <c r="M4277">
        <v>629.70001220999995</v>
      </c>
      <c r="N4277" t="s">
        <v>81</v>
      </c>
      <c r="O4277" t="s">
        <v>82</v>
      </c>
      <c r="P4277">
        <v>125</v>
      </c>
      <c r="Q4277" t="s">
        <v>82</v>
      </c>
      <c r="R4277">
        <v>0</v>
      </c>
      <c r="S4277">
        <v>0</v>
      </c>
      <c r="T4277">
        <v>-40</v>
      </c>
      <c r="U4277">
        <v>47</v>
      </c>
      <c r="V4277">
        <v>0</v>
      </c>
      <c r="W4277">
        <v>27</v>
      </c>
      <c r="X4277">
        <v>27</v>
      </c>
      <c r="Y4277">
        <v>1</v>
      </c>
      <c r="Z4277">
        <v>8</v>
      </c>
      <c r="AA4277">
        <v>24</v>
      </c>
      <c r="AB4277">
        <v>2</v>
      </c>
      <c r="AC4277">
        <v>6</v>
      </c>
      <c r="AD4277">
        <v>3.2839999199999999</v>
      </c>
      <c r="AE4277">
        <v>1</v>
      </c>
      <c r="AF4277">
        <v>1</v>
      </c>
      <c r="AG4277">
        <v>3.2820000600000001</v>
      </c>
      <c r="AH4277">
        <v>1</v>
      </c>
      <c r="AI4277">
        <v>30</v>
      </c>
      <c r="AJ4277">
        <v>1</v>
      </c>
      <c r="AK4277">
        <v>15</v>
      </c>
      <c r="AL4277">
        <v>49</v>
      </c>
      <c r="AM4277" t="s">
        <v>43</v>
      </c>
      <c r="AN4277" t="str">
        <f>HYPERLINK("https://www.google.com/maps?q=10.76307106,79.69435883","Open Location")</f>
        <v>Open Location</v>
      </c>
    </row>
    <row r="4278" spans="1:40" x14ac:dyDescent="0.3">
      <c r="A4278" s="1">
        <v>46210.504166666666</v>
      </c>
      <c r="B4278" t="s">
        <v>40</v>
      </c>
      <c r="C4278" t="s">
        <v>41</v>
      </c>
      <c r="D4278" s="1">
        <v>46210.507187499999</v>
      </c>
      <c r="E4278" t="s">
        <v>42</v>
      </c>
      <c r="F4278" t="s">
        <v>83</v>
      </c>
      <c r="G4278">
        <v>0</v>
      </c>
      <c r="H4278">
        <v>33107</v>
      </c>
      <c r="I4278" t="s">
        <v>2311</v>
      </c>
      <c r="J4278">
        <v>47</v>
      </c>
      <c r="K4278">
        <v>1</v>
      </c>
      <c r="L4278">
        <v>98</v>
      </c>
      <c r="M4278">
        <v>629.59997558999999</v>
      </c>
      <c r="N4278" t="s">
        <v>81</v>
      </c>
      <c r="O4278" t="s">
        <v>82</v>
      </c>
      <c r="P4278">
        <v>125</v>
      </c>
      <c r="Q4278" t="s">
        <v>82</v>
      </c>
      <c r="R4278">
        <v>0</v>
      </c>
      <c r="S4278">
        <v>0</v>
      </c>
      <c r="T4278">
        <v>-40</v>
      </c>
      <c r="U4278">
        <v>47</v>
      </c>
      <c r="V4278">
        <v>0</v>
      </c>
      <c r="W4278">
        <v>27</v>
      </c>
      <c r="X4278">
        <v>27</v>
      </c>
      <c r="Y4278">
        <v>1</v>
      </c>
      <c r="Z4278">
        <v>8</v>
      </c>
      <c r="AA4278">
        <v>24</v>
      </c>
      <c r="AB4278">
        <v>2</v>
      </c>
      <c r="AC4278">
        <v>6</v>
      </c>
      <c r="AD4278">
        <v>3.2839999199999999</v>
      </c>
      <c r="AE4278">
        <v>1</v>
      </c>
      <c r="AF4278">
        <v>1</v>
      </c>
      <c r="AG4278">
        <v>3.2820000600000001</v>
      </c>
      <c r="AH4278">
        <v>1</v>
      </c>
      <c r="AI4278">
        <v>30</v>
      </c>
      <c r="AJ4278">
        <v>1</v>
      </c>
      <c r="AK4278">
        <v>15</v>
      </c>
      <c r="AL4278">
        <v>49</v>
      </c>
      <c r="AM4278" t="s">
        <v>43</v>
      </c>
      <c r="AN4278" t="str">
        <f>HYPERLINK("https://www.google.com/maps?q=10.76307011,79.6943512","Open Location")</f>
        <v>Open Location</v>
      </c>
    </row>
    <row r="4279" spans="1:40" x14ac:dyDescent="0.3">
      <c r="A4279" s="1">
        <v>46210.504050925927</v>
      </c>
      <c r="B4279" t="s">
        <v>40</v>
      </c>
      <c r="C4279" t="s">
        <v>41</v>
      </c>
      <c r="D4279" s="1">
        <v>46210.506944444445</v>
      </c>
      <c r="E4279" t="s">
        <v>42</v>
      </c>
      <c r="F4279" t="s">
        <v>83</v>
      </c>
      <c r="G4279">
        <v>0</v>
      </c>
      <c r="H4279">
        <v>33107</v>
      </c>
      <c r="I4279" t="s">
        <v>43</v>
      </c>
      <c r="J4279">
        <v>47</v>
      </c>
      <c r="K4279">
        <v>1</v>
      </c>
      <c r="L4279">
        <v>98</v>
      </c>
      <c r="M4279">
        <v>629.70001220999995</v>
      </c>
      <c r="N4279" t="s">
        <v>81</v>
      </c>
      <c r="O4279" t="s">
        <v>82</v>
      </c>
      <c r="P4279">
        <v>125</v>
      </c>
      <c r="Q4279" t="s">
        <v>82</v>
      </c>
      <c r="R4279">
        <v>0</v>
      </c>
      <c r="S4279">
        <v>0</v>
      </c>
      <c r="T4279">
        <v>-40</v>
      </c>
      <c r="U4279">
        <v>47</v>
      </c>
      <c r="V4279">
        <v>0</v>
      </c>
      <c r="W4279">
        <v>27</v>
      </c>
      <c r="X4279">
        <v>27</v>
      </c>
      <c r="Y4279">
        <v>1</v>
      </c>
      <c r="Z4279">
        <v>8</v>
      </c>
      <c r="AA4279">
        <v>24</v>
      </c>
      <c r="AB4279">
        <v>2</v>
      </c>
      <c r="AC4279">
        <v>6</v>
      </c>
      <c r="AD4279">
        <v>3.2839999199999999</v>
      </c>
      <c r="AE4279">
        <v>1</v>
      </c>
      <c r="AF4279">
        <v>1</v>
      </c>
      <c r="AG4279">
        <v>3.2820000600000001</v>
      </c>
      <c r="AH4279">
        <v>1</v>
      </c>
      <c r="AI4279">
        <v>4</v>
      </c>
      <c r="AJ4279">
        <v>1</v>
      </c>
      <c r="AK4279">
        <v>15</v>
      </c>
      <c r="AL4279">
        <v>49</v>
      </c>
      <c r="AM4279" t="s">
        <v>43</v>
      </c>
      <c r="AN4279" t="s">
        <v>43</v>
      </c>
    </row>
    <row r="4280" spans="1:40" x14ac:dyDescent="0.3">
      <c r="A4280" s="1">
        <v>46210.503935185188</v>
      </c>
      <c r="B4280" t="s">
        <v>40</v>
      </c>
      <c r="C4280" t="s">
        <v>41</v>
      </c>
      <c r="D4280" s="1">
        <v>46210.506724537037</v>
      </c>
      <c r="E4280" t="s">
        <v>42</v>
      </c>
      <c r="F4280" t="s">
        <v>83</v>
      </c>
      <c r="G4280">
        <v>0</v>
      </c>
      <c r="H4280">
        <v>33107</v>
      </c>
      <c r="I4280" t="s">
        <v>2310</v>
      </c>
      <c r="J4280">
        <v>47</v>
      </c>
      <c r="K4280">
        <v>1</v>
      </c>
      <c r="L4280">
        <v>98</v>
      </c>
      <c r="M4280">
        <v>629.70001220999995</v>
      </c>
      <c r="N4280" t="s">
        <v>81</v>
      </c>
      <c r="O4280" t="s">
        <v>82</v>
      </c>
      <c r="P4280">
        <v>125</v>
      </c>
      <c r="Q4280" t="s">
        <v>82</v>
      </c>
      <c r="R4280">
        <v>0</v>
      </c>
      <c r="S4280">
        <v>0</v>
      </c>
      <c r="T4280">
        <v>-40</v>
      </c>
      <c r="U4280">
        <v>47</v>
      </c>
      <c r="V4280">
        <v>0</v>
      </c>
      <c r="W4280">
        <v>27</v>
      </c>
      <c r="X4280">
        <v>27</v>
      </c>
      <c r="Y4280">
        <v>1</v>
      </c>
      <c r="Z4280">
        <v>8</v>
      </c>
      <c r="AA4280">
        <v>24</v>
      </c>
      <c r="AB4280">
        <v>2</v>
      </c>
      <c r="AC4280">
        <v>6</v>
      </c>
      <c r="AD4280">
        <v>3.2839999199999999</v>
      </c>
      <c r="AE4280">
        <v>1</v>
      </c>
      <c r="AF4280">
        <v>1</v>
      </c>
      <c r="AG4280">
        <v>3.2820000600000001</v>
      </c>
      <c r="AH4280">
        <v>1</v>
      </c>
      <c r="AI4280">
        <v>4</v>
      </c>
      <c r="AJ4280">
        <v>1</v>
      </c>
      <c r="AK4280">
        <v>15</v>
      </c>
      <c r="AL4280">
        <v>49</v>
      </c>
      <c r="AM4280" t="s">
        <v>43</v>
      </c>
      <c r="AN4280" t="str">
        <f>HYPERLINK("https://www.google.com/maps?q=10.76306725,79.6943512","Open Location")</f>
        <v>Open Location</v>
      </c>
    </row>
    <row r="4281" spans="1:40" x14ac:dyDescent="0.3">
      <c r="A4281" s="1">
        <v>46210.503819444442</v>
      </c>
      <c r="B4281" t="s">
        <v>40</v>
      </c>
      <c r="C4281" t="s">
        <v>41</v>
      </c>
      <c r="D4281" s="1">
        <v>46210.50677083333</v>
      </c>
      <c r="E4281" t="s">
        <v>42</v>
      </c>
      <c r="F4281" t="s">
        <v>83</v>
      </c>
      <c r="G4281">
        <v>0</v>
      </c>
      <c r="H4281">
        <v>33107</v>
      </c>
      <c r="I4281" t="s">
        <v>43</v>
      </c>
      <c r="J4281">
        <v>47</v>
      </c>
      <c r="K4281">
        <v>1</v>
      </c>
      <c r="L4281">
        <v>98</v>
      </c>
      <c r="M4281">
        <v>629.5</v>
      </c>
      <c r="N4281" t="s">
        <v>81</v>
      </c>
      <c r="O4281" t="s">
        <v>82</v>
      </c>
      <c r="P4281">
        <v>125</v>
      </c>
      <c r="Q4281" t="s">
        <v>82</v>
      </c>
      <c r="R4281">
        <v>0</v>
      </c>
      <c r="S4281">
        <v>0</v>
      </c>
      <c r="T4281">
        <v>-40</v>
      </c>
      <c r="U4281">
        <v>47</v>
      </c>
      <c r="V4281">
        <v>0</v>
      </c>
      <c r="W4281">
        <v>27</v>
      </c>
      <c r="X4281">
        <v>27</v>
      </c>
      <c r="Y4281">
        <v>1</v>
      </c>
      <c r="Z4281">
        <v>8</v>
      </c>
      <c r="AA4281">
        <v>24</v>
      </c>
      <c r="AB4281">
        <v>2</v>
      </c>
      <c r="AC4281">
        <v>6</v>
      </c>
      <c r="AD4281">
        <v>3.2839999199999999</v>
      </c>
      <c r="AE4281">
        <v>1</v>
      </c>
      <c r="AF4281">
        <v>1</v>
      </c>
      <c r="AG4281">
        <v>3.2820000600000001</v>
      </c>
      <c r="AH4281">
        <v>1</v>
      </c>
      <c r="AI4281">
        <v>4</v>
      </c>
      <c r="AJ4281">
        <v>1</v>
      </c>
      <c r="AK4281">
        <v>15</v>
      </c>
      <c r="AL4281">
        <v>49</v>
      </c>
      <c r="AM4281" t="s">
        <v>43</v>
      </c>
      <c r="AN4281" t="s">
        <v>43</v>
      </c>
    </row>
    <row r="4282" spans="1:40" x14ac:dyDescent="0.3">
      <c r="A4282" s="1">
        <v>46210.503703703704</v>
      </c>
      <c r="B4282" t="s">
        <v>40</v>
      </c>
      <c r="C4282" t="s">
        <v>41</v>
      </c>
      <c r="D4282" s="1">
        <v>46210.506608796299</v>
      </c>
      <c r="E4282" t="s">
        <v>42</v>
      </c>
      <c r="F4282" t="s">
        <v>83</v>
      </c>
      <c r="G4282">
        <v>0</v>
      </c>
      <c r="H4282">
        <v>33107</v>
      </c>
      <c r="I4282" t="s">
        <v>2338</v>
      </c>
      <c r="J4282">
        <v>47</v>
      </c>
      <c r="K4282">
        <v>1</v>
      </c>
      <c r="L4282">
        <v>98</v>
      </c>
      <c r="M4282">
        <v>629.59997558999999</v>
      </c>
      <c r="N4282" t="s">
        <v>81</v>
      </c>
      <c r="O4282" t="s">
        <v>82</v>
      </c>
      <c r="P4282">
        <v>125</v>
      </c>
      <c r="Q4282" t="s">
        <v>82</v>
      </c>
      <c r="R4282">
        <v>0</v>
      </c>
      <c r="S4282">
        <v>0</v>
      </c>
      <c r="T4282">
        <v>-40</v>
      </c>
      <c r="U4282">
        <v>47</v>
      </c>
      <c r="V4282">
        <v>0</v>
      </c>
      <c r="W4282">
        <v>27</v>
      </c>
      <c r="X4282">
        <v>27</v>
      </c>
      <c r="Y4282">
        <v>1</v>
      </c>
      <c r="Z4282">
        <v>8</v>
      </c>
      <c r="AA4282">
        <v>24</v>
      </c>
      <c r="AB4282">
        <v>2</v>
      </c>
      <c r="AC4282">
        <v>6</v>
      </c>
      <c r="AD4282">
        <v>3.2839999199999999</v>
      </c>
      <c r="AE4282">
        <v>1</v>
      </c>
      <c r="AF4282">
        <v>1</v>
      </c>
      <c r="AG4282">
        <v>3.2820000600000001</v>
      </c>
      <c r="AH4282">
        <v>1</v>
      </c>
      <c r="AI4282">
        <v>4</v>
      </c>
      <c r="AJ4282">
        <v>1</v>
      </c>
      <c r="AK4282">
        <v>15</v>
      </c>
      <c r="AL4282">
        <v>50</v>
      </c>
      <c r="AM4282" t="s">
        <v>43</v>
      </c>
      <c r="AN4282" t="str">
        <f>HYPERLINK("https://www.google.com/maps?q=10.76306629,79.6943512","Open Location")</f>
        <v>Open Location</v>
      </c>
    </row>
    <row r="4283" spans="1:40" x14ac:dyDescent="0.3">
      <c r="A4283" s="1">
        <v>46210.503587962965</v>
      </c>
      <c r="B4283" t="s">
        <v>40</v>
      </c>
      <c r="C4283" t="s">
        <v>41</v>
      </c>
      <c r="D4283" s="1">
        <v>46210.506793981483</v>
      </c>
      <c r="E4283" t="s">
        <v>42</v>
      </c>
      <c r="F4283" t="s">
        <v>83</v>
      </c>
      <c r="G4283">
        <v>0</v>
      </c>
      <c r="H4283">
        <v>33107</v>
      </c>
      <c r="I4283" t="s">
        <v>2256</v>
      </c>
      <c r="J4283">
        <v>47</v>
      </c>
      <c r="K4283">
        <v>1</v>
      </c>
      <c r="L4283">
        <v>98</v>
      </c>
      <c r="M4283">
        <v>629.59997558999999</v>
      </c>
      <c r="N4283" t="s">
        <v>81</v>
      </c>
      <c r="O4283" t="s">
        <v>82</v>
      </c>
      <c r="P4283">
        <v>125</v>
      </c>
      <c r="Q4283" t="s">
        <v>82</v>
      </c>
      <c r="R4283">
        <v>0</v>
      </c>
      <c r="S4283">
        <v>0</v>
      </c>
      <c r="T4283">
        <v>-40</v>
      </c>
      <c r="U4283">
        <v>47</v>
      </c>
      <c r="V4283">
        <v>0</v>
      </c>
      <c r="W4283">
        <v>27</v>
      </c>
      <c r="X4283">
        <v>27</v>
      </c>
      <c r="Y4283">
        <v>1</v>
      </c>
      <c r="Z4283">
        <v>8</v>
      </c>
      <c r="AA4283">
        <v>24</v>
      </c>
      <c r="AB4283">
        <v>2</v>
      </c>
      <c r="AC4283">
        <v>6</v>
      </c>
      <c r="AD4283">
        <v>3.2839999199999999</v>
      </c>
      <c r="AE4283">
        <v>1</v>
      </c>
      <c r="AF4283">
        <v>29</v>
      </c>
      <c r="AG4283">
        <v>3.2820000600000001</v>
      </c>
      <c r="AH4283">
        <v>1</v>
      </c>
      <c r="AI4283">
        <v>4</v>
      </c>
      <c r="AJ4283">
        <v>1</v>
      </c>
      <c r="AK4283">
        <v>15</v>
      </c>
      <c r="AL4283">
        <v>50</v>
      </c>
      <c r="AM4283" t="s">
        <v>43</v>
      </c>
      <c r="AN4283" t="str">
        <f>HYPERLINK("https://www.google.com/maps?q=10.76306725,79.69435883","Open Location")</f>
        <v>Open Location</v>
      </c>
    </row>
    <row r="4284" spans="1:40" x14ac:dyDescent="0.3">
      <c r="A4284" s="1">
        <v>46210.503472222219</v>
      </c>
      <c r="B4284" t="s">
        <v>40</v>
      </c>
      <c r="C4284" t="s">
        <v>41</v>
      </c>
      <c r="D4284" s="1">
        <v>46210.506296296298</v>
      </c>
      <c r="E4284" t="s">
        <v>42</v>
      </c>
      <c r="F4284" t="s">
        <v>83</v>
      </c>
      <c r="G4284">
        <v>0</v>
      </c>
      <c r="H4284">
        <v>33107</v>
      </c>
      <c r="I4284" t="s">
        <v>2253</v>
      </c>
      <c r="J4284">
        <v>47</v>
      </c>
      <c r="K4284">
        <v>1</v>
      </c>
      <c r="L4284">
        <v>98</v>
      </c>
      <c r="M4284">
        <v>629.40002441000001</v>
      </c>
      <c r="N4284" t="s">
        <v>81</v>
      </c>
      <c r="O4284" t="s">
        <v>82</v>
      </c>
      <c r="P4284">
        <v>125</v>
      </c>
      <c r="Q4284" t="s">
        <v>82</v>
      </c>
      <c r="R4284">
        <v>0</v>
      </c>
      <c r="S4284">
        <v>0</v>
      </c>
      <c r="T4284">
        <v>-40</v>
      </c>
      <c r="U4284">
        <v>47</v>
      </c>
      <c r="V4284">
        <v>0</v>
      </c>
      <c r="W4284">
        <v>27</v>
      </c>
      <c r="X4284">
        <v>27</v>
      </c>
      <c r="Y4284">
        <v>1</v>
      </c>
      <c r="Z4284">
        <v>8</v>
      </c>
      <c r="AA4284">
        <v>24</v>
      </c>
      <c r="AB4284">
        <v>2</v>
      </c>
      <c r="AC4284">
        <v>6</v>
      </c>
      <c r="AD4284">
        <v>3.2839999199999999</v>
      </c>
      <c r="AE4284">
        <v>1</v>
      </c>
      <c r="AF4284">
        <v>29</v>
      </c>
      <c r="AG4284">
        <v>3.2809998999999999</v>
      </c>
      <c r="AH4284">
        <v>2</v>
      </c>
      <c r="AI4284">
        <v>12</v>
      </c>
      <c r="AJ4284">
        <v>1</v>
      </c>
      <c r="AK4284">
        <v>15</v>
      </c>
      <c r="AL4284">
        <v>50</v>
      </c>
      <c r="AM4284" t="s">
        <v>43</v>
      </c>
      <c r="AN4284" t="str">
        <f>HYPERLINK("https://www.google.com/maps?q=10.76307011,79.69436646","Open Location")</f>
        <v>Open Location</v>
      </c>
    </row>
    <row r="4285" spans="1:40" x14ac:dyDescent="0.3">
      <c r="A4285" s="1">
        <v>46210.50335648148</v>
      </c>
      <c r="B4285" t="s">
        <v>40</v>
      </c>
      <c r="C4285" t="s">
        <v>41</v>
      </c>
      <c r="D4285" s="1">
        <v>46210.506296296298</v>
      </c>
      <c r="E4285" t="s">
        <v>42</v>
      </c>
      <c r="F4285" t="s">
        <v>83</v>
      </c>
      <c r="G4285">
        <v>0</v>
      </c>
      <c r="H4285">
        <v>33107</v>
      </c>
      <c r="I4285" t="s">
        <v>43</v>
      </c>
      <c r="J4285">
        <v>47</v>
      </c>
      <c r="K4285">
        <v>1</v>
      </c>
      <c r="L4285">
        <v>98</v>
      </c>
      <c r="M4285">
        <v>629.40002441000001</v>
      </c>
      <c r="N4285" t="s">
        <v>81</v>
      </c>
      <c r="O4285" t="s">
        <v>82</v>
      </c>
      <c r="P4285">
        <v>125</v>
      </c>
      <c r="Q4285" t="s">
        <v>82</v>
      </c>
      <c r="R4285">
        <v>0</v>
      </c>
      <c r="S4285">
        <v>0</v>
      </c>
      <c r="T4285">
        <v>-40</v>
      </c>
      <c r="U4285">
        <v>47</v>
      </c>
      <c r="V4285">
        <v>0</v>
      </c>
      <c r="W4285">
        <v>27</v>
      </c>
      <c r="X4285">
        <v>27</v>
      </c>
      <c r="Y4285">
        <v>1</v>
      </c>
      <c r="Z4285">
        <v>8</v>
      </c>
      <c r="AA4285">
        <v>24</v>
      </c>
      <c r="AB4285">
        <v>2</v>
      </c>
      <c r="AC4285">
        <v>6</v>
      </c>
      <c r="AD4285">
        <v>3.2839999199999999</v>
      </c>
      <c r="AE4285">
        <v>1</v>
      </c>
      <c r="AF4285">
        <v>43</v>
      </c>
      <c r="AG4285">
        <v>3.2809998999999999</v>
      </c>
      <c r="AH4285">
        <v>2</v>
      </c>
      <c r="AI4285">
        <v>12</v>
      </c>
      <c r="AJ4285">
        <v>1</v>
      </c>
      <c r="AK4285">
        <v>15</v>
      </c>
      <c r="AL4285">
        <v>50</v>
      </c>
      <c r="AM4285" t="s">
        <v>43</v>
      </c>
      <c r="AN4285" t="s">
        <v>43</v>
      </c>
    </row>
    <row r="4286" spans="1:40" x14ac:dyDescent="0.3">
      <c r="A4286" s="1">
        <v>46210.503240740742</v>
      </c>
      <c r="B4286" t="s">
        <v>40</v>
      </c>
      <c r="C4286" t="s">
        <v>41</v>
      </c>
      <c r="D4286" s="1">
        <v>46210.505937499998</v>
      </c>
      <c r="E4286" t="s">
        <v>42</v>
      </c>
      <c r="F4286" t="s">
        <v>83</v>
      </c>
      <c r="G4286">
        <v>0</v>
      </c>
      <c r="H4286">
        <v>33107</v>
      </c>
      <c r="I4286" t="s">
        <v>2253</v>
      </c>
      <c r="J4286">
        <v>47</v>
      </c>
      <c r="K4286">
        <v>6</v>
      </c>
      <c r="L4286">
        <v>98</v>
      </c>
      <c r="M4286">
        <v>629.29998779000005</v>
      </c>
      <c r="N4286" t="s">
        <v>81</v>
      </c>
      <c r="O4286" t="s">
        <v>82</v>
      </c>
      <c r="P4286">
        <v>125</v>
      </c>
      <c r="Q4286" t="s">
        <v>82</v>
      </c>
      <c r="R4286">
        <v>0</v>
      </c>
      <c r="S4286">
        <v>0</v>
      </c>
      <c r="T4286">
        <v>-40</v>
      </c>
      <c r="U4286">
        <v>47</v>
      </c>
      <c r="V4286">
        <v>0</v>
      </c>
      <c r="W4286">
        <v>27</v>
      </c>
      <c r="X4286">
        <v>27</v>
      </c>
      <c r="Y4286">
        <v>1</v>
      </c>
      <c r="Z4286">
        <v>8</v>
      </c>
      <c r="AA4286">
        <v>24</v>
      </c>
      <c r="AB4286">
        <v>2</v>
      </c>
      <c r="AC4286">
        <v>6</v>
      </c>
      <c r="AD4286">
        <v>3.28299999</v>
      </c>
      <c r="AE4286">
        <v>1</v>
      </c>
      <c r="AF4286">
        <v>1</v>
      </c>
      <c r="AG4286">
        <v>3.2790000400000001</v>
      </c>
      <c r="AH4286">
        <v>1</v>
      </c>
      <c r="AI4286">
        <v>17</v>
      </c>
      <c r="AJ4286">
        <v>1</v>
      </c>
      <c r="AK4286">
        <v>16</v>
      </c>
      <c r="AL4286">
        <v>50</v>
      </c>
      <c r="AM4286" t="s">
        <v>43</v>
      </c>
      <c r="AN4286" t="str">
        <f>HYPERLINK("https://www.google.com/maps?q=10.76307011,79.69436646","Open Location")</f>
        <v>Open Location</v>
      </c>
    </row>
    <row r="4287" spans="1:40" x14ac:dyDescent="0.3">
      <c r="A4287" s="1">
        <v>46210.503125000003</v>
      </c>
      <c r="B4287" t="s">
        <v>40</v>
      </c>
      <c r="C4287" t="s">
        <v>41</v>
      </c>
      <c r="D4287" s="1">
        <v>46210.506273148145</v>
      </c>
      <c r="E4287" t="s">
        <v>42</v>
      </c>
      <c r="F4287" t="s">
        <v>83</v>
      </c>
      <c r="G4287">
        <v>0</v>
      </c>
      <c r="H4287">
        <v>33107</v>
      </c>
      <c r="I4287" t="s">
        <v>2253</v>
      </c>
      <c r="J4287">
        <v>47</v>
      </c>
      <c r="K4287">
        <v>9</v>
      </c>
      <c r="L4287">
        <v>98</v>
      </c>
      <c r="M4287">
        <v>629.40002441000001</v>
      </c>
      <c r="N4287" t="s">
        <v>81</v>
      </c>
      <c r="O4287" t="s">
        <v>82</v>
      </c>
      <c r="P4287">
        <v>125</v>
      </c>
      <c r="Q4287" t="s">
        <v>82</v>
      </c>
      <c r="R4287">
        <v>0</v>
      </c>
      <c r="S4287">
        <v>0</v>
      </c>
      <c r="T4287">
        <v>-40</v>
      </c>
      <c r="U4287">
        <v>47</v>
      </c>
      <c r="V4287">
        <v>0</v>
      </c>
      <c r="W4287">
        <v>27</v>
      </c>
      <c r="X4287">
        <v>27</v>
      </c>
      <c r="Y4287">
        <v>1</v>
      </c>
      <c r="Z4287">
        <v>7</v>
      </c>
      <c r="AA4287">
        <v>24</v>
      </c>
      <c r="AB4287">
        <v>2</v>
      </c>
      <c r="AC4287">
        <v>6</v>
      </c>
      <c r="AD4287">
        <v>3.2820000600000001</v>
      </c>
      <c r="AE4287">
        <v>1</v>
      </c>
      <c r="AF4287">
        <v>1</v>
      </c>
      <c r="AG4287">
        <v>3.2780001200000002</v>
      </c>
      <c r="AH4287">
        <v>2</v>
      </c>
      <c r="AI4287">
        <v>38</v>
      </c>
      <c r="AJ4287">
        <v>1</v>
      </c>
      <c r="AK4287">
        <v>18</v>
      </c>
      <c r="AL4287">
        <v>50</v>
      </c>
      <c r="AM4287" t="s">
        <v>43</v>
      </c>
      <c r="AN4287" t="str">
        <f>HYPERLINK("https://www.google.com/maps?q=10.76307011,79.69436646","Open Location")</f>
        <v>Open Location</v>
      </c>
    </row>
    <row r="4288" spans="1:40" x14ac:dyDescent="0.3">
      <c r="A4288" s="1">
        <v>46210.503009259257</v>
      </c>
      <c r="B4288" t="s">
        <v>40</v>
      </c>
      <c r="C4288" t="s">
        <v>41</v>
      </c>
      <c r="D4288" s="1">
        <v>46210.505659722221</v>
      </c>
      <c r="E4288" t="s">
        <v>42</v>
      </c>
      <c r="F4288" t="s">
        <v>83</v>
      </c>
      <c r="G4288">
        <v>0</v>
      </c>
      <c r="H4288" t="s">
        <v>43</v>
      </c>
      <c r="I4288" t="s">
        <v>2220</v>
      </c>
      <c r="J4288">
        <v>47</v>
      </c>
      <c r="K4288">
        <v>8</v>
      </c>
      <c r="L4288">
        <v>98</v>
      </c>
      <c r="M4288">
        <v>629.40002441000001</v>
      </c>
      <c r="N4288" t="s">
        <v>81</v>
      </c>
      <c r="O4288" t="s">
        <v>82</v>
      </c>
      <c r="P4288">
        <v>125</v>
      </c>
      <c r="Q4288" t="s">
        <v>82</v>
      </c>
      <c r="R4288">
        <v>0</v>
      </c>
      <c r="S4288">
        <v>0</v>
      </c>
      <c r="T4288">
        <v>-40</v>
      </c>
      <c r="U4288">
        <v>47</v>
      </c>
      <c r="V4288">
        <v>0</v>
      </c>
      <c r="W4288">
        <v>27</v>
      </c>
      <c r="X4288">
        <v>27</v>
      </c>
      <c r="Y4288">
        <v>1</v>
      </c>
      <c r="Z4288">
        <v>7</v>
      </c>
      <c r="AA4288">
        <v>24</v>
      </c>
      <c r="AB4288">
        <v>2</v>
      </c>
      <c r="AC4288">
        <v>6</v>
      </c>
      <c r="AD4288">
        <v>3.2820000600000001</v>
      </c>
      <c r="AE4288">
        <v>1</v>
      </c>
      <c r="AF4288">
        <v>1</v>
      </c>
      <c r="AG4288">
        <v>3.2780001200000002</v>
      </c>
      <c r="AH4288">
        <v>5</v>
      </c>
      <c r="AI4288">
        <v>10</v>
      </c>
      <c r="AJ4288">
        <v>1</v>
      </c>
      <c r="AK4288">
        <v>27</v>
      </c>
      <c r="AL4288">
        <v>50</v>
      </c>
      <c r="AM4288" t="s">
        <v>43</v>
      </c>
      <c r="AN4288" t="str">
        <f>HYPERLINK("https://www.google.com/maps?q=10.76306725,79.69436646","Open Location")</f>
        <v>Open Location</v>
      </c>
    </row>
    <row r="4289" spans="1:40" x14ac:dyDescent="0.3">
      <c r="A4289" s="1">
        <v>46210.502893518518</v>
      </c>
      <c r="B4289" t="s">
        <v>40</v>
      </c>
      <c r="C4289" t="s">
        <v>41</v>
      </c>
      <c r="D4289" s="1">
        <v>46210.505624999998</v>
      </c>
      <c r="E4289" t="s">
        <v>42</v>
      </c>
      <c r="F4289" t="s">
        <v>83</v>
      </c>
      <c r="G4289">
        <v>0</v>
      </c>
      <c r="H4289">
        <v>33107</v>
      </c>
      <c r="I4289" t="s">
        <v>2224</v>
      </c>
      <c r="J4289">
        <v>0</v>
      </c>
      <c r="K4289">
        <v>-3200</v>
      </c>
      <c r="L4289">
        <v>0</v>
      </c>
      <c r="M4289">
        <v>0</v>
      </c>
      <c r="N4289" t="s">
        <v>81</v>
      </c>
      <c r="O4289" t="s">
        <v>82</v>
      </c>
      <c r="P4289">
        <v>125</v>
      </c>
      <c r="Q4289" t="s">
        <v>43</v>
      </c>
      <c r="R4289">
        <v>0</v>
      </c>
      <c r="S4289">
        <v>0</v>
      </c>
      <c r="T4289">
        <v>-40</v>
      </c>
      <c r="U4289">
        <v>47</v>
      </c>
      <c r="V4289">
        <v>0</v>
      </c>
      <c r="W4289">
        <v>27</v>
      </c>
      <c r="X4289">
        <v>27</v>
      </c>
      <c r="Y4289">
        <v>1</v>
      </c>
      <c r="Z4289">
        <v>8</v>
      </c>
      <c r="AA4289">
        <v>24</v>
      </c>
      <c r="AB4289">
        <v>2</v>
      </c>
      <c r="AC4289">
        <v>6</v>
      </c>
      <c r="AD4289">
        <v>3.2839999199999999</v>
      </c>
      <c r="AE4289">
        <v>1</v>
      </c>
      <c r="AF4289">
        <v>1</v>
      </c>
      <c r="AG4289">
        <v>3.2820000600000001</v>
      </c>
      <c r="AH4289">
        <v>1</v>
      </c>
      <c r="AI4289">
        <v>4</v>
      </c>
      <c r="AJ4289">
        <v>0</v>
      </c>
      <c r="AK4289">
        <v>0</v>
      </c>
      <c r="AL4289">
        <v>50</v>
      </c>
      <c r="AM4289" t="s">
        <v>43</v>
      </c>
      <c r="AN4289" t="str">
        <f>HYPERLINK("https://www.google.com/maps?q=10.76306915,79.69437408","Open Location")</f>
        <v>Open Location</v>
      </c>
    </row>
    <row r="4290" spans="1:40" x14ac:dyDescent="0.3">
      <c r="A4290" s="1">
        <v>46210.50277777778</v>
      </c>
      <c r="B4290" t="s">
        <v>40</v>
      </c>
      <c r="C4290" t="s">
        <v>41</v>
      </c>
      <c r="D4290" s="1">
        <v>46210.505497685182</v>
      </c>
      <c r="E4290" t="s">
        <v>42</v>
      </c>
      <c r="F4290" t="s">
        <v>43</v>
      </c>
      <c r="G4290" t="s">
        <v>43</v>
      </c>
      <c r="H4290" t="s">
        <v>43</v>
      </c>
      <c r="I4290" t="s">
        <v>2251</v>
      </c>
      <c r="J4290" t="s">
        <v>43</v>
      </c>
      <c r="K4290" t="s">
        <v>43</v>
      </c>
      <c r="L4290" t="s">
        <v>43</v>
      </c>
      <c r="M4290" t="s">
        <v>43</v>
      </c>
      <c r="N4290" t="s">
        <v>45</v>
      </c>
      <c r="O4290" t="s">
        <v>43</v>
      </c>
      <c r="P4290" t="s">
        <v>43</v>
      </c>
      <c r="Q4290" t="s">
        <v>43</v>
      </c>
      <c r="R4290" t="s">
        <v>43</v>
      </c>
      <c r="S4290" t="s">
        <v>43</v>
      </c>
      <c r="T4290" t="s">
        <v>43</v>
      </c>
      <c r="U4290" t="s">
        <v>43</v>
      </c>
      <c r="V4290" t="s">
        <v>43</v>
      </c>
      <c r="W4290" t="s">
        <v>43</v>
      </c>
      <c r="X4290" t="s">
        <v>43</v>
      </c>
      <c r="Y4290" t="s">
        <v>43</v>
      </c>
      <c r="Z4290" t="s">
        <v>43</v>
      </c>
      <c r="AA4290" t="s">
        <v>43</v>
      </c>
      <c r="AB4290" t="s">
        <v>43</v>
      </c>
      <c r="AC4290" t="s">
        <v>43</v>
      </c>
      <c r="AD4290" t="s">
        <v>43</v>
      </c>
      <c r="AE4290" t="s">
        <v>43</v>
      </c>
      <c r="AF4290" t="s">
        <v>43</v>
      </c>
      <c r="AG4290" t="s">
        <v>43</v>
      </c>
      <c r="AH4290" t="s">
        <v>43</v>
      </c>
      <c r="AI4290" t="s">
        <v>43</v>
      </c>
      <c r="AJ4290" t="s">
        <v>43</v>
      </c>
      <c r="AK4290" t="s">
        <v>43</v>
      </c>
      <c r="AL4290" t="s">
        <v>43</v>
      </c>
      <c r="AM4290" t="s">
        <v>43</v>
      </c>
      <c r="AN4290" t="str">
        <f>HYPERLINK("https://www.google.com/maps?q=10.76307201,79.69437408","Open Location")</f>
        <v>Open Location</v>
      </c>
    </row>
    <row r="4291" spans="1:40" x14ac:dyDescent="0.3">
      <c r="A4291" s="1">
        <v>46210.502662037034</v>
      </c>
      <c r="B4291" t="s">
        <v>40</v>
      </c>
      <c r="C4291" t="s">
        <v>41</v>
      </c>
      <c r="D4291" s="1">
        <v>46210.505856481483</v>
      </c>
      <c r="E4291" t="s">
        <v>42</v>
      </c>
      <c r="F4291" t="s">
        <v>43</v>
      </c>
      <c r="G4291" t="s">
        <v>43</v>
      </c>
      <c r="H4291" t="s">
        <v>43</v>
      </c>
      <c r="I4291" t="s">
        <v>43</v>
      </c>
      <c r="J4291" t="s">
        <v>43</v>
      </c>
      <c r="K4291" t="s">
        <v>43</v>
      </c>
      <c r="L4291" t="s">
        <v>43</v>
      </c>
      <c r="M4291" t="s">
        <v>43</v>
      </c>
      <c r="N4291" t="s">
        <v>45</v>
      </c>
      <c r="O4291" t="s">
        <v>43</v>
      </c>
      <c r="P4291" t="s">
        <v>43</v>
      </c>
      <c r="Q4291" t="s">
        <v>43</v>
      </c>
      <c r="R4291" t="s">
        <v>43</v>
      </c>
      <c r="S4291" t="s">
        <v>43</v>
      </c>
      <c r="T4291" t="s">
        <v>43</v>
      </c>
      <c r="U4291" t="s">
        <v>43</v>
      </c>
      <c r="V4291" t="s">
        <v>43</v>
      </c>
      <c r="W4291" t="s">
        <v>43</v>
      </c>
      <c r="X4291" t="s">
        <v>43</v>
      </c>
      <c r="Y4291" t="s">
        <v>43</v>
      </c>
      <c r="Z4291" t="s">
        <v>43</v>
      </c>
      <c r="AA4291" t="s">
        <v>43</v>
      </c>
      <c r="AB4291" t="s">
        <v>43</v>
      </c>
      <c r="AC4291" t="s">
        <v>43</v>
      </c>
      <c r="AD4291" t="s">
        <v>43</v>
      </c>
      <c r="AE4291" t="s">
        <v>43</v>
      </c>
      <c r="AF4291" t="s">
        <v>43</v>
      </c>
      <c r="AG4291" t="s">
        <v>43</v>
      </c>
      <c r="AH4291" t="s">
        <v>43</v>
      </c>
      <c r="AI4291" t="s">
        <v>43</v>
      </c>
      <c r="AJ4291" t="s">
        <v>43</v>
      </c>
      <c r="AK4291" t="s">
        <v>43</v>
      </c>
      <c r="AL4291" t="s">
        <v>43</v>
      </c>
      <c r="AM4291" t="s">
        <v>43</v>
      </c>
      <c r="AN4291" t="s">
        <v>43</v>
      </c>
    </row>
    <row r="4292" spans="1:40" x14ac:dyDescent="0.3">
      <c r="A4292" s="1">
        <v>46210.502546296295</v>
      </c>
      <c r="B4292" t="s">
        <v>40</v>
      </c>
      <c r="C4292" t="s">
        <v>41</v>
      </c>
      <c r="D4292" s="1">
        <v>46210.505439814813</v>
      </c>
      <c r="E4292" t="s">
        <v>42</v>
      </c>
      <c r="F4292" t="s">
        <v>43</v>
      </c>
      <c r="G4292" t="s">
        <v>43</v>
      </c>
      <c r="H4292" t="s">
        <v>43</v>
      </c>
      <c r="I4292" t="s">
        <v>2304</v>
      </c>
      <c r="J4292" t="s">
        <v>43</v>
      </c>
      <c r="K4292" t="s">
        <v>43</v>
      </c>
      <c r="L4292" t="s">
        <v>43</v>
      </c>
      <c r="M4292" t="s">
        <v>43</v>
      </c>
      <c r="N4292" t="s">
        <v>45</v>
      </c>
      <c r="O4292" t="s">
        <v>43</v>
      </c>
      <c r="P4292" t="s">
        <v>43</v>
      </c>
      <c r="Q4292" t="s">
        <v>43</v>
      </c>
      <c r="R4292" t="s">
        <v>43</v>
      </c>
      <c r="S4292" t="s">
        <v>43</v>
      </c>
      <c r="T4292" t="s">
        <v>43</v>
      </c>
      <c r="U4292" t="s">
        <v>43</v>
      </c>
      <c r="V4292" t="s">
        <v>43</v>
      </c>
      <c r="W4292" t="s">
        <v>43</v>
      </c>
      <c r="X4292" t="s">
        <v>43</v>
      </c>
      <c r="Y4292" t="s">
        <v>43</v>
      </c>
      <c r="Z4292" t="s">
        <v>43</v>
      </c>
      <c r="AA4292" t="s">
        <v>43</v>
      </c>
      <c r="AB4292" t="s">
        <v>43</v>
      </c>
      <c r="AC4292" t="s">
        <v>43</v>
      </c>
      <c r="AD4292" t="s">
        <v>43</v>
      </c>
      <c r="AE4292" t="s">
        <v>43</v>
      </c>
      <c r="AF4292" t="s">
        <v>43</v>
      </c>
      <c r="AG4292" t="s">
        <v>43</v>
      </c>
      <c r="AH4292" t="s">
        <v>43</v>
      </c>
      <c r="AI4292" t="s">
        <v>43</v>
      </c>
      <c r="AJ4292" t="s">
        <v>43</v>
      </c>
      <c r="AK4292" t="s">
        <v>43</v>
      </c>
      <c r="AL4292" t="s">
        <v>43</v>
      </c>
      <c r="AM4292" t="s">
        <v>43</v>
      </c>
      <c r="AN4292" t="str">
        <f>HYPERLINK("https://www.google.com/maps?q=10.76307011,79.69438171","Open Location")</f>
        <v>Open Location</v>
      </c>
    </row>
    <row r="4293" spans="1:40" x14ac:dyDescent="0.3">
      <c r="A4293" s="1">
        <v>46210.502430555556</v>
      </c>
      <c r="B4293" t="s">
        <v>40</v>
      </c>
      <c r="C4293" t="s">
        <v>41</v>
      </c>
      <c r="D4293" s="1">
        <v>46210.505219907405</v>
      </c>
      <c r="E4293" t="s">
        <v>42</v>
      </c>
      <c r="F4293" t="s">
        <v>43</v>
      </c>
      <c r="G4293" t="s">
        <v>43</v>
      </c>
      <c r="H4293" t="s">
        <v>43</v>
      </c>
      <c r="I4293" t="s">
        <v>2269</v>
      </c>
      <c r="J4293" t="s">
        <v>43</v>
      </c>
      <c r="K4293" t="s">
        <v>43</v>
      </c>
      <c r="L4293" t="s">
        <v>43</v>
      </c>
      <c r="M4293" t="s">
        <v>43</v>
      </c>
      <c r="N4293" t="s">
        <v>45</v>
      </c>
      <c r="O4293" t="s">
        <v>43</v>
      </c>
      <c r="P4293" t="s">
        <v>43</v>
      </c>
      <c r="Q4293" t="s">
        <v>43</v>
      </c>
      <c r="R4293" t="s">
        <v>43</v>
      </c>
      <c r="S4293" t="s">
        <v>43</v>
      </c>
      <c r="T4293" t="s">
        <v>43</v>
      </c>
      <c r="U4293" t="s">
        <v>43</v>
      </c>
      <c r="V4293" t="s">
        <v>43</v>
      </c>
      <c r="W4293" t="s">
        <v>43</v>
      </c>
      <c r="X4293" t="s">
        <v>43</v>
      </c>
      <c r="Y4293" t="s">
        <v>43</v>
      </c>
      <c r="Z4293" t="s">
        <v>43</v>
      </c>
      <c r="AA4293" t="s">
        <v>43</v>
      </c>
      <c r="AB4293" t="s">
        <v>43</v>
      </c>
      <c r="AC4293" t="s">
        <v>43</v>
      </c>
      <c r="AD4293" t="s">
        <v>43</v>
      </c>
      <c r="AE4293" t="s">
        <v>43</v>
      </c>
      <c r="AF4293" t="s">
        <v>43</v>
      </c>
      <c r="AG4293" t="s">
        <v>43</v>
      </c>
      <c r="AH4293" t="s">
        <v>43</v>
      </c>
      <c r="AI4293" t="s">
        <v>43</v>
      </c>
      <c r="AJ4293" t="s">
        <v>43</v>
      </c>
      <c r="AK4293" t="s">
        <v>43</v>
      </c>
      <c r="AL4293" t="s">
        <v>43</v>
      </c>
      <c r="AM4293" t="s">
        <v>43</v>
      </c>
      <c r="AN4293" t="str">
        <f>HYPERLINK("https://www.google.com/maps?q=10.76306915,79.69438171","Open Location")</f>
        <v>Open Location</v>
      </c>
    </row>
    <row r="4294" spans="1:40" x14ac:dyDescent="0.3">
      <c r="A4294" s="1">
        <v>46210.502314814818</v>
      </c>
      <c r="B4294" t="s">
        <v>40</v>
      </c>
      <c r="C4294" t="s">
        <v>41</v>
      </c>
      <c r="D4294" s="1">
        <v>46210.505127314813</v>
      </c>
      <c r="E4294" t="s">
        <v>42</v>
      </c>
      <c r="F4294" t="s">
        <v>43</v>
      </c>
      <c r="G4294" t="s">
        <v>43</v>
      </c>
      <c r="H4294" t="s">
        <v>43</v>
      </c>
      <c r="I4294" t="s">
        <v>2400</v>
      </c>
      <c r="J4294" t="s">
        <v>43</v>
      </c>
      <c r="K4294" t="s">
        <v>43</v>
      </c>
      <c r="L4294" t="s">
        <v>43</v>
      </c>
      <c r="M4294" t="s">
        <v>43</v>
      </c>
      <c r="N4294" t="s">
        <v>45</v>
      </c>
      <c r="O4294" t="s">
        <v>43</v>
      </c>
      <c r="P4294" t="s">
        <v>43</v>
      </c>
      <c r="Q4294" t="s">
        <v>43</v>
      </c>
      <c r="R4294" t="s">
        <v>43</v>
      </c>
      <c r="S4294" t="s">
        <v>43</v>
      </c>
      <c r="T4294" t="s">
        <v>43</v>
      </c>
      <c r="U4294" t="s">
        <v>43</v>
      </c>
      <c r="V4294" t="s">
        <v>43</v>
      </c>
      <c r="W4294" t="s">
        <v>43</v>
      </c>
      <c r="X4294" t="s">
        <v>43</v>
      </c>
      <c r="Y4294" t="s">
        <v>43</v>
      </c>
      <c r="Z4294" t="s">
        <v>43</v>
      </c>
      <c r="AA4294" t="s">
        <v>43</v>
      </c>
      <c r="AB4294" t="s">
        <v>43</v>
      </c>
      <c r="AC4294" t="s">
        <v>43</v>
      </c>
      <c r="AD4294" t="s">
        <v>43</v>
      </c>
      <c r="AE4294" t="s">
        <v>43</v>
      </c>
      <c r="AF4294" t="s">
        <v>43</v>
      </c>
      <c r="AG4294" t="s">
        <v>43</v>
      </c>
      <c r="AH4294" t="s">
        <v>43</v>
      </c>
      <c r="AI4294" t="s">
        <v>43</v>
      </c>
      <c r="AJ4294" t="s">
        <v>43</v>
      </c>
      <c r="AK4294" t="s">
        <v>43</v>
      </c>
      <c r="AL4294" t="s">
        <v>43</v>
      </c>
      <c r="AM4294" t="s">
        <v>43</v>
      </c>
      <c r="AN4294" t="str">
        <f>HYPERLINK("https://www.google.com/maps?q=10.76306725,79.69438171","Open Location")</f>
        <v>Open Location</v>
      </c>
    </row>
    <row r="4295" spans="1:40" x14ac:dyDescent="0.3">
      <c r="A4295" s="1">
        <v>46210.502199074072</v>
      </c>
      <c r="B4295" t="s">
        <v>40</v>
      </c>
      <c r="C4295" t="s">
        <v>41</v>
      </c>
      <c r="D4295" s="1">
        <v>46210.505127314813</v>
      </c>
      <c r="E4295" t="s">
        <v>42</v>
      </c>
      <c r="F4295" t="s">
        <v>43</v>
      </c>
      <c r="G4295" t="s">
        <v>43</v>
      </c>
      <c r="H4295" t="s">
        <v>43</v>
      </c>
      <c r="I4295" t="s">
        <v>2236</v>
      </c>
      <c r="J4295" t="s">
        <v>43</v>
      </c>
      <c r="K4295" t="s">
        <v>43</v>
      </c>
      <c r="L4295" t="s">
        <v>43</v>
      </c>
      <c r="M4295" t="s">
        <v>43</v>
      </c>
      <c r="N4295" t="s">
        <v>45</v>
      </c>
      <c r="O4295" t="s">
        <v>43</v>
      </c>
      <c r="P4295" t="s">
        <v>43</v>
      </c>
      <c r="Q4295" t="s">
        <v>43</v>
      </c>
      <c r="R4295" t="s">
        <v>43</v>
      </c>
      <c r="S4295" t="s">
        <v>43</v>
      </c>
      <c r="T4295" t="s">
        <v>43</v>
      </c>
      <c r="U4295" t="s">
        <v>43</v>
      </c>
      <c r="V4295" t="s">
        <v>43</v>
      </c>
      <c r="W4295" t="s">
        <v>43</v>
      </c>
      <c r="X4295" t="s">
        <v>43</v>
      </c>
      <c r="Y4295" t="s">
        <v>43</v>
      </c>
      <c r="Z4295" t="s">
        <v>43</v>
      </c>
      <c r="AA4295" t="s">
        <v>43</v>
      </c>
      <c r="AB4295" t="s">
        <v>43</v>
      </c>
      <c r="AC4295" t="s">
        <v>43</v>
      </c>
      <c r="AD4295" t="s">
        <v>43</v>
      </c>
      <c r="AE4295" t="s">
        <v>43</v>
      </c>
      <c r="AF4295" t="s">
        <v>43</v>
      </c>
      <c r="AG4295" t="s">
        <v>43</v>
      </c>
      <c r="AH4295" t="s">
        <v>43</v>
      </c>
      <c r="AI4295" t="s">
        <v>43</v>
      </c>
      <c r="AJ4295" t="s">
        <v>43</v>
      </c>
      <c r="AK4295" t="s">
        <v>43</v>
      </c>
      <c r="AL4295" t="s">
        <v>43</v>
      </c>
      <c r="AM4295" t="s">
        <v>43</v>
      </c>
      <c r="AN4295" t="str">
        <f>HYPERLINK("https://www.google.com/maps?q=10.76305962,79.69438171","Open Location")</f>
        <v>Open Location</v>
      </c>
    </row>
    <row r="4296" spans="1:40" x14ac:dyDescent="0.3">
      <c r="A4296" s="1">
        <v>46210.502083333333</v>
      </c>
      <c r="B4296" t="s">
        <v>40</v>
      </c>
      <c r="C4296" t="s">
        <v>41</v>
      </c>
      <c r="D4296" s="1">
        <v>46210.504861111112</v>
      </c>
      <c r="E4296" t="s">
        <v>42</v>
      </c>
      <c r="F4296" t="s">
        <v>43</v>
      </c>
      <c r="G4296" t="s">
        <v>43</v>
      </c>
      <c r="H4296" t="s">
        <v>43</v>
      </c>
      <c r="I4296" t="s">
        <v>43</v>
      </c>
      <c r="J4296" t="s">
        <v>43</v>
      </c>
      <c r="K4296" t="s">
        <v>43</v>
      </c>
      <c r="L4296" t="s">
        <v>43</v>
      </c>
      <c r="M4296" t="s">
        <v>43</v>
      </c>
      <c r="N4296" t="s">
        <v>45</v>
      </c>
      <c r="O4296" t="s">
        <v>43</v>
      </c>
      <c r="P4296" t="s">
        <v>43</v>
      </c>
      <c r="Q4296" t="s">
        <v>43</v>
      </c>
      <c r="R4296" t="s">
        <v>43</v>
      </c>
      <c r="S4296" t="s">
        <v>43</v>
      </c>
      <c r="T4296" t="s">
        <v>43</v>
      </c>
      <c r="U4296" t="s">
        <v>43</v>
      </c>
      <c r="V4296" t="s">
        <v>43</v>
      </c>
      <c r="W4296" t="s">
        <v>43</v>
      </c>
      <c r="X4296" t="s">
        <v>43</v>
      </c>
      <c r="Y4296" t="s">
        <v>43</v>
      </c>
      <c r="Z4296" t="s">
        <v>43</v>
      </c>
      <c r="AA4296" t="s">
        <v>43</v>
      </c>
      <c r="AB4296" t="s">
        <v>43</v>
      </c>
      <c r="AC4296" t="s">
        <v>43</v>
      </c>
      <c r="AD4296" t="s">
        <v>43</v>
      </c>
      <c r="AE4296" t="s">
        <v>43</v>
      </c>
      <c r="AF4296" t="s">
        <v>43</v>
      </c>
      <c r="AG4296" t="s">
        <v>43</v>
      </c>
      <c r="AH4296" t="s">
        <v>43</v>
      </c>
      <c r="AI4296" t="s">
        <v>43</v>
      </c>
      <c r="AJ4296" t="s">
        <v>43</v>
      </c>
      <c r="AK4296" t="s">
        <v>43</v>
      </c>
      <c r="AL4296" t="s">
        <v>43</v>
      </c>
      <c r="AM4296" t="s">
        <v>43</v>
      </c>
      <c r="AN4296" t="s">
        <v>43</v>
      </c>
    </row>
    <row r="4297" spans="1:40" x14ac:dyDescent="0.3">
      <c r="A4297" s="1">
        <v>46210.501967592594</v>
      </c>
      <c r="B4297" t="s">
        <v>40</v>
      </c>
      <c r="C4297" t="s">
        <v>41</v>
      </c>
      <c r="D4297" s="1">
        <v>46210.504745370374</v>
      </c>
      <c r="E4297" t="s">
        <v>42</v>
      </c>
      <c r="F4297" t="s">
        <v>43</v>
      </c>
      <c r="G4297" t="s">
        <v>43</v>
      </c>
      <c r="H4297" t="s">
        <v>43</v>
      </c>
      <c r="I4297" t="s">
        <v>2236</v>
      </c>
      <c r="J4297" t="s">
        <v>43</v>
      </c>
      <c r="K4297" t="s">
        <v>43</v>
      </c>
      <c r="L4297" t="s">
        <v>43</v>
      </c>
      <c r="M4297" t="s">
        <v>43</v>
      </c>
      <c r="N4297" t="s">
        <v>45</v>
      </c>
      <c r="O4297" t="s">
        <v>43</v>
      </c>
      <c r="P4297" t="s">
        <v>43</v>
      </c>
      <c r="Q4297" t="s">
        <v>43</v>
      </c>
      <c r="R4297" t="s">
        <v>43</v>
      </c>
      <c r="S4297" t="s">
        <v>43</v>
      </c>
      <c r="T4297" t="s">
        <v>43</v>
      </c>
      <c r="U4297" t="s">
        <v>43</v>
      </c>
      <c r="V4297" t="s">
        <v>43</v>
      </c>
      <c r="W4297" t="s">
        <v>43</v>
      </c>
      <c r="X4297" t="s">
        <v>43</v>
      </c>
      <c r="Y4297" t="s">
        <v>43</v>
      </c>
      <c r="Z4297" t="s">
        <v>43</v>
      </c>
      <c r="AA4297" t="s">
        <v>43</v>
      </c>
      <c r="AB4297" t="s">
        <v>43</v>
      </c>
      <c r="AC4297" t="s">
        <v>43</v>
      </c>
      <c r="AD4297" t="s">
        <v>43</v>
      </c>
      <c r="AE4297" t="s">
        <v>43</v>
      </c>
      <c r="AF4297" t="s">
        <v>43</v>
      </c>
      <c r="AG4297" t="s">
        <v>43</v>
      </c>
      <c r="AH4297" t="s">
        <v>43</v>
      </c>
      <c r="AI4297" t="s">
        <v>43</v>
      </c>
      <c r="AJ4297" t="s">
        <v>43</v>
      </c>
      <c r="AK4297" t="s">
        <v>43</v>
      </c>
      <c r="AL4297" t="s">
        <v>43</v>
      </c>
      <c r="AM4297" t="s">
        <v>43</v>
      </c>
      <c r="AN4297" t="str">
        <f>HYPERLINK("https://www.google.com/maps?q=10.76305962,79.69438171","Open Location")</f>
        <v>Open Location</v>
      </c>
    </row>
    <row r="4298" spans="1:40" x14ac:dyDescent="0.3">
      <c r="A4298" s="1">
        <v>46210.501851851855</v>
      </c>
      <c r="B4298" t="s">
        <v>40</v>
      </c>
      <c r="C4298" t="s">
        <v>41</v>
      </c>
      <c r="D4298" s="1">
        <v>46210.504479166666</v>
      </c>
      <c r="E4298" t="s">
        <v>42</v>
      </c>
      <c r="F4298" t="s">
        <v>43</v>
      </c>
      <c r="G4298" t="s">
        <v>43</v>
      </c>
      <c r="H4298" t="s">
        <v>43</v>
      </c>
      <c r="I4298" t="s">
        <v>2234</v>
      </c>
      <c r="J4298" t="s">
        <v>43</v>
      </c>
      <c r="K4298" t="s">
        <v>43</v>
      </c>
      <c r="L4298" t="s">
        <v>43</v>
      </c>
      <c r="M4298" t="s">
        <v>43</v>
      </c>
      <c r="N4298" t="s">
        <v>45</v>
      </c>
      <c r="O4298" t="s">
        <v>43</v>
      </c>
      <c r="P4298" t="s">
        <v>43</v>
      </c>
      <c r="Q4298" t="s">
        <v>43</v>
      </c>
      <c r="R4298" t="s">
        <v>43</v>
      </c>
      <c r="S4298" t="s">
        <v>43</v>
      </c>
      <c r="T4298" t="s">
        <v>43</v>
      </c>
      <c r="U4298" t="s">
        <v>43</v>
      </c>
      <c r="V4298" t="s">
        <v>43</v>
      </c>
      <c r="W4298" t="s">
        <v>43</v>
      </c>
      <c r="X4298" t="s">
        <v>43</v>
      </c>
      <c r="Y4298" t="s">
        <v>43</v>
      </c>
      <c r="Z4298" t="s">
        <v>43</v>
      </c>
      <c r="AA4298" t="s">
        <v>43</v>
      </c>
      <c r="AB4298" t="s">
        <v>43</v>
      </c>
      <c r="AC4298" t="s">
        <v>43</v>
      </c>
      <c r="AD4298" t="s">
        <v>43</v>
      </c>
      <c r="AE4298" t="s">
        <v>43</v>
      </c>
      <c r="AF4298" t="s">
        <v>43</v>
      </c>
      <c r="AG4298" t="s">
        <v>43</v>
      </c>
      <c r="AH4298" t="s">
        <v>43</v>
      </c>
      <c r="AI4298" t="s">
        <v>43</v>
      </c>
      <c r="AJ4298" t="s">
        <v>43</v>
      </c>
      <c r="AK4298" t="s">
        <v>43</v>
      </c>
      <c r="AL4298" t="s">
        <v>43</v>
      </c>
      <c r="AM4298" t="s">
        <v>43</v>
      </c>
      <c r="AN4298" t="str">
        <f>HYPERLINK("https://www.google.com/maps?q=10.76305771,79.69438171","Open Location")</f>
        <v>Open Location</v>
      </c>
    </row>
    <row r="4299" spans="1:40" x14ac:dyDescent="0.3">
      <c r="A4299" s="1">
        <v>46210.501736111109</v>
      </c>
      <c r="B4299" t="s">
        <v>40</v>
      </c>
      <c r="C4299" t="s">
        <v>41</v>
      </c>
      <c r="D4299" s="1">
        <v>46210.504861111112</v>
      </c>
      <c r="E4299" t="s">
        <v>42</v>
      </c>
      <c r="F4299" t="s">
        <v>43</v>
      </c>
      <c r="G4299" t="s">
        <v>43</v>
      </c>
      <c r="H4299" t="s">
        <v>43</v>
      </c>
      <c r="I4299" t="s">
        <v>2308</v>
      </c>
      <c r="J4299" t="s">
        <v>43</v>
      </c>
      <c r="K4299" t="s">
        <v>43</v>
      </c>
      <c r="L4299" t="s">
        <v>43</v>
      </c>
      <c r="M4299" t="s">
        <v>43</v>
      </c>
      <c r="N4299" t="s">
        <v>45</v>
      </c>
      <c r="O4299" t="s">
        <v>43</v>
      </c>
      <c r="P4299" t="s">
        <v>43</v>
      </c>
      <c r="Q4299" t="s">
        <v>43</v>
      </c>
      <c r="R4299" t="s">
        <v>43</v>
      </c>
      <c r="S4299" t="s">
        <v>43</v>
      </c>
      <c r="T4299" t="s">
        <v>43</v>
      </c>
      <c r="U4299" t="s">
        <v>43</v>
      </c>
      <c r="V4299" t="s">
        <v>43</v>
      </c>
      <c r="W4299" t="s">
        <v>43</v>
      </c>
      <c r="X4299" t="s">
        <v>43</v>
      </c>
      <c r="Y4299" t="s">
        <v>43</v>
      </c>
      <c r="Z4299" t="s">
        <v>43</v>
      </c>
      <c r="AA4299" t="s">
        <v>43</v>
      </c>
      <c r="AB4299" t="s">
        <v>43</v>
      </c>
      <c r="AC4299" t="s">
        <v>43</v>
      </c>
      <c r="AD4299" t="s">
        <v>43</v>
      </c>
      <c r="AE4299" t="s">
        <v>43</v>
      </c>
      <c r="AF4299" t="s">
        <v>43</v>
      </c>
      <c r="AG4299" t="s">
        <v>43</v>
      </c>
      <c r="AH4299" t="s">
        <v>43</v>
      </c>
      <c r="AI4299" t="s">
        <v>43</v>
      </c>
      <c r="AJ4299" t="s">
        <v>43</v>
      </c>
      <c r="AK4299" t="s">
        <v>43</v>
      </c>
      <c r="AL4299" t="s">
        <v>43</v>
      </c>
      <c r="AM4299" t="s">
        <v>43</v>
      </c>
      <c r="AN4299" t="str">
        <f>HYPERLINK("https://www.google.com/maps?q=10.76305771,79.69437408","Open Location")</f>
        <v>Open Location</v>
      </c>
    </row>
    <row r="4300" spans="1:40" x14ac:dyDescent="0.3">
      <c r="A4300" s="1">
        <v>46210.501620370371</v>
      </c>
      <c r="B4300" t="s">
        <v>40</v>
      </c>
      <c r="C4300" t="s">
        <v>41</v>
      </c>
      <c r="D4300" s="1">
        <v>46210.50440972222</v>
      </c>
      <c r="E4300" t="s">
        <v>42</v>
      </c>
      <c r="F4300" t="s">
        <v>43</v>
      </c>
      <c r="G4300" t="s">
        <v>43</v>
      </c>
      <c r="H4300" t="s">
        <v>43</v>
      </c>
      <c r="I4300" t="s">
        <v>2199</v>
      </c>
      <c r="J4300" t="s">
        <v>43</v>
      </c>
      <c r="K4300" t="s">
        <v>43</v>
      </c>
      <c r="L4300" t="s">
        <v>43</v>
      </c>
      <c r="M4300" t="s">
        <v>43</v>
      </c>
      <c r="N4300" t="s">
        <v>45</v>
      </c>
      <c r="O4300" t="s">
        <v>43</v>
      </c>
      <c r="P4300" t="s">
        <v>43</v>
      </c>
      <c r="Q4300" t="s">
        <v>43</v>
      </c>
      <c r="R4300" t="s">
        <v>43</v>
      </c>
      <c r="S4300" t="s">
        <v>43</v>
      </c>
      <c r="T4300" t="s">
        <v>43</v>
      </c>
      <c r="U4300" t="s">
        <v>43</v>
      </c>
      <c r="V4300" t="s">
        <v>43</v>
      </c>
      <c r="W4300" t="s">
        <v>43</v>
      </c>
      <c r="X4300" t="s">
        <v>43</v>
      </c>
      <c r="Y4300" t="s">
        <v>43</v>
      </c>
      <c r="Z4300" t="s">
        <v>43</v>
      </c>
      <c r="AA4300" t="s">
        <v>43</v>
      </c>
      <c r="AB4300" t="s">
        <v>43</v>
      </c>
      <c r="AC4300" t="s">
        <v>43</v>
      </c>
      <c r="AD4300" t="s">
        <v>43</v>
      </c>
      <c r="AE4300" t="s">
        <v>43</v>
      </c>
      <c r="AF4300" t="s">
        <v>43</v>
      </c>
      <c r="AG4300" t="s">
        <v>43</v>
      </c>
      <c r="AH4300" t="s">
        <v>43</v>
      </c>
      <c r="AI4300" t="s">
        <v>43</v>
      </c>
      <c r="AJ4300" t="s">
        <v>43</v>
      </c>
      <c r="AK4300" t="s">
        <v>43</v>
      </c>
      <c r="AL4300" t="s">
        <v>43</v>
      </c>
      <c r="AM4300" t="s">
        <v>43</v>
      </c>
      <c r="AN4300" t="str">
        <f>HYPERLINK("https://www.google.com/maps?q=10.76305199,79.69438171","Open Location")</f>
        <v>Open Location</v>
      </c>
    </row>
    <row r="4301" spans="1:40" x14ac:dyDescent="0.3">
      <c r="A4301" s="1">
        <v>46210.501504629632</v>
      </c>
      <c r="B4301" t="s">
        <v>40</v>
      </c>
      <c r="C4301" t="s">
        <v>41</v>
      </c>
      <c r="D4301" s="1">
        <v>46210.504178240742</v>
      </c>
      <c r="E4301" t="s">
        <v>42</v>
      </c>
      <c r="F4301" t="s">
        <v>43</v>
      </c>
      <c r="G4301" t="s">
        <v>43</v>
      </c>
      <c r="H4301" t="s">
        <v>43</v>
      </c>
      <c r="I4301" t="s">
        <v>2401</v>
      </c>
      <c r="J4301" t="s">
        <v>43</v>
      </c>
      <c r="K4301" t="s">
        <v>43</v>
      </c>
      <c r="L4301" t="s">
        <v>43</v>
      </c>
      <c r="M4301" t="s">
        <v>43</v>
      </c>
      <c r="N4301" t="s">
        <v>45</v>
      </c>
      <c r="O4301" t="s">
        <v>43</v>
      </c>
      <c r="P4301" t="s">
        <v>43</v>
      </c>
      <c r="Q4301" t="s">
        <v>43</v>
      </c>
      <c r="R4301" t="s">
        <v>43</v>
      </c>
      <c r="S4301" t="s">
        <v>43</v>
      </c>
      <c r="T4301" t="s">
        <v>43</v>
      </c>
      <c r="U4301" t="s">
        <v>43</v>
      </c>
      <c r="V4301" t="s">
        <v>43</v>
      </c>
      <c r="W4301" t="s">
        <v>43</v>
      </c>
      <c r="X4301" t="s">
        <v>43</v>
      </c>
      <c r="Y4301" t="s">
        <v>43</v>
      </c>
      <c r="Z4301" t="s">
        <v>43</v>
      </c>
      <c r="AA4301" t="s">
        <v>43</v>
      </c>
      <c r="AB4301" t="s">
        <v>43</v>
      </c>
      <c r="AC4301" t="s">
        <v>43</v>
      </c>
      <c r="AD4301" t="s">
        <v>43</v>
      </c>
      <c r="AE4301" t="s">
        <v>43</v>
      </c>
      <c r="AF4301" t="s">
        <v>43</v>
      </c>
      <c r="AG4301" t="s">
        <v>43</v>
      </c>
      <c r="AH4301" t="s">
        <v>43</v>
      </c>
      <c r="AI4301" t="s">
        <v>43</v>
      </c>
      <c r="AJ4301" t="s">
        <v>43</v>
      </c>
      <c r="AK4301" t="s">
        <v>43</v>
      </c>
      <c r="AL4301" t="s">
        <v>43</v>
      </c>
      <c r="AM4301" t="s">
        <v>43</v>
      </c>
      <c r="AN4301" t="str">
        <f>HYPERLINK("https://www.google.com/maps?q=10.76304722,79.69438171","Open Location")</f>
        <v>Open Location</v>
      </c>
    </row>
    <row r="4302" spans="1:40" x14ac:dyDescent="0.3">
      <c r="A4302" s="1">
        <v>46210.501388888886</v>
      </c>
      <c r="B4302" t="s">
        <v>40</v>
      </c>
      <c r="C4302" t="s">
        <v>41</v>
      </c>
      <c r="D4302" s="1">
        <v>46210.504120370373</v>
      </c>
      <c r="E4302" t="s">
        <v>42</v>
      </c>
      <c r="F4302" t="s">
        <v>43</v>
      </c>
      <c r="G4302" t="s">
        <v>43</v>
      </c>
      <c r="H4302" t="s">
        <v>43</v>
      </c>
      <c r="I4302" t="s">
        <v>43</v>
      </c>
      <c r="J4302" t="s">
        <v>43</v>
      </c>
      <c r="K4302" t="s">
        <v>43</v>
      </c>
      <c r="L4302" t="s">
        <v>43</v>
      </c>
      <c r="M4302" t="s">
        <v>43</v>
      </c>
      <c r="N4302" t="s">
        <v>45</v>
      </c>
      <c r="O4302" t="s">
        <v>43</v>
      </c>
      <c r="P4302" t="s">
        <v>43</v>
      </c>
      <c r="Q4302" t="s">
        <v>43</v>
      </c>
      <c r="R4302" t="s">
        <v>43</v>
      </c>
      <c r="S4302" t="s">
        <v>43</v>
      </c>
      <c r="T4302" t="s">
        <v>43</v>
      </c>
      <c r="U4302" t="s">
        <v>43</v>
      </c>
      <c r="V4302" t="s">
        <v>43</v>
      </c>
      <c r="W4302" t="s">
        <v>43</v>
      </c>
      <c r="X4302" t="s">
        <v>43</v>
      </c>
      <c r="Y4302" t="s">
        <v>43</v>
      </c>
      <c r="Z4302" t="s">
        <v>43</v>
      </c>
      <c r="AA4302" t="s">
        <v>43</v>
      </c>
      <c r="AB4302" t="s">
        <v>43</v>
      </c>
      <c r="AC4302" t="s">
        <v>43</v>
      </c>
      <c r="AD4302" t="s">
        <v>43</v>
      </c>
      <c r="AE4302" t="s">
        <v>43</v>
      </c>
      <c r="AF4302" t="s">
        <v>43</v>
      </c>
      <c r="AG4302" t="s">
        <v>43</v>
      </c>
      <c r="AH4302" t="s">
        <v>43</v>
      </c>
      <c r="AI4302" t="s">
        <v>43</v>
      </c>
      <c r="AJ4302" t="s">
        <v>43</v>
      </c>
      <c r="AK4302" t="s">
        <v>43</v>
      </c>
      <c r="AL4302" t="s">
        <v>43</v>
      </c>
      <c r="AM4302" t="s">
        <v>43</v>
      </c>
      <c r="AN4302" t="s">
        <v>43</v>
      </c>
    </row>
    <row r="4303" spans="1:40" x14ac:dyDescent="0.3">
      <c r="A4303" s="1">
        <v>46210.501273148147</v>
      </c>
      <c r="B4303" t="s">
        <v>40</v>
      </c>
      <c r="C4303" t="s">
        <v>41</v>
      </c>
      <c r="D4303" s="1">
        <v>46210.504247685189</v>
      </c>
      <c r="E4303" t="s">
        <v>42</v>
      </c>
      <c r="F4303" t="s">
        <v>43</v>
      </c>
      <c r="G4303" t="s">
        <v>43</v>
      </c>
      <c r="H4303" t="s">
        <v>43</v>
      </c>
      <c r="I4303" t="s">
        <v>2402</v>
      </c>
      <c r="J4303" t="s">
        <v>43</v>
      </c>
      <c r="K4303" t="s">
        <v>43</v>
      </c>
      <c r="L4303" t="s">
        <v>43</v>
      </c>
      <c r="M4303" t="s">
        <v>43</v>
      </c>
      <c r="N4303" t="s">
        <v>45</v>
      </c>
      <c r="O4303" t="s">
        <v>43</v>
      </c>
      <c r="P4303" t="s">
        <v>43</v>
      </c>
      <c r="Q4303" t="s">
        <v>43</v>
      </c>
      <c r="R4303" t="s">
        <v>43</v>
      </c>
      <c r="S4303" t="s">
        <v>43</v>
      </c>
      <c r="T4303" t="s">
        <v>43</v>
      </c>
      <c r="U4303" t="s">
        <v>43</v>
      </c>
      <c r="V4303" t="s">
        <v>43</v>
      </c>
      <c r="W4303" t="s">
        <v>43</v>
      </c>
      <c r="X4303" t="s">
        <v>43</v>
      </c>
      <c r="Y4303" t="s">
        <v>43</v>
      </c>
      <c r="Z4303" t="s">
        <v>43</v>
      </c>
      <c r="AA4303" t="s">
        <v>43</v>
      </c>
      <c r="AB4303" t="s">
        <v>43</v>
      </c>
      <c r="AC4303" t="s">
        <v>43</v>
      </c>
      <c r="AD4303" t="s">
        <v>43</v>
      </c>
      <c r="AE4303" t="s">
        <v>43</v>
      </c>
      <c r="AF4303" t="s">
        <v>43</v>
      </c>
      <c r="AG4303" t="s">
        <v>43</v>
      </c>
      <c r="AH4303" t="s">
        <v>43</v>
      </c>
      <c r="AI4303" t="s">
        <v>43</v>
      </c>
      <c r="AJ4303" t="s">
        <v>43</v>
      </c>
      <c r="AK4303" t="s">
        <v>43</v>
      </c>
      <c r="AL4303" t="s">
        <v>43</v>
      </c>
      <c r="AM4303" t="s">
        <v>43</v>
      </c>
      <c r="AN4303" t="str">
        <f>HYPERLINK("https://www.google.com/maps?q=10.76304817,79.69438171","Open Location")</f>
        <v>Open Location</v>
      </c>
    </row>
    <row r="4304" spans="1:40" x14ac:dyDescent="0.3">
      <c r="A4304" s="1">
        <v>46210.501157407409</v>
      </c>
      <c r="B4304" t="s">
        <v>40</v>
      </c>
      <c r="C4304" t="s">
        <v>41</v>
      </c>
      <c r="D4304" s="1">
        <v>46210.503993055558</v>
      </c>
      <c r="E4304" t="s">
        <v>42</v>
      </c>
      <c r="F4304" t="s">
        <v>43</v>
      </c>
      <c r="G4304" t="s">
        <v>43</v>
      </c>
      <c r="H4304" t="s">
        <v>43</v>
      </c>
      <c r="I4304" t="s">
        <v>2205</v>
      </c>
      <c r="J4304" t="s">
        <v>43</v>
      </c>
      <c r="K4304" t="s">
        <v>43</v>
      </c>
      <c r="L4304" t="s">
        <v>43</v>
      </c>
      <c r="M4304" t="s">
        <v>43</v>
      </c>
      <c r="N4304" t="s">
        <v>45</v>
      </c>
      <c r="O4304" t="s">
        <v>43</v>
      </c>
      <c r="P4304" t="s">
        <v>43</v>
      </c>
      <c r="Q4304" t="s">
        <v>43</v>
      </c>
      <c r="R4304" t="s">
        <v>43</v>
      </c>
      <c r="S4304" t="s">
        <v>43</v>
      </c>
      <c r="T4304" t="s">
        <v>43</v>
      </c>
      <c r="U4304" t="s">
        <v>43</v>
      </c>
      <c r="V4304" t="s">
        <v>43</v>
      </c>
      <c r="W4304" t="s">
        <v>43</v>
      </c>
      <c r="X4304" t="s">
        <v>43</v>
      </c>
      <c r="Y4304" t="s">
        <v>43</v>
      </c>
      <c r="Z4304" t="s">
        <v>43</v>
      </c>
      <c r="AA4304" t="s">
        <v>43</v>
      </c>
      <c r="AB4304" t="s">
        <v>43</v>
      </c>
      <c r="AC4304" t="s">
        <v>43</v>
      </c>
      <c r="AD4304" t="s">
        <v>43</v>
      </c>
      <c r="AE4304" t="s">
        <v>43</v>
      </c>
      <c r="AF4304" t="s">
        <v>43</v>
      </c>
      <c r="AG4304" t="s">
        <v>43</v>
      </c>
      <c r="AH4304" t="s">
        <v>43</v>
      </c>
      <c r="AI4304" t="s">
        <v>43</v>
      </c>
      <c r="AJ4304" t="s">
        <v>43</v>
      </c>
      <c r="AK4304" t="s">
        <v>43</v>
      </c>
      <c r="AL4304" t="s">
        <v>43</v>
      </c>
      <c r="AM4304" t="s">
        <v>43</v>
      </c>
      <c r="AN4304" t="str">
        <f>HYPERLINK("https://www.google.com/maps?q=10.76304817,79.69437408","Open Location")</f>
        <v>Open Location</v>
      </c>
    </row>
    <row r="4305" spans="1:40" x14ac:dyDescent="0.3">
      <c r="A4305" s="1">
        <v>46210.50104166667</v>
      </c>
      <c r="B4305" t="s">
        <v>40</v>
      </c>
      <c r="C4305" t="s">
        <v>41</v>
      </c>
      <c r="D4305" s="1">
        <v>46210.504247685189</v>
      </c>
      <c r="E4305" t="s">
        <v>42</v>
      </c>
      <c r="F4305" t="s">
        <v>43</v>
      </c>
      <c r="G4305" t="s">
        <v>43</v>
      </c>
      <c r="H4305" t="s">
        <v>43</v>
      </c>
      <c r="I4305" t="s">
        <v>2402</v>
      </c>
      <c r="J4305" t="s">
        <v>43</v>
      </c>
      <c r="K4305" t="s">
        <v>43</v>
      </c>
      <c r="L4305" t="s">
        <v>43</v>
      </c>
      <c r="M4305" t="s">
        <v>43</v>
      </c>
      <c r="N4305" t="s">
        <v>45</v>
      </c>
      <c r="O4305" t="s">
        <v>43</v>
      </c>
      <c r="P4305" t="s">
        <v>43</v>
      </c>
      <c r="Q4305" t="s">
        <v>43</v>
      </c>
      <c r="R4305" t="s">
        <v>43</v>
      </c>
      <c r="S4305" t="s">
        <v>43</v>
      </c>
      <c r="T4305" t="s">
        <v>43</v>
      </c>
      <c r="U4305" t="s">
        <v>43</v>
      </c>
      <c r="V4305" t="s">
        <v>43</v>
      </c>
      <c r="W4305" t="s">
        <v>43</v>
      </c>
      <c r="X4305" t="s">
        <v>43</v>
      </c>
      <c r="Y4305" t="s">
        <v>43</v>
      </c>
      <c r="Z4305" t="s">
        <v>43</v>
      </c>
      <c r="AA4305" t="s">
        <v>43</v>
      </c>
      <c r="AB4305" t="s">
        <v>43</v>
      </c>
      <c r="AC4305" t="s">
        <v>43</v>
      </c>
      <c r="AD4305" t="s">
        <v>43</v>
      </c>
      <c r="AE4305" t="s">
        <v>43</v>
      </c>
      <c r="AF4305" t="s">
        <v>43</v>
      </c>
      <c r="AG4305" t="s">
        <v>43</v>
      </c>
      <c r="AH4305" t="s">
        <v>43</v>
      </c>
      <c r="AI4305" t="s">
        <v>43</v>
      </c>
      <c r="AJ4305" t="s">
        <v>43</v>
      </c>
      <c r="AK4305" t="s">
        <v>43</v>
      </c>
      <c r="AL4305" t="s">
        <v>43</v>
      </c>
      <c r="AM4305" t="s">
        <v>43</v>
      </c>
      <c r="AN4305" t="str">
        <f>HYPERLINK("https://www.google.com/maps?q=10.76304817,79.69438171","Open Location")</f>
        <v>Open Location</v>
      </c>
    </row>
    <row r="4306" spans="1:40" x14ac:dyDescent="0.3">
      <c r="A4306" s="1">
        <v>46210.500925925924</v>
      </c>
      <c r="B4306" t="s">
        <v>40</v>
      </c>
      <c r="C4306" t="s">
        <v>41</v>
      </c>
      <c r="D4306" s="1">
        <v>46210.503807870373</v>
      </c>
      <c r="E4306" t="s">
        <v>42</v>
      </c>
      <c r="F4306" t="s">
        <v>43</v>
      </c>
      <c r="G4306" t="s">
        <v>43</v>
      </c>
      <c r="H4306" t="s">
        <v>43</v>
      </c>
      <c r="I4306" t="s">
        <v>2205</v>
      </c>
      <c r="J4306" t="s">
        <v>43</v>
      </c>
      <c r="K4306" t="s">
        <v>43</v>
      </c>
      <c r="L4306" t="s">
        <v>43</v>
      </c>
      <c r="M4306" t="s">
        <v>43</v>
      </c>
      <c r="N4306" t="s">
        <v>45</v>
      </c>
      <c r="O4306" t="s">
        <v>43</v>
      </c>
      <c r="P4306" t="s">
        <v>43</v>
      </c>
      <c r="Q4306" t="s">
        <v>43</v>
      </c>
      <c r="R4306" t="s">
        <v>43</v>
      </c>
      <c r="S4306" t="s">
        <v>43</v>
      </c>
      <c r="T4306" t="s">
        <v>43</v>
      </c>
      <c r="U4306" t="s">
        <v>43</v>
      </c>
      <c r="V4306" t="s">
        <v>43</v>
      </c>
      <c r="W4306" t="s">
        <v>43</v>
      </c>
      <c r="X4306" t="s">
        <v>43</v>
      </c>
      <c r="Y4306" t="s">
        <v>43</v>
      </c>
      <c r="Z4306" t="s">
        <v>43</v>
      </c>
      <c r="AA4306" t="s">
        <v>43</v>
      </c>
      <c r="AB4306" t="s">
        <v>43</v>
      </c>
      <c r="AC4306" t="s">
        <v>43</v>
      </c>
      <c r="AD4306" t="s">
        <v>43</v>
      </c>
      <c r="AE4306" t="s">
        <v>43</v>
      </c>
      <c r="AF4306" t="s">
        <v>43</v>
      </c>
      <c r="AG4306" t="s">
        <v>43</v>
      </c>
      <c r="AH4306" t="s">
        <v>43</v>
      </c>
      <c r="AI4306" t="s">
        <v>43</v>
      </c>
      <c r="AJ4306" t="s">
        <v>43</v>
      </c>
      <c r="AK4306" t="s">
        <v>43</v>
      </c>
      <c r="AL4306" t="s">
        <v>43</v>
      </c>
      <c r="AM4306" t="s">
        <v>43</v>
      </c>
      <c r="AN4306" t="str">
        <f>HYPERLINK("https://www.google.com/maps?q=10.76304817,79.69437408","Open Location")</f>
        <v>Open Location</v>
      </c>
    </row>
    <row r="4307" spans="1:40" x14ac:dyDescent="0.3">
      <c r="A4307" s="1">
        <v>46210.500810185185</v>
      </c>
      <c r="B4307" t="s">
        <v>40</v>
      </c>
      <c r="C4307" t="s">
        <v>41</v>
      </c>
      <c r="D4307" s="1">
        <v>46210.503761574073</v>
      </c>
      <c r="E4307" t="s">
        <v>42</v>
      </c>
      <c r="F4307" t="s">
        <v>43</v>
      </c>
      <c r="G4307" t="s">
        <v>43</v>
      </c>
      <c r="H4307" t="s">
        <v>43</v>
      </c>
      <c r="I4307" t="s">
        <v>2403</v>
      </c>
      <c r="J4307" t="s">
        <v>43</v>
      </c>
      <c r="K4307" t="s">
        <v>43</v>
      </c>
      <c r="L4307" t="s">
        <v>43</v>
      </c>
      <c r="M4307" t="s">
        <v>43</v>
      </c>
      <c r="N4307" t="s">
        <v>45</v>
      </c>
      <c r="O4307" t="s">
        <v>43</v>
      </c>
      <c r="P4307" t="s">
        <v>43</v>
      </c>
      <c r="Q4307" t="s">
        <v>43</v>
      </c>
      <c r="R4307" t="s">
        <v>43</v>
      </c>
      <c r="S4307" t="s">
        <v>43</v>
      </c>
      <c r="T4307" t="s">
        <v>43</v>
      </c>
      <c r="U4307" t="s">
        <v>43</v>
      </c>
      <c r="V4307" t="s">
        <v>43</v>
      </c>
      <c r="W4307" t="s">
        <v>43</v>
      </c>
      <c r="X4307" t="s">
        <v>43</v>
      </c>
      <c r="Y4307" t="s">
        <v>43</v>
      </c>
      <c r="Z4307" t="s">
        <v>43</v>
      </c>
      <c r="AA4307" t="s">
        <v>43</v>
      </c>
      <c r="AB4307" t="s">
        <v>43</v>
      </c>
      <c r="AC4307" t="s">
        <v>43</v>
      </c>
      <c r="AD4307" t="s">
        <v>43</v>
      </c>
      <c r="AE4307" t="s">
        <v>43</v>
      </c>
      <c r="AF4307" t="s">
        <v>43</v>
      </c>
      <c r="AG4307" t="s">
        <v>43</v>
      </c>
      <c r="AH4307" t="s">
        <v>43</v>
      </c>
      <c r="AI4307" t="s">
        <v>43</v>
      </c>
      <c r="AJ4307" t="s">
        <v>43</v>
      </c>
      <c r="AK4307" t="s">
        <v>43</v>
      </c>
      <c r="AL4307" t="s">
        <v>43</v>
      </c>
      <c r="AM4307" t="s">
        <v>43</v>
      </c>
      <c r="AN4307" t="str">
        <f>HYPERLINK("https://www.google.com/maps?q=10.76305008,79.69437408","Open Location")</f>
        <v>Open Location</v>
      </c>
    </row>
    <row r="4308" spans="1:40" x14ac:dyDescent="0.3">
      <c r="A4308" s="1">
        <v>46210.500694444447</v>
      </c>
      <c r="B4308" t="s">
        <v>40</v>
      </c>
      <c r="C4308" t="s">
        <v>41</v>
      </c>
      <c r="D4308" s="1">
        <v>46210.503796296296</v>
      </c>
      <c r="E4308" t="s">
        <v>42</v>
      </c>
      <c r="F4308" t="s">
        <v>43</v>
      </c>
      <c r="G4308" t="s">
        <v>43</v>
      </c>
      <c r="H4308" t="s">
        <v>43</v>
      </c>
      <c r="I4308" t="s">
        <v>43</v>
      </c>
      <c r="J4308" t="s">
        <v>43</v>
      </c>
      <c r="K4308" t="s">
        <v>43</v>
      </c>
      <c r="L4308" t="s">
        <v>43</v>
      </c>
      <c r="M4308" t="s">
        <v>43</v>
      </c>
      <c r="N4308" t="s">
        <v>45</v>
      </c>
      <c r="O4308" t="s">
        <v>43</v>
      </c>
      <c r="P4308" t="s">
        <v>43</v>
      </c>
      <c r="Q4308" t="s">
        <v>43</v>
      </c>
      <c r="R4308" t="s">
        <v>43</v>
      </c>
      <c r="S4308" t="s">
        <v>43</v>
      </c>
      <c r="T4308" t="s">
        <v>43</v>
      </c>
      <c r="U4308" t="s">
        <v>43</v>
      </c>
      <c r="V4308" t="s">
        <v>43</v>
      </c>
      <c r="W4308" t="s">
        <v>43</v>
      </c>
      <c r="X4308" t="s">
        <v>43</v>
      </c>
      <c r="Y4308" t="s">
        <v>43</v>
      </c>
      <c r="Z4308" t="s">
        <v>43</v>
      </c>
      <c r="AA4308" t="s">
        <v>43</v>
      </c>
      <c r="AB4308" t="s">
        <v>43</v>
      </c>
      <c r="AC4308" t="s">
        <v>43</v>
      </c>
      <c r="AD4308" t="s">
        <v>43</v>
      </c>
      <c r="AE4308" t="s">
        <v>43</v>
      </c>
      <c r="AF4308" t="s">
        <v>43</v>
      </c>
      <c r="AG4308" t="s">
        <v>43</v>
      </c>
      <c r="AH4308" t="s">
        <v>43</v>
      </c>
      <c r="AI4308" t="s">
        <v>43</v>
      </c>
      <c r="AJ4308" t="s">
        <v>43</v>
      </c>
      <c r="AK4308" t="s">
        <v>43</v>
      </c>
      <c r="AL4308" t="s">
        <v>43</v>
      </c>
      <c r="AM4308" t="s">
        <v>43</v>
      </c>
      <c r="AN4308" t="s">
        <v>43</v>
      </c>
    </row>
    <row r="4309" spans="1:40" x14ac:dyDescent="0.3">
      <c r="A4309" s="1">
        <v>46210.500578703701</v>
      </c>
      <c r="B4309" t="s">
        <v>40</v>
      </c>
      <c r="C4309" t="s">
        <v>41</v>
      </c>
      <c r="D4309" s="1">
        <v>46210.503634259258</v>
      </c>
      <c r="E4309" t="s">
        <v>42</v>
      </c>
      <c r="F4309" t="s">
        <v>43</v>
      </c>
      <c r="G4309" t="s">
        <v>43</v>
      </c>
      <c r="H4309" t="s">
        <v>43</v>
      </c>
      <c r="I4309" t="s">
        <v>2404</v>
      </c>
      <c r="J4309" t="s">
        <v>43</v>
      </c>
      <c r="K4309" t="s">
        <v>43</v>
      </c>
      <c r="L4309" t="s">
        <v>43</v>
      </c>
      <c r="M4309" t="s">
        <v>43</v>
      </c>
      <c r="N4309" t="s">
        <v>45</v>
      </c>
      <c r="O4309" t="s">
        <v>43</v>
      </c>
      <c r="P4309" t="s">
        <v>43</v>
      </c>
      <c r="Q4309" t="s">
        <v>43</v>
      </c>
      <c r="R4309" t="s">
        <v>43</v>
      </c>
      <c r="S4309" t="s">
        <v>43</v>
      </c>
      <c r="T4309" t="s">
        <v>43</v>
      </c>
      <c r="U4309" t="s">
        <v>43</v>
      </c>
      <c r="V4309" t="s">
        <v>43</v>
      </c>
      <c r="W4309" t="s">
        <v>43</v>
      </c>
      <c r="X4309" t="s">
        <v>43</v>
      </c>
      <c r="Y4309" t="s">
        <v>43</v>
      </c>
      <c r="Z4309" t="s">
        <v>43</v>
      </c>
      <c r="AA4309" t="s">
        <v>43</v>
      </c>
      <c r="AB4309" t="s">
        <v>43</v>
      </c>
      <c r="AC4309" t="s">
        <v>43</v>
      </c>
      <c r="AD4309" t="s">
        <v>43</v>
      </c>
      <c r="AE4309" t="s">
        <v>43</v>
      </c>
      <c r="AF4309" t="s">
        <v>43</v>
      </c>
      <c r="AG4309" t="s">
        <v>43</v>
      </c>
      <c r="AH4309" t="s">
        <v>43</v>
      </c>
      <c r="AI4309" t="s">
        <v>43</v>
      </c>
      <c r="AJ4309" t="s">
        <v>43</v>
      </c>
      <c r="AK4309" t="s">
        <v>43</v>
      </c>
      <c r="AL4309" t="s">
        <v>43</v>
      </c>
      <c r="AM4309" t="s">
        <v>43</v>
      </c>
      <c r="AN4309" t="str">
        <f>HYPERLINK("https://www.google.com/maps?q=10.76305103,79.69437408","Open Location")</f>
        <v>Open Location</v>
      </c>
    </row>
    <row r="4310" spans="1:40" x14ac:dyDescent="0.3">
      <c r="A4310" s="1">
        <v>46210.500462962962</v>
      </c>
      <c r="B4310" t="s">
        <v>40</v>
      </c>
      <c r="C4310" t="s">
        <v>41</v>
      </c>
      <c r="D4310" s="1">
        <v>46210.503229166665</v>
      </c>
      <c r="E4310" t="s">
        <v>42</v>
      </c>
      <c r="F4310" t="s">
        <v>43</v>
      </c>
      <c r="G4310" t="s">
        <v>43</v>
      </c>
      <c r="H4310" t="s">
        <v>43</v>
      </c>
      <c r="I4310" t="s">
        <v>2405</v>
      </c>
      <c r="J4310" t="s">
        <v>43</v>
      </c>
      <c r="K4310" t="s">
        <v>43</v>
      </c>
      <c r="L4310" t="s">
        <v>43</v>
      </c>
      <c r="M4310" t="s">
        <v>43</v>
      </c>
      <c r="N4310" t="s">
        <v>45</v>
      </c>
      <c r="O4310" t="s">
        <v>43</v>
      </c>
      <c r="P4310" t="s">
        <v>43</v>
      </c>
      <c r="Q4310" t="s">
        <v>43</v>
      </c>
      <c r="R4310" t="s">
        <v>43</v>
      </c>
      <c r="S4310" t="s">
        <v>43</v>
      </c>
      <c r="T4310" t="s">
        <v>43</v>
      </c>
      <c r="U4310" t="s">
        <v>43</v>
      </c>
      <c r="V4310" t="s">
        <v>43</v>
      </c>
      <c r="W4310" t="s">
        <v>43</v>
      </c>
      <c r="X4310" t="s">
        <v>43</v>
      </c>
      <c r="Y4310" t="s">
        <v>43</v>
      </c>
      <c r="Z4310" t="s">
        <v>43</v>
      </c>
      <c r="AA4310" t="s">
        <v>43</v>
      </c>
      <c r="AB4310" t="s">
        <v>43</v>
      </c>
      <c r="AC4310" t="s">
        <v>43</v>
      </c>
      <c r="AD4310" t="s">
        <v>43</v>
      </c>
      <c r="AE4310" t="s">
        <v>43</v>
      </c>
      <c r="AF4310" t="s">
        <v>43</v>
      </c>
      <c r="AG4310" t="s">
        <v>43</v>
      </c>
      <c r="AH4310" t="s">
        <v>43</v>
      </c>
      <c r="AI4310" t="s">
        <v>43</v>
      </c>
      <c r="AJ4310" t="s">
        <v>43</v>
      </c>
      <c r="AK4310" t="s">
        <v>43</v>
      </c>
      <c r="AL4310" t="s">
        <v>43</v>
      </c>
      <c r="AM4310" t="s">
        <v>43</v>
      </c>
      <c r="AN4310" t="str">
        <f>HYPERLINK("https://www.google.com/maps?q=10.76305199,79.69437408","Open Location")</f>
        <v>Open Location</v>
      </c>
    </row>
    <row r="4311" spans="1:40" x14ac:dyDescent="0.3">
      <c r="A4311" s="1">
        <v>46210.500347222223</v>
      </c>
      <c r="B4311" t="s">
        <v>40</v>
      </c>
      <c r="C4311" t="s">
        <v>41</v>
      </c>
      <c r="D4311" s="1">
        <v>46210.503425925926</v>
      </c>
      <c r="E4311" t="s">
        <v>42</v>
      </c>
      <c r="F4311" t="s">
        <v>43</v>
      </c>
      <c r="G4311" t="s">
        <v>43</v>
      </c>
      <c r="H4311" t="s">
        <v>43</v>
      </c>
      <c r="I4311" t="s">
        <v>2406</v>
      </c>
      <c r="J4311" t="s">
        <v>43</v>
      </c>
      <c r="K4311" t="s">
        <v>43</v>
      </c>
      <c r="L4311" t="s">
        <v>43</v>
      </c>
      <c r="M4311" t="s">
        <v>43</v>
      </c>
      <c r="N4311" t="s">
        <v>45</v>
      </c>
      <c r="O4311" t="s">
        <v>43</v>
      </c>
      <c r="P4311" t="s">
        <v>43</v>
      </c>
      <c r="Q4311" t="s">
        <v>43</v>
      </c>
      <c r="R4311" t="s">
        <v>43</v>
      </c>
      <c r="S4311" t="s">
        <v>43</v>
      </c>
      <c r="T4311" t="s">
        <v>43</v>
      </c>
      <c r="U4311" t="s">
        <v>43</v>
      </c>
      <c r="V4311" t="s">
        <v>43</v>
      </c>
      <c r="W4311" t="s">
        <v>43</v>
      </c>
      <c r="X4311" t="s">
        <v>43</v>
      </c>
      <c r="Y4311" t="s">
        <v>43</v>
      </c>
      <c r="Z4311" t="s">
        <v>43</v>
      </c>
      <c r="AA4311" t="s">
        <v>43</v>
      </c>
      <c r="AB4311" t="s">
        <v>43</v>
      </c>
      <c r="AC4311" t="s">
        <v>43</v>
      </c>
      <c r="AD4311" t="s">
        <v>43</v>
      </c>
      <c r="AE4311" t="s">
        <v>43</v>
      </c>
      <c r="AF4311" t="s">
        <v>43</v>
      </c>
      <c r="AG4311" t="s">
        <v>43</v>
      </c>
      <c r="AH4311" t="s">
        <v>43</v>
      </c>
      <c r="AI4311" t="s">
        <v>43</v>
      </c>
      <c r="AJ4311" t="s">
        <v>43</v>
      </c>
      <c r="AK4311" t="s">
        <v>43</v>
      </c>
      <c r="AL4311" t="s">
        <v>43</v>
      </c>
      <c r="AM4311" t="s">
        <v>43</v>
      </c>
      <c r="AN4311" t="str">
        <f>HYPERLINK("https://www.google.com/maps?q=10.76305485,79.69437408","Open Location")</f>
        <v>Open Location</v>
      </c>
    </row>
    <row r="4312" spans="1:40" x14ac:dyDescent="0.3">
      <c r="A4312" s="1">
        <v>46210.500231481485</v>
      </c>
      <c r="B4312" t="s">
        <v>40</v>
      </c>
      <c r="C4312" t="s">
        <v>41</v>
      </c>
      <c r="D4312" s="1">
        <v>46210.502962962964</v>
      </c>
      <c r="E4312" t="s">
        <v>42</v>
      </c>
      <c r="F4312" t="s">
        <v>43</v>
      </c>
      <c r="G4312" t="s">
        <v>43</v>
      </c>
      <c r="H4312" t="s">
        <v>43</v>
      </c>
      <c r="I4312" t="s">
        <v>2196</v>
      </c>
      <c r="J4312" t="s">
        <v>43</v>
      </c>
      <c r="K4312" t="s">
        <v>43</v>
      </c>
      <c r="L4312" t="s">
        <v>43</v>
      </c>
      <c r="M4312" t="s">
        <v>43</v>
      </c>
      <c r="N4312" t="s">
        <v>45</v>
      </c>
      <c r="O4312" t="s">
        <v>43</v>
      </c>
      <c r="P4312" t="s">
        <v>43</v>
      </c>
      <c r="Q4312" t="s">
        <v>43</v>
      </c>
      <c r="R4312" t="s">
        <v>43</v>
      </c>
      <c r="S4312" t="s">
        <v>43</v>
      </c>
      <c r="T4312" t="s">
        <v>43</v>
      </c>
      <c r="U4312" t="s">
        <v>43</v>
      </c>
      <c r="V4312" t="s">
        <v>43</v>
      </c>
      <c r="W4312" t="s">
        <v>43</v>
      </c>
      <c r="X4312" t="s">
        <v>43</v>
      </c>
      <c r="Y4312" t="s">
        <v>43</v>
      </c>
      <c r="Z4312" t="s">
        <v>43</v>
      </c>
      <c r="AA4312" t="s">
        <v>43</v>
      </c>
      <c r="AB4312" t="s">
        <v>43</v>
      </c>
      <c r="AC4312" t="s">
        <v>43</v>
      </c>
      <c r="AD4312" t="s">
        <v>43</v>
      </c>
      <c r="AE4312" t="s">
        <v>43</v>
      </c>
      <c r="AF4312" t="s">
        <v>43</v>
      </c>
      <c r="AG4312" t="s">
        <v>43</v>
      </c>
      <c r="AH4312" t="s">
        <v>43</v>
      </c>
      <c r="AI4312" t="s">
        <v>43</v>
      </c>
      <c r="AJ4312" t="s">
        <v>43</v>
      </c>
      <c r="AK4312" t="s">
        <v>43</v>
      </c>
      <c r="AL4312" t="s">
        <v>43</v>
      </c>
      <c r="AM4312" t="s">
        <v>43</v>
      </c>
      <c r="AN4312" t="str">
        <f>HYPERLINK("https://www.google.com/maps?q=10.76305389,79.69437408","Open Location")</f>
        <v>Open Location</v>
      </c>
    </row>
    <row r="4313" spans="1:40" x14ac:dyDescent="0.3">
      <c r="A4313" s="1">
        <v>46210.500115740739</v>
      </c>
      <c r="B4313" t="s">
        <v>40</v>
      </c>
      <c r="C4313" t="s">
        <v>41</v>
      </c>
      <c r="D4313" s="1">
        <v>46210.503055555557</v>
      </c>
      <c r="E4313" t="s">
        <v>42</v>
      </c>
      <c r="F4313" t="s">
        <v>43</v>
      </c>
      <c r="G4313" t="s">
        <v>43</v>
      </c>
      <c r="H4313" t="s">
        <v>43</v>
      </c>
      <c r="I4313" t="s">
        <v>43</v>
      </c>
      <c r="J4313" t="s">
        <v>43</v>
      </c>
      <c r="K4313" t="s">
        <v>43</v>
      </c>
      <c r="L4313" t="s">
        <v>43</v>
      </c>
      <c r="M4313" t="s">
        <v>43</v>
      </c>
      <c r="N4313" t="s">
        <v>45</v>
      </c>
      <c r="O4313" t="s">
        <v>43</v>
      </c>
      <c r="P4313" t="s">
        <v>43</v>
      </c>
      <c r="Q4313" t="s">
        <v>43</v>
      </c>
      <c r="R4313" t="s">
        <v>43</v>
      </c>
      <c r="S4313" t="s">
        <v>43</v>
      </c>
      <c r="T4313" t="s">
        <v>43</v>
      </c>
      <c r="U4313" t="s">
        <v>43</v>
      </c>
      <c r="V4313" t="s">
        <v>43</v>
      </c>
      <c r="W4313" t="s">
        <v>43</v>
      </c>
      <c r="X4313" t="s">
        <v>43</v>
      </c>
      <c r="Y4313" t="s">
        <v>43</v>
      </c>
      <c r="Z4313" t="s">
        <v>43</v>
      </c>
      <c r="AA4313" t="s">
        <v>43</v>
      </c>
      <c r="AB4313" t="s">
        <v>43</v>
      </c>
      <c r="AC4313" t="s">
        <v>43</v>
      </c>
      <c r="AD4313" t="s">
        <v>43</v>
      </c>
      <c r="AE4313" t="s">
        <v>43</v>
      </c>
      <c r="AF4313" t="s">
        <v>43</v>
      </c>
      <c r="AG4313" t="s">
        <v>43</v>
      </c>
      <c r="AH4313" t="s">
        <v>43</v>
      </c>
      <c r="AI4313" t="s">
        <v>43</v>
      </c>
      <c r="AJ4313" t="s">
        <v>43</v>
      </c>
      <c r="AK4313" t="s">
        <v>43</v>
      </c>
      <c r="AL4313" t="s">
        <v>43</v>
      </c>
      <c r="AM4313" t="s">
        <v>43</v>
      </c>
      <c r="AN4313" t="s">
        <v>43</v>
      </c>
    </row>
    <row r="4314" spans="1:40" x14ac:dyDescent="0.3">
      <c r="A4314" s="1">
        <v>46210.5</v>
      </c>
      <c r="B4314" t="s">
        <v>40</v>
      </c>
      <c r="C4314" t="s">
        <v>41</v>
      </c>
      <c r="D4314" s="1">
        <v>46210.503078703703</v>
      </c>
      <c r="E4314" t="s">
        <v>42</v>
      </c>
      <c r="F4314" t="s">
        <v>43</v>
      </c>
      <c r="G4314" t="s">
        <v>43</v>
      </c>
      <c r="H4314" t="s">
        <v>43</v>
      </c>
      <c r="I4314" t="s">
        <v>2196</v>
      </c>
      <c r="J4314" t="s">
        <v>43</v>
      </c>
      <c r="K4314" t="s">
        <v>43</v>
      </c>
      <c r="L4314" t="s">
        <v>43</v>
      </c>
      <c r="M4314" t="s">
        <v>43</v>
      </c>
      <c r="N4314" t="s">
        <v>45</v>
      </c>
      <c r="O4314" t="s">
        <v>43</v>
      </c>
      <c r="P4314" t="s">
        <v>43</v>
      </c>
      <c r="Q4314" t="s">
        <v>43</v>
      </c>
      <c r="R4314" t="s">
        <v>43</v>
      </c>
      <c r="S4314" t="s">
        <v>43</v>
      </c>
      <c r="T4314" t="s">
        <v>43</v>
      </c>
      <c r="U4314" t="s">
        <v>43</v>
      </c>
      <c r="V4314" t="s">
        <v>43</v>
      </c>
      <c r="W4314" t="s">
        <v>43</v>
      </c>
      <c r="X4314" t="s">
        <v>43</v>
      </c>
      <c r="Y4314" t="s">
        <v>43</v>
      </c>
      <c r="Z4314" t="s">
        <v>43</v>
      </c>
      <c r="AA4314" t="s">
        <v>43</v>
      </c>
      <c r="AB4314" t="s">
        <v>43</v>
      </c>
      <c r="AC4314" t="s">
        <v>43</v>
      </c>
      <c r="AD4314" t="s">
        <v>43</v>
      </c>
      <c r="AE4314" t="s">
        <v>43</v>
      </c>
      <c r="AF4314" t="s">
        <v>43</v>
      </c>
      <c r="AG4314" t="s">
        <v>43</v>
      </c>
      <c r="AH4314" t="s">
        <v>43</v>
      </c>
      <c r="AI4314" t="s">
        <v>43</v>
      </c>
      <c r="AJ4314" t="s">
        <v>43</v>
      </c>
      <c r="AK4314" t="s">
        <v>43</v>
      </c>
      <c r="AL4314" t="s">
        <v>43</v>
      </c>
      <c r="AM4314" t="s">
        <v>43</v>
      </c>
      <c r="AN4314" t="str">
        <f>HYPERLINK("https://www.google.com/maps?q=10.76305389,79.69437408","Open Location")</f>
        <v>Open Location</v>
      </c>
    </row>
    <row r="4315" spans="1:40" x14ac:dyDescent="0.3">
      <c r="A4315" s="1">
        <v>46210.499884259261</v>
      </c>
      <c r="B4315" t="s">
        <v>40</v>
      </c>
      <c r="C4315" t="s">
        <v>41</v>
      </c>
      <c r="D4315" s="1">
        <v>46210.503194444442</v>
      </c>
      <c r="E4315" t="s">
        <v>42</v>
      </c>
      <c r="F4315" t="s">
        <v>43</v>
      </c>
      <c r="G4315" t="s">
        <v>43</v>
      </c>
      <c r="H4315" t="s">
        <v>43</v>
      </c>
      <c r="I4315" t="s">
        <v>2394</v>
      </c>
      <c r="J4315" t="s">
        <v>43</v>
      </c>
      <c r="K4315" t="s">
        <v>43</v>
      </c>
      <c r="L4315" t="s">
        <v>43</v>
      </c>
      <c r="M4315" t="s">
        <v>43</v>
      </c>
      <c r="N4315" t="s">
        <v>45</v>
      </c>
      <c r="O4315" t="s">
        <v>43</v>
      </c>
      <c r="P4315" t="s">
        <v>43</v>
      </c>
      <c r="Q4315" t="s">
        <v>43</v>
      </c>
      <c r="R4315" t="s">
        <v>43</v>
      </c>
      <c r="S4315" t="s">
        <v>43</v>
      </c>
      <c r="T4315" t="s">
        <v>43</v>
      </c>
      <c r="U4315" t="s">
        <v>43</v>
      </c>
      <c r="V4315" t="s">
        <v>43</v>
      </c>
      <c r="W4315" t="s">
        <v>43</v>
      </c>
      <c r="X4315" t="s">
        <v>43</v>
      </c>
      <c r="Y4315" t="s">
        <v>43</v>
      </c>
      <c r="Z4315" t="s">
        <v>43</v>
      </c>
      <c r="AA4315" t="s">
        <v>43</v>
      </c>
      <c r="AB4315" t="s">
        <v>43</v>
      </c>
      <c r="AC4315" t="s">
        <v>43</v>
      </c>
      <c r="AD4315" t="s">
        <v>43</v>
      </c>
      <c r="AE4315" t="s">
        <v>43</v>
      </c>
      <c r="AF4315" t="s">
        <v>43</v>
      </c>
      <c r="AG4315" t="s">
        <v>43</v>
      </c>
      <c r="AH4315" t="s">
        <v>43</v>
      </c>
      <c r="AI4315" t="s">
        <v>43</v>
      </c>
      <c r="AJ4315" t="s">
        <v>43</v>
      </c>
      <c r="AK4315" t="s">
        <v>43</v>
      </c>
      <c r="AL4315" t="s">
        <v>43</v>
      </c>
      <c r="AM4315" t="s">
        <v>43</v>
      </c>
      <c r="AN4315" t="str">
        <f>HYPERLINK("https://www.google.com/maps?q=10.7630558,79.69436646","Open Location")</f>
        <v>Open Location</v>
      </c>
    </row>
    <row r="4316" spans="1:40" x14ac:dyDescent="0.3">
      <c r="A4316" s="1">
        <v>46210.499768518515</v>
      </c>
      <c r="B4316" t="s">
        <v>40</v>
      </c>
      <c r="C4316" t="s">
        <v>41</v>
      </c>
      <c r="D4316" s="1">
        <v>46210.502847222226</v>
      </c>
      <c r="E4316" t="s">
        <v>42</v>
      </c>
      <c r="F4316" t="s">
        <v>43</v>
      </c>
      <c r="G4316" t="s">
        <v>43</v>
      </c>
      <c r="H4316" t="s">
        <v>43</v>
      </c>
      <c r="I4316" t="s">
        <v>2302</v>
      </c>
      <c r="J4316" t="s">
        <v>43</v>
      </c>
      <c r="K4316" t="s">
        <v>43</v>
      </c>
      <c r="L4316" t="s">
        <v>43</v>
      </c>
      <c r="M4316" t="s">
        <v>43</v>
      </c>
      <c r="N4316" t="s">
        <v>45</v>
      </c>
      <c r="O4316" t="s">
        <v>43</v>
      </c>
      <c r="P4316" t="s">
        <v>43</v>
      </c>
      <c r="Q4316" t="s">
        <v>43</v>
      </c>
      <c r="R4316" t="s">
        <v>43</v>
      </c>
      <c r="S4316" t="s">
        <v>43</v>
      </c>
      <c r="T4316" t="s">
        <v>43</v>
      </c>
      <c r="U4316" t="s">
        <v>43</v>
      </c>
      <c r="V4316" t="s">
        <v>43</v>
      </c>
      <c r="W4316" t="s">
        <v>43</v>
      </c>
      <c r="X4316" t="s">
        <v>43</v>
      </c>
      <c r="Y4316" t="s">
        <v>43</v>
      </c>
      <c r="Z4316" t="s">
        <v>43</v>
      </c>
      <c r="AA4316" t="s">
        <v>43</v>
      </c>
      <c r="AB4316" t="s">
        <v>43</v>
      </c>
      <c r="AC4316" t="s">
        <v>43</v>
      </c>
      <c r="AD4316" t="s">
        <v>43</v>
      </c>
      <c r="AE4316" t="s">
        <v>43</v>
      </c>
      <c r="AF4316" t="s">
        <v>43</v>
      </c>
      <c r="AG4316" t="s">
        <v>43</v>
      </c>
      <c r="AH4316" t="s">
        <v>43</v>
      </c>
      <c r="AI4316" t="s">
        <v>43</v>
      </c>
      <c r="AJ4316" t="s">
        <v>43</v>
      </c>
      <c r="AK4316" t="s">
        <v>43</v>
      </c>
      <c r="AL4316" t="s">
        <v>43</v>
      </c>
      <c r="AM4316" t="s">
        <v>43</v>
      </c>
      <c r="AN4316" t="str">
        <f>HYPERLINK("https://www.google.com/maps?q=10.76305771,79.69436646","Open Location")</f>
        <v>Open Location</v>
      </c>
    </row>
    <row r="4317" spans="1:40" x14ac:dyDescent="0.3">
      <c r="A4317" s="1">
        <v>46210.499652777777</v>
      </c>
      <c r="B4317" t="s">
        <v>40</v>
      </c>
      <c r="C4317" t="s">
        <v>41</v>
      </c>
      <c r="D4317" s="1">
        <v>46210.50267361111</v>
      </c>
      <c r="E4317" t="s">
        <v>42</v>
      </c>
      <c r="F4317" t="s">
        <v>43</v>
      </c>
      <c r="G4317" t="s">
        <v>43</v>
      </c>
      <c r="H4317" t="s">
        <v>43</v>
      </c>
      <c r="I4317" t="s">
        <v>2406</v>
      </c>
      <c r="J4317" t="s">
        <v>43</v>
      </c>
      <c r="K4317" t="s">
        <v>43</v>
      </c>
      <c r="L4317" t="s">
        <v>43</v>
      </c>
      <c r="M4317" t="s">
        <v>43</v>
      </c>
      <c r="N4317" t="s">
        <v>45</v>
      </c>
      <c r="O4317" t="s">
        <v>43</v>
      </c>
      <c r="P4317" t="s">
        <v>43</v>
      </c>
      <c r="Q4317" t="s">
        <v>43</v>
      </c>
      <c r="R4317" t="s">
        <v>43</v>
      </c>
      <c r="S4317" t="s">
        <v>43</v>
      </c>
      <c r="T4317" t="s">
        <v>43</v>
      </c>
      <c r="U4317" t="s">
        <v>43</v>
      </c>
      <c r="V4317" t="s">
        <v>43</v>
      </c>
      <c r="W4317" t="s">
        <v>43</v>
      </c>
      <c r="X4317" t="s">
        <v>43</v>
      </c>
      <c r="Y4317" t="s">
        <v>43</v>
      </c>
      <c r="Z4317" t="s">
        <v>43</v>
      </c>
      <c r="AA4317" t="s">
        <v>43</v>
      </c>
      <c r="AB4317" t="s">
        <v>43</v>
      </c>
      <c r="AC4317" t="s">
        <v>43</v>
      </c>
      <c r="AD4317" t="s">
        <v>43</v>
      </c>
      <c r="AE4317" t="s">
        <v>43</v>
      </c>
      <c r="AF4317" t="s">
        <v>43</v>
      </c>
      <c r="AG4317" t="s">
        <v>43</v>
      </c>
      <c r="AH4317" t="s">
        <v>43</v>
      </c>
      <c r="AI4317" t="s">
        <v>43</v>
      </c>
      <c r="AJ4317" t="s">
        <v>43</v>
      </c>
      <c r="AK4317" t="s">
        <v>43</v>
      </c>
      <c r="AL4317" t="s">
        <v>43</v>
      </c>
      <c r="AM4317" t="s">
        <v>43</v>
      </c>
      <c r="AN4317" t="str">
        <f>HYPERLINK("https://www.google.com/maps?q=10.76305485,79.69437408","Open Location")</f>
        <v>Open Location</v>
      </c>
    </row>
    <row r="4318" spans="1:40" x14ac:dyDescent="0.3">
      <c r="A4318" s="1">
        <v>46210.499537037038</v>
      </c>
      <c r="B4318" t="s">
        <v>40</v>
      </c>
      <c r="C4318" t="s">
        <v>41</v>
      </c>
      <c r="D4318" s="1">
        <v>46210.502349537041</v>
      </c>
      <c r="E4318" t="s">
        <v>42</v>
      </c>
      <c r="F4318" t="s">
        <v>43</v>
      </c>
      <c r="G4318" t="s">
        <v>43</v>
      </c>
      <c r="H4318" t="s">
        <v>43</v>
      </c>
      <c r="I4318" t="s">
        <v>2302</v>
      </c>
      <c r="J4318" t="s">
        <v>43</v>
      </c>
      <c r="K4318" t="s">
        <v>43</v>
      </c>
      <c r="L4318" t="s">
        <v>43</v>
      </c>
      <c r="M4318" t="s">
        <v>43</v>
      </c>
      <c r="N4318" t="s">
        <v>45</v>
      </c>
      <c r="O4318" t="s">
        <v>43</v>
      </c>
      <c r="P4318" t="s">
        <v>43</v>
      </c>
      <c r="Q4318" t="s">
        <v>43</v>
      </c>
      <c r="R4318" t="s">
        <v>43</v>
      </c>
      <c r="S4318" t="s">
        <v>43</v>
      </c>
      <c r="T4318" t="s">
        <v>43</v>
      </c>
      <c r="U4318" t="s">
        <v>43</v>
      </c>
      <c r="V4318" t="s">
        <v>43</v>
      </c>
      <c r="W4318" t="s">
        <v>43</v>
      </c>
      <c r="X4318" t="s">
        <v>43</v>
      </c>
      <c r="Y4318" t="s">
        <v>43</v>
      </c>
      <c r="Z4318" t="s">
        <v>43</v>
      </c>
      <c r="AA4318" t="s">
        <v>43</v>
      </c>
      <c r="AB4318" t="s">
        <v>43</v>
      </c>
      <c r="AC4318" t="s">
        <v>43</v>
      </c>
      <c r="AD4318" t="s">
        <v>43</v>
      </c>
      <c r="AE4318" t="s">
        <v>43</v>
      </c>
      <c r="AF4318" t="s">
        <v>43</v>
      </c>
      <c r="AG4318" t="s">
        <v>43</v>
      </c>
      <c r="AH4318" t="s">
        <v>43</v>
      </c>
      <c r="AI4318" t="s">
        <v>43</v>
      </c>
      <c r="AJ4318" t="s">
        <v>43</v>
      </c>
      <c r="AK4318" t="s">
        <v>43</v>
      </c>
      <c r="AL4318" t="s">
        <v>43</v>
      </c>
      <c r="AM4318" t="s">
        <v>43</v>
      </c>
      <c r="AN4318" t="str">
        <f>HYPERLINK("https://www.google.com/maps?q=10.76305771,79.69436646","Open Location")</f>
        <v>Open Location</v>
      </c>
    </row>
    <row r="4319" spans="1:40" x14ac:dyDescent="0.3">
      <c r="A4319" s="1">
        <v>46210.499421296299</v>
      </c>
      <c r="B4319" t="s">
        <v>40</v>
      </c>
      <c r="C4319" t="s">
        <v>41</v>
      </c>
      <c r="D4319" s="1">
        <v>46210.502604166664</v>
      </c>
      <c r="E4319" t="s">
        <v>42</v>
      </c>
      <c r="F4319" t="s">
        <v>43</v>
      </c>
      <c r="G4319" t="s">
        <v>43</v>
      </c>
      <c r="H4319" t="s">
        <v>43</v>
      </c>
      <c r="I4319" t="s">
        <v>43</v>
      </c>
      <c r="J4319" t="s">
        <v>43</v>
      </c>
      <c r="K4319" t="s">
        <v>43</v>
      </c>
      <c r="L4319" t="s">
        <v>43</v>
      </c>
      <c r="M4319" t="s">
        <v>43</v>
      </c>
      <c r="N4319" t="s">
        <v>45</v>
      </c>
      <c r="O4319" t="s">
        <v>43</v>
      </c>
      <c r="P4319" t="s">
        <v>43</v>
      </c>
      <c r="Q4319" t="s">
        <v>43</v>
      </c>
      <c r="R4319" t="s">
        <v>43</v>
      </c>
      <c r="S4319" t="s">
        <v>43</v>
      </c>
      <c r="T4319" t="s">
        <v>43</v>
      </c>
      <c r="U4319" t="s">
        <v>43</v>
      </c>
      <c r="V4319" t="s">
        <v>43</v>
      </c>
      <c r="W4319" t="s">
        <v>43</v>
      </c>
      <c r="X4319" t="s">
        <v>43</v>
      </c>
      <c r="Y4319" t="s">
        <v>43</v>
      </c>
      <c r="Z4319" t="s">
        <v>43</v>
      </c>
      <c r="AA4319" t="s">
        <v>43</v>
      </c>
      <c r="AB4319" t="s">
        <v>43</v>
      </c>
      <c r="AC4319" t="s">
        <v>43</v>
      </c>
      <c r="AD4319" t="s">
        <v>43</v>
      </c>
      <c r="AE4319" t="s">
        <v>43</v>
      </c>
      <c r="AF4319" t="s">
        <v>43</v>
      </c>
      <c r="AG4319" t="s">
        <v>43</v>
      </c>
      <c r="AH4319" t="s">
        <v>43</v>
      </c>
      <c r="AI4319" t="s">
        <v>43</v>
      </c>
      <c r="AJ4319" t="s">
        <v>43</v>
      </c>
      <c r="AK4319" t="s">
        <v>43</v>
      </c>
      <c r="AL4319" t="s">
        <v>43</v>
      </c>
      <c r="AM4319" t="s">
        <v>43</v>
      </c>
      <c r="AN4319" t="s">
        <v>43</v>
      </c>
    </row>
    <row r="4320" spans="1:40" x14ac:dyDescent="0.3">
      <c r="A4320" s="1">
        <v>46210.499305555553</v>
      </c>
      <c r="B4320" t="s">
        <v>40</v>
      </c>
      <c r="C4320" t="s">
        <v>41</v>
      </c>
      <c r="D4320" s="1">
        <v>46210.50209490741</v>
      </c>
      <c r="E4320" t="s">
        <v>42</v>
      </c>
      <c r="F4320" t="s">
        <v>43</v>
      </c>
      <c r="G4320" t="s">
        <v>43</v>
      </c>
      <c r="H4320" t="s">
        <v>43</v>
      </c>
      <c r="I4320" t="s">
        <v>2342</v>
      </c>
      <c r="J4320" t="s">
        <v>43</v>
      </c>
      <c r="K4320" t="s">
        <v>43</v>
      </c>
      <c r="L4320" t="s">
        <v>43</v>
      </c>
      <c r="M4320" t="s">
        <v>43</v>
      </c>
      <c r="N4320" t="s">
        <v>45</v>
      </c>
      <c r="O4320" t="s">
        <v>43</v>
      </c>
      <c r="P4320" t="s">
        <v>43</v>
      </c>
      <c r="Q4320" t="s">
        <v>43</v>
      </c>
      <c r="R4320" t="s">
        <v>43</v>
      </c>
      <c r="S4320" t="s">
        <v>43</v>
      </c>
      <c r="T4320" t="s">
        <v>43</v>
      </c>
      <c r="U4320" t="s">
        <v>43</v>
      </c>
      <c r="V4320" t="s">
        <v>43</v>
      </c>
      <c r="W4320" t="s">
        <v>43</v>
      </c>
      <c r="X4320" t="s">
        <v>43</v>
      </c>
      <c r="Y4320" t="s">
        <v>43</v>
      </c>
      <c r="Z4320" t="s">
        <v>43</v>
      </c>
      <c r="AA4320" t="s">
        <v>43</v>
      </c>
      <c r="AB4320" t="s">
        <v>43</v>
      </c>
      <c r="AC4320" t="s">
        <v>43</v>
      </c>
      <c r="AD4320" t="s">
        <v>43</v>
      </c>
      <c r="AE4320" t="s">
        <v>43</v>
      </c>
      <c r="AF4320" t="s">
        <v>43</v>
      </c>
      <c r="AG4320" t="s">
        <v>43</v>
      </c>
      <c r="AH4320" t="s">
        <v>43</v>
      </c>
      <c r="AI4320" t="s">
        <v>43</v>
      </c>
      <c r="AJ4320" t="s">
        <v>43</v>
      </c>
      <c r="AK4320" t="s">
        <v>43</v>
      </c>
      <c r="AL4320" t="s">
        <v>43</v>
      </c>
      <c r="AM4320" t="s">
        <v>43</v>
      </c>
      <c r="AN4320" t="str">
        <f>HYPERLINK("https://www.google.com/maps?q=10.76305866,79.69435883","Open Location")</f>
        <v>Open Location</v>
      </c>
    </row>
    <row r="4321" spans="1:40" x14ac:dyDescent="0.3">
      <c r="A4321" s="1">
        <v>46210.499189814815</v>
      </c>
      <c r="B4321" t="s">
        <v>40</v>
      </c>
      <c r="C4321" t="s">
        <v>41</v>
      </c>
      <c r="D4321" s="1">
        <v>46210.502442129633</v>
      </c>
      <c r="E4321" t="s">
        <v>42</v>
      </c>
      <c r="F4321" t="s">
        <v>43</v>
      </c>
      <c r="G4321" t="s">
        <v>43</v>
      </c>
      <c r="H4321" t="s">
        <v>43</v>
      </c>
      <c r="I4321" t="s">
        <v>2346</v>
      </c>
      <c r="J4321" t="s">
        <v>43</v>
      </c>
      <c r="K4321" t="s">
        <v>43</v>
      </c>
      <c r="L4321" t="s">
        <v>43</v>
      </c>
      <c r="M4321" t="s">
        <v>43</v>
      </c>
      <c r="N4321" t="s">
        <v>45</v>
      </c>
      <c r="O4321" t="s">
        <v>43</v>
      </c>
      <c r="P4321" t="s">
        <v>43</v>
      </c>
      <c r="Q4321" t="s">
        <v>43</v>
      </c>
      <c r="R4321" t="s">
        <v>43</v>
      </c>
      <c r="S4321" t="s">
        <v>43</v>
      </c>
      <c r="T4321" t="s">
        <v>43</v>
      </c>
      <c r="U4321" t="s">
        <v>43</v>
      </c>
      <c r="V4321" t="s">
        <v>43</v>
      </c>
      <c r="W4321" t="s">
        <v>43</v>
      </c>
      <c r="X4321" t="s">
        <v>43</v>
      </c>
      <c r="Y4321" t="s">
        <v>43</v>
      </c>
      <c r="Z4321" t="s">
        <v>43</v>
      </c>
      <c r="AA4321" t="s">
        <v>43</v>
      </c>
      <c r="AB4321" t="s">
        <v>43</v>
      </c>
      <c r="AC4321" t="s">
        <v>43</v>
      </c>
      <c r="AD4321" t="s">
        <v>43</v>
      </c>
      <c r="AE4321" t="s">
        <v>43</v>
      </c>
      <c r="AF4321" t="s">
        <v>43</v>
      </c>
      <c r="AG4321" t="s">
        <v>43</v>
      </c>
      <c r="AH4321" t="s">
        <v>43</v>
      </c>
      <c r="AI4321" t="s">
        <v>43</v>
      </c>
      <c r="AJ4321" t="s">
        <v>43</v>
      </c>
      <c r="AK4321" t="s">
        <v>43</v>
      </c>
      <c r="AL4321" t="s">
        <v>43</v>
      </c>
      <c r="AM4321" t="s">
        <v>43</v>
      </c>
      <c r="AN4321" t="str">
        <f>HYPERLINK("https://www.google.com/maps?q=10.76305866,79.6943512","Open Location")</f>
        <v>Open Location</v>
      </c>
    </row>
    <row r="4322" spans="1:40" x14ac:dyDescent="0.3">
      <c r="A4322" s="1">
        <v>46210.499074074076</v>
      </c>
      <c r="B4322" t="s">
        <v>40</v>
      </c>
      <c r="C4322" t="s">
        <v>41</v>
      </c>
      <c r="D4322" s="1">
        <v>46210.502013888887</v>
      </c>
      <c r="E4322" t="s">
        <v>42</v>
      </c>
      <c r="F4322" t="s">
        <v>43</v>
      </c>
      <c r="G4322" t="s">
        <v>43</v>
      </c>
      <c r="H4322" t="s">
        <v>43</v>
      </c>
      <c r="I4322" t="s">
        <v>2407</v>
      </c>
      <c r="J4322" t="s">
        <v>43</v>
      </c>
      <c r="K4322" t="s">
        <v>43</v>
      </c>
      <c r="L4322" t="s">
        <v>43</v>
      </c>
      <c r="M4322" t="s">
        <v>43</v>
      </c>
      <c r="N4322" t="s">
        <v>45</v>
      </c>
      <c r="O4322" t="s">
        <v>43</v>
      </c>
      <c r="P4322" t="s">
        <v>43</v>
      </c>
      <c r="Q4322" t="s">
        <v>43</v>
      </c>
      <c r="R4322" t="s">
        <v>43</v>
      </c>
      <c r="S4322" t="s">
        <v>43</v>
      </c>
      <c r="T4322" t="s">
        <v>43</v>
      </c>
      <c r="U4322" t="s">
        <v>43</v>
      </c>
      <c r="V4322" t="s">
        <v>43</v>
      </c>
      <c r="W4322" t="s">
        <v>43</v>
      </c>
      <c r="X4322" t="s">
        <v>43</v>
      </c>
      <c r="Y4322" t="s">
        <v>43</v>
      </c>
      <c r="Z4322" t="s">
        <v>43</v>
      </c>
      <c r="AA4322" t="s">
        <v>43</v>
      </c>
      <c r="AB4322" t="s">
        <v>43</v>
      </c>
      <c r="AC4322" t="s">
        <v>43</v>
      </c>
      <c r="AD4322" t="s">
        <v>43</v>
      </c>
      <c r="AE4322" t="s">
        <v>43</v>
      </c>
      <c r="AF4322" t="s">
        <v>43</v>
      </c>
      <c r="AG4322" t="s">
        <v>43</v>
      </c>
      <c r="AH4322" t="s">
        <v>43</v>
      </c>
      <c r="AI4322" t="s">
        <v>43</v>
      </c>
      <c r="AJ4322" t="s">
        <v>43</v>
      </c>
      <c r="AK4322" t="s">
        <v>43</v>
      </c>
      <c r="AL4322" t="s">
        <v>43</v>
      </c>
      <c r="AM4322" t="s">
        <v>43</v>
      </c>
      <c r="AN4322" t="str">
        <f>HYPERLINK("https://www.google.com/maps?q=10.76306152,79.6943512","Open Location")</f>
        <v>Open Location</v>
      </c>
    </row>
    <row r="4323" spans="1:40" x14ac:dyDescent="0.3">
      <c r="A4323" s="1">
        <v>46210.49895833333</v>
      </c>
      <c r="B4323" t="s">
        <v>40</v>
      </c>
      <c r="C4323" t="s">
        <v>41</v>
      </c>
      <c r="D4323" s="1">
        <v>46210.501979166664</v>
      </c>
      <c r="E4323" t="s">
        <v>42</v>
      </c>
      <c r="F4323" t="s">
        <v>43</v>
      </c>
      <c r="G4323" t="s">
        <v>43</v>
      </c>
      <c r="H4323" t="s">
        <v>43</v>
      </c>
      <c r="I4323" t="s">
        <v>2408</v>
      </c>
      <c r="J4323" t="s">
        <v>43</v>
      </c>
      <c r="K4323" t="s">
        <v>43</v>
      </c>
      <c r="L4323" t="s">
        <v>43</v>
      </c>
      <c r="M4323" t="s">
        <v>43</v>
      </c>
      <c r="N4323" t="s">
        <v>45</v>
      </c>
      <c r="O4323" t="s">
        <v>43</v>
      </c>
      <c r="P4323" t="s">
        <v>43</v>
      </c>
      <c r="Q4323" t="s">
        <v>43</v>
      </c>
      <c r="R4323" t="s">
        <v>43</v>
      </c>
      <c r="S4323" t="s">
        <v>43</v>
      </c>
      <c r="T4323" t="s">
        <v>43</v>
      </c>
      <c r="U4323" t="s">
        <v>43</v>
      </c>
      <c r="V4323" t="s">
        <v>43</v>
      </c>
      <c r="W4323" t="s">
        <v>43</v>
      </c>
      <c r="X4323" t="s">
        <v>43</v>
      </c>
      <c r="Y4323" t="s">
        <v>43</v>
      </c>
      <c r="Z4323" t="s">
        <v>43</v>
      </c>
      <c r="AA4323" t="s">
        <v>43</v>
      </c>
      <c r="AB4323" t="s">
        <v>43</v>
      </c>
      <c r="AC4323" t="s">
        <v>43</v>
      </c>
      <c r="AD4323" t="s">
        <v>43</v>
      </c>
      <c r="AE4323" t="s">
        <v>43</v>
      </c>
      <c r="AF4323" t="s">
        <v>43</v>
      </c>
      <c r="AG4323" t="s">
        <v>43</v>
      </c>
      <c r="AH4323" t="s">
        <v>43</v>
      </c>
      <c r="AI4323" t="s">
        <v>43</v>
      </c>
      <c r="AJ4323" t="s">
        <v>43</v>
      </c>
      <c r="AK4323" t="s">
        <v>43</v>
      </c>
      <c r="AL4323" t="s">
        <v>43</v>
      </c>
      <c r="AM4323" t="s">
        <v>43</v>
      </c>
      <c r="AN4323" t="str">
        <f>HYPERLINK("https://www.google.com/maps?q=10.76305771,79.69433594","Open Location")</f>
        <v>Open Location</v>
      </c>
    </row>
    <row r="4324" spans="1:40" x14ac:dyDescent="0.3">
      <c r="A4324" s="1">
        <v>46210.498842592591</v>
      </c>
      <c r="B4324" t="s">
        <v>40</v>
      </c>
      <c r="C4324" t="s">
        <v>41</v>
      </c>
      <c r="D4324" s="1">
        <v>46210.501574074071</v>
      </c>
      <c r="E4324" t="s">
        <v>42</v>
      </c>
      <c r="F4324" t="s">
        <v>43</v>
      </c>
      <c r="G4324" t="s">
        <v>43</v>
      </c>
      <c r="H4324" t="s">
        <v>43</v>
      </c>
      <c r="I4324" t="s">
        <v>2409</v>
      </c>
      <c r="J4324" t="s">
        <v>43</v>
      </c>
      <c r="K4324" t="s">
        <v>43</v>
      </c>
      <c r="L4324" t="s">
        <v>43</v>
      </c>
      <c r="M4324" t="s">
        <v>43</v>
      </c>
      <c r="N4324" t="s">
        <v>45</v>
      </c>
      <c r="O4324" t="s">
        <v>43</v>
      </c>
      <c r="P4324" t="s">
        <v>43</v>
      </c>
      <c r="Q4324" t="s">
        <v>43</v>
      </c>
      <c r="R4324" t="s">
        <v>43</v>
      </c>
      <c r="S4324" t="s">
        <v>43</v>
      </c>
      <c r="T4324" t="s">
        <v>43</v>
      </c>
      <c r="U4324" t="s">
        <v>43</v>
      </c>
      <c r="V4324" t="s">
        <v>43</v>
      </c>
      <c r="W4324" t="s">
        <v>43</v>
      </c>
      <c r="X4324" t="s">
        <v>43</v>
      </c>
      <c r="Y4324" t="s">
        <v>43</v>
      </c>
      <c r="Z4324" t="s">
        <v>43</v>
      </c>
      <c r="AA4324" t="s">
        <v>43</v>
      </c>
      <c r="AB4324" t="s">
        <v>43</v>
      </c>
      <c r="AC4324" t="s">
        <v>43</v>
      </c>
      <c r="AD4324" t="s">
        <v>43</v>
      </c>
      <c r="AE4324" t="s">
        <v>43</v>
      </c>
      <c r="AF4324" t="s">
        <v>43</v>
      </c>
      <c r="AG4324" t="s">
        <v>43</v>
      </c>
      <c r="AH4324" t="s">
        <v>43</v>
      </c>
      <c r="AI4324" t="s">
        <v>43</v>
      </c>
      <c r="AJ4324" t="s">
        <v>43</v>
      </c>
      <c r="AK4324" t="s">
        <v>43</v>
      </c>
      <c r="AL4324" t="s">
        <v>43</v>
      </c>
      <c r="AM4324" t="s">
        <v>43</v>
      </c>
      <c r="AN4324" t="str">
        <f>HYPERLINK("https://www.google.com/maps?q=10.76305676,79.69434357","Open Location")</f>
        <v>Open Location</v>
      </c>
    </row>
    <row r="4325" spans="1:40" x14ac:dyDescent="0.3">
      <c r="A4325" s="1">
        <v>46210.498726851853</v>
      </c>
      <c r="B4325" t="s">
        <v>40</v>
      </c>
      <c r="C4325" t="s">
        <v>41</v>
      </c>
      <c r="D4325" s="1">
        <v>46210.502013888887</v>
      </c>
      <c r="E4325" t="s">
        <v>42</v>
      </c>
      <c r="F4325" t="s">
        <v>43</v>
      </c>
      <c r="G4325" t="s">
        <v>43</v>
      </c>
      <c r="H4325" t="s">
        <v>43</v>
      </c>
      <c r="I4325" t="s">
        <v>43</v>
      </c>
      <c r="J4325" t="s">
        <v>43</v>
      </c>
      <c r="K4325" t="s">
        <v>43</v>
      </c>
      <c r="L4325" t="s">
        <v>43</v>
      </c>
      <c r="M4325" t="s">
        <v>43</v>
      </c>
      <c r="N4325" t="s">
        <v>45</v>
      </c>
      <c r="O4325" t="s">
        <v>43</v>
      </c>
      <c r="P4325" t="s">
        <v>43</v>
      </c>
      <c r="Q4325" t="s">
        <v>43</v>
      </c>
      <c r="R4325" t="s">
        <v>43</v>
      </c>
      <c r="S4325" t="s">
        <v>43</v>
      </c>
      <c r="T4325" t="s">
        <v>43</v>
      </c>
      <c r="U4325" t="s">
        <v>43</v>
      </c>
      <c r="V4325" t="s">
        <v>43</v>
      </c>
      <c r="W4325" t="s">
        <v>43</v>
      </c>
      <c r="X4325" t="s">
        <v>43</v>
      </c>
      <c r="Y4325" t="s">
        <v>43</v>
      </c>
      <c r="Z4325" t="s">
        <v>43</v>
      </c>
      <c r="AA4325" t="s">
        <v>43</v>
      </c>
      <c r="AB4325" t="s">
        <v>43</v>
      </c>
      <c r="AC4325" t="s">
        <v>43</v>
      </c>
      <c r="AD4325" t="s">
        <v>43</v>
      </c>
      <c r="AE4325" t="s">
        <v>43</v>
      </c>
      <c r="AF4325" t="s">
        <v>43</v>
      </c>
      <c r="AG4325" t="s">
        <v>43</v>
      </c>
      <c r="AH4325" t="s">
        <v>43</v>
      </c>
      <c r="AI4325" t="s">
        <v>43</v>
      </c>
      <c r="AJ4325" t="s">
        <v>43</v>
      </c>
      <c r="AK4325" t="s">
        <v>43</v>
      </c>
      <c r="AL4325" t="s">
        <v>43</v>
      </c>
      <c r="AM4325" t="s">
        <v>43</v>
      </c>
      <c r="AN4325" t="s">
        <v>43</v>
      </c>
    </row>
    <row r="4326" spans="1:40" x14ac:dyDescent="0.3">
      <c r="A4326" s="1">
        <v>46210.498611111114</v>
      </c>
      <c r="B4326" t="s">
        <v>40</v>
      </c>
      <c r="C4326" t="s">
        <v>41</v>
      </c>
      <c r="D4326" s="1">
        <v>46210.501284722224</v>
      </c>
      <c r="E4326" t="s">
        <v>42</v>
      </c>
      <c r="F4326" t="s">
        <v>43</v>
      </c>
      <c r="G4326" t="s">
        <v>43</v>
      </c>
      <c r="H4326" t="s">
        <v>43</v>
      </c>
      <c r="I4326" t="s">
        <v>2410</v>
      </c>
      <c r="J4326" t="s">
        <v>43</v>
      </c>
      <c r="K4326" t="s">
        <v>43</v>
      </c>
      <c r="L4326" t="s">
        <v>43</v>
      </c>
      <c r="M4326" t="s">
        <v>43</v>
      </c>
      <c r="N4326" t="s">
        <v>45</v>
      </c>
      <c r="O4326" t="s">
        <v>43</v>
      </c>
      <c r="P4326" t="s">
        <v>43</v>
      </c>
      <c r="Q4326" t="s">
        <v>43</v>
      </c>
      <c r="R4326" t="s">
        <v>43</v>
      </c>
      <c r="S4326" t="s">
        <v>43</v>
      </c>
      <c r="T4326" t="s">
        <v>43</v>
      </c>
      <c r="U4326" t="s">
        <v>43</v>
      </c>
      <c r="V4326" t="s">
        <v>43</v>
      </c>
      <c r="W4326" t="s">
        <v>43</v>
      </c>
      <c r="X4326" t="s">
        <v>43</v>
      </c>
      <c r="Y4326" t="s">
        <v>43</v>
      </c>
      <c r="Z4326" t="s">
        <v>43</v>
      </c>
      <c r="AA4326" t="s">
        <v>43</v>
      </c>
      <c r="AB4326" t="s">
        <v>43</v>
      </c>
      <c r="AC4326" t="s">
        <v>43</v>
      </c>
      <c r="AD4326" t="s">
        <v>43</v>
      </c>
      <c r="AE4326" t="s">
        <v>43</v>
      </c>
      <c r="AF4326" t="s">
        <v>43</v>
      </c>
      <c r="AG4326" t="s">
        <v>43</v>
      </c>
      <c r="AH4326" t="s">
        <v>43</v>
      </c>
      <c r="AI4326" t="s">
        <v>43</v>
      </c>
      <c r="AJ4326" t="s">
        <v>43</v>
      </c>
      <c r="AK4326" t="s">
        <v>43</v>
      </c>
      <c r="AL4326" t="s">
        <v>43</v>
      </c>
      <c r="AM4326" t="s">
        <v>43</v>
      </c>
      <c r="AN4326" t="str">
        <f>HYPERLINK("https://www.google.com/maps?q=10.76306057,79.69433594","Open Location")</f>
        <v>Open Location</v>
      </c>
    </row>
    <row r="4327" spans="1:40" x14ac:dyDescent="0.3">
      <c r="A4327" s="1">
        <v>46210.498495370368</v>
      </c>
      <c r="B4327" t="s">
        <v>40</v>
      </c>
      <c r="C4327" t="s">
        <v>41</v>
      </c>
      <c r="D4327" s="1">
        <v>46210.50167824074</v>
      </c>
      <c r="E4327" t="s">
        <v>42</v>
      </c>
      <c r="F4327" t="s">
        <v>43</v>
      </c>
      <c r="G4327" t="s">
        <v>43</v>
      </c>
      <c r="H4327" t="s">
        <v>43</v>
      </c>
      <c r="I4327" t="s">
        <v>2411</v>
      </c>
      <c r="J4327" t="s">
        <v>43</v>
      </c>
      <c r="K4327" t="s">
        <v>43</v>
      </c>
      <c r="L4327" t="s">
        <v>43</v>
      </c>
      <c r="M4327" t="s">
        <v>43</v>
      </c>
      <c r="N4327" t="s">
        <v>45</v>
      </c>
      <c r="O4327" t="s">
        <v>43</v>
      </c>
      <c r="P4327" t="s">
        <v>43</v>
      </c>
      <c r="Q4327" t="s">
        <v>43</v>
      </c>
      <c r="R4327" t="s">
        <v>43</v>
      </c>
      <c r="S4327">
        <v>0</v>
      </c>
      <c r="T4327">
        <v>-40</v>
      </c>
      <c r="U4327">
        <v>47</v>
      </c>
      <c r="V4327">
        <v>0</v>
      </c>
      <c r="W4327" t="s">
        <v>43</v>
      </c>
      <c r="X4327" t="s">
        <v>43</v>
      </c>
      <c r="Y4327" t="s">
        <v>43</v>
      </c>
      <c r="Z4327" t="s">
        <v>43</v>
      </c>
      <c r="AA4327" t="s">
        <v>43</v>
      </c>
      <c r="AB4327" t="s">
        <v>43</v>
      </c>
      <c r="AC4327" t="s">
        <v>43</v>
      </c>
      <c r="AD4327" t="s">
        <v>43</v>
      </c>
      <c r="AE4327" t="s">
        <v>43</v>
      </c>
      <c r="AF4327" t="s">
        <v>43</v>
      </c>
      <c r="AG4327" t="s">
        <v>43</v>
      </c>
      <c r="AH4327" t="s">
        <v>43</v>
      </c>
      <c r="AI4327" t="s">
        <v>43</v>
      </c>
      <c r="AJ4327" t="s">
        <v>43</v>
      </c>
      <c r="AK4327" t="s">
        <v>43</v>
      </c>
      <c r="AL4327" t="s">
        <v>43</v>
      </c>
      <c r="AM4327" t="s">
        <v>43</v>
      </c>
      <c r="AN4327" t="str">
        <f>HYPERLINK("https://www.google.com/maps?q=10.76306057,79.69434357","Open Location")</f>
        <v>Open Location</v>
      </c>
    </row>
    <row r="4328" spans="1:40" x14ac:dyDescent="0.3">
      <c r="A4328" s="1">
        <v>46210.498379629629</v>
      </c>
      <c r="B4328" t="s">
        <v>40</v>
      </c>
      <c r="C4328" t="s">
        <v>41</v>
      </c>
      <c r="D4328" s="1">
        <v>46210.50104166667</v>
      </c>
      <c r="E4328" t="s">
        <v>42</v>
      </c>
      <c r="F4328" t="s">
        <v>43</v>
      </c>
      <c r="G4328" t="s">
        <v>43</v>
      </c>
      <c r="H4328" t="s">
        <v>43</v>
      </c>
      <c r="I4328" t="s">
        <v>2412</v>
      </c>
      <c r="J4328" t="s">
        <v>43</v>
      </c>
      <c r="K4328" t="s">
        <v>43</v>
      </c>
      <c r="L4328" t="s">
        <v>43</v>
      </c>
      <c r="M4328" t="s">
        <v>43</v>
      </c>
      <c r="N4328" t="s">
        <v>45</v>
      </c>
      <c r="O4328" t="s">
        <v>43</v>
      </c>
      <c r="P4328" t="s">
        <v>43</v>
      </c>
      <c r="Q4328" t="s">
        <v>43</v>
      </c>
      <c r="R4328" t="s">
        <v>43</v>
      </c>
      <c r="S4328">
        <v>0</v>
      </c>
      <c r="T4328">
        <v>-40</v>
      </c>
      <c r="U4328">
        <v>47</v>
      </c>
      <c r="V4328">
        <v>0</v>
      </c>
      <c r="W4328" t="s">
        <v>43</v>
      </c>
      <c r="X4328" t="s">
        <v>43</v>
      </c>
      <c r="Y4328" t="s">
        <v>43</v>
      </c>
      <c r="Z4328" t="s">
        <v>43</v>
      </c>
      <c r="AA4328" t="s">
        <v>43</v>
      </c>
      <c r="AB4328" t="s">
        <v>43</v>
      </c>
      <c r="AC4328" t="s">
        <v>43</v>
      </c>
      <c r="AD4328" t="s">
        <v>43</v>
      </c>
      <c r="AE4328" t="s">
        <v>43</v>
      </c>
      <c r="AF4328" t="s">
        <v>43</v>
      </c>
      <c r="AG4328" t="s">
        <v>43</v>
      </c>
      <c r="AH4328" t="s">
        <v>43</v>
      </c>
      <c r="AI4328" t="s">
        <v>43</v>
      </c>
      <c r="AJ4328" t="s">
        <v>43</v>
      </c>
      <c r="AK4328" t="s">
        <v>43</v>
      </c>
      <c r="AL4328" t="s">
        <v>43</v>
      </c>
      <c r="AM4328" t="s">
        <v>43</v>
      </c>
      <c r="AN4328" t="str">
        <f>HYPERLINK("https://www.google.com/maps?q=10.76305485,79.69434357","Open Location")</f>
        <v>Open Location</v>
      </c>
    </row>
    <row r="4329" spans="1:40" x14ac:dyDescent="0.3">
      <c r="A4329" s="1">
        <v>46210.498263888891</v>
      </c>
      <c r="B4329" t="s">
        <v>40</v>
      </c>
      <c r="C4329" t="s">
        <v>41</v>
      </c>
      <c r="D4329" s="1">
        <v>46210.501481481479</v>
      </c>
      <c r="E4329" t="s">
        <v>42</v>
      </c>
      <c r="F4329" t="s">
        <v>43</v>
      </c>
      <c r="G4329" t="s">
        <v>43</v>
      </c>
      <c r="H4329" t="s">
        <v>43</v>
      </c>
      <c r="I4329" t="s">
        <v>2413</v>
      </c>
      <c r="J4329" t="s">
        <v>43</v>
      </c>
      <c r="K4329" t="s">
        <v>43</v>
      </c>
      <c r="L4329" t="s">
        <v>43</v>
      </c>
      <c r="M4329" t="s">
        <v>43</v>
      </c>
      <c r="N4329" t="s">
        <v>45</v>
      </c>
      <c r="O4329" t="s">
        <v>43</v>
      </c>
      <c r="P4329" t="s">
        <v>43</v>
      </c>
      <c r="Q4329" t="s">
        <v>43</v>
      </c>
      <c r="R4329" t="s">
        <v>43</v>
      </c>
      <c r="S4329">
        <v>0</v>
      </c>
      <c r="T4329">
        <v>-40</v>
      </c>
      <c r="U4329">
        <v>47</v>
      </c>
      <c r="V4329">
        <v>0</v>
      </c>
      <c r="W4329" t="s">
        <v>43</v>
      </c>
      <c r="X4329" t="s">
        <v>43</v>
      </c>
      <c r="Y4329" t="s">
        <v>43</v>
      </c>
      <c r="Z4329" t="s">
        <v>43</v>
      </c>
      <c r="AA4329" t="s">
        <v>43</v>
      </c>
      <c r="AB4329" t="s">
        <v>43</v>
      </c>
      <c r="AC4329" t="s">
        <v>43</v>
      </c>
      <c r="AD4329" t="s">
        <v>43</v>
      </c>
      <c r="AE4329" t="s">
        <v>43</v>
      </c>
      <c r="AF4329" t="s">
        <v>43</v>
      </c>
      <c r="AG4329" t="s">
        <v>43</v>
      </c>
      <c r="AH4329" t="s">
        <v>43</v>
      </c>
      <c r="AI4329" t="s">
        <v>43</v>
      </c>
      <c r="AJ4329" t="s">
        <v>43</v>
      </c>
      <c r="AK4329" t="s">
        <v>43</v>
      </c>
      <c r="AL4329" t="s">
        <v>43</v>
      </c>
      <c r="AM4329" t="s">
        <v>43</v>
      </c>
      <c r="AN4329" t="str">
        <f>HYPERLINK("https://www.google.com/maps?q=10.76304817,79.6943512","Open Location")</f>
        <v>Open Location</v>
      </c>
    </row>
    <row r="4330" spans="1:40" x14ac:dyDescent="0.3">
      <c r="A4330" s="1">
        <v>46210.498148148145</v>
      </c>
      <c r="B4330" t="s">
        <v>40</v>
      </c>
      <c r="C4330" t="s">
        <v>41</v>
      </c>
      <c r="D4330" s="1">
        <v>46210.500844907408</v>
      </c>
      <c r="E4330" t="s">
        <v>42</v>
      </c>
      <c r="F4330" t="s">
        <v>43</v>
      </c>
      <c r="G4330" t="s">
        <v>43</v>
      </c>
      <c r="H4330" t="s">
        <v>43</v>
      </c>
      <c r="I4330" t="s">
        <v>2192</v>
      </c>
      <c r="J4330" t="s">
        <v>43</v>
      </c>
      <c r="K4330" t="s">
        <v>43</v>
      </c>
      <c r="L4330" t="s">
        <v>43</v>
      </c>
      <c r="M4330" t="s">
        <v>43</v>
      </c>
      <c r="N4330" t="s">
        <v>45</v>
      </c>
      <c r="O4330" t="s">
        <v>43</v>
      </c>
      <c r="P4330" t="s">
        <v>43</v>
      </c>
      <c r="Q4330" t="s">
        <v>43</v>
      </c>
      <c r="R4330" t="s">
        <v>43</v>
      </c>
      <c r="S4330">
        <v>0</v>
      </c>
      <c r="T4330">
        <v>-40</v>
      </c>
      <c r="U4330">
        <v>47</v>
      </c>
      <c r="V4330">
        <v>0</v>
      </c>
      <c r="W4330" t="s">
        <v>43</v>
      </c>
      <c r="X4330" t="s">
        <v>43</v>
      </c>
      <c r="Y4330" t="s">
        <v>43</v>
      </c>
      <c r="Z4330" t="s">
        <v>43</v>
      </c>
      <c r="AA4330" t="s">
        <v>43</v>
      </c>
      <c r="AB4330" t="s">
        <v>43</v>
      </c>
      <c r="AC4330" t="s">
        <v>43</v>
      </c>
      <c r="AD4330" t="s">
        <v>43</v>
      </c>
      <c r="AE4330" t="s">
        <v>43</v>
      </c>
      <c r="AF4330" t="s">
        <v>43</v>
      </c>
      <c r="AG4330" t="s">
        <v>43</v>
      </c>
      <c r="AH4330" t="s">
        <v>43</v>
      </c>
      <c r="AI4330" t="s">
        <v>43</v>
      </c>
      <c r="AJ4330" t="s">
        <v>43</v>
      </c>
      <c r="AK4330" t="s">
        <v>43</v>
      </c>
      <c r="AL4330" t="s">
        <v>43</v>
      </c>
      <c r="AM4330" t="s">
        <v>43</v>
      </c>
      <c r="AN4330" t="str">
        <f>HYPERLINK("https://www.google.com/maps?q=10.76305008,79.69435883","Open Location")</f>
        <v>Open Location</v>
      </c>
    </row>
    <row r="4331" spans="1:40" x14ac:dyDescent="0.3">
      <c r="A4331" s="1">
        <v>46210.498032407406</v>
      </c>
      <c r="B4331" t="s">
        <v>40</v>
      </c>
      <c r="C4331" t="s">
        <v>41</v>
      </c>
      <c r="D4331" s="1">
        <v>46210.50099537037</v>
      </c>
      <c r="E4331" t="s">
        <v>42</v>
      </c>
      <c r="F4331" t="s">
        <v>43</v>
      </c>
      <c r="G4331" t="s">
        <v>43</v>
      </c>
      <c r="H4331" t="s">
        <v>43</v>
      </c>
      <c r="I4331" t="s">
        <v>43</v>
      </c>
      <c r="J4331" t="s">
        <v>43</v>
      </c>
      <c r="K4331" t="s">
        <v>43</v>
      </c>
      <c r="L4331" t="s">
        <v>43</v>
      </c>
      <c r="M4331" t="s">
        <v>43</v>
      </c>
      <c r="N4331" t="s">
        <v>45</v>
      </c>
      <c r="O4331" t="s">
        <v>43</v>
      </c>
      <c r="P4331" t="s">
        <v>43</v>
      </c>
      <c r="Q4331" t="s">
        <v>43</v>
      </c>
      <c r="R4331" t="s">
        <v>43</v>
      </c>
      <c r="S4331">
        <v>0</v>
      </c>
      <c r="T4331">
        <v>-40</v>
      </c>
      <c r="U4331">
        <v>47</v>
      </c>
      <c r="V4331">
        <v>0</v>
      </c>
      <c r="W4331" t="s">
        <v>43</v>
      </c>
      <c r="X4331" t="s">
        <v>43</v>
      </c>
      <c r="Y4331" t="s">
        <v>43</v>
      </c>
      <c r="Z4331" t="s">
        <v>43</v>
      </c>
      <c r="AA4331" t="s">
        <v>43</v>
      </c>
      <c r="AB4331" t="s">
        <v>43</v>
      </c>
      <c r="AC4331" t="s">
        <v>43</v>
      </c>
      <c r="AD4331" t="s">
        <v>43</v>
      </c>
      <c r="AE4331" t="s">
        <v>43</v>
      </c>
      <c r="AF4331" t="s">
        <v>43</v>
      </c>
      <c r="AG4331" t="s">
        <v>43</v>
      </c>
      <c r="AH4331" t="s">
        <v>43</v>
      </c>
      <c r="AI4331" t="s">
        <v>43</v>
      </c>
      <c r="AJ4331" t="s">
        <v>43</v>
      </c>
      <c r="AK4331" t="s">
        <v>43</v>
      </c>
      <c r="AL4331" t="s">
        <v>43</v>
      </c>
      <c r="AM4331" t="s">
        <v>43</v>
      </c>
      <c r="AN4331" t="s">
        <v>43</v>
      </c>
    </row>
    <row r="4332" spans="1:40" x14ac:dyDescent="0.3">
      <c r="A4332" s="1">
        <v>46210.497916666667</v>
      </c>
      <c r="B4332" t="s">
        <v>40</v>
      </c>
      <c r="C4332" t="s">
        <v>41</v>
      </c>
      <c r="D4332" s="1">
        <v>46210.50068287037</v>
      </c>
      <c r="E4332" t="s">
        <v>42</v>
      </c>
      <c r="F4332" t="s">
        <v>43</v>
      </c>
      <c r="G4332" t="s">
        <v>43</v>
      </c>
      <c r="H4332" t="s">
        <v>43</v>
      </c>
      <c r="I4332" t="s">
        <v>2260</v>
      </c>
      <c r="J4332" t="s">
        <v>43</v>
      </c>
      <c r="K4332" t="s">
        <v>43</v>
      </c>
      <c r="L4332" t="s">
        <v>43</v>
      </c>
      <c r="M4332" t="s">
        <v>43</v>
      </c>
      <c r="N4332" t="s">
        <v>45</v>
      </c>
      <c r="O4332" t="s">
        <v>43</v>
      </c>
      <c r="P4332" t="s">
        <v>43</v>
      </c>
      <c r="Q4332" t="s">
        <v>43</v>
      </c>
      <c r="R4332" t="s">
        <v>43</v>
      </c>
      <c r="S4332">
        <v>0</v>
      </c>
      <c r="T4332">
        <v>-40</v>
      </c>
      <c r="U4332">
        <v>47</v>
      </c>
      <c r="V4332">
        <v>0</v>
      </c>
      <c r="W4332" t="s">
        <v>43</v>
      </c>
      <c r="X4332" t="s">
        <v>43</v>
      </c>
      <c r="Y4332" t="s">
        <v>43</v>
      </c>
      <c r="Z4332" t="s">
        <v>43</v>
      </c>
      <c r="AA4332" t="s">
        <v>43</v>
      </c>
      <c r="AB4332" t="s">
        <v>43</v>
      </c>
      <c r="AC4332" t="s">
        <v>43</v>
      </c>
      <c r="AD4332" t="s">
        <v>43</v>
      </c>
      <c r="AE4332" t="s">
        <v>43</v>
      </c>
      <c r="AF4332" t="s">
        <v>43</v>
      </c>
      <c r="AG4332" t="s">
        <v>43</v>
      </c>
      <c r="AH4332" t="s">
        <v>43</v>
      </c>
      <c r="AI4332" t="s">
        <v>43</v>
      </c>
      <c r="AJ4332" t="s">
        <v>43</v>
      </c>
      <c r="AK4332" t="s">
        <v>43</v>
      </c>
      <c r="AL4332" t="s">
        <v>43</v>
      </c>
      <c r="AM4332" t="s">
        <v>43</v>
      </c>
      <c r="AN4332" t="str">
        <f>HYPERLINK("https://www.google.com/maps?q=10.76305294,79.69435883","Open Location")</f>
        <v>Open Location</v>
      </c>
    </row>
    <row r="4333" spans="1:40" x14ac:dyDescent="0.3">
      <c r="A4333" s="1">
        <v>46210.497800925928</v>
      </c>
      <c r="B4333" t="s">
        <v>40</v>
      </c>
      <c r="C4333" t="s">
        <v>41</v>
      </c>
      <c r="D4333" s="1">
        <v>46210.500613425924</v>
      </c>
      <c r="E4333" t="s">
        <v>42</v>
      </c>
      <c r="F4333" t="s">
        <v>43</v>
      </c>
      <c r="G4333" t="s">
        <v>43</v>
      </c>
      <c r="H4333" t="s">
        <v>43</v>
      </c>
      <c r="I4333" t="s">
        <v>2414</v>
      </c>
      <c r="J4333" t="s">
        <v>43</v>
      </c>
      <c r="K4333" t="s">
        <v>43</v>
      </c>
      <c r="L4333" t="s">
        <v>43</v>
      </c>
      <c r="M4333" t="s">
        <v>43</v>
      </c>
      <c r="N4333" t="s">
        <v>45</v>
      </c>
      <c r="O4333" t="s">
        <v>43</v>
      </c>
      <c r="P4333" t="s">
        <v>43</v>
      </c>
      <c r="Q4333" t="s">
        <v>43</v>
      </c>
      <c r="R4333" t="s">
        <v>43</v>
      </c>
      <c r="S4333">
        <v>0</v>
      </c>
      <c r="T4333">
        <v>-40</v>
      </c>
      <c r="U4333">
        <v>47</v>
      </c>
      <c r="V4333">
        <v>0</v>
      </c>
      <c r="W4333" t="s">
        <v>43</v>
      </c>
      <c r="X4333" t="s">
        <v>43</v>
      </c>
      <c r="Y4333" t="s">
        <v>43</v>
      </c>
      <c r="Z4333" t="s">
        <v>43</v>
      </c>
      <c r="AA4333" t="s">
        <v>43</v>
      </c>
      <c r="AB4333" t="s">
        <v>43</v>
      </c>
      <c r="AC4333" t="s">
        <v>43</v>
      </c>
      <c r="AD4333" t="s">
        <v>43</v>
      </c>
      <c r="AE4333" t="s">
        <v>43</v>
      </c>
      <c r="AF4333" t="s">
        <v>43</v>
      </c>
      <c r="AG4333" t="s">
        <v>43</v>
      </c>
      <c r="AH4333" t="s">
        <v>43</v>
      </c>
      <c r="AI4333" t="s">
        <v>43</v>
      </c>
      <c r="AJ4333" t="s">
        <v>43</v>
      </c>
      <c r="AK4333" t="s">
        <v>43</v>
      </c>
      <c r="AL4333" t="s">
        <v>43</v>
      </c>
      <c r="AM4333" t="s">
        <v>43</v>
      </c>
      <c r="AN4333" t="str">
        <f>HYPERLINK("https://www.google.com/maps?q=10.76305485,79.69435883","Open Location")</f>
        <v>Open Location</v>
      </c>
    </row>
    <row r="4334" spans="1:40" x14ac:dyDescent="0.3">
      <c r="A4334" s="1">
        <v>46210.497685185182</v>
      </c>
      <c r="B4334" t="s">
        <v>40</v>
      </c>
      <c r="C4334" t="s">
        <v>41</v>
      </c>
      <c r="D4334" s="1">
        <v>46210.500775462962</v>
      </c>
      <c r="E4334" t="s">
        <v>42</v>
      </c>
      <c r="F4334" t="s">
        <v>43</v>
      </c>
      <c r="G4334" t="s">
        <v>43</v>
      </c>
      <c r="H4334" t="s">
        <v>43</v>
      </c>
      <c r="I4334" t="s">
        <v>2263</v>
      </c>
      <c r="J4334" t="s">
        <v>43</v>
      </c>
      <c r="K4334" t="s">
        <v>43</v>
      </c>
      <c r="L4334" t="s">
        <v>43</v>
      </c>
      <c r="M4334" t="s">
        <v>43</v>
      </c>
      <c r="N4334" t="s">
        <v>45</v>
      </c>
      <c r="O4334" t="s">
        <v>43</v>
      </c>
      <c r="P4334" t="s">
        <v>43</v>
      </c>
      <c r="Q4334" t="s">
        <v>43</v>
      </c>
      <c r="R4334" t="s">
        <v>43</v>
      </c>
      <c r="S4334">
        <v>0</v>
      </c>
      <c r="T4334">
        <v>-40</v>
      </c>
      <c r="U4334">
        <v>48</v>
      </c>
      <c r="V4334">
        <v>0</v>
      </c>
      <c r="W4334" t="s">
        <v>43</v>
      </c>
      <c r="X4334" t="s">
        <v>43</v>
      </c>
      <c r="Y4334" t="s">
        <v>43</v>
      </c>
      <c r="Z4334" t="s">
        <v>43</v>
      </c>
      <c r="AA4334" t="s">
        <v>43</v>
      </c>
      <c r="AB4334" t="s">
        <v>43</v>
      </c>
      <c r="AC4334" t="s">
        <v>43</v>
      </c>
      <c r="AD4334" t="s">
        <v>43</v>
      </c>
      <c r="AE4334" t="s">
        <v>43</v>
      </c>
      <c r="AF4334" t="s">
        <v>43</v>
      </c>
      <c r="AG4334" t="s">
        <v>43</v>
      </c>
      <c r="AH4334" t="s">
        <v>43</v>
      </c>
      <c r="AI4334" t="s">
        <v>43</v>
      </c>
      <c r="AJ4334" t="s">
        <v>43</v>
      </c>
      <c r="AK4334" t="s">
        <v>43</v>
      </c>
      <c r="AL4334" t="s">
        <v>43</v>
      </c>
      <c r="AM4334" t="s">
        <v>43</v>
      </c>
      <c r="AN4334" t="str">
        <f>HYPERLINK("https://www.google.com/maps?q=10.76305389,79.69435883","Open Location")</f>
        <v>Open Location</v>
      </c>
    </row>
    <row r="4335" spans="1:40" x14ac:dyDescent="0.3">
      <c r="A4335" s="1">
        <v>46210.497569444444</v>
      </c>
      <c r="B4335" t="s">
        <v>40</v>
      </c>
      <c r="C4335" t="s">
        <v>41</v>
      </c>
      <c r="D4335" s="1">
        <v>46210.500613425924</v>
      </c>
      <c r="E4335" t="s">
        <v>42</v>
      </c>
      <c r="F4335" t="s">
        <v>83</v>
      </c>
      <c r="G4335">
        <v>0</v>
      </c>
      <c r="H4335">
        <v>33107</v>
      </c>
      <c r="I4335" t="s">
        <v>2395</v>
      </c>
      <c r="J4335" t="s">
        <v>43</v>
      </c>
      <c r="K4335" t="s">
        <v>43</v>
      </c>
      <c r="L4335" t="s">
        <v>43</v>
      </c>
      <c r="M4335" t="s">
        <v>43</v>
      </c>
      <c r="N4335" t="s">
        <v>81</v>
      </c>
      <c r="O4335" t="s">
        <v>82</v>
      </c>
      <c r="P4335">
        <v>125</v>
      </c>
      <c r="Q4335" t="s">
        <v>82</v>
      </c>
      <c r="R4335">
        <v>0</v>
      </c>
      <c r="S4335">
        <v>0</v>
      </c>
      <c r="T4335">
        <v>-40</v>
      </c>
      <c r="U4335">
        <v>48</v>
      </c>
      <c r="V4335">
        <v>0</v>
      </c>
      <c r="W4335">
        <v>28</v>
      </c>
      <c r="X4335">
        <v>28</v>
      </c>
      <c r="Y4335">
        <v>1</v>
      </c>
      <c r="Z4335">
        <v>8</v>
      </c>
      <c r="AA4335">
        <v>25</v>
      </c>
      <c r="AB4335">
        <v>2</v>
      </c>
      <c r="AC4335">
        <v>4</v>
      </c>
      <c r="AD4335">
        <v>3.27699995</v>
      </c>
      <c r="AE4335">
        <v>1</v>
      </c>
      <c r="AF4335">
        <v>43</v>
      </c>
      <c r="AG4335">
        <v>3.2730000000000001</v>
      </c>
      <c r="AH4335">
        <v>4</v>
      </c>
      <c r="AI4335">
        <v>17</v>
      </c>
      <c r="AJ4335" t="s">
        <v>43</v>
      </c>
      <c r="AK4335" t="s">
        <v>43</v>
      </c>
      <c r="AL4335" t="s">
        <v>43</v>
      </c>
      <c r="AM4335" t="s">
        <v>43</v>
      </c>
      <c r="AN4335" t="str">
        <f>HYPERLINK("https://www.google.com/maps?q=10.76305485,79.69436646","Open Location")</f>
        <v>Open Location</v>
      </c>
    </row>
    <row r="4336" spans="1:40" x14ac:dyDescent="0.3">
      <c r="A4336" s="1">
        <v>46210.497453703705</v>
      </c>
      <c r="B4336" t="s">
        <v>40</v>
      </c>
      <c r="C4336" t="s">
        <v>41</v>
      </c>
      <c r="D4336" s="1">
        <v>46210.500196759262</v>
      </c>
      <c r="E4336" t="s">
        <v>42</v>
      </c>
      <c r="F4336" t="s">
        <v>83</v>
      </c>
      <c r="G4336">
        <v>0</v>
      </c>
      <c r="H4336">
        <v>33107</v>
      </c>
      <c r="I4336" t="s">
        <v>43</v>
      </c>
      <c r="J4336">
        <v>47</v>
      </c>
      <c r="K4336">
        <v>4</v>
      </c>
      <c r="L4336">
        <v>98</v>
      </c>
      <c r="M4336">
        <v>627.90002441000001</v>
      </c>
      <c r="N4336" t="s">
        <v>85</v>
      </c>
      <c r="O4336" t="s">
        <v>82</v>
      </c>
      <c r="P4336">
        <v>125</v>
      </c>
      <c r="Q4336" t="s">
        <v>82</v>
      </c>
      <c r="R4336">
        <v>0</v>
      </c>
      <c r="S4336">
        <v>0</v>
      </c>
      <c r="T4336">
        <v>-40</v>
      </c>
      <c r="U4336">
        <v>48</v>
      </c>
      <c r="V4336">
        <v>0</v>
      </c>
      <c r="W4336">
        <v>28</v>
      </c>
      <c r="X4336">
        <v>28</v>
      </c>
      <c r="Y4336">
        <v>1</v>
      </c>
      <c r="Z4336">
        <v>8</v>
      </c>
      <c r="AA4336">
        <v>25</v>
      </c>
      <c r="AB4336">
        <v>2</v>
      </c>
      <c r="AC4336">
        <v>4</v>
      </c>
      <c r="AD4336">
        <v>3.2760000200000001</v>
      </c>
      <c r="AE4336">
        <v>1</v>
      </c>
      <c r="AF4336">
        <v>3</v>
      </c>
      <c r="AG4336">
        <v>3.2730000000000001</v>
      </c>
      <c r="AH4336">
        <v>2</v>
      </c>
      <c r="AI4336">
        <v>3</v>
      </c>
      <c r="AJ4336">
        <v>1</v>
      </c>
      <c r="AK4336">
        <v>20</v>
      </c>
      <c r="AL4336">
        <v>51</v>
      </c>
      <c r="AM4336" t="s">
        <v>43</v>
      </c>
      <c r="AN4336" t="s">
        <v>43</v>
      </c>
    </row>
    <row r="4337" spans="1:40" x14ac:dyDescent="0.3">
      <c r="A4337" s="1">
        <v>46210.497337962966</v>
      </c>
      <c r="B4337" t="s">
        <v>40</v>
      </c>
      <c r="C4337" t="s">
        <v>41</v>
      </c>
      <c r="D4337" s="1">
        <v>46210.500196759262</v>
      </c>
      <c r="E4337" t="s">
        <v>42</v>
      </c>
      <c r="F4337" t="s">
        <v>83</v>
      </c>
      <c r="G4337">
        <v>0</v>
      </c>
      <c r="H4337">
        <v>33107</v>
      </c>
      <c r="I4337" t="s">
        <v>2366</v>
      </c>
      <c r="J4337">
        <v>47</v>
      </c>
      <c r="K4337">
        <v>4</v>
      </c>
      <c r="L4337">
        <v>98</v>
      </c>
      <c r="M4337">
        <v>627.90002441000001</v>
      </c>
      <c r="N4337" t="s">
        <v>85</v>
      </c>
      <c r="O4337" t="s">
        <v>82</v>
      </c>
      <c r="P4337">
        <v>125</v>
      </c>
      <c r="Q4337" t="s">
        <v>82</v>
      </c>
      <c r="R4337">
        <v>0</v>
      </c>
      <c r="S4337">
        <v>0</v>
      </c>
      <c r="T4337">
        <v>-40</v>
      </c>
      <c r="U4337">
        <v>48</v>
      </c>
      <c r="V4337">
        <v>0</v>
      </c>
      <c r="W4337">
        <v>28</v>
      </c>
      <c r="X4337">
        <v>28</v>
      </c>
      <c r="Y4337">
        <v>1</v>
      </c>
      <c r="Z4337">
        <v>8</v>
      </c>
      <c r="AA4337">
        <v>25</v>
      </c>
      <c r="AB4337">
        <v>2</v>
      </c>
      <c r="AC4337">
        <v>4</v>
      </c>
      <c r="AD4337">
        <v>3.2750001000000002</v>
      </c>
      <c r="AE4337">
        <v>1</v>
      </c>
      <c r="AF4337">
        <v>29</v>
      </c>
      <c r="AG4337">
        <v>3.2690000499999998</v>
      </c>
      <c r="AH4337">
        <v>6</v>
      </c>
      <c r="AI4337">
        <v>17</v>
      </c>
      <c r="AJ4337">
        <v>1</v>
      </c>
      <c r="AK4337">
        <v>20</v>
      </c>
      <c r="AL4337">
        <v>51</v>
      </c>
      <c r="AM4337" t="s">
        <v>43</v>
      </c>
      <c r="AN4337" t="str">
        <f>HYPERLINK("https://www.google.com/maps?q=10.76306152,79.69435883","Open Location")</f>
        <v>Open Location</v>
      </c>
    </row>
    <row r="4338" spans="1:40" x14ac:dyDescent="0.3">
      <c r="A4338" s="1">
        <v>46210.49722222222</v>
      </c>
      <c r="B4338" t="s">
        <v>40</v>
      </c>
      <c r="C4338" t="s">
        <v>41</v>
      </c>
      <c r="D4338" s="1">
        <v>46210.500069444446</v>
      </c>
      <c r="E4338" t="s">
        <v>42</v>
      </c>
      <c r="F4338" t="s">
        <v>83</v>
      </c>
      <c r="G4338">
        <v>0</v>
      </c>
      <c r="H4338">
        <v>33107</v>
      </c>
      <c r="I4338" t="s">
        <v>2257</v>
      </c>
      <c r="J4338">
        <v>47</v>
      </c>
      <c r="K4338">
        <v>12</v>
      </c>
      <c r="L4338">
        <v>98</v>
      </c>
      <c r="M4338">
        <v>627.79998779000005</v>
      </c>
      <c r="N4338" t="s">
        <v>85</v>
      </c>
      <c r="O4338" t="s">
        <v>82</v>
      </c>
      <c r="P4338">
        <v>125</v>
      </c>
      <c r="Q4338" t="s">
        <v>82</v>
      </c>
      <c r="R4338">
        <v>0</v>
      </c>
      <c r="S4338">
        <v>0</v>
      </c>
      <c r="T4338">
        <v>-40</v>
      </c>
      <c r="U4338">
        <v>48</v>
      </c>
      <c r="V4338">
        <v>0</v>
      </c>
      <c r="W4338">
        <v>28</v>
      </c>
      <c r="X4338">
        <v>28</v>
      </c>
      <c r="Y4338">
        <v>1</v>
      </c>
      <c r="Z4338">
        <v>8</v>
      </c>
      <c r="AA4338">
        <v>25</v>
      </c>
      <c r="AB4338">
        <v>2</v>
      </c>
      <c r="AC4338">
        <v>4</v>
      </c>
      <c r="AD4338">
        <v>3.27399993</v>
      </c>
      <c r="AE4338">
        <v>1</v>
      </c>
      <c r="AF4338">
        <v>29</v>
      </c>
      <c r="AG4338">
        <v>3.26799989</v>
      </c>
      <c r="AH4338">
        <v>6</v>
      </c>
      <c r="AI4338">
        <v>17</v>
      </c>
      <c r="AJ4338">
        <v>1</v>
      </c>
      <c r="AK4338">
        <v>21</v>
      </c>
      <c r="AL4338">
        <v>51</v>
      </c>
      <c r="AM4338" t="s">
        <v>43</v>
      </c>
      <c r="AN4338" t="str">
        <f>HYPERLINK("https://www.google.com/maps?q=10.76306057,79.69436646","Open Location")</f>
        <v>Open Location</v>
      </c>
    </row>
    <row r="4339" spans="1:40" x14ac:dyDescent="0.3">
      <c r="A4339" s="1">
        <v>46210.497106481482</v>
      </c>
      <c r="B4339" t="s">
        <v>40</v>
      </c>
      <c r="C4339" t="s">
        <v>41</v>
      </c>
      <c r="D4339" s="1">
        <v>46210.500185185185</v>
      </c>
      <c r="E4339" t="s">
        <v>42</v>
      </c>
      <c r="F4339" t="s">
        <v>83</v>
      </c>
      <c r="G4339">
        <v>0</v>
      </c>
      <c r="H4339">
        <v>33107</v>
      </c>
      <c r="I4339" t="s">
        <v>2237</v>
      </c>
      <c r="J4339">
        <v>47</v>
      </c>
      <c r="K4339">
        <v>12</v>
      </c>
      <c r="L4339">
        <v>98</v>
      </c>
      <c r="M4339">
        <v>627.59997558999999</v>
      </c>
      <c r="N4339" t="s">
        <v>85</v>
      </c>
      <c r="O4339" t="s">
        <v>82</v>
      </c>
      <c r="P4339">
        <v>125</v>
      </c>
      <c r="Q4339" t="s">
        <v>82</v>
      </c>
      <c r="R4339">
        <v>0</v>
      </c>
      <c r="S4339">
        <v>0</v>
      </c>
      <c r="T4339">
        <v>-40</v>
      </c>
      <c r="U4339">
        <v>48</v>
      </c>
      <c r="V4339">
        <v>0</v>
      </c>
      <c r="W4339">
        <v>28</v>
      </c>
      <c r="X4339">
        <v>28</v>
      </c>
      <c r="Y4339">
        <v>1</v>
      </c>
      <c r="Z4339">
        <v>8</v>
      </c>
      <c r="AA4339">
        <v>25</v>
      </c>
      <c r="AB4339">
        <v>2</v>
      </c>
      <c r="AC4339">
        <v>4</v>
      </c>
      <c r="AD4339">
        <v>3.27399993</v>
      </c>
      <c r="AE4339">
        <v>1</v>
      </c>
      <c r="AF4339">
        <v>1</v>
      </c>
      <c r="AG4339">
        <v>3.2690000499999998</v>
      </c>
      <c r="AH4339">
        <v>6</v>
      </c>
      <c r="AI4339">
        <v>17</v>
      </c>
      <c r="AJ4339">
        <v>1</v>
      </c>
      <c r="AK4339">
        <v>20</v>
      </c>
      <c r="AL4339">
        <v>51</v>
      </c>
      <c r="AM4339" t="s">
        <v>43</v>
      </c>
      <c r="AN4339" t="str">
        <f>HYPERLINK("https://www.google.com/maps?q=10.76306152,79.69438171","Open Location")</f>
        <v>Open Location</v>
      </c>
    </row>
    <row r="4340" spans="1:40" x14ac:dyDescent="0.3">
      <c r="A4340" s="1">
        <v>46210.496990740743</v>
      </c>
      <c r="B4340" t="s">
        <v>40</v>
      </c>
      <c r="C4340" t="s">
        <v>41</v>
      </c>
      <c r="D4340" s="1">
        <v>46210.499756944446</v>
      </c>
      <c r="E4340" t="s">
        <v>42</v>
      </c>
      <c r="F4340" t="s">
        <v>83</v>
      </c>
      <c r="G4340">
        <v>0</v>
      </c>
      <c r="H4340" t="s">
        <v>43</v>
      </c>
      <c r="I4340" t="s">
        <v>2221</v>
      </c>
      <c r="J4340">
        <v>47</v>
      </c>
      <c r="K4340">
        <v>11</v>
      </c>
      <c r="L4340">
        <v>98</v>
      </c>
      <c r="M4340">
        <v>627.59997558999999</v>
      </c>
      <c r="N4340" t="s">
        <v>85</v>
      </c>
      <c r="O4340" t="s">
        <v>86</v>
      </c>
      <c r="P4340">
        <v>125</v>
      </c>
      <c r="Q4340" t="s">
        <v>82</v>
      </c>
      <c r="R4340">
        <v>0</v>
      </c>
      <c r="S4340">
        <v>0</v>
      </c>
      <c r="T4340">
        <v>-40</v>
      </c>
      <c r="U4340">
        <v>49</v>
      </c>
      <c r="V4340">
        <v>0</v>
      </c>
      <c r="W4340">
        <v>28</v>
      </c>
      <c r="X4340">
        <v>28</v>
      </c>
      <c r="Y4340">
        <v>1</v>
      </c>
      <c r="Z4340">
        <v>8</v>
      </c>
      <c r="AA4340">
        <v>25</v>
      </c>
      <c r="AB4340">
        <v>2</v>
      </c>
      <c r="AC4340">
        <v>4</v>
      </c>
      <c r="AD4340">
        <v>3.2760000200000001</v>
      </c>
      <c r="AE4340">
        <v>1</v>
      </c>
      <c r="AF4340">
        <v>29</v>
      </c>
      <c r="AG4340">
        <v>3.2730000000000001</v>
      </c>
      <c r="AH4340">
        <v>1</v>
      </c>
      <c r="AI4340">
        <v>4</v>
      </c>
      <c r="AJ4340">
        <v>1</v>
      </c>
      <c r="AK4340">
        <v>20</v>
      </c>
      <c r="AL4340">
        <v>51</v>
      </c>
      <c r="AM4340" t="s">
        <v>43</v>
      </c>
      <c r="AN4340" t="str">
        <f>HYPERLINK("https://www.google.com/maps?q=10.76306343,79.69438171","Open Location")</f>
        <v>Open Location</v>
      </c>
    </row>
    <row r="4341" spans="1:40" x14ac:dyDescent="0.3">
      <c r="A4341" s="1">
        <v>46210.496874999997</v>
      </c>
      <c r="B4341" t="s">
        <v>40</v>
      </c>
      <c r="C4341" t="s">
        <v>41</v>
      </c>
      <c r="D4341" s="1">
        <v>46210.500069444446</v>
      </c>
      <c r="E4341" t="s">
        <v>42</v>
      </c>
      <c r="F4341" t="s">
        <v>83</v>
      </c>
      <c r="G4341">
        <v>14</v>
      </c>
      <c r="H4341">
        <v>33107</v>
      </c>
      <c r="I4341" t="s">
        <v>2415</v>
      </c>
      <c r="J4341">
        <v>47</v>
      </c>
      <c r="K4341">
        <v>4</v>
      </c>
      <c r="L4341">
        <v>98</v>
      </c>
      <c r="M4341">
        <v>627.79998779000005</v>
      </c>
      <c r="N4341" t="s">
        <v>87</v>
      </c>
      <c r="O4341" t="s">
        <v>86</v>
      </c>
      <c r="P4341">
        <v>130</v>
      </c>
      <c r="Q4341">
        <v>2</v>
      </c>
      <c r="R4341">
        <v>-48</v>
      </c>
      <c r="S4341">
        <v>98</v>
      </c>
      <c r="T4341">
        <v>-40</v>
      </c>
      <c r="U4341">
        <v>52</v>
      </c>
      <c r="V4341">
        <v>0</v>
      </c>
      <c r="W4341">
        <v>28</v>
      </c>
      <c r="X4341">
        <v>28</v>
      </c>
      <c r="Y4341">
        <v>1</v>
      </c>
      <c r="Z4341">
        <v>7</v>
      </c>
      <c r="AA4341">
        <v>25</v>
      </c>
      <c r="AB4341">
        <v>2</v>
      </c>
      <c r="AC4341">
        <v>4</v>
      </c>
      <c r="AD4341">
        <v>3.2969999300000001</v>
      </c>
      <c r="AE4341">
        <v>4</v>
      </c>
      <c r="AF4341">
        <v>24</v>
      </c>
      <c r="AG4341">
        <v>3.2909998900000001</v>
      </c>
      <c r="AH4341">
        <v>5</v>
      </c>
      <c r="AI4341">
        <v>48</v>
      </c>
      <c r="AJ4341">
        <v>1</v>
      </c>
      <c r="AK4341">
        <v>21</v>
      </c>
      <c r="AL4341">
        <v>51</v>
      </c>
      <c r="AM4341" t="s">
        <v>43</v>
      </c>
      <c r="AN4341" t="str">
        <f>HYPERLINK("https://www.google.com/maps?q=10.76311779,79.69477081","Open Location")</f>
        <v>Open Location</v>
      </c>
    </row>
    <row r="4342" spans="1:40" x14ac:dyDescent="0.3">
      <c r="A4342" s="1">
        <v>46210.496759259258</v>
      </c>
      <c r="B4342" t="s">
        <v>40</v>
      </c>
      <c r="C4342" t="s">
        <v>41</v>
      </c>
      <c r="D4342" s="1">
        <v>46210.499814814815</v>
      </c>
      <c r="E4342" t="s">
        <v>42</v>
      </c>
      <c r="F4342" t="s">
        <v>83</v>
      </c>
      <c r="G4342">
        <v>28</v>
      </c>
      <c r="H4342">
        <v>33107</v>
      </c>
      <c r="I4342" t="s">
        <v>43</v>
      </c>
      <c r="J4342">
        <v>47</v>
      </c>
      <c r="K4342">
        <v>-75</v>
      </c>
      <c r="L4342">
        <v>98</v>
      </c>
      <c r="M4342">
        <v>633</v>
      </c>
      <c r="N4342" t="s">
        <v>87</v>
      </c>
      <c r="O4342" t="s">
        <v>86</v>
      </c>
      <c r="P4342">
        <v>130</v>
      </c>
      <c r="Q4342">
        <v>5</v>
      </c>
      <c r="R4342">
        <v>-25</v>
      </c>
      <c r="S4342">
        <v>1185</v>
      </c>
      <c r="T4342">
        <v>-40</v>
      </c>
      <c r="U4342">
        <v>50</v>
      </c>
      <c r="V4342">
        <v>-473</v>
      </c>
      <c r="W4342">
        <v>28</v>
      </c>
      <c r="X4342">
        <v>28</v>
      </c>
      <c r="Y4342">
        <v>1</v>
      </c>
      <c r="Z4342">
        <v>7</v>
      </c>
      <c r="AA4342">
        <v>25</v>
      </c>
      <c r="AB4342">
        <v>2</v>
      </c>
      <c r="AC4342">
        <v>4</v>
      </c>
      <c r="AD4342">
        <v>3.2780001200000002</v>
      </c>
      <c r="AE4342">
        <v>1</v>
      </c>
      <c r="AF4342">
        <v>43</v>
      </c>
      <c r="AG4342">
        <v>3.27399993</v>
      </c>
      <c r="AH4342">
        <v>2</v>
      </c>
      <c r="AI4342">
        <v>12</v>
      </c>
      <c r="AJ4342">
        <v>1</v>
      </c>
      <c r="AK4342">
        <v>20</v>
      </c>
      <c r="AL4342">
        <v>51</v>
      </c>
      <c r="AM4342" t="s">
        <v>43</v>
      </c>
      <c r="AN4342" t="s">
        <v>43</v>
      </c>
    </row>
    <row r="4343" spans="1:40" x14ac:dyDescent="0.3">
      <c r="A4343" s="1">
        <v>46210.49664351852</v>
      </c>
      <c r="B4343" t="s">
        <v>40</v>
      </c>
      <c r="C4343" t="s">
        <v>41</v>
      </c>
      <c r="D4343" s="1">
        <v>46210.499618055554</v>
      </c>
      <c r="E4343" t="s">
        <v>42</v>
      </c>
      <c r="F4343" t="s">
        <v>83</v>
      </c>
      <c r="G4343">
        <v>32</v>
      </c>
      <c r="H4343">
        <v>33107</v>
      </c>
      <c r="I4343" t="s">
        <v>2416</v>
      </c>
      <c r="J4343">
        <v>47</v>
      </c>
      <c r="K4343">
        <v>-34</v>
      </c>
      <c r="L4343">
        <v>98</v>
      </c>
      <c r="M4343">
        <v>628.09997558999999</v>
      </c>
      <c r="N4343" t="s">
        <v>87</v>
      </c>
      <c r="O4343" t="s">
        <v>86</v>
      </c>
      <c r="P4343">
        <v>130</v>
      </c>
      <c r="Q4343">
        <v>5</v>
      </c>
      <c r="R4343">
        <v>-29</v>
      </c>
      <c r="S4343">
        <v>1379</v>
      </c>
      <c r="T4343">
        <v>-40</v>
      </c>
      <c r="U4343">
        <v>51</v>
      </c>
      <c r="V4343">
        <v>-184</v>
      </c>
      <c r="W4343">
        <v>28</v>
      </c>
      <c r="X4343">
        <v>28</v>
      </c>
      <c r="Y4343">
        <v>1</v>
      </c>
      <c r="Z4343">
        <v>7</v>
      </c>
      <c r="AA4343">
        <v>25</v>
      </c>
      <c r="AB4343">
        <v>2</v>
      </c>
      <c r="AC4343">
        <v>4</v>
      </c>
      <c r="AD4343">
        <v>3.2720000699999998</v>
      </c>
      <c r="AE4343">
        <v>1</v>
      </c>
      <c r="AF4343">
        <v>26</v>
      </c>
      <c r="AG4343">
        <v>3.2690000499999998</v>
      </c>
      <c r="AH4343">
        <v>2</v>
      </c>
      <c r="AI4343">
        <v>6</v>
      </c>
      <c r="AJ4343">
        <v>1</v>
      </c>
      <c r="AK4343">
        <v>21</v>
      </c>
      <c r="AL4343">
        <v>51</v>
      </c>
      <c r="AM4343" t="s">
        <v>43</v>
      </c>
      <c r="AN4343" t="str">
        <f>HYPERLINK("https://www.google.com/maps?q=10.7632637,79.69565582","Open Location")</f>
        <v>Open Location</v>
      </c>
    </row>
    <row r="4344" spans="1:40" x14ac:dyDescent="0.3">
      <c r="A4344" s="1">
        <v>46210.496527777781</v>
      </c>
      <c r="B4344" t="s">
        <v>40</v>
      </c>
      <c r="C4344" t="s">
        <v>41</v>
      </c>
      <c r="D4344" s="1">
        <v>46210.499374999999</v>
      </c>
      <c r="E4344" t="s">
        <v>42</v>
      </c>
      <c r="F4344" t="s">
        <v>83</v>
      </c>
      <c r="G4344">
        <v>32</v>
      </c>
      <c r="H4344">
        <v>33107</v>
      </c>
      <c r="I4344" t="s">
        <v>2417</v>
      </c>
      <c r="J4344">
        <v>47</v>
      </c>
      <c r="K4344">
        <v>37</v>
      </c>
      <c r="L4344">
        <v>98</v>
      </c>
      <c r="M4344">
        <v>625.90002441000001</v>
      </c>
      <c r="N4344" t="s">
        <v>87</v>
      </c>
      <c r="O4344" t="s">
        <v>86</v>
      </c>
      <c r="P4344">
        <v>130</v>
      </c>
      <c r="Q4344">
        <v>5</v>
      </c>
      <c r="R4344">
        <v>159</v>
      </c>
      <c r="S4344">
        <v>1552</v>
      </c>
      <c r="T4344">
        <v>-40</v>
      </c>
      <c r="U4344">
        <v>51</v>
      </c>
      <c r="V4344">
        <v>80</v>
      </c>
      <c r="W4344">
        <v>28</v>
      </c>
      <c r="X4344">
        <v>28</v>
      </c>
      <c r="Y4344">
        <v>1</v>
      </c>
      <c r="Z4344">
        <v>7</v>
      </c>
      <c r="AA4344">
        <v>25</v>
      </c>
      <c r="AB4344">
        <v>2</v>
      </c>
      <c r="AC4344">
        <v>4</v>
      </c>
      <c r="AD4344">
        <v>3.2669999600000001</v>
      </c>
      <c r="AE4344">
        <v>5</v>
      </c>
      <c r="AF4344">
        <v>3</v>
      </c>
      <c r="AG4344">
        <v>3.26200008</v>
      </c>
      <c r="AH4344">
        <v>4</v>
      </c>
      <c r="AI4344">
        <v>17</v>
      </c>
      <c r="AJ4344">
        <v>1</v>
      </c>
      <c r="AK4344">
        <v>19</v>
      </c>
      <c r="AL4344">
        <v>51</v>
      </c>
      <c r="AM4344" t="s">
        <v>43</v>
      </c>
      <c r="AN4344" t="str">
        <f>HYPERLINK("https://www.google.com/maps?q=10.76337242,79.6966629","Open Location")</f>
        <v>Open Location</v>
      </c>
    </row>
    <row r="4345" spans="1:40" x14ac:dyDescent="0.3">
      <c r="A4345" s="1">
        <v>46210.496412037035</v>
      </c>
      <c r="B4345" t="s">
        <v>40</v>
      </c>
      <c r="C4345" t="s">
        <v>41</v>
      </c>
      <c r="D4345" s="1">
        <v>46210.499467592592</v>
      </c>
      <c r="E4345" t="s">
        <v>42</v>
      </c>
      <c r="F4345" t="s">
        <v>83</v>
      </c>
      <c r="G4345">
        <v>34</v>
      </c>
      <c r="H4345">
        <v>33107</v>
      </c>
      <c r="I4345" t="s">
        <v>2418</v>
      </c>
      <c r="J4345">
        <v>47</v>
      </c>
      <c r="K4345">
        <v>52</v>
      </c>
      <c r="L4345">
        <v>98</v>
      </c>
      <c r="M4345">
        <v>624.79998779000005</v>
      </c>
      <c r="N4345" t="s">
        <v>87</v>
      </c>
      <c r="O4345" t="s">
        <v>86</v>
      </c>
      <c r="P4345">
        <v>131</v>
      </c>
      <c r="Q4345">
        <v>6</v>
      </c>
      <c r="R4345">
        <v>36</v>
      </c>
      <c r="S4345">
        <v>941</v>
      </c>
      <c r="T4345">
        <v>-40</v>
      </c>
      <c r="U4345">
        <v>53</v>
      </c>
      <c r="V4345">
        <v>295</v>
      </c>
      <c r="W4345">
        <v>28</v>
      </c>
      <c r="X4345">
        <v>28</v>
      </c>
      <c r="Y4345">
        <v>1</v>
      </c>
      <c r="Z4345">
        <v>7</v>
      </c>
      <c r="AA4345">
        <v>25</v>
      </c>
      <c r="AB4345">
        <v>2</v>
      </c>
      <c r="AC4345">
        <v>4</v>
      </c>
      <c r="AD4345">
        <v>3.24099994</v>
      </c>
      <c r="AE4345">
        <v>5</v>
      </c>
      <c r="AF4345">
        <v>38</v>
      </c>
      <c r="AG4345">
        <v>3.22900009</v>
      </c>
      <c r="AH4345">
        <v>4</v>
      </c>
      <c r="AI4345">
        <v>17</v>
      </c>
      <c r="AJ4345">
        <v>1</v>
      </c>
      <c r="AK4345">
        <v>18</v>
      </c>
      <c r="AL4345">
        <v>51</v>
      </c>
      <c r="AM4345" t="s">
        <v>43</v>
      </c>
      <c r="AN4345" t="str">
        <f>HYPERLINK("https://www.google.com/maps?q=10.76336384,79.69768524","Open Location")</f>
        <v>Open Location</v>
      </c>
    </row>
    <row r="4346" spans="1:40" x14ac:dyDescent="0.3">
      <c r="A4346" s="1">
        <v>46210.496296296296</v>
      </c>
      <c r="B4346" t="s">
        <v>40</v>
      </c>
      <c r="C4346" t="s">
        <v>41</v>
      </c>
      <c r="D4346" s="1">
        <v>46210.499050925922</v>
      </c>
      <c r="E4346" t="s">
        <v>42</v>
      </c>
      <c r="F4346" t="s">
        <v>83</v>
      </c>
      <c r="G4346">
        <v>35</v>
      </c>
      <c r="H4346">
        <v>33107</v>
      </c>
      <c r="I4346" t="s">
        <v>2419</v>
      </c>
      <c r="J4346">
        <v>47</v>
      </c>
      <c r="K4346">
        <v>116</v>
      </c>
      <c r="L4346">
        <v>98</v>
      </c>
      <c r="M4346">
        <v>621.70001220999995</v>
      </c>
      <c r="N4346" t="s">
        <v>87</v>
      </c>
      <c r="O4346" t="s">
        <v>86</v>
      </c>
      <c r="P4346">
        <v>131</v>
      </c>
      <c r="Q4346">
        <v>6</v>
      </c>
      <c r="R4346">
        <v>-31</v>
      </c>
      <c r="S4346">
        <v>956</v>
      </c>
      <c r="T4346">
        <v>-40</v>
      </c>
      <c r="U4346">
        <v>52</v>
      </c>
      <c r="V4346">
        <v>700</v>
      </c>
      <c r="W4346">
        <v>28</v>
      </c>
      <c r="X4346">
        <v>28</v>
      </c>
      <c r="Y4346">
        <v>1</v>
      </c>
      <c r="Z4346">
        <v>7</v>
      </c>
      <c r="AA4346">
        <v>25</v>
      </c>
      <c r="AB4346">
        <v>2</v>
      </c>
      <c r="AC4346">
        <v>4</v>
      </c>
      <c r="AD4346">
        <v>3.2569999699999999</v>
      </c>
      <c r="AE4346">
        <v>1</v>
      </c>
      <c r="AF4346">
        <v>43</v>
      </c>
      <c r="AG4346">
        <v>3.25</v>
      </c>
      <c r="AH4346">
        <v>4</v>
      </c>
      <c r="AI4346">
        <v>17</v>
      </c>
      <c r="AJ4346">
        <v>1</v>
      </c>
      <c r="AK4346">
        <v>17</v>
      </c>
      <c r="AL4346">
        <v>51</v>
      </c>
      <c r="AM4346" t="s">
        <v>43</v>
      </c>
      <c r="AN4346" t="str">
        <f>HYPERLINK("https://www.google.com/maps?q=10.76296043,79.6986618","Open Location")</f>
        <v>Open Location</v>
      </c>
    </row>
    <row r="4347" spans="1:40" x14ac:dyDescent="0.3">
      <c r="A4347" s="1">
        <v>46210.496180555558</v>
      </c>
      <c r="B4347" t="s">
        <v>40</v>
      </c>
      <c r="C4347" t="s">
        <v>41</v>
      </c>
      <c r="D4347" s="1">
        <v>46210.499421296299</v>
      </c>
      <c r="E4347" t="s">
        <v>42</v>
      </c>
      <c r="F4347" t="s">
        <v>83</v>
      </c>
      <c r="G4347">
        <v>36</v>
      </c>
      <c r="H4347">
        <v>33107</v>
      </c>
      <c r="I4347" t="s">
        <v>43</v>
      </c>
      <c r="J4347">
        <v>47</v>
      </c>
      <c r="K4347">
        <v>95</v>
      </c>
      <c r="L4347">
        <v>98</v>
      </c>
      <c r="M4347">
        <v>622.5</v>
      </c>
      <c r="N4347" t="s">
        <v>87</v>
      </c>
      <c r="O4347" t="s">
        <v>86</v>
      </c>
      <c r="P4347">
        <v>131</v>
      </c>
      <c r="Q4347">
        <v>6</v>
      </c>
      <c r="R4347">
        <v>79</v>
      </c>
      <c r="S4347">
        <v>994</v>
      </c>
      <c r="T4347">
        <v>-40</v>
      </c>
      <c r="U4347">
        <v>52</v>
      </c>
      <c r="V4347">
        <v>520</v>
      </c>
      <c r="W4347">
        <v>28</v>
      </c>
      <c r="X4347">
        <v>28</v>
      </c>
      <c r="Y4347">
        <v>1</v>
      </c>
      <c r="Z4347">
        <v>7</v>
      </c>
      <c r="AA4347">
        <v>25</v>
      </c>
      <c r="AB4347">
        <v>2</v>
      </c>
      <c r="AC4347">
        <v>4</v>
      </c>
      <c r="AD4347">
        <v>3.2460000500000001</v>
      </c>
      <c r="AE4347">
        <v>5</v>
      </c>
      <c r="AF4347">
        <v>38</v>
      </c>
      <c r="AG4347">
        <v>3.2339999700000002</v>
      </c>
      <c r="AH4347">
        <v>4</v>
      </c>
      <c r="AI4347">
        <v>17</v>
      </c>
      <c r="AJ4347">
        <v>1</v>
      </c>
      <c r="AK4347">
        <v>17</v>
      </c>
      <c r="AL4347">
        <v>51</v>
      </c>
      <c r="AM4347" t="s">
        <v>43</v>
      </c>
      <c r="AN4347" t="s">
        <v>43</v>
      </c>
    </row>
    <row r="4348" spans="1:40" x14ac:dyDescent="0.3">
      <c r="A4348" s="1">
        <v>46210.496064814812</v>
      </c>
      <c r="B4348" t="s">
        <v>40</v>
      </c>
      <c r="C4348" t="s">
        <v>41</v>
      </c>
      <c r="D4348" s="1">
        <v>46210.499120370368</v>
      </c>
      <c r="E4348" t="s">
        <v>42</v>
      </c>
      <c r="F4348" t="s">
        <v>83</v>
      </c>
      <c r="G4348">
        <v>36</v>
      </c>
      <c r="H4348">
        <v>33107</v>
      </c>
      <c r="I4348" t="s">
        <v>2420</v>
      </c>
      <c r="J4348">
        <v>47</v>
      </c>
      <c r="K4348">
        <v>93</v>
      </c>
      <c r="L4348">
        <v>98</v>
      </c>
      <c r="M4348">
        <v>622.90002441000001</v>
      </c>
      <c r="N4348" t="s">
        <v>87</v>
      </c>
      <c r="O4348" t="s">
        <v>86</v>
      </c>
      <c r="P4348">
        <v>131</v>
      </c>
      <c r="Q4348">
        <v>6</v>
      </c>
      <c r="R4348">
        <v>-32</v>
      </c>
      <c r="S4348">
        <v>991</v>
      </c>
      <c r="T4348">
        <v>-40</v>
      </c>
      <c r="U4348">
        <v>50</v>
      </c>
      <c r="V4348">
        <v>500</v>
      </c>
      <c r="W4348">
        <v>28</v>
      </c>
      <c r="X4348">
        <v>28</v>
      </c>
      <c r="Y4348">
        <v>1</v>
      </c>
      <c r="Z4348">
        <v>7</v>
      </c>
      <c r="AA4348">
        <v>25</v>
      </c>
      <c r="AB4348">
        <v>2</v>
      </c>
      <c r="AC4348">
        <v>4</v>
      </c>
      <c r="AD4348">
        <v>3.2630000099999998</v>
      </c>
      <c r="AE4348">
        <v>5</v>
      </c>
      <c r="AF4348">
        <v>3</v>
      </c>
      <c r="AG4348">
        <v>3.2569999699999999</v>
      </c>
      <c r="AH4348">
        <v>4</v>
      </c>
      <c r="AI4348">
        <v>17</v>
      </c>
      <c r="AJ4348">
        <v>1</v>
      </c>
      <c r="AK4348">
        <v>17</v>
      </c>
      <c r="AL4348">
        <v>51</v>
      </c>
      <c r="AM4348" t="s">
        <v>43</v>
      </c>
      <c r="AN4348" t="str">
        <f>HYPERLINK("https://www.google.com/maps?q=10.76248932,79.699646","Open Location")</f>
        <v>Open Location</v>
      </c>
    </row>
    <row r="4349" spans="1:40" x14ac:dyDescent="0.3">
      <c r="A4349" s="1">
        <v>46210.495949074073</v>
      </c>
      <c r="B4349" t="s">
        <v>40</v>
      </c>
      <c r="C4349" t="s">
        <v>41</v>
      </c>
      <c r="D4349" s="1">
        <v>46210.499120370368</v>
      </c>
      <c r="E4349" t="s">
        <v>42</v>
      </c>
      <c r="F4349" t="s">
        <v>83</v>
      </c>
      <c r="G4349">
        <v>37</v>
      </c>
      <c r="H4349" t="s">
        <v>43</v>
      </c>
      <c r="I4349" t="s">
        <v>2421</v>
      </c>
      <c r="J4349">
        <v>47</v>
      </c>
      <c r="K4349">
        <v>43</v>
      </c>
      <c r="L4349">
        <v>98</v>
      </c>
      <c r="M4349">
        <v>624.59997558999999</v>
      </c>
      <c r="N4349" t="s">
        <v>87</v>
      </c>
      <c r="O4349" t="s">
        <v>86</v>
      </c>
      <c r="P4349">
        <v>131</v>
      </c>
      <c r="Q4349">
        <v>6</v>
      </c>
      <c r="R4349">
        <v>34</v>
      </c>
      <c r="S4349">
        <v>1012</v>
      </c>
      <c r="T4349">
        <v>-40</v>
      </c>
      <c r="U4349">
        <v>51</v>
      </c>
      <c r="V4349">
        <v>220</v>
      </c>
      <c r="W4349">
        <v>28</v>
      </c>
      <c r="X4349">
        <v>28</v>
      </c>
      <c r="Y4349">
        <v>1</v>
      </c>
      <c r="Z4349">
        <v>7</v>
      </c>
      <c r="AA4349">
        <v>25</v>
      </c>
      <c r="AB4349">
        <v>2</v>
      </c>
      <c r="AC4349">
        <v>4</v>
      </c>
      <c r="AD4349">
        <v>3.25600004</v>
      </c>
      <c r="AE4349">
        <v>5</v>
      </c>
      <c r="AF4349">
        <v>38</v>
      </c>
      <c r="AG4349">
        <v>3.2479999099999999</v>
      </c>
      <c r="AH4349">
        <v>4</v>
      </c>
      <c r="AI4349">
        <v>17</v>
      </c>
      <c r="AJ4349">
        <v>1</v>
      </c>
      <c r="AK4349">
        <v>17</v>
      </c>
      <c r="AL4349">
        <v>51</v>
      </c>
      <c r="AM4349" t="s">
        <v>43</v>
      </c>
      <c r="AN4349" t="str">
        <f>HYPERLINK("https://www.google.com/maps?q=10.76209736,79.70078278","Open Location")</f>
        <v>Open Location</v>
      </c>
    </row>
    <row r="4350" spans="1:40" x14ac:dyDescent="0.3">
      <c r="A4350" s="1">
        <v>46210.495833333334</v>
      </c>
      <c r="B4350" t="s">
        <v>40</v>
      </c>
      <c r="C4350" t="s">
        <v>41</v>
      </c>
      <c r="D4350" s="1">
        <v>46210.498900462961</v>
      </c>
      <c r="E4350" t="s">
        <v>42</v>
      </c>
      <c r="F4350" t="s">
        <v>83</v>
      </c>
      <c r="G4350">
        <v>37</v>
      </c>
      <c r="H4350">
        <v>33107</v>
      </c>
      <c r="I4350" t="s">
        <v>2422</v>
      </c>
      <c r="J4350">
        <v>47</v>
      </c>
      <c r="K4350">
        <v>70</v>
      </c>
      <c r="L4350">
        <v>98</v>
      </c>
      <c r="M4350">
        <v>623.20001220999995</v>
      </c>
      <c r="N4350" t="s">
        <v>87</v>
      </c>
      <c r="O4350" t="s">
        <v>86</v>
      </c>
      <c r="P4350">
        <v>131</v>
      </c>
      <c r="Q4350">
        <v>6</v>
      </c>
      <c r="R4350">
        <v>26</v>
      </c>
      <c r="S4350">
        <v>1039</v>
      </c>
      <c r="T4350">
        <v>-40</v>
      </c>
      <c r="U4350">
        <v>51</v>
      </c>
      <c r="V4350">
        <v>380</v>
      </c>
      <c r="W4350">
        <v>28</v>
      </c>
      <c r="X4350">
        <v>28</v>
      </c>
      <c r="Y4350">
        <v>1</v>
      </c>
      <c r="Z4350">
        <v>7</v>
      </c>
      <c r="AA4350">
        <v>25</v>
      </c>
      <c r="AB4350">
        <v>2</v>
      </c>
      <c r="AC4350">
        <v>4</v>
      </c>
      <c r="AD4350">
        <v>3.2509999299999999</v>
      </c>
      <c r="AE4350">
        <v>1</v>
      </c>
      <c r="AF4350">
        <v>42</v>
      </c>
      <c r="AG4350">
        <v>3.24099994</v>
      </c>
      <c r="AH4350">
        <v>4</v>
      </c>
      <c r="AI4350">
        <v>17</v>
      </c>
      <c r="AJ4350">
        <v>1</v>
      </c>
      <c r="AK4350">
        <v>17</v>
      </c>
      <c r="AL4350">
        <v>51</v>
      </c>
      <c r="AM4350" t="s">
        <v>43</v>
      </c>
      <c r="AN4350" t="str">
        <f>HYPERLINK("https://www.google.com/maps?q=10.76173782,79.70186615","Open Location")</f>
        <v>Open Location</v>
      </c>
    </row>
    <row r="4351" spans="1:40" x14ac:dyDescent="0.3">
      <c r="A4351" s="1">
        <v>46210.495717592596</v>
      </c>
      <c r="B4351" t="s">
        <v>40</v>
      </c>
      <c r="C4351" t="s">
        <v>41</v>
      </c>
      <c r="D4351" s="1">
        <v>46210.499328703707</v>
      </c>
      <c r="E4351" t="s">
        <v>42</v>
      </c>
      <c r="F4351" t="s">
        <v>83</v>
      </c>
      <c r="G4351">
        <v>37</v>
      </c>
      <c r="H4351">
        <v>33106</v>
      </c>
      <c r="I4351" t="s">
        <v>2423</v>
      </c>
      <c r="J4351">
        <v>47</v>
      </c>
      <c r="K4351">
        <v>89</v>
      </c>
      <c r="L4351">
        <v>98</v>
      </c>
      <c r="M4351">
        <v>622</v>
      </c>
      <c r="N4351" t="s">
        <v>87</v>
      </c>
      <c r="O4351" t="s">
        <v>86</v>
      </c>
      <c r="P4351">
        <v>131</v>
      </c>
      <c r="Q4351">
        <v>6</v>
      </c>
      <c r="R4351">
        <v>36</v>
      </c>
      <c r="S4351">
        <v>1037</v>
      </c>
      <c r="T4351">
        <v>-40</v>
      </c>
      <c r="U4351">
        <v>50</v>
      </c>
      <c r="V4351">
        <v>460</v>
      </c>
      <c r="W4351">
        <v>28</v>
      </c>
      <c r="X4351">
        <v>28</v>
      </c>
      <c r="Y4351">
        <v>1</v>
      </c>
      <c r="Z4351">
        <v>7</v>
      </c>
      <c r="AA4351">
        <v>25</v>
      </c>
      <c r="AB4351">
        <v>2</v>
      </c>
      <c r="AC4351">
        <v>4</v>
      </c>
      <c r="AD4351">
        <v>3.25600004</v>
      </c>
      <c r="AE4351">
        <v>5</v>
      </c>
      <c r="AF4351">
        <v>38</v>
      </c>
      <c r="AG4351">
        <v>3.2479999099999999</v>
      </c>
      <c r="AH4351">
        <v>4</v>
      </c>
      <c r="AI4351">
        <v>17</v>
      </c>
      <c r="AJ4351">
        <v>1</v>
      </c>
      <c r="AK4351">
        <v>18</v>
      </c>
      <c r="AL4351">
        <v>51</v>
      </c>
      <c r="AM4351" t="s">
        <v>43</v>
      </c>
      <c r="AN4351" t="str">
        <f>HYPERLINK("https://www.google.com/maps?q=10.76109505,79.70279694","Open Location")</f>
        <v>Open Location</v>
      </c>
    </row>
    <row r="4352" spans="1:40" x14ac:dyDescent="0.3">
      <c r="A4352" s="1">
        <v>46210.49560185185</v>
      </c>
      <c r="B4352" t="s">
        <v>40</v>
      </c>
      <c r="C4352" t="s">
        <v>41</v>
      </c>
      <c r="D4352" s="1">
        <v>46210.49832175926</v>
      </c>
      <c r="E4352" t="s">
        <v>42</v>
      </c>
      <c r="F4352" t="s">
        <v>83</v>
      </c>
      <c r="G4352">
        <v>37</v>
      </c>
      <c r="H4352">
        <v>33106</v>
      </c>
      <c r="I4352" t="s">
        <v>2424</v>
      </c>
      <c r="J4352">
        <v>47</v>
      </c>
      <c r="K4352">
        <v>37</v>
      </c>
      <c r="L4352">
        <v>98</v>
      </c>
      <c r="M4352">
        <v>624.09997558999999</v>
      </c>
      <c r="N4352" t="s">
        <v>87</v>
      </c>
      <c r="O4352" t="s">
        <v>86</v>
      </c>
      <c r="P4352">
        <v>131</v>
      </c>
      <c r="Q4352">
        <v>6</v>
      </c>
      <c r="R4352">
        <v>34</v>
      </c>
      <c r="S4352">
        <v>1030</v>
      </c>
      <c r="T4352">
        <v>-40</v>
      </c>
      <c r="U4352">
        <v>51</v>
      </c>
      <c r="V4352">
        <v>192</v>
      </c>
      <c r="W4352">
        <v>28</v>
      </c>
      <c r="X4352">
        <v>28</v>
      </c>
      <c r="Y4352">
        <v>1</v>
      </c>
      <c r="Z4352">
        <v>7</v>
      </c>
      <c r="AA4352">
        <v>25</v>
      </c>
      <c r="AB4352">
        <v>2</v>
      </c>
      <c r="AC4352">
        <v>4</v>
      </c>
      <c r="AD4352">
        <v>3.25300002</v>
      </c>
      <c r="AE4352">
        <v>1</v>
      </c>
      <c r="AF4352">
        <v>42</v>
      </c>
      <c r="AG4352">
        <v>3.2449998899999999</v>
      </c>
      <c r="AH4352">
        <v>4</v>
      </c>
      <c r="AI4352">
        <v>17</v>
      </c>
      <c r="AJ4352">
        <v>1</v>
      </c>
      <c r="AK4352">
        <v>18</v>
      </c>
      <c r="AL4352">
        <v>51</v>
      </c>
      <c r="AM4352" t="s">
        <v>43</v>
      </c>
      <c r="AN4352" t="str">
        <f>HYPERLINK("https://www.google.com/maps?q=10.76024628,79.70355225","Open Location")</f>
        <v>Open Location</v>
      </c>
    </row>
    <row r="4353" spans="1:40" x14ac:dyDescent="0.3">
      <c r="A4353" s="1">
        <v>46210.495486111111</v>
      </c>
      <c r="B4353" t="s">
        <v>40</v>
      </c>
      <c r="C4353" t="s">
        <v>41</v>
      </c>
      <c r="D4353" s="1">
        <v>46210.498437499999</v>
      </c>
      <c r="E4353" t="s">
        <v>42</v>
      </c>
      <c r="F4353" t="s">
        <v>83</v>
      </c>
      <c r="G4353">
        <v>36</v>
      </c>
      <c r="H4353">
        <v>33106</v>
      </c>
      <c r="I4353" t="s">
        <v>43</v>
      </c>
      <c r="J4353">
        <v>48</v>
      </c>
      <c r="K4353">
        <v>97</v>
      </c>
      <c r="L4353">
        <v>98</v>
      </c>
      <c r="M4353">
        <v>621.20001220999995</v>
      </c>
      <c r="N4353" t="s">
        <v>87</v>
      </c>
      <c r="O4353" t="s">
        <v>86</v>
      </c>
      <c r="P4353">
        <v>131</v>
      </c>
      <c r="Q4353">
        <v>6</v>
      </c>
      <c r="R4353">
        <v>48</v>
      </c>
      <c r="S4353">
        <v>1016</v>
      </c>
      <c r="T4353">
        <v>-40</v>
      </c>
      <c r="U4353">
        <v>52</v>
      </c>
      <c r="V4353">
        <v>530</v>
      </c>
      <c r="W4353">
        <v>28</v>
      </c>
      <c r="X4353">
        <v>28</v>
      </c>
      <c r="Y4353">
        <v>1</v>
      </c>
      <c r="Z4353">
        <v>7</v>
      </c>
      <c r="AA4353">
        <v>25</v>
      </c>
      <c r="AB4353">
        <v>2</v>
      </c>
      <c r="AC4353">
        <v>4</v>
      </c>
      <c r="AD4353">
        <v>3.24699998</v>
      </c>
      <c r="AE4353">
        <v>1</v>
      </c>
      <c r="AF4353">
        <v>38</v>
      </c>
      <c r="AG4353">
        <v>3.23799992</v>
      </c>
      <c r="AH4353">
        <v>4</v>
      </c>
      <c r="AI4353">
        <v>17</v>
      </c>
      <c r="AJ4353">
        <v>1</v>
      </c>
      <c r="AK4353">
        <v>18</v>
      </c>
      <c r="AL4353">
        <v>51</v>
      </c>
      <c r="AM4353" t="s">
        <v>43</v>
      </c>
      <c r="AN4353" t="s">
        <v>43</v>
      </c>
    </row>
    <row r="4354" spans="1:40" x14ac:dyDescent="0.3">
      <c r="A4354" s="1">
        <v>46210.495370370372</v>
      </c>
      <c r="B4354" t="s">
        <v>40</v>
      </c>
      <c r="C4354" t="s">
        <v>41</v>
      </c>
      <c r="D4354" s="1">
        <v>46210.498136574075</v>
      </c>
      <c r="E4354" t="s">
        <v>42</v>
      </c>
      <c r="F4354" t="s">
        <v>83</v>
      </c>
      <c r="G4354">
        <v>35</v>
      </c>
      <c r="H4354">
        <v>33106</v>
      </c>
      <c r="I4354" t="s">
        <v>2425</v>
      </c>
      <c r="J4354">
        <v>48</v>
      </c>
      <c r="K4354">
        <v>99</v>
      </c>
      <c r="L4354">
        <v>98</v>
      </c>
      <c r="M4354">
        <v>621.5</v>
      </c>
      <c r="N4354" t="s">
        <v>87</v>
      </c>
      <c r="O4354" t="s">
        <v>86</v>
      </c>
      <c r="P4354">
        <v>131</v>
      </c>
      <c r="Q4354">
        <v>6</v>
      </c>
      <c r="R4354">
        <v>51</v>
      </c>
      <c r="S4354">
        <v>999</v>
      </c>
      <c r="T4354">
        <v>-40</v>
      </c>
      <c r="U4354">
        <v>51</v>
      </c>
      <c r="V4354">
        <v>540</v>
      </c>
      <c r="W4354">
        <v>28</v>
      </c>
      <c r="X4354">
        <v>28</v>
      </c>
      <c r="Y4354">
        <v>1</v>
      </c>
      <c r="Z4354">
        <v>7</v>
      </c>
      <c r="AA4354">
        <v>25</v>
      </c>
      <c r="AB4354">
        <v>2</v>
      </c>
      <c r="AC4354">
        <v>6</v>
      </c>
      <c r="AD4354">
        <v>3.2509999299999999</v>
      </c>
      <c r="AE4354">
        <v>5</v>
      </c>
      <c r="AF4354">
        <v>38</v>
      </c>
      <c r="AG4354">
        <v>3.24099994</v>
      </c>
      <c r="AH4354">
        <v>7</v>
      </c>
      <c r="AI4354">
        <v>1</v>
      </c>
      <c r="AJ4354">
        <v>1</v>
      </c>
      <c r="AK4354">
        <v>18</v>
      </c>
      <c r="AL4354">
        <v>51</v>
      </c>
      <c r="AM4354" t="s">
        <v>43</v>
      </c>
      <c r="AN4354" t="str">
        <f>HYPERLINK("https://www.google.com/maps?q=10.75938892,79.70426941","Open Location")</f>
        <v>Open Location</v>
      </c>
    </row>
    <row r="4355" spans="1:40" x14ac:dyDescent="0.3">
      <c r="A4355" s="1">
        <v>46210.495254629626</v>
      </c>
      <c r="B4355" t="s">
        <v>40</v>
      </c>
      <c r="C4355" t="s">
        <v>41</v>
      </c>
      <c r="D4355" s="1">
        <v>46210.498032407406</v>
      </c>
      <c r="E4355" t="s">
        <v>42</v>
      </c>
      <c r="F4355" t="s">
        <v>83</v>
      </c>
      <c r="G4355">
        <v>36</v>
      </c>
      <c r="H4355">
        <v>33106</v>
      </c>
      <c r="I4355" t="s">
        <v>2426</v>
      </c>
      <c r="J4355">
        <v>48</v>
      </c>
      <c r="K4355">
        <v>89</v>
      </c>
      <c r="L4355">
        <v>98</v>
      </c>
      <c r="M4355">
        <v>623</v>
      </c>
      <c r="N4355" t="s">
        <v>87</v>
      </c>
      <c r="O4355" t="s">
        <v>86</v>
      </c>
      <c r="P4355">
        <v>131</v>
      </c>
      <c r="Q4355">
        <v>6</v>
      </c>
      <c r="R4355">
        <v>33</v>
      </c>
      <c r="S4355">
        <v>997</v>
      </c>
      <c r="T4355">
        <v>-40</v>
      </c>
      <c r="U4355">
        <v>50</v>
      </c>
      <c r="V4355">
        <v>480</v>
      </c>
      <c r="W4355">
        <v>28</v>
      </c>
      <c r="X4355">
        <v>28</v>
      </c>
      <c r="Y4355">
        <v>1</v>
      </c>
      <c r="Z4355">
        <v>7</v>
      </c>
      <c r="AA4355">
        <v>25</v>
      </c>
      <c r="AB4355">
        <v>3</v>
      </c>
      <c r="AC4355">
        <v>6</v>
      </c>
      <c r="AD4355">
        <v>3.25600004</v>
      </c>
      <c r="AE4355">
        <v>1</v>
      </c>
      <c r="AF4355">
        <v>43</v>
      </c>
      <c r="AG4355">
        <v>3.2490000700000001</v>
      </c>
      <c r="AH4355">
        <v>4</v>
      </c>
      <c r="AI4355">
        <v>17</v>
      </c>
      <c r="AJ4355">
        <v>1</v>
      </c>
      <c r="AK4355">
        <v>18</v>
      </c>
      <c r="AL4355">
        <v>51</v>
      </c>
      <c r="AM4355" t="s">
        <v>43</v>
      </c>
      <c r="AN4355" t="str">
        <f>HYPERLINK("https://www.google.com/maps?q=10.75869179,79.70509338","Open Location")</f>
        <v>Open Location</v>
      </c>
    </row>
    <row r="4356" spans="1:40" x14ac:dyDescent="0.3">
      <c r="A4356" s="1">
        <v>46210.495138888888</v>
      </c>
      <c r="B4356" t="s">
        <v>40</v>
      </c>
      <c r="C4356" t="s">
        <v>41</v>
      </c>
      <c r="D4356" s="1">
        <v>46210.497916666667</v>
      </c>
      <c r="E4356" t="s">
        <v>42</v>
      </c>
      <c r="F4356" t="s">
        <v>83</v>
      </c>
      <c r="G4356">
        <v>38</v>
      </c>
      <c r="H4356">
        <v>33106</v>
      </c>
      <c r="I4356" t="s">
        <v>2427</v>
      </c>
      <c r="J4356">
        <v>48</v>
      </c>
      <c r="K4356">
        <v>74</v>
      </c>
      <c r="L4356">
        <v>98</v>
      </c>
      <c r="M4356">
        <v>623.20001220999995</v>
      </c>
      <c r="N4356" t="s">
        <v>87</v>
      </c>
      <c r="O4356" t="s">
        <v>86</v>
      </c>
      <c r="P4356">
        <v>131</v>
      </c>
      <c r="Q4356">
        <v>6</v>
      </c>
      <c r="R4356">
        <v>44</v>
      </c>
      <c r="S4356">
        <v>1035</v>
      </c>
      <c r="T4356">
        <v>-40</v>
      </c>
      <c r="U4356">
        <v>50</v>
      </c>
      <c r="V4356">
        <v>400</v>
      </c>
      <c r="W4356">
        <v>28</v>
      </c>
      <c r="X4356">
        <v>28</v>
      </c>
      <c r="Y4356">
        <v>1</v>
      </c>
      <c r="Z4356">
        <v>7</v>
      </c>
      <c r="AA4356">
        <v>25</v>
      </c>
      <c r="AB4356">
        <v>3</v>
      </c>
      <c r="AC4356">
        <v>6</v>
      </c>
      <c r="AD4356">
        <v>3.2490000700000001</v>
      </c>
      <c r="AE4356">
        <v>1</v>
      </c>
      <c r="AF4356">
        <v>44</v>
      </c>
      <c r="AG4356">
        <v>3.2400000100000002</v>
      </c>
      <c r="AH4356">
        <v>4</v>
      </c>
      <c r="AI4356">
        <v>17</v>
      </c>
      <c r="AJ4356">
        <v>1</v>
      </c>
      <c r="AK4356">
        <v>18</v>
      </c>
      <c r="AL4356">
        <v>51</v>
      </c>
      <c r="AM4356" t="s">
        <v>43</v>
      </c>
      <c r="AN4356" t="str">
        <f>HYPERLINK("https://www.google.com/maps?q=10.75823784,79.70613098","Open Location")</f>
        <v>Open Location</v>
      </c>
    </row>
    <row r="4357" spans="1:40" x14ac:dyDescent="0.3">
      <c r="A4357" s="1">
        <v>46210.495023148149</v>
      </c>
      <c r="B4357" t="s">
        <v>40</v>
      </c>
      <c r="C4357" t="s">
        <v>41</v>
      </c>
      <c r="D4357" s="1">
        <v>46210.49800925926</v>
      </c>
      <c r="E4357" t="s">
        <v>42</v>
      </c>
      <c r="F4357" t="s">
        <v>83</v>
      </c>
      <c r="G4357">
        <v>39</v>
      </c>
      <c r="H4357">
        <v>33106</v>
      </c>
      <c r="I4357" t="s">
        <v>2428</v>
      </c>
      <c r="J4357">
        <v>48</v>
      </c>
      <c r="K4357">
        <v>58</v>
      </c>
      <c r="L4357">
        <v>98</v>
      </c>
      <c r="M4357">
        <v>623.5</v>
      </c>
      <c r="N4357" t="s">
        <v>87</v>
      </c>
      <c r="O4357" t="s">
        <v>86</v>
      </c>
      <c r="P4357">
        <v>131</v>
      </c>
      <c r="Q4357">
        <v>6</v>
      </c>
      <c r="R4357">
        <v>36</v>
      </c>
      <c r="S4357">
        <v>1074</v>
      </c>
      <c r="T4357">
        <v>-40</v>
      </c>
      <c r="U4357">
        <v>50</v>
      </c>
      <c r="V4357">
        <v>308</v>
      </c>
      <c r="W4357">
        <v>28</v>
      </c>
      <c r="X4357">
        <v>28</v>
      </c>
      <c r="Y4357">
        <v>1</v>
      </c>
      <c r="Z4357">
        <v>7</v>
      </c>
      <c r="AA4357">
        <v>25</v>
      </c>
      <c r="AB4357">
        <v>3</v>
      </c>
      <c r="AC4357">
        <v>6</v>
      </c>
      <c r="AD4357">
        <v>3.2539999499999999</v>
      </c>
      <c r="AE4357">
        <v>5</v>
      </c>
      <c r="AF4357">
        <v>38</v>
      </c>
      <c r="AG4357">
        <v>3.2460000500000001</v>
      </c>
      <c r="AH4357">
        <v>4</v>
      </c>
      <c r="AI4357">
        <v>17</v>
      </c>
      <c r="AJ4357">
        <v>1</v>
      </c>
      <c r="AK4357">
        <v>18</v>
      </c>
      <c r="AL4357">
        <v>51</v>
      </c>
      <c r="AM4357" t="s">
        <v>43</v>
      </c>
      <c r="AN4357" t="str">
        <f>HYPERLINK("https://www.google.com/maps?q=10.75812435,79.70740509","Open Location")</f>
        <v>Open Location</v>
      </c>
    </row>
    <row r="4358" spans="1:40" x14ac:dyDescent="0.3">
      <c r="A4358" s="1">
        <v>46210.49490740741</v>
      </c>
      <c r="B4358" t="s">
        <v>40</v>
      </c>
      <c r="C4358" t="s">
        <v>41</v>
      </c>
      <c r="D4358" s="1">
        <v>46210.497685185182</v>
      </c>
      <c r="E4358" t="s">
        <v>42</v>
      </c>
      <c r="F4358" t="s">
        <v>83</v>
      </c>
      <c r="G4358">
        <v>40</v>
      </c>
      <c r="H4358">
        <v>33106</v>
      </c>
      <c r="I4358" t="s">
        <v>2429</v>
      </c>
      <c r="J4358">
        <v>48</v>
      </c>
      <c r="K4358">
        <v>69</v>
      </c>
      <c r="L4358">
        <v>98</v>
      </c>
      <c r="M4358">
        <v>622.90002441000001</v>
      </c>
      <c r="N4358" t="s">
        <v>87</v>
      </c>
      <c r="O4358" t="s">
        <v>86</v>
      </c>
      <c r="P4358">
        <v>131</v>
      </c>
      <c r="Q4358">
        <v>6</v>
      </c>
      <c r="R4358">
        <v>39</v>
      </c>
      <c r="S4358">
        <v>1106</v>
      </c>
      <c r="T4358">
        <v>-40</v>
      </c>
      <c r="U4358">
        <v>50</v>
      </c>
      <c r="V4358">
        <v>340</v>
      </c>
      <c r="W4358">
        <v>28</v>
      </c>
      <c r="X4358">
        <v>28</v>
      </c>
      <c r="Y4358">
        <v>1</v>
      </c>
      <c r="Z4358">
        <v>7</v>
      </c>
      <c r="AA4358">
        <v>25</v>
      </c>
      <c r="AB4358">
        <v>3</v>
      </c>
      <c r="AC4358">
        <v>6</v>
      </c>
      <c r="AD4358">
        <v>3.2569999699999999</v>
      </c>
      <c r="AE4358">
        <v>1</v>
      </c>
      <c r="AF4358">
        <v>38</v>
      </c>
      <c r="AG4358">
        <v>3.25</v>
      </c>
      <c r="AH4358">
        <v>7</v>
      </c>
      <c r="AI4358">
        <v>1</v>
      </c>
      <c r="AJ4358">
        <v>1</v>
      </c>
      <c r="AK4358">
        <v>19</v>
      </c>
      <c r="AL4358">
        <v>51</v>
      </c>
      <c r="AM4358" t="s">
        <v>43</v>
      </c>
      <c r="AN4358" t="str">
        <f>HYPERLINK("https://www.google.com/maps?q=10.75821877,79.70863342","Open Location")</f>
        <v>Open Location</v>
      </c>
    </row>
    <row r="4359" spans="1:40" x14ac:dyDescent="0.3">
      <c r="A4359" s="1">
        <v>46210.494791666664</v>
      </c>
      <c r="B4359" t="s">
        <v>40</v>
      </c>
      <c r="C4359" t="s">
        <v>41</v>
      </c>
      <c r="D4359" s="1">
        <v>46210.497685185182</v>
      </c>
      <c r="E4359" t="s">
        <v>42</v>
      </c>
      <c r="F4359" t="s">
        <v>83</v>
      </c>
      <c r="G4359">
        <v>40</v>
      </c>
      <c r="H4359" t="s">
        <v>43</v>
      </c>
      <c r="I4359" t="s">
        <v>43</v>
      </c>
      <c r="J4359">
        <v>48</v>
      </c>
      <c r="K4359">
        <v>48</v>
      </c>
      <c r="L4359">
        <v>98</v>
      </c>
      <c r="M4359">
        <v>623.90002441000001</v>
      </c>
      <c r="N4359" t="s">
        <v>87</v>
      </c>
      <c r="O4359" t="s">
        <v>86</v>
      </c>
      <c r="P4359">
        <v>131</v>
      </c>
      <c r="Q4359">
        <v>6</v>
      </c>
      <c r="R4359">
        <v>-12</v>
      </c>
      <c r="S4359">
        <v>1118</v>
      </c>
      <c r="T4359">
        <v>-40</v>
      </c>
      <c r="U4359">
        <v>51</v>
      </c>
      <c r="V4359">
        <v>240</v>
      </c>
      <c r="W4359">
        <v>28</v>
      </c>
      <c r="X4359">
        <v>28</v>
      </c>
      <c r="Y4359">
        <v>1</v>
      </c>
      <c r="Z4359">
        <v>7</v>
      </c>
      <c r="AA4359">
        <v>25</v>
      </c>
      <c r="AB4359">
        <v>7</v>
      </c>
      <c r="AC4359">
        <v>5</v>
      </c>
      <c r="AD4359">
        <v>3.2479999099999999</v>
      </c>
      <c r="AE4359">
        <v>5</v>
      </c>
      <c r="AF4359">
        <v>38</v>
      </c>
      <c r="AG4359">
        <v>3.23799992</v>
      </c>
      <c r="AH4359">
        <v>4</v>
      </c>
      <c r="AI4359">
        <v>17</v>
      </c>
      <c r="AJ4359">
        <v>1</v>
      </c>
      <c r="AK4359">
        <v>19</v>
      </c>
      <c r="AL4359">
        <v>51</v>
      </c>
      <c r="AM4359" t="s">
        <v>43</v>
      </c>
      <c r="AN4359" t="s">
        <v>43</v>
      </c>
    </row>
    <row r="4360" spans="1:40" x14ac:dyDescent="0.3">
      <c r="A4360" s="1">
        <v>46210.494675925926</v>
      </c>
      <c r="B4360" t="s">
        <v>40</v>
      </c>
      <c r="C4360" t="s">
        <v>41</v>
      </c>
      <c r="D4360" s="1">
        <v>46210.497673611113</v>
      </c>
      <c r="E4360" t="s">
        <v>42</v>
      </c>
      <c r="F4360" t="s">
        <v>43</v>
      </c>
      <c r="G4360">
        <v>40</v>
      </c>
      <c r="H4360">
        <v>33106</v>
      </c>
      <c r="I4360" t="s">
        <v>2430</v>
      </c>
      <c r="J4360">
        <v>48</v>
      </c>
      <c r="K4360">
        <v>83</v>
      </c>
      <c r="L4360">
        <v>98</v>
      </c>
      <c r="M4360">
        <v>622.09997558999999</v>
      </c>
      <c r="N4360" t="s">
        <v>87</v>
      </c>
      <c r="O4360" t="s">
        <v>43</v>
      </c>
      <c r="P4360">
        <v>131</v>
      </c>
      <c r="Q4360">
        <v>6</v>
      </c>
      <c r="R4360">
        <v>60</v>
      </c>
      <c r="S4360">
        <v>1125</v>
      </c>
      <c r="T4360">
        <v>-40</v>
      </c>
      <c r="U4360">
        <v>52</v>
      </c>
      <c r="V4360">
        <v>400</v>
      </c>
      <c r="W4360">
        <v>28</v>
      </c>
      <c r="X4360">
        <v>28</v>
      </c>
      <c r="Y4360">
        <v>1</v>
      </c>
      <c r="Z4360">
        <v>7</v>
      </c>
      <c r="AA4360">
        <v>25</v>
      </c>
      <c r="AB4360">
        <v>7</v>
      </c>
      <c r="AC4360">
        <v>5</v>
      </c>
      <c r="AD4360">
        <v>3.2460000500000001</v>
      </c>
      <c r="AE4360">
        <v>5</v>
      </c>
      <c r="AF4360">
        <v>38</v>
      </c>
      <c r="AG4360">
        <v>3.2360000599999998</v>
      </c>
      <c r="AH4360">
        <v>4</v>
      </c>
      <c r="AI4360">
        <v>17</v>
      </c>
      <c r="AJ4360">
        <v>1</v>
      </c>
      <c r="AK4360">
        <v>19</v>
      </c>
      <c r="AL4360">
        <v>50</v>
      </c>
      <c r="AM4360" t="s">
        <v>43</v>
      </c>
      <c r="AN4360" t="str">
        <f>HYPERLINK("https://www.google.com/maps?q=10.75831032,79.70986938","Open Location")</f>
        <v>Open Location</v>
      </c>
    </row>
    <row r="4361" spans="1:40" x14ac:dyDescent="0.3">
      <c r="A4361" s="1">
        <v>46210.494560185187</v>
      </c>
      <c r="B4361" t="s">
        <v>40</v>
      </c>
      <c r="C4361" t="s">
        <v>41</v>
      </c>
      <c r="D4361" s="1">
        <v>46210.497557870367</v>
      </c>
      <c r="E4361" t="s">
        <v>42</v>
      </c>
      <c r="F4361" t="s">
        <v>83</v>
      </c>
      <c r="G4361">
        <v>40</v>
      </c>
      <c r="H4361">
        <v>33105</v>
      </c>
      <c r="I4361" t="s">
        <v>2431</v>
      </c>
      <c r="J4361">
        <v>48</v>
      </c>
      <c r="K4361">
        <v>98</v>
      </c>
      <c r="L4361">
        <v>98</v>
      </c>
      <c r="M4361">
        <v>621.79998779000005</v>
      </c>
      <c r="N4361" t="s">
        <v>87</v>
      </c>
      <c r="O4361" t="s">
        <v>86</v>
      </c>
      <c r="P4361">
        <v>131</v>
      </c>
      <c r="Q4361">
        <v>6</v>
      </c>
      <c r="R4361">
        <v>65</v>
      </c>
      <c r="S4361">
        <v>1110</v>
      </c>
      <c r="T4361">
        <v>-40</v>
      </c>
      <c r="U4361">
        <v>52</v>
      </c>
      <c r="V4361">
        <v>480</v>
      </c>
      <c r="W4361">
        <v>28</v>
      </c>
      <c r="X4361">
        <v>28</v>
      </c>
      <c r="Y4361">
        <v>1</v>
      </c>
      <c r="Z4361">
        <v>7</v>
      </c>
      <c r="AA4361">
        <v>25</v>
      </c>
      <c r="AB4361">
        <v>7</v>
      </c>
      <c r="AC4361">
        <v>5</v>
      </c>
      <c r="AD4361">
        <v>3.2479999099999999</v>
      </c>
      <c r="AE4361">
        <v>5</v>
      </c>
      <c r="AF4361">
        <v>38</v>
      </c>
      <c r="AG4361">
        <v>3.23799992</v>
      </c>
      <c r="AH4361">
        <v>4</v>
      </c>
      <c r="AI4361">
        <v>17</v>
      </c>
      <c r="AJ4361">
        <v>1</v>
      </c>
      <c r="AK4361">
        <v>19</v>
      </c>
      <c r="AL4361">
        <v>50</v>
      </c>
      <c r="AM4361" t="s">
        <v>43</v>
      </c>
      <c r="AN4361" t="str">
        <f>HYPERLINK("https://www.google.com/maps?q=10.75840855,79.71109009","Open Location")</f>
        <v>Open Location</v>
      </c>
    </row>
    <row r="4362" spans="1:40" x14ac:dyDescent="0.3">
      <c r="A4362" s="1">
        <v>46210.494444444441</v>
      </c>
      <c r="B4362" t="s">
        <v>40</v>
      </c>
      <c r="C4362" t="s">
        <v>41</v>
      </c>
      <c r="D4362" s="1">
        <v>46210.497395833336</v>
      </c>
      <c r="E4362" t="s">
        <v>42</v>
      </c>
      <c r="F4362" t="s">
        <v>83</v>
      </c>
      <c r="G4362">
        <v>40</v>
      </c>
      <c r="H4362" t="s">
        <v>43</v>
      </c>
      <c r="I4362" t="s">
        <v>2432</v>
      </c>
      <c r="J4362">
        <v>48</v>
      </c>
      <c r="K4362">
        <v>97</v>
      </c>
      <c r="L4362">
        <v>98</v>
      </c>
      <c r="M4362">
        <v>621.70001220999995</v>
      </c>
      <c r="N4362" t="s">
        <v>87</v>
      </c>
      <c r="O4362" t="s">
        <v>86</v>
      </c>
      <c r="P4362">
        <v>131</v>
      </c>
      <c r="Q4362">
        <v>6</v>
      </c>
      <c r="R4362">
        <v>58</v>
      </c>
      <c r="S4362">
        <v>1106</v>
      </c>
      <c r="T4362">
        <v>-40</v>
      </c>
      <c r="U4362">
        <v>52</v>
      </c>
      <c r="V4362">
        <v>480</v>
      </c>
      <c r="W4362">
        <v>28</v>
      </c>
      <c r="X4362">
        <v>28</v>
      </c>
      <c r="Y4362">
        <v>1</v>
      </c>
      <c r="Z4362">
        <v>7</v>
      </c>
      <c r="AA4362">
        <v>25</v>
      </c>
      <c r="AB4362">
        <v>7</v>
      </c>
      <c r="AC4362">
        <v>5</v>
      </c>
      <c r="AD4362">
        <v>3.2449998899999999</v>
      </c>
      <c r="AE4362">
        <v>5</v>
      </c>
      <c r="AF4362">
        <v>38</v>
      </c>
      <c r="AG4362">
        <v>3.2339999700000002</v>
      </c>
      <c r="AH4362">
        <v>4</v>
      </c>
      <c r="AI4362">
        <v>17</v>
      </c>
      <c r="AJ4362">
        <v>1</v>
      </c>
      <c r="AK4362">
        <v>19</v>
      </c>
      <c r="AL4362">
        <v>50</v>
      </c>
      <c r="AM4362" t="s">
        <v>43</v>
      </c>
      <c r="AN4362" t="str">
        <f>HYPERLINK("https://www.google.com/maps?q=10.75850391,79.71230316","Open Location")</f>
        <v>Open Location</v>
      </c>
    </row>
    <row r="4363" spans="1:40" x14ac:dyDescent="0.3">
      <c r="A4363" s="1">
        <v>46210.494328703702</v>
      </c>
      <c r="B4363" t="s">
        <v>40</v>
      </c>
      <c r="C4363" t="s">
        <v>41</v>
      </c>
      <c r="D4363" s="1">
        <v>46210.497349537036</v>
      </c>
      <c r="E4363" t="s">
        <v>42</v>
      </c>
      <c r="F4363" t="s">
        <v>83</v>
      </c>
      <c r="G4363">
        <v>40</v>
      </c>
      <c r="H4363">
        <v>33105</v>
      </c>
      <c r="I4363" t="s">
        <v>2433</v>
      </c>
      <c r="J4363">
        <v>48</v>
      </c>
      <c r="K4363">
        <v>101</v>
      </c>
      <c r="L4363">
        <v>98</v>
      </c>
      <c r="M4363">
        <v>621</v>
      </c>
      <c r="N4363" t="s">
        <v>87</v>
      </c>
      <c r="O4363" t="s">
        <v>86</v>
      </c>
      <c r="P4363">
        <v>131</v>
      </c>
      <c r="Q4363">
        <v>6</v>
      </c>
      <c r="R4363">
        <v>58</v>
      </c>
      <c r="S4363">
        <v>1118</v>
      </c>
      <c r="T4363">
        <v>-40</v>
      </c>
      <c r="U4363">
        <v>51</v>
      </c>
      <c r="V4363">
        <v>480</v>
      </c>
      <c r="W4363">
        <v>28</v>
      </c>
      <c r="X4363">
        <v>28</v>
      </c>
      <c r="Y4363">
        <v>1</v>
      </c>
      <c r="Z4363">
        <v>7</v>
      </c>
      <c r="AA4363">
        <v>25</v>
      </c>
      <c r="AB4363">
        <v>7</v>
      </c>
      <c r="AC4363">
        <v>5</v>
      </c>
      <c r="AD4363">
        <v>3.2490000700000001</v>
      </c>
      <c r="AE4363">
        <v>1</v>
      </c>
      <c r="AF4363">
        <v>44</v>
      </c>
      <c r="AG4363">
        <v>3.2400000100000002</v>
      </c>
      <c r="AH4363">
        <v>4</v>
      </c>
      <c r="AI4363">
        <v>17</v>
      </c>
      <c r="AJ4363">
        <v>1</v>
      </c>
      <c r="AK4363">
        <v>19</v>
      </c>
      <c r="AL4363">
        <v>50</v>
      </c>
      <c r="AM4363" t="s">
        <v>43</v>
      </c>
      <c r="AN4363" t="str">
        <f>HYPERLINK("https://www.google.com/maps?q=10.75859547,79.71353912","Open Location")</f>
        <v>Open Location</v>
      </c>
    </row>
    <row r="4364" spans="1:40" x14ac:dyDescent="0.3">
      <c r="A4364" s="1">
        <v>46210.494212962964</v>
      </c>
      <c r="B4364" t="s">
        <v>40</v>
      </c>
      <c r="C4364" t="s">
        <v>41</v>
      </c>
      <c r="D4364" s="1">
        <v>46210.497094907405</v>
      </c>
      <c r="E4364" t="s">
        <v>42</v>
      </c>
      <c r="F4364" t="s">
        <v>83</v>
      </c>
      <c r="G4364">
        <v>39</v>
      </c>
      <c r="H4364">
        <v>33105</v>
      </c>
      <c r="I4364" t="s">
        <v>43</v>
      </c>
      <c r="J4364">
        <v>48</v>
      </c>
      <c r="K4364">
        <v>95</v>
      </c>
      <c r="L4364">
        <v>98</v>
      </c>
      <c r="M4364">
        <v>621.5</v>
      </c>
      <c r="N4364" t="s">
        <v>87</v>
      </c>
      <c r="O4364" t="s">
        <v>86</v>
      </c>
      <c r="P4364">
        <v>131</v>
      </c>
      <c r="Q4364">
        <v>6</v>
      </c>
      <c r="R4364">
        <v>68</v>
      </c>
      <c r="S4364">
        <v>1110</v>
      </c>
      <c r="T4364">
        <v>-40</v>
      </c>
      <c r="U4364">
        <v>52</v>
      </c>
      <c r="V4364">
        <v>460</v>
      </c>
      <c r="W4364">
        <v>28</v>
      </c>
      <c r="X4364">
        <v>28</v>
      </c>
      <c r="Y4364">
        <v>1</v>
      </c>
      <c r="Z4364">
        <v>7</v>
      </c>
      <c r="AA4364">
        <v>25</v>
      </c>
      <c r="AB4364">
        <v>7</v>
      </c>
      <c r="AC4364">
        <v>5</v>
      </c>
      <c r="AD4364">
        <v>3.2460000500000001</v>
      </c>
      <c r="AE4364">
        <v>5</v>
      </c>
      <c r="AF4364">
        <v>38</v>
      </c>
      <c r="AG4364">
        <v>3.2349999</v>
      </c>
      <c r="AH4364">
        <v>4</v>
      </c>
      <c r="AI4364">
        <v>17</v>
      </c>
      <c r="AJ4364">
        <v>1</v>
      </c>
      <c r="AK4364">
        <v>19</v>
      </c>
      <c r="AL4364">
        <v>50</v>
      </c>
      <c r="AM4364" t="s">
        <v>43</v>
      </c>
      <c r="AN4364" t="s">
        <v>43</v>
      </c>
    </row>
    <row r="4365" spans="1:40" x14ac:dyDescent="0.3">
      <c r="A4365" s="1">
        <v>46210.494097222225</v>
      </c>
      <c r="B4365" t="s">
        <v>40</v>
      </c>
      <c r="C4365" t="s">
        <v>41</v>
      </c>
      <c r="D4365" s="1">
        <v>46210.497199074074</v>
      </c>
      <c r="E4365" t="s">
        <v>42</v>
      </c>
      <c r="F4365" t="s">
        <v>83</v>
      </c>
      <c r="G4365">
        <v>37</v>
      </c>
      <c r="H4365">
        <v>33105</v>
      </c>
      <c r="I4365" t="s">
        <v>2434</v>
      </c>
      <c r="J4365">
        <v>48</v>
      </c>
      <c r="K4365">
        <v>109</v>
      </c>
      <c r="L4365">
        <v>98</v>
      </c>
      <c r="M4365">
        <v>621.20001220999995</v>
      </c>
      <c r="N4365" t="s">
        <v>87</v>
      </c>
      <c r="O4365" t="s">
        <v>86</v>
      </c>
      <c r="P4365">
        <v>131</v>
      </c>
      <c r="Q4365">
        <v>6</v>
      </c>
      <c r="R4365">
        <v>74</v>
      </c>
      <c r="S4365">
        <v>1066</v>
      </c>
      <c r="T4365">
        <v>-40</v>
      </c>
      <c r="U4365">
        <v>52</v>
      </c>
      <c r="V4365">
        <v>560</v>
      </c>
      <c r="W4365">
        <v>28</v>
      </c>
      <c r="X4365">
        <v>28</v>
      </c>
      <c r="Y4365">
        <v>1</v>
      </c>
      <c r="Z4365">
        <v>7</v>
      </c>
      <c r="AA4365">
        <v>25</v>
      </c>
      <c r="AB4365">
        <v>7</v>
      </c>
      <c r="AC4365">
        <v>5</v>
      </c>
      <c r="AD4365">
        <v>3.2490000700000001</v>
      </c>
      <c r="AE4365">
        <v>5</v>
      </c>
      <c r="AF4365">
        <v>38</v>
      </c>
      <c r="AG4365">
        <v>3.2400000100000002</v>
      </c>
      <c r="AH4365">
        <v>4</v>
      </c>
      <c r="AI4365">
        <v>17</v>
      </c>
      <c r="AJ4365">
        <v>1</v>
      </c>
      <c r="AK4365">
        <v>19</v>
      </c>
      <c r="AL4365">
        <v>50</v>
      </c>
      <c r="AM4365" t="s">
        <v>43</v>
      </c>
      <c r="AN4365" t="str">
        <f>HYPERLINK("https://www.google.com/maps?q=10.75869179,79.71472931","Open Location")</f>
        <v>Open Location</v>
      </c>
    </row>
    <row r="4366" spans="1:40" x14ac:dyDescent="0.3">
      <c r="A4366" s="1">
        <v>46210.493981481479</v>
      </c>
      <c r="B4366" t="s">
        <v>40</v>
      </c>
      <c r="C4366" t="s">
        <v>41</v>
      </c>
      <c r="D4366" s="1">
        <v>46210.496874999997</v>
      </c>
      <c r="E4366" t="s">
        <v>42</v>
      </c>
      <c r="F4366" t="s">
        <v>83</v>
      </c>
      <c r="G4366">
        <v>37</v>
      </c>
      <c r="H4366">
        <v>33105</v>
      </c>
      <c r="I4366" t="s">
        <v>2435</v>
      </c>
      <c r="J4366">
        <v>48</v>
      </c>
      <c r="K4366">
        <v>105</v>
      </c>
      <c r="L4366">
        <v>98</v>
      </c>
      <c r="M4366">
        <v>621.59997558999999</v>
      </c>
      <c r="N4366" t="s">
        <v>87</v>
      </c>
      <c r="O4366" t="s">
        <v>86</v>
      </c>
      <c r="P4366">
        <v>131</v>
      </c>
      <c r="Q4366">
        <v>6</v>
      </c>
      <c r="R4366">
        <v>59</v>
      </c>
      <c r="S4366">
        <v>1022</v>
      </c>
      <c r="T4366">
        <v>-40</v>
      </c>
      <c r="U4366">
        <v>51</v>
      </c>
      <c r="V4366">
        <v>540</v>
      </c>
      <c r="W4366">
        <v>28</v>
      </c>
      <c r="X4366">
        <v>28</v>
      </c>
      <c r="Y4366">
        <v>1</v>
      </c>
      <c r="Z4366">
        <v>7</v>
      </c>
      <c r="AA4366">
        <v>25</v>
      </c>
      <c r="AB4366">
        <v>7</v>
      </c>
      <c r="AC4366">
        <v>5</v>
      </c>
      <c r="AD4366">
        <v>3.25</v>
      </c>
      <c r="AE4366">
        <v>1</v>
      </c>
      <c r="AF4366">
        <v>38</v>
      </c>
      <c r="AG4366">
        <v>3.2420000999999998</v>
      </c>
      <c r="AH4366">
        <v>4</v>
      </c>
      <c r="AI4366">
        <v>17</v>
      </c>
      <c r="AJ4366">
        <v>1</v>
      </c>
      <c r="AK4366">
        <v>19</v>
      </c>
      <c r="AL4366">
        <v>50</v>
      </c>
      <c r="AM4366" t="s">
        <v>43</v>
      </c>
      <c r="AN4366" t="str">
        <f>HYPERLINK("https://www.google.com/maps?q=10.75878429,79.71595764","Open Location")</f>
        <v>Open Location</v>
      </c>
    </row>
    <row r="4367" spans="1:40" x14ac:dyDescent="0.3">
      <c r="A4367" s="1">
        <v>46210.49386574074</v>
      </c>
      <c r="B4367" t="s">
        <v>40</v>
      </c>
      <c r="C4367" t="s">
        <v>41</v>
      </c>
      <c r="D4367" s="1">
        <v>46210.496793981481</v>
      </c>
      <c r="E4367" t="s">
        <v>42</v>
      </c>
      <c r="F4367" t="s">
        <v>83</v>
      </c>
      <c r="G4367">
        <v>38</v>
      </c>
      <c r="H4367">
        <v>33105</v>
      </c>
      <c r="I4367" t="s">
        <v>2436</v>
      </c>
      <c r="J4367">
        <v>48</v>
      </c>
      <c r="K4367">
        <v>85</v>
      </c>
      <c r="L4367">
        <v>98</v>
      </c>
      <c r="M4367">
        <v>623</v>
      </c>
      <c r="N4367" t="s">
        <v>87</v>
      </c>
      <c r="O4367" t="s">
        <v>86</v>
      </c>
      <c r="P4367">
        <v>131</v>
      </c>
      <c r="Q4367">
        <v>6</v>
      </c>
      <c r="R4367">
        <v>46</v>
      </c>
      <c r="S4367">
        <v>1043</v>
      </c>
      <c r="T4367">
        <v>-40</v>
      </c>
      <c r="U4367">
        <v>52</v>
      </c>
      <c r="V4367">
        <v>440</v>
      </c>
      <c r="W4367">
        <v>28</v>
      </c>
      <c r="X4367">
        <v>28</v>
      </c>
      <c r="Y4367">
        <v>1</v>
      </c>
      <c r="Z4367">
        <v>7</v>
      </c>
      <c r="AA4367">
        <v>25</v>
      </c>
      <c r="AB4367">
        <v>7</v>
      </c>
      <c r="AC4367">
        <v>5</v>
      </c>
      <c r="AD4367">
        <v>3.25</v>
      </c>
      <c r="AE4367">
        <v>1</v>
      </c>
      <c r="AF4367">
        <v>38</v>
      </c>
      <c r="AG4367">
        <v>3.2420000999999998</v>
      </c>
      <c r="AH4367">
        <v>4</v>
      </c>
      <c r="AI4367">
        <v>17</v>
      </c>
      <c r="AJ4367">
        <v>1</v>
      </c>
      <c r="AK4367">
        <v>19</v>
      </c>
      <c r="AL4367">
        <v>50</v>
      </c>
      <c r="AM4367" t="s">
        <v>43</v>
      </c>
      <c r="AN4367" t="str">
        <f>HYPERLINK("https://www.google.com/maps?q=10.75873661,79.71709442","Open Location")</f>
        <v>Open Location</v>
      </c>
    </row>
    <row r="4368" spans="1:40" x14ac:dyDescent="0.3">
      <c r="A4368" s="1">
        <v>46210.493750000001</v>
      </c>
      <c r="B4368" t="s">
        <v>40</v>
      </c>
      <c r="C4368" t="s">
        <v>41</v>
      </c>
      <c r="D4368" s="1">
        <v>46210.496435185189</v>
      </c>
      <c r="E4368" t="s">
        <v>42</v>
      </c>
      <c r="F4368" t="s">
        <v>83</v>
      </c>
      <c r="G4368">
        <v>40</v>
      </c>
      <c r="H4368">
        <v>33105</v>
      </c>
      <c r="I4368" t="s">
        <v>2437</v>
      </c>
      <c r="J4368">
        <v>48</v>
      </c>
      <c r="K4368">
        <v>81</v>
      </c>
      <c r="L4368">
        <v>98</v>
      </c>
      <c r="M4368">
        <v>622.79998779000005</v>
      </c>
      <c r="N4368" t="s">
        <v>87</v>
      </c>
      <c r="O4368" t="s">
        <v>86</v>
      </c>
      <c r="P4368">
        <v>131</v>
      </c>
      <c r="Q4368">
        <v>6</v>
      </c>
      <c r="R4368">
        <v>55</v>
      </c>
      <c r="S4368">
        <v>1086</v>
      </c>
      <c r="T4368">
        <v>-40</v>
      </c>
      <c r="U4368">
        <v>53</v>
      </c>
      <c r="V4368">
        <v>390</v>
      </c>
      <c r="W4368">
        <v>28</v>
      </c>
      <c r="X4368">
        <v>28</v>
      </c>
      <c r="Y4368">
        <v>1</v>
      </c>
      <c r="Z4368">
        <v>7</v>
      </c>
      <c r="AA4368">
        <v>25</v>
      </c>
      <c r="AB4368">
        <v>7</v>
      </c>
      <c r="AC4368">
        <v>5</v>
      </c>
      <c r="AD4368">
        <v>3.2460000500000001</v>
      </c>
      <c r="AE4368">
        <v>5</v>
      </c>
      <c r="AF4368">
        <v>38</v>
      </c>
      <c r="AG4368">
        <v>3.2360000599999998</v>
      </c>
      <c r="AH4368">
        <v>4</v>
      </c>
      <c r="AI4368">
        <v>17</v>
      </c>
      <c r="AJ4368">
        <v>1</v>
      </c>
      <c r="AK4368">
        <v>19</v>
      </c>
      <c r="AL4368">
        <v>50</v>
      </c>
      <c r="AM4368" t="s">
        <v>43</v>
      </c>
      <c r="AN4368" t="str">
        <f>HYPERLINK("https://www.google.com/maps?q=10.75864601,79.7183075","Open Location")</f>
        <v>Open Location</v>
      </c>
    </row>
    <row r="4369" spans="1:40" x14ac:dyDescent="0.3">
      <c r="A4369" s="1">
        <v>46210.493634259263</v>
      </c>
      <c r="B4369" t="s">
        <v>40</v>
      </c>
      <c r="C4369" t="s">
        <v>41</v>
      </c>
      <c r="D4369" s="1">
        <v>46210.496458333335</v>
      </c>
      <c r="E4369" t="s">
        <v>42</v>
      </c>
      <c r="F4369" t="s">
        <v>83</v>
      </c>
      <c r="G4369">
        <v>39</v>
      </c>
      <c r="H4369">
        <v>33105</v>
      </c>
      <c r="I4369" t="s">
        <v>2438</v>
      </c>
      <c r="J4369">
        <v>48</v>
      </c>
      <c r="K4369">
        <v>98</v>
      </c>
      <c r="L4369">
        <v>98</v>
      </c>
      <c r="M4369">
        <v>621.40002441000001</v>
      </c>
      <c r="N4369" t="s">
        <v>87</v>
      </c>
      <c r="O4369" t="s">
        <v>86</v>
      </c>
      <c r="P4369">
        <v>131</v>
      </c>
      <c r="Q4369">
        <v>6</v>
      </c>
      <c r="R4369">
        <v>70</v>
      </c>
      <c r="S4369">
        <v>1106</v>
      </c>
      <c r="T4369">
        <v>-40</v>
      </c>
      <c r="U4369">
        <v>54</v>
      </c>
      <c r="V4369">
        <v>464</v>
      </c>
      <c r="W4369">
        <v>28</v>
      </c>
      <c r="X4369">
        <v>28</v>
      </c>
      <c r="Y4369">
        <v>1</v>
      </c>
      <c r="Z4369">
        <v>7</v>
      </c>
      <c r="AA4369">
        <v>25</v>
      </c>
      <c r="AB4369">
        <v>7</v>
      </c>
      <c r="AC4369">
        <v>5</v>
      </c>
      <c r="AD4369">
        <v>3.2420000999999998</v>
      </c>
      <c r="AE4369">
        <v>5</v>
      </c>
      <c r="AF4369">
        <v>38</v>
      </c>
      <c r="AG4369">
        <v>3.2300000199999999</v>
      </c>
      <c r="AH4369">
        <v>6</v>
      </c>
      <c r="AI4369">
        <v>24</v>
      </c>
      <c r="AJ4369">
        <v>1</v>
      </c>
      <c r="AK4369">
        <v>19</v>
      </c>
      <c r="AL4369">
        <v>50</v>
      </c>
      <c r="AM4369" t="s">
        <v>43</v>
      </c>
      <c r="AN4369" t="str">
        <f>HYPERLINK("https://www.google.com/maps?q=10.75856113,79.71949768","Open Location")</f>
        <v>Open Location</v>
      </c>
    </row>
    <row r="4370" spans="1:40" x14ac:dyDescent="0.3">
      <c r="A4370" s="1">
        <v>46210.493518518517</v>
      </c>
      <c r="B4370" t="s">
        <v>40</v>
      </c>
      <c r="C4370" t="s">
        <v>41</v>
      </c>
      <c r="D4370" s="1">
        <v>46210.496388888889</v>
      </c>
      <c r="E4370" t="s">
        <v>42</v>
      </c>
      <c r="F4370" t="s">
        <v>83</v>
      </c>
      <c r="G4370">
        <v>36</v>
      </c>
      <c r="H4370">
        <v>33104</v>
      </c>
      <c r="I4370" t="s">
        <v>43</v>
      </c>
      <c r="J4370">
        <v>48</v>
      </c>
      <c r="K4370">
        <v>150</v>
      </c>
      <c r="L4370">
        <v>98</v>
      </c>
      <c r="M4370">
        <v>619.29998779000005</v>
      </c>
      <c r="N4370" t="s">
        <v>87</v>
      </c>
      <c r="O4370" t="s">
        <v>86</v>
      </c>
      <c r="P4370">
        <v>131</v>
      </c>
      <c r="Q4370">
        <v>6</v>
      </c>
      <c r="R4370">
        <v>47</v>
      </c>
      <c r="S4370">
        <v>1061</v>
      </c>
      <c r="T4370">
        <v>-40</v>
      </c>
      <c r="U4370">
        <v>53</v>
      </c>
      <c r="V4370">
        <v>780</v>
      </c>
      <c r="W4370">
        <v>28</v>
      </c>
      <c r="X4370">
        <v>28</v>
      </c>
      <c r="Y4370">
        <v>1</v>
      </c>
      <c r="Z4370">
        <v>7</v>
      </c>
      <c r="AA4370">
        <v>25</v>
      </c>
      <c r="AB4370">
        <v>7</v>
      </c>
      <c r="AC4370">
        <v>6</v>
      </c>
      <c r="AD4370">
        <v>3.25</v>
      </c>
      <c r="AE4370">
        <v>5</v>
      </c>
      <c r="AF4370">
        <v>38</v>
      </c>
      <c r="AG4370">
        <v>3.24099994</v>
      </c>
      <c r="AH4370">
        <v>4</v>
      </c>
      <c r="AI4370">
        <v>17</v>
      </c>
      <c r="AJ4370">
        <v>1</v>
      </c>
      <c r="AK4370">
        <v>19</v>
      </c>
      <c r="AL4370">
        <v>50</v>
      </c>
      <c r="AM4370" t="s">
        <v>43</v>
      </c>
      <c r="AN4370" t="s">
        <v>43</v>
      </c>
    </row>
    <row r="4371" spans="1:40" x14ac:dyDescent="0.3">
      <c r="A4371" s="1">
        <v>46210.493402777778</v>
      </c>
      <c r="B4371" t="s">
        <v>40</v>
      </c>
      <c r="C4371" t="s">
        <v>41</v>
      </c>
      <c r="D4371" s="1">
        <v>46210.496400462966</v>
      </c>
      <c r="E4371" t="s">
        <v>42</v>
      </c>
      <c r="F4371" t="s">
        <v>83</v>
      </c>
      <c r="G4371">
        <v>34</v>
      </c>
      <c r="H4371" t="s">
        <v>43</v>
      </c>
      <c r="I4371" t="s">
        <v>2439</v>
      </c>
      <c r="J4371">
        <v>49</v>
      </c>
      <c r="K4371">
        <v>102</v>
      </c>
      <c r="L4371">
        <v>98</v>
      </c>
      <c r="M4371">
        <v>622.79998779000005</v>
      </c>
      <c r="N4371" t="s">
        <v>87</v>
      </c>
      <c r="O4371" t="s">
        <v>86</v>
      </c>
      <c r="P4371">
        <v>131</v>
      </c>
      <c r="Q4371">
        <v>6</v>
      </c>
      <c r="R4371">
        <v>64</v>
      </c>
      <c r="S4371">
        <v>984</v>
      </c>
      <c r="T4371">
        <v>-40</v>
      </c>
      <c r="U4371">
        <v>52</v>
      </c>
      <c r="V4371">
        <v>560</v>
      </c>
      <c r="W4371">
        <v>28</v>
      </c>
      <c r="X4371">
        <v>28</v>
      </c>
      <c r="Y4371">
        <v>1</v>
      </c>
      <c r="Z4371">
        <v>7</v>
      </c>
      <c r="AA4371">
        <v>25</v>
      </c>
      <c r="AB4371">
        <v>7</v>
      </c>
      <c r="AC4371">
        <v>6</v>
      </c>
      <c r="AD4371">
        <v>3.2750001000000002</v>
      </c>
      <c r="AE4371">
        <v>1</v>
      </c>
      <c r="AF4371">
        <v>26</v>
      </c>
      <c r="AG4371">
        <v>3.2720000699999998</v>
      </c>
      <c r="AH4371">
        <v>2</v>
      </c>
      <c r="AI4371">
        <v>6</v>
      </c>
      <c r="AJ4371">
        <v>1</v>
      </c>
      <c r="AK4371">
        <v>18</v>
      </c>
      <c r="AL4371">
        <v>50</v>
      </c>
      <c r="AM4371" t="s">
        <v>43</v>
      </c>
      <c r="AN4371" t="str">
        <f>HYPERLINK("https://www.google.com/maps?q=10.7584753,79.7206192","Open Location")</f>
        <v>Open Location</v>
      </c>
    </row>
    <row r="4372" spans="1:40" x14ac:dyDescent="0.3">
      <c r="A4372" s="1">
        <v>46210.493287037039</v>
      </c>
      <c r="B4372" t="s">
        <v>40</v>
      </c>
      <c r="C4372" t="s">
        <v>41</v>
      </c>
      <c r="D4372" s="1">
        <v>46210.495949074073</v>
      </c>
      <c r="E4372" t="s">
        <v>42</v>
      </c>
      <c r="F4372" t="s">
        <v>83</v>
      </c>
      <c r="G4372">
        <v>36</v>
      </c>
      <c r="H4372">
        <v>33104</v>
      </c>
      <c r="I4372" t="s">
        <v>2440</v>
      </c>
      <c r="J4372">
        <v>49</v>
      </c>
      <c r="K4372">
        <v>-41</v>
      </c>
      <c r="L4372">
        <v>98</v>
      </c>
      <c r="M4372">
        <v>628</v>
      </c>
      <c r="N4372" t="s">
        <v>87</v>
      </c>
      <c r="O4372" t="s">
        <v>86</v>
      </c>
      <c r="P4372">
        <v>131</v>
      </c>
      <c r="Q4372">
        <v>6</v>
      </c>
      <c r="R4372">
        <v>50</v>
      </c>
      <c r="S4372">
        <v>973</v>
      </c>
      <c r="T4372">
        <v>-40</v>
      </c>
      <c r="U4372">
        <v>52</v>
      </c>
      <c r="V4372">
        <v>-300</v>
      </c>
      <c r="W4372">
        <v>28</v>
      </c>
      <c r="X4372">
        <v>28</v>
      </c>
      <c r="Y4372">
        <v>1</v>
      </c>
      <c r="Z4372">
        <v>7</v>
      </c>
      <c r="AA4372">
        <v>25</v>
      </c>
      <c r="AB4372">
        <v>7</v>
      </c>
      <c r="AC4372">
        <v>6</v>
      </c>
      <c r="AD4372">
        <v>3.2490000700000001</v>
      </c>
      <c r="AE4372">
        <v>5</v>
      </c>
      <c r="AF4372">
        <v>12</v>
      </c>
      <c r="AG4372">
        <v>3.2400000100000002</v>
      </c>
      <c r="AH4372">
        <v>4</v>
      </c>
      <c r="AI4372">
        <v>17</v>
      </c>
      <c r="AJ4372">
        <v>1</v>
      </c>
      <c r="AK4372">
        <v>17</v>
      </c>
      <c r="AL4372">
        <v>50</v>
      </c>
      <c r="AM4372" t="s">
        <v>43</v>
      </c>
      <c r="AN4372" t="str">
        <f>HYPERLINK("https://www.google.com/maps?q=10.75838661,79.72169495","Open Location")</f>
        <v>Open Location</v>
      </c>
    </row>
    <row r="4373" spans="1:40" x14ac:dyDescent="0.3">
      <c r="A4373" s="1">
        <v>46210.493171296293</v>
      </c>
      <c r="B4373" t="s">
        <v>40</v>
      </c>
      <c r="C4373" t="s">
        <v>41</v>
      </c>
      <c r="D4373" s="1">
        <v>46210.49596064815</v>
      </c>
      <c r="E4373" t="s">
        <v>42</v>
      </c>
      <c r="F4373" t="s">
        <v>83</v>
      </c>
      <c r="G4373">
        <v>36</v>
      </c>
      <c r="H4373">
        <v>33104</v>
      </c>
      <c r="I4373" t="s">
        <v>2441</v>
      </c>
      <c r="J4373">
        <v>49</v>
      </c>
      <c r="K4373">
        <v>102</v>
      </c>
      <c r="L4373">
        <v>98</v>
      </c>
      <c r="M4373">
        <v>622.5</v>
      </c>
      <c r="N4373" t="s">
        <v>87</v>
      </c>
      <c r="O4373" t="s">
        <v>86</v>
      </c>
      <c r="P4373">
        <v>131</v>
      </c>
      <c r="Q4373">
        <v>6</v>
      </c>
      <c r="R4373">
        <v>18</v>
      </c>
      <c r="S4373">
        <v>1006</v>
      </c>
      <c r="T4373">
        <v>-40</v>
      </c>
      <c r="U4373">
        <v>51</v>
      </c>
      <c r="V4373">
        <v>540</v>
      </c>
      <c r="W4373">
        <v>28</v>
      </c>
      <c r="X4373">
        <v>28</v>
      </c>
      <c r="Y4373">
        <v>1</v>
      </c>
      <c r="Z4373">
        <v>7</v>
      </c>
      <c r="AA4373">
        <v>25</v>
      </c>
      <c r="AB4373">
        <v>7</v>
      </c>
      <c r="AC4373">
        <v>6</v>
      </c>
      <c r="AD4373">
        <v>3.25300002</v>
      </c>
      <c r="AE4373">
        <v>5</v>
      </c>
      <c r="AF4373">
        <v>38</v>
      </c>
      <c r="AG4373">
        <v>3.24399996</v>
      </c>
      <c r="AH4373">
        <v>4</v>
      </c>
      <c r="AI4373">
        <v>17</v>
      </c>
      <c r="AJ4373">
        <v>1</v>
      </c>
      <c r="AK4373">
        <v>18</v>
      </c>
      <c r="AL4373">
        <v>50</v>
      </c>
      <c r="AM4373" t="s">
        <v>43</v>
      </c>
      <c r="AN4373" t="str">
        <f>HYPERLINK("https://www.google.com/maps?q=10.75832558,79.72280121","Open Location")</f>
        <v>Open Location</v>
      </c>
    </row>
    <row r="4374" spans="1:40" x14ac:dyDescent="0.3">
      <c r="A4374" s="1">
        <v>46210.493055555555</v>
      </c>
      <c r="B4374" t="s">
        <v>40</v>
      </c>
      <c r="C4374" t="s">
        <v>41</v>
      </c>
      <c r="D4374" s="1">
        <v>46210.495949074073</v>
      </c>
      <c r="E4374" t="s">
        <v>42</v>
      </c>
      <c r="F4374" t="s">
        <v>83</v>
      </c>
      <c r="G4374">
        <v>38</v>
      </c>
      <c r="H4374" t="s">
        <v>43</v>
      </c>
      <c r="I4374" t="s">
        <v>2442</v>
      </c>
      <c r="J4374">
        <v>49</v>
      </c>
      <c r="K4374">
        <v>92</v>
      </c>
      <c r="L4374">
        <v>98</v>
      </c>
      <c r="M4374">
        <v>622.70001220999995</v>
      </c>
      <c r="N4374" t="s">
        <v>87</v>
      </c>
      <c r="O4374" t="s">
        <v>86</v>
      </c>
      <c r="P4374">
        <v>131</v>
      </c>
      <c r="Q4374">
        <v>6</v>
      </c>
      <c r="R4374">
        <v>41</v>
      </c>
      <c r="S4374">
        <v>1033</v>
      </c>
      <c r="T4374">
        <v>-40</v>
      </c>
      <c r="U4374">
        <v>52</v>
      </c>
      <c r="V4374">
        <v>460</v>
      </c>
      <c r="W4374">
        <v>28</v>
      </c>
      <c r="X4374">
        <v>28</v>
      </c>
      <c r="Y4374">
        <v>1</v>
      </c>
      <c r="Z4374">
        <v>7</v>
      </c>
      <c r="AA4374">
        <v>26</v>
      </c>
      <c r="AB4374">
        <v>2</v>
      </c>
      <c r="AC4374">
        <v>1</v>
      </c>
      <c r="AD4374">
        <v>3.2449998899999999</v>
      </c>
      <c r="AE4374">
        <v>5</v>
      </c>
      <c r="AF4374">
        <v>12</v>
      </c>
      <c r="AG4374">
        <v>3.2339999700000002</v>
      </c>
      <c r="AH4374">
        <v>4</v>
      </c>
      <c r="AI4374">
        <v>17</v>
      </c>
      <c r="AJ4374">
        <v>1</v>
      </c>
      <c r="AK4374">
        <v>18</v>
      </c>
      <c r="AL4374">
        <v>50</v>
      </c>
      <c r="AM4374" t="s">
        <v>43</v>
      </c>
      <c r="AN4374" t="str">
        <f>HYPERLINK("https://www.google.com/maps?q=10.75835609,79.72393799","Open Location")</f>
        <v>Open Location</v>
      </c>
    </row>
    <row r="4375" spans="1:40" x14ac:dyDescent="0.3">
      <c r="A4375" s="1">
        <v>46210.492939814816</v>
      </c>
      <c r="B4375" t="s">
        <v>40</v>
      </c>
      <c r="C4375" t="s">
        <v>41</v>
      </c>
      <c r="D4375" s="1">
        <v>46210.495775462965</v>
      </c>
      <c r="E4375" t="s">
        <v>42</v>
      </c>
      <c r="F4375" t="s">
        <v>83</v>
      </c>
      <c r="G4375">
        <v>39</v>
      </c>
      <c r="H4375">
        <v>33104</v>
      </c>
      <c r="I4375" t="s">
        <v>2443</v>
      </c>
      <c r="J4375">
        <v>49</v>
      </c>
      <c r="K4375">
        <v>109</v>
      </c>
      <c r="L4375">
        <v>98</v>
      </c>
      <c r="M4375">
        <v>620.29998779000005</v>
      </c>
      <c r="N4375" t="s">
        <v>87</v>
      </c>
      <c r="O4375" t="s">
        <v>86</v>
      </c>
      <c r="P4375">
        <v>131</v>
      </c>
      <c r="Q4375">
        <v>6</v>
      </c>
      <c r="R4375">
        <v>41</v>
      </c>
      <c r="S4375">
        <v>1061</v>
      </c>
      <c r="T4375">
        <v>-40</v>
      </c>
      <c r="U4375">
        <v>53</v>
      </c>
      <c r="V4375">
        <v>540</v>
      </c>
      <c r="W4375">
        <v>28</v>
      </c>
      <c r="X4375">
        <v>28</v>
      </c>
      <c r="Y4375">
        <v>1</v>
      </c>
      <c r="Z4375">
        <v>7</v>
      </c>
      <c r="AA4375">
        <v>26</v>
      </c>
      <c r="AB4375">
        <v>2</v>
      </c>
      <c r="AC4375">
        <v>1</v>
      </c>
      <c r="AD4375">
        <v>3.2479999099999999</v>
      </c>
      <c r="AE4375">
        <v>5</v>
      </c>
      <c r="AF4375">
        <v>38</v>
      </c>
      <c r="AG4375">
        <v>3.23799992</v>
      </c>
      <c r="AH4375">
        <v>4</v>
      </c>
      <c r="AI4375">
        <v>17</v>
      </c>
      <c r="AJ4375">
        <v>1</v>
      </c>
      <c r="AK4375">
        <v>17</v>
      </c>
      <c r="AL4375">
        <v>50</v>
      </c>
      <c r="AM4375" t="s">
        <v>43</v>
      </c>
      <c r="AN4375" t="str">
        <f>HYPERLINK("https://www.google.com/maps?q=10.75843525,79.72520447","Open Location")</f>
        <v>Open Location</v>
      </c>
    </row>
    <row r="4376" spans="1:40" x14ac:dyDescent="0.3">
      <c r="A4376" s="1">
        <v>46210.492824074077</v>
      </c>
      <c r="B4376" t="s">
        <v>40</v>
      </c>
      <c r="C4376" t="s">
        <v>41</v>
      </c>
      <c r="D4376" s="1">
        <v>46210.495949074073</v>
      </c>
      <c r="E4376" t="s">
        <v>42</v>
      </c>
      <c r="F4376" t="s">
        <v>83</v>
      </c>
      <c r="G4376">
        <v>37</v>
      </c>
      <c r="H4376">
        <v>33104</v>
      </c>
      <c r="I4376" t="s">
        <v>43</v>
      </c>
      <c r="J4376">
        <v>49</v>
      </c>
      <c r="K4376">
        <v>117</v>
      </c>
      <c r="L4376">
        <v>98</v>
      </c>
      <c r="M4376">
        <v>621.90002441000001</v>
      </c>
      <c r="N4376" t="s">
        <v>87</v>
      </c>
      <c r="O4376" t="s">
        <v>86</v>
      </c>
      <c r="P4376">
        <v>131</v>
      </c>
      <c r="Q4376">
        <v>6</v>
      </c>
      <c r="R4376">
        <v>92</v>
      </c>
      <c r="S4376">
        <v>1068</v>
      </c>
      <c r="T4376">
        <v>-40</v>
      </c>
      <c r="U4376">
        <v>51</v>
      </c>
      <c r="V4376">
        <v>600</v>
      </c>
      <c r="W4376">
        <v>28</v>
      </c>
      <c r="X4376">
        <v>28</v>
      </c>
      <c r="Y4376">
        <v>1</v>
      </c>
      <c r="Z4376">
        <v>7</v>
      </c>
      <c r="AA4376">
        <v>26</v>
      </c>
      <c r="AB4376">
        <v>2</v>
      </c>
      <c r="AC4376">
        <v>1</v>
      </c>
      <c r="AD4376">
        <v>3.2579999000000002</v>
      </c>
      <c r="AE4376">
        <v>1</v>
      </c>
      <c r="AF4376">
        <v>41</v>
      </c>
      <c r="AG4376">
        <v>3.2509999299999999</v>
      </c>
      <c r="AH4376">
        <v>4</v>
      </c>
      <c r="AI4376">
        <v>17</v>
      </c>
      <c r="AJ4376">
        <v>1</v>
      </c>
      <c r="AK4376">
        <v>17</v>
      </c>
      <c r="AL4376">
        <v>50</v>
      </c>
      <c r="AM4376" t="s">
        <v>43</v>
      </c>
      <c r="AN4376" t="s">
        <v>43</v>
      </c>
    </row>
    <row r="4377" spans="1:40" x14ac:dyDescent="0.3">
      <c r="A4377" s="1">
        <v>46210.492708333331</v>
      </c>
      <c r="B4377" t="s">
        <v>40</v>
      </c>
      <c r="C4377" t="s">
        <v>41</v>
      </c>
      <c r="D4377" s="1">
        <v>46210.495567129627</v>
      </c>
      <c r="E4377" t="s">
        <v>42</v>
      </c>
      <c r="F4377" t="s">
        <v>83</v>
      </c>
      <c r="G4377">
        <v>38</v>
      </c>
      <c r="H4377">
        <v>33104</v>
      </c>
      <c r="I4377" t="s">
        <v>2444</v>
      </c>
      <c r="J4377">
        <v>49</v>
      </c>
      <c r="K4377">
        <v>57</v>
      </c>
      <c r="L4377">
        <v>98</v>
      </c>
      <c r="M4377">
        <v>624.59997558999999</v>
      </c>
      <c r="N4377" t="s">
        <v>87</v>
      </c>
      <c r="O4377" t="s">
        <v>86</v>
      </c>
      <c r="P4377">
        <v>131</v>
      </c>
      <c r="Q4377">
        <v>6</v>
      </c>
      <c r="R4377">
        <v>-34</v>
      </c>
      <c r="S4377">
        <v>1016</v>
      </c>
      <c r="T4377">
        <v>-40</v>
      </c>
      <c r="U4377">
        <v>51</v>
      </c>
      <c r="V4377">
        <v>320</v>
      </c>
      <c r="W4377">
        <v>28</v>
      </c>
      <c r="X4377">
        <v>28</v>
      </c>
      <c r="Y4377">
        <v>1</v>
      </c>
      <c r="Z4377">
        <v>7</v>
      </c>
      <c r="AA4377">
        <v>26</v>
      </c>
      <c r="AB4377">
        <v>2</v>
      </c>
      <c r="AC4377">
        <v>1</v>
      </c>
      <c r="AD4377">
        <v>3.2669999600000001</v>
      </c>
      <c r="AE4377">
        <v>1</v>
      </c>
      <c r="AF4377">
        <v>43</v>
      </c>
      <c r="AG4377">
        <v>3.26200008</v>
      </c>
      <c r="AH4377">
        <v>3</v>
      </c>
      <c r="AI4377">
        <v>1</v>
      </c>
      <c r="AJ4377">
        <v>1</v>
      </c>
      <c r="AK4377">
        <v>18</v>
      </c>
      <c r="AL4377">
        <v>50</v>
      </c>
      <c r="AM4377" t="s">
        <v>43</v>
      </c>
      <c r="AN4377" t="str">
        <f>HYPERLINK("https://www.google.com/maps?q=10.75850582,79.72634888","Open Location")</f>
        <v>Open Location</v>
      </c>
    </row>
    <row r="4378" spans="1:40" x14ac:dyDescent="0.3">
      <c r="A4378" s="1">
        <v>46210.492592592593</v>
      </c>
      <c r="B4378" t="s">
        <v>40</v>
      </c>
      <c r="C4378" t="s">
        <v>41</v>
      </c>
      <c r="D4378" s="1">
        <v>46210.495381944442</v>
      </c>
      <c r="E4378" t="s">
        <v>42</v>
      </c>
      <c r="F4378" t="s">
        <v>83</v>
      </c>
      <c r="G4378">
        <v>40</v>
      </c>
      <c r="H4378">
        <v>33104</v>
      </c>
      <c r="I4378" t="s">
        <v>2445</v>
      </c>
      <c r="J4378">
        <v>49</v>
      </c>
      <c r="K4378">
        <v>23</v>
      </c>
      <c r="L4378">
        <v>98</v>
      </c>
      <c r="M4378">
        <v>625.20001220999995</v>
      </c>
      <c r="N4378" t="s">
        <v>87</v>
      </c>
      <c r="O4378" t="s">
        <v>86</v>
      </c>
      <c r="P4378">
        <v>131</v>
      </c>
      <c r="Q4378">
        <v>6</v>
      </c>
      <c r="R4378">
        <v>86</v>
      </c>
      <c r="S4378">
        <v>1101</v>
      </c>
      <c r="T4378">
        <v>-40</v>
      </c>
      <c r="U4378">
        <v>52</v>
      </c>
      <c r="V4378">
        <v>96</v>
      </c>
      <c r="W4378">
        <v>28</v>
      </c>
      <c r="X4378">
        <v>28</v>
      </c>
      <c r="Y4378">
        <v>1</v>
      </c>
      <c r="Z4378">
        <v>1</v>
      </c>
      <c r="AA4378">
        <v>26</v>
      </c>
      <c r="AB4378">
        <v>2</v>
      </c>
      <c r="AC4378">
        <v>1</v>
      </c>
      <c r="AD4378">
        <v>3.24699998</v>
      </c>
      <c r="AE4378">
        <v>5</v>
      </c>
      <c r="AF4378">
        <v>38</v>
      </c>
      <c r="AG4378">
        <v>3.2369999900000002</v>
      </c>
      <c r="AH4378">
        <v>4</v>
      </c>
      <c r="AI4378">
        <v>17</v>
      </c>
      <c r="AJ4378">
        <v>1</v>
      </c>
      <c r="AK4378">
        <v>18</v>
      </c>
      <c r="AL4378">
        <v>50</v>
      </c>
      <c r="AM4378" t="s">
        <v>43</v>
      </c>
      <c r="AN4378" t="str">
        <f>HYPERLINK("https://www.google.com/maps?q=10.75862122,79.72753906","Open Location")</f>
        <v>Open Location</v>
      </c>
    </row>
    <row r="4379" spans="1:40" x14ac:dyDescent="0.3">
      <c r="A4379" s="1">
        <v>46210.492476851854</v>
      </c>
      <c r="B4379" t="s">
        <v>40</v>
      </c>
      <c r="C4379" t="s">
        <v>41</v>
      </c>
      <c r="D4379" s="1">
        <v>46210.495335648149</v>
      </c>
      <c r="E4379" t="s">
        <v>42</v>
      </c>
      <c r="F4379" t="s">
        <v>83</v>
      </c>
      <c r="G4379">
        <v>40</v>
      </c>
      <c r="H4379">
        <v>33104</v>
      </c>
      <c r="I4379" t="s">
        <v>2446</v>
      </c>
      <c r="J4379">
        <v>49</v>
      </c>
      <c r="K4379">
        <v>99</v>
      </c>
      <c r="L4379">
        <v>98</v>
      </c>
      <c r="M4379">
        <v>621.79998779000005</v>
      </c>
      <c r="N4379" t="s">
        <v>87</v>
      </c>
      <c r="O4379" t="s">
        <v>86</v>
      </c>
      <c r="P4379">
        <v>131</v>
      </c>
      <c r="Q4379">
        <v>6</v>
      </c>
      <c r="R4379">
        <v>78</v>
      </c>
      <c r="S4379">
        <v>1117</v>
      </c>
      <c r="T4379">
        <v>-40</v>
      </c>
      <c r="U4379">
        <v>52</v>
      </c>
      <c r="V4379">
        <v>480</v>
      </c>
      <c r="W4379">
        <v>28</v>
      </c>
      <c r="X4379">
        <v>28</v>
      </c>
      <c r="Y4379">
        <v>1</v>
      </c>
      <c r="Z4379">
        <v>1</v>
      </c>
      <c r="AA4379">
        <v>26</v>
      </c>
      <c r="AB4379">
        <v>2</v>
      </c>
      <c r="AC4379">
        <v>1</v>
      </c>
      <c r="AD4379">
        <v>3.24699998</v>
      </c>
      <c r="AE4379">
        <v>1</v>
      </c>
      <c r="AF4379">
        <v>42</v>
      </c>
      <c r="AG4379">
        <v>3.2369999900000002</v>
      </c>
      <c r="AH4379">
        <v>4</v>
      </c>
      <c r="AI4379">
        <v>17</v>
      </c>
      <c r="AJ4379">
        <v>1</v>
      </c>
      <c r="AK4379">
        <v>17</v>
      </c>
      <c r="AL4379">
        <v>50</v>
      </c>
      <c r="AM4379" t="s">
        <v>43</v>
      </c>
      <c r="AN4379" t="str">
        <f>HYPERLINK("https://www.google.com/maps?q=10.7587862,79.72875214","Open Location")</f>
        <v>Open Location</v>
      </c>
    </row>
    <row r="4380" spans="1:40" x14ac:dyDescent="0.3">
      <c r="A4380" s="1">
        <v>46210.492361111108</v>
      </c>
      <c r="B4380" t="s">
        <v>40</v>
      </c>
      <c r="C4380" t="s">
        <v>41</v>
      </c>
      <c r="D4380" s="1">
        <v>46210.495138888888</v>
      </c>
      <c r="E4380" t="s">
        <v>42</v>
      </c>
      <c r="F4380" t="s">
        <v>83</v>
      </c>
      <c r="G4380">
        <v>41</v>
      </c>
      <c r="H4380">
        <v>33103</v>
      </c>
      <c r="I4380" t="s">
        <v>2447</v>
      </c>
      <c r="J4380">
        <v>49</v>
      </c>
      <c r="K4380">
        <v>103</v>
      </c>
      <c r="L4380">
        <v>98</v>
      </c>
      <c r="M4380">
        <v>621.70001220999995</v>
      </c>
      <c r="N4380" t="s">
        <v>87</v>
      </c>
      <c r="O4380" t="s">
        <v>86</v>
      </c>
      <c r="P4380">
        <v>131</v>
      </c>
      <c r="Q4380">
        <v>6</v>
      </c>
      <c r="R4380">
        <v>23</v>
      </c>
      <c r="S4380">
        <v>1117</v>
      </c>
      <c r="T4380">
        <v>-40</v>
      </c>
      <c r="U4380">
        <v>51</v>
      </c>
      <c r="V4380">
        <v>500</v>
      </c>
      <c r="W4380">
        <v>28</v>
      </c>
      <c r="X4380">
        <v>28</v>
      </c>
      <c r="Y4380">
        <v>1</v>
      </c>
      <c r="Z4380">
        <v>1</v>
      </c>
      <c r="AA4380">
        <v>26</v>
      </c>
      <c r="AB4380">
        <v>2</v>
      </c>
      <c r="AC4380">
        <v>1</v>
      </c>
      <c r="AD4380">
        <v>3.2479999099999999</v>
      </c>
      <c r="AE4380">
        <v>5</v>
      </c>
      <c r="AF4380">
        <v>38</v>
      </c>
      <c r="AG4380">
        <v>3.23799992</v>
      </c>
      <c r="AH4380">
        <v>4</v>
      </c>
      <c r="AI4380">
        <v>17</v>
      </c>
      <c r="AJ4380">
        <v>1</v>
      </c>
      <c r="AK4380">
        <v>18</v>
      </c>
      <c r="AL4380">
        <v>50</v>
      </c>
      <c r="AM4380" t="s">
        <v>43</v>
      </c>
      <c r="AN4380" t="str">
        <f>HYPERLINK("https://www.google.com/maps?q=10.75895691,79.72998047","Open Location")</f>
        <v>Open Location</v>
      </c>
    </row>
    <row r="4381" spans="1:40" x14ac:dyDescent="0.3">
      <c r="A4381" s="1">
        <v>46210.492245370369</v>
      </c>
      <c r="B4381" t="s">
        <v>40</v>
      </c>
      <c r="C4381" t="s">
        <v>41</v>
      </c>
      <c r="D4381" s="1">
        <v>46210.495046296295</v>
      </c>
      <c r="E4381" t="s">
        <v>42</v>
      </c>
      <c r="F4381" t="s">
        <v>83</v>
      </c>
      <c r="G4381">
        <v>41</v>
      </c>
      <c r="H4381" t="s">
        <v>43</v>
      </c>
      <c r="I4381" t="s">
        <v>2448</v>
      </c>
      <c r="J4381">
        <v>49</v>
      </c>
      <c r="K4381">
        <v>92</v>
      </c>
      <c r="L4381">
        <v>98</v>
      </c>
      <c r="M4381">
        <v>622</v>
      </c>
      <c r="N4381" t="s">
        <v>87</v>
      </c>
      <c r="O4381" t="s">
        <v>86</v>
      </c>
      <c r="P4381">
        <v>131</v>
      </c>
      <c r="Q4381">
        <v>6</v>
      </c>
      <c r="R4381">
        <v>59</v>
      </c>
      <c r="S4381">
        <v>1137</v>
      </c>
      <c r="T4381">
        <v>-40</v>
      </c>
      <c r="U4381">
        <v>52</v>
      </c>
      <c r="V4381">
        <v>440</v>
      </c>
      <c r="W4381">
        <v>28</v>
      </c>
      <c r="X4381">
        <v>28</v>
      </c>
      <c r="Y4381">
        <v>1</v>
      </c>
      <c r="Z4381">
        <v>1</v>
      </c>
      <c r="AA4381">
        <v>26</v>
      </c>
      <c r="AB4381">
        <v>2</v>
      </c>
      <c r="AC4381">
        <v>1</v>
      </c>
      <c r="AD4381">
        <v>3.23799992</v>
      </c>
      <c r="AE4381">
        <v>1</v>
      </c>
      <c r="AF4381">
        <v>38</v>
      </c>
      <c r="AG4381">
        <v>3.2269999999999999</v>
      </c>
      <c r="AH4381">
        <v>4</v>
      </c>
      <c r="AI4381">
        <v>17</v>
      </c>
      <c r="AJ4381">
        <v>1</v>
      </c>
      <c r="AK4381">
        <v>17</v>
      </c>
      <c r="AL4381">
        <v>50</v>
      </c>
      <c r="AM4381" t="s">
        <v>43</v>
      </c>
      <c r="AN4381" t="str">
        <f>HYPERLINK("https://www.google.com/maps?q=10.75911331,79.73121643","Open Location")</f>
        <v>Open Location</v>
      </c>
    </row>
    <row r="4382" spans="1:40" x14ac:dyDescent="0.3">
      <c r="A4382" s="1">
        <v>46210.492129629631</v>
      </c>
      <c r="B4382" t="s">
        <v>40</v>
      </c>
      <c r="C4382" t="s">
        <v>41</v>
      </c>
      <c r="D4382" s="1">
        <v>46210.495115740741</v>
      </c>
      <c r="E4382" t="s">
        <v>42</v>
      </c>
      <c r="F4382" t="s">
        <v>83</v>
      </c>
      <c r="G4382">
        <v>39</v>
      </c>
      <c r="H4382">
        <v>33103</v>
      </c>
      <c r="I4382" t="s">
        <v>43</v>
      </c>
      <c r="J4382">
        <v>49</v>
      </c>
      <c r="K4382">
        <v>137</v>
      </c>
      <c r="L4382">
        <v>98</v>
      </c>
      <c r="M4382">
        <v>619.40002441000001</v>
      </c>
      <c r="N4382" t="s">
        <v>87</v>
      </c>
      <c r="O4382" t="s">
        <v>86</v>
      </c>
      <c r="P4382">
        <v>131</v>
      </c>
      <c r="Q4382">
        <v>6</v>
      </c>
      <c r="R4382">
        <v>61</v>
      </c>
      <c r="S4382">
        <v>1111</v>
      </c>
      <c r="T4382">
        <v>-40</v>
      </c>
      <c r="U4382">
        <v>52</v>
      </c>
      <c r="V4382">
        <v>628</v>
      </c>
      <c r="W4382">
        <v>28</v>
      </c>
      <c r="X4382">
        <v>28</v>
      </c>
      <c r="Y4382">
        <v>1</v>
      </c>
      <c r="Z4382">
        <v>1</v>
      </c>
      <c r="AA4382">
        <v>26</v>
      </c>
      <c r="AB4382">
        <v>2</v>
      </c>
      <c r="AC4382">
        <v>1</v>
      </c>
      <c r="AD4382">
        <v>3.24399996</v>
      </c>
      <c r="AE4382">
        <v>1</v>
      </c>
      <c r="AF4382">
        <v>44</v>
      </c>
      <c r="AG4382">
        <v>3.2339999700000002</v>
      </c>
      <c r="AH4382">
        <v>4</v>
      </c>
      <c r="AI4382">
        <v>17</v>
      </c>
      <c r="AJ4382">
        <v>1</v>
      </c>
      <c r="AK4382">
        <v>18</v>
      </c>
      <c r="AL4382">
        <v>50</v>
      </c>
      <c r="AM4382" t="s">
        <v>43</v>
      </c>
      <c r="AN4382" t="s">
        <v>43</v>
      </c>
    </row>
    <row r="4383" spans="1:40" x14ac:dyDescent="0.3">
      <c r="A4383" s="1">
        <v>46210.492013888892</v>
      </c>
      <c r="B4383" t="s">
        <v>40</v>
      </c>
      <c r="C4383" t="s">
        <v>41</v>
      </c>
      <c r="D4383" s="1">
        <v>46210.495127314818</v>
      </c>
      <c r="E4383" t="s">
        <v>42</v>
      </c>
      <c r="F4383" t="s">
        <v>83</v>
      </c>
      <c r="G4383">
        <v>39</v>
      </c>
      <c r="H4383">
        <v>33103</v>
      </c>
      <c r="I4383" t="s">
        <v>2449</v>
      </c>
      <c r="J4383">
        <v>49</v>
      </c>
      <c r="K4383">
        <v>122</v>
      </c>
      <c r="L4383">
        <v>98</v>
      </c>
      <c r="M4383">
        <v>620.90002441000001</v>
      </c>
      <c r="N4383" t="s">
        <v>87</v>
      </c>
      <c r="O4383" t="s">
        <v>86</v>
      </c>
      <c r="P4383">
        <v>131</v>
      </c>
      <c r="Q4383">
        <v>6</v>
      </c>
      <c r="R4383">
        <v>38</v>
      </c>
      <c r="S4383">
        <v>1078</v>
      </c>
      <c r="T4383">
        <v>-40</v>
      </c>
      <c r="U4383">
        <v>51</v>
      </c>
      <c r="V4383">
        <v>620</v>
      </c>
      <c r="W4383">
        <v>28</v>
      </c>
      <c r="X4383">
        <v>28</v>
      </c>
      <c r="Y4383">
        <v>1</v>
      </c>
      <c r="Z4383">
        <v>1</v>
      </c>
      <c r="AA4383">
        <v>26</v>
      </c>
      <c r="AB4383">
        <v>2</v>
      </c>
      <c r="AC4383">
        <v>1</v>
      </c>
      <c r="AD4383">
        <v>3.2520000900000001</v>
      </c>
      <c r="AE4383">
        <v>5</v>
      </c>
      <c r="AF4383">
        <v>38</v>
      </c>
      <c r="AG4383">
        <v>3.24399996</v>
      </c>
      <c r="AH4383">
        <v>4</v>
      </c>
      <c r="AI4383">
        <v>17</v>
      </c>
      <c r="AJ4383">
        <v>1</v>
      </c>
      <c r="AK4383">
        <v>17</v>
      </c>
      <c r="AL4383">
        <v>50</v>
      </c>
      <c r="AM4383" t="s">
        <v>43</v>
      </c>
      <c r="AN4383" t="str">
        <f>HYPERLINK("https://www.google.com/maps?q=10.75928688,79.7325058","Open Location")</f>
        <v>Open Location</v>
      </c>
    </row>
    <row r="4384" spans="1:40" x14ac:dyDescent="0.3">
      <c r="A4384" s="1">
        <v>46210.491898148146</v>
      </c>
      <c r="B4384" t="s">
        <v>40</v>
      </c>
      <c r="C4384" t="s">
        <v>41</v>
      </c>
      <c r="D4384" s="1">
        <v>46210.494745370372</v>
      </c>
      <c r="E4384" t="s">
        <v>42</v>
      </c>
      <c r="F4384" t="s">
        <v>83</v>
      </c>
      <c r="G4384">
        <v>39</v>
      </c>
      <c r="H4384" t="s">
        <v>43</v>
      </c>
      <c r="I4384" t="s">
        <v>2450</v>
      </c>
      <c r="J4384">
        <v>49</v>
      </c>
      <c r="K4384">
        <v>79</v>
      </c>
      <c r="L4384">
        <v>98</v>
      </c>
      <c r="M4384">
        <v>623</v>
      </c>
      <c r="N4384" t="s">
        <v>87</v>
      </c>
      <c r="O4384" t="s">
        <v>86</v>
      </c>
      <c r="P4384">
        <v>131</v>
      </c>
      <c r="Q4384">
        <v>6</v>
      </c>
      <c r="R4384">
        <v>41</v>
      </c>
      <c r="S4384">
        <v>1087</v>
      </c>
      <c r="T4384">
        <v>-40</v>
      </c>
      <c r="U4384">
        <v>51</v>
      </c>
      <c r="V4384">
        <v>385</v>
      </c>
      <c r="W4384">
        <v>28</v>
      </c>
      <c r="X4384">
        <v>28</v>
      </c>
      <c r="Y4384">
        <v>1</v>
      </c>
      <c r="Z4384">
        <v>1</v>
      </c>
      <c r="AA4384">
        <v>26</v>
      </c>
      <c r="AB4384">
        <v>2</v>
      </c>
      <c r="AC4384">
        <v>1</v>
      </c>
      <c r="AD4384">
        <v>3.2520000900000001</v>
      </c>
      <c r="AE4384">
        <v>5</v>
      </c>
      <c r="AF4384">
        <v>38</v>
      </c>
      <c r="AG4384">
        <v>3.2430000300000001</v>
      </c>
      <c r="AH4384">
        <v>7</v>
      </c>
      <c r="AI4384">
        <v>1</v>
      </c>
      <c r="AJ4384">
        <v>1</v>
      </c>
      <c r="AK4384">
        <v>18</v>
      </c>
      <c r="AL4384">
        <v>50</v>
      </c>
      <c r="AM4384" t="s">
        <v>43</v>
      </c>
      <c r="AN4384" t="str">
        <f>HYPERLINK("https://www.google.com/maps?q=10.75945854,79.73369598","Open Location")</f>
        <v>Open Location</v>
      </c>
    </row>
    <row r="4385" spans="1:40" x14ac:dyDescent="0.3">
      <c r="A4385" s="1">
        <v>46210.491782407407</v>
      </c>
      <c r="B4385" t="s">
        <v>40</v>
      </c>
      <c r="C4385" t="s">
        <v>41</v>
      </c>
      <c r="D4385" s="1">
        <v>46210.495173611111</v>
      </c>
      <c r="E4385" t="s">
        <v>42</v>
      </c>
      <c r="F4385" t="s">
        <v>83</v>
      </c>
      <c r="G4385">
        <v>40</v>
      </c>
      <c r="H4385">
        <v>33103</v>
      </c>
      <c r="I4385" t="s">
        <v>2451</v>
      </c>
      <c r="J4385">
        <v>49</v>
      </c>
      <c r="K4385">
        <v>83</v>
      </c>
      <c r="L4385">
        <v>98</v>
      </c>
      <c r="M4385">
        <v>622.90002441000001</v>
      </c>
      <c r="N4385" t="s">
        <v>87</v>
      </c>
      <c r="O4385" t="s">
        <v>86</v>
      </c>
      <c r="P4385">
        <v>131</v>
      </c>
      <c r="Q4385">
        <v>6</v>
      </c>
      <c r="R4385">
        <v>48</v>
      </c>
      <c r="S4385">
        <v>1105</v>
      </c>
      <c r="T4385">
        <v>-40</v>
      </c>
      <c r="U4385">
        <v>51</v>
      </c>
      <c r="V4385">
        <v>420</v>
      </c>
      <c r="W4385">
        <v>28</v>
      </c>
      <c r="X4385">
        <v>28</v>
      </c>
      <c r="Y4385">
        <v>1</v>
      </c>
      <c r="Z4385">
        <v>1</v>
      </c>
      <c r="AA4385">
        <v>26</v>
      </c>
      <c r="AB4385">
        <v>2</v>
      </c>
      <c r="AC4385">
        <v>1</v>
      </c>
      <c r="AD4385">
        <v>3.2460000500000001</v>
      </c>
      <c r="AE4385">
        <v>1</v>
      </c>
      <c r="AF4385">
        <v>38</v>
      </c>
      <c r="AG4385">
        <v>3.2369999900000002</v>
      </c>
      <c r="AH4385">
        <v>4</v>
      </c>
      <c r="AI4385">
        <v>17</v>
      </c>
      <c r="AJ4385" t="s">
        <v>43</v>
      </c>
      <c r="AK4385" t="s">
        <v>43</v>
      </c>
      <c r="AL4385" t="s">
        <v>43</v>
      </c>
      <c r="AM4385" t="s">
        <v>43</v>
      </c>
      <c r="AN4385" t="str">
        <f>HYPERLINK("https://www.google.com/maps?q=10.75963306,79.7348938","Open Location")</f>
        <v>Open Location</v>
      </c>
    </row>
    <row r="4386" spans="1:40" x14ac:dyDescent="0.3">
      <c r="A4386" s="1">
        <v>46210.491666666669</v>
      </c>
      <c r="B4386" t="s">
        <v>40</v>
      </c>
      <c r="C4386" t="s">
        <v>41</v>
      </c>
      <c r="D4386" s="1">
        <v>46210.494363425925</v>
      </c>
      <c r="E4386" t="s">
        <v>42</v>
      </c>
      <c r="F4386" t="s">
        <v>83</v>
      </c>
      <c r="G4386">
        <v>40</v>
      </c>
      <c r="H4386">
        <v>33103</v>
      </c>
      <c r="I4386" t="s">
        <v>2452</v>
      </c>
      <c r="J4386">
        <v>49</v>
      </c>
      <c r="K4386">
        <v>94</v>
      </c>
      <c r="L4386">
        <v>98</v>
      </c>
      <c r="M4386">
        <v>621.59997558999999</v>
      </c>
      <c r="N4386" t="s">
        <v>87</v>
      </c>
      <c r="O4386" t="s">
        <v>86</v>
      </c>
      <c r="P4386">
        <v>131</v>
      </c>
      <c r="Q4386">
        <v>6</v>
      </c>
      <c r="R4386">
        <v>60</v>
      </c>
      <c r="S4386">
        <v>1112</v>
      </c>
      <c r="T4386">
        <v>-40</v>
      </c>
      <c r="U4386">
        <v>50</v>
      </c>
      <c r="V4386">
        <v>420</v>
      </c>
      <c r="W4386">
        <v>28</v>
      </c>
      <c r="X4386">
        <v>28</v>
      </c>
      <c r="Y4386">
        <v>1</v>
      </c>
      <c r="Z4386">
        <v>1</v>
      </c>
      <c r="AA4386">
        <v>26</v>
      </c>
      <c r="AB4386">
        <v>2</v>
      </c>
      <c r="AC4386">
        <v>1</v>
      </c>
      <c r="AD4386">
        <v>3.22900009</v>
      </c>
      <c r="AE4386">
        <v>1</v>
      </c>
      <c r="AF4386">
        <v>38</v>
      </c>
      <c r="AG4386">
        <v>3.21499991</v>
      </c>
      <c r="AH4386">
        <v>4</v>
      </c>
      <c r="AI4386">
        <v>17</v>
      </c>
      <c r="AJ4386">
        <v>1</v>
      </c>
      <c r="AK4386">
        <v>17</v>
      </c>
      <c r="AL4386">
        <v>50</v>
      </c>
      <c r="AM4386" t="s">
        <v>43</v>
      </c>
      <c r="AN4386" t="str">
        <f>HYPERLINK("https://www.google.com/maps?q=10.75984573,79.73610687","Open Location")</f>
        <v>Open Location</v>
      </c>
    </row>
    <row r="4387" spans="1:40" x14ac:dyDescent="0.3">
      <c r="A4387" s="1">
        <v>46210.491550925923</v>
      </c>
      <c r="B4387" t="s">
        <v>40</v>
      </c>
      <c r="C4387" t="s">
        <v>41</v>
      </c>
      <c r="D4387" s="1">
        <v>46210.494722222225</v>
      </c>
      <c r="E4387" t="s">
        <v>42</v>
      </c>
      <c r="F4387" t="s">
        <v>83</v>
      </c>
      <c r="G4387">
        <v>38</v>
      </c>
      <c r="H4387">
        <v>33103</v>
      </c>
      <c r="I4387" t="s">
        <v>43</v>
      </c>
      <c r="J4387">
        <v>49</v>
      </c>
      <c r="K4387">
        <v>191</v>
      </c>
      <c r="L4387">
        <v>98</v>
      </c>
      <c r="M4387">
        <v>617.5</v>
      </c>
      <c r="N4387" t="s">
        <v>87</v>
      </c>
      <c r="O4387" t="s">
        <v>86</v>
      </c>
      <c r="P4387">
        <v>130</v>
      </c>
      <c r="Q4387">
        <v>5</v>
      </c>
      <c r="R4387">
        <v>69</v>
      </c>
      <c r="S4387">
        <v>1798</v>
      </c>
      <c r="T4387">
        <v>-40</v>
      </c>
      <c r="U4387">
        <v>50</v>
      </c>
      <c r="V4387">
        <v>580</v>
      </c>
      <c r="W4387">
        <v>28</v>
      </c>
      <c r="X4387">
        <v>28</v>
      </c>
      <c r="Y4387">
        <v>1</v>
      </c>
      <c r="Z4387">
        <v>1</v>
      </c>
      <c r="AA4387">
        <v>26</v>
      </c>
      <c r="AB4387">
        <v>2</v>
      </c>
      <c r="AC4387">
        <v>1</v>
      </c>
      <c r="AD4387">
        <v>3.24699998</v>
      </c>
      <c r="AE4387">
        <v>5</v>
      </c>
      <c r="AF4387">
        <v>19</v>
      </c>
      <c r="AG4387">
        <v>3.23799992</v>
      </c>
      <c r="AH4387">
        <v>4</v>
      </c>
      <c r="AI4387">
        <v>17</v>
      </c>
      <c r="AJ4387">
        <v>1</v>
      </c>
      <c r="AK4387">
        <v>17</v>
      </c>
      <c r="AL4387">
        <v>50</v>
      </c>
      <c r="AM4387" t="s">
        <v>43</v>
      </c>
      <c r="AN4387" t="s">
        <v>43</v>
      </c>
    </row>
    <row r="4388" spans="1:40" x14ac:dyDescent="0.3">
      <c r="A4388" s="1">
        <v>46210.491435185184</v>
      </c>
      <c r="B4388" t="s">
        <v>40</v>
      </c>
      <c r="C4388" t="s">
        <v>41</v>
      </c>
      <c r="D4388" s="1">
        <v>46210.49428240741</v>
      </c>
      <c r="E4388" t="s">
        <v>42</v>
      </c>
      <c r="F4388" t="s">
        <v>83</v>
      </c>
      <c r="G4388">
        <v>37</v>
      </c>
      <c r="H4388">
        <v>33103</v>
      </c>
      <c r="I4388" t="s">
        <v>2453</v>
      </c>
      <c r="J4388">
        <v>49</v>
      </c>
      <c r="K4388">
        <v>89</v>
      </c>
      <c r="L4388">
        <v>98</v>
      </c>
      <c r="M4388">
        <v>621.90002441000001</v>
      </c>
      <c r="N4388" t="s">
        <v>87</v>
      </c>
      <c r="O4388" t="s">
        <v>86</v>
      </c>
      <c r="P4388">
        <v>130</v>
      </c>
      <c r="Q4388">
        <v>5</v>
      </c>
      <c r="R4388">
        <v>48</v>
      </c>
      <c r="S4388">
        <v>1720</v>
      </c>
      <c r="T4388">
        <v>-40</v>
      </c>
      <c r="U4388">
        <v>50</v>
      </c>
      <c r="V4388">
        <v>280</v>
      </c>
      <c r="W4388">
        <v>28</v>
      </c>
      <c r="X4388">
        <v>28</v>
      </c>
      <c r="Y4388">
        <v>1</v>
      </c>
      <c r="Z4388">
        <v>1</v>
      </c>
      <c r="AA4388">
        <v>26</v>
      </c>
      <c r="AB4388">
        <v>2</v>
      </c>
      <c r="AC4388">
        <v>1</v>
      </c>
      <c r="AD4388">
        <v>3.2479999099999999</v>
      </c>
      <c r="AE4388">
        <v>1</v>
      </c>
      <c r="AF4388">
        <v>38</v>
      </c>
      <c r="AG4388">
        <v>3.2400000100000002</v>
      </c>
      <c r="AH4388">
        <v>4</v>
      </c>
      <c r="AI4388">
        <v>17</v>
      </c>
      <c r="AJ4388">
        <v>1</v>
      </c>
      <c r="AK4388">
        <v>17</v>
      </c>
      <c r="AL4388">
        <v>50</v>
      </c>
      <c r="AM4388" t="s">
        <v>43</v>
      </c>
      <c r="AN4388" t="str">
        <f>HYPERLINK("https://www.google.com/maps?q=10.76007175,79.73726654","Open Location")</f>
        <v>Open Location</v>
      </c>
    </row>
    <row r="4389" spans="1:40" x14ac:dyDescent="0.3">
      <c r="A4389" s="1">
        <v>46210.491319444445</v>
      </c>
      <c r="B4389" t="s">
        <v>40</v>
      </c>
      <c r="C4389" t="s">
        <v>41</v>
      </c>
      <c r="D4389" s="1">
        <v>46210.49428240741</v>
      </c>
      <c r="E4389" t="s">
        <v>42</v>
      </c>
      <c r="F4389" t="s">
        <v>83</v>
      </c>
      <c r="G4389">
        <v>36</v>
      </c>
      <c r="H4389">
        <v>33102</v>
      </c>
      <c r="I4389" t="s">
        <v>2454</v>
      </c>
      <c r="J4389">
        <v>49</v>
      </c>
      <c r="K4389">
        <v>85</v>
      </c>
      <c r="L4389">
        <v>98</v>
      </c>
      <c r="M4389">
        <v>622.09997558999999</v>
      </c>
      <c r="N4389" t="s">
        <v>87</v>
      </c>
      <c r="O4389" t="s">
        <v>86</v>
      </c>
      <c r="P4389">
        <v>130</v>
      </c>
      <c r="Q4389">
        <v>5</v>
      </c>
      <c r="R4389">
        <v>72</v>
      </c>
      <c r="S4389">
        <v>1708</v>
      </c>
      <c r="T4389">
        <v>-40</v>
      </c>
      <c r="U4389">
        <v>52</v>
      </c>
      <c r="V4389">
        <v>280</v>
      </c>
      <c r="W4389">
        <v>28</v>
      </c>
      <c r="X4389">
        <v>28</v>
      </c>
      <c r="Y4389">
        <v>1</v>
      </c>
      <c r="Z4389">
        <v>1</v>
      </c>
      <c r="AA4389">
        <v>26</v>
      </c>
      <c r="AB4389">
        <v>2</v>
      </c>
      <c r="AC4389">
        <v>1</v>
      </c>
      <c r="AD4389">
        <v>3.2360000599999998</v>
      </c>
      <c r="AE4389">
        <v>5</v>
      </c>
      <c r="AF4389">
        <v>12</v>
      </c>
      <c r="AG4389">
        <v>3.22300005</v>
      </c>
      <c r="AH4389">
        <v>4</v>
      </c>
      <c r="AI4389">
        <v>24</v>
      </c>
      <c r="AJ4389" t="s">
        <v>43</v>
      </c>
      <c r="AK4389" t="s">
        <v>43</v>
      </c>
      <c r="AL4389">
        <v>50</v>
      </c>
      <c r="AM4389" t="s">
        <v>43</v>
      </c>
      <c r="AN4389" t="str">
        <f>HYPERLINK("https://www.google.com/maps?q=10.76024055,79.73839569","Open Location")</f>
        <v>Open Location</v>
      </c>
    </row>
    <row r="4390" spans="1:40" x14ac:dyDescent="0.3">
      <c r="A4390" s="1">
        <v>46210.491203703707</v>
      </c>
      <c r="B4390" t="s">
        <v>40</v>
      </c>
      <c r="C4390" t="s">
        <v>41</v>
      </c>
      <c r="D4390" s="1">
        <v>46210.49417824074</v>
      </c>
      <c r="E4390" t="s">
        <v>42</v>
      </c>
      <c r="F4390" t="s">
        <v>83</v>
      </c>
      <c r="G4390">
        <v>34</v>
      </c>
      <c r="H4390">
        <v>33102</v>
      </c>
      <c r="I4390" t="s">
        <v>2455</v>
      </c>
      <c r="J4390">
        <v>50</v>
      </c>
      <c r="K4390">
        <v>156</v>
      </c>
      <c r="L4390">
        <v>98</v>
      </c>
      <c r="M4390">
        <v>619.5</v>
      </c>
      <c r="N4390" t="s">
        <v>87</v>
      </c>
      <c r="O4390" t="s">
        <v>86</v>
      </c>
      <c r="P4390">
        <v>130</v>
      </c>
      <c r="Q4390">
        <v>5</v>
      </c>
      <c r="R4390">
        <v>70</v>
      </c>
      <c r="S4390">
        <v>1635</v>
      </c>
      <c r="T4390">
        <v>-40</v>
      </c>
      <c r="U4390">
        <v>52</v>
      </c>
      <c r="V4390">
        <v>515</v>
      </c>
      <c r="W4390">
        <v>28</v>
      </c>
      <c r="X4390">
        <v>28</v>
      </c>
      <c r="Y4390">
        <v>1</v>
      </c>
      <c r="Z4390">
        <v>1</v>
      </c>
      <c r="AA4390">
        <v>26</v>
      </c>
      <c r="AB4390">
        <v>2</v>
      </c>
      <c r="AC4390">
        <v>1</v>
      </c>
      <c r="AD4390" t="s">
        <v>43</v>
      </c>
      <c r="AE4390" t="s">
        <v>43</v>
      </c>
      <c r="AF4390" t="s">
        <v>43</v>
      </c>
      <c r="AG4390" t="s">
        <v>43</v>
      </c>
      <c r="AH4390" t="s">
        <v>43</v>
      </c>
      <c r="AI4390" t="s">
        <v>43</v>
      </c>
      <c r="AJ4390">
        <v>1</v>
      </c>
      <c r="AK4390">
        <v>19</v>
      </c>
      <c r="AL4390">
        <v>50</v>
      </c>
      <c r="AM4390" t="s">
        <v>43</v>
      </c>
      <c r="AN4390" t="str">
        <f>HYPERLINK("https://www.google.com/maps?q=10.76039028,79.73956299","Open Location")</f>
        <v>Open Location</v>
      </c>
    </row>
    <row r="4391" spans="1:40" x14ac:dyDescent="0.3">
      <c r="A4391" s="1">
        <v>46210.491087962961</v>
      </c>
      <c r="B4391" t="s">
        <v>40</v>
      </c>
      <c r="C4391" t="s">
        <v>41</v>
      </c>
      <c r="D4391" s="1">
        <v>46210.494085648148</v>
      </c>
      <c r="E4391" t="s">
        <v>42</v>
      </c>
      <c r="F4391" t="s">
        <v>83</v>
      </c>
      <c r="G4391">
        <v>35</v>
      </c>
      <c r="H4391">
        <v>33102</v>
      </c>
      <c r="I4391" t="s">
        <v>2456</v>
      </c>
      <c r="J4391">
        <v>50</v>
      </c>
      <c r="K4391">
        <v>239</v>
      </c>
      <c r="L4391">
        <v>98</v>
      </c>
      <c r="M4391">
        <v>616.29998779000005</v>
      </c>
      <c r="N4391" t="s">
        <v>87</v>
      </c>
      <c r="O4391" t="s">
        <v>86</v>
      </c>
      <c r="P4391">
        <v>131</v>
      </c>
      <c r="Q4391">
        <v>6</v>
      </c>
      <c r="R4391">
        <v>28</v>
      </c>
      <c r="S4391">
        <v>1509</v>
      </c>
      <c r="T4391">
        <v>-40</v>
      </c>
      <c r="U4391">
        <v>52</v>
      </c>
      <c r="V4391">
        <v>875</v>
      </c>
      <c r="W4391">
        <v>28</v>
      </c>
      <c r="X4391">
        <v>28</v>
      </c>
      <c r="Y4391">
        <v>1</v>
      </c>
      <c r="Z4391">
        <v>1</v>
      </c>
      <c r="AA4391">
        <v>26</v>
      </c>
      <c r="AB4391">
        <v>2</v>
      </c>
      <c r="AC4391">
        <v>1</v>
      </c>
      <c r="AD4391">
        <v>3.2330000399999999</v>
      </c>
      <c r="AE4391">
        <v>5</v>
      </c>
      <c r="AF4391">
        <v>38</v>
      </c>
      <c r="AG4391">
        <v>3.2160000800000001</v>
      </c>
      <c r="AH4391">
        <v>4</v>
      </c>
      <c r="AI4391">
        <v>24</v>
      </c>
      <c r="AJ4391" t="s">
        <v>43</v>
      </c>
      <c r="AK4391" t="s">
        <v>43</v>
      </c>
      <c r="AL4391" t="s">
        <v>43</v>
      </c>
      <c r="AM4391" t="s">
        <v>43</v>
      </c>
      <c r="AN4391" t="str">
        <f>HYPERLINK("https://www.google.com/maps?q=10.76050758,79.74060059","Open Location")</f>
        <v>Open Location</v>
      </c>
    </row>
    <row r="4392" spans="1:40" x14ac:dyDescent="0.3">
      <c r="A4392" s="1">
        <v>46210.490972222222</v>
      </c>
      <c r="B4392" t="s">
        <v>40</v>
      </c>
      <c r="C4392" t="s">
        <v>41</v>
      </c>
      <c r="D4392" s="1">
        <v>46210.493969907409</v>
      </c>
      <c r="E4392" t="s">
        <v>42</v>
      </c>
      <c r="F4392" t="s">
        <v>83</v>
      </c>
      <c r="G4392">
        <v>35</v>
      </c>
      <c r="H4392">
        <v>33102</v>
      </c>
      <c r="I4392" t="s">
        <v>2457</v>
      </c>
      <c r="J4392">
        <v>50</v>
      </c>
      <c r="K4392">
        <v>121</v>
      </c>
      <c r="L4392">
        <v>98</v>
      </c>
      <c r="M4392">
        <v>621.70001220999995</v>
      </c>
      <c r="N4392" t="s">
        <v>87</v>
      </c>
      <c r="O4392" t="s">
        <v>86</v>
      </c>
      <c r="P4392">
        <v>131</v>
      </c>
      <c r="Q4392">
        <v>6</v>
      </c>
      <c r="R4392">
        <v>50</v>
      </c>
      <c r="S4392">
        <v>980</v>
      </c>
      <c r="T4392">
        <v>-40</v>
      </c>
      <c r="U4392">
        <v>51</v>
      </c>
      <c r="V4392">
        <v>650</v>
      </c>
      <c r="W4392">
        <v>28</v>
      </c>
      <c r="X4392">
        <v>28</v>
      </c>
      <c r="Y4392">
        <v>1</v>
      </c>
      <c r="Z4392">
        <v>1</v>
      </c>
      <c r="AA4392">
        <v>26</v>
      </c>
      <c r="AB4392">
        <v>2</v>
      </c>
      <c r="AC4392">
        <v>1</v>
      </c>
      <c r="AD4392">
        <v>3.2430000300000001</v>
      </c>
      <c r="AE4392">
        <v>5</v>
      </c>
      <c r="AF4392">
        <v>38</v>
      </c>
      <c r="AG4392">
        <v>3.2309999500000002</v>
      </c>
      <c r="AH4392">
        <v>4</v>
      </c>
      <c r="AI4392">
        <v>17</v>
      </c>
      <c r="AJ4392">
        <v>1</v>
      </c>
      <c r="AK4392">
        <v>19</v>
      </c>
      <c r="AL4392">
        <v>50</v>
      </c>
      <c r="AM4392" t="s">
        <v>43</v>
      </c>
      <c r="AN4392" t="str">
        <f>HYPERLINK("https://www.google.com/maps?q=10.76063824,79.74166107","Open Location")</f>
        <v>Open Location</v>
      </c>
    </row>
    <row r="4393" spans="1:40" x14ac:dyDescent="0.3">
      <c r="A4393" s="1">
        <v>46210.490856481483</v>
      </c>
      <c r="B4393" t="s">
        <v>40</v>
      </c>
      <c r="C4393" t="s">
        <v>41</v>
      </c>
      <c r="D4393" s="1">
        <v>46210.493969907409</v>
      </c>
      <c r="E4393" t="s">
        <v>42</v>
      </c>
      <c r="F4393" t="s">
        <v>83</v>
      </c>
      <c r="G4393">
        <v>35</v>
      </c>
      <c r="H4393" t="s">
        <v>43</v>
      </c>
      <c r="I4393" t="s">
        <v>43</v>
      </c>
      <c r="J4393">
        <v>50</v>
      </c>
      <c r="K4393">
        <v>77</v>
      </c>
      <c r="L4393">
        <v>98</v>
      </c>
      <c r="M4393">
        <v>623.5</v>
      </c>
      <c r="N4393" t="s">
        <v>87</v>
      </c>
      <c r="O4393" t="s">
        <v>86</v>
      </c>
      <c r="P4393">
        <v>131</v>
      </c>
      <c r="Q4393">
        <v>6</v>
      </c>
      <c r="R4393">
        <v>80</v>
      </c>
      <c r="S4393">
        <v>976</v>
      </c>
      <c r="T4393">
        <v>-40</v>
      </c>
      <c r="U4393">
        <v>51</v>
      </c>
      <c r="V4393">
        <v>420</v>
      </c>
      <c r="W4393">
        <v>28</v>
      </c>
      <c r="X4393">
        <v>28</v>
      </c>
      <c r="Y4393">
        <v>1</v>
      </c>
      <c r="Z4393">
        <v>1</v>
      </c>
      <c r="AA4393">
        <v>26</v>
      </c>
      <c r="AB4393">
        <v>2</v>
      </c>
      <c r="AC4393">
        <v>1</v>
      </c>
      <c r="AD4393">
        <v>3.2539999499999999</v>
      </c>
      <c r="AE4393">
        <v>1</v>
      </c>
      <c r="AF4393">
        <v>38</v>
      </c>
      <c r="AG4393">
        <v>3.24699998</v>
      </c>
      <c r="AH4393">
        <v>4</v>
      </c>
      <c r="AI4393">
        <v>17</v>
      </c>
      <c r="AJ4393">
        <v>1</v>
      </c>
      <c r="AK4393">
        <v>19</v>
      </c>
      <c r="AL4393">
        <v>50</v>
      </c>
      <c r="AM4393" t="s">
        <v>43</v>
      </c>
      <c r="AN4393" t="s">
        <v>43</v>
      </c>
    </row>
    <row r="4394" spans="1:40" x14ac:dyDescent="0.3">
      <c r="A4394" s="1">
        <v>46210.490740740737</v>
      </c>
      <c r="B4394" t="s">
        <v>40</v>
      </c>
      <c r="C4394" t="s">
        <v>41</v>
      </c>
      <c r="D4394" s="1">
        <v>46210.493854166663</v>
      </c>
      <c r="E4394" t="s">
        <v>42</v>
      </c>
      <c r="F4394" t="s">
        <v>83</v>
      </c>
      <c r="G4394">
        <v>37</v>
      </c>
      <c r="H4394" t="s">
        <v>43</v>
      </c>
      <c r="I4394" t="s">
        <v>2458</v>
      </c>
      <c r="J4394">
        <v>50</v>
      </c>
      <c r="K4394">
        <v>73</v>
      </c>
      <c r="L4394">
        <v>98</v>
      </c>
      <c r="M4394">
        <v>622.79998779000005</v>
      </c>
      <c r="N4394" t="s">
        <v>87</v>
      </c>
      <c r="O4394" t="s">
        <v>86</v>
      </c>
      <c r="P4394">
        <v>131</v>
      </c>
      <c r="Q4394">
        <v>6</v>
      </c>
      <c r="R4394">
        <v>-33</v>
      </c>
      <c r="S4394">
        <v>968</v>
      </c>
      <c r="T4394">
        <v>-40</v>
      </c>
      <c r="U4394">
        <v>50</v>
      </c>
      <c r="V4394">
        <v>380</v>
      </c>
      <c r="W4394">
        <v>28</v>
      </c>
      <c r="X4394">
        <v>28</v>
      </c>
      <c r="Y4394">
        <v>1</v>
      </c>
      <c r="Z4394">
        <v>1</v>
      </c>
      <c r="AA4394">
        <v>26</v>
      </c>
      <c r="AB4394">
        <v>2</v>
      </c>
      <c r="AC4394">
        <v>1</v>
      </c>
      <c r="AD4394">
        <v>3.2609999200000002</v>
      </c>
      <c r="AE4394">
        <v>1</v>
      </c>
      <c r="AF4394">
        <v>41</v>
      </c>
      <c r="AG4394">
        <v>3.2550001100000001</v>
      </c>
      <c r="AH4394">
        <v>4</v>
      </c>
      <c r="AI4394">
        <v>17</v>
      </c>
      <c r="AJ4394">
        <v>1</v>
      </c>
      <c r="AK4394">
        <v>20</v>
      </c>
      <c r="AL4394">
        <v>50</v>
      </c>
      <c r="AM4394" t="s">
        <v>43</v>
      </c>
      <c r="AN4394" t="str">
        <f>HYPERLINK("https://www.google.com/maps?q=10.76077366,79.74273682","Open Location")</f>
        <v>Open Location</v>
      </c>
    </row>
    <row r="4395" spans="1:40" x14ac:dyDescent="0.3">
      <c r="A4395" s="1">
        <v>46210.490624999999</v>
      </c>
      <c r="B4395" t="s">
        <v>40</v>
      </c>
      <c r="C4395" t="s">
        <v>41</v>
      </c>
      <c r="D4395" s="1">
        <v>46210.493877314817</v>
      </c>
      <c r="E4395" t="s">
        <v>42</v>
      </c>
      <c r="F4395" t="s">
        <v>83</v>
      </c>
      <c r="G4395">
        <v>38</v>
      </c>
      <c r="H4395">
        <v>33102</v>
      </c>
      <c r="I4395" t="s">
        <v>2459</v>
      </c>
      <c r="J4395">
        <v>50</v>
      </c>
      <c r="K4395">
        <v>70</v>
      </c>
      <c r="L4395">
        <v>98</v>
      </c>
      <c r="M4395">
        <v>623.90002441000001</v>
      </c>
      <c r="N4395" t="s">
        <v>87</v>
      </c>
      <c r="O4395" t="s">
        <v>86</v>
      </c>
      <c r="P4395">
        <v>131</v>
      </c>
      <c r="Q4395">
        <v>6</v>
      </c>
      <c r="R4395">
        <v>49</v>
      </c>
      <c r="S4395">
        <v>1064</v>
      </c>
      <c r="T4395">
        <v>-40</v>
      </c>
      <c r="U4395">
        <v>51</v>
      </c>
      <c r="V4395">
        <v>360</v>
      </c>
      <c r="W4395">
        <v>28</v>
      </c>
      <c r="X4395">
        <v>28</v>
      </c>
      <c r="Y4395">
        <v>1</v>
      </c>
      <c r="Z4395">
        <v>1</v>
      </c>
      <c r="AA4395">
        <v>26</v>
      </c>
      <c r="AB4395">
        <v>2</v>
      </c>
      <c r="AC4395">
        <v>1</v>
      </c>
      <c r="AD4395">
        <v>3.2539999499999999</v>
      </c>
      <c r="AE4395">
        <v>5</v>
      </c>
      <c r="AF4395">
        <v>38</v>
      </c>
      <c r="AG4395">
        <v>3.2460000500000001</v>
      </c>
      <c r="AH4395">
        <v>4</v>
      </c>
      <c r="AI4395">
        <v>17</v>
      </c>
      <c r="AJ4395" t="s">
        <v>43</v>
      </c>
      <c r="AK4395">
        <v>19</v>
      </c>
      <c r="AL4395">
        <v>50</v>
      </c>
      <c r="AM4395" t="s">
        <v>43</v>
      </c>
      <c r="AN4395" t="str">
        <f>HYPERLINK("https://www.google.com/maps?q=10.76089096,79.74388885","Open Location")</f>
        <v>Open Location</v>
      </c>
    </row>
    <row r="4396" spans="1:40" x14ac:dyDescent="0.3">
      <c r="A4396" s="1">
        <v>46210.49050925926</v>
      </c>
      <c r="B4396" t="s">
        <v>40</v>
      </c>
      <c r="C4396" t="s">
        <v>41</v>
      </c>
      <c r="D4396" s="1">
        <v>46210.493518518517</v>
      </c>
      <c r="E4396" t="s">
        <v>42</v>
      </c>
      <c r="F4396" t="s">
        <v>83</v>
      </c>
      <c r="G4396">
        <v>38</v>
      </c>
      <c r="H4396">
        <v>33102</v>
      </c>
      <c r="I4396" t="s">
        <v>2460</v>
      </c>
      <c r="J4396">
        <v>50</v>
      </c>
      <c r="K4396">
        <v>60</v>
      </c>
      <c r="L4396">
        <v>98</v>
      </c>
      <c r="M4396">
        <v>623.90002441000001</v>
      </c>
      <c r="N4396" t="s">
        <v>87</v>
      </c>
      <c r="O4396" t="s">
        <v>86</v>
      </c>
      <c r="P4396">
        <v>131</v>
      </c>
      <c r="Q4396">
        <v>6</v>
      </c>
      <c r="R4396">
        <v>48</v>
      </c>
      <c r="S4396">
        <v>1059</v>
      </c>
      <c r="T4396">
        <v>-40</v>
      </c>
      <c r="U4396">
        <v>52</v>
      </c>
      <c r="V4396">
        <v>300</v>
      </c>
      <c r="W4396">
        <v>28</v>
      </c>
      <c r="X4396">
        <v>28</v>
      </c>
      <c r="Y4396">
        <v>1</v>
      </c>
      <c r="Z4396">
        <v>1</v>
      </c>
      <c r="AA4396">
        <v>26</v>
      </c>
      <c r="AB4396">
        <v>2</v>
      </c>
      <c r="AC4396">
        <v>1</v>
      </c>
      <c r="AD4396">
        <v>3.2539999499999999</v>
      </c>
      <c r="AE4396">
        <v>1</v>
      </c>
      <c r="AF4396">
        <v>38</v>
      </c>
      <c r="AG4396">
        <v>3.24699998</v>
      </c>
      <c r="AH4396">
        <v>4</v>
      </c>
      <c r="AI4396">
        <v>17</v>
      </c>
      <c r="AJ4396">
        <v>1</v>
      </c>
      <c r="AK4396">
        <v>19</v>
      </c>
      <c r="AL4396">
        <v>50</v>
      </c>
      <c r="AM4396" t="s">
        <v>43</v>
      </c>
      <c r="AN4396" t="str">
        <f>HYPERLINK("https://www.google.com/maps?q=10.76101112,79.74504852","Open Location")</f>
        <v>Open Location</v>
      </c>
    </row>
    <row r="4397" spans="1:40" x14ac:dyDescent="0.3">
      <c r="A4397" s="1">
        <v>46210.490393518521</v>
      </c>
      <c r="B4397" t="s">
        <v>40</v>
      </c>
      <c r="C4397" t="s">
        <v>41</v>
      </c>
      <c r="D4397" s="1">
        <v>46210.493414351855</v>
      </c>
      <c r="E4397" t="s">
        <v>42</v>
      </c>
      <c r="F4397" t="s">
        <v>83</v>
      </c>
      <c r="G4397">
        <v>38</v>
      </c>
      <c r="H4397" t="s">
        <v>43</v>
      </c>
      <c r="I4397" t="s">
        <v>2461</v>
      </c>
      <c r="J4397">
        <v>50</v>
      </c>
      <c r="K4397">
        <v>94</v>
      </c>
      <c r="L4397">
        <v>98</v>
      </c>
      <c r="M4397">
        <v>622.59997558999999</v>
      </c>
      <c r="N4397" t="s">
        <v>87</v>
      </c>
      <c r="O4397" t="s">
        <v>86</v>
      </c>
      <c r="P4397">
        <v>131</v>
      </c>
      <c r="Q4397">
        <v>6</v>
      </c>
      <c r="R4397">
        <v>44</v>
      </c>
      <c r="S4397">
        <v>1063</v>
      </c>
      <c r="T4397">
        <v>-40</v>
      </c>
      <c r="U4397">
        <v>52</v>
      </c>
      <c r="V4397">
        <v>480</v>
      </c>
      <c r="W4397">
        <v>28</v>
      </c>
      <c r="X4397">
        <v>28</v>
      </c>
      <c r="Y4397">
        <v>1</v>
      </c>
      <c r="Z4397">
        <v>1</v>
      </c>
      <c r="AA4397">
        <v>26</v>
      </c>
      <c r="AB4397">
        <v>2</v>
      </c>
      <c r="AC4397">
        <v>1</v>
      </c>
      <c r="AD4397">
        <v>3.2490000700000001</v>
      </c>
      <c r="AE4397">
        <v>1</v>
      </c>
      <c r="AF4397">
        <v>38</v>
      </c>
      <c r="AG4397">
        <v>3.24099994</v>
      </c>
      <c r="AH4397">
        <v>4</v>
      </c>
      <c r="AI4397">
        <v>17</v>
      </c>
      <c r="AJ4397" t="s">
        <v>43</v>
      </c>
      <c r="AK4397" t="s">
        <v>43</v>
      </c>
      <c r="AL4397" t="s">
        <v>43</v>
      </c>
      <c r="AM4397" t="s">
        <v>43</v>
      </c>
      <c r="AN4397" t="str">
        <f>HYPERLINK("https://www.google.com/maps?q=10.7611618,79.74620819","Open Location")</f>
        <v>Open Location</v>
      </c>
    </row>
    <row r="4398" spans="1:40" x14ac:dyDescent="0.3">
      <c r="A4398" s="1">
        <v>46210.490277777775</v>
      </c>
      <c r="B4398" t="s">
        <v>40</v>
      </c>
      <c r="C4398" t="s">
        <v>41</v>
      </c>
      <c r="D4398" s="1">
        <v>46210.49322916667</v>
      </c>
      <c r="E4398" t="s">
        <v>42</v>
      </c>
      <c r="F4398" t="s">
        <v>83</v>
      </c>
      <c r="G4398">
        <v>39</v>
      </c>
      <c r="H4398">
        <v>33102</v>
      </c>
      <c r="I4398" t="s">
        <v>43</v>
      </c>
      <c r="J4398">
        <v>50</v>
      </c>
      <c r="K4398">
        <v>109</v>
      </c>
      <c r="L4398">
        <v>98</v>
      </c>
      <c r="M4398">
        <v>621.40002441000001</v>
      </c>
      <c r="N4398" t="s">
        <v>87</v>
      </c>
      <c r="O4398" t="s">
        <v>86</v>
      </c>
      <c r="P4398">
        <v>131</v>
      </c>
      <c r="Q4398">
        <v>6</v>
      </c>
      <c r="R4398">
        <v>45</v>
      </c>
      <c r="S4398">
        <v>1080</v>
      </c>
      <c r="T4398">
        <v>-40</v>
      </c>
      <c r="U4398">
        <v>52</v>
      </c>
      <c r="V4398">
        <v>560</v>
      </c>
      <c r="W4398">
        <v>29</v>
      </c>
      <c r="X4398">
        <v>29</v>
      </c>
      <c r="Y4398">
        <v>1</v>
      </c>
      <c r="Z4398">
        <v>8</v>
      </c>
      <c r="AA4398">
        <v>26</v>
      </c>
      <c r="AB4398">
        <v>2</v>
      </c>
      <c r="AC4398">
        <v>1</v>
      </c>
      <c r="AD4398">
        <v>3.24699998</v>
      </c>
      <c r="AE4398">
        <v>1</v>
      </c>
      <c r="AF4398">
        <v>42</v>
      </c>
      <c r="AG4398">
        <v>3.23799992</v>
      </c>
      <c r="AH4398">
        <v>4</v>
      </c>
      <c r="AI4398">
        <v>17</v>
      </c>
      <c r="AJ4398">
        <v>1</v>
      </c>
      <c r="AK4398">
        <v>19</v>
      </c>
      <c r="AL4398">
        <v>50</v>
      </c>
      <c r="AM4398" t="s">
        <v>43</v>
      </c>
      <c r="AN4398" t="s">
        <v>43</v>
      </c>
    </row>
    <row r="4399" spans="1:40" x14ac:dyDescent="0.3">
      <c r="A4399" s="1">
        <v>46210.490162037036</v>
      </c>
      <c r="B4399" t="s">
        <v>40</v>
      </c>
      <c r="C4399" t="s">
        <v>41</v>
      </c>
      <c r="D4399" s="1">
        <v>46210.493217592593</v>
      </c>
      <c r="E4399" t="s">
        <v>42</v>
      </c>
      <c r="F4399" t="s">
        <v>83</v>
      </c>
      <c r="G4399">
        <v>39</v>
      </c>
      <c r="H4399">
        <v>33101</v>
      </c>
      <c r="I4399" t="s">
        <v>2462</v>
      </c>
      <c r="J4399">
        <v>50</v>
      </c>
      <c r="K4399">
        <v>96</v>
      </c>
      <c r="L4399">
        <v>98</v>
      </c>
      <c r="M4399">
        <v>622.09997558999999</v>
      </c>
      <c r="N4399" t="s">
        <v>87</v>
      </c>
      <c r="O4399" t="s">
        <v>86</v>
      </c>
      <c r="P4399">
        <v>131</v>
      </c>
      <c r="Q4399">
        <v>6</v>
      </c>
      <c r="R4399">
        <v>47</v>
      </c>
      <c r="S4399">
        <v>1081</v>
      </c>
      <c r="T4399">
        <v>-40</v>
      </c>
      <c r="U4399">
        <v>52</v>
      </c>
      <c r="V4399">
        <v>480</v>
      </c>
      <c r="W4399">
        <v>29</v>
      </c>
      <c r="X4399">
        <v>29</v>
      </c>
      <c r="Y4399">
        <v>1</v>
      </c>
      <c r="Z4399">
        <v>8</v>
      </c>
      <c r="AA4399">
        <v>26</v>
      </c>
      <c r="AB4399">
        <v>2</v>
      </c>
      <c r="AC4399">
        <v>2</v>
      </c>
      <c r="AD4399">
        <v>3.2490000700000001</v>
      </c>
      <c r="AE4399">
        <v>5</v>
      </c>
      <c r="AF4399">
        <v>38</v>
      </c>
      <c r="AG4399">
        <v>3.2400000100000002</v>
      </c>
      <c r="AH4399">
        <v>4</v>
      </c>
      <c r="AI4399">
        <v>17</v>
      </c>
      <c r="AJ4399">
        <v>1</v>
      </c>
      <c r="AK4399">
        <v>19</v>
      </c>
      <c r="AL4399">
        <v>50</v>
      </c>
      <c r="AM4399" t="s">
        <v>43</v>
      </c>
      <c r="AN4399" t="str">
        <f>HYPERLINK("https://www.google.com/maps?q=10.76132011,79.7474823","Open Location")</f>
        <v>Open Location</v>
      </c>
    </row>
    <row r="4400" spans="1:40" x14ac:dyDescent="0.3">
      <c r="A4400" s="1">
        <v>46210.490046296298</v>
      </c>
      <c r="B4400" t="s">
        <v>40</v>
      </c>
      <c r="C4400" t="s">
        <v>41</v>
      </c>
      <c r="D4400" s="1">
        <v>46210.492939814816</v>
      </c>
      <c r="E4400" t="s">
        <v>42</v>
      </c>
      <c r="F4400" t="s">
        <v>83</v>
      </c>
      <c r="G4400">
        <v>38</v>
      </c>
      <c r="H4400">
        <v>33101</v>
      </c>
      <c r="I4400" t="s">
        <v>2463</v>
      </c>
      <c r="J4400">
        <v>50</v>
      </c>
      <c r="K4400">
        <v>99</v>
      </c>
      <c r="L4400">
        <v>98</v>
      </c>
      <c r="M4400">
        <v>621.59997558999999</v>
      </c>
      <c r="N4400" t="s">
        <v>87</v>
      </c>
      <c r="O4400" t="s">
        <v>86</v>
      </c>
      <c r="P4400">
        <v>131</v>
      </c>
      <c r="Q4400">
        <v>6</v>
      </c>
      <c r="R4400">
        <v>49</v>
      </c>
      <c r="S4400">
        <v>1073</v>
      </c>
      <c r="T4400">
        <v>-40</v>
      </c>
      <c r="U4400">
        <v>53</v>
      </c>
      <c r="V4400">
        <v>500</v>
      </c>
      <c r="W4400">
        <v>29</v>
      </c>
      <c r="X4400">
        <v>29</v>
      </c>
      <c r="Y4400">
        <v>1</v>
      </c>
      <c r="Z4400">
        <v>8</v>
      </c>
      <c r="AA4400">
        <v>26</v>
      </c>
      <c r="AB4400">
        <v>2</v>
      </c>
      <c r="AC4400">
        <v>2</v>
      </c>
      <c r="AD4400">
        <v>3.24699998</v>
      </c>
      <c r="AE4400">
        <v>1</v>
      </c>
      <c r="AF4400">
        <v>38</v>
      </c>
      <c r="AG4400">
        <v>3.23799992</v>
      </c>
      <c r="AH4400">
        <v>4</v>
      </c>
      <c r="AI4400">
        <v>17</v>
      </c>
      <c r="AJ4400">
        <v>1</v>
      </c>
      <c r="AK4400">
        <v>19</v>
      </c>
      <c r="AL4400">
        <v>50</v>
      </c>
      <c r="AM4400" t="s">
        <v>43</v>
      </c>
      <c r="AN4400" t="str">
        <f>HYPERLINK("https://www.google.com/maps?q=10.76149082,79.74865723","Open Location")</f>
        <v>Open Location</v>
      </c>
    </row>
    <row r="4401" spans="1:40" x14ac:dyDescent="0.3">
      <c r="A4401" s="1">
        <v>46210.489930555559</v>
      </c>
      <c r="B4401" t="s">
        <v>40</v>
      </c>
      <c r="C4401" t="s">
        <v>41</v>
      </c>
      <c r="D4401" s="1">
        <v>46210.492962962962</v>
      </c>
      <c r="E4401" t="s">
        <v>42</v>
      </c>
      <c r="F4401" t="s">
        <v>83</v>
      </c>
      <c r="G4401">
        <v>37</v>
      </c>
      <c r="H4401" t="s">
        <v>43</v>
      </c>
      <c r="I4401" t="s">
        <v>2464</v>
      </c>
      <c r="J4401">
        <v>50</v>
      </c>
      <c r="K4401">
        <v>112</v>
      </c>
      <c r="L4401">
        <v>98</v>
      </c>
      <c r="M4401">
        <v>621.70001220999995</v>
      </c>
      <c r="N4401" t="s">
        <v>87</v>
      </c>
      <c r="O4401" t="s">
        <v>86</v>
      </c>
      <c r="P4401">
        <v>131</v>
      </c>
      <c r="Q4401">
        <v>6</v>
      </c>
      <c r="R4401">
        <v>91</v>
      </c>
      <c r="S4401">
        <v>1066</v>
      </c>
      <c r="T4401">
        <v>-40</v>
      </c>
      <c r="U4401">
        <v>54</v>
      </c>
      <c r="V4401">
        <v>600</v>
      </c>
      <c r="W4401">
        <v>29</v>
      </c>
      <c r="X4401">
        <v>29</v>
      </c>
      <c r="Y4401">
        <v>1</v>
      </c>
      <c r="Z4401">
        <v>8</v>
      </c>
      <c r="AA4401">
        <v>26</v>
      </c>
      <c r="AB4401">
        <v>2</v>
      </c>
      <c r="AC4401">
        <v>2</v>
      </c>
      <c r="AD4401">
        <v>3.2430000300000001</v>
      </c>
      <c r="AE4401">
        <v>1</v>
      </c>
      <c r="AF4401">
        <v>44</v>
      </c>
      <c r="AG4401">
        <v>3.2330000399999999</v>
      </c>
      <c r="AH4401">
        <v>4</v>
      </c>
      <c r="AI4401">
        <v>17</v>
      </c>
      <c r="AJ4401">
        <v>1</v>
      </c>
      <c r="AK4401">
        <v>19</v>
      </c>
      <c r="AL4401">
        <v>50</v>
      </c>
      <c r="AM4401" t="s">
        <v>43</v>
      </c>
      <c r="AN4401" t="str">
        <f>HYPERLINK("https://www.google.com/maps?q=10.76169777,79.74980927","Open Location")</f>
        <v>Open Location</v>
      </c>
    </row>
    <row r="4402" spans="1:40" x14ac:dyDescent="0.3">
      <c r="A4402" s="1">
        <v>46210.489814814813</v>
      </c>
      <c r="B4402" t="s">
        <v>40</v>
      </c>
      <c r="C4402" t="s">
        <v>41</v>
      </c>
      <c r="D4402" s="1">
        <v>46210.492604166669</v>
      </c>
      <c r="E4402" t="s">
        <v>42</v>
      </c>
      <c r="F4402" t="s">
        <v>83</v>
      </c>
      <c r="G4402">
        <v>37</v>
      </c>
      <c r="H4402" t="s">
        <v>43</v>
      </c>
      <c r="I4402" t="s">
        <v>2465</v>
      </c>
      <c r="J4402">
        <v>50</v>
      </c>
      <c r="K4402">
        <v>155</v>
      </c>
      <c r="L4402">
        <v>98</v>
      </c>
      <c r="M4402">
        <v>620.20001220999995</v>
      </c>
      <c r="N4402" t="s">
        <v>87</v>
      </c>
      <c r="O4402" t="s">
        <v>86</v>
      </c>
      <c r="P4402">
        <v>131</v>
      </c>
      <c r="Q4402">
        <v>6</v>
      </c>
      <c r="R4402">
        <v>55</v>
      </c>
      <c r="S4402">
        <v>1029</v>
      </c>
      <c r="T4402">
        <v>-40</v>
      </c>
      <c r="U4402">
        <v>52</v>
      </c>
      <c r="V4402">
        <v>840</v>
      </c>
      <c r="W4402">
        <v>29</v>
      </c>
      <c r="X4402">
        <v>29</v>
      </c>
      <c r="Y4402">
        <v>1</v>
      </c>
      <c r="Z4402">
        <v>8</v>
      </c>
      <c r="AA4402">
        <v>26</v>
      </c>
      <c r="AB4402">
        <v>2</v>
      </c>
      <c r="AC4402">
        <v>2</v>
      </c>
      <c r="AD4402">
        <v>3.24099994</v>
      </c>
      <c r="AE4402">
        <v>5</v>
      </c>
      <c r="AF4402">
        <v>38</v>
      </c>
      <c r="AG4402">
        <v>3.2279999300000002</v>
      </c>
      <c r="AH4402">
        <v>4</v>
      </c>
      <c r="AI4402">
        <v>24</v>
      </c>
      <c r="AJ4402">
        <v>1</v>
      </c>
      <c r="AK4402">
        <v>18</v>
      </c>
      <c r="AL4402">
        <v>50</v>
      </c>
      <c r="AM4402" t="s">
        <v>43</v>
      </c>
      <c r="AN4402" t="str">
        <f>HYPERLINK("https://www.google.com/maps?q=10.7619133,79.75091553","Open Location")</f>
        <v>Open Location</v>
      </c>
    </row>
    <row r="4403" spans="1:40" x14ac:dyDescent="0.3">
      <c r="A4403" s="1">
        <v>46210.489699074074</v>
      </c>
      <c r="B4403" t="s">
        <v>40</v>
      </c>
      <c r="C4403" t="s">
        <v>41</v>
      </c>
      <c r="D4403" s="1">
        <v>46210.492615740739</v>
      </c>
      <c r="E4403" t="s">
        <v>42</v>
      </c>
      <c r="F4403" t="s">
        <v>83</v>
      </c>
      <c r="G4403">
        <v>37</v>
      </c>
      <c r="H4403">
        <v>33101</v>
      </c>
      <c r="I4403" t="s">
        <v>2466</v>
      </c>
      <c r="J4403">
        <v>50</v>
      </c>
      <c r="K4403">
        <v>84</v>
      </c>
      <c r="L4403">
        <v>98</v>
      </c>
      <c r="M4403">
        <v>622.70001220999995</v>
      </c>
      <c r="N4403" t="s">
        <v>87</v>
      </c>
      <c r="O4403" t="s">
        <v>86</v>
      </c>
      <c r="P4403">
        <v>131</v>
      </c>
      <c r="Q4403">
        <v>6</v>
      </c>
      <c r="R4403">
        <v>56</v>
      </c>
      <c r="S4403">
        <v>1021</v>
      </c>
      <c r="T4403">
        <v>-40</v>
      </c>
      <c r="U4403">
        <v>53</v>
      </c>
      <c r="V4403">
        <v>460</v>
      </c>
      <c r="W4403">
        <v>29</v>
      </c>
      <c r="X4403">
        <v>29</v>
      </c>
      <c r="Y4403">
        <v>1</v>
      </c>
      <c r="Z4403">
        <v>8</v>
      </c>
      <c r="AA4403">
        <v>26</v>
      </c>
      <c r="AB4403">
        <v>2</v>
      </c>
      <c r="AC4403">
        <v>2</v>
      </c>
      <c r="AD4403">
        <v>3.2539999499999999</v>
      </c>
      <c r="AE4403">
        <v>5</v>
      </c>
      <c r="AF4403">
        <v>38</v>
      </c>
      <c r="AG4403">
        <v>3.2460000500000001</v>
      </c>
      <c r="AH4403">
        <v>4</v>
      </c>
      <c r="AI4403">
        <v>17</v>
      </c>
      <c r="AJ4403" t="s">
        <v>43</v>
      </c>
      <c r="AK4403" t="s">
        <v>43</v>
      </c>
      <c r="AL4403" t="s">
        <v>43</v>
      </c>
      <c r="AM4403" t="s">
        <v>43</v>
      </c>
      <c r="AN4403" t="str">
        <f>HYPERLINK("https://www.google.com/maps?q=10.76212311,79.75202179","Open Location")</f>
        <v>Open Location</v>
      </c>
    </row>
    <row r="4404" spans="1:40" x14ac:dyDescent="0.3">
      <c r="A4404" s="1">
        <v>46210.489583333336</v>
      </c>
      <c r="B4404" t="s">
        <v>40</v>
      </c>
      <c r="C4404" t="s">
        <v>41</v>
      </c>
      <c r="D4404" s="1">
        <v>46210.49255787037</v>
      </c>
      <c r="E4404" t="s">
        <v>42</v>
      </c>
      <c r="F4404" t="s">
        <v>83</v>
      </c>
      <c r="G4404">
        <v>36</v>
      </c>
      <c r="H4404">
        <v>33101</v>
      </c>
      <c r="I4404" t="s">
        <v>43</v>
      </c>
      <c r="J4404">
        <v>50</v>
      </c>
      <c r="K4404">
        <v>112</v>
      </c>
      <c r="L4404">
        <v>98</v>
      </c>
      <c r="M4404">
        <v>621.90002441000001</v>
      </c>
      <c r="N4404" t="s">
        <v>87</v>
      </c>
      <c r="O4404" t="s">
        <v>86</v>
      </c>
      <c r="P4404">
        <v>131</v>
      </c>
      <c r="Q4404">
        <v>6</v>
      </c>
      <c r="R4404">
        <v>32</v>
      </c>
      <c r="S4404">
        <v>1034</v>
      </c>
      <c r="T4404">
        <v>-40</v>
      </c>
      <c r="U4404">
        <v>51</v>
      </c>
      <c r="V4404">
        <v>600</v>
      </c>
      <c r="W4404">
        <v>29</v>
      </c>
      <c r="X4404">
        <v>29</v>
      </c>
      <c r="Y4404">
        <v>1</v>
      </c>
      <c r="Z4404">
        <v>8</v>
      </c>
      <c r="AA4404">
        <v>26</v>
      </c>
      <c r="AB4404">
        <v>2</v>
      </c>
      <c r="AC4404">
        <v>2</v>
      </c>
      <c r="AD4404">
        <v>3.2490000700000001</v>
      </c>
      <c r="AE4404">
        <v>5</v>
      </c>
      <c r="AF4404">
        <v>38</v>
      </c>
      <c r="AG4404">
        <v>3.2390000799999998</v>
      </c>
      <c r="AH4404">
        <v>4</v>
      </c>
      <c r="AI4404">
        <v>17</v>
      </c>
      <c r="AJ4404">
        <v>1</v>
      </c>
      <c r="AK4404">
        <v>18</v>
      </c>
      <c r="AL4404">
        <v>50</v>
      </c>
      <c r="AM4404" t="s">
        <v>43</v>
      </c>
      <c r="AN4404" t="s">
        <v>43</v>
      </c>
    </row>
    <row r="4405" spans="1:40" x14ac:dyDescent="0.3">
      <c r="A4405" s="1">
        <v>46210.48946759259</v>
      </c>
      <c r="B4405" t="s">
        <v>40</v>
      </c>
      <c r="C4405" t="s">
        <v>41</v>
      </c>
      <c r="D4405" s="1">
        <v>46210.49255787037</v>
      </c>
      <c r="E4405" t="s">
        <v>42</v>
      </c>
      <c r="F4405" t="s">
        <v>83</v>
      </c>
      <c r="G4405">
        <v>40</v>
      </c>
      <c r="H4405">
        <v>33101</v>
      </c>
      <c r="I4405" t="s">
        <v>2467</v>
      </c>
      <c r="J4405">
        <v>50</v>
      </c>
      <c r="K4405">
        <v>-42</v>
      </c>
      <c r="L4405">
        <v>98</v>
      </c>
      <c r="M4405">
        <v>628.70001220999995</v>
      </c>
      <c r="N4405" t="s">
        <v>87</v>
      </c>
      <c r="O4405" t="s">
        <v>86</v>
      </c>
      <c r="P4405">
        <v>131</v>
      </c>
      <c r="Q4405">
        <v>6</v>
      </c>
      <c r="R4405">
        <v>44</v>
      </c>
      <c r="S4405">
        <v>1038</v>
      </c>
      <c r="T4405">
        <v>-40</v>
      </c>
      <c r="U4405">
        <v>52</v>
      </c>
      <c r="V4405">
        <v>-300</v>
      </c>
      <c r="W4405">
        <v>29</v>
      </c>
      <c r="X4405">
        <v>29</v>
      </c>
      <c r="Y4405">
        <v>1</v>
      </c>
      <c r="Z4405">
        <v>8</v>
      </c>
      <c r="AA4405">
        <v>26</v>
      </c>
      <c r="AB4405">
        <v>2</v>
      </c>
      <c r="AC4405">
        <v>2</v>
      </c>
      <c r="AD4405">
        <v>3.2760000200000001</v>
      </c>
      <c r="AE4405">
        <v>1</v>
      </c>
      <c r="AF4405">
        <v>26</v>
      </c>
      <c r="AG4405">
        <v>3.2730000000000001</v>
      </c>
      <c r="AH4405">
        <v>2</v>
      </c>
      <c r="AI4405">
        <v>6</v>
      </c>
      <c r="AJ4405">
        <v>1</v>
      </c>
      <c r="AK4405">
        <v>18</v>
      </c>
      <c r="AL4405">
        <v>50</v>
      </c>
      <c r="AM4405" t="s">
        <v>43</v>
      </c>
      <c r="AN4405" t="str">
        <f>HYPERLINK("https://www.google.com/maps?q=10.76235485,79.75312805","Open Location")</f>
        <v>Open Location</v>
      </c>
    </row>
    <row r="4406" spans="1:40" x14ac:dyDescent="0.3">
      <c r="A4406" s="1">
        <v>46210.489351851851</v>
      </c>
      <c r="B4406" t="s">
        <v>40</v>
      </c>
      <c r="C4406" t="s">
        <v>41</v>
      </c>
      <c r="D4406" s="1">
        <v>46210.492465277777</v>
      </c>
      <c r="E4406" t="s">
        <v>42</v>
      </c>
      <c r="F4406" t="s">
        <v>83</v>
      </c>
      <c r="G4406">
        <v>41</v>
      </c>
      <c r="H4406">
        <v>33101</v>
      </c>
      <c r="I4406" t="s">
        <v>2468</v>
      </c>
      <c r="J4406">
        <v>50</v>
      </c>
      <c r="K4406">
        <v>70</v>
      </c>
      <c r="L4406">
        <v>98</v>
      </c>
      <c r="M4406">
        <v>623.20001220999995</v>
      </c>
      <c r="N4406" t="s">
        <v>87</v>
      </c>
      <c r="O4406" t="s">
        <v>86</v>
      </c>
      <c r="P4406">
        <v>131</v>
      </c>
      <c r="Q4406">
        <v>6</v>
      </c>
      <c r="R4406">
        <v>42</v>
      </c>
      <c r="S4406">
        <v>1114</v>
      </c>
      <c r="T4406">
        <v>-40</v>
      </c>
      <c r="U4406">
        <v>53</v>
      </c>
      <c r="V4406">
        <v>340</v>
      </c>
      <c r="W4406">
        <v>29</v>
      </c>
      <c r="X4406">
        <v>29</v>
      </c>
      <c r="Y4406">
        <v>1</v>
      </c>
      <c r="Z4406">
        <v>8</v>
      </c>
      <c r="AA4406">
        <v>26</v>
      </c>
      <c r="AB4406">
        <v>2</v>
      </c>
      <c r="AC4406">
        <v>2</v>
      </c>
      <c r="AD4406">
        <v>3.2520000900000001</v>
      </c>
      <c r="AE4406">
        <v>1</v>
      </c>
      <c r="AF4406">
        <v>42</v>
      </c>
      <c r="AG4406">
        <v>3.2449998899999999</v>
      </c>
      <c r="AH4406">
        <v>4</v>
      </c>
      <c r="AI4406">
        <v>17</v>
      </c>
      <c r="AJ4406">
        <v>1</v>
      </c>
      <c r="AK4406">
        <v>18</v>
      </c>
      <c r="AL4406">
        <v>50</v>
      </c>
      <c r="AM4406" t="s">
        <v>43</v>
      </c>
      <c r="AN4406" t="str">
        <f>HYPERLINK("https://www.google.com/maps?q=10.76272964,79.75440216","Open Location")</f>
        <v>Open Location</v>
      </c>
    </row>
    <row r="4407" spans="1:40" x14ac:dyDescent="0.3">
      <c r="A4407" s="1">
        <v>46210.489236111112</v>
      </c>
      <c r="B4407" t="s">
        <v>40</v>
      </c>
      <c r="C4407" t="s">
        <v>41</v>
      </c>
      <c r="D4407" s="1">
        <v>46210.492129629631</v>
      </c>
      <c r="E4407" t="s">
        <v>42</v>
      </c>
      <c r="F4407" t="s">
        <v>83</v>
      </c>
      <c r="G4407">
        <v>40</v>
      </c>
      <c r="H4407">
        <v>33101</v>
      </c>
      <c r="I4407" t="s">
        <v>43</v>
      </c>
      <c r="J4407">
        <v>50</v>
      </c>
      <c r="K4407">
        <v>132</v>
      </c>
      <c r="L4407">
        <v>98</v>
      </c>
      <c r="M4407">
        <v>619.20001220999995</v>
      </c>
      <c r="N4407" t="s">
        <v>87</v>
      </c>
      <c r="O4407" t="s">
        <v>86</v>
      </c>
      <c r="P4407">
        <v>130</v>
      </c>
      <c r="Q4407">
        <v>6</v>
      </c>
      <c r="R4407">
        <v>110</v>
      </c>
      <c r="S4407">
        <v>1124</v>
      </c>
      <c r="T4407">
        <v>-40</v>
      </c>
      <c r="U4407">
        <v>52</v>
      </c>
      <c r="V4407">
        <v>735</v>
      </c>
      <c r="W4407">
        <v>29</v>
      </c>
      <c r="X4407">
        <v>29</v>
      </c>
      <c r="Y4407">
        <v>1</v>
      </c>
      <c r="Z4407">
        <v>8</v>
      </c>
      <c r="AA4407">
        <v>26</v>
      </c>
      <c r="AB4407">
        <v>2</v>
      </c>
      <c r="AC4407">
        <v>2</v>
      </c>
      <c r="AD4407">
        <v>3.2449998899999999</v>
      </c>
      <c r="AE4407">
        <v>5</v>
      </c>
      <c r="AF4407">
        <v>38</v>
      </c>
      <c r="AG4407">
        <v>3.2339999700000002</v>
      </c>
      <c r="AH4407">
        <v>6</v>
      </c>
      <c r="AI4407">
        <v>24</v>
      </c>
      <c r="AJ4407">
        <v>1</v>
      </c>
      <c r="AK4407">
        <v>17</v>
      </c>
      <c r="AL4407">
        <v>50</v>
      </c>
      <c r="AM4407" t="s">
        <v>43</v>
      </c>
      <c r="AN4407" t="s">
        <v>43</v>
      </c>
    </row>
    <row r="4408" spans="1:40" x14ac:dyDescent="0.3">
      <c r="A4408" s="1">
        <v>46210.489120370374</v>
      </c>
      <c r="B4408" t="s">
        <v>40</v>
      </c>
      <c r="C4408" t="s">
        <v>41</v>
      </c>
      <c r="D4408" s="1">
        <v>46210.492013888892</v>
      </c>
      <c r="E4408" t="s">
        <v>42</v>
      </c>
      <c r="F4408" t="s">
        <v>83</v>
      </c>
      <c r="G4408">
        <v>37</v>
      </c>
      <c r="H4408" t="s">
        <v>43</v>
      </c>
      <c r="I4408" t="s">
        <v>2469</v>
      </c>
      <c r="J4408">
        <v>51</v>
      </c>
      <c r="K4408">
        <v>131</v>
      </c>
      <c r="L4408">
        <v>98</v>
      </c>
      <c r="M4408">
        <v>619.5</v>
      </c>
      <c r="N4408" t="s">
        <v>87</v>
      </c>
      <c r="O4408" t="s">
        <v>86</v>
      </c>
      <c r="P4408">
        <v>130</v>
      </c>
      <c r="Q4408">
        <v>5</v>
      </c>
      <c r="R4408">
        <v>88</v>
      </c>
      <c r="S4408">
        <v>1774</v>
      </c>
      <c r="T4408">
        <v>-40</v>
      </c>
      <c r="U4408">
        <v>52</v>
      </c>
      <c r="V4408">
        <v>425</v>
      </c>
      <c r="W4408">
        <v>29</v>
      </c>
      <c r="X4408">
        <v>29</v>
      </c>
      <c r="Y4408">
        <v>1</v>
      </c>
      <c r="Z4408">
        <v>8</v>
      </c>
      <c r="AA4408">
        <v>26</v>
      </c>
      <c r="AB4408">
        <v>2</v>
      </c>
      <c r="AC4408">
        <v>2</v>
      </c>
      <c r="AD4408">
        <v>3.2420000999999998</v>
      </c>
      <c r="AE4408">
        <v>5</v>
      </c>
      <c r="AF4408">
        <v>38</v>
      </c>
      <c r="AG4408">
        <v>3.2309999500000002</v>
      </c>
      <c r="AH4408">
        <v>4</v>
      </c>
      <c r="AI4408">
        <v>17</v>
      </c>
      <c r="AJ4408">
        <v>1</v>
      </c>
      <c r="AK4408">
        <v>17</v>
      </c>
      <c r="AL4408">
        <v>50</v>
      </c>
      <c r="AM4408" t="s">
        <v>43</v>
      </c>
      <c r="AN4408" t="str">
        <f>HYPERLINK("https://www.google.com/maps?q=10.76347542,79.75667572","Open Location")</f>
        <v>Open Location</v>
      </c>
    </row>
    <row r="4409" spans="1:40" x14ac:dyDescent="0.3">
      <c r="A4409" s="1">
        <v>46210.489004629628</v>
      </c>
      <c r="B4409" t="s">
        <v>40</v>
      </c>
      <c r="C4409" t="s">
        <v>41</v>
      </c>
      <c r="D4409" s="1">
        <v>46210.491956018515</v>
      </c>
      <c r="E4409" t="s">
        <v>42</v>
      </c>
      <c r="F4409" t="s">
        <v>83</v>
      </c>
      <c r="G4409">
        <v>33</v>
      </c>
      <c r="H4409">
        <v>33100</v>
      </c>
      <c r="I4409" t="s">
        <v>2470</v>
      </c>
      <c r="J4409">
        <v>51</v>
      </c>
      <c r="K4409">
        <v>128</v>
      </c>
      <c r="L4409">
        <v>98</v>
      </c>
      <c r="M4409">
        <v>620.59997558999999</v>
      </c>
      <c r="N4409" t="s">
        <v>87</v>
      </c>
      <c r="O4409" t="s">
        <v>86</v>
      </c>
      <c r="P4409">
        <v>130</v>
      </c>
      <c r="Q4409">
        <v>5</v>
      </c>
      <c r="R4409">
        <v>0</v>
      </c>
      <c r="S4409">
        <v>1620</v>
      </c>
      <c r="T4409">
        <v>-40</v>
      </c>
      <c r="U4409">
        <v>50</v>
      </c>
      <c r="V4409">
        <v>420</v>
      </c>
      <c r="W4409" t="s">
        <v>43</v>
      </c>
      <c r="X4409" t="s">
        <v>43</v>
      </c>
      <c r="Y4409" t="s">
        <v>43</v>
      </c>
      <c r="Z4409" t="s">
        <v>43</v>
      </c>
      <c r="AA4409" t="s">
        <v>43</v>
      </c>
      <c r="AB4409" t="s">
        <v>43</v>
      </c>
      <c r="AC4409" t="s">
        <v>43</v>
      </c>
      <c r="AD4409">
        <v>3.2400000100000002</v>
      </c>
      <c r="AE4409">
        <v>5</v>
      </c>
      <c r="AF4409">
        <v>38</v>
      </c>
      <c r="AG4409">
        <v>3.2279999300000002</v>
      </c>
      <c r="AH4409">
        <v>6</v>
      </c>
      <c r="AI4409">
        <v>24</v>
      </c>
      <c r="AJ4409" t="s">
        <v>43</v>
      </c>
      <c r="AK4409" t="s">
        <v>43</v>
      </c>
      <c r="AL4409">
        <v>50</v>
      </c>
      <c r="AM4409" t="s">
        <v>43</v>
      </c>
      <c r="AN4409" t="str">
        <f>HYPERLINK("https://www.google.com/maps?q=10.76377201,79.75769043","Open Location")</f>
        <v>Open Location</v>
      </c>
    </row>
    <row r="4410" spans="1:40" x14ac:dyDescent="0.3">
      <c r="A4410" s="1">
        <v>46210.488888888889</v>
      </c>
      <c r="B4410" t="s">
        <v>40</v>
      </c>
      <c r="C4410" t="s">
        <v>41</v>
      </c>
      <c r="D4410" s="1">
        <v>46210.491574074076</v>
      </c>
      <c r="E4410" t="s">
        <v>42</v>
      </c>
      <c r="F4410" t="s">
        <v>83</v>
      </c>
      <c r="G4410">
        <v>36</v>
      </c>
      <c r="H4410">
        <v>33100</v>
      </c>
      <c r="I4410" t="s">
        <v>43</v>
      </c>
      <c r="J4410">
        <v>51</v>
      </c>
      <c r="K4410">
        <v>26</v>
      </c>
      <c r="L4410">
        <v>98</v>
      </c>
      <c r="M4410">
        <v>625.20001220999995</v>
      </c>
      <c r="N4410" t="s">
        <v>87</v>
      </c>
      <c r="O4410" t="s">
        <v>86</v>
      </c>
      <c r="P4410">
        <v>131</v>
      </c>
      <c r="Q4410">
        <v>6</v>
      </c>
      <c r="R4410">
        <v>80</v>
      </c>
      <c r="S4410">
        <v>970</v>
      </c>
      <c r="T4410">
        <v>-40</v>
      </c>
      <c r="U4410">
        <v>53</v>
      </c>
      <c r="V4410">
        <v>80</v>
      </c>
      <c r="W4410">
        <v>29</v>
      </c>
      <c r="X4410">
        <v>29</v>
      </c>
      <c r="Y4410">
        <v>1</v>
      </c>
      <c r="Z4410">
        <v>8</v>
      </c>
      <c r="AA4410">
        <v>26</v>
      </c>
      <c r="AB4410">
        <v>2</v>
      </c>
      <c r="AC4410">
        <v>2</v>
      </c>
      <c r="AD4410">
        <v>3.2569999699999999</v>
      </c>
      <c r="AE4410">
        <v>1</v>
      </c>
      <c r="AF4410">
        <v>28</v>
      </c>
      <c r="AG4410">
        <v>3.2509999299999999</v>
      </c>
      <c r="AH4410">
        <v>4</v>
      </c>
      <c r="AI4410">
        <v>17</v>
      </c>
      <c r="AJ4410">
        <v>1</v>
      </c>
      <c r="AK4410">
        <v>18</v>
      </c>
      <c r="AL4410">
        <v>50</v>
      </c>
      <c r="AM4410" t="s">
        <v>43</v>
      </c>
      <c r="AN4410" t="s">
        <v>43</v>
      </c>
    </row>
    <row r="4411" spans="1:40" x14ac:dyDescent="0.3">
      <c r="A4411" s="1">
        <v>46210.48877314815</v>
      </c>
      <c r="B4411" t="s">
        <v>40</v>
      </c>
      <c r="C4411" t="s">
        <v>41</v>
      </c>
      <c r="D4411" s="1">
        <v>46210.491608796299</v>
      </c>
      <c r="E4411" t="s">
        <v>42</v>
      </c>
      <c r="F4411" t="s">
        <v>83</v>
      </c>
      <c r="G4411">
        <v>37</v>
      </c>
      <c r="H4411">
        <v>33100</v>
      </c>
      <c r="I4411" t="s">
        <v>2471</v>
      </c>
      <c r="J4411">
        <v>51</v>
      </c>
      <c r="K4411">
        <v>113</v>
      </c>
      <c r="L4411">
        <v>98</v>
      </c>
      <c r="M4411">
        <v>620.79998779000005</v>
      </c>
      <c r="N4411" t="s">
        <v>87</v>
      </c>
      <c r="O4411" t="s">
        <v>86</v>
      </c>
      <c r="P4411">
        <v>131</v>
      </c>
      <c r="Q4411">
        <v>6</v>
      </c>
      <c r="R4411">
        <v>59</v>
      </c>
      <c r="S4411">
        <v>1020</v>
      </c>
      <c r="T4411">
        <v>-40</v>
      </c>
      <c r="U4411">
        <v>53</v>
      </c>
      <c r="V4411">
        <v>560</v>
      </c>
      <c r="W4411">
        <v>29</v>
      </c>
      <c r="X4411">
        <v>29</v>
      </c>
      <c r="Y4411">
        <v>1</v>
      </c>
      <c r="Z4411">
        <v>8</v>
      </c>
      <c r="AA4411">
        <v>26</v>
      </c>
      <c r="AB4411">
        <v>2</v>
      </c>
      <c r="AC4411">
        <v>2</v>
      </c>
      <c r="AD4411">
        <v>3.2400000100000002</v>
      </c>
      <c r="AE4411">
        <v>5</v>
      </c>
      <c r="AF4411">
        <v>38</v>
      </c>
      <c r="AG4411">
        <v>3.2279999300000002</v>
      </c>
      <c r="AH4411">
        <v>4</v>
      </c>
      <c r="AI4411">
        <v>17</v>
      </c>
      <c r="AJ4411">
        <v>1</v>
      </c>
      <c r="AK4411">
        <v>18</v>
      </c>
      <c r="AL4411">
        <v>50</v>
      </c>
      <c r="AM4411" t="s">
        <v>43</v>
      </c>
      <c r="AN4411" t="str">
        <f>HYPERLINK("https://www.google.com/maps?q=10.76398373,79.7587738","Open Location")</f>
        <v>Open Location</v>
      </c>
    </row>
    <row r="4412" spans="1:40" x14ac:dyDescent="0.3">
      <c r="A4412" s="1">
        <v>46210.488657407404</v>
      </c>
      <c r="B4412" t="s">
        <v>40</v>
      </c>
      <c r="C4412" t="s">
        <v>41</v>
      </c>
      <c r="D4412" s="1">
        <v>46210.491608796299</v>
      </c>
      <c r="E4412" t="s">
        <v>42</v>
      </c>
      <c r="F4412" t="s">
        <v>83</v>
      </c>
      <c r="G4412">
        <v>36</v>
      </c>
      <c r="H4412">
        <v>33100</v>
      </c>
      <c r="I4412" t="s">
        <v>2472</v>
      </c>
      <c r="J4412">
        <v>51</v>
      </c>
      <c r="K4412">
        <v>151</v>
      </c>
      <c r="L4412">
        <v>98</v>
      </c>
      <c r="M4412">
        <v>620.59997558999999</v>
      </c>
      <c r="N4412" t="s">
        <v>87</v>
      </c>
      <c r="O4412" t="s">
        <v>86</v>
      </c>
      <c r="P4412">
        <v>131</v>
      </c>
      <c r="Q4412">
        <v>6</v>
      </c>
      <c r="R4412">
        <v>42</v>
      </c>
      <c r="S4412">
        <v>1020</v>
      </c>
      <c r="T4412">
        <v>-40</v>
      </c>
      <c r="U4412">
        <v>51</v>
      </c>
      <c r="V4412">
        <v>860</v>
      </c>
      <c r="W4412">
        <v>29</v>
      </c>
      <c r="X4412">
        <v>29</v>
      </c>
      <c r="Y4412">
        <v>1</v>
      </c>
      <c r="Z4412">
        <v>8</v>
      </c>
      <c r="AA4412">
        <v>26</v>
      </c>
      <c r="AB4412">
        <v>2</v>
      </c>
      <c r="AC4412">
        <v>2</v>
      </c>
      <c r="AD4412">
        <v>3.24099994</v>
      </c>
      <c r="AE4412">
        <v>5</v>
      </c>
      <c r="AF4412">
        <v>38</v>
      </c>
      <c r="AG4412">
        <v>3.2279999300000002</v>
      </c>
      <c r="AH4412">
        <v>4</v>
      </c>
      <c r="AI4412">
        <v>24</v>
      </c>
      <c r="AJ4412">
        <v>1</v>
      </c>
      <c r="AK4412">
        <v>17</v>
      </c>
      <c r="AL4412">
        <v>50</v>
      </c>
      <c r="AM4412" t="s">
        <v>43</v>
      </c>
      <c r="AN4412" t="str">
        <f>HYPERLINK("https://www.google.com/maps?q=10.76413441,79.75988007","Open Location")</f>
        <v>Open Location</v>
      </c>
    </row>
    <row r="4413" spans="1:40" x14ac:dyDescent="0.3">
      <c r="A4413" s="1">
        <v>46210.488541666666</v>
      </c>
      <c r="B4413" t="s">
        <v>40</v>
      </c>
      <c r="C4413" t="s">
        <v>41</v>
      </c>
      <c r="D4413" s="1">
        <v>46210.491307870368</v>
      </c>
      <c r="E4413" t="s">
        <v>42</v>
      </c>
      <c r="F4413" t="s">
        <v>83</v>
      </c>
      <c r="G4413">
        <v>37</v>
      </c>
      <c r="H4413">
        <v>33100</v>
      </c>
      <c r="I4413" t="s">
        <v>43</v>
      </c>
      <c r="J4413">
        <v>51</v>
      </c>
      <c r="K4413">
        <v>76</v>
      </c>
      <c r="L4413">
        <v>98</v>
      </c>
      <c r="M4413">
        <v>623.5</v>
      </c>
      <c r="N4413" t="s">
        <v>87</v>
      </c>
      <c r="O4413" t="s">
        <v>86</v>
      </c>
      <c r="P4413">
        <v>131</v>
      </c>
      <c r="Q4413">
        <v>6</v>
      </c>
      <c r="R4413">
        <v>42</v>
      </c>
      <c r="S4413">
        <v>1011</v>
      </c>
      <c r="T4413">
        <v>-40</v>
      </c>
      <c r="U4413">
        <v>51</v>
      </c>
      <c r="V4413">
        <v>400</v>
      </c>
      <c r="W4413">
        <v>29</v>
      </c>
      <c r="X4413">
        <v>29</v>
      </c>
      <c r="Y4413">
        <v>1</v>
      </c>
      <c r="Z4413">
        <v>8</v>
      </c>
      <c r="AA4413">
        <v>26</v>
      </c>
      <c r="AB4413">
        <v>2</v>
      </c>
      <c r="AC4413">
        <v>2</v>
      </c>
      <c r="AD4413">
        <v>3.25300002</v>
      </c>
      <c r="AE4413">
        <v>1</v>
      </c>
      <c r="AF4413">
        <v>38</v>
      </c>
      <c r="AG4413">
        <v>3.2460000500000001</v>
      </c>
      <c r="AH4413">
        <v>4</v>
      </c>
      <c r="AI4413">
        <v>17</v>
      </c>
      <c r="AJ4413">
        <v>1</v>
      </c>
      <c r="AK4413">
        <v>18</v>
      </c>
      <c r="AL4413">
        <v>50</v>
      </c>
      <c r="AM4413" t="s">
        <v>43</v>
      </c>
      <c r="AN4413" t="s">
        <v>43</v>
      </c>
    </row>
    <row r="4414" spans="1:40" x14ac:dyDescent="0.3">
      <c r="A4414" s="1">
        <v>46210.488425925927</v>
      </c>
      <c r="B4414" t="s">
        <v>40</v>
      </c>
      <c r="C4414" t="s">
        <v>41</v>
      </c>
      <c r="D4414" s="1">
        <v>46210.491412037038</v>
      </c>
      <c r="E4414" t="s">
        <v>42</v>
      </c>
      <c r="F4414" t="s">
        <v>83</v>
      </c>
      <c r="G4414">
        <v>37</v>
      </c>
      <c r="H4414" t="s">
        <v>43</v>
      </c>
      <c r="I4414" t="s">
        <v>2473</v>
      </c>
      <c r="J4414">
        <v>51</v>
      </c>
      <c r="K4414">
        <v>66</v>
      </c>
      <c r="L4414">
        <v>98</v>
      </c>
      <c r="M4414">
        <v>623.29998779000005</v>
      </c>
      <c r="N4414" t="s">
        <v>87</v>
      </c>
      <c r="O4414" t="s">
        <v>86</v>
      </c>
      <c r="P4414">
        <v>131</v>
      </c>
      <c r="Q4414">
        <v>6</v>
      </c>
      <c r="R4414">
        <v>48</v>
      </c>
      <c r="S4414">
        <v>1033</v>
      </c>
      <c r="T4414">
        <v>-40</v>
      </c>
      <c r="U4414">
        <v>52</v>
      </c>
      <c r="V4414">
        <v>340</v>
      </c>
      <c r="W4414">
        <v>29</v>
      </c>
      <c r="X4414">
        <v>29</v>
      </c>
      <c r="Y4414">
        <v>1</v>
      </c>
      <c r="Z4414">
        <v>8</v>
      </c>
      <c r="AA4414">
        <v>26</v>
      </c>
      <c r="AB4414">
        <v>2</v>
      </c>
      <c r="AC4414">
        <v>2</v>
      </c>
      <c r="AD4414">
        <v>3.2539999499999999</v>
      </c>
      <c r="AE4414">
        <v>1</v>
      </c>
      <c r="AF4414">
        <v>44</v>
      </c>
      <c r="AG4414">
        <v>3.24699998</v>
      </c>
      <c r="AH4414">
        <v>4</v>
      </c>
      <c r="AI4414">
        <v>17</v>
      </c>
      <c r="AJ4414">
        <v>1</v>
      </c>
      <c r="AK4414">
        <v>17</v>
      </c>
      <c r="AL4414">
        <v>50</v>
      </c>
      <c r="AM4414" t="s">
        <v>43</v>
      </c>
      <c r="AN4414" t="str">
        <f>HYPERLINK("https://www.google.com/maps?q=10.76432896,79.76222229","Open Location")</f>
        <v>Open Location</v>
      </c>
    </row>
    <row r="4415" spans="1:40" x14ac:dyDescent="0.3">
      <c r="A4415" s="1">
        <v>46210.488310185188</v>
      </c>
      <c r="B4415" t="s">
        <v>40</v>
      </c>
      <c r="C4415" t="s">
        <v>41</v>
      </c>
      <c r="D4415" s="1">
        <v>46210.491307870368</v>
      </c>
      <c r="E4415" t="s">
        <v>42</v>
      </c>
      <c r="F4415" t="s">
        <v>83</v>
      </c>
      <c r="G4415">
        <v>37</v>
      </c>
      <c r="H4415">
        <v>33100</v>
      </c>
      <c r="I4415" t="s">
        <v>43</v>
      </c>
      <c r="J4415">
        <v>51</v>
      </c>
      <c r="K4415">
        <v>108</v>
      </c>
      <c r="L4415">
        <v>98</v>
      </c>
      <c r="M4415">
        <v>622.5</v>
      </c>
      <c r="N4415" t="s">
        <v>87</v>
      </c>
      <c r="O4415" t="s">
        <v>86</v>
      </c>
      <c r="P4415">
        <v>131</v>
      </c>
      <c r="Q4415">
        <v>6</v>
      </c>
      <c r="R4415">
        <v>64</v>
      </c>
      <c r="S4415">
        <v>1047</v>
      </c>
      <c r="T4415">
        <v>-40</v>
      </c>
      <c r="U4415">
        <v>51</v>
      </c>
      <c r="V4415">
        <v>520</v>
      </c>
      <c r="W4415">
        <v>29</v>
      </c>
      <c r="X4415">
        <v>29</v>
      </c>
      <c r="Y4415">
        <v>1</v>
      </c>
      <c r="Z4415">
        <v>8</v>
      </c>
      <c r="AA4415">
        <v>26</v>
      </c>
      <c r="AB4415">
        <v>2</v>
      </c>
      <c r="AC4415">
        <v>4</v>
      </c>
      <c r="AD4415">
        <v>3.24399996</v>
      </c>
      <c r="AE4415">
        <v>5</v>
      </c>
      <c r="AF4415">
        <v>38</v>
      </c>
      <c r="AG4415">
        <v>3.2330000399999999</v>
      </c>
      <c r="AH4415">
        <v>4</v>
      </c>
      <c r="AI4415">
        <v>17</v>
      </c>
      <c r="AJ4415" t="s">
        <v>43</v>
      </c>
      <c r="AK4415" t="s">
        <v>43</v>
      </c>
      <c r="AL4415" t="s">
        <v>43</v>
      </c>
      <c r="AM4415" t="s">
        <v>43</v>
      </c>
      <c r="AN4415" t="s">
        <v>43</v>
      </c>
    </row>
    <row r="4416" spans="1:40" x14ac:dyDescent="0.3">
      <c r="A4416" s="1">
        <v>46210.488194444442</v>
      </c>
      <c r="B4416" t="s">
        <v>40</v>
      </c>
      <c r="C4416" t="s">
        <v>41</v>
      </c>
      <c r="D4416" s="1">
        <v>46210.490902777776</v>
      </c>
      <c r="E4416" t="s">
        <v>42</v>
      </c>
      <c r="F4416" t="s">
        <v>83</v>
      </c>
      <c r="G4416">
        <v>37</v>
      </c>
      <c r="H4416">
        <v>33100</v>
      </c>
      <c r="I4416" t="s">
        <v>2474</v>
      </c>
      <c r="J4416">
        <v>51</v>
      </c>
      <c r="K4416">
        <v>91</v>
      </c>
      <c r="L4416">
        <v>98</v>
      </c>
      <c r="M4416">
        <v>622.5</v>
      </c>
      <c r="N4416" t="s">
        <v>87</v>
      </c>
      <c r="O4416" t="s">
        <v>86</v>
      </c>
      <c r="P4416">
        <v>131</v>
      </c>
      <c r="Q4416">
        <v>6</v>
      </c>
      <c r="R4416">
        <v>53</v>
      </c>
      <c r="S4416">
        <v>1028</v>
      </c>
      <c r="T4416">
        <v>-40</v>
      </c>
      <c r="U4416">
        <v>51</v>
      </c>
      <c r="V4416">
        <v>500</v>
      </c>
      <c r="W4416">
        <v>29</v>
      </c>
      <c r="X4416">
        <v>29</v>
      </c>
      <c r="Y4416">
        <v>1</v>
      </c>
      <c r="Z4416">
        <v>8</v>
      </c>
      <c r="AA4416">
        <v>26</v>
      </c>
      <c r="AB4416">
        <v>2</v>
      </c>
      <c r="AC4416">
        <v>4</v>
      </c>
      <c r="AD4416">
        <v>3.2539999499999999</v>
      </c>
      <c r="AE4416">
        <v>5</v>
      </c>
      <c r="AF4416">
        <v>38</v>
      </c>
      <c r="AG4416">
        <v>3.2460000500000001</v>
      </c>
      <c r="AH4416">
        <v>4</v>
      </c>
      <c r="AI4416">
        <v>17</v>
      </c>
      <c r="AJ4416">
        <v>1</v>
      </c>
      <c r="AK4416">
        <v>17</v>
      </c>
      <c r="AL4416">
        <v>50</v>
      </c>
      <c r="AM4416" t="s">
        <v>43</v>
      </c>
      <c r="AN4416" t="str">
        <f>HYPERLINK("https://www.google.com/maps?q=10.7644062,79.76335144","Open Location")</f>
        <v>Open Location</v>
      </c>
    </row>
    <row r="4417" spans="1:40" x14ac:dyDescent="0.3">
      <c r="A4417" s="1">
        <v>46210.488078703704</v>
      </c>
      <c r="B4417" t="s">
        <v>40</v>
      </c>
      <c r="C4417" t="s">
        <v>41</v>
      </c>
      <c r="D4417" s="1">
        <v>46210.490717592591</v>
      </c>
      <c r="E4417" t="s">
        <v>42</v>
      </c>
      <c r="F4417" t="s">
        <v>83</v>
      </c>
      <c r="G4417">
        <v>38</v>
      </c>
      <c r="H4417">
        <v>33100</v>
      </c>
      <c r="I4417" t="s">
        <v>2475</v>
      </c>
      <c r="J4417">
        <v>51</v>
      </c>
      <c r="K4417">
        <v>66</v>
      </c>
      <c r="L4417">
        <v>98</v>
      </c>
      <c r="M4417">
        <v>623.59997558999999</v>
      </c>
      <c r="N4417" t="s">
        <v>87</v>
      </c>
      <c r="O4417" t="s">
        <v>86</v>
      </c>
      <c r="P4417">
        <v>131</v>
      </c>
      <c r="Q4417">
        <v>6</v>
      </c>
      <c r="R4417">
        <v>39</v>
      </c>
      <c r="S4417">
        <v>1040</v>
      </c>
      <c r="T4417">
        <v>-40</v>
      </c>
      <c r="U4417">
        <v>51</v>
      </c>
      <c r="V4417">
        <v>340</v>
      </c>
      <c r="W4417">
        <v>29</v>
      </c>
      <c r="X4417">
        <v>29</v>
      </c>
      <c r="Y4417">
        <v>1</v>
      </c>
      <c r="Z4417">
        <v>8</v>
      </c>
      <c r="AA4417">
        <v>26</v>
      </c>
      <c r="AB4417">
        <v>2</v>
      </c>
      <c r="AC4417">
        <v>4</v>
      </c>
      <c r="AD4417">
        <v>3.2539999499999999</v>
      </c>
      <c r="AE4417">
        <v>1</v>
      </c>
      <c r="AF4417">
        <v>44</v>
      </c>
      <c r="AG4417">
        <v>3.24699998</v>
      </c>
      <c r="AH4417">
        <v>4</v>
      </c>
      <c r="AI4417">
        <v>17</v>
      </c>
      <c r="AJ4417">
        <v>1</v>
      </c>
      <c r="AK4417">
        <v>17</v>
      </c>
      <c r="AL4417">
        <v>50</v>
      </c>
      <c r="AM4417" t="s">
        <v>43</v>
      </c>
      <c r="AN4417" t="str">
        <f>HYPERLINK("https://www.google.com/maps?q=10.76450539,79.76449585","Open Location")</f>
        <v>Open Location</v>
      </c>
    </row>
    <row r="4418" spans="1:40" x14ac:dyDescent="0.3">
      <c r="A4418" s="1">
        <v>46210.487962962965</v>
      </c>
      <c r="B4418" t="s">
        <v>40</v>
      </c>
      <c r="C4418" t="s">
        <v>41</v>
      </c>
      <c r="D4418" s="1">
        <v>46210.490729166668</v>
      </c>
      <c r="E4418" t="s">
        <v>42</v>
      </c>
      <c r="F4418" t="s">
        <v>83</v>
      </c>
      <c r="G4418">
        <v>39</v>
      </c>
      <c r="H4418">
        <v>33099</v>
      </c>
      <c r="I4418" t="s">
        <v>2476</v>
      </c>
      <c r="J4418">
        <v>51</v>
      </c>
      <c r="K4418">
        <v>46</v>
      </c>
      <c r="L4418">
        <v>98</v>
      </c>
      <c r="M4418">
        <v>624.09997558999999</v>
      </c>
      <c r="N4418" t="s">
        <v>87</v>
      </c>
      <c r="O4418" t="s">
        <v>86</v>
      </c>
      <c r="P4418">
        <v>131</v>
      </c>
      <c r="Q4418">
        <v>6</v>
      </c>
      <c r="R4418">
        <v>24</v>
      </c>
      <c r="S4418">
        <v>1065</v>
      </c>
      <c r="T4418">
        <v>-40</v>
      </c>
      <c r="U4418">
        <v>50</v>
      </c>
      <c r="V4418">
        <v>233</v>
      </c>
      <c r="W4418">
        <v>29</v>
      </c>
      <c r="X4418">
        <v>29</v>
      </c>
      <c r="Y4418">
        <v>1</v>
      </c>
      <c r="Z4418">
        <v>8</v>
      </c>
      <c r="AA4418">
        <v>26</v>
      </c>
      <c r="AB4418">
        <v>2</v>
      </c>
      <c r="AC4418">
        <v>4</v>
      </c>
      <c r="AD4418">
        <v>3.25300002</v>
      </c>
      <c r="AE4418">
        <v>1</v>
      </c>
      <c r="AF4418">
        <v>44</v>
      </c>
      <c r="AG4418">
        <v>3.2460000500000001</v>
      </c>
      <c r="AH4418">
        <v>4</v>
      </c>
      <c r="AI4418">
        <v>17</v>
      </c>
      <c r="AJ4418">
        <v>1</v>
      </c>
      <c r="AK4418">
        <v>18</v>
      </c>
      <c r="AL4418">
        <v>50</v>
      </c>
      <c r="AM4418" t="s">
        <v>43</v>
      </c>
      <c r="AN4418" t="str">
        <f>HYPERLINK("https://www.google.com/maps?q=10.76457214,79.76566315","Open Location")</f>
        <v>Open Location</v>
      </c>
    </row>
    <row r="4419" spans="1:40" x14ac:dyDescent="0.3">
      <c r="A4419" s="1">
        <v>46210.487847222219</v>
      </c>
      <c r="B4419" t="s">
        <v>40</v>
      </c>
      <c r="C4419" t="s">
        <v>41</v>
      </c>
      <c r="D4419" s="1">
        <v>46210.490937499999</v>
      </c>
      <c r="E4419" t="s">
        <v>42</v>
      </c>
      <c r="F4419" t="s">
        <v>83</v>
      </c>
      <c r="G4419">
        <v>40</v>
      </c>
      <c r="H4419">
        <v>33099</v>
      </c>
      <c r="I4419" t="s">
        <v>2477</v>
      </c>
      <c r="J4419">
        <v>51</v>
      </c>
      <c r="K4419">
        <v>49</v>
      </c>
      <c r="L4419">
        <v>98</v>
      </c>
      <c r="M4419">
        <v>624.29998779000005</v>
      </c>
      <c r="N4419" t="s">
        <v>87</v>
      </c>
      <c r="O4419" t="s">
        <v>86</v>
      </c>
      <c r="P4419">
        <v>130</v>
      </c>
      <c r="Q4419">
        <v>6</v>
      </c>
      <c r="R4419">
        <v>53</v>
      </c>
      <c r="S4419">
        <v>1099</v>
      </c>
      <c r="T4419">
        <v>-40</v>
      </c>
      <c r="U4419">
        <v>51</v>
      </c>
      <c r="V4419">
        <v>240</v>
      </c>
      <c r="W4419">
        <v>29</v>
      </c>
      <c r="X4419">
        <v>29</v>
      </c>
      <c r="Y4419">
        <v>1</v>
      </c>
      <c r="Z4419">
        <v>8</v>
      </c>
      <c r="AA4419">
        <v>26</v>
      </c>
      <c r="AB4419">
        <v>2</v>
      </c>
      <c r="AC4419">
        <v>4</v>
      </c>
      <c r="AD4419">
        <v>3.2550001100000001</v>
      </c>
      <c r="AE4419">
        <v>1</v>
      </c>
      <c r="AF4419">
        <v>38</v>
      </c>
      <c r="AG4419">
        <v>3.2490000700000001</v>
      </c>
      <c r="AH4419">
        <v>4</v>
      </c>
      <c r="AI4419">
        <v>17</v>
      </c>
      <c r="AJ4419">
        <v>1</v>
      </c>
      <c r="AK4419">
        <v>17</v>
      </c>
      <c r="AL4419">
        <v>50</v>
      </c>
      <c r="AM4419" t="s">
        <v>43</v>
      </c>
      <c r="AN4419" t="str">
        <f>HYPERLINK("https://www.google.com/maps?q=10.76464844,79.76687622","Open Location")</f>
        <v>Open Location</v>
      </c>
    </row>
    <row r="4420" spans="1:40" x14ac:dyDescent="0.3">
      <c r="A4420" s="1">
        <v>46210.48773148148</v>
      </c>
      <c r="B4420" t="s">
        <v>40</v>
      </c>
      <c r="C4420" t="s">
        <v>41</v>
      </c>
      <c r="D4420" s="1">
        <v>46210.490729166668</v>
      </c>
      <c r="E4420" t="s">
        <v>42</v>
      </c>
      <c r="F4420" t="s">
        <v>83</v>
      </c>
      <c r="G4420">
        <v>38</v>
      </c>
      <c r="H4420" t="s">
        <v>43</v>
      </c>
      <c r="I4420" t="s">
        <v>2478</v>
      </c>
      <c r="J4420">
        <v>51</v>
      </c>
      <c r="K4420">
        <v>119</v>
      </c>
      <c r="L4420">
        <v>98</v>
      </c>
      <c r="M4420">
        <v>621.09997558999999</v>
      </c>
      <c r="N4420" t="s">
        <v>87</v>
      </c>
      <c r="O4420" t="s">
        <v>86</v>
      </c>
      <c r="P4420">
        <v>130</v>
      </c>
      <c r="Q4420">
        <v>5</v>
      </c>
      <c r="R4420">
        <v>66</v>
      </c>
      <c r="S4420">
        <v>1789</v>
      </c>
      <c r="T4420">
        <v>-40</v>
      </c>
      <c r="U4420">
        <v>51</v>
      </c>
      <c r="V4420">
        <v>360</v>
      </c>
      <c r="W4420">
        <v>29</v>
      </c>
      <c r="X4420">
        <v>29</v>
      </c>
      <c r="Y4420">
        <v>1</v>
      </c>
      <c r="Z4420">
        <v>8</v>
      </c>
      <c r="AA4420">
        <v>26</v>
      </c>
      <c r="AB4420">
        <v>2</v>
      </c>
      <c r="AC4420">
        <v>4</v>
      </c>
      <c r="AD4420">
        <v>3.2420000999999998</v>
      </c>
      <c r="AE4420">
        <v>5</v>
      </c>
      <c r="AF4420">
        <v>12</v>
      </c>
      <c r="AG4420">
        <v>3.23200011</v>
      </c>
      <c r="AH4420">
        <v>4</v>
      </c>
      <c r="AI4420">
        <v>17</v>
      </c>
      <c r="AJ4420">
        <v>1</v>
      </c>
      <c r="AK4420">
        <v>17</v>
      </c>
      <c r="AL4420">
        <v>50</v>
      </c>
      <c r="AM4420" t="s">
        <v>43</v>
      </c>
      <c r="AN4420" t="str">
        <f>HYPERLINK("https://www.google.com/maps?q=10.76472187,79.76808167","Open Location")</f>
        <v>Open Location</v>
      </c>
    </row>
    <row r="4421" spans="1:40" x14ac:dyDescent="0.3">
      <c r="A4421" s="1">
        <v>46210.487615740742</v>
      </c>
      <c r="B4421" t="s">
        <v>40</v>
      </c>
      <c r="C4421" t="s">
        <v>41</v>
      </c>
      <c r="D4421" s="1">
        <v>46210.490613425929</v>
      </c>
      <c r="E4421" t="s">
        <v>42</v>
      </c>
      <c r="F4421" t="s">
        <v>83</v>
      </c>
      <c r="G4421">
        <v>37</v>
      </c>
      <c r="H4421">
        <v>33099</v>
      </c>
      <c r="I4421" t="s">
        <v>43</v>
      </c>
      <c r="J4421">
        <v>51</v>
      </c>
      <c r="K4421">
        <v>126</v>
      </c>
      <c r="L4421">
        <v>98</v>
      </c>
      <c r="M4421">
        <v>620.70001220999995</v>
      </c>
      <c r="N4421" t="s">
        <v>87</v>
      </c>
      <c r="O4421" t="s">
        <v>86</v>
      </c>
      <c r="P4421">
        <v>130</v>
      </c>
      <c r="Q4421">
        <v>5</v>
      </c>
      <c r="R4421">
        <v>80</v>
      </c>
      <c r="S4421">
        <v>1727</v>
      </c>
      <c r="T4421">
        <v>-40</v>
      </c>
      <c r="U4421">
        <v>51</v>
      </c>
      <c r="V4421">
        <v>380</v>
      </c>
      <c r="W4421">
        <v>29</v>
      </c>
      <c r="X4421">
        <v>29</v>
      </c>
      <c r="Y4421">
        <v>1</v>
      </c>
      <c r="Z4421">
        <v>7</v>
      </c>
      <c r="AA4421">
        <v>26</v>
      </c>
      <c r="AB4421">
        <v>2</v>
      </c>
      <c r="AC4421">
        <v>4</v>
      </c>
      <c r="AD4421">
        <v>3.2400000100000002</v>
      </c>
      <c r="AE4421">
        <v>5</v>
      </c>
      <c r="AF4421">
        <v>38</v>
      </c>
      <c r="AG4421">
        <v>3.22900009</v>
      </c>
      <c r="AH4421">
        <v>4</v>
      </c>
      <c r="AI4421">
        <v>17</v>
      </c>
      <c r="AJ4421" t="s">
        <v>43</v>
      </c>
      <c r="AK4421" t="s">
        <v>43</v>
      </c>
      <c r="AL4421" t="s">
        <v>43</v>
      </c>
      <c r="AM4421" t="s">
        <v>43</v>
      </c>
      <c r="AN4421" t="s">
        <v>43</v>
      </c>
    </row>
    <row r="4422" spans="1:40" x14ac:dyDescent="0.3">
      <c r="A4422" s="1">
        <v>46210.487500000003</v>
      </c>
      <c r="B4422" t="s">
        <v>40</v>
      </c>
      <c r="C4422" t="s">
        <v>41</v>
      </c>
      <c r="D4422" s="1">
        <v>46210.490254629629</v>
      </c>
      <c r="E4422" t="s">
        <v>42</v>
      </c>
      <c r="F4422" t="s">
        <v>83</v>
      </c>
      <c r="G4422">
        <v>37</v>
      </c>
      <c r="H4422">
        <v>33099</v>
      </c>
      <c r="I4422" t="s">
        <v>2479</v>
      </c>
      <c r="J4422">
        <v>51</v>
      </c>
      <c r="K4422">
        <v>89</v>
      </c>
      <c r="L4422">
        <v>98</v>
      </c>
      <c r="M4422">
        <v>622.5</v>
      </c>
      <c r="N4422" t="s">
        <v>87</v>
      </c>
      <c r="O4422" t="s">
        <v>86</v>
      </c>
      <c r="P4422">
        <v>130</v>
      </c>
      <c r="Q4422">
        <v>5</v>
      </c>
      <c r="R4422">
        <v>40</v>
      </c>
      <c r="S4422">
        <v>1671</v>
      </c>
      <c r="T4422">
        <v>-40</v>
      </c>
      <c r="U4422">
        <v>50</v>
      </c>
      <c r="V4422">
        <v>300</v>
      </c>
      <c r="W4422">
        <v>29</v>
      </c>
      <c r="X4422">
        <v>29</v>
      </c>
      <c r="Y4422">
        <v>1</v>
      </c>
      <c r="Z4422">
        <v>7</v>
      </c>
      <c r="AA4422">
        <v>26</v>
      </c>
      <c r="AB4422">
        <v>2</v>
      </c>
      <c r="AC4422">
        <v>4</v>
      </c>
      <c r="AD4422">
        <v>3.2479999099999999</v>
      </c>
      <c r="AE4422">
        <v>5</v>
      </c>
      <c r="AF4422">
        <v>38</v>
      </c>
      <c r="AG4422">
        <v>3.2390000799999998</v>
      </c>
      <c r="AH4422">
        <v>4</v>
      </c>
      <c r="AI4422">
        <v>17</v>
      </c>
      <c r="AJ4422">
        <v>1</v>
      </c>
      <c r="AK4422">
        <v>18</v>
      </c>
      <c r="AL4422">
        <v>50</v>
      </c>
      <c r="AM4422" t="s">
        <v>43</v>
      </c>
      <c r="AN4422" t="str">
        <f>HYPERLINK("https://www.google.com/maps?q=10.76478672,79.76921082","Open Location")</f>
        <v>Open Location</v>
      </c>
    </row>
    <row r="4423" spans="1:40" x14ac:dyDescent="0.3">
      <c r="A4423" s="1">
        <v>46210.487384259257</v>
      </c>
      <c r="B4423" t="s">
        <v>40</v>
      </c>
      <c r="C4423" t="s">
        <v>41</v>
      </c>
      <c r="D4423" s="1">
        <v>46210.490659722222</v>
      </c>
      <c r="E4423" t="s">
        <v>42</v>
      </c>
      <c r="F4423" t="s">
        <v>83</v>
      </c>
      <c r="G4423">
        <v>36</v>
      </c>
      <c r="H4423">
        <v>33099</v>
      </c>
      <c r="I4423" t="s">
        <v>2480</v>
      </c>
      <c r="J4423">
        <v>51</v>
      </c>
      <c r="K4423">
        <v>121</v>
      </c>
      <c r="L4423">
        <v>98</v>
      </c>
      <c r="M4423">
        <v>620.90002441000001</v>
      </c>
      <c r="N4423" t="s">
        <v>87</v>
      </c>
      <c r="O4423" t="s">
        <v>86</v>
      </c>
      <c r="P4423">
        <v>130</v>
      </c>
      <c r="Q4423">
        <v>5</v>
      </c>
      <c r="R4423">
        <v>73</v>
      </c>
      <c r="S4423">
        <v>1684</v>
      </c>
      <c r="T4423">
        <v>-40</v>
      </c>
      <c r="U4423">
        <v>51</v>
      </c>
      <c r="V4423">
        <v>400</v>
      </c>
      <c r="W4423">
        <v>29</v>
      </c>
      <c r="X4423">
        <v>29</v>
      </c>
      <c r="Y4423">
        <v>1</v>
      </c>
      <c r="Z4423">
        <v>7</v>
      </c>
      <c r="AA4423">
        <v>26</v>
      </c>
      <c r="AB4423">
        <v>2</v>
      </c>
      <c r="AC4423">
        <v>5</v>
      </c>
      <c r="AD4423">
        <v>3.2430000300000001</v>
      </c>
      <c r="AE4423">
        <v>5</v>
      </c>
      <c r="AF4423">
        <v>38</v>
      </c>
      <c r="AG4423">
        <v>3.2330000399999999</v>
      </c>
      <c r="AH4423">
        <v>4</v>
      </c>
      <c r="AI4423">
        <v>17</v>
      </c>
      <c r="AJ4423">
        <v>1</v>
      </c>
      <c r="AK4423">
        <v>17</v>
      </c>
      <c r="AL4423">
        <v>50</v>
      </c>
      <c r="AM4423" t="s">
        <v>43</v>
      </c>
      <c r="AN4423" t="str">
        <f>HYPERLINK("https://www.google.com/maps?q=10.76484489,79.77031708","Open Location")</f>
        <v>Open Location</v>
      </c>
    </row>
    <row r="4424" spans="1:40" x14ac:dyDescent="0.3">
      <c r="A4424" s="1">
        <v>46210.487268518518</v>
      </c>
      <c r="B4424" t="s">
        <v>40</v>
      </c>
      <c r="C4424" t="s">
        <v>41</v>
      </c>
      <c r="D4424" s="1">
        <v>46210.490069444444</v>
      </c>
      <c r="E4424" t="s">
        <v>42</v>
      </c>
      <c r="F4424" t="s">
        <v>83</v>
      </c>
      <c r="G4424">
        <v>36</v>
      </c>
      <c r="H4424">
        <v>33099</v>
      </c>
      <c r="I4424" t="s">
        <v>2481</v>
      </c>
      <c r="J4424">
        <v>51</v>
      </c>
      <c r="K4424">
        <v>133</v>
      </c>
      <c r="L4424">
        <v>98</v>
      </c>
      <c r="M4424">
        <v>621.20001220999995</v>
      </c>
      <c r="N4424" t="s">
        <v>87</v>
      </c>
      <c r="O4424" t="s">
        <v>86</v>
      </c>
      <c r="P4424">
        <v>130</v>
      </c>
      <c r="Q4424">
        <v>5</v>
      </c>
      <c r="R4424">
        <v>51</v>
      </c>
      <c r="S4424">
        <v>1657</v>
      </c>
      <c r="T4424">
        <v>-40</v>
      </c>
      <c r="U4424">
        <v>50</v>
      </c>
      <c r="V4424">
        <v>460</v>
      </c>
      <c r="W4424">
        <v>29</v>
      </c>
      <c r="X4424">
        <v>29</v>
      </c>
      <c r="Y4424">
        <v>1</v>
      </c>
      <c r="Z4424">
        <v>7</v>
      </c>
      <c r="AA4424">
        <v>26</v>
      </c>
      <c r="AB4424">
        <v>2</v>
      </c>
      <c r="AC4424">
        <v>5</v>
      </c>
      <c r="AD4424">
        <v>3.24399996</v>
      </c>
      <c r="AE4424">
        <v>5</v>
      </c>
      <c r="AF4424">
        <v>38</v>
      </c>
      <c r="AG4424">
        <v>3.2330000399999999</v>
      </c>
      <c r="AH4424">
        <v>4</v>
      </c>
      <c r="AI4424">
        <v>17</v>
      </c>
      <c r="AJ4424">
        <v>1</v>
      </c>
      <c r="AK4424">
        <v>18</v>
      </c>
      <c r="AL4424">
        <v>50</v>
      </c>
      <c r="AM4424" t="s">
        <v>43</v>
      </c>
      <c r="AN4424" t="str">
        <f>HYPERLINK("https://www.google.com/maps?q=10.76493645,79.77153015","Open Location")</f>
        <v>Open Location</v>
      </c>
    </row>
    <row r="4425" spans="1:40" x14ac:dyDescent="0.3">
      <c r="A4425" s="1">
        <v>46210.48715277778</v>
      </c>
      <c r="B4425" t="s">
        <v>40</v>
      </c>
      <c r="C4425" t="s">
        <v>41</v>
      </c>
      <c r="D4425" s="1">
        <v>46210.490069444444</v>
      </c>
      <c r="E4425" t="s">
        <v>42</v>
      </c>
      <c r="F4425" t="s">
        <v>83</v>
      </c>
      <c r="G4425">
        <v>39</v>
      </c>
      <c r="H4425">
        <v>33099</v>
      </c>
      <c r="I4425" t="s">
        <v>2482</v>
      </c>
      <c r="J4425">
        <v>52</v>
      </c>
      <c r="K4425">
        <v>78</v>
      </c>
      <c r="L4425">
        <v>98</v>
      </c>
      <c r="M4425">
        <v>623.29998779000005</v>
      </c>
      <c r="N4425" t="s">
        <v>87</v>
      </c>
      <c r="O4425" t="s">
        <v>86</v>
      </c>
      <c r="P4425">
        <v>130</v>
      </c>
      <c r="Q4425">
        <v>5</v>
      </c>
      <c r="R4425">
        <v>-35</v>
      </c>
      <c r="S4425">
        <v>1678</v>
      </c>
      <c r="T4425">
        <v>-40</v>
      </c>
      <c r="U4425">
        <v>50</v>
      </c>
      <c r="V4425">
        <v>297</v>
      </c>
      <c r="W4425">
        <v>29</v>
      </c>
      <c r="X4425">
        <v>29</v>
      </c>
      <c r="Y4425">
        <v>1</v>
      </c>
      <c r="Z4425">
        <v>7</v>
      </c>
      <c r="AA4425">
        <v>26</v>
      </c>
      <c r="AB4425">
        <v>2</v>
      </c>
      <c r="AC4425">
        <v>5</v>
      </c>
      <c r="AD4425">
        <v>3.2690000499999998</v>
      </c>
      <c r="AE4425">
        <v>8</v>
      </c>
      <c r="AF4425">
        <v>13</v>
      </c>
      <c r="AG4425">
        <v>3.2650001</v>
      </c>
      <c r="AH4425">
        <v>1</v>
      </c>
      <c r="AI4425">
        <v>21</v>
      </c>
      <c r="AJ4425">
        <v>1</v>
      </c>
      <c r="AK4425">
        <v>18</v>
      </c>
      <c r="AL4425">
        <v>50</v>
      </c>
      <c r="AM4425" t="s">
        <v>43</v>
      </c>
      <c r="AN4425" t="str">
        <f>HYPERLINK("https://www.google.com/maps?q=10.76498318,79.77268219","Open Location")</f>
        <v>Open Location</v>
      </c>
    </row>
    <row r="4426" spans="1:40" x14ac:dyDescent="0.3">
      <c r="A4426" s="1">
        <v>46210.487037037034</v>
      </c>
      <c r="B4426" t="s">
        <v>40</v>
      </c>
      <c r="C4426" t="s">
        <v>41</v>
      </c>
      <c r="D4426" s="1">
        <v>46210.489756944444</v>
      </c>
      <c r="E4426" t="s">
        <v>42</v>
      </c>
      <c r="F4426" t="s">
        <v>83</v>
      </c>
      <c r="G4426">
        <v>39</v>
      </c>
      <c r="H4426">
        <v>33099</v>
      </c>
      <c r="I4426" t="s">
        <v>2483</v>
      </c>
      <c r="J4426">
        <v>52</v>
      </c>
      <c r="K4426">
        <v>146</v>
      </c>
      <c r="L4426">
        <v>98</v>
      </c>
      <c r="M4426">
        <v>619.5</v>
      </c>
      <c r="N4426" t="s">
        <v>87</v>
      </c>
      <c r="O4426" t="s">
        <v>86</v>
      </c>
      <c r="P4426">
        <v>130</v>
      </c>
      <c r="Q4426">
        <v>5</v>
      </c>
      <c r="R4426">
        <v>77</v>
      </c>
      <c r="S4426">
        <v>1794</v>
      </c>
      <c r="T4426">
        <v>-40</v>
      </c>
      <c r="U4426">
        <v>50</v>
      </c>
      <c r="V4426">
        <v>480</v>
      </c>
      <c r="W4426">
        <v>29</v>
      </c>
      <c r="X4426">
        <v>29</v>
      </c>
      <c r="Y4426">
        <v>1</v>
      </c>
      <c r="Z4426">
        <v>7</v>
      </c>
      <c r="AA4426">
        <v>26</v>
      </c>
      <c r="AB4426">
        <v>2</v>
      </c>
      <c r="AC4426">
        <v>5</v>
      </c>
      <c r="AD4426">
        <v>3.24399996</v>
      </c>
      <c r="AE4426">
        <v>1</v>
      </c>
      <c r="AF4426">
        <v>38</v>
      </c>
      <c r="AG4426">
        <v>3.2349999</v>
      </c>
      <c r="AH4426">
        <v>4</v>
      </c>
      <c r="AI4426">
        <v>17</v>
      </c>
      <c r="AJ4426">
        <v>1</v>
      </c>
      <c r="AK4426">
        <v>18</v>
      </c>
      <c r="AL4426">
        <v>50</v>
      </c>
      <c r="AM4426" t="s">
        <v>43</v>
      </c>
      <c r="AN4426" t="str">
        <f>HYPERLINK("https://www.google.com/maps?q=10.7650547,79.77387238","Open Location")</f>
        <v>Open Location</v>
      </c>
    </row>
    <row r="4427" spans="1:40" x14ac:dyDescent="0.3">
      <c r="A4427" s="1">
        <v>46210.486921296295</v>
      </c>
      <c r="B4427" t="s">
        <v>40</v>
      </c>
      <c r="C4427" t="s">
        <v>41</v>
      </c>
      <c r="D4427" s="1">
        <v>46210.489745370367</v>
      </c>
      <c r="E4427" t="s">
        <v>42</v>
      </c>
      <c r="F4427" t="s">
        <v>83</v>
      </c>
      <c r="G4427">
        <v>38</v>
      </c>
      <c r="H4427">
        <v>33099</v>
      </c>
      <c r="I4427" t="s">
        <v>43</v>
      </c>
      <c r="J4427">
        <v>52</v>
      </c>
      <c r="K4427">
        <v>92</v>
      </c>
      <c r="L4427">
        <v>98</v>
      </c>
      <c r="M4427">
        <v>622</v>
      </c>
      <c r="N4427" t="s">
        <v>87</v>
      </c>
      <c r="O4427" t="s">
        <v>86</v>
      </c>
      <c r="P4427">
        <v>130</v>
      </c>
      <c r="Q4427">
        <v>5</v>
      </c>
      <c r="R4427">
        <v>47</v>
      </c>
      <c r="S4427">
        <v>1732</v>
      </c>
      <c r="T4427">
        <v>-40</v>
      </c>
      <c r="U4427">
        <v>50</v>
      </c>
      <c r="V4427">
        <v>300</v>
      </c>
      <c r="W4427">
        <v>29</v>
      </c>
      <c r="X4427">
        <v>29</v>
      </c>
      <c r="Y4427">
        <v>1</v>
      </c>
      <c r="Z4427">
        <v>7</v>
      </c>
      <c r="AA4427">
        <v>26</v>
      </c>
      <c r="AB4427">
        <v>2</v>
      </c>
      <c r="AC4427">
        <v>5</v>
      </c>
      <c r="AD4427">
        <v>3.2479999099999999</v>
      </c>
      <c r="AE4427">
        <v>5</v>
      </c>
      <c r="AF4427">
        <v>12</v>
      </c>
      <c r="AG4427">
        <v>3.2390000799999998</v>
      </c>
      <c r="AH4427">
        <v>4</v>
      </c>
      <c r="AI4427">
        <v>17</v>
      </c>
      <c r="AJ4427">
        <v>1</v>
      </c>
      <c r="AK4427">
        <v>18</v>
      </c>
      <c r="AL4427">
        <v>50</v>
      </c>
      <c r="AM4427" t="s">
        <v>43</v>
      </c>
      <c r="AN4427" t="s">
        <v>43</v>
      </c>
    </row>
    <row r="4428" spans="1:40" x14ac:dyDescent="0.3">
      <c r="A4428" s="1">
        <v>46210.486805555556</v>
      </c>
      <c r="B4428" t="s">
        <v>40</v>
      </c>
      <c r="C4428" t="s">
        <v>41</v>
      </c>
      <c r="D4428" s="1">
        <v>46210.489502314813</v>
      </c>
      <c r="E4428" t="s">
        <v>42</v>
      </c>
      <c r="F4428" t="s">
        <v>83</v>
      </c>
      <c r="G4428">
        <v>38</v>
      </c>
      <c r="H4428" t="s">
        <v>43</v>
      </c>
      <c r="I4428" t="s">
        <v>2484</v>
      </c>
      <c r="J4428">
        <v>52</v>
      </c>
      <c r="K4428">
        <v>86</v>
      </c>
      <c r="L4428">
        <v>98</v>
      </c>
      <c r="M4428">
        <v>622.09997558999999</v>
      </c>
      <c r="N4428" t="s">
        <v>87</v>
      </c>
      <c r="O4428" t="s">
        <v>86</v>
      </c>
      <c r="P4428">
        <v>130</v>
      </c>
      <c r="Q4428">
        <v>5</v>
      </c>
      <c r="R4428">
        <v>57</v>
      </c>
      <c r="S4428">
        <v>1722</v>
      </c>
      <c r="T4428">
        <v>-40</v>
      </c>
      <c r="U4428">
        <v>51</v>
      </c>
      <c r="V4428">
        <v>280</v>
      </c>
      <c r="W4428">
        <v>29</v>
      </c>
      <c r="X4428">
        <v>29</v>
      </c>
      <c r="Y4428">
        <v>1</v>
      </c>
      <c r="Z4428">
        <v>7</v>
      </c>
      <c r="AA4428">
        <v>26</v>
      </c>
      <c r="AB4428">
        <v>2</v>
      </c>
      <c r="AC4428">
        <v>5</v>
      </c>
      <c r="AD4428">
        <v>3.24699998</v>
      </c>
      <c r="AE4428">
        <v>5</v>
      </c>
      <c r="AF4428">
        <v>38</v>
      </c>
      <c r="AG4428">
        <v>3.23799992</v>
      </c>
      <c r="AH4428">
        <v>4</v>
      </c>
      <c r="AI4428">
        <v>17</v>
      </c>
      <c r="AJ4428">
        <v>1</v>
      </c>
      <c r="AK4428">
        <v>18</v>
      </c>
      <c r="AL4428">
        <v>50</v>
      </c>
      <c r="AM4428" t="s">
        <v>43</v>
      </c>
      <c r="AN4428" t="str">
        <f>HYPERLINK("https://www.google.com/maps?q=10.76512623,79.77503967","Open Location")</f>
        <v>Open Location</v>
      </c>
    </row>
    <row r="4429" spans="1:40" x14ac:dyDescent="0.3">
      <c r="A4429" s="1">
        <v>46210.486689814818</v>
      </c>
      <c r="B4429" t="s">
        <v>40</v>
      </c>
      <c r="C4429" t="s">
        <v>41</v>
      </c>
      <c r="D4429" s="1">
        <v>46210.489502314813</v>
      </c>
      <c r="E4429" t="s">
        <v>42</v>
      </c>
      <c r="F4429" t="s">
        <v>83</v>
      </c>
      <c r="G4429">
        <v>36</v>
      </c>
      <c r="H4429">
        <v>33098</v>
      </c>
      <c r="I4429" t="s">
        <v>2485</v>
      </c>
      <c r="J4429">
        <v>52</v>
      </c>
      <c r="K4429">
        <v>138</v>
      </c>
      <c r="L4429">
        <v>98</v>
      </c>
      <c r="M4429">
        <v>619.40002441000001</v>
      </c>
      <c r="N4429" t="s">
        <v>87</v>
      </c>
      <c r="O4429" t="s">
        <v>86</v>
      </c>
      <c r="P4429">
        <v>130</v>
      </c>
      <c r="Q4429">
        <v>5</v>
      </c>
      <c r="R4429">
        <v>90</v>
      </c>
      <c r="S4429">
        <v>1718</v>
      </c>
      <c r="T4429">
        <v>-40</v>
      </c>
      <c r="U4429">
        <v>52</v>
      </c>
      <c r="V4429">
        <v>400</v>
      </c>
      <c r="W4429">
        <v>29</v>
      </c>
      <c r="X4429">
        <v>29</v>
      </c>
      <c r="Y4429">
        <v>1</v>
      </c>
      <c r="Z4429">
        <v>7</v>
      </c>
      <c r="AA4429">
        <v>26</v>
      </c>
      <c r="AB4429">
        <v>2</v>
      </c>
      <c r="AC4429">
        <v>5</v>
      </c>
      <c r="AD4429">
        <v>3.2349999</v>
      </c>
      <c r="AE4429">
        <v>5</v>
      </c>
      <c r="AF4429">
        <v>38</v>
      </c>
      <c r="AG4429">
        <v>3.22300005</v>
      </c>
      <c r="AH4429">
        <v>4</v>
      </c>
      <c r="AI4429">
        <v>17</v>
      </c>
      <c r="AJ4429">
        <v>1</v>
      </c>
      <c r="AK4429">
        <v>18</v>
      </c>
      <c r="AL4429">
        <v>50</v>
      </c>
      <c r="AM4429" t="s">
        <v>43</v>
      </c>
      <c r="AN4429" t="str">
        <f>HYPERLINK("https://www.google.com/maps?q=10.76520634,79.77620697","Open Location")</f>
        <v>Open Location</v>
      </c>
    </row>
    <row r="4430" spans="1:40" x14ac:dyDescent="0.3">
      <c r="A4430" s="1">
        <v>46210.486574074072</v>
      </c>
      <c r="B4430" t="s">
        <v>40</v>
      </c>
      <c r="C4430" t="s">
        <v>41</v>
      </c>
      <c r="D4430" s="1">
        <v>46210.489745370367</v>
      </c>
      <c r="E4430" t="s">
        <v>42</v>
      </c>
      <c r="F4430" t="s">
        <v>83</v>
      </c>
      <c r="G4430">
        <v>33</v>
      </c>
      <c r="H4430">
        <v>33098</v>
      </c>
      <c r="I4430" t="s">
        <v>2486</v>
      </c>
      <c r="J4430">
        <v>52</v>
      </c>
      <c r="K4430">
        <v>162</v>
      </c>
      <c r="L4430">
        <v>98</v>
      </c>
      <c r="M4430">
        <v>618.20001220999995</v>
      </c>
      <c r="N4430" t="s">
        <v>87</v>
      </c>
      <c r="O4430" t="s">
        <v>86</v>
      </c>
      <c r="P4430">
        <v>130</v>
      </c>
      <c r="Q4430">
        <v>5</v>
      </c>
      <c r="R4430">
        <v>75</v>
      </c>
      <c r="S4430">
        <v>1605</v>
      </c>
      <c r="T4430">
        <v>-40</v>
      </c>
      <c r="U4430">
        <v>53</v>
      </c>
      <c r="V4430">
        <v>540</v>
      </c>
      <c r="W4430">
        <v>29</v>
      </c>
      <c r="X4430">
        <v>29</v>
      </c>
      <c r="Y4430">
        <v>1</v>
      </c>
      <c r="Z4430">
        <v>7</v>
      </c>
      <c r="AA4430">
        <v>26</v>
      </c>
      <c r="AB4430">
        <v>2</v>
      </c>
      <c r="AC4430">
        <v>5</v>
      </c>
      <c r="AD4430">
        <v>3.22300005</v>
      </c>
      <c r="AE4430">
        <v>5</v>
      </c>
      <c r="AF4430">
        <v>38</v>
      </c>
      <c r="AG4430">
        <v>3.2060000899999999</v>
      </c>
      <c r="AH4430">
        <v>4</v>
      </c>
      <c r="AI4430">
        <v>24</v>
      </c>
      <c r="AJ4430">
        <v>1</v>
      </c>
      <c r="AK4430">
        <v>19</v>
      </c>
      <c r="AL4430">
        <v>50</v>
      </c>
      <c r="AM4430" t="s">
        <v>43</v>
      </c>
      <c r="AN4430" t="str">
        <f>HYPERLINK("https://www.google.com/maps?q=10.76527977,79.77729797","Open Location")</f>
        <v>Open Location</v>
      </c>
    </row>
    <row r="4431" spans="1:40" x14ac:dyDescent="0.3">
      <c r="A4431" s="1">
        <v>46210.486458333333</v>
      </c>
      <c r="B4431" t="s">
        <v>40</v>
      </c>
      <c r="C4431" t="s">
        <v>41</v>
      </c>
      <c r="D4431" s="1">
        <v>46210.489502314813</v>
      </c>
      <c r="E4431" t="s">
        <v>42</v>
      </c>
      <c r="F4431" t="s">
        <v>83</v>
      </c>
      <c r="G4431">
        <v>29</v>
      </c>
      <c r="H4431">
        <v>33098</v>
      </c>
      <c r="I4431" t="s">
        <v>2487</v>
      </c>
      <c r="J4431">
        <v>52</v>
      </c>
      <c r="K4431">
        <v>246</v>
      </c>
      <c r="L4431">
        <v>98</v>
      </c>
      <c r="M4431">
        <v>616.20001220999995</v>
      </c>
      <c r="N4431" t="s">
        <v>87</v>
      </c>
      <c r="O4431" t="s">
        <v>86</v>
      </c>
      <c r="P4431">
        <v>130</v>
      </c>
      <c r="Q4431">
        <v>5</v>
      </c>
      <c r="R4431">
        <v>109</v>
      </c>
      <c r="S4431">
        <v>1437</v>
      </c>
      <c r="T4431">
        <v>-40</v>
      </c>
      <c r="U4431">
        <v>52</v>
      </c>
      <c r="V4431">
        <v>940</v>
      </c>
      <c r="W4431">
        <v>29</v>
      </c>
      <c r="X4431">
        <v>29</v>
      </c>
      <c r="Y4431">
        <v>1</v>
      </c>
      <c r="Z4431">
        <v>7</v>
      </c>
      <c r="AA4431">
        <v>26</v>
      </c>
      <c r="AB4431">
        <v>2</v>
      </c>
      <c r="AC4431">
        <v>5</v>
      </c>
      <c r="AD4431">
        <v>3.2339999700000002</v>
      </c>
      <c r="AE4431">
        <v>5</v>
      </c>
      <c r="AF4431">
        <v>12</v>
      </c>
      <c r="AG4431">
        <v>3.22000003</v>
      </c>
      <c r="AH4431">
        <v>6</v>
      </c>
      <c r="AI4431">
        <v>24</v>
      </c>
      <c r="AJ4431">
        <v>1</v>
      </c>
      <c r="AK4431">
        <v>19</v>
      </c>
      <c r="AL4431">
        <v>50</v>
      </c>
      <c r="AM4431" t="s">
        <v>43</v>
      </c>
      <c r="AN4431" t="str">
        <f>HYPERLINK("https://www.google.com/maps?q=10.76534176,79.77822876","Open Location")</f>
        <v>Open Location</v>
      </c>
    </row>
    <row r="4432" spans="1:40" x14ac:dyDescent="0.3">
      <c r="A4432" s="1">
        <v>46210.486342592594</v>
      </c>
      <c r="B4432" t="s">
        <v>40</v>
      </c>
      <c r="C4432" t="s">
        <v>41</v>
      </c>
      <c r="D4432" s="1">
        <v>46210.489166666666</v>
      </c>
      <c r="E4432" t="s">
        <v>42</v>
      </c>
      <c r="F4432" t="s">
        <v>83</v>
      </c>
      <c r="G4432">
        <v>25</v>
      </c>
      <c r="H4432">
        <v>33098</v>
      </c>
      <c r="I4432" t="s">
        <v>43</v>
      </c>
      <c r="J4432">
        <v>52</v>
      </c>
      <c r="K4432">
        <v>177</v>
      </c>
      <c r="L4432">
        <v>98</v>
      </c>
      <c r="M4432">
        <v>618.40002441000001</v>
      </c>
      <c r="N4432" t="s">
        <v>87</v>
      </c>
      <c r="O4432" t="s">
        <v>86</v>
      </c>
      <c r="P4432">
        <v>131</v>
      </c>
      <c r="Q4432">
        <v>4</v>
      </c>
      <c r="R4432">
        <v>0</v>
      </c>
      <c r="S4432">
        <v>1232</v>
      </c>
      <c r="T4432">
        <v>-40</v>
      </c>
      <c r="U4432">
        <v>52</v>
      </c>
      <c r="V4432">
        <v>740</v>
      </c>
      <c r="W4432">
        <v>29</v>
      </c>
      <c r="X4432">
        <v>29</v>
      </c>
      <c r="Y4432">
        <v>1</v>
      </c>
      <c r="Z4432">
        <v>7</v>
      </c>
      <c r="AA4432">
        <v>26</v>
      </c>
      <c r="AB4432">
        <v>2</v>
      </c>
      <c r="AC4432">
        <v>5</v>
      </c>
      <c r="AD4432">
        <v>3.2579999000000002</v>
      </c>
      <c r="AE4432">
        <v>5</v>
      </c>
      <c r="AF4432">
        <v>3</v>
      </c>
      <c r="AG4432">
        <v>3.25</v>
      </c>
      <c r="AH4432">
        <v>4</v>
      </c>
      <c r="AI4432">
        <v>17</v>
      </c>
      <c r="AJ4432">
        <v>1</v>
      </c>
      <c r="AK4432">
        <v>19</v>
      </c>
      <c r="AL4432">
        <v>50</v>
      </c>
      <c r="AM4432" t="s">
        <v>43</v>
      </c>
      <c r="AN4432" t="s">
        <v>43</v>
      </c>
    </row>
    <row r="4433" spans="1:40" x14ac:dyDescent="0.3">
      <c r="A4433" s="1">
        <v>46210.486226851855</v>
      </c>
      <c r="B4433" t="s">
        <v>40</v>
      </c>
      <c r="C4433" t="s">
        <v>41</v>
      </c>
      <c r="D4433" s="1">
        <v>46210.489178240743</v>
      </c>
      <c r="E4433" t="s">
        <v>42</v>
      </c>
      <c r="F4433" t="s">
        <v>83</v>
      </c>
      <c r="G4433">
        <v>38</v>
      </c>
      <c r="H4433">
        <v>33098</v>
      </c>
      <c r="I4433" t="s">
        <v>2488</v>
      </c>
      <c r="J4433">
        <v>52</v>
      </c>
      <c r="K4433">
        <v>-128</v>
      </c>
      <c r="L4433">
        <v>98</v>
      </c>
      <c r="M4433">
        <v>632</v>
      </c>
      <c r="N4433" t="s">
        <v>87</v>
      </c>
      <c r="O4433" t="s">
        <v>86</v>
      </c>
      <c r="P4433">
        <v>131</v>
      </c>
      <c r="Q4433">
        <v>6</v>
      </c>
      <c r="R4433">
        <v>56</v>
      </c>
      <c r="S4433">
        <v>939</v>
      </c>
      <c r="T4433">
        <v>-40</v>
      </c>
      <c r="U4433">
        <v>52</v>
      </c>
      <c r="V4433">
        <v>-940</v>
      </c>
      <c r="W4433">
        <v>29</v>
      </c>
      <c r="X4433">
        <v>29</v>
      </c>
      <c r="Y4433">
        <v>1</v>
      </c>
      <c r="Z4433">
        <v>7</v>
      </c>
      <c r="AA4433">
        <v>26</v>
      </c>
      <c r="AB4433">
        <v>2</v>
      </c>
      <c r="AC4433">
        <v>5</v>
      </c>
      <c r="AD4433">
        <v>3.28500009</v>
      </c>
      <c r="AE4433">
        <v>4</v>
      </c>
      <c r="AF4433">
        <v>24</v>
      </c>
      <c r="AG4433">
        <v>3.2790000400000001</v>
      </c>
      <c r="AH4433">
        <v>6</v>
      </c>
      <c r="AI4433">
        <v>12</v>
      </c>
      <c r="AJ4433">
        <v>1</v>
      </c>
      <c r="AK4433">
        <v>19</v>
      </c>
      <c r="AL4433">
        <v>50</v>
      </c>
      <c r="AM4433" t="s">
        <v>43</v>
      </c>
      <c r="AN4433" t="str">
        <f>HYPERLINK("https://www.google.com/maps?q=10.76541042,79.77915192","Open Location")</f>
        <v>Open Location</v>
      </c>
    </row>
    <row r="4434" spans="1:40" x14ac:dyDescent="0.3">
      <c r="A4434" s="1">
        <v>46210.486111111109</v>
      </c>
      <c r="B4434" t="s">
        <v>40</v>
      </c>
      <c r="C4434" t="s">
        <v>41</v>
      </c>
      <c r="D4434" s="1">
        <v>46210.489305555559</v>
      </c>
      <c r="E4434" t="s">
        <v>42</v>
      </c>
      <c r="F4434" t="s">
        <v>83</v>
      </c>
      <c r="G4434">
        <v>38</v>
      </c>
      <c r="H4434" t="s">
        <v>43</v>
      </c>
      <c r="I4434" t="s">
        <v>2489</v>
      </c>
      <c r="J4434">
        <v>52</v>
      </c>
      <c r="K4434">
        <v>109</v>
      </c>
      <c r="L4434">
        <v>98</v>
      </c>
      <c r="M4434">
        <v>622</v>
      </c>
      <c r="N4434" t="s">
        <v>87</v>
      </c>
      <c r="O4434" t="s">
        <v>86</v>
      </c>
      <c r="P4434">
        <v>131</v>
      </c>
      <c r="Q4434">
        <v>6</v>
      </c>
      <c r="R4434">
        <v>59</v>
      </c>
      <c r="S4434">
        <v>1060</v>
      </c>
      <c r="T4434">
        <v>-40</v>
      </c>
      <c r="U4434">
        <v>51</v>
      </c>
      <c r="V4434">
        <v>560</v>
      </c>
      <c r="W4434">
        <v>29</v>
      </c>
      <c r="X4434">
        <v>29</v>
      </c>
      <c r="Y4434">
        <v>1</v>
      </c>
      <c r="Z4434">
        <v>7</v>
      </c>
      <c r="AA4434">
        <v>26</v>
      </c>
      <c r="AB4434">
        <v>2</v>
      </c>
      <c r="AC4434">
        <v>5</v>
      </c>
      <c r="AD4434">
        <v>3.24699998</v>
      </c>
      <c r="AE4434">
        <v>5</v>
      </c>
      <c r="AF4434">
        <v>38</v>
      </c>
      <c r="AG4434">
        <v>3.2369999900000002</v>
      </c>
      <c r="AH4434">
        <v>6</v>
      </c>
      <c r="AI4434">
        <v>24</v>
      </c>
      <c r="AJ4434">
        <v>1</v>
      </c>
      <c r="AK4434">
        <v>19</v>
      </c>
      <c r="AL4434">
        <v>50</v>
      </c>
      <c r="AM4434" t="s">
        <v>43</v>
      </c>
      <c r="AN4434" t="str">
        <f>HYPERLINK("https://www.google.com/maps?q=10.76548672,79.78031158","Open Location")</f>
        <v>Open Location</v>
      </c>
    </row>
    <row r="4435" spans="1:40" x14ac:dyDescent="0.3">
      <c r="A4435" s="1">
        <v>46210.485995370371</v>
      </c>
      <c r="B4435" t="s">
        <v>40</v>
      </c>
      <c r="C4435" t="s">
        <v>41</v>
      </c>
      <c r="D4435" s="1">
        <v>46210.48883101852</v>
      </c>
      <c r="E4435" t="s">
        <v>42</v>
      </c>
      <c r="F4435" t="s">
        <v>83</v>
      </c>
      <c r="G4435">
        <v>38</v>
      </c>
      <c r="H4435">
        <v>33098</v>
      </c>
      <c r="I4435" t="s">
        <v>2490</v>
      </c>
      <c r="J4435">
        <v>52</v>
      </c>
      <c r="K4435">
        <v>105</v>
      </c>
      <c r="L4435">
        <v>98</v>
      </c>
      <c r="M4435">
        <v>622.5</v>
      </c>
      <c r="N4435" t="s">
        <v>87</v>
      </c>
      <c r="O4435" t="s">
        <v>86</v>
      </c>
      <c r="P4435">
        <v>131</v>
      </c>
      <c r="Q4435">
        <v>6</v>
      </c>
      <c r="R4435">
        <v>46</v>
      </c>
      <c r="S4435">
        <v>1038</v>
      </c>
      <c r="T4435">
        <v>-40</v>
      </c>
      <c r="U4435">
        <v>51</v>
      </c>
      <c r="V4435">
        <v>540</v>
      </c>
      <c r="W4435">
        <v>29</v>
      </c>
      <c r="X4435">
        <v>29</v>
      </c>
      <c r="Y4435">
        <v>1</v>
      </c>
      <c r="Z4435">
        <v>7</v>
      </c>
      <c r="AA4435">
        <v>26</v>
      </c>
      <c r="AB4435">
        <v>2</v>
      </c>
      <c r="AC4435">
        <v>5</v>
      </c>
      <c r="AD4435">
        <v>3.2509999299999999</v>
      </c>
      <c r="AE4435">
        <v>5</v>
      </c>
      <c r="AF4435">
        <v>38</v>
      </c>
      <c r="AG4435">
        <v>3.2420000999999998</v>
      </c>
      <c r="AH4435">
        <v>4</v>
      </c>
      <c r="AI4435">
        <v>17</v>
      </c>
      <c r="AJ4435">
        <v>1</v>
      </c>
      <c r="AK4435">
        <v>19</v>
      </c>
      <c r="AL4435">
        <v>50</v>
      </c>
      <c r="AM4435" t="s">
        <v>43</v>
      </c>
      <c r="AN4435" t="str">
        <f>HYPERLINK("https://www.google.com/maps?q=10.76556778,79.78146362","Open Location")</f>
        <v>Open Location</v>
      </c>
    </row>
    <row r="4436" spans="1:40" x14ac:dyDescent="0.3">
      <c r="A4436" s="1">
        <v>46210.485879629632</v>
      </c>
      <c r="B4436" t="s">
        <v>40</v>
      </c>
      <c r="C4436" t="s">
        <v>41</v>
      </c>
      <c r="D4436" s="1">
        <v>46210.488541666666</v>
      </c>
      <c r="E4436" t="s">
        <v>42</v>
      </c>
      <c r="F4436" t="s">
        <v>83</v>
      </c>
      <c r="G4436">
        <v>38</v>
      </c>
      <c r="H4436">
        <v>33098</v>
      </c>
      <c r="I4436" t="s">
        <v>2491</v>
      </c>
      <c r="J4436">
        <v>52</v>
      </c>
      <c r="K4436">
        <v>82</v>
      </c>
      <c r="L4436">
        <v>98</v>
      </c>
      <c r="M4436">
        <v>623.09997558999999</v>
      </c>
      <c r="N4436" t="s">
        <v>87</v>
      </c>
      <c r="O4436" t="s">
        <v>86</v>
      </c>
      <c r="P4436">
        <v>131</v>
      </c>
      <c r="Q4436">
        <v>6</v>
      </c>
      <c r="R4436">
        <v>50</v>
      </c>
      <c r="S4436">
        <v>1046</v>
      </c>
      <c r="T4436">
        <v>-40</v>
      </c>
      <c r="U4436">
        <v>51</v>
      </c>
      <c r="V4436">
        <v>420</v>
      </c>
      <c r="W4436">
        <v>29</v>
      </c>
      <c r="X4436">
        <v>29</v>
      </c>
      <c r="Y4436">
        <v>1</v>
      </c>
      <c r="Z4436">
        <v>7</v>
      </c>
      <c r="AA4436">
        <v>26</v>
      </c>
      <c r="AB4436">
        <v>2</v>
      </c>
      <c r="AC4436">
        <v>5</v>
      </c>
      <c r="AD4436">
        <v>3.25300002</v>
      </c>
      <c r="AE4436">
        <v>1</v>
      </c>
      <c r="AF4436">
        <v>44</v>
      </c>
      <c r="AG4436">
        <v>3.2460000500000001</v>
      </c>
      <c r="AH4436">
        <v>4</v>
      </c>
      <c r="AI4436">
        <v>17</v>
      </c>
      <c r="AJ4436">
        <v>1</v>
      </c>
      <c r="AK4436">
        <v>19</v>
      </c>
      <c r="AL4436">
        <v>50</v>
      </c>
      <c r="AM4436" t="s">
        <v>43</v>
      </c>
      <c r="AN4436" t="str">
        <f>HYPERLINK("https://www.google.com/maps?q=10.76565742,79.78261566","Open Location")</f>
        <v>Open Location</v>
      </c>
    </row>
    <row r="4437" spans="1:40" x14ac:dyDescent="0.3">
      <c r="A4437" s="1">
        <v>46210.485763888886</v>
      </c>
      <c r="B4437" t="s">
        <v>40</v>
      </c>
      <c r="C4437" t="s">
        <v>41</v>
      </c>
      <c r="D4437" s="1">
        <v>46210.488611111112</v>
      </c>
      <c r="E4437" t="s">
        <v>42</v>
      </c>
      <c r="F4437" t="s">
        <v>83</v>
      </c>
      <c r="G4437">
        <v>37</v>
      </c>
      <c r="H4437">
        <v>33098</v>
      </c>
      <c r="I4437" t="s">
        <v>2492</v>
      </c>
      <c r="J4437">
        <v>52</v>
      </c>
      <c r="K4437">
        <v>95</v>
      </c>
      <c r="L4437">
        <v>98</v>
      </c>
      <c r="M4437">
        <v>623.09997558999999</v>
      </c>
      <c r="N4437" t="s">
        <v>87</v>
      </c>
      <c r="O4437" t="s">
        <v>86</v>
      </c>
      <c r="P4437">
        <v>131</v>
      </c>
      <c r="Q4437">
        <v>6</v>
      </c>
      <c r="R4437">
        <v>50</v>
      </c>
      <c r="S4437">
        <v>1046</v>
      </c>
      <c r="T4437">
        <v>-40</v>
      </c>
      <c r="U4437">
        <v>51</v>
      </c>
      <c r="V4437">
        <v>480</v>
      </c>
      <c r="W4437">
        <v>29</v>
      </c>
      <c r="X4437">
        <v>29</v>
      </c>
      <c r="Y4437">
        <v>1</v>
      </c>
      <c r="Z4437">
        <v>7</v>
      </c>
      <c r="AA4437">
        <v>26</v>
      </c>
      <c r="AB4437">
        <v>3</v>
      </c>
      <c r="AC4437">
        <v>5</v>
      </c>
      <c r="AD4437">
        <v>3.25</v>
      </c>
      <c r="AE4437">
        <v>5</v>
      </c>
      <c r="AF4437">
        <v>38</v>
      </c>
      <c r="AG4437">
        <v>3.24099994</v>
      </c>
      <c r="AH4437">
        <v>4</v>
      </c>
      <c r="AI4437">
        <v>17</v>
      </c>
      <c r="AJ4437">
        <v>1</v>
      </c>
      <c r="AK4437">
        <v>19</v>
      </c>
      <c r="AL4437">
        <v>50</v>
      </c>
      <c r="AM4437" t="s">
        <v>43</v>
      </c>
      <c r="AN4437" t="str">
        <f>HYPERLINK("https://www.google.com/maps?q=10.76573944,79.78377533","Open Location")</f>
        <v>Open Location</v>
      </c>
    </row>
    <row r="4438" spans="1:40" x14ac:dyDescent="0.3">
      <c r="A4438" s="1">
        <v>46210.485648148147</v>
      </c>
      <c r="B4438" t="s">
        <v>40</v>
      </c>
      <c r="C4438" t="s">
        <v>41</v>
      </c>
      <c r="D4438" s="1">
        <v>46210.488819444443</v>
      </c>
      <c r="E4438" t="s">
        <v>42</v>
      </c>
      <c r="F4438" t="s">
        <v>83</v>
      </c>
      <c r="G4438">
        <v>37</v>
      </c>
      <c r="H4438">
        <v>33098</v>
      </c>
      <c r="I4438" t="s">
        <v>43</v>
      </c>
      <c r="J4438">
        <v>52</v>
      </c>
      <c r="K4438">
        <v>58</v>
      </c>
      <c r="L4438">
        <v>98</v>
      </c>
      <c r="M4438">
        <v>624.90002441000001</v>
      </c>
      <c r="N4438" t="s">
        <v>87</v>
      </c>
      <c r="O4438" t="s">
        <v>86</v>
      </c>
      <c r="P4438">
        <v>131</v>
      </c>
      <c r="Q4438">
        <v>6</v>
      </c>
      <c r="R4438">
        <v>32</v>
      </c>
      <c r="S4438">
        <v>1039</v>
      </c>
      <c r="T4438">
        <v>-40</v>
      </c>
      <c r="U4438">
        <v>50</v>
      </c>
      <c r="V4438">
        <v>295</v>
      </c>
      <c r="W4438">
        <v>29</v>
      </c>
      <c r="X4438">
        <v>29</v>
      </c>
      <c r="Y4438">
        <v>1</v>
      </c>
      <c r="Z4438">
        <v>7</v>
      </c>
      <c r="AA4438">
        <v>26</v>
      </c>
      <c r="AB4438">
        <v>3</v>
      </c>
      <c r="AC4438">
        <v>6</v>
      </c>
      <c r="AD4438">
        <v>3.2579999000000002</v>
      </c>
      <c r="AE4438">
        <v>5</v>
      </c>
      <c r="AF4438">
        <v>38</v>
      </c>
      <c r="AG4438">
        <v>3.2509999299999999</v>
      </c>
      <c r="AH4438">
        <v>4</v>
      </c>
      <c r="AI4438">
        <v>17</v>
      </c>
      <c r="AJ4438">
        <v>1</v>
      </c>
      <c r="AK4438">
        <v>19</v>
      </c>
      <c r="AL4438">
        <v>50</v>
      </c>
      <c r="AM4438" t="s">
        <v>43</v>
      </c>
      <c r="AN4438" t="s">
        <v>43</v>
      </c>
    </row>
    <row r="4439" spans="1:40" x14ac:dyDescent="0.3">
      <c r="A4439" s="1">
        <v>46210.485532407409</v>
      </c>
      <c r="B4439" t="s">
        <v>40</v>
      </c>
      <c r="C4439" t="s">
        <v>41</v>
      </c>
      <c r="D4439" s="1">
        <v>46210.488819444443</v>
      </c>
      <c r="E4439" t="s">
        <v>42</v>
      </c>
      <c r="F4439" t="s">
        <v>83</v>
      </c>
      <c r="G4439">
        <v>38</v>
      </c>
      <c r="H4439">
        <v>33097</v>
      </c>
      <c r="I4439" t="s">
        <v>2493</v>
      </c>
      <c r="J4439">
        <v>52</v>
      </c>
      <c r="K4439">
        <v>37</v>
      </c>
      <c r="L4439">
        <v>98</v>
      </c>
      <c r="M4439">
        <v>624.29998779000005</v>
      </c>
      <c r="N4439" t="s">
        <v>87</v>
      </c>
      <c r="O4439" t="s">
        <v>86</v>
      </c>
      <c r="P4439">
        <v>131</v>
      </c>
      <c r="Q4439">
        <v>6</v>
      </c>
      <c r="R4439">
        <v>13</v>
      </c>
      <c r="S4439">
        <v>1033</v>
      </c>
      <c r="T4439">
        <v>-40</v>
      </c>
      <c r="U4439">
        <v>51</v>
      </c>
      <c r="V4439">
        <v>204</v>
      </c>
      <c r="W4439">
        <v>29</v>
      </c>
      <c r="X4439">
        <v>29</v>
      </c>
      <c r="Y4439">
        <v>1</v>
      </c>
      <c r="Z4439">
        <v>7</v>
      </c>
      <c r="AA4439">
        <v>26</v>
      </c>
      <c r="AB4439">
        <v>3</v>
      </c>
      <c r="AC4439">
        <v>6</v>
      </c>
      <c r="AD4439">
        <v>3.2630000099999998</v>
      </c>
      <c r="AE4439">
        <v>1</v>
      </c>
      <c r="AF4439">
        <v>1</v>
      </c>
      <c r="AG4439">
        <v>3.25900006</v>
      </c>
      <c r="AH4439">
        <v>4</v>
      </c>
      <c r="AI4439">
        <v>17</v>
      </c>
      <c r="AJ4439">
        <v>1</v>
      </c>
      <c r="AK4439">
        <v>19</v>
      </c>
      <c r="AL4439">
        <v>50</v>
      </c>
      <c r="AM4439" t="s">
        <v>43</v>
      </c>
      <c r="AN4439" t="str">
        <f>HYPERLINK("https://www.google.com/maps?q=10.76575184,79.78491211","Open Location")</f>
        <v>Open Location</v>
      </c>
    </row>
    <row r="4440" spans="1:40" x14ac:dyDescent="0.3">
      <c r="A4440" s="1">
        <v>46210.48541666667</v>
      </c>
      <c r="B4440" t="s">
        <v>40</v>
      </c>
      <c r="C4440" t="s">
        <v>41</v>
      </c>
      <c r="D4440" s="1">
        <v>46210.488310185188</v>
      </c>
      <c r="E4440" t="s">
        <v>42</v>
      </c>
      <c r="F4440" t="s">
        <v>83</v>
      </c>
      <c r="G4440">
        <v>39</v>
      </c>
      <c r="H4440">
        <v>33097</v>
      </c>
      <c r="I4440" t="s">
        <v>2494</v>
      </c>
      <c r="J4440">
        <v>52</v>
      </c>
      <c r="K4440">
        <v>45</v>
      </c>
      <c r="L4440">
        <v>98</v>
      </c>
      <c r="M4440">
        <v>624.29998779000005</v>
      </c>
      <c r="N4440" t="s">
        <v>87</v>
      </c>
      <c r="O4440" t="s">
        <v>86</v>
      </c>
      <c r="P4440">
        <v>131</v>
      </c>
      <c r="Q4440">
        <v>6</v>
      </c>
      <c r="R4440">
        <v>68</v>
      </c>
      <c r="S4440">
        <v>1078</v>
      </c>
      <c r="T4440">
        <v>-40</v>
      </c>
      <c r="U4440">
        <v>52</v>
      </c>
      <c r="V4440">
        <v>200</v>
      </c>
      <c r="W4440">
        <v>29</v>
      </c>
      <c r="X4440">
        <v>29</v>
      </c>
      <c r="Y4440">
        <v>1</v>
      </c>
      <c r="Z4440">
        <v>7</v>
      </c>
      <c r="AA4440">
        <v>26</v>
      </c>
      <c r="AB4440">
        <v>3</v>
      </c>
      <c r="AC4440">
        <v>6</v>
      </c>
      <c r="AD4440">
        <v>3.25300002</v>
      </c>
      <c r="AE4440">
        <v>5</v>
      </c>
      <c r="AF4440">
        <v>3</v>
      </c>
      <c r="AG4440">
        <v>3.2460000500000001</v>
      </c>
      <c r="AH4440">
        <v>4</v>
      </c>
      <c r="AI4440">
        <v>17</v>
      </c>
      <c r="AJ4440">
        <v>1</v>
      </c>
      <c r="AK4440">
        <v>19</v>
      </c>
      <c r="AL4440">
        <v>50</v>
      </c>
      <c r="AM4440" t="s">
        <v>43</v>
      </c>
      <c r="AN4440" t="str">
        <f>HYPERLINK("https://www.google.com/maps?q=10.76568794,79.78608704","Open Location")</f>
        <v>Open Location</v>
      </c>
    </row>
    <row r="4441" spans="1:40" x14ac:dyDescent="0.3">
      <c r="A4441" s="1">
        <v>46210.485300925924</v>
      </c>
      <c r="B4441" t="s">
        <v>40</v>
      </c>
      <c r="C4441" t="s">
        <v>41</v>
      </c>
      <c r="D4441" s="1">
        <v>46210.488182870373</v>
      </c>
      <c r="E4441" t="s">
        <v>42</v>
      </c>
      <c r="F4441" t="s">
        <v>83</v>
      </c>
      <c r="G4441">
        <v>40</v>
      </c>
      <c r="H4441">
        <v>33097</v>
      </c>
      <c r="I4441" t="s">
        <v>2495</v>
      </c>
      <c r="J4441">
        <v>52</v>
      </c>
      <c r="K4441">
        <v>88</v>
      </c>
      <c r="L4441">
        <v>98</v>
      </c>
      <c r="M4441">
        <v>622.90002441000001</v>
      </c>
      <c r="N4441" t="s">
        <v>87</v>
      </c>
      <c r="O4441" t="s">
        <v>86</v>
      </c>
      <c r="P4441">
        <v>131</v>
      </c>
      <c r="Q4441">
        <v>6</v>
      </c>
      <c r="R4441">
        <v>48</v>
      </c>
      <c r="S4441">
        <v>1098</v>
      </c>
      <c r="T4441">
        <v>-40</v>
      </c>
      <c r="U4441">
        <v>52</v>
      </c>
      <c r="V4441">
        <v>440</v>
      </c>
      <c r="W4441">
        <v>29</v>
      </c>
      <c r="X4441">
        <v>29</v>
      </c>
      <c r="Y4441">
        <v>1</v>
      </c>
      <c r="Z4441">
        <v>7</v>
      </c>
      <c r="AA4441">
        <v>26</v>
      </c>
      <c r="AB4441">
        <v>7</v>
      </c>
      <c r="AC4441">
        <v>5</v>
      </c>
      <c r="AD4441">
        <v>3.2490000700000001</v>
      </c>
      <c r="AE4441">
        <v>5</v>
      </c>
      <c r="AF4441">
        <v>3</v>
      </c>
      <c r="AG4441">
        <v>3.24099994</v>
      </c>
      <c r="AH4441">
        <v>4</v>
      </c>
      <c r="AI4441">
        <v>17</v>
      </c>
      <c r="AJ4441">
        <v>1</v>
      </c>
      <c r="AK4441">
        <v>19</v>
      </c>
      <c r="AL4441">
        <v>50</v>
      </c>
      <c r="AM4441" t="s">
        <v>43</v>
      </c>
      <c r="AN4441" t="str">
        <f>HYPERLINK("https://www.google.com/maps?q=10.76553535,79.78739166","Open Location")</f>
        <v>Open Location</v>
      </c>
    </row>
    <row r="4442" spans="1:40" x14ac:dyDescent="0.3">
      <c r="A4442" s="1">
        <v>46210.485185185185</v>
      </c>
      <c r="B4442" t="s">
        <v>40</v>
      </c>
      <c r="C4442" t="s">
        <v>41</v>
      </c>
      <c r="D4442" s="1">
        <v>46210.488171296296</v>
      </c>
      <c r="E4442" t="s">
        <v>42</v>
      </c>
      <c r="F4442" t="s">
        <v>83</v>
      </c>
      <c r="G4442">
        <v>40</v>
      </c>
      <c r="H4442">
        <v>33097</v>
      </c>
      <c r="I4442" t="s">
        <v>2496</v>
      </c>
      <c r="J4442">
        <v>52</v>
      </c>
      <c r="K4442">
        <v>99</v>
      </c>
      <c r="L4442">
        <v>98</v>
      </c>
      <c r="M4442">
        <v>622</v>
      </c>
      <c r="N4442" t="s">
        <v>87</v>
      </c>
      <c r="O4442" t="s">
        <v>86</v>
      </c>
      <c r="P4442">
        <v>131</v>
      </c>
      <c r="Q4442">
        <v>6</v>
      </c>
      <c r="R4442">
        <v>55</v>
      </c>
      <c r="S4442">
        <v>1110</v>
      </c>
      <c r="T4442">
        <v>-40</v>
      </c>
      <c r="U4442">
        <v>52</v>
      </c>
      <c r="V4442">
        <v>480</v>
      </c>
      <c r="W4442">
        <v>29</v>
      </c>
      <c r="X4442">
        <v>29</v>
      </c>
      <c r="Y4442">
        <v>1</v>
      </c>
      <c r="Z4442">
        <v>7</v>
      </c>
      <c r="AA4442">
        <v>26</v>
      </c>
      <c r="AB4442">
        <v>7</v>
      </c>
      <c r="AC4442">
        <v>5</v>
      </c>
      <c r="AD4442">
        <v>3.2479999099999999</v>
      </c>
      <c r="AE4442">
        <v>5</v>
      </c>
      <c r="AF4442">
        <v>38</v>
      </c>
      <c r="AG4442">
        <v>3.2390000799999998</v>
      </c>
      <c r="AH4442">
        <v>6</v>
      </c>
      <c r="AI4442">
        <v>24</v>
      </c>
      <c r="AJ4442">
        <v>1</v>
      </c>
      <c r="AK4442">
        <v>19</v>
      </c>
      <c r="AL4442">
        <v>50</v>
      </c>
      <c r="AM4442" t="s">
        <v>43</v>
      </c>
      <c r="AN4442" t="str">
        <f>HYPERLINK("https://www.google.com/maps?q=10.76532173,79.78858185","Open Location")</f>
        <v>Open Location</v>
      </c>
    </row>
    <row r="4443" spans="1:40" x14ac:dyDescent="0.3">
      <c r="A4443" s="1">
        <v>46210.485069444447</v>
      </c>
      <c r="B4443" t="s">
        <v>40</v>
      </c>
      <c r="C4443" t="s">
        <v>41</v>
      </c>
      <c r="D4443" s="1">
        <v>46210.487847222219</v>
      </c>
      <c r="E4443" t="s">
        <v>42</v>
      </c>
      <c r="F4443" t="s">
        <v>83</v>
      </c>
      <c r="G4443">
        <v>40</v>
      </c>
      <c r="H4443">
        <v>33097</v>
      </c>
      <c r="I4443" t="s">
        <v>2497</v>
      </c>
      <c r="J4443">
        <v>53</v>
      </c>
      <c r="K4443">
        <v>99</v>
      </c>
      <c r="L4443">
        <v>98</v>
      </c>
      <c r="M4443">
        <v>622</v>
      </c>
      <c r="N4443" t="s">
        <v>87</v>
      </c>
      <c r="O4443" t="s">
        <v>86</v>
      </c>
      <c r="P4443">
        <v>131</v>
      </c>
      <c r="Q4443">
        <v>6</v>
      </c>
      <c r="R4443">
        <v>60</v>
      </c>
      <c r="S4443">
        <v>1114</v>
      </c>
      <c r="T4443">
        <v>-40</v>
      </c>
      <c r="U4443">
        <v>52</v>
      </c>
      <c r="V4443">
        <v>480</v>
      </c>
      <c r="W4443">
        <v>29</v>
      </c>
      <c r="X4443">
        <v>29</v>
      </c>
      <c r="Y4443">
        <v>1</v>
      </c>
      <c r="Z4443">
        <v>7</v>
      </c>
      <c r="AA4443">
        <v>26</v>
      </c>
      <c r="AB4443">
        <v>7</v>
      </c>
      <c r="AC4443">
        <v>5</v>
      </c>
      <c r="AD4443">
        <v>3.2479999099999999</v>
      </c>
      <c r="AE4443">
        <v>5</v>
      </c>
      <c r="AF4443">
        <v>38</v>
      </c>
      <c r="AG4443">
        <v>3.2390000799999998</v>
      </c>
      <c r="AH4443">
        <v>4</v>
      </c>
      <c r="AI4443">
        <v>17</v>
      </c>
      <c r="AJ4443">
        <v>1</v>
      </c>
      <c r="AK4443">
        <v>20</v>
      </c>
      <c r="AL4443">
        <v>50</v>
      </c>
      <c r="AM4443" t="s">
        <v>43</v>
      </c>
      <c r="AN4443" t="str">
        <f>HYPERLINK("https://www.google.com/maps?q=10.76502228,79.78977966","Open Location")</f>
        <v>Open Location</v>
      </c>
    </row>
    <row r="4444" spans="1:40" x14ac:dyDescent="0.3">
      <c r="A4444" s="1">
        <v>46210.484953703701</v>
      </c>
      <c r="B4444" t="s">
        <v>40</v>
      </c>
      <c r="C4444" t="s">
        <v>41</v>
      </c>
      <c r="D4444" s="1">
        <v>46210.487662037034</v>
      </c>
      <c r="E4444" t="s">
        <v>42</v>
      </c>
      <c r="F4444" t="s">
        <v>83</v>
      </c>
      <c r="G4444">
        <v>40</v>
      </c>
      <c r="H4444" t="s">
        <v>43</v>
      </c>
      <c r="I4444" t="s">
        <v>43</v>
      </c>
      <c r="J4444">
        <v>53</v>
      </c>
      <c r="K4444">
        <v>83</v>
      </c>
      <c r="L4444">
        <v>98</v>
      </c>
      <c r="M4444">
        <v>622.20001220999995</v>
      </c>
      <c r="N4444" t="s">
        <v>87</v>
      </c>
      <c r="O4444" t="s">
        <v>86</v>
      </c>
      <c r="P4444">
        <v>131</v>
      </c>
      <c r="Q4444">
        <v>6</v>
      </c>
      <c r="R4444">
        <v>45</v>
      </c>
      <c r="S4444">
        <v>1117</v>
      </c>
      <c r="T4444">
        <v>-40</v>
      </c>
      <c r="U4444">
        <v>52</v>
      </c>
      <c r="V4444">
        <v>400</v>
      </c>
      <c r="W4444">
        <v>29</v>
      </c>
      <c r="X4444">
        <v>29</v>
      </c>
      <c r="Y4444">
        <v>1</v>
      </c>
      <c r="Z4444">
        <v>7</v>
      </c>
      <c r="AA4444">
        <v>26</v>
      </c>
      <c r="AB4444">
        <v>7</v>
      </c>
      <c r="AC4444">
        <v>5</v>
      </c>
      <c r="AD4444">
        <v>3.2509999299999999</v>
      </c>
      <c r="AE4444">
        <v>5</v>
      </c>
      <c r="AF4444">
        <v>38</v>
      </c>
      <c r="AG4444">
        <v>3.2430000300000001</v>
      </c>
      <c r="AH4444">
        <v>4</v>
      </c>
      <c r="AI4444">
        <v>17</v>
      </c>
      <c r="AJ4444">
        <v>1</v>
      </c>
      <c r="AK4444">
        <v>18</v>
      </c>
      <c r="AL4444">
        <v>50</v>
      </c>
      <c r="AM4444" t="s">
        <v>43</v>
      </c>
      <c r="AN4444" t="s">
        <v>43</v>
      </c>
    </row>
    <row r="4445" spans="1:40" x14ac:dyDescent="0.3">
      <c r="A4445" s="1">
        <v>46210.484837962962</v>
      </c>
      <c r="B4445" t="s">
        <v>40</v>
      </c>
      <c r="C4445" t="s">
        <v>41</v>
      </c>
      <c r="D4445" s="1">
        <v>46210.487719907411</v>
      </c>
      <c r="E4445" t="s">
        <v>42</v>
      </c>
      <c r="F4445" t="s">
        <v>83</v>
      </c>
      <c r="G4445">
        <v>41</v>
      </c>
      <c r="H4445">
        <v>33097</v>
      </c>
      <c r="I4445" t="s">
        <v>2498</v>
      </c>
      <c r="J4445">
        <v>53</v>
      </c>
      <c r="K4445">
        <v>82</v>
      </c>
      <c r="L4445">
        <v>98</v>
      </c>
      <c r="M4445">
        <v>622.70001220999995</v>
      </c>
      <c r="N4445" t="s">
        <v>87</v>
      </c>
      <c r="O4445" t="s">
        <v>86</v>
      </c>
      <c r="P4445">
        <v>131</v>
      </c>
      <c r="Q4445">
        <v>6</v>
      </c>
      <c r="R4445">
        <v>47</v>
      </c>
      <c r="S4445">
        <v>1134</v>
      </c>
      <c r="T4445">
        <v>-40</v>
      </c>
      <c r="U4445">
        <v>52</v>
      </c>
      <c r="V4445">
        <v>380</v>
      </c>
      <c r="W4445">
        <v>29</v>
      </c>
      <c r="X4445">
        <v>29</v>
      </c>
      <c r="Y4445">
        <v>1</v>
      </c>
      <c r="Z4445">
        <v>1</v>
      </c>
      <c r="AA4445">
        <v>26</v>
      </c>
      <c r="AB4445">
        <v>7</v>
      </c>
      <c r="AC4445">
        <v>5</v>
      </c>
      <c r="AD4445">
        <v>3.25</v>
      </c>
      <c r="AE4445">
        <v>5</v>
      </c>
      <c r="AF4445">
        <v>38</v>
      </c>
      <c r="AG4445">
        <v>3.2420000999999998</v>
      </c>
      <c r="AH4445">
        <v>4</v>
      </c>
      <c r="AI4445">
        <v>17</v>
      </c>
      <c r="AJ4445">
        <v>1</v>
      </c>
      <c r="AK4445">
        <v>18</v>
      </c>
      <c r="AL4445">
        <v>50</v>
      </c>
      <c r="AM4445" t="s">
        <v>43</v>
      </c>
      <c r="AN4445" t="str">
        <f>HYPERLINK("https://www.google.com/maps?q=10.76464081,79.79096222","Open Location")</f>
        <v>Open Location</v>
      </c>
    </row>
    <row r="4446" spans="1:40" x14ac:dyDescent="0.3">
      <c r="A4446" s="1">
        <v>46210.484722222223</v>
      </c>
      <c r="B4446" t="s">
        <v>40</v>
      </c>
      <c r="C4446" t="s">
        <v>41</v>
      </c>
      <c r="D4446" s="1">
        <v>46210.487812500003</v>
      </c>
      <c r="E4446" t="s">
        <v>42</v>
      </c>
      <c r="F4446" t="s">
        <v>83</v>
      </c>
      <c r="G4446">
        <v>41</v>
      </c>
      <c r="H4446">
        <v>33097</v>
      </c>
      <c r="I4446" t="s">
        <v>2499</v>
      </c>
      <c r="J4446">
        <v>53</v>
      </c>
      <c r="K4446">
        <v>97</v>
      </c>
      <c r="L4446">
        <v>98</v>
      </c>
      <c r="M4446">
        <v>621.20001220999995</v>
      </c>
      <c r="N4446" t="s">
        <v>87</v>
      </c>
      <c r="O4446" t="s">
        <v>86</v>
      </c>
      <c r="P4446">
        <v>131</v>
      </c>
      <c r="Q4446">
        <v>6</v>
      </c>
      <c r="R4446">
        <v>52</v>
      </c>
      <c r="S4446">
        <v>1134</v>
      </c>
      <c r="T4446">
        <v>-40</v>
      </c>
      <c r="U4446">
        <v>52</v>
      </c>
      <c r="V4446">
        <v>460</v>
      </c>
      <c r="W4446">
        <v>29</v>
      </c>
      <c r="X4446">
        <v>29</v>
      </c>
      <c r="Y4446">
        <v>1</v>
      </c>
      <c r="Z4446">
        <v>1</v>
      </c>
      <c r="AA4446">
        <v>26</v>
      </c>
      <c r="AB4446">
        <v>7</v>
      </c>
      <c r="AC4446">
        <v>6</v>
      </c>
      <c r="AD4446">
        <v>3.2460000500000001</v>
      </c>
      <c r="AE4446">
        <v>1</v>
      </c>
      <c r="AF4446">
        <v>44</v>
      </c>
      <c r="AG4446">
        <v>3.2369999900000002</v>
      </c>
      <c r="AH4446">
        <v>4</v>
      </c>
      <c r="AI4446">
        <v>24</v>
      </c>
      <c r="AJ4446">
        <v>1</v>
      </c>
      <c r="AK4446">
        <v>17</v>
      </c>
      <c r="AL4446">
        <v>50</v>
      </c>
      <c r="AM4446" t="s">
        <v>43</v>
      </c>
      <c r="AN4446" t="str">
        <f>HYPERLINK("https://www.google.com/maps?q=10.76419544,79.79212189","Open Location")</f>
        <v>Open Location</v>
      </c>
    </row>
    <row r="4447" spans="1:40" x14ac:dyDescent="0.3">
      <c r="A4447" s="1">
        <v>46210.484606481485</v>
      </c>
      <c r="B4447" t="s">
        <v>40</v>
      </c>
      <c r="C4447" t="s">
        <v>41</v>
      </c>
      <c r="D4447" s="1">
        <v>46210.487476851849</v>
      </c>
      <c r="E4447" t="s">
        <v>42</v>
      </c>
      <c r="F4447" t="s">
        <v>83</v>
      </c>
      <c r="G4447">
        <v>40</v>
      </c>
      <c r="H4447">
        <v>33097</v>
      </c>
      <c r="I4447" t="s">
        <v>2500</v>
      </c>
      <c r="J4447">
        <v>53</v>
      </c>
      <c r="K4447">
        <v>107</v>
      </c>
      <c r="L4447">
        <v>98</v>
      </c>
      <c r="M4447">
        <v>621.20001220999995</v>
      </c>
      <c r="N4447" t="s">
        <v>87</v>
      </c>
      <c r="O4447" t="s">
        <v>86</v>
      </c>
      <c r="P4447">
        <v>131</v>
      </c>
      <c r="Q4447">
        <v>6</v>
      </c>
      <c r="R4447">
        <v>61</v>
      </c>
      <c r="S4447">
        <v>1130</v>
      </c>
      <c r="T4447">
        <v>-40</v>
      </c>
      <c r="U4447">
        <v>52</v>
      </c>
      <c r="V4447">
        <v>520</v>
      </c>
      <c r="W4447">
        <v>29</v>
      </c>
      <c r="X4447">
        <v>29</v>
      </c>
      <c r="Y4447">
        <v>1</v>
      </c>
      <c r="Z4447">
        <v>1</v>
      </c>
      <c r="AA4447">
        <v>26</v>
      </c>
      <c r="AB4447">
        <v>7</v>
      </c>
      <c r="AC4447">
        <v>6</v>
      </c>
      <c r="AD4447">
        <v>3.24399996</v>
      </c>
      <c r="AE4447">
        <v>1</v>
      </c>
      <c r="AF4447">
        <v>41</v>
      </c>
      <c r="AG4447">
        <v>3.2349999</v>
      </c>
      <c r="AH4447">
        <v>6</v>
      </c>
      <c r="AI4447">
        <v>24</v>
      </c>
      <c r="AJ4447">
        <v>1</v>
      </c>
      <c r="AK4447">
        <v>17</v>
      </c>
      <c r="AL4447">
        <v>50</v>
      </c>
      <c r="AM4447" t="s">
        <v>43</v>
      </c>
      <c r="AN4447" t="str">
        <f>HYPERLINK("https://www.google.com/maps?q=10.76372242,79.79328156","Open Location")</f>
        <v>Open Location</v>
      </c>
    </row>
    <row r="4448" spans="1:40" x14ac:dyDescent="0.3">
      <c r="A4448" s="1">
        <v>46210.484490740739</v>
      </c>
      <c r="B4448" t="s">
        <v>40</v>
      </c>
      <c r="C4448" t="s">
        <v>41</v>
      </c>
      <c r="D4448" s="1">
        <v>46210.487349537034</v>
      </c>
      <c r="E4448" t="s">
        <v>42</v>
      </c>
      <c r="F4448" t="s">
        <v>83</v>
      </c>
      <c r="G4448">
        <v>39</v>
      </c>
      <c r="H4448">
        <v>33096</v>
      </c>
      <c r="I4448" t="s">
        <v>2501</v>
      </c>
      <c r="J4448">
        <v>53</v>
      </c>
      <c r="K4448">
        <v>109</v>
      </c>
      <c r="L4448">
        <v>98</v>
      </c>
      <c r="M4448">
        <v>621</v>
      </c>
      <c r="N4448" t="s">
        <v>87</v>
      </c>
      <c r="O4448" t="s">
        <v>86</v>
      </c>
      <c r="P4448">
        <v>130</v>
      </c>
      <c r="Q4448">
        <v>5</v>
      </c>
      <c r="R4448">
        <v>111</v>
      </c>
      <c r="S4448">
        <v>1113</v>
      </c>
      <c r="T4448">
        <v>-40</v>
      </c>
      <c r="U4448">
        <v>53</v>
      </c>
      <c r="V4448">
        <v>540</v>
      </c>
      <c r="W4448">
        <v>29</v>
      </c>
      <c r="X4448">
        <v>29</v>
      </c>
      <c r="Y4448">
        <v>1</v>
      </c>
      <c r="Z4448">
        <v>1</v>
      </c>
      <c r="AA4448">
        <v>26</v>
      </c>
      <c r="AB4448">
        <v>7</v>
      </c>
      <c r="AC4448">
        <v>6</v>
      </c>
      <c r="AD4448">
        <v>3.23200011</v>
      </c>
      <c r="AE4448">
        <v>5</v>
      </c>
      <c r="AF4448">
        <v>38</v>
      </c>
      <c r="AG4448">
        <v>3.21700001</v>
      </c>
      <c r="AH4448">
        <v>4</v>
      </c>
      <c r="AI4448">
        <v>24</v>
      </c>
      <c r="AJ4448">
        <v>1</v>
      </c>
      <c r="AK4448">
        <v>17</v>
      </c>
      <c r="AL4448">
        <v>50</v>
      </c>
      <c r="AM4448" t="s">
        <v>43</v>
      </c>
      <c r="AN4448" t="str">
        <f>HYPERLINK("https://www.google.com/maps?q=10.76322842,79.79449463","Open Location")</f>
        <v>Open Location</v>
      </c>
    </row>
    <row r="4449" spans="1:40" x14ac:dyDescent="0.3">
      <c r="A4449" s="1">
        <v>46210.484375</v>
      </c>
      <c r="B4449" t="s">
        <v>40</v>
      </c>
      <c r="C4449" t="s">
        <v>41</v>
      </c>
      <c r="D4449" s="1">
        <v>46210.487476851849</v>
      </c>
      <c r="E4449" t="s">
        <v>42</v>
      </c>
      <c r="F4449" t="s">
        <v>83</v>
      </c>
      <c r="G4449">
        <v>36</v>
      </c>
      <c r="H4449">
        <v>33096</v>
      </c>
      <c r="I4449" t="s">
        <v>43</v>
      </c>
      <c r="J4449">
        <v>53</v>
      </c>
      <c r="K4449">
        <v>185</v>
      </c>
      <c r="L4449">
        <v>98</v>
      </c>
      <c r="M4449">
        <v>618.20001220999995</v>
      </c>
      <c r="N4449" t="s">
        <v>87</v>
      </c>
      <c r="O4449" t="s">
        <v>86</v>
      </c>
      <c r="P4449">
        <v>130</v>
      </c>
      <c r="Q4449">
        <v>5</v>
      </c>
      <c r="R4449">
        <v>93</v>
      </c>
      <c r="S4449">
        <v>1724</v>
      </c>
      <c r="T4449">
        <v>-40</v>
      </c>
      <c r="U4449">
        <v>53</v>
      </c>
      <c r="V4449">
        <v>600</v>
      </c>
      <c r="W4449">
        <v>29</v>
      </c>
      <c r="X4449">
        <v>29</v>
      </c>
      <c r="Y4449">
        <v>1</v>
      </c>
      <c r="Z4449">
        <v>1</v>
      </c>
      <c r="AA4449">
        <v>26</v>
      </c>
      <c r="AB4449">
        <v>7</v>
      </c>
      <c r="AC4449">
        <v>6</v>
      </c>
      <c r="AD4449">
        <v>3.2360000599999998</v>
      </c>
      <c r="AE4449">
        <v>1</v>
      </c>
      <c r="AF4449">
        <v>42</v>
      </c>
      <c r="AG4449">
        <v>3.2249998999999998</v>
      </c>
      <c r="AH4449">
        <v>4</v>
      </c>
      <c r="AI4449">
        <v>17</v>
      </c>
      <c r="AJ4449">
        <v>1</v>
      </c>
      <c r="AK4449">
        <v>18</v>
      </c>
      <c r="AL4449">
        <v>50</v>
      </c>
      <c r="AM4449" t="s">
        <v>43</v>
      </c>
      <c r="AN4449" t="s">
        <v>43</v>
      </c>
    </row>
    <row r="4450" spans="1:40" x14ac:dyDescent="0.3">
      <c r="A4450" s="1">
        <v>46210.484259259261</v>
      </c>
      <c r="B4450" t="s">
        <v>40</v>
      </c>
      <c r="C4450" t="s">
        <v>41</v>
      </c>
      <c r="D4450" s="1">
        <v>46210.487118055556</v>
      </c>
      <c r="E4450" t="s">
        <v>42</v>
      </c>
      <c r="F4450" t="s">
        <v>83</v>
      </c>
      <c r="G4450">
        <v>34</v>
      </c>
      <c r="H4450">
        <v>33096</v>
      </c>
      <c r="I4450" t="s">
        <v>2502</v>
      </c>
      <c r="J4450">
        <v>53</v>
      </c>
      <c r="K4450">
        <v>137</v>
      </c>
      <c r="L4450">
        <v>98</v>
      </c>
      <c r="M4450">
        <v>619.59997558999999</v>
      </c>
      <c r="N4450" t="s">
        <v>87</v>
      </c>
      <c r="O4450" t="s">
        <v>86</v>
      </c>
      <c r="P4450">
        <v>130</v>
      </c>
      <c r="Q4450">
        <v>5</v>
      </c>
      <c r="R4450">
        <v>85</v>
      </c>
      <c r="S4450">
        <v>1619</v>
      </c>
      <c r="T4450">
        <v>-40</v>
      </c>
      <c r="U4450">
        <v>52</v>
      </c>
      <c r="V4450">
        <v>460</v>
      </c>
      <c r="W4450">
        <v>29</v>
      </c>
      <c r="X4450">
        <v>29</v>
      </c>
      <c r="Y4450">
        <v>1</v>
      </c>
      <c r="Z4450">
        <v>1</v>
      </c>
      <c r="AA4450">
        <v>26</v>
      </c>
      <c r="AB4450">
        <v>7</v>
      </c>
      <c r="AC4450">
        <v>6</v>
      </c>
      <c r="AD4450">
        <v>3.2390000799999998</v>
      </c>
      <c r="AE4450">
        <v>5</v>
      </c>
      <c r="AF4450">
        <v>12</v>
      </c>
      <c r="AG4450">
        <v>3.2279999300000002</v>
      </c>
      <c r="AH4450">
        <v>4</v>
      </c>
      <c r="AI4450">
        <v>24</v>
      </c>
      <c r="AJ4450">
        <v>1</v>
      </c>
      <c r="AK4450">
        <v>18</v>
      </c>
      <c r="AL4450">
        <v>50</v>
      </c>
      <c r="AM4450" t="s">
        <v>43</v>
      </c>
      <c r="AN4450" t="str">
        <f>HYPERLINK("https://www.google.com/maps?q=10.76281166,79.79553223","Open Location")</f>
        <v>Open Location</v>
      </c>
    </row>
    <row r="4451" spans="1:40" x14ac:dyDescent="0.3">
      <c r="A4451" s="1">
        <v>46210.484143518515</v>
      </c>
      <c r="B4451" t="s">
        <v>40</v>
      </c>
      <c r="C4451" t="s">
        <v>41</v>
      </c>
      <c r="D4451" s="1">
        <v>46210.486956018518</v>
      </c>
      <c r="E4451" t="s">
        <v>42</v>
      </c>
      <c r="F4451" t="s">
        <v>83</v>
      </c>
      <c r="G4451">
        <v>33</v>
      </c>
      <c r="H4451">
        <v>33096</v>
      </c>
      <c r="I4451" t="s">
        <v>2503</v>
      </c>
      <c r="J4451">
        <v>53</v>
      </c>
      <c r="K4451">
        <v>135</v>
      </c>
      <c r="L4451">
        <v>98</v>
      </c>
      <c r="M4451">
        <v>620.59997558999999</v>
      </c>
      <c r="N4451" t="s">
        <v>87</v>
      </c>
      <c r="O4451" t="s">
        <v>86</v>
      </c>
      <c r="P4451">
        <v>130</v>
      </c>
      <c r="Q4451">
        <v>5</v>
      </c>
      <c r="R4451">
        <v>115</v>
      </c>
      <c r="S4451">
        <v>1545</v>
      </c>
      <c r="T4451">
        <v>-40</v>
      </c>
      <c r="U4451">
        <v>51</v>
      </c>
      <c r="V4451">
        <v>480</v>
      </c>
      <c r="W4451">
        <v>29</v>
      </c>
      <c r="X4451">
        <v>29</v>
      </c>
      <c r="Y4451">
        <v>1</v>
      </c>
      <c r="Z4451">
        <v>1</v>
      </c>
      <c r="AA4451">
        <v>26</v>
      </c>
      <c r="AB4451">
        <v>7</v>
      </c>
      <c r="AC4451">
        <v>6</v>
      </c>
      <c r="AD4451">
        <v>3.2420000999999998</v>
      </c>
      <c r="AE4451">
        <v>1</v>
      </c>
      <c r="AF4451">
        <v>38</v>
      </c>
      <c r="AG4451">
        <v>3.23200011</v>
      </c>
      <c r="AH4451">
        <v>4</v>
      </c>
      <c r="AI4451">
        <v>24</v>
      </c>
      <c r="AJ4451">
        <v>1</v>
      </c>
      <c r="AK4451">
        <v>18</v>
      </c>
      <c r="AL4451">
        <v>50</v>
      </c>
      <c r="AM4451" t="s">
        <v>43</v>
      </c>
      <c r="AN4451" t="str">
        <f>HYPERLINK("https://www.google.com/maps?q=10.76245213,79.79653168","Open Location")</f>
        <v>Open Location</v>
      </c>
    </row>
    <row r="4452" spans="1:40" x14ac:dyDescent="0.3">
      <c r="A4452" s="1">
        <v>46210.484027777777</v>
      </c>
      <c r="B4452" t="s">
        <v>40</v>
      </c>
      <c r="C4452" t="s">
        <v>41</v>
      </c>
      <c r="D4452" s="1">
        <v>46210.486759259256</v>
      </c>
      <c r="E4452" t="s">
        <v>42</v>
      </c>
      <c r="F4452" t="s">
        <v>83</v>
      </c>
      <c r="G4452">
        <v>32</v>
      </c>
      <c r="H4452">
        <v>33096</v>
      </c>
      <c r="I4452" t="s">
        <v>2504</v>
      </c>
      <c r="J4452">
        <v>53</v>
      </c>
      <c r="K4452">
        <v>-1</v>
      </c>
      <c r="L4452">
        <v>98</v>
      </c>
      <c r="M4452">
        <v>626.40002441000001</v>
      </c>
      <c r="N4452" t="s">
        <v>87</v>
      </c>
      <c r="O4452" t="s">
        <v>86</v>
      </c>
      <c r="P4452">
        <v>130</v>
      </c>
      <c r="Q4452">
        <v>5</v>
      </c>
      <c r="R4452">
        <v>87</v>
      </c>
      <c r="S4452">
        <v>1531</v>
      </c>
      <c r="T4452">
        <v>-40</v>
      </c>
      <c r="U4452">
        <v>54</v>
      </c>
      <c r="V4452">
        <v>-112</v>
      </c>
      <c r="W4452">
        <v>29</v>
      </c>
      <c r="X4452">
        <v>29</v>
      </c>
      <c r="Y4452">
        <v>1</v>
      </c>
      <c r="Z4452">
        <v>1</v>
      </c>
      <c r="AA4452">
        <v>26</v>
      </c>
      <c r="AB4452">
        <v>7</v>
      </c>
      <c r="AC4452">
        <v>6</v>
      </c>
      <c r="AD4452">
        <v>3.2390000799999998</v>
      </c>
      <c r="AE4452">
        <v>1</v>
      </c>
      <c r="AF4452">
        <v>38</v>
      </c>
      <c r="AG4452">
        <v>3.2279999300000002</v>
      </c>
      <c r="AH4452">
        <v>4</v>
      </c>
      <c r="AI4452">
        <v>17</v>
      </c>
      <c r="AJ4452">
        <v>1</v>
      </c>
      <c r="AK4452">
        <v>18</v>
      </c>
      <c r="AL4452">
        <v>50</v>
      </c>
      <c r="AM4452" t="s">
        <v>43</v>
      </c>
      <c r="AN4452" t="str">
        <f>HYPERLINK("https://www.google.com/maps?q=10.76216888,79.79749298","Open Location")</f>
        <v>Open Location</v>
      </c>
    </row>
    <row r="4453" spans="1:40" x14ac:dyDescent="0.3">
      <c r="A4453" s="1">
        <v>46210.483912037038</v>
      </c>
      <c r="B4453" t="s">
        <v>40</v>
      </c>
      <c r="C4453" t="s">
        <v>41</v>
      </c>
      <c r="D4453" s="1">
        <v>46210.486759259256</v>
      </c>
      <c r="E4453" t="s">
        <v>42</v>
      </c>
      <c r="F4453" t="s">
        <v>83</v>
      </c>
      <c r="G4453">
        <v>27</v>
      </c>
      <c r="H4453" t="s">
        <v>43</v>
      </c>
      <c r="I4453" t="s">
        <v>2505</v>
      </c>
      <c r="J4453">
        <v>53</v>
      </c>
      <c r="K4453">
        <v>208</v>
      </c>
      <c r="L4453">
        <v>98</v>
      </c>
      <c r="M4453">
        <v>615.70001220999995</v>
      </c>
      <c r="N4453" t="s">
        <v>87</v>
      </c>
      <c r="O4453" t="s">
        <v>86</v>
      </c>
      <c r="P4453">
        <v>130</v>
      </c>
      <c r="Q4453" t="s">
        <v>43</v>
      </c>
      <c r="R4453">
        <v>102</v>
      </c>
      <c r="S4453">
        <v>1393</v>
      </c>
      <c r="T4453">
        <v>-40</v>
      </c>
      <c r="U4453">
        <v>53</v>
      </c>
      <c r="V4453">
        <v>916</v>
      </c>
      <c r="W4453">
        <v>29</v>
      </c>
      <c r="X4453">
        <v>29</v>
      </c>
      <c r="Y4453">
        <v>1</v>
      </c>
      <c r="Z4453">
        <v>1</v>
      </c>
      <c r="AA4453">
        <v>26</v>
      </c>
      <c r="AB4453">
        <v>7</v>
      </c>
      <c r="AC4453">
        <v>5</v>
      </c>
      <c r="AD4453" t="s">
        <v>43</v>
      </c>
      <c r="AE4453" t="s">
        <v>43</v>
      </c>
      <c r="AF4453" t="s">
        <v>43</v>
      </c>
      <c r="AG4453" t="s">
        <v>43</v>
      </c>
      <c r="AH4453" t="s">
        <v>43</v>
      </c>
      <c r="AI4453" t="s">
        <v>43</v>
      </c>
      <c r="AJ4453" t="s">
        <v>43</v>
      </c>
      <c r="AK4453" t="s">
        <v>43</v>
      </c>
      <c r="AL4453" t="s">
        <v>43</v>
      </c>
      <c r="AM4453" t="s">
        <v>43</v>
      </c>
      <c r="AN4453" t="str">
        <f>HYPERLINK("https://www.google.com/maps?q=10.76196194,79.79837799","Open Location")</f>
        <v>Open Location</v>
      </c>
    </row>
    <row r="4454" spans="1:40" x14ac:dyDescent="0.3">
      <c r="A4454" s="1">
        <v>46210.483796296299</v>
      </c>
      <c r="B4454" t="s">
        <v>40</v>
      </c>
      <c r="C4454" t="s">
        <v>41</v>
      </c>
      <c r="D4454" s="1">
        <v>46210.486527777779</v>
      </c>
      <c r="E4454" t="s">
        <v>42</v>
      </c>
      <c r="F4454" t="s">
        <v>83</v>
      </c>
      <c r="G4454">
        <v>23</v>
      </c>
      <c r="H4454">
        <v>33096</v>
      </c>
      <c r="I4454" t="s">
        <v>2506</v>
      </c>
      <c r="J4454">
        <v>53</v>
      </c>
      <c r="K4454">
        <v>140</v>
      </c>
      <c r="L4454">
        <v>98</v>
      </c>
      <c r="M4454">
        <v>620.90002441000001</v>
      </c>
      <c r="N4454" t="s">
        <v>87</v>
      </c>
      <c r="O4454" t="s">
        <v>86</v>
      </c>
      <c r="P4454">
        <v>129</v>
      </c>
      <c r="Q4454">
        <v>5</v>
      </c>
      <c r="R4454">
        <v>74</v>
      </c>
      <c r="S4454">
        <v>1181</v>
      </c>
      <c r="T4454">
        <v>-40</v>
      </c>
      <c r="U4454">
        <v>52</v>
      </c>
      <c r="V4454">
        <v>600</v>
      </c>
      <c r="W4454">
        <v>29</v>
      </c>
      <c r="X4454">
        <v>29</v>
      </c>
      <c r="Y4454">
        <v>1</v>
      </c>
      <c r="Z4454">
        <v>1</v>
      </c>
      <c r="AA4454">
        <v>26</v>
      </c>
      <c r="AB4454">
        <v>7</v>
      </c>
      <c r="AC4454">
        <v>5</v>
      </c>
      <c r="AD4454">
        <v>3.25</v>
      </c>
      <c r="AE4454">
        <v>5</v>
      </c>
      <c r="AF4454">
        <v>3</v>
      </c>
      <c r="AG4454">
        <v>3.24099994</v>
      </c>
      <c r="AH4454">
        <v>4</v>
      </c>
      <c r="AI4454">
        <v>24</v>
      </c>
      <c r="AJ4454">
        <v>1</v>
      </c>
      <c r="AK4454">
        <v>18</v>
      </c>
      <c r="AL4454">
        <v>50</v>
      </c>
      <c r="AM4454" t="s">
        <v>43</v>
      </c>
      <c r="AN4454" t="str">
        <f>HYPERLINK("https://www.google.com/maps?q=10.76181221,79.79911041","Open Location")</f>
        <v>Open Location</v>
      </c>
    </row>
    <row r="4455" spans="1:40" x14ac:dyDescent="0.3">
      <c r="A4455" s="1">
        <v>46210.483680555553</v>
      </c>
      <c r="B4455" t="s">
        <v>40</v>
      </c>
      <c r="C4455" t="s">
        <v>41</v>
      </c>
      <c r="D4455" s="1">
        <v>46210.486516203702</v>
      </c>
      <c r="E4455" t="s">
        <v>42</v>
      </c>
      <c r="F4455" t="s">
        <v>83</v>
      </c>
      <c r="G4455">
        <v>17</v>
      </c>
      <c r="H4455">
        <v>33096</v>
      </c>
      <c r="I4455" t="s">
        <v>43</v>
      </c>
      <c r="J4455">
        <v>53</v>
      </c>
      <c r="K4455">
        <v>149</v>
      </c>
      <c r="L4455">
        <v>98</v>
      </c>
      <c r="M4455">
        <v>621.09997558999999</v>
      </c>
      <c r="N4455" t="s">
        <v>87</v>
      </c>
      <c r="O4455" t="s">
        <v>86</v>
      </c>
      <c r="P4455">
        <v>128</v>
      </c>
      <c r="Q4455">
        <v>4</v>
      </c>
      <c r="R4455">
        <v>197</v>
      </c>
      <c r="S4455">
        <v>1641</v>
      </c>
      <c r="T4455">
        <v>-40</v>
      </c>
      <c r="U4455">
        <v>51</v>
      </c>
      <c r="V4455">
        <v>500</v>
      </c>
      <c r="W4455">
        <v>29</v>
      </c>
      <c r="X4455">
        <v>29</v>
      </c>
      <c r="Y4455">
        <v>1</v>
      </c>
      <c r="Z4455">
        <v>1</v>
      </c>
      <c r="AA4455">
        <v>26</v>
      </c>
      <c r="AB4455">
        <v>7</v>
      </c>
      <c r="AC4455">
        <v>5</v>
      </c>
      <c r="AD4455">
        <v>3.2390000799999998</v>
      </c>
      <c r="AE4455">
        <v>5</v>
      </c>
      <c r="AF4455">
        <v>38</v>
      </c>
      <c r="AG4455">
        <v>3.2249998999999998</v>
      </c>
      <c r="AH4455">
        <v>6</v>
      </c>
      <c r="AI4455">
        <v>24</v>
      </c>
      <c r="AJ4455">
        <v>1</v>
      </c>
      <c r="AK4455">
        <v>19</v>
      </c>
      <c r="AL4455">
        <v>50</v>
      </c>
      <c r="AM4455" t="s">
        <v>43</v>
      </c>
      <c r="AN4455" t="s">
        <v>43</v>
      </c>
    </row>
    <row r="4456" spans="1:40" x14ac:dyDescent="0.3">
      <c r="A4456" s="1">
        <v>46210.483564814815</v>
      </c>
      <c r="B4456" t="s">
        <v>40</v>
      </c>
      <c r="C4456" t="s">
        <v>41</v>
      </c>
      <c r="D4456" s="1">
        <v>46210.486574074072</v>
      </c>
      <c r="E4456" t="s">
        <v>42</v>
      </c>
      <c r="F4456" t="s">
        <v>83</v>
      </c>
      <c r="G4456">
        <v>25</v>
      </c>
      <c r="H4456">
        <v>33096</v>
      </c>
      <c r="I4456" t="s">
        <v>2507</v>
      </c>
      <c r="J4456">
        <v>54</v>
      </c>
      <c r="K4456">
        <v>27</v>
      </c>
      <c r="L4456">
        <v>98</v>
      </c>
      <c r="M4456">
        <v>627.59997558999999</v>
      </c>
      <c r="N4456" t="s">
        <v>87</v>
      </c>
      <c r="O4456" t="s">
        <v>86</v>
      </c>
      <c r="P4456">
        <v>130</v>
      </c>
      <c r="Q4456">
        <v>5</v>
      </c>
      <c r="R4456">
        <v>62</v>
      </c>
      <c r="S4456">
        <v>709</v>
      </c>
      <c r="T4456">
        <v>-40</v>
      </c>
      <c r="U4456">
        <v>51</v>
      </c>
      <c r="V4456">
        <v>768</v>
      </c>
      <c r="W4456">
        <v>29</v>
      </c>
      <c r="X4456">
        <v>29</v>
      </c>
      <c r="Y4456">
        <v>1</v>
      </c>
      <c r="Z4456">
        <v>1</v>
      </c>
      <c r="AA4456">
        <v>26</v>
      </c>
      <c r="AB4456">
        <v>7</v>
      </c>
      <c r="AC4456">
        <v>6</v>
      </c>
      <c r="AD4456">
        <v>3.2950000799999999</v>
      </c>
      <c r="AE4456">
        <v>4</v>
      </c>
      <c r="AF4456">
        <v>24</v>
      </c>
      <c r="AG4456">
        <v>3.2899999599999998</v>
      </c>
      <c r="AH4456">
        <v>1</v>
      </c>
      <c r="AI4456">
        <v>4</v>
      </c>
      <c r="AJ4456">
        <v>1</v>
      </c>
      <c r="AK4456">
        <v>17</v>
      </c>
      <c r="AL4456">
        <v>50</v>
      </c>
      <c r="AM4456" t="s">
        <v>43</v>
      </c>
      <c r="AN4456" t="str">
        <f>HYPERLINK("https://www.google.com/maps?q=10.76172256,79.79964447","Open Location")</f>
        <v>Open Location</v>
      </c>
    </row>
    <row r="4457" spans="1:40" x14ac:dyDescent="0.3">
      <c r="A4457" s="1">
        <v>46210.483449074076</v>
      </c>
      <c r="B4457" t="s">
        <v>40</v>
      </c>
      <c r="C4457" t="s">
        <v>41</v>
      </c>
      <c r="D4457" s="1">
        <v>46210.486539351848</v>
      </c>
      <c r="E4457" t="s">
        <v>42</v>
      </c>
      <c r="F4457" t="s">
        <v>83</v>
      </c>
      <c r="G4457">
        <v>33</v>
      </c>
      <c r="H4457">
        <v>33096</v>
      </c>
      <c r="I4457" t="s">
        <v>2508</v>
      </c>
      <c r="J4457">
        <v>54</v>
      </c>
      <c r="K4457">
        <v>76</v>
      </c>
      <c r="L4457">
        <v>98</v>
      </c>
      <c r="M4457">
        <v>625.5</v>
      </c>
      <c r="N4457" t="s">
        <v>87</v>
      </c>
      <c r="O4457" t="s">
        <v>86</v>
      </c>
      <c r="P4457">
        <v>130</v>
      </c>
      <c r="Q4457">
        <v>5</v>
      </c>
      <c r="R4457">
        <v>-29</v>
      </c>
      <c r="S4457">
        <v>1114</v>
      </c>
      <c r="T4457">
        <v>-40</v>
      </c>
      <c r="U4457">
        <v>49</v>
      </c>
      <c r="V4457">
        <v>360</v>
      </c>
      <c r="W4457">
        <v>29</v>
      </c>
      <c r="X4457">
        <v>29</v>
      </c>
      <c r="Y4457">
        <v>1</v>
      </c>
      <c r="Z4457">
        <v>1</v>
      </c>
      <c r="AA4457">
        <v>27</v>
      </c>
      <c r="AB4457">
        <v>2</v>
      </c>
      <c r="AC4457">
        <v>1</v>
      </c>
      <c r="AD4457">
        <v>3.2809998999999999</v>
      </c>
      <c r="AE4457">
        <v>1</v>
      </c>
      <c r="AF4457">
        <v>26</v>
      </c>
      <c r="AG4457">
        <v>3.2780001200000002</v>
      </c>
      <c r="AH4457">
        <v>2</v>
      </c>
      <c r="AI4457">
        <v>3</v>
      </c>
      <c r="AJ4457">
        <v>1</v>
      </c>
      <c r="AK4457">
        <v>18</v>
      </c>
      <c r="AL4457">
        <v>50</v>
      </c>
      <c r="AM4457" t="s">
        <v>43</v>
      </c>
      <c r="AN4457" t="str">
        <f>HYPERLINK("https://www.google.com/maps?q=10.76162529,79.80037689","Open Location")</f>
        <v>Open Location</v>
      </c>
    </row>
    <row r="4458" spans="1:40" x14ac:dyDescent="0.3">
      <c r="A4458" s="1">
        <v>46210.48333333333</v>
      </c>
      <c r="B4458" t="s">
        <v>40</v>
      </c>
      <c r="C4458" t="s">
        <v>41</v>
      </c>
      <c r="D4458" s="1">
        <v>46210.486111111109</v>
      </c>
      <c r="E4458" t="s">
        <v>42</v>
      </c>
      <c r="F4458" t="s">
        <v>83</v>
      </c>
      <c r="G4458">
        <v>38</v>
      </c>
      <c r="H4458" t="s">
        <v>43</v>
      </c>
      <c r="I4458" t="s">
        <v>2509</v>
      </c>
      <c r="J4458">
        <v>54</v>
      </c>
      <c r="K4458">
        <v>-39</v>
      </c>
      <c r="L4458">
        <v>98</v>
      </c>
      <c r="M4458">
        <v>629</v>
      </c>
      <c r="N4458" t="s">
        <v>87</v>
      </c>
      <c r="O4458" t="s">
        <v>86</v>
      </c>
      <c r="P4458">
        <v>130</v>
      </c>
      <c r="Q4458">
        <v>5</v>
      </c>
      <c r="R4458">
        <v>53</v>
      </c>
      <c r="S4458">
        <v>1570</v>
      </c>
      <c r="T4458">
        <v>-40</v>
      </c>
      <c r="U4458">
        <v>49</v>
      </c>
      <c r="V4458">
        <v>-184</v>
      </c>
      <c r="W4458">
        <v>29</v>
      </c>
      <c r="X4458">
        <v>29</v>
      </c>
      <c r="Y4458">
        <v>1</v>
      </c>
      <c r="Z4458">
        <v>1</v>
      </c>
      <c r="AA4458">
        <v>27</v>
      </c>
      <c r="AB4458">
        <v>2</v>
      </c>
      <c r="AC4458">
        <v>1</v>
      </c>
      <c r="AD4458">
        <v>3.2760000200000001</v>
      </c>
      <c r="AE4458">
        <v>1</v>
      </c>
      <c r="AF4458">
        <v>26</v>
      </c>
      <c r="AG4458">
        <v>3.2730000000000001</v>
      </c>
      <c r="AH4458">
        <v>2</v>
      </c>
      <c r="AI4458">
        <v>3</v>
      </c>
      <c r="AJ4458">
        <v>1</v>
      </c>
      <c r="AK4458">
        <v>18</v>
      </c>
      <c r="AL4458">
        <v>50</v>
      </c>
      <c r="AM4458" t="s">
        <v>43</v>
      </c>
      <c r="AN4458" t="str">
        <f>HYPERLINK("https://www.google.com/maps?q=10.76153278,79.80150604","Open Location")</f>
        <v>Open Location</v>
      </c>
    </row>
    <row r="4459" spans="1:40" x14ac:dyDescent="0.3">
      <c r="A4459" s="1">
        <v>46210.483217592591</v>
      </c>
      <c r="B4459" t="s">
        <v>40</v>
      </c>
      <c r="C4459" t="s">
        <v>41</v>
      </c>
      <c r="D4459" s="1">
        <v>46210.486076388886</v>
      </c>
      <c r="E4459" t="s">
        <v>42</v>
      </c>
      <c r="F4459" t="s">
        <v>83</v>
      </c>
      <c r="G4459">
        <v>38</v>
      </c>
      <c r="H4459">
        <v>33096</v>
      </c>
      <c r="I4459" t="s">
        <v>2510</v>
      </c>
      <c r="J4459">
        <v>54</v>
      </c>
      <c r="K4459">
        <v>49</v>
      </c>
      <c r="L4459">
        <v>98</v>
      </c>
      <c r="M4459">
        <v>624.29998779000005</v>
      </c>
      <c r="N4459" t="s">
        <v>87</v>
      </c>
      <c r="O4459" t="s">
        <v>86</v>
      </c>
      <c r="P4459">
        <v>130</v>
      </c>
      <c r="Q4459" t="s">
        <v>43</v>
      </c>
      <c r="R4459">
        <v>47</v>
      </c>
      <c r="S4459">
        <v>1719</v>
      </c>
      <c r="T4459">
        <v>-40</v>
      </c>
      <c r="U4459">
        <v>49</v>
      </c>
      <c r="V4459">
        <v>160</v>
      </c>
      <c r="W4459">
        <v>29</v>
      </c>
      <c r="X4459">
        <v>29</v>
      </c>
      <c r="Y4459">
        <v>1</v>
      </c>
      <c r="Z4459">
        <v>1</v>
      </c>
      <c r="AA4459">
        <v>27</v>
      </c>
      <c r="AB4459">
        <v>2</v>
      </c>
      <c r="AC4459">
        <v>1</v>
      </c>
      <c r="AD4459" t="s">
        <v>43</v>
      </c>
      <c r="AE4459" t="s">
        <v>43</v>
      </c>
      <c r="AF4459" t="s">
        <v>43</v>
      </c>
      <c r="AG4459" t="s">
        <v>43</v>
      </c>
      <c r="AH4459" t="s">
        <v>43</v>
      </c>
      <c r="AI4459" t="s">
        <v>43</v>
      </c>
      <c r="AJ4459" t="s">
        <v>43</v>
      </c>
      <c r="AK4459" t="s">
        <v>43</v>
      </c>
      <c r="AL4459" t="s">
        <v>43</v>
      </c>
      <c r="AM4459" t="s">
        <v>43</v>
      </c>
      <c r="AN4459" t="str">
        <f>HYPERLINK("https://www.google.com/maps?q=10.7614727,79.80267334","Open Location")</f>
        <v>Open Location</v>
      </c>
    </row>
    <row r="4460" spans="1:40" x14ac:dyDescent="0.3">
      <c r="A4460" s="1">
        <v>46210.483101851853</v>
      </c>
      <c r="B4460" t="s">
        <v>40</v>
      </c>
      <c r="C4460" t="s">
        <v>41</v>
      </c>
      <c r="D4460" s="1">
        <v>46210.485925925925</v>
      </c>
      <c r="E4460" t="s">
        <v>42</v>
      </c>
      <c r="F4460" t="s">
        <v>83</v>
      </c>
      <c r="G4460">
        <v>39</v>
      </c>
      <c r="H4460">
        <v>33095</v>
      </c>
      <c r="I4460" t="s">
        <v>2511</v>
      </c>
      <c r="J4460">
        <v>54</v>
      </c>
      <c r="K4460">
        <v>76</v>
      </c>
      <c r="L4460">
        <v>98</v>
      </c>
      <c r="M4460">
        <v>623.09997558999999</v>
      </c>
      <c r="N4460" t="s">
        <v>87</v>
      </c>
      <c r="O4460" t="s">
        <v>86</v>
      </c>
      <c r="P4460">
        <v>130</v>
      </c>
      <c r="Q4460">
        <v>5</v>
      </c>
      <c r="R4460">
        <v>51</v>
      </c>
      <c r="S4460">
        <v>1756</v>
      </c>
      <c r="T4460">
        <v>-40</v>
      </c>
      <c r="U4460">
        <v>50</v>
      </c>
      <c r="V4460">
        <v>240</v>
      </c>
      <c r="W4460">
        <v>29</v>
      </c>
      <c r="X4460">
        <v>29</v>
      </c>
      <c r="Y4460">
        <v>1</v>
      </c>
      <c r="Z4460">
        <v>1</v>
      </c>
      <c r="AA4460">
        <v>27</v>
      </c>
      <c r="AB4460">
        <v>2</v>
      </c>
      <c r="AC4460">
        <v>1</v>
      </c>
      <c r="AD4460">
        <v>3.25</v>
      </c>
      <c r="AE4460">
        <v>1</v>
      </c>
      <c r="AF4460">
        <v>38</v>
      </c>
      <c r="AG4460">
        <v>3.2420000999999998</v>
      </c>
      <c r="AH4460">
        <v>6</v>
      </c>
      <c r="AI4460">
        <v>24</v>
      </c>
      <c r="AJ4460">
        <v>1</v>
      </c>
      <c r="AK4460">
        <v>19</v>
      </c>
      <c r="AL4460">
        <v>50</v>
      </c>
      <c r="AM4460" t="s">
        <v>43</v>
      </c>
      <c r="AN4460" t="str">
        <f>HYPERLINK("https://www.google.com/maps?q=10.7614212,79.8038559","Open Location")</f>
        <v>Open Location</v>
      </c>
    </row>
    <row r="4461" spans="1:40" x14ac:dyDescent="0.3">
      <c r="A4461" s="1">
        <v>46210.482986111114</v>
      </c>
      <c r="B4461" t="s">
        <v>40</v>
      </c>
      <c r="C4461" t="s">
        <v>41</v>
      </c>
      <c r="D4461" s="1">
        <v>46210.486076388886</v>
      </c>
      <c r="E4461" t="s">
        <v>42</v>
      </c>
      <c r="F4461" t="s">
        <v>83</v>
      </c>
      <c r="G4461">
        <v>39</v>
      </c>
      <c r="H4461">
        <v>33095</v>
      </c>
      <c r="I4461" t="s">
        <v>43</v>
      </c>
      <c r="J4461">
        <v>54</v>
      </c>
      <c r="K4461">
        <v>88</v>
      </c>
      <c r="L4461">
        <v>98</v>
      </c>
      <c r="M4461">
        <v>622.5</v>
      </c>
      <c r="N4461" t="s">
        <v>87</v>
      </c>
      <c r="O4461" t="s">
        <v>86</v>
      </c>
      <c r="P4461">
        <v>130</v>
      </c>
      <c r="Q4461">
        <v>5</v>
      </c>
      <c r="R4461">
        <v>48</v>
      </c>
      <c r="S4461">
        <v>1771</v>
      </c>
      <c r="T4461">
        <v>-40</v>
      </c>
      <c r="U4461">
        <v>50</v>
      </c>
      <c r="V4461">
        <v>280</v>
      </c>
      <c r="W4461">
        <v>29</v>
      </c>
      <c r="X4461">
        <v>29</v>
      </c>
      <c r="Y4461">
        <v>1</v>
      </c>
      <c r="Z4461">
        <v>1</v>
      </c>
      <c r="AA4461">
        <v>27</v>
      </c>
      <c r="AB4461">
        <v>2</v>
      </c>
      <c r="AC4461">
        <v>1</v>
      </c>
      <c r="AD4461">
        <v>3.2509999299999999</v>
      </c>
      <c r="AE4461">
        <v>5</v>
      </c>
      <c r="AF4461">
        <v>38</v>
      </c>
      <c r="AG4461">
        <v>3.2430000300000001</v>
      </c>
      <c r="AH4461">
        <v>4</v>
      </c>
      <c r="AI4461">
        <v>17</v>
      </c>
      <c r="AJ4461">
        <v>1</v>
      </c>
      <c r="AK4461">
        <v>19</v>
      </c>
      <c r="AL4461">
        <v>50</v>
      </c>
      <c r="AM4461" t="s">
        <v>43</v>
      </c>
      <c r="AN4461" t="s">
        <v>43</v>
      </c>
    </row>
    <row r="4462" spans="1:40" x14ac:dyDescent="0.3">
      <c r="A4462" s="1">
        <v>46210.482870370368</v>
      </c>
      <c r="B4462" t="s">
        <v>40</v>
      </c>
      <c r="C4462" t="s">
        <v>41</v>
      </c>
      <c r="D4462" s="1">
        <v>46210.485706018517</v>
      </c>
      <c r="E4462" t="s">
        <v>42</v>
      </c>
      <c r="F4462" t="s">
        <v>83</v>
      </c>
      <c r="G4462">
        <v>39</v>
      </c>
      <c r="H4462">
        <v>33095</v>
      </c>
      <c r="I4462" t="s">
        <v>2512</v>
      </c>
      <c r="J4462">
        <v>54</v>
      </c>
      <c r="K4462">
        <v>101</v>
      </c>
      <c r="L4462">
        <v>98</v>
      </c>
      <c r="M4462">
        <v>621.5</v>
      </c>
      <c r="N4462" t="s">
        <v>87</v>
      </c>
      <c r="O4462" t="s">
        <v>86</v>
      </c>
      <c r="P4462">
        <v>130</v>
      </c>
      <c r="Q4462">
        <v>5</v>
      </c>
      <c r="R4462">
        <v>59</v>
      </c>
      <c r="S4462">
        <v>1786</v>
      </c>
      <c r="T4462">
        <v>-40</v>
      </c>
      <c r="U4462">
        <v>50</v>
      </c>
      <c r="V4462">
        <v>320</v>
      </c>
      <c r="W4462">
        <v>29</v>
      </c>
      <c r="X4462">
        <v>29</v>
      </c>
      <c r="Y4462">
        <v>1</v>
      </c>
      <c r="Z4462">
        <v>1</v>
      </c>
      <c r="AA4462">
        <v>27</v>
      </c>
      <c r="AB4462">
        <v>2</v>
      </c>
      <c r="AC4462">
        <v>1</v>
      </c>
      <c r="AD4462">
        <v>3.24699998</v>
      </c>
      <c r="AE4462">
        <v>5</v>
      </c>
      <c r="AF4462">
        <v>38</v>
      </c>
      <c r="AG4462">
        <v>3.23799992</v>
      </c>
      <c r="AH4462">
        <v>4</v>
      </c>
      <c r="AI4462">
        <v>17</v>
      </c>
      <c r="AJ4462">
        <v>1</v>
      </c>
      <c r="AK4462">
        <v>20</v>
      </c>
      <c r="AL4462">
        <v>50</v>
      </c>
      <c r="AM4462" t="s">
        <v>43</v>
      </c>
      <c r="AN4462" t="str">
        <f>HYPERLINK("https://www.google.com/maps?q=10.76136494,79.80505371","Open Location")</f>
        <v>Open Location</v>
      </c>
    </row>
    <row r="4463" spans="1:40" x14ac:dyDescent="0.3">
      <c r="A4463" s="1">
        <v>46210.482754629629</v>
      </c>
      <c r="B4463" t="s">
        <v>40</v>
      </c>
      <c r="C4463" t="s">
        <v>41</v>
      </c>
      <c r="D4463" s="1">
        <v>46210.485555555555</v>
      </c>
      <c r="E4463" t="s">
        <v>42</v>
      </c>
      <c r="F4463" t="s">
        <v>83</v>
      </c>
      <c r="G4463">
        <v>38</v>
      </c>
      <c r="H4463">
        <v>33095</v>
      </c>
      <c r="I4463" t="s">
        <v>2513</v>
      </c>
      <c r="J4463">
        <v>54</v>
      </c>
      <c r="K4463">
        <v>114</v>
      </c>
      <c r="L4463">
        <v>98</v>
      </c>
      <c r="M4463">
        <v>621.29998779000005</v>
      </c>
      <c r="N4463" t="s">
        <v>87</v>
      </c>
      <c r="O4463" t="s">
        <v>86</v>
      </c>
      <c r="P4463">
        <v>130</v>
      </c>
      <c r="Q4463">
        <v>5</v>
      </c>
      <c r="R4463">
        <v>65</v>
      </c>
      <c r="S4463">
        <v>1762</v>
      </c>
      <c r="T4463">
        <v>-40</v>
      </c>
      <c r="U4463">
        <v>51</v>
      </c>
      <c r="V4463">
        <v>360</v>
      </c>
      <c r="W4463">
        <v>29</v>
      </c>
      <c r="X4463">
        <v>29</v>
      </c>
      <c r="Y4463">
        <v>1</v>
      </c>
      <c r="Z4463">
        <v>1</v>
      </c>
      <c r="AA4463">
        <v>27</v>
      </c>
      <c r="AB4463">
        <v>2</v>
      </c>
      <c r="AC4463">
        <v>1</v>
      </c>
      <c r="AD4463">
        <v>3.2449998899999999</v>
      </c>
      <c r="AE4463">
        <v>5</v>
      </c>
      <c r="AF4463">
        <v>38</v>
      </c>
      <c r="AG4463">
        <v>3.2349999</v>
      </c>
      <c r="AH4463">
        <v>4</v>
      </c>
      <c r="AI4463">
        <v>17</v>
      </c>
      <c r="AJ4463">
        <v>1</v>
      </c>
      <c r="AK4463">
        <v>19</v>
      </c>
      <c r="AL4463">
        <v>50</v>
      </c>
      <c r="AM4463" t="s">
        <v>43</v>
      </c>
      <c r="AN4463" t="str">
        <f>HYPERLINK("https://www.google.com/maps?q=10.76131535,79.80625916","Open Location")</f>
        <v>Open Location</v>
      </c>
    </row>
    <row r="4464" spans="1:40" x14ac:dyDescent="0.3">
      <c r="A4464" s="1">
        <v>46210.482638888891</v>
      </c>
      <c r="B4464" t="s">
        <v>40</v>
      </c>
      <c r="C4464" t="s">
        <v>41</v>
      </c>
      <c r="D4464" s="1">
        <v>46210.485347222224</v>
      </c>
      <c r="E4464" t="s">
        <v>42</v>
      </c>
      <c r="F4464" t="s">
        <v>83</v>
      </c>
      <c r="G4464">
        <v>37</v>
      </c>
      <c r="H4464">
        <v>33095</v>
      </c>
      <c r="I4464" t="s">
        <v>2514</v>
      </c>
      <c r="J4464">
        <v>54</v>
      </c>
      <c r="K4464">
        <v>124</v>
      </c>
      <c r="L4464">
        <v>98</v>
      </c>
      <c r="M4464">
        <v>620.79998779000005</v>
      </c>
      <c r="N4464" t="s">
        <v>87</v>
      </c>
      <c r="O4464" t="s">
        <v>86</v>
      </c>
      <c r="P4464">
        <v>130</v>
      </c>
      <c r="Q4464">
        <v>5</v>
      </c>
      <c r="R4464">
        <v>53</v>
      </c>
      <c r="S4464">
        <v>1731</v>
      </c>
      <c r="T4464">
        <v>-40</v>
      </c>
      <c r="U4464">
        <v>50</v>
      </c>
      <c r="V4464">
        <v>400</v>
      </c>
      <c r="W4464">
        <v>29</v>
      </c>
      <c r="X4464">
        <v>29</v>
      </c>
      <c r="Y4464">
        <v>1</v>
      </c>
      <c r="Z4464">
        <v>1</v>
      </c>
      <c r="AA4464">
        <v>27</v>
      </c>
      <c r="AB4464">
        <v>2</v>
      </c>
      <c r="AC4464">
        <v>1</v>
      </c>
      <c r="AD4464">
        <v>3.2430000300000001</v>
      </c>
      <c r="AE4464">
        <v>5</v>
      </c>
      <c r="AF4464">
        <v>19</v>
      </c>
      <c r="AG4464">
        <v>3.2330000399999999</v>
      </c>
      <c r="AH4464">
        <v>4</v>
      </c>
      <c r="AI4464">
        <v>24</v>
      </c>
      <c r="AJ4464">
        <v>1</v>
      </c>
      <c r="AK4464">
        <v>19</v>
      </c>
      <c r="AL4464">
        <v>50</v>
      </c>
      <c r="AM4464" t="s">
        <v>43</v>
      </c>
      <c r="AN4464" t="str">
        <f>HYPERLINK("https://www.google.com/maps?q=10.76126289,79.80742645","Open Location")</f>
        <v>Open Location</v>
      </c>
    </row>
    <row r="4465" spans="1:40" x14ac:dyDescent="0.3">
      <c r="A4465" s="1">
        <v>46210.482523148145</v>
      </c>
      <c r="B4465" t="s">
        <v>40</v>
      </c>
      <c r="C4465" t="s">
        <v>41</v>
      </c>
      <c r="D4465" s="1">
        <v>46210.485347222224</v>
      </c>
      <c r="E4465" t="s">
        <v>42</v>
      </c>
      <c r="F4465" t="s">
        <v>83</v>
      </c>
      <c r="G4465">
        <v>37</v>
      </c>
      <c r="H4465">
        <v>33095</v>
      </c>
      <c r="I4465" t="s">
        <v>2515</v>
      </c>
      <c r="J4465">
        <v>54</v>
      </c>
      <c r="K4465">
        <v>99</v>
      </c>
      <c r="L4465">
        <v>98</v>
      </c>
      <c r="M4465">
        <v>621.70001220999995</v>
      </c>
      <c r="N4465" t="s">
        <v>87</v>
      </c>
      <c r="O4465" t="s">
        <v>86</v>
      </c>
      <c r="P4465">
        <v>130</v>
      </c>
      <c r="Q4465" t="s">
        <v>43</v>
      </c>
      <c r="R4465">
        <v>52</v>
      </c>
      <c r="S4465">
        <v>1685</v>
      </c>
      <c r="T4465">
        <v>-40</v>
      </c>
      <c r="U4465">
        <v>51</v>
      </c>
      <c r="V4465">
        <v>328</v>
      </c>
      <c r="W4465" t="s">
        <v>43</v>
      </c>
      <c r="X4465" t="s">
        <v>43</v>
      </c>
      <c r="Y4465" t="s">
        <v>43</v>
      </c>
      <c r="Z4465" t="s">
        <v>43</v>
      </c>
      <c r="AA4465" t="s">
        <v>43</v>
      </c>
      <c r="AB4465" t="s">
        <v>43</v>
      </c>
      <c r="AC4465" t="s">
        <v>43</v>
      </c>
      <c r="AD4465" t="s">
        <v>43</v>
      </c>
      <c r="AE4465" t="s">
        <v>43</v>
      </c>
      <c r="AF4465" t="s">
        <v>43</v>
      </c>
      <c r="AG4465" t="s">
        <v>43</v>
      </c>
      <c r="AH4465" t="s">
        <v>43</v>
      </c>
      <c r="AI4465" t="s">
        <v>43</v>
      </c>
      <c r="AJ4465" t="s">
        <v>43</v>
      </c>
      <c r="AK4465" t="s">
        <v>43</v>
      </c>
      <c r="AL4465" t="s">
        <v>43</v>
      </c>
      <c r="AM4465" t="s">
        <v>43</v>
      </c>
      <c r="AN4465" t="str">
        <f>HYPERLINK("https://www.google.com/maps?q=10.76121616,79.80856323","Open Location")</f>
        <v>Open Location</v>
      </c>
    </row>
    <row r="4466" spans="1:40" x14ac:dyDescent="0.3">
      <c r="A4466" s="1">
        <v>46210.482407407406</v>
      </c>
      <c r="B4466" t="s">
        <v>40</v>
      </c>
      <c r="C4466" t="s">
        <v>41</v>
      </c>
      <c r="D4466" s="1">
        <v>46210.485196759262</v>
      </c>
      <c r="E4466" t="s">
        <v>42</v>
      </c>
      <c r="F4466" t="s">
        <v>83</v>
      </c>
      <c r="G4466">
        <v>37</v>
      </c>
      <c r="H4466">
        <v>33095</v>
      </c>
      <c r="I4466" t="s">
        <v>43</v>
      </c>
      <c r="J4466">
        <v>54</v>
      </c>
      <c r="K4466">
        <v>94</v>
      </c>
      <c r="L4466">
        <v>98</v>
      </c>
      <c r="M4466">
        <v>622.20001220999995</v>
      </c>
      <c r="N4466" t="s">
        <v>87</v>
      </c>
      <c r="O4466" t="s">
        <v>86</v>
      </c>
      <c r="P4466">
        <v>130</v>
      </c>
      <c r="Q4466">
        <v>5</v>
      </c>
      <c r="R4466">
        <v>59</v>
      </c>
      <c r="S4466">
        <v>1687</v>
      </c>
      <c r="T4466">
        <v>-40</v>
      </c>
      <c r="U4466">
        <v>51</v>
      </c>
      <c r="V4466">
        <v>280</v>
      </c>
      <c r="W4466">
        <v>29</v>
      </c>
      <c r="X4466">
        <v>29</v>
      </c>
      <c r="Y4466">
        <v>1</v>
      </c>
      <c r="Z4466">
        <v>1</v>
      </c>
      <c r="AA4466">
        <v>27</v>
      </c>
      <c r="AB4466">
        <v>2</v>
      </c>
      <c r="AC4466">
        <v>2</v>
      </c>
      <c r="AD4466">
        <v>3.2430000300000001</v>
      </c>
      <c r="AE4466">
        <v>1</v>
      </c>
      <c r="AF4466">
        <v>42</v>
      </c>
      <c r="AG4466">
        <v>3.2339999700000002</v>
      </c>
      <c r="AH4466">
        <v>4</v>
      </c>
      <c r="AI4466">
        <v>24</v>
      </c>
      <c r="AJ4466">
        <v>1</v>
      </c>
      <c r="AK4466">
        <v>19</v>
      </c>
      <c r="AL4466">
        <v>50</v>
      </c>
      <c r="AM4466" t="s">
        <v>43</v>
      </c>
      <c r="AN4466" t="s">
        <v>43</v>
      </c>
    </row>
    <row r="4467" spans="1:40" x14ac:dyDescent="0.3">
      <c r="A4467" s="1">
        <v>46210.482291666667</v>
      </c>
      <c r="B4467" t="s">
        <v>40</v>
      </c>
      <c r="C4467" t="s">
        <v>41</v>
      </c>
      <c r="D4467" s="1">
        <v>46210.485115740739</v>
      </c>
      <c r="E4467" t="s">
        <v>42</v>
      </c>
      <c r="F4467" t="s">
        <v>83</v>
      </c>
      <c r="G4467">
        <v>36</v>
      </c>
      <c r="H4467">
        <v>33095</v>
      </c>
      <c r="I4467" t="s">
        <v>2516</v>
      </c>
      <c r="J4467">
        <v>54</v>
      </c>
      <c r="K4467">
        <v>107</v>
      </c>
      <c r="L4467">
        <v>98</v>
      </c>
      <c r="M4467">
        <v>620.5</v>
      </c>
      <c r="N4467" t="s">
        <v>87</v>
      </c>
      <c r="O4467" t="s">
        <v>86</v>
      </c>
      <c r="P4467">
        <v>130</v>
      </c>
      <c r="Q4467">
        <v>5</v>
      </c>
      <c r="R4467">
        <v>114</v>
      </c>
      <c r="S4467">
        <v>1670</v>
      </c>
      <c r="T4467">
        <v>-40</v>
      </c>
      <c r="U4467">
        <v>52</v>
      </c>
      <c r="V4467">
        <v>340</v>
      </c>
      <c r="W4467">
        <v>29</v>
      </c>
      <c r="X4467">
        <v>29</v>
      </c>
      <c r="Y4467">
        <v>1</v>
      </c>
      <c r="Z4467">
        <v>1</v>
      </c>
      <c r="AA4467">
        <v>27</v>
      </c>
      <c r="AB4467">
        <v>2</v>
      </c>
      <c r="AC4467">
        <v>2</v>
      </c>
      <c r="AD4467">
        <v>3.2339999700000002</v>
      </c>
      <c r="AE4467">
        <v>5</v>
      </c>
      <c r="AF4467">
        <v>38</v>
      </c>
      <c r="AG4467">
        <v>3.2209999599999999</v>
      </c>
      <c r="AH4467">
        <v>6</v>
      </c>
      <c r="AI4467">
        <v>24</v>
      </c>
      <c r="AJ4467">
        <v>1</v>
      </c>
      <c r="AK4467">
        <v>19</v>
      </c>
      <c r="AL4467">
        <v>50</v>
      </c>
      <c r="AM4467" t="s">
        <v>43</v>
      </c>
      <c r="AN4467" t="str">
        <f>HYPERLINK("https://www.google.com/maps?q=10.76116085,79.80979156","Open Location")</f>
        <v>Open Location</v>
      </c>
    </row>
    <row r="4468" spans="1:40" x14ac:dyDescent="0.3">
      <c r="A4468" s="1">
        <v>46210.482175925928</v>
      </c>
      <c r="B4468" t="s">
        <v>40</v>
      </c>
      <c r="C4468" t="s">
        <v>41</v>
      </c>
      <c r="D4468" s="1">
        <v>46210.485208333332</v>
      </c>
      <c r="E4468" t="s">
        <v>42</v>
      </c>
      <c r="F4468" t="s">
        <v>83</v>
      </c>
      <c r="G4468">
        <v>35</v>
      </c>
      <c r="H4468">
        <v>33095</v>
      </c>
      <c r="I4468" t="s">
        <v>2517</v>
      </c>
      <c r="J4468">
        <v>54</v>
      </c>
      <c r="K4468">
        <v>133</v>
      </c>
      <c r="L4468">
        <v>98</v>
      </c>
      <c r="M4468">
        <v>620</v>
      </c>
      <c r="N4468" t="s">
        <v>87</v>
      </c>
      <c r="O4468" t="s">
        <v>86</v>
      </c>
      <c r="P4468">
        <v>130</v>
      </c>
      <c r="Q4468">
        <v>5</v>
      </c>
      <c r="R4468">
        <v>80</v>
      </c>
      <c r="S4468">
        <v>1644</v>
      </c>
      <c r="T4468">
        <v>-40</v>
      </c>
      <c r="U4468">
        <v>53</v>
      </c>
      <c r="V4468">
        <v>440</v>
      </c>
      <c r="W4468">
        <v>29</v>
      </c>
      <c r="X4468">
        <v>29</v>
      </c>
      <c r="Y4468">
        <v>1</v>
      </c>
      <c r="Z4468">
        <v>1</v>
      </c>
      <c r="AA4468">
        <v>27</v>
      </c>
      <c r="AB4468">
        <v>2</v>
      </c>
      <c r="AC4468">
        <v>1</v>
      </c>
      <c r="AD4468">
        <v>3.2390000799999998</v>
      </c>
      <c r="AE4468">
        <v>5</v>
      </c>
      <c r="AF4468">
        <v>19</v>
      </c>
      <c r="AG4468">
        <v>3.2279999300000002</v>
      </c>
      <c r="AH4468">
        <v>6</v>
      </c>
      <c r="AI4468">
        <v>24</v>
      </c>
      <c r="AJ4468">
        <v>1</v>
      </c>
      <c r="AK4468">
        <v>19</v>
      </c>
      <c r="AL4468">
        <v>50</v>
      </c>
      <c r="AM4468" t="s">
        <v>43</v>
      </c>
      <c r="AN4468" t="str">
        <f>HYPERLINK("https://www.google.com/maps?q=10.7611084,79.81090546","Open Location")</f>
        <v>Open Location</v>
      </c>
    </row>
    <row r="4469" spans="1:40" x14ac:dyDescent="0.3">
      <c r="A4469" s="1">
        <v>46210.482060185182</v>
      </c>
      <c r="B4469" t="s">
        <v>40</v>
      </c>
      <c r="C4469" t="s">
        <v>41</v>
      </c>
      <c r="D4469" s="1">
        <v>46210.484814814816</v>
      </c>
      <c r="E4469" t="s">
        <v>42</v>
      </c>
      <c r="F4469" t="s">
        <v>83</v>
      </c>
      <c r="G4469">
        <v>33</v>
      </c>
      <c r="H4469">
        <v>33095</v>
      </c>
      <c r="I4469" t="s">
        <v>2518</v>
      </c>
      <c r="J4469">
        <v>54</v>
      </c>
      <c r="K4469">
        <v>164</v>
      </c>
      <c r="L4469">
        <v>98</v>
      </c>
      <c r="M4469">
        <v>618.09997558999999</v>
      </c>
      <c r="N4469" t="s">
        <v>87</v>
      </c>
      <c r="O4469" t="s">
        <v>86</v>
      </c>
      <c r="P4469">
        <v>130</v>
      </c>
      <c r="Q4469">
        <v>5</v>
      </c>
      <c r="R4469">
        <v>112</v>
      </c>
      <c r="S4469">
        <v>1588</v>
      </c>
      <c r="T4469">
        <v>-40</v>
      </c>
      <c r="U4469">
        <v>55</v>
      </c>
      <c r="V4469">
        <v>580</v>
      </c>
      <c r="W4469">
        <v>29</v>
      </c>
      <c r="X4469">
        <v>29</v>
      </c>
      <c r="Y4469">
        <v>1</v>
      </c>
      <c r="Z4469">
        <v>1</v>
      </c>
      <c r="AA4469">
        <v>27</v>
      </c>
      <c r="AB4469">
        <v>2</v>
      </c>
      <c r="AC4469">
        <v>1</v>
      </c>
      <c r="AD4469">
        <v>3.2309999500000002</v>
      </c>
      <c r="AE4469">
        <v>5</v>
      </c>
      <c r="AF4469">
        <v>38</v>
      </c>
      <c r="AG4469">
        <v>3.21700001</v>
      </c>
      <c r="AH4469">
        <v>6</v>
      </c>
      <c r="AI4469">
        <v>24</v>
      </c>
      <c r="AJ4469">
        <v>1</v>
      </c>
      <c r="AK4469">
        <v>19</v>
      </c>
      <c r="AL4469">
        <v>50</v>
      </c>
      <c r="AM4469" t="s">
        <v>43</v>
      </c>
      <c r="AN4469" t="str">
        <f>HYPERLINK("https://www.google.com/maps?q=10.76105404,79.81196594","Open Location")</f>
        <v>Open Location</v>
      </c>
    </row>
    <row r="4470" spans="1:40" x14ac:dyDescent="0.3">
      <c r="A4470" s="1">
        <v>46210.481944444444</v>
      </c>
      <c r="B4470" t="s">
        <v>40</v>
      </c>
      <c r="C4470" t="s">
        <v>41</v>
      </c>
      <c r="D4470" s="1">
        <v>46210.484826388885</v>
      </c>
      <c r="E4470" t="s">
        <v>42</v>
      </c>
      <c r="F4470" t="s">
        <v>83</v>
      </c>
      <c r="G4470">
        <v>28</v>
      </c>
      <c r="H4470">
        <v>33094</v>
      </c>
      <c r="I4470" t="s">
        <v>2519</v>
      </c>
      <c r="J4470">
        <v>54</v>
      </c>
      <c r="K4470">
        <v>234</v>
      </c>
      <c r="L4470">
        <v>98</v>
      </c>
      <c r="M4470">
        <v>615.40002441000001</v>
      </c>
      <c r="N4470" t="s">
        <v>87</v>
      </c>
      <c r="O4470" t="s">
        <v>86</v>
      </c>
      <c r="P4470">
        <v>130</v>
      </c>
      <c r="Q4470">
        <v>5</v>
      </c>
      <c r="R4470">
        <v>102</v>
      </c>
      <c r="S4470">
        <v>1424</v>
      </c>
      <c r="T4470">
        <v>-40</v>
      </c>
      <c r="U4470">
        <v>55</v>
      </c>
      <c r="V4470">
        <v>940</v>
      </c>
      <c r="W4470">
        <v>29</v>
      </c>
      <c r="X4470">
        <v>29</v>
      </c>
      <c r="Y4470">
        <v>1</v>
      </c>
      <c r="Z4470">
        <v>1</v>
      </c>
      <c r="AA4470">
        <v>27</v>
      </c>
      <c r="AB4470">
        <v>2</v>
      </c>
      <c r="AC4470">
        <v>1</v>
      </c>
      <c r="AD4470">
        <v>3.2279999300000002</v>
      </c>
      <c r="AE4470">
        <v>5</v>
      </c>
      <c r="AF4470">
        <v>38</v>
      </c>
      <c r="AG4470">
        <v>3.2130000600000002</v>
      </c>
      <c r="AH4470">
        <v>6</v>
      </c>
      <c r="AI4470">
        <v>24</v>
      </c>
      <c r="AJ4470">
        <v>1</v>
      </c>
      <c r="AK4470">
        <v>19</v>
      </c>
      <c r="AL4470">
        <v>49</v>
      </c>
      <c r="AM4470" t="s">
        <v>43</v>
      </c>
      <c r="AN4470" t="str">
        <f>HYPERLINK("https://www.google.com/maps?q=10.76099777,79.81290436","Open Location")</f>
        <v>Open Location</v>
      </c>
    </row>
    <row r="4471" spans="1:40" x14ac:dyDescent="0.3">
      <c r="A4471" s="1">
        <v>46210.481828703705</v>
      </c>
      <c r="B4471" t="s">
        <v>40</v>
      </c>
      <c r="C4471" t="s">
        <v>41</v>
      </c>
      <c r="D4471" s="1">
        <v>46210.4846875</v>
      </c>
      <c r="E4471" t="s">
        <v>42</v>
      </c>
      <c r="F4471" t="s">
        <v>83</v>
      </c>
      <c r="G4471">
        <v>23</v>
      </c>
      <c r="H4471" t="s">
        <v>43</v>
      </c>
      <c r="I4471" t="s">
        <v>2520</v>
      </c>
      <c r="J4471">
        <v>54</v>
      </c>
      <c r="K4471">
        <v>203</v>
      </c>
      <c r="L4471">
        <v>98</v>
      </c>
      <c r="M4471">
        <v>616.90002441000001</v>
      </c>
      <c r="N4471" t="s">
        <v>87</v>
      </c>
      <c r="O4471" t="s">
        <v>86</v>
      </c>
      <c r="P4471">
        <v>129</v>
      </c>
      <c r="Q4471" t="s">
        <v>43</v>
      </c>
      <c r="R4471">
        <v>150</v>
      </c>
      <c r="S4471">
        <v>1207</v>
      </c>
      <c r="T4471">
        <v>-40</v>
      </c>
      <c r="U4471">
        <v>55</v>
      </c>
      <c r="V4471">
        <v>940</v>
      </c>
      <c r="W4471" t="s">
        <v>43</v>
      </c>
      <c r="X4471" t="s">
        <v>43</v>
      </c>
      <c r="Y4471" t="s">
        <v>43</v>
      </c>
      <c r="Z4471" t="s">
        <v>43</v>
      </c>
      <c r="AA4471" t="s">
        <v>43</v>
      </c>
      <c r="AB4471" t="s">
        <v>43</v>
      </c>
      <c r="AC4471" t="s">
        <v>43</v>
      </c>
      <c r="AD4471" t="s">
        <v>43</v>
      </c>
      <c r="AE4471" t="s">
        <v>43</v>
      </c>
      <c r="AF4471" t="s">
        <v>43</v>
      </c>
      <c r="AG4471" t="s">
        <v>43</v>
      </c>
      <c r="AH4471" t="s">
        <v>43</v>
      </c>
      <c r="AI4471" t="s">
        <v>43</v>
      </c>
      <c r="AJ4471" t="s">
        <v>43</v>
      </c>
      <c r="AK4471" t="s">
        <v>43</v>
      </c>
      <c r="AL4471" t="s">
        <v>43</v>
      </c>
      <c r="AM4471" t="s">
        <v>43</v>
      </c>
      <c r="AN4471" t="str">
        <f>HYPERLINK("https://www.google.com/maps?q=10.76094818,79.8136673","Open Location")</f>
        <v>Open Location</v>
      </c>
    </row>
    <row r="4472" spans="1:40" x14ac:dyDescent="0.3">
      <c r="A4472" s="1">
        <v>46210.481712962966</v>
      </c>
      <c r="B4472" t="s">
        <v>40</v>
      </c>
      <c r="C4472" t="s">
        <v>41</v>
      </c>
      <c r="D4472" s="1">
        <v>46210.484537037039</v>
      </c>
      <c r="E4472" t="s">
        <v>42</v>
      </c>
      <c r="F4472" t="s">
        <v>83</v>
      </c>
      <c r="G4472">
        <v>12</v>
      </c>
      <c r="H4472">
        <v>33094</v>
      </c>
      <c r="I4472" t="s">
        <v>43</v>
      </c>
      <c r="J4472">
        <v>55</v>
      </c>
      <c r="K4472">
        <v>279</v>
      </c>
      <c r="L4472">
        <v>98</v>
      </c>
      <c r="M4472">
        <v>615</v>
      </c>
      <c r="N4472" t="s">
        <v>87</v>
      </c>
      <c r="O4472" t="s">
        <v>86</v>
      </c>
      <c r="P4472">
        <v>127</v>
      </c>
      <c r="Q4472">
        <v>4</v>
      </c>
      <c r="R4472">
        <v>0</v>
      </c>
      <c r="S4472">
        <v>1451</v>
      </c>
      <c r="T4472">
        <v>-40</v>
      </c>
      <c r="U4472">
        <v>52</v>
      </c>
      <c r="V4472">
        <v>1080</v>
      </c>
      <c r="W4472">
        <v>29</v>
      </c>
      <c r="X4472">
        <v>29</v>
      </c>
      <c r="Y4472">
        <v>1</v>
      </c>
      <c r="Z4472">
        <v>1</v>
      </c>
      <c r="AA4472">
        <v>27</v>
      </c>
      <c r="AB4472">
        <v>2</v>
      </c>
      <c r="AC4472">
        <v>1</v>
      </c>
      <c r="AD4472">
        <v>3.2690000499999998</v>
      </c>
      <c r="AE4472">
        <v>1</v>
      </c>
      <c r="AF4472">
        <v>1</v>
      </c>
      <c r="AG4472">
        <v>3.2660000299999998</v>
      </c>
      <c r="AH4472">
        <v>2</v>
      </c>
      <c r="AI4472">
        <v>12</v>
      </c>
      <c r="AJ4472">
        <v>1</v>
      </c>
      <c r="AK4472">
        <v>18</v>
      </c>
      <c r="AL4472">
        <v>49</v>
      </c>
      <c r="AM4472" t="s">
        <v>43</v>
      </c>
      <c r="AN4472" t="s">
        <v>43</v>
      </c>
    </row>
    <row r="4473" spans="1:40" x14ac:dyDescent="0.3">
      <c r="A4473" s="1">
        <v>46210.48159722222</v>
      </c>
      <c r="B4473" t="s">
        <v>40</v>
      </c>
      <c r="C4473" t="s">
        <v>41</v>
      </c>
      <c r="D4473" s="1">
        <v>46210.484826388885</v>
      </c>
      <c r="E4473" t="s">
        <v>42</v>
      </c>
      <c r="F4473" t="s">
        <v>83</v>
      </c>
      <c r="G4473">
        <v>19</v>
      </c>
      <c r="H4473">
        <v>33094</v>
      </c>
      <c r="I4473" t="s">
        <v>2521</v>
      </c>
      <c r="J4473">
        <v>55</v>
      </c>
      <c r="K4473">
        <v>127</v>
      </c>
      <c r="L4473">
        <v>98</v>
      </c>
      <c r="M4473">
        <v>615.29998779000005</v>
      </c>
      <c r="N4473" t="s">
        <v>87</v>
      </c>
      <c r="O4473" t="s">
        <v>86</v>
      </c>
      <c r="P4473">
        <v>130</v>
      </c>
      <c r="Q4473">
        <v>2</v>
      </c>
      <c r="R4473">
        <v>-14</v>
      </c>
      <c r="S4473">
        <v>1698</v>
      </c>
      <c r="T4473">
        <v>-40</v>
      </c>
      <c r="U4473">
        <v>52</v>
      </c>
      <c r="V4473">
        <v>473</v>
      </c>
      <c r="W4473">
        <v>29</v>
      </c>
      <c r="X4473">
        <v>29</v>
      </c>
      <c r="Y4473">
        <v>1</v>
      </c>
      <c r="Z4473">
        <v>1</v>
      </c>
      <c r="AA4473">
        <v>27</v>
      </c>
      <c r="AB4473">
        <v>2</v>
      </c>
      <c r="AC4473">
        <v>1</v>
      </c>
      <c r="AD4473">
        <v>3.28299999</v>
      </c>
      <c r="AE4473">
        <v>1</v>
      </c>
      <c r="AF4473">
        <v>46</v>
      </c>
      <c r="AG4473">
        <v>3.27999997</v>
      </c>
      <c r="AH4473">
        <v>2</v>
      </c>
      <c r="AI4473">
        <v>3</v>
      </c>
      <c r="AJ4473">
        <v>1</v>
      </c>
      <c r="AK4473">
        <v>18</v>
      </c>
      <c r="AL4473">
        <v>49</v>
      </c>
      <c r="AM4473" t="s">
        <v>43</v>
      </c>
      <c r="AN4473" t="str">
        <f>HYPERLINK("https://www.google.com/maps?q=10.76093483,79.81406403","Open Location")</f>
        <v>Open Location</v>
      </c>
    </row>
    <row r="4474" spans="1:40" x14ac:dyDescent="0.3">
      <c r="A4474" s="1">
        <v>46210.481481481482</v>
      </c>
      <c r="B4474" t="s">
        <v>40</v>
      </c>
      <c r="C4474" t="s">
        <v>41</v>
      </c>
      <c r="D4474" s="1">
        <v>46210.4843287037</v>
      </c>
      <c r="E4474" t="s">
        <v>42</v>
      </c>
      <c r="F4474" t="s">
        <v>83</v>
      </c>
      <c r="G4474">
        <v>35</v>
      </c>
      <c r="H4474">
        <v>33094</v>
      </c>
      <c r="I4474" t="s">
        <v>2522</v>
      </c>
      <c r="J4474">
        <v>55</v>
      </c>
      <c r="K4474">
        <v>-165</v>
      </c>
      <c r="L4474">
        <v>98</v>
      </c>
      <c r="M4474">
        <v>634.29998779000005</v>
      </c>
      <c r="N4474" t="s">
        <v>87</v>
      </c>
      <c r="O4474" t="s">
        <v>86</v>
      </c>
      <c r="P4474">
        <v>130</v>
      </c>
      <c r="Q4474">
        <v>5</v>
      </c>
      <c r="R4474">
        <v>-31</v>
      </c>
      <c r="S4474">
        <v>1271</v>
      </c>
      <c r="T4474">
        <v>-40</v>
      </c>
      <c r="U4474">
        <v>50</v>
      </c>
      <c r="V4474">
        <v>-870</v>
      </c>
      <c r="W4474">
        <v>29</v>
      </c>
      <c r="X4474">
        <v>29</v>
      </c>
      <c r="Y4474">
        <v>1</v>
      </c>
      <c r="Z4474">
        <v>1</v>
      </c>
      <c r="AA4474">
        <v>27</v>
      </c>
      <c r="AB4474">
        <v>2</v>
      </c>
      <c r="AC4474">
        <v>1</v>
      </c>
      <c r="AD4474">
        <v>3.2760000200000001</v>
      </c>
      <c r="AE4474">
        <v>1</v>
      </c>
      <c r="AF4474">
        <v>1</v>
      </c>
      <c r="AG4474">
        <v>3.2730000000000001</v>
      </c>
      <c r="AH4474">
        <v>7</v>
      </c>
      <c r="AI4474">
        <v>10</v>
      </c>
      <c r="AJ4474">
        <v>1</v>
      </c>
      <c r="AK4474">
        <v>18</v>
      </c>
      <c r="AL4474">
        <v>49</v>
      </c>
      <c r="AM4474" t="s">
        <v>43</v>
      </c>
      <c r="AN4474" t="str">
        <f>HYPERLINK("https://www.google.com/maps?q=10.76088428,79.81478119","Open Location")</f>
        <v>Open Location</v>
      </c>
    </row>
    <row r="4475" spans="1:40" x14ac:dyDescent="0.3">
      <c r="A4475" s="1">
        <v>46210.481365740743</v>
      </c>
      <c r="B4475" t="s">
        <v>40</v>
      </c>
      <c r="C4475" t="s">
        <v>41</v>
      </c>
      <c r="D4475" s="1">
        <v>46210.484166666669</v>
      </c>
      <c r="E4475" t="s">
        <v>42</v>
      </c>
      <c r="F4475" t="s">
        <v>83</v>
      </c>
      <c r="G4475">
        <v>37</v>
      </c>
      <c r="H4475">
        <v>33094</v>
      </c>
      <c r="I4475" t="s">
        <v>2523</v>
      </c>
      <c r="J4475">
        <v>55</v>
      </c>
      <c r="K4475">
        <v>-42</v>
      </c>
      <c r="L4475">
        <v>98</v>
      </c>
      <c r="M4475">
        <v>627.59997558999999</v>
      </c>
      <c r="N4475" t="s">
        <v>87</v>
      </c>
      <c r="O4475" t="s">
        <v>86</v>
      </c>
      <c r="P4475">
        <v>130</v>
      </c>
      <c r="Q4475">
        <v>5</v>
      </c>
      <c r="R4475">
        <v>84</v>
      </c>
      <c r="S4475">
        <v>1656</v>
      </c>
      <c r="T4475">
        <v>-40</v>
      </c>
      <c r="U4475">
        <v>52</v>
      </c>
      <c r="V4475">
        <v>-184</v>
      </c>
      <c r="W4475">
        <v>29</v>
      </c>
      <c r="X4475">
        <v>29</v>
      </c>
      <c r="Y4475">
        <v>1</v>
      </c>
      <c r="Z4475">
        <v>1</v>
      </c>
      <c r="AA4475">
        <v>27</v>
      </c>
      <c r="AB4475">
        <v>2</v>
      </c>
      <c r="AC4475">
        <v>1</v>
      </c>
      <c r="AD4475">
        <v>3.24699998</v>
      </c>
      <c r="AE4475">
        <v>5</v>
      </c>
      <c r="AF4475">
        <v>38</v>
      </c>
      <c r="AG4475">
        <v>3.2369999900000002</v>
      </c>
      <c r="AH4475">
        <v>6</v>
      </c>
      <c r="AI4475">
        <v>24</v>
      </c>
      <c r="AJ4475">
        <v>1</v>
      </c>
      <c r="AK4475">
        <v>18</v>
      </c>
      <c r="AL4475">
        <v>49</v>
      </c>
      <c r="AM4475" t="s">
        <v>43</v>
      </c>
      <c r="AN4475" t="str">
        <f>HYPERLINK("https://www.google.com/maps?q=10.76080418,79.81590271","Open Location")</f>
        <v>Open Location</v>
      </c>
    </row>
    <row r="4476" spans="1:40" x14ac:dyDescent="0.3">
      <c r="A4476" s="1">
        <v>46210.481249999997</v>
      </c>
      <c r="B4476" t="s">
        <v>40</v>
      </c>
      <c r="C4476" t="s">
        <v>41</v>
      </c>
      <c r="D4476" s="1">
        <v>46210.483981481484</v>
      </c>
      <c r="E4476" t="s">
        <v>42</v>
      </c>
      <c r="F4476" t="s">
        <v>83</v>
      </c>
      <c r="G4476">
        <v>34</v>
      </c>
      <c r="H4476">
        <v>33094</v>
      </c>
      <c r="I4476" t="s">
        <v>2524</v>
      </c>
      <c r="J4476">
        <v>55</v>
      </c>
      <c r="K4476">
        <v>167</v>
      </c>
      <c r="L4476">
        <v>98</v>
      </c>
      <c r="M4476">
        <v>618.79998779000005</v>
      </c>
      <c r="N4476" t="s">
        <v>87</v>
      </c>
      <c r="O4476" t="s">
        <v>86</v>
      </c>
      <c r="P4476">
        <v>130</v>
      </c>
      <c r="Q4476">
        <v>5</v>
      </c>
      <c r="R4476">
        <v>90</v>
      </c>
      <c r="S4476">
        <v>1653</v>
      </c>
      <c r="T4476">
        <v>-40</v>
      </c>
      <c r="U4476">
        <v>52</v>
      </c>
      <c r="V4476">
        <v>600</v>
      </c>
      <c r="W4476">
        <v>29</v>
      </c>
      <c r="X4476">
        <v>29</v>
      </c>
      <c r="Y4476">
        <v>1</v>
      </c>
      <c r="Z4476">
        <v>1</v>
      </c>
      <c r="AA4476">
        <v>27</v>
      </c>
      <c r="AB4476">
        <v>2</v>
      </c>
      <c r="AC4476">
        <v>1</v>
      </c>
      <c r="AD4476">
        <v>3.22900009</v>
      </c>
      <c r="AE4476">
        <v>1</v>
      </c>
      <c r="AF4476">
        <v>1</v>
      </c>
      <c r="AG4476">
        <v>3.2130000600000002</v>
      </c>
      <c r="AH4476">
        <v>4</v>
      </c>
      <c r="AI4476">
        <v>24</v>
      </c>
      <c r="AJ4476">
        <v>1</v>
      </c>
      <c r="AK4476">
        <v>18</v>
      </c>
      <c r="AL4476">
        <v>49</v>
      </c>
      <c r="AM4476" t="s">
        <v>43</v>
      </c>
      <c r="AN4476" t="str">
        <f>HYPERLINK("https://www.google.com/maps?q=10.76073647,79.81698608","Open Location")</f>
        <v>Open Location</v>
      </c>
    </row>
    <row r="4477" spans="1:40" x14ac:dyDescent="0.3">
      <c r="A4477" s="1">
        <v>46210.481134259258</v>
      </c>
      <c r="B4477" t="s">
        <v>40</v>
      </c>
      <c r="C4477" t="s">
        <v>41</v>
      </c>
      <c r="D4477" s="1">
        <v>46210.484363425923</v>
      </c>
      <c r="E4477" t="s">
        <v>42</v>
      </c>
      <c r="F4477" t="s">
        <v>83</v>
      </c>
      <c r="G4477">
        <v>32</v>
      </c>
      <c r="H4477" t="s">
        <v>43</v>
      </c>
      <c r="I4477" t="s">
        <v>2525</v>
      </c>
      <c r="J4477">
        <v>55</v>
      </c>
      <c r="K4477">
        <v>142</v>
      </c>
      <c r="L4477">
        <v>98</v>
      </c>
      <c r="M4477">
        <v>620.90002441000001</v>
      </c>
      <c r="N4477" t="s">
        <v>87</v>
      </c>
      <c r="O4477" t="s">
        <v>86</v>
      </c>
      <c r="P4477">
        <v>130</v>
      </c>
      <c r="Q4477" t="s">
        <v>43</v>
      </c>
      <c r="R4477">
        <v>33</v>
      </c>
      <c r="S4477">
        <v>1520</v>
      </c>
      <c r="T4477">
        <v>-40</v>
      </c>
      <c r="U4477">
        <v>51</v>
      </c>
      <c r="V4477">
        <v>520</v>
      </c>
      <c r="W4477">
        <v>29</v>
      </c>
      <c r="X4477">
        <v>29</v>
      </c>
      <c r="Y4477">
        <v>1</v>
      </c>
      <c r="Z4477">
        <v>1</v>
      </c>
      <c r="AA4477">
        <v>27</v>
      </c>
      <c r="AB4477">
        <v>2</v>
      </c>
      <c r="AC4477">
        <v>1</v>
      </c>
      <c r="AD4477">
        <v>3.2460000500000001</v>
      </c>
      <c r="AE4477">
        <v>1</v>
      </c>
      <c r="AF4477">
        <v>44</v>
      </c>
      <c r="AG4477">
        <v>3.2369999900000002</v>
      </c>
      <c r="AH4477">
        <v>4</v>
      </c>
      <c r="AI4477">
        <v>17</v>
      </c>
      <c r="AJ4477" t="s">
        <v>43</v>
      </c>
      <c r="AK4477" t="s">
        <v>43</v>
      </c>
      <c r="AL4477" t="s">
        <v>43</v>
      </c>
      <c r="AM4477" t="s">
        <v>43</v>
      </c>
      <c r="AN4477" t="str">
        <f>HYPERLINK("https://www.google.com/maps?q=10.76068878,79.81798553","Open Location")</f>
        <v>Open Location</v>
      </c>
    </row>
    <row r="4478" spans="1:40" x14ac:dyDescent="0.3">
      <c r="A4478" s="1">
        <v>46210.48101851852</v>
      </c>
      <c r="B4478" t="s">
        <v>40</v>
      </c>
      <c r="C4478" t="s">
        <v>41</v>
      </c>
      <c r="D4478" s="1">
        <v>46210.483842592592</v>
      </c>
      <c r="E4478" t="s">
        <v>42</v>
      </c>
      <c r="F4478" t="s">
        <v>83</v>
      </c>
      <c r="G4478">
        <v>32</v>
      </c>
      <c r="H4478" t="s">
        <v>43</v>
      </c>
      <c r="I4478" t="s">
        <v>43</v>
      </c>
      <c r="J4478">
        <v>55</v>
      </c>
      <c r="K4478">
        <v>85</v>
      </c>
      <c r="L4478">
        <v>98</v>
      </c>
      <c r="M4478">
        <v>622.5</v>
      </c>
      <c r="N4478" t="s">
        <v>87</v>
      </c>
      <c r="O4478" t="s">
        <v>86</v>
      </c>
      <c r="P4478">
        <v>130</v>
      </c>
      <c r="Q4478">
        <v>5</v>
      </c>
      <c r="R4478">
        <v>48</v>
      </c>
      <c r="S4478">
        <v>1457</v>
      </c>
      <c r="T4478">
        <v>-40</v>
      </c>
      <c r="U4478">
        <v>51</v>
      </c>
      <c r="V4478">
        <v>320</v>
      </c>
      <c r="W4478">
        <v>29</v>
      </c>
      <c r="X4478">
        <v>29</v>
      </c>
      <c r="Y4478">
        <v>1</v>
      </c>
      <c r="Z4478">
        <v>1</v>
      </c>
      <c r="AA4478">
        <v>27</v>
      </c>
      <c r="AB4478">
        <v>2</v>
      </c>
      <c r="AC4478">
        <v>1</v>
      </c>
      <c r="AD4478">
        <v>3.24699998</v>
      </c>
      <c r="AE4478">
        <v>5</v>
      </c>
      <c r="AF4478">
        <v>12</v>
      </c>
      <c r="AG4478">
        <v>3.23799992</v>
      </c>
      <c r="AH4478">
        <v>4</v>
      </c>
      <c r="AI4478">
        <v>17</v>
      </c>
      <c r="AJ4478">
        <v>1</v>
      </c>
      <c r="AK4478">
        <v>17</v>
      </c>
      <c r="AL4478">
        <v>49</v>
      </c>
      <c r="AM4478" t="s">
        <v>43</v>
      </c>
      <c r="AN4478" t="s">
        <v>43</v>
      </c>
    </row>
    <row r="4479" spans="1:40" x14ac:dyDescent="0.3">
      <c r="A4479" s="1">
        <v>46210.480902777781</v>
      </c>
      <c r="B4479" t="s">
        <v>40</v>
      </c>
      <c r="C4479" t="s">
        <v>41</v>
      </c>
      <c r="D4479" s="1">
        <v>46210.483784722222</v>
      </c>
      <c r="E4479" t="s">
        <v>42</v>
      </c>
      <c r="F4479" t="s">
        <v>83</v>
      </c>
      <c r="G4479">
        <v>30</v>
      </c>
      <c r="H4479">
        <v>33094</v>
      </c>
      <c r="I4479" t="s">
        <v>2526</v>
      </c>
      <c r="J4479">
        <v>55</v>
      </c>
      <c r="K4479">
        <v>101</v>
      </c>
      <c r="L4479">
        <v>98</v>
      </c>
      <c r="M4479">
        <v>622.70001220999995</v>
      </c>
      <c r="N4479" t="s">
        <v>87</v>
      </c>
      <c r="O4479" t="s">
        <v>86</v>
      </c>
      <c r="P4479">
        <v>130</v>
      </c>
      <c r="Q4479">
        <v>5</v>
      </c>
      <c r="R4479">
        <v>33</v>
      </c>
      <c r="S4479">
        <v>1440</v>
      </c>
      <c r="T4479">
        <v>-40</v>
      </c>
      <c r="U4479">
        <v>50</v>
      </c>
      <c r="V4479">
        <v>360</v>
      </c>
      <c r="W4479">
        <v>29</v>
      </c>
      <c r="X4479">
        <v>29</v>
      </c>
      <c r="Y4479">
        <v>1</v>
      </c>
      <c r="Z4479">
        <v>1</v>
      </c>
      <c r="AA4479">
        <v>27</v>
      </c>
      <c r="AB4479">
        <v>2</v>
      </c>
      <c r="AC4479">
        <v>1</v>
      </c>
      <c r="AD4479">
        <v>3.23799992</v>
      </c>
      <c r="AE4479">
        <v>5</v>
      </c>
      <c r="AF4479">
        <v>38</v>
      </c>
      <c r="AG4479">
        <v>3.2239999799999999</v>
      </c>
      <c r="AH4479">
        <v>4</v>
      </c>
      <c r="AI4479">
        <v>24</v>
      </c>
      <c r="AJ4479">
        <v>1</v>
      </c>
      <c r="AK4479">
        <v>18</v>
      </c>
      <c r="AL4479">
        <v>49</v>
      </c>
      <c r="AM4479" t="s">
        <v>43</v>
      </c>
      <c r="AN4479" t="str">
        <f>HYPERLINK("https://www.google.com/maps?q=10.76062298,79.8189621","Open Location")</f>
        <v>Open Location</v>
      </c>
    </row>
    <row r="4480" spans="1:40" x14ac:dyDescent="0.3">
      <c r="A4480" s="1">
        <v>46210.480787037035</v>
      </c>
      <c r="B4480" t="s">
        <v>40</v>
      </c>
      <c r="C4480" t="s">
        <v>41</v>
      </c>
      <c r="D4480" s="1">
        <v>46210.483611111114</v>
      </c>
      <c r="E4480" t="s">
        <v>42</v>
      </c>
      <c r="F4480" t="s">
        <v>83</v>
      </c>
      <c r="G4480">
        <v>30</v>
      </c>
      <c r="H4480">
        <v>33094</v>
      </c>
      <c r="I4480" t="s">
        <v>2527</v>
      </c>
      <c r="J4480">
        <v>55</v>
      </c>
      <c r="K4480">
        <v>98</v>
      </c>
      <c r="L4480">
        <v>98</v>
      </c>
      <c r="M4480">
        <v>622.90002441000001</v>
      </c>
      <c r="N4480" t="s">
        <v>87</v>
      </c>
      <c r="O4480" t="s">
        <v>86</v>
      </c>
      <c r="P4480">
        <v>130</v>
      </c>
      <c r="Q4480">
        <v>5</v>
      </c>
      <c r="R4480">
        <v>54</v>
      </c>
      <c r="S4480">
        <v>1371</v>
      </c>
      <c r="T4480">
        <v>-40</v>
      </c>
      <c r="U4480">
        <v>50</v>
      </c>
      <c r="V4480">
        <v>360</v>
      </c>
      <c r="W4480">
        <v>29</v>
      </c>
      <c r="X4480">
        <v>29</v>
      </c>
      <c r="Y4480">
        <v>1</v>
      </c>
      <c r="Z4480">
        <v>1</v>
      </c>
      <c r="AA4480">
        <v>27</v>
      </c>
      <c r="AB4480">
        <v>2</v>
      </c>
      <c r="AC4480">
        <v>1</v>
      </c>
      <c r="AD4480">
        <v>3.2520000900000001</v>
      </c>
      <c r="AE4480">
        <v>5</v>
      </c>
      <c r="AF4480">
        <v>38</v>
      </c>
      <c r="AG4480">
        <v>3.2420000999999998</v>
      </c>
      <c r="AH4480">
        <v>4</v>
      </c>
      <c r="AI4480">
        <v>17</v>
      </c>
      <c r="AJ4480">
        <v>1</v>
      </c>
      <c r="AK4480">
        <v>18</v>
      </c>
      <c r="AL4480">
        <v>49</v>
      </c>
      <c r="AM4480" t="s">
        <v>43</v>
      </c>
      <c r="AN4480" t="str">
        <f>HYPERLINK("https://www.google.com/maps?q=10.76063728,79.81988525","Open Location")</f>
        <v>Open Location</v>
      </c>
    </row>
    <row r="4481" spans="1:40" x14ac:dyDescent="0.3">
      <c r="A4481" s="1">
        <v>46210.480671296296</v>
      </c>
      <c r="B4481" t="s">
        <v>40</v>
      </c>
      <c r="C4481" t="s">
        <v>41</v>
      </c>
      <c r="D4481" s="1">
        <v>46210.483495370368</v>
      </c>
      <c r="E4481" t="s">
        <v>42</v>
      </c>
      <c r="F4481" t="s">
        <v>83</v>
      </c>
      <c r="G4481">
        <v>30</v>
      </c>
      <c r="H4481">
        <v>33094</v>
      </c>
      <c r="I4481" t="s">
        <v>2528</v>
      </c>
      <c r="J4481">
        <v>55</v>
      </c>
      <c r="K4481">
        <v>106</v>
      </c>
      <c r="L4481">
        <v>98</v>
      </c>
      <c r="M4481">
        <v>622.59997558999999</v>
      </c>
      <c r="N4481" t="s">
        <v>87</v>
      </c>
      <c r="O4481" t="s">
        <v>86</v>
      </c>
      <c r="P4481">
        <v>130</v>
      </c>
      <c r="Q4481">
        <v>5</v>
      </c>
      <c r="R4481">
        <v>42</v>
      </c>
      <c r="S4481">
        <v>1376</v>
      </c>
      <c r="T4481">
        <v>-40</v>
      </c>
      <c r="U4481">
        <v>49</v>
      </c>
      <c r="V4481">
        <v>400</v>
      </c>
      <c r="W4481">
        <v>29</v>
      </c>
      <c r="X4481">
        <v>29</v>
      </c>
      <c r="Y4481">
        <v>1</v>
      </c>
      <c r="Z4481">
        <v>1</v>
      </c>
      <c r="AA4481">
        <v>27</v>
      </c>
      <c r="AB4481">
        <v>2</v>
      </c>
      <c r="AC4481">
        <v>1</v>
      </c>
      <c r="AD4481">
        <v>3.25600004</v>
      </c>
      <c r="AE4481">
        <v>5</v>
      </c>
      <c r="AF4481">
        <v>38</v>
      </c>
      <c r="AG4481">
        <v>3.2479999099999999</v>
      </c>
      <c r="AH4481">
        <v>4</v>
      </c>
      <c r="AI4481">
        <v>17</v>
      </c>
      <c r="AJ4481">
        <v>1</v>
      </c>
      <c r="AK4481">
        <v>19</v>
      </c>
      <c r="AL4481">
        <v>49</v>
      </c>
      <c r="AM4481" t="s">
        <v>43</v>
      </c>
      <c r="AN4481" t="str">
        <f>HYPERLINK("https://www.google.com/maps?q=10.76069832,79.82080078","Open Location")</f>
        <v>Open Location</v>
      </c>
    </row>
    <row r="4482" spans="1:40" x14ac:dyDescent="0.3">
      <c r="A4482" s="1">
        <v>46210.480555555558</v>
      </c>
      <c r="B4482" t="s">
        <v>40</v>
      </c>
      <c r="C4482" t="s">
        <v>41</v>
      </c>
      <c r="D4482" s="1">
        <v>46210.483252314814</v>
      </c>
      <c r="E4482" t="s">
        <v>42</v>
      </c>
      <c r="F4482" t="s">
        <v>83</v>
      </c>
      <c r="G4482">
        <v>32</v>
      </c>
      <c r="H4482" t="s">
        <v>43</v>
      </c>
      <c r="I4482" t="s">
        <v>2529</v>
      </c>
      <c r="J4482">
        <v>55</v>
      </c>
      <c r="K4482">
        <v>44</v>
      </c>
      <c r="L4482">
        <v>98</v>
      </c>
      <c r="M4482">
        <v>625.40002441000001</v>
      </c>
      <c r="N4482" t="s">
        <v>87</v>
      </c>
      <c r="O4482" t="s">
        <v>86</v>
      </c>
      <c r="P4482">
        <v>130</v>
      </c>
      <c r="Q4482">
        <v>5</v>
      </c>
      <c r="R4482">
        <v>30</v>
      </c>
      <c r="S4482">
        <v>1410</v>
      </c>
      <c r="T4482">
        <v>-40</v>
      </c>
      <c r="U4482">
        <v>49</v>
      </c>
      <c r="V4482">
        <v>180</v>
      </c>
      <c r="W4482">
        <v>29</v>
      </c>
      <c r="X4482">
        <v>29</v>
      </c>
      <c r="Y4482">
        <v>1</v>
      </c>
      <c r="Z4482">
        <v>1</v>
      </c>
      <c r="AA4482">
        <v>27</v>
      </c>
      <c r="AB4482">
        <v>2</v>
      </c>
      <c r="AC4482">
        <v>1</v>
      </c>
      <c r="AD4482">
        <v>3.27099991</v>
      </c>
      <c r="AE4482">
        <v>5</v>
      </c>
      <c r="AF4482">
        <v>3</v>
      </c>
      <c r="AG4482">
        <v>3.2669999600000001</v>
      </c>
      <c r="AH4482">
        <v>2</v>
      </c>
      <c r="AI4482">
        <v>28</v>
      </c>
      <c r="AJ4482">
        <v>1</v>
      </c>
      <c r="AK4482">
        <v>19</v>
      </c>
      <c r="AL4482">
        <v>49</v>
      </c>
      <c r="AM4482" t="s">
        <v>43</v>
      </c>
      <c r="AN4482" t="str">
        <f>HYPERLINK("https://www.google.com/maps?q=10.76065159,79.82184601","Open Location")</f>
        <v>Open Location</v>
      </c>
    </row>
    <row r="4483" spans="1:40" x14ac:dyDescent="0.3">
      <c r="A4483" s="1">
        <v>46210.480439814812</v>
      </c>
      <c r="B4483" t="s">
        <v>40</v>
      </c>
      <c r="C4483" t="s">
        <v>41</v>
      </c>
      <c r="D4483" s="1">
        <v>46210.483287037037</v>
      </c>
      <c r="E4483" t="s">
        <v>42</v>
      </c>
      <c r="F4483" t="s">
        <v>83</v>
      </c>
      <c r="G4483">
        <v>32</v>
      </c>
      <c r="H4483">
        <v>33093</v>
      </c>
      <c r="I4483" t="s">
        <v>43</v>
      </c>
      <c r="J4483">
        <v>55</v>
      </c>
      <c r="K4483">
        <v>54</v>
      </c>
      <c r="L4483">
        <v>98</v>
      </c>
      <c r="M4483">
        <v>625</v>
      </c>
      <c r="N4483" t="s">
        <v>87</v>
      </c>
      <c r="O4483" t="s">
        <v>86</v>
      </c>
      <c r="P4483">
        <v>130</v>
      </c>
      <c r="Q4483" t="s">
        <v>43</v>
      </c>
      <c r="R4483">
        <v>30</v>
      </c>
      <c r="S4483">
        <v>1465</v>
      </c>
      <c r="T4483">
        <v>-40</v>
      </c>
      <c r="U4483">
        <v>50</v>
      </c>
      <c r="V4483">
        <v>200</v>
      </c>
      <c r="W4483" t="s">
        <v>43</v>
      </c>
      <c r="X4483" t="s">
        <v>43</v>
      </c>
      <c r="Y4483" t="s">
        <v>43</v>
      </c>
      <c r="Z4483" t="s">
        <v>43</v>
      </c>
      <c r="AA4483" t="s">
        <v>43</v>
      </c>
      <c r="AB4483" t="s">
        <v>43</v>
      </c>
      <c r="AC4483" t="s">
        <v>43</v>
      </c>
      <c r="AD4483" t="s">
        <v>43</v>
      </c>
      <c r="AE4483" t="s">
        <v>43</v>
      </c>
      <c r="AF4483" t="s">
        <v>43</v>
      </c>
      <c r="AG4483" t="s">
        <v>43</v>
      </c>
      <c r="AH4483" t="s">
        <v>43</v>
      </c>
      <c r="AI4483" t="s">
        <v>43</v>
      </c>
      <c r="AJ4483" t="s">
        <v>43</v>
      </c>
      <c r="AK4483" t="s">
        <v>43</v>
      </c>
      <c r="AL4483" t="s">
        <v>43</v>
      </c>
      <c r="AM4483" t="s">
        <v>43</v>
      </c>
      <c r="AN4483" t="s">
        <v>43</v>
      </c>
    </row>
    <row r="4484" spans="1:40" x14ac:dyDescent="0.3">
      <c r="A4484" s="1">
        <v>46210.480324074073</v>
      </c>
      <c r="B4484" t="s">
        <v>40</v>
      </c>
      <c r="C4484" t="s">
        <v>41</v>
      </c>
      <c r="D4484" s="1">
        <v>46210.483067129629</v>
      </c>
      <c r="E4484" t="s">
        <v>42</v>
      </c>
      <c r="F4484" t="s">
        <v>83</v>
      </c>
      <c r="G4484">
        <v>31</v>
      </c>
      <c r="H4484">
        <v>33093</v>
      </c>
      <c r="I4484" t="s">
        <v>2530</v>
      </c>
      <c r="J4484">
        <v>55</v>
      </c>
      <c r="K4484">
        <v>68</v>
      </c>
      <c r="L4484">
        <v>98</v>
      </c>
      <c r="M4484">
        <v>624</v>
      </c>
      <c r="N4484" t="s">
        <v>87</v>
      </c>
      <c r="O4484" t="s">
        <v>86</v>
      </c>
      <c r="P4484">
        <v>130</v>
      </c>
      <c r="Q4484">
        <v>5</v>
      </c>
      <c r="R4484">
        <v>38</v>
      </c>
      <c r="S4484">
        <v>1453</v>
      </c>
      <c r="T4484">
        <v>-40</v>
      </c>
      <c r="U4484">
        <v>49</v>
      </c>
      <c r="V4484">
        <v>260</v>
      </c>
      <c r="W4484">
        <v>29</v>
      </c>
      <c r="X4484">
        <v>29</v>
      </c>
      <c r="Y4484">
        <v>1</v>
      </c>
      <c r="Z4484">
        <v>1</v>
      </c>
      <c r="AA4484">
        <v>27</v>
      </c>
      <c r="AB4484">
        <v>2</v>
      </c>
      <c r="AC4484">
        <v>1</v>
      </c>
      <c r="AD4484">
        <v>3.2579999000000002</v>
      </c>
      <c r="AE4484">
        <v>1</v>
      </c>
      <c r="AF4484">
        <v>38</v>
      </c>
      <c r="AG4484">
        <v>3.2509999299999999</v>
      </c>
      <c r="AH4484">
        <v>6</v>
      </c>
      <c r="AI4484">
        <v>24</v>
      </c>
      <c r="AJ4484">
        <v>1</v>
      </c>
      <c r="AK4484">
        <v>19</v>
      </c>
      <c r="AL4484">
        <v>49</v>
      </c>
      <c r="AM4484" t="s">
        <v>43</v>
      </c>
      <c r="AN4484" t="str">
        <f>HYPERLINK("https://www.google.com/maps?q=10.76060677,79.82283783","Open Location")</f>
        <v>Open Location</v>
      </c>
    </row>
    <row r="4485" spans="1:40" x14ac:dyDescent="0.3">
      <c r="A4485" s="1">
        <v>46210.480208333334</v>
      </c>
      <c r="B4485" t="s">
        <v>40</v>
      </c>
      <c r="C4485" t="s">
        <v>41</v>
      </c>
      <c r="D4485" s="1">
        <v>46210.483067129629</v>
      </c>
      <c r="E4485" t="s">
        <v>42</v>
      </c>
      <c r="F4485" t="s">
        <v>83</v>
      </c>
      <c r="G4485">
        <v>31</v>
      </c>
      <c r="H4485" t="s">
        <v>43</v>
      </c>
      <c r="I4485" t="s">
        <v>2531</v>
      </c>
      <c r="J4485">
        <v>55</v>
      </c>
      <c r="K4485">
        <v>41</v>
      </c>
      <c r="L4485">
        <v>98</v>
      </c>
      <c r="M4485">
        <v>625.29998779000005</v>
      </c>
      <c r="N4485" t="s">
        <v>87</v>
      </c>
      <c r="O4485" t="s">
        <v>86</v>
      </c>
      <c r="P4485">
        <v>130</v>
      </c>
      <c r="Q4485">
        <v>5</v>
      </c>
      <c r="R4485">
        <v>32</v>
      </c>
      <c r="S4485">
        <v>1412</v>
      </c>
      <c r="T4485">
        <v>-40</v>
      </c>
      <c r="U4485">
        <v>50</v>
      </c>
      <c r="V4485">
        <v>160</v>
      </c>
      <c r="W4485">
        <v>29</v>
      </c>
      <c r="X4485">
        <v>29</v>
      </c>
      <c r="Y4485">
        <v>1</v>
      </c>
      <c r="Z4485">
        <v>1</v>
      </c>
      <c r="AA4485">
        <v>27</v>
      </c>
      <c r="AB4485">
        <v>2</v>
      </c>
      <c r="AC4485">
        <v>1</v>
      </c>
      <c r="AD4485">
        <v>3.25600004</v>
      </c>
      <c r="AE4485">
        <v>1</v>
      </c>
      <c r="AF4485">
        <v>43</v>
      </c>
      <c r="AG4485">
        <v>3.2490000700000001</v>
      </c>
      <c r="AH4485">
        <v>4</v>
      </c>
      <c r="AI4485">
        <v>17</v>
      </c>
      <c r="AJ4485" t="s">
        <v>43</v>
      </c>
      <c r="AK4485" t="s">
        <v>43</v>
      </c>
      <c r="AL4485" t="s">
        <v>43</v>
      </c>
      <c r="AM4485" t="s">
        <v>43</v>
      </c>
      <c r="AN4485" t="str">
        <f>HYPERLINK("https://www.google.com/maps?q=10.76058197,79.82379913","Open Location")</f>
        <v>Open Location</v>
      </c>
    </row>
    <row r="4486" spans="1:40" x14ac:dyDescent="0.3">
      <c r="A4486" s="1">
        <v>46210.480092592596</v>
      </c>
      <c r="B4486" t="s">
        <v>40</v>
      </c>
      <c r="C4486" t="s">
        <v>41</v>
      </c>
      <c r="D4486" s="1">
        <v>46210.483252314814</v>
      </c>
      <c r="E4486" t="s">
        <v>42</v>
      </c>
      <c r="F4486" t="s">
        <v>83</v>
      </c>
      <c r="G4486">
        <v>30</v>
      </c>
      <c r="H4486" t="s">
        <v>43</v>
      </c>
      <c r="I4486" t="s">
        <v>2532</v>
      </c>
      <c r="J4486">
        <v>55</v>
      </c>
      <c r="K4486">
        <v>58</v>
      </c>
      <c r="L4486">
        <v>98</v>
      </c>
      <c r="M4486">
        <v>624.29998779000005</v>
      </c>
      <c r="N4486" t="s">
        <v>87</v>
      </c>
      <c r="O4486" t="s">
        <v>86</v>
      </c>
      <c r="P4486">
        <v>130</v>
      </c>
      <c r="Q4486">
        <v>5</v>
      </c>
      <c r="R4486">
        <v>61</v>
      </c>
      <c r="S4486">
        <v>1420</v>
      </c>
      <c r="T4486">
        <v>-40</v>
      </c>
      <c r="U4486">
        <v>51</v>
      </c>
      <c r="V4486">
        <v>220</v>
      </c>
      <c r="W4486">
        <v>29</v>
      </c>
      <c r="X4486">
        <v>29</v>
      </c>
      <c r="Y4486">
        <v>1</v>
      </c>
      <c r="Z4486">
        <v>1</v>
      </c>
      <c r="AA4486">
        <v>27</v>
      </c>
      <c r="AB4486">
        <v>2</v>
      </c>
      <c r="AC4486">
        <v>1</v>
      </c>
      <c r="AD4486">
        <v>3.2550001100000001</v>
      </c>
      <c r="AE4486">
        <v>5</v>
      </c>
      <c r="AF4486">
        <v>3</v>
      </c>
      <c r="AG4486">
        <v>3.24699998</v>
      </c>
      <c r="AH4486">
        <v>6</v>
      </c>
      <c r="AI4486">
        <v>24</v>
      </c>
      <c r="AJ4486">
        <v>1</v>
      </c>
      <c r="AK4486">
        <v>19</v>
      </c>
      <c r="AL4486">
        <v>49</v>
      </c>
      <c r="AM4486" t="s">
        <v>43</v>
      </c>
      <c r="AN4486" t="str">
        <f>HYPERLINK("https://www.google.com/maps?q=10.76105881,79.82459259","Open Location")</f>
        <v>Open Location</v>
      </c>
    </row>
    <row r="4487" spans="1:40" x14ac:dyDescent="0.3">
      <c r="A4487" s="1">
        <v>46210.47997685185</v>
      </c>
      <c r="B4487" t="s">
        <v>40</v>
      </c>
      <c r="C4487" t="s">
        <v>41</v>
      </c>
      <c r="D4487" s="1">
        <v>46210.482997685183</v>
      </c>
      <c r="E4487" t="s">
        <v>42</v>
      </c>
      <c r="F4487" t="s">
        <v>83</v>
      </c>
      <c r="G4487">
        <v>28</v>
      </c>
      <c r="H4487">
        <v>33093</v>
      </c>
      <c r="I4487" t="s">
        <v>2533</v>
      </c>
      <c r="J4487">
        <v>55</v>
      </c>
      <c r="K4487">
        <v>135</v>
      </c>
      <c r="L4487">
        <v>98</v>
      </c>
      <c r="M4487">
        <v>622</v>
      </c>
      <c r="N4487" t="s">
        <v>87</v>
      </c>
      <c r="O4487" t="s">
        <v>86</v>
      </c>
      <c r="P4487">
        <v>130</v>
      </c>
      <c r="Q4487">
        <v>5</v>
      </c>
      <c r="R4487">
        <v>56</v>
      </c>
      <c r="S4487">
        <v>1369</v>
      </c>
      <c r="T4487">
        <v>-40</v>
      </c>
      <c r="U4487">
        <v>50</v>
      </c>
      <c r="V4487">
        <v>560</v>
      </c>
      <c r="W4487">
        <v>29</v>
      </c>
      <c r="X4487">
        <v>29</v>
      </c>
      <c r="Y4487">
        <v>1</v>
      </c>
      <c r="Z4487">
        <v>1</v>
      </c>
      <c r="AA4487">
        <v>27</v>
      </c>
      <c r="AB4487">
        <v>2</v>
      </c>
      <c r="AC4487">
        <v>2</v>
      </c>
      <c r="AD4487">
        <v>3.25</v>
      </c>
      <c r="AE4487">
        <v>5</v>
      </c>
      <c r="AF4487">
        <v>38</v>
      </c>
      <c r="AG4487">
        <v>3.24099994</v>
      </c>
      <c r="AH4487">
        <v>4</v>
      </c>
      <c r="AI4487">
        <v>17</v>
      </c>
      <c r="AJ4487" t="s">
        <v>43</v>
      </c>
      <c r="AK4487" t="s">
        <v>43</v>
      </c>
      <c r="AL4487">
        <v>49</v>
      </c>
      <c r="AM4487" t="s">
        <v>43</v>
      </c>
      <c r="AN4487" t="str">
        <f>HYPERLINK("https://www.google.com/maps?q=10.76188946,79.82492065","Open Location")</f>
        <v>Open Location</v>
      </c>
    </row>
    <row r="4488" spans="1:40" x14ac:dyDescent="0.3">
      <c r="A4488" s="1">
        <v>46210.479861111111</v>
      </c>
      <c r="B4488" t="s">
        <v>40</v>
      </c>
      <c r="C4488" t="s">
        <v>41</v>
      </c>
      <c r="D4488" s="1">
        <v>46210.483067129629</v>
      </c>
      <c r="E4488" t="s">
        <v>42</v>
      </c>
      <c r="F4488" t="s">
        <v>83</v>
      </c>
      <c r="G4488">
        <v>27</v>
      </c>
      <c r="H4488">
        <v>33093</v>
      </c>
      <c r="I4488" t="s">
        <v>2534</v>
      </c>
      <c r="J4488">
        <v>55</v>
      </c>
      <c r="K4488">
        <v>98</v>
      </c>
      <c r="L4488">
        <v>98</v>
      </c>
      <c r="M4488">
        <v>623.40002441000001</v>
      </c>
      <c r="N4488" t="s">
        <v>87</v>
      </c>
      <c r="O4488" t="s">
        <v>86</v>
      </c>
      <c r="P4488">
        <v>130</v>
      </c>
      <c r="Q4488">
        <v>5</v>
      </c>
      <c r="R4488">
        <v>38</v>
      </c>
      <c r="S4488">
        <v>1286</v>
      </c>
      <c r="T4488">
        <v>-40</v>
      </c>
      <c r="U4488">
        <v>48</v>
      </c>
      <c r="V4488">
        <v>420</v>
      </c>
      <c r="W4488">
        <v>29</v>
      </c>
      <c r="X4488">
        <v>29</v>
      </c>
      <c r="Y4488">
        <v>1</v>
      </c>
      <c r="Z4488">
        <v>1</v>
      </c>
      <c r="AA4488">
        <v>27</v>
      </c>
      <c r="AB4488">
        <v>2</v>
      </c>
      <c r="AC4488">
        <v>2</v>
      </c>
      <c r="AD4488">
        <v>3.25300002</v>
      </c>
      <c r="AE4488">
        <v>5</v>
      </c>
      <c r="AF4488">
        <v>38</v>
      </c>
      <c r="AG4488">
        <v>3.2430000300000001</v>
      </c>
      <c r="AH4488">
        <v>4</v>
      </c>
      <c r="AI4488">
        <v>24</v>
      </c>
      <c r="AJ4488">
        <v>1</v>
      </c>
      <c r="AK4488">
        <v>19</v>
      </c>
      <c r="AL4488">
        <v>49</v>
      </c>
      <c r="AM4488" t="s">
        <v>43</v>
      </c>
      <c r="AN4488" t="str">
        <f>HYPERLINK("https://www.google.com/maps?q=10.76270294,79.82527161","Open Location")</f>
        <v>Open Location</v>
      </c>
    </row>
    <row r="4489" spans="1:40" x14ac:dyDescent="0.3">
      <c r="A4489" s="1">
        <v>46210.479745370372</v>
      </c>
      <c r="B4489" t="s">
        <v>40</v>
      </c>
      <c r="C4489" t="s">
        <v>41</v>
      </c>
      <c r="D4489" s="1">
        <v>46210.483067129629</v>
      </c>
      <c r="E4489" t="s">
        <v>42</v>
      </c>
      <c r="F4489" t="s">
        <v>83</v>
      </c>
      <c r="G4489">
        <v>30</v>
      </c>
      <c r="H4489" t="s">
        <v>43</v>
      </c>
      <c r="I4489" t="s">
        <v>43</v>
      </c>
      <c r="J4489">
        <v>55</v>
      </c>
      <c r="K4489">
        <v>21</v>
      </c>
      <c r="L4489">
        <v>98</v>
      </c>
      <c r="M4489">
        <v>627.20001220999995</v>
      </c>
      <c r="N4489" t="s">
        <v>87</v>
      </c>
      <c r="O4489" t="s">
        <v>86</v>
      </c>
      <c r="P4489">
        <v>130</v>
      </c>
      <c r="Q4489" t="s">
        <v>43</v>
      </c>
      <c r="R4489">
        <v>-27</v>
      </c>
      <c r="S4489">
        <v>1231</v>
      </c>
      <c r="T4489">
        <v>-40</v>
      </c>
      <c r="U4489">
        <v>48</v>
      </c>
      <c r="V4489">
        <v>80</v>
      </c>
      <c r="W4489" t="s">
        <v>43</v>
      </c>
      <c r="X4489" t="s">
        <v>43</v>
      </c>
      <c r="Y4489" t="s">
        <v>43</v>
      </c>
      <c r="Z4489" t="s">
        <v>43</v>
      </c>
      <c r="AA4489" t="s">
        <v>43</v>
      </c>
      <c r="AB4489" t="s">
        <v>43</v>
      </c>
      <c r="AC4489" t="s">
        <v>43</v>
      </c>
      <c r="AD4489" t="s">
        <v>43</v>
      </c>
      <c r="AE4489" t="s">
        <v>43</v>
      </c>
      <c r="AF4489" t="s">
        <v>43</v>
      </c>
      <c r="AG4489" t="s">
        <v>43</v>
      </c>
      <c r="AH4489" t="s">
        <v>43</v>
      </c>
      <c r="AI4489" t="s">
        <v>43</v>
      </c>
      <c r="AJ4489" t="s">
        <v>43</v>
      </c>
      <c r="AK4489" t="s">
        <v>43</v>
      </c>
      <c r="AL4489" t="s">
        <v>43</v>
      </c>
      <c r="AM4489" t="s">
        <v>43</v>
      </c>
      <c r="AN4489" t="s">
        <v>43</v>
      </c>
    </row>
    <row r="4490" spans="1:40" x14ac:dyDescent="0.3">
      <c r="A4490" s="1">
        <v>46210.479629629626</v>
      </c>
      <c r="B4490" t="s">
        <v>40</v>
      </c>
      <c r="C4490" t="s">
        <v>41</v>
      </c>
      <c r="D4490" s="1">
        <v>46210.482824074075</v>
      </c>
      <c r="E4490" t="s">
        <v>42</v>
      </c>
      <c r="F4490" t="s">
        <v>83</v>
      </c>
      <c r="G4490">
        <v>32</v>
      </c>
      <c r="H4490">
        <v>33093</v>
      </c>
      <c r="I4490" t="s">
        <v>2535</v>
      </c>
      <c r="J4490">
        <v>55</v>
      </c>
      <c r="K4490">
        <v>-32</v>
      </c>
      <c r="L4490">
        <v>98</v>
      </c>
      <c r="M4490">
        <v>628.09997558999999</v>
      </c>
      <c r="N4490" t="s">
        <v>87</v>
      </c>
      <c r="O4490" t="s">
        <v>86</v>
      </c>
      <c r="P4490">
        <v>130</v>
      </c>
      <c r="Q4490">
        <v>5</v>
      </c>
      <c r="R4490">
        <v>18</v>
      </c>
      <c r="S4490">
        <v>1408</v>
      </c>
      <c r="T4490">
        <v>-40</v>
      </c>
      <c r="U4490">
        <v>48</v>
      </c>
      <c r="V4490">
        <v>-184</v>
      </c>
      <c r="W4490">
        <v>29</v>
      </c>
      <c r="X4490">
        <v>29</v>
      </c>
      <c r="Y4490">
        <v>1</v>
      </c>
      <c r="Z4490">
        <v>1</v>
      </c>
      <c r="AA4490">
        <v>27</v>
      </c>
      <c r="AB4490">
        <v>2</v>
      </c>
      <c r="AC4490">
        <v>2</v>
      </c>
      <c r="AD4490">
        <v>3.2599999899999998</v>
      </c>
      <c r="AE4490">
        <v>1</v>
      </c>
      <c r="AF4490">
        <v>43</v>
      </c>
      <c r="AG4490">
        <v>3.2539999499999999</v>
      </c>
      <c r="AH4490">
        <v>4</v>
      </c>
      <c r="AI4490">
        <v>24</v>
      </c>
      <c r="AJ4490">
        <v>1</v>
      </c>
      <c r="AK4490">
        <v>18</v>
      </c>
      <c r="AL4490">
        <v>49</v>
      </c>
      <c r="AM4490" t="s">
        <v>43</v>
      </c>
      <c r="AN4490" t="str">
        <f>HYPERLINK("https://www.google.com/maps?q=10.76349258,79.82550049","Open Location")</f>
        <v>Open Location</v>
      </c>
    </row>
    <row r="4491" spans="1:40" x14ac:dyDescent="0.3">
      <c r="A4491" s="1">
        <v>46210.479513888888</v>
      </c>
      <c r="B4491" t="s">
        <v>40</v>
      </c>
      <c r="C4491" t="s">
        <v>41</v>
      </c>
      <c r="D4491" s="1">
        <v>46210.482627314814</v>
      </c>
      <c r="E4491" t="s">
        <v>42</v>
      </c>
      <c r="F4491" t="s">
        <v>83</v>
      </c>
      <c r="G4491">
        <v>33</v>
      </c>
      <c r="H4491" t="s">
        <v>43</v>
      </c>
      <c r="I4491" t="s">
        <v>2536</v>
      </c>
      <c r="J4491">
        <v>55</v>
      </c>
      <c r="K4491">
        <v>30</v>
      </c>
      <c r="L4491">
        <v>98</v>
      </c>
      <c r="M4491">
        <v>626.40002441000001</v>
      </c>
      <c r="N4491" t="s">
        <v>87</v>
      </c>
      <c r="O4491" t="s">
        <v>86</v>
      </c>
      <c r="P4491">
        <v>130</v>
      </c>
      <c r="Q4491">
        <v>5</v>
      </c>
      <c r="R4491">
        <v>28</v>
      </c>
      <c r="S4491">
        <v>1502</v>
      </c>
      <c r="T4491">
        <v>-40</v>
      </c>
      <c r="U4491">
        <v>49</v>
      </c>
      <c r="V4491">
        <v>39</v>
      </c>
      <c r="W4491">
        <v>30</v>
      </c>
      <c r="X4491">
        <v>30</v>
      </c>
      <c r="Y4491">
        <v>5</v>
      </c>
      <c r="Z4491">
        <v>3</v>
      </c>
      <c r="AA4491">
        <v>27</v>
      </c>
      <c r="AB4491">
        <v>2</v>
      </c>
      <c r="AC4491">
        <v>2</v>
      </c>
      <c r="AD4491">
        <v>3.2599999899999998</v>
      </c>
      <c r="AE4491">
        <v>5</v>
      </c>
      <c r="AF4491">
        <v>38</v>
      </c>
      <c r="AG4491">
        <v>3.2539999499999999</v>
      </c>
      <c r="AH4491">
        <v>4</v>
      </c>
      <c r="AI4491">
        <v>17</v>
      </c>
      <c r="AJ4491" t="s">
        <v>43</v>
      </c>
      <c r="AK4491" t="s">
        <v>43</v>
      </c>
      <c r="AL4491" t="s">
        <v>43</v>
      </c>
      <c r="AM4491" t="s">
        <v>43</v>
      </c>
      <c r="AN4491" t="str">
        <f>HYPERLINK("https://www.google.com/maps?q=10.76455688,79.82574463","Open Location")</f>
        <v>Open Location</v>
      </c>
    </row>
    <row r="4492" spans="1:40" x14ac:dyDescent="0.3">
      <c r="A4492" s="1">
        <v>46210.479398148149</v>
      </c>
      <c r="B4492" t="s">
        <v>40</v>
      </c>
      <c r="C4492" t="s">
        <v>41</v>
      </c>
      <c r="D4492" s="1">
        <v>46210.482222222221</v>
      </c>
      <c r="E4492" t="s">
        <v>42</v>
      </c>
      <c r="F4492" t="s">
        <v>83</v>
      </c>
      <c r="G4492">
        <v>32</v>
      </c>
      <c r="H4492" t="s">
        <v>43</v>
      </c>
      <c r="I4492" t="s">
        <v>2537</v>
      </c>
      <c r="J4492">
        <v>55</v>
      </c>
      <c r="K4492">
        <v>49</v>
      </c>
      <c r="L4492">
        <v>98</v>
      </c>
      <c r="M4492">
        <v>624.90002441000001</v>
      </c>
      <c r="N4492" t="s">
        <v>87</v>
      </c>
      <c r="O4492" t="s">
        <v>86</v>
      </c>
      <c r="P4492">
        <v>130</v>
      </c>
      <c r="Q4492">
        <v>5</v>
      </c>
      <c r="R4492">
        <v>49</v>
      </c>
      <c r="S4492">
        <v>1511</v>
      </c>
      <c r="T4492">
        <v>-40</v>
      </c>
      <c r="U4492">
        <v>50</v>
      </c>
      <c r="V4492">
        <v>160</v>
      </c>
      <c r="W4492">
        <v>30</v>
      </c>
      <c r="X4492">
        <v>30</v>
      </c>
      <c r="Y4492">
        <v>5</v>
      </c>
      <c r="Z4492">
        <v>3</v>
      </c>
      <c r="AA4492">
        <v>27</v>
      </c>
      <c r="AB4492">
        <v>2</v>
      </c>
      <c r="AC4492">
        <v>2</v>
      </c>
      <c r="AD4492">
        <v>3.2550001100000001</v>
      </c>
      <c r="AE4492">
        <v>5</v>
      </c>
      <c r="AF4492">
        <v>3</v>
      </c>
      <c r="AG4492">
        <v>3.2479999099999999</v>
      </c>
      <c r="AH4492">
        <v>4</v>
      </c>
      <c r="AI4492">
        <v>17</v>
      </c>
      <c r="AJ4492">
        <v>1</v>
      </c>
      <c r="AK4492">
        <v>19</v>
      </c>
      <c r="AL4492">
        <v>49</v>
      </c>
      <c r="AM4492" t="s">
        <v>43</v>
      </c>
      <c r="AN4492" t="str">
        <f>HYPERLINK("https://www.google.com/maps?q=10.76555061,79.8259201","Open Location")</f>
        <v>Open Location</v>
      </c>
    </row>
    <row r="4493" spans="1:40" x14ac:dyDescent="0.3">
      <c r="A4493" s="1">
        <v>46210.47928240741</v>
      </c>
      <c r="B4493" t="s">
        <v>40</v>
      </c>
      <c r="C4493" t="s">
        <v>41</v>
      </c>
      <c r="D4493" s="1">
        <v>46210.481979166667</v>
      </c>
      <c r="E4493" t="s">
        <v>42</v>
      </c>
      <c r="F4493" t="s">
        <v>83</v>
      </c>
      <c r="G4493">
        <v>31</v>
      </c>
      <c r="H4493">
        <v>33093</v>
      </c>
      <c r="I4493" t="s">
        <v>2538</v>
      </c>
      <c r="J4493">
        <v>55</v>
      </c>
      <c r="K4493">
        <v>89</v>
      </c>
      <c r="L4493">
        <v>98</v>
      </c>
      <c r="M4493">
        <v>622.90002441000001</v>
      </c>
      <c r="N4493" t="s">
        <v>87</v>
      </c>
      <c r="O4493" t="s">
        <v>86</v>
      </c>
      <c r="P4493">
        <v>130</v>
      </c>
      <c r="Q4493">
        <v>5</v>
      </c>
      <c r="R4493">
        <v>38</v>
      </c>
      <c r="S4493">
        <v>1456</v>
      </c>
      <c r="T4493">
        <v>-40</v>
      </c>
      <c r="U4493">
        <v>50</v>
      </c>
      <c r="V4493">
        <v>340</v>
      </c>
      <c r="W4493">
        <v>30</v>
      </c>
      <c r="X4493">
        <v>30</v>
      </c>
      <c r="Y4493">
        <v>5</v>
      </c>
      <c r="Z4493">
        <v>3</v>
      </c>
      <c r="AA4493">
        <v>27</v>
      </c>
      <c r="AB4493">
        <v>2</v>
      </c>
      <c r="AC4493">
        <v>2</v>
      </c>
      <c r="AD4493">
        <v>3.25600004</v>
      </c>
      <c r="AE4493">
        <v>1</v>
      </c>
      <c r="AF4493">
        <v>44</v>
      </c>
      <c r="AG4493">
        <v>3.2490000700000001</v>
      </c>
      <c r="AH4493">
        <v>6</v>
      </c>
      <c r="AI4493">
        <v>24</v>
      </c>
      <c r="AJ4493" t="s">
        <v>43</v>
      </c>
      <c r="AK4493" t="s">
        <v>43</v>
      </c>
      <c r="AL4493">
        <v>49</v>
      </c>
      <c r="AM4493" t="s">
        <v>43</v>
      </c>
      <c r="AN4493" t="str">
        <f>HYPERLINK("https://www.google.com/maps?q=10.76651478,79.82601929","Open Location")</f>
        <v>Open Location</v>
      </c>
    </row>
    <row r="4494" spans="1:40" x14ac:dyDescent="0.3">
      <c r="A4494" s="1">
        <v>46210.479166666664</v>
      </c>
      <c r="B4494" t="s">
        <v>40</v>
      </c>
      <c r="C4494" t="s">
        <v>41</v>
      </c>
      <c r="D4494" s="1">
        <v>46210.48201388889</v>
      </c>
      <c r="E4494" t="s">
        <v>42</v>
      </c>
      <c r="F4494" t="s">
        <v>83</v>
      </c>
      <c r="G4494">
        <v>30</v>
      </c>
      <c r="H4494">
        <v>33092</v>
      </c>
      <c r="I4494" t="s">
        <v>2539</v>
      </c>
      <c r="J4494">
        <v>55</v>
      </c>
      <c r="K4494">
        <v>70</v>
      </c>
      <c r="L4494">
        <v>98</v>
      </c>
      <c r="M4494">
        <v>623.79998779000005</v>
      </c>
      <c r="N4494" t="s">
        <v>87</v>
      </c>
      <c r="O4494" t="s">
        <v>86</v>
      </c>
      <c r="P4494">
        <v>130</v>
      </c>
      <c r="Q4494">
        <v>5</v>
      </c>
      <c r="R4494">
        <v>64</v>
      </c>
      <c r="S4494">
        <v>1409</v>
      </c>
      <c r="T4494">
        <v>-40</v>
      </c>
      <c r="U4494">
        <v>50</v>
      </c>
      <c r="V4494">
        <v>280</v>
      </c>
      <c r="W4494">
        <v>30</v>
      </c>
      <c r="X4494">
        <v>30</v>
      </c>
      <c r="Y4494">
        <v>5</v>
      </c>
      <c r="Z4494">
        <v>3</v>
      </c>
      <c r="AA4494">
        <v>27</v>
      </c>
      <c r="AB4494">
        <v>2</v>
      </c>
      <c r="AC4494">
        <v>2</v>
      </c>
      <c r="AD4494">
        <v>3.2509999299999999</v>
      </c>
      <c r="AE4494">
        <v>5</v>
      </c>
      <c r="AF4494">
        <v>3</v>
      </c>
      <c r="AG4494">
        <v>3.2430000300000001</v>
      </c>
      <c r="AH4494">
        <v>4</v>
      </c>
      <c r="AI4494">
        <v>24</v>
      </c>
      <c r="AJ4494">
        <v>1</v>
      </c>
      <c r="AK4494">
        <v>20</v>
      </c>
      <c r="AL4494">
        <v>49</v>
      </c>
      <c r="AM4494" t="s">
        <v>43</v>
      </c>
      <c r="AN4494" t="str">
        <f>HYPERLINK("https://www.google.com/maps?q=10.76743412,79.82605743","Open Location")</f>
        <v>Open Location</v>
      </c>
    </row>
    <row r="4495" spans="1:40" x14ac:dyDescent="0.3">
      <c r="A4495" s="1">
        <v>46210.479050925926</v>
      </c>
      <c r="B4495" t="s">
        <v>40</v>
      </c>
      <c r="C4495" t="s">
        <v>41</v>
      </c>
      <c r="D4495" s="1">
        <v>46210.48201388889</v>
      </c>
      <c r="E4495" t="s">
        <v>42</v>
      </c>
      <c r="F4495" t="s">
        <v>83</v>
      </c>
      <c r="G4495">
        <v>29</v>
      </c>
      <c r="H4495" t="s">
        <v>43</v>
      </c>
      <c r="I4495" t="s">
        <v>43</v>
      </c>
      <c r="J4495">
        <v>56</v>
      </c>
      <c r="K4495">
        <v>41</v>
      </c>
      <c r="L4495">
        <v>98</v>
      </c>
      <c r="M4495">
        <v>624.5</v>
      </c>
      <c r="N4495" t="s">
        <v>87</v>
      </c>
      <c r="O4495" t="s">
        <v>86</v>
      </c>
      <c r="P4495">
        <v>130</v>
      </c>
      <c r="Q4495" t="s">
        <v>43</v>
      </c>
      <c r="R4495">
        <v>59</v>
      </c>
      <c r="S4495">
        <v>1343</v>
      </c>
      <c r="T4495">
        <v>-40</v>
      </c>
      <c r="U4495">
        <v>52</v>
      </c>
      <c r="V4495">
        <v>160</v>
      </c>
      <c r="W4495" t="s">
        <v>43</v>
      </c>
      <c r="X4495" t="s">
        <v>43</v>
      </c>
      <c r="Y4495" t="s">
        <v>43</v>
      </c>
      <c r="Z4495" t="s">
        <v>43</v>
      </c>
      <c r="AA4495" t="s">
        <v>43</v>
      </c>
      <c r="AB4495" t="s">
        <v>43</v>
      </c>
      <c r="AC4495" t="s">
        <v>43</v>
      </c>
      <c r="AD4495" t="s">
        <v>43</v>
      </c>
      <c r="AE4495" t="s">
        <v>43</v>
      </c>
      <c r="AF4495" t="s">
        <v>43</v>
      </c>
      <c r="AG4495" t="s">
        <v>43</v>
      </c>
      <c r="AH4495" t="s">
        <v>43</v>
      </c>
      <c r="AI4495" t="s">
        <v>43</v>
      </c>
      <c r="AJ4495" t="s">
        <v>43</v>
      </c>
      <c r="AK4495" t="s">
        <v>43</v>
      </c>
      <c r="AL4495" t="s">
        <v>43</v>
      </c>
      <c r="AM4495" t="s">
        <v>43</v>
      </c>
      <c r="AN4495" t="s">
        <v>43</v>
      </c>
    </row>
    <row r="4496" spans="1:40" x14ac:dyDescent="0.3">
      <c r="A4496" s="1">
        <v>46210.478935185187</v>
      </c>
      <c r="B4496" t="s">
        <v>40</v>
      </c>
      <c r="C4496" t="s">
        <v>41</v>
      </c>
      <c r="D4496" s="1">
        <v>46210.481689814813</v>
      </c>
      <c r="E4496" t="s">
        <v>42</v>
      </c>
      <c r="F4496" t="s">
        <v>83</v>
      </c>
      <c r="G4496">
        <v>27</v>
      </c>
      <c r="H4496">
        <v>33092</v>
      </c>
      <c r="I4496" t="s">
        <v>2540</v>
      </c>
      <c r="J4496">
        <v>56</v>
      </c>
      <c r="K4496">
        <v>98</v>
      </c>
      <c r="L4496">
        <v>98</v>
      </c>
      <c r="M4496">
        <v>621.79998779000005</v>
      </c>
      <c r="N4496" t="s">
        <v>87</v>
      </c>
      <c r="O4496" t="s">
        <v>86</v>
      </c>
      <c r="P4496">
        <v>130</v>
      </c>
      <c r="Q4496">
        <v>5</v>
      </c>
      <c r="R4496">
        <v>83</v>
      </c>
      <c r="S4496">
        <v>1322</v>
      </c>
      <c r="T4496">
        <v>-40</v>
      </c>
      <c r="U4496">
        <v>52</v>
      </c>
      <c r="V4496">
        <v>400</v>
      </c>
      <c r="W4496">
        <v>30</v>
      </c>
      <c r="X4496">
        <v>30</v>
      </c>
      <c r="Y4496">
        <v>5</v>
      </c>
      <c r="Z4496">
        <v>3</v>
      </c>
      <c r="AA4496">
        <v>27</v>
      </c>
      <c r="AB4496">
        <v>2</v>
      </c>
      <c r="AC4496">
        <v>2</v>
      </c>
      <c r="AD4496">
        <v>3.24399996</v>
      </c>
      <c r="AE4496">
        <v>5</v>
      </c>
      <c r="AF4496">
        <v>38</v>
      </c>
      <c r="AG4496">
        <v>3.2330000399999999</v>
      </c>
      <c r="AH4496">
        <v>4</v>
      </c>
      <c r="AI4496">
        <v>24</v>
      </c>
      <c r="AJ4496">
        <v>1</v>
      </c>
      <c r="AK4496">
        <v>19</v>
      </c>
      <c r="AL4496">
        <v>49</v>
      </c>
      <c r="AM4496" t="s">
        <v>43</v>
      </c>
      <c r="AN4496" t="str">
        <f>HYPERLINK("https://www.google.com/maps?q=10.76833057,79.8260498","Open Location")</f>
        <v>Open Location</v>
      </c>
    </row>
    <row r="4497" spans="1:40" x14ac:dyDescent="0.3">
      <c r="A4497" s="1">
        <v>46210.478819444441</v>
      </c>
      <c r="B4497" t="s">
        <v>40</v>
      </c>
      <c r="C4497" t="s">
        <v>41</v>
      </c>
      <c r="D4497" s="1">
        <v>46210.481817129628</v>
      </c>
      <c r="E4497" t="s">
        <v>42</v>
      </c>
      <c r="F4497" t="s">
        <v>83</v>
      </c>
      <c r="G4497">
        <v>25</v>
      </c>
      <c r="H4497">
        <v>33092</v>
      </c>
      <c r="I4497" t="s">
        <v>2541</v>
      </c>
      <c r="J4497">
        <v>56</v>
      </c>
      <c r="K4497">
        <v>135</v>
      </c>
      <c r="L4497">
        <v>98</v>
      </c>
      <c r="M4497">
        <v>622.09997558999999</v>
      </c>
      <c r="N4497" t="s">
        <v>87</v>
      </c>
      <c r="O4497" t="s">
        <v>86</v>
      </c>
      <c r="P4497">
        <v>130</v>
      </c>
      <c r="Q4497">
        <v>5</v>
      </c>
      <c r="R4497">
        <v>59</v>
      </c>
      <c r="S4497">
        <v>1208</v>
      </c>
      <c r="T4497">
        <v>-40</v>
      </c>
      <c r="U4497">
        <v>52</v>
      </c>
      <c r="V4497">
        <v>560</v>
      </c>
      <c r="W4497">
        <v>30</v>
      </c>
      <c r="X4497">
        <v>30</v>
      </c>
      <c r="Y4497">
        <v>5</v>
      </c>
      <c r="Z4497">
        <v>3</v>
      </c>
      <c r="AA4497">
        <v>27</v>
      </c>
      <c r="AB4497">
        <v>2</v>
      </c>
      <c r="AC4497">
        <v>2</v>
      </c>
      <c r="AD4497">
        <v>3.2509999299999999</v>
      </c>
      <c r="AE4497">
        <v>5</v>
      </c>
      <c r="AF4497">
        <v>38</v>
      </c>
      <c r="AG4497">
        <v>3.2420000999999998</v>
      </c>
      <c r="AH4497">
        <v>4</v>
      </c>
      <c r="AI4497">
        <v>17</v>
      </c>
      <c r="AJ4497" t="s">
        <v>43</v>
      </c>
      <c r="AK4497" t="s">
        <v>43</v>
      </c>
      <c r="AL4497">
        <v>49</v>
      </c>
      <c r="AM4497" t="s">
        <v>43</v>
      </c>
      <c r="AN4497" t="str">
        <f>HYPERLINK("https://www.google.com/maps?q=10.76914692,79.8259964","Open Location")</f>
        <v>Open Location</v>
      </c>
    </row>
    <row r="4498" spans="1:40" x14ac:dyDescent="0.3">
      <c r="A4498" s="1">
        <v>46210.478703703702</v>
      </c>
      <c r="B4498" t="s">
        <v>40</v>
      </c>
      <c r="C4498" t="s">
        <v>41</v>
      </c>
      <c r="D4498" s="1">
        <v>46210.481446759259</v>
      </c>
      <c r="E4498" t="s">
        <v>42</v>
      </c>
      <c r="F4498" t="s">
        <v>83</v>
      </c>
      <c r="G4498">
        <v>24</v>
      </c>
      <c r="H4498">
        <v>33092</v>
      </c>
      <c r="I4498" t="s">
        <v>2542</v>
      </c>
      <c r="J4498">
        <v>56</v>
      </c>
      <c r="K4498">
        <v>83</v>
      </c>
      <c r="L4498">
        <v>98</v>
      </c>
      <c r="M4498">
        <v>623.20001220999995</v>
      </c>
      <c r="N4498" t="s">
        <v>87</v>
      </c>
      <c r="O4498" t="s">
        <v>86</v>
      </c>
      <c r="P4498">
        <v>130</v>
      </c>
      <c r="Q4498">
        <v>5</v>
      </c>
      <c r="R4498">
        <v>58</v>
      </c>
      <c r="S4498">
        <v>1144</v>
      </c>
      <c r="T4498">
        <v>-40</v>
      </c>
      <c r="U4498">
        <v>51</v>
      </c>
      <c r="V4498">
        <v>388</v>
      </c>
      <c r="W4498">
        <v>30</v>
      </c>
      <c r="X4498">
        <v>30</v>
      </c>
      <c r="Y4498">
        <v>5</v>
      </c>
      <c r="Z4498">
        <v>3</v>
      </c>
      <c r="AA4498">
        <v>27</v>
      </c>
      <c r="AB4498">
        <v>2</v>
      </c>
      <c r="AC4498">
        <v>2</v>
      </c>
      <c r="AD4498">
        <v>3.25600004</v>
      </c>
      <c r="AE4498">
        <v>5</v>
      </c>
      <c r="AF4498">
        <v>38</v>
      </c>
      <c r="AG4498">
        <v>3.2479999099999999</v>
      </c>
      <c r="AH4498">
        <v>4</v>
      </c>
      <c r="AI4498">
        <v>24</v>
      </c>
      <c r="AJ4498">
        <v>1</v>
      </c>
      <c r="AK4498">
        <v>20</v>
      </c>
      <c r="AL4498">
        <v>49</v>
      </c>
      <c r="AM4498" t="s">
        <v>43</v>
      </c>
      <c r="AN4498" t="str">
        <f>HYPERLINK("https://www.google.com/maps?q=10.76989079,79.82592773","Open Location")</f>
        <v>Open Location</v>
      </c>
    </row>
    <row r="4499" spans="1:40" x14ac:dyDescent="0.3">
      <c r="A4499" s="1">
        <v>46210.478587962964</v>
      </c>
      <c r="B4499" t="s">
        <v>40</v>
      </c>
      <c r="C4499" t="s">
        <v>41</v>
      </c>
      <c r="D4499" s="1">
        <v>46210.481689814813</v>
      </c>
      <c r="E4499" t="s">
        <v>42</v>
      </c>
      <c r="F4499" t="s">
        <v>83</v>
      </c>
      <c r="G4499">
        <v>23</v>
      </c>
      <c r="H4499" t="s">
        <v>43</v>
      </c>
      <c r="I4499" t="s">
        <v>2543</v>
      </c>
      <c r="J4499">
        <v>56</v>
      </c>
      <c r="K4499">
        <v>93</v>
      </c>
      <c r="L4499">
        <v>98</v>
      </c>
      <c r="M4499">
        <v>624</v>
      </c>
      <c r="N4499" t="s">
        <v>87</v>
      </c>
      <c r="O4499" t="s">
        <v>86</v>
      </c>
      <c r="P4499">
        <v>129</v>
      </c>
      <c r="Q4499">
        <v>4</v>
      </c>
      <c r="R4499">
        <v>74</v>
      </c>
      <c r="S4499">
        <v>1119</v>
      </c>
      <c r="T4499">
        <v>-40</v>
      </c>
      <c r="U4499">
        <v>53</v>
      </c>
      <c r="V4499">
        <v>410</v>
      </c>
      <c r="W4499">
        <v>30</v>
      </c>
      <c r="X4499">
        <v>30</v>
      </c>
      <c r="Y4499">
        <v>5</v>
      </c>
      <c r="Z4499">
        <v>3</v>
      </c>
      <c r="AA4499">
        <v>27</v>
      </c>
      <c r="AB4499">
        <v>2</v>
      </c>
      <c r="AC4499">
        <v>2</v>
      </c>
      <c r="AD4499" t="s">
        <v>43</v>
      </c>
      <c r="AE4499" t="s">
        <v>43</v>
      </c>
      <c r="AF4499" t="s">
        <v>43</v>
      </c>
      <c r="AG4499" t="s">
        <v>43</v>
      </c>
      <c r="AH4499" t="s">
        <v>43</v>
      </c>
      <c r="AI4499" t="s">
        <v>43</v>
      </c>
      <c r="AJ4499" t="s">
        <v>43</v>
      </c>
      <c r="AK4499" t="s">
        <v>43</v>
      </c>
      <c r="AL4499" t="s">
        <v>43</v>
      </c>
      <c r="AM4499" t="s">
        <v>43</v>
      </c>
      <c r="AN4499" t="str">
        <f>HYPERLINK("https://www.google.com/maps?q=10.77068424,79.82582092","Open Location")</f>
        <v>Open Location</v>
      </c>
    </row>
    <row r="4500" spans="1:40" x14ac:dyDescent="0.3">
      <c r="A4500" s="1">
        <v>46210.478472222225</v>
      </c>
      <c r="B4500" t="s">
        <v>40</v>
      </c>
      <c r="C4500" t="s">
        <v>41</v>
      </c>
      <c r="D4500" s="1">
        <v>46210.481145833335</v>
      </c>
      <c r="E4500" t="s">
        <v>42</v>
      </c>
      <c r="F4500" t="s">
        <v>83</v>
      </c>
      <c r="G4500">
        <v>16</v>
      </c>
      <c r="H4500" t="s">
        <v>43</v>
      </c>
      <c r="I4500" t="s">
        <v>43</v>
      </c>
      <c r="J4500">
        <v>56</v>
      </c>
      <c r="K4500">
        <v>165</v>
      </c>
      <c r="L4500">
        <v>98</v>
      </c>
      <c r="M4500">
        <v>620.90002441000001</v>
      </c>
      <c r="N4500" t="s">
        <v>87</v>
      </c>
      <c r="O4500" t="s">
        <v>86</v>
      </c>
      <c r="P4500">
        <v>129</v>
      </c>
      <c r="Q4500">
        <v>4</v>
      </c>
      <c r="R4500">
        <v>124</v>
      </c>
      <c r="S4500">
        <v>1729</v>
      </c>
      <c r="T4500">
        <v>-40</v>
      </c>
      <c r="U4500">
        <v>52</v>
      </c>
      <c r="V4500">
        <v>480</v>
      </c>
      <c r="W4500">
        <v>30</v>
      </c>
      <c r="X4500">
        <v>30</v>
      </c>
      <c r="Y4500">
        <v>5</v>
      </c>
      <c r="Z4500">
        <v>3</v>
      </c>
      <c r="AA4500">
        <v>27</v>
      </c>
      <c r="AB4500">
        <v>2</v>
      </c>
      <c r="AC4500">
        <v>2</v>
      </c>
      <c r="AD4500">
        <v>3.2369999900000002</v>
      </c>
      <c r="AE4500">
        <v>5</v>
      </c>
      <c r="AF4500">
        <v>38</v>
      </c>
      <c r="AG4500">
        <v>3.2219998799999998</v>
      </c>
      <c r="AH4500">
        <v>4</v>
      </c>
      <c r="AI4500">
        <v>17</v>
      </c>
      <c r="AJ4500">
        <v>1</v>
      </c>
      <c r="AK4500">
        <v>18</v>
      </c>
      <c r="AL4500">
        <v>49</v>
      </c>
      <c r="AM4500" t="s">
        <v>43</v>
      </c>
      <c r="AN4500" t="s">
        <v>43</v>
      </c>
    </row>
    <row r="4501" spans="1:40" x14ac:dyDescent="0.3">
      <c r="A4501" s="1">
        <v>46210.478356481479</v>
      </c>
      <c r="B4501" t="s">
        <v>40</v>
      </c>
      <c r="C4501" t="s">
        <v>41</v>
      </c>
      <c r="D4501" s="1">
        <v>46210.481249999997</v>
      </c>
      <c r="E4501" t="s">
        <v>42</v>
      </c>
      <c r="F4501" t="s">
        <v>83</v>
      </c>
      <c r="G4501">
        <v>11</v>
      </c>
      <c r="H4501">
        <v>33092</v>
      </c>
      <c r="I4501" t="s">
        <v>2544</v>
      </c>
      <c r="J4501">
        <v>56</v>
      </c>
      <c r="K4501">
        <v>-1</v>
      </c>
      <c r="L4501">
        <v>98</v>
      </c>
      <c r="M4501">
        <v>627.40002441000001</v>
      </c>
      <c r="N4501" t="s">
        <v>87</v>
      </c>
      <c r="O4501" t="s">
        <v>86</v>
      </c>
      <c r="P4501">
        <v>130</v>
      </c>
      <c r="Q4501">
        <v>3</v>
      </c>
      <c r="R4501">
        <v>-2</v>
      </c>
      <c r="S4501">
        <v>1152</v>
      </c>
      <c r="T4501">
        <v>-40</v>
      </c>
      <c r="U4501">
        <v>51</v>
      </c>
      <c r="V4501">
        <v>17</v>
      </c>
      <c r="W4501">
        <v>30</v>
      </c>
      <c r="X4501">
        <v>30</v>
      </c>
      <c r="Y4501">
        <v>5</v>
      </c>
      <c r="Z4501">
        <v>3</v>
      </c>
      <c r="AA4501">
        <v>27</v>
      </c>
      <c r="AB4501">
        <v>2</v>
      </c>
      <c r="AC4501">
        <v>2</v>
      </c>
      <c r="AD4501">
        <v>3.2699999800000001</v>
      </c>
      <c r="AE4501">
        <v>5</v>
      </c>
      <c r="AF4501">
        <v>38</v>
      </c>
      <c r="AG4501">
        <v>3.2609999200000002</v>
      </c>
      <c r="AH4501">
        <v>4</v>
      </c>
      <c r="AI4501">
        <v>17</v>
      </c>
      <c r="AJ4501">
        <v>1</v>
      </c>
      <c r="AK4501">
        <v>18</v>
      </c>
      <c r="AL4501">
        <v>49</v>
      </c>
      <c r="AM4501" t="s">
        <v>43</v>
      </c>
      <c r="AN4501" t="str">
        <f>HYPERLINK("https://www.google.com/maps?q=10.77124596,79.825737","Open Location")</f>
        <v>Open Location</v>
      </c>
    </row>
    <row r="4502" spans="1:40" x14ac:dyDescent="0.3">
      <c r="A4502" s="1">
        <v>46210.47824074074</v>
      </c>
      <c r="B4502" t="s">
        <v>40</v>
      </c>
      <c r="C4502" t="s">
        <v>41</v>
      </c>
      <c r="D4502" s="1">
        <v>46210.481145833335</v>
      </c>
      <c r="E4502" t="s">
        <v>42</v>
      </c>
      <c r="F4502" t="s">
        <v>83</v>
      </c>
      <c r="G4502">
        <v>26</v>
      </c>
      <c r="H4502">
        <v>33092</v>
      </c>
      <c r="I4502" t="s">
        <v>2545</v>
      </c>
      <c r="J4502">
        <v>56</v>
      </c>
      <c r="K4502">
        <v>-10</v>
      </c>
      <c r="L4502">
        <v>98</v>
      </c>
      <c r="M4502">
        <v>629.59997558999999</v>
      </c>
      <c r="N4502" t="s">
        <v>87</v>
      </c>
      <c r="O4502" t="s">
        <v>86</v>
      </c>
      <c r="P4502">
        <v>130</v>
      </c>
      <c r="Q4502">
        <v>5</v>
      </c>
      <c r="R4502">
        <v>-24</v>
      </c>
      <c r="S4502">
        <v>566</v>
      </c>
      <c r="T4502">
        <v>-40</v>
      </c>
      <c r="U4502">
        <v>51</v>
      </c>
      <c r="V4502">
        <v>-184</v>
      </c>
      <c r="W4502">
        <v>30</v>
      </c>
      <c r="X4502">
        <v>30</v>
      </c>
      <c r="Y4502">
        <v>5</v>
      </c>
      <c r="Z4502">
        <v>3</v>
      </c>
      <c r="AA4502">
        <v>27</v>
      </c>
      <c r="AB4502">
        <v>2</v>
      </c>
      <c r="AC4502">
        <v>2</v>
      </c>
      <c r="AD4502">
        <v>3.3059999900000001</v>
      </c>
      <c r="AE4502">
        <v>4</v>
      </c>
      <c r="AF4502">
        <v>24</v>
      </c>
      <c r="AG4502">
        <v>3.2999999500000001</v>
      </c>
      <c r="AH4502">
        <v>2</v>
      </c>
      <c r="AI4502">
        <v>23</v>
      </c>
      <c r="AJ4502">
        <v>1</v>
      </c>
      <c r="AK4502">
        <v>19</v>
      </c>
      <c r="AL4502">
        <v>49</v>
      </c>
      <c r="AM4502" t="s">
        <v>43</v>
      </c>
      <c r="AN4502" t="str">
        <f>HYPERLINK("https://www.google.com/maps?q=10.77162457,79.82576752","Open Location")</f>
        <v>Open Location</v>
      </c>
    </row>
    <row r="4503" spans="1:40" x14ac:dyDescent="0.3">
      <c r="A4503" s="1">
        <v>46210.478125000001</v>
      </c>
      <c r="B4503" t="s">
        <v>40</v>
      </c>
      <c r="C4503" t="s">
        <v>41</v>
      </c>
      <c r="D4503" s="1">
        <v>46210.480925925927</v>
      </c>
      <c r="E4503" t="s">
        <v>42</v>
      </c>
      <c r="F4503" t="s">
        <v>83</v>
      </c>
      <c r="G4503">
        <v>30</v>
      </c>
      <c r="H4503">
        <v>33092</v>
      </c>
      <c r="I4503" t="s">
        <v>2546</v>
      </c>
      <c r="J4503">
        <v>56</v>
      </c>
      <c r="K4503">
        <v>-115</v>
      </c>
      <c r="L4503">
        <v>98</v>
      </c>
      <c r="M4503">
        <v>635.5</v>
      </c>
      <c r="N4503" t="s">
        <v>87</v>
      </c>
      <c r="O4503" t="s">
        <v>86</v>
      </c>
      <c r="P4503">
        <v>130</v>
      </c>
      <c r="Q4503">
        <v>5</v>
      </c>
      <c r="R4503">
        <v>-27</v>
      </c>
      <c r="S4503">
        <v>1291</v>
      </c>
      <c r="T4503">
        <v>-40</v>
      </c>
      <c r="U4503">
        <v>50</v>
      </c>
      <c r="V4503">
        <v>-655</v>
      </c>
      <c r="W4503">
        <v>30</v>
      </c>
      <c r="X4503">
        <v>30</v>
      </c>
      <c r="Y4503">
        <v>5</v>
      </c>
      <c r="Z4503">
        <v>3</v>
      </c>
      <c r="AA4503">
        <v>27</v>
      </c>
      <c r="AB4503">
        <v>2</v>
      </c>
      <c r="AC4503">
        <v>2</v>
      </c>
      <c r="AD4503">
        <v>3.3139998899999998</v>
      </c>
      <c r="AE4503">
        <v>4</v>
      </c>
      <c r="AF4503">
        <v>24</v>
      </c>
      <c r="AG4503">
        <v>3.3050000700000002</v>
      </c>
      <c r="AH4503">
        <v>5</v>
      </c>
      <c r="AI4503">
        <v>8</v>
      </c>
      <c r="AJ4503" t="s">
        <v>43</v>
      </c>
      <c r="AK4503" t="s">
        <v>43</v>
      </c>
      <c r="AL4503" t="s">
        <v>43</v>
      </c>
      <c r="AM4503" t="s">
        <v>43</v>
      </c>
      <c r="AN4503" t="str">
        <f>HYPERLINK("https://www.google.com/maps?q=10.77243423,79.82562256","Open Location")</f>
        <v>Open Location</v>
      </c>
    </row>
    <row r="4504" spans="1:40" x14ac:dyDescent="0.3">
      <c r="A4504" s="1">
        <v>46210.478009259263</v>
      </c>
      <c r="B4504" t="s">
        <v>40</v>
      </c>
      <c r="C4504" t="s">
        <v>41</v>
      </c>
      <c r="D4504" s="1">
        <v>46210.480810185189</v>
      </c>
      <c r="E4504" t="s">
        <v>42</v>
      </c>
      <c r="F4504" t="s">
        <v>83</v>
      </c>
      <c r="G4504">
        <v>29</v>
      </c>
      <c r="H4504">
        <v>33092</v>
      </c>
      <c r="I4504" t="s">
        <v>2547</v>
      </c>
      <c r="J4504">
        <v>56</v>
      </c>
      <c r="K4504">
        <v>-34</v>
      </c>
      <c r="L4504">
        <v>98</v>
      </c>
      <c r="M4504">
        <v>629.20001220999995</v>
      </c>
      <c r="N4504" t="s">
        <v>87</v>
      </c>
      <c r="O4504" t="s">
        <v>86</v>
      </c>
      <c r="P4504">
        <v>130</v>
      </c>
      <c r="Q4504">
        <v>5</v>
      </c>
      <c r="R4504">
        <v>-26</v>
      </c>
      <c r="S4504">
        <v>1379</v>
      </c>
      <c r="T4504">
        <v>-40</v>
      </c>
      <c r="U4504">
        <v>50</v>
      </c>
      <c r="V4504">
        <v>-184</v>
      </c>
      <c r="W4504">
        <v>30</v>
      </c>
      <c r="X4504">
        <v>30</v>
      </c>
      <c r="Y4504">
        <v>5</v>
      </c>
      <c r="Z4504">
        <v>3</v>
      </c>
      <c r="AA4504">
        <v>27</v>
      </c>
      <c r="AB4504">
        <v>2</v>
      </c>
      <c r="AC4504">
        <v>5</v>
      </c>
      <c r="AD4504">
        <v>3.27999997</v>
      </c>
      <c r="AE4504">
        <v>1</v>
      </c>
      <c r="AF4504">
        <v>2</v>
      </c>
      <c r="AG4504">
        <v>3.27699995</v>
      </c>
      <c r="AH4504">
        <v>2</v>
      </c>
      <c r="AI4504">
        <v>12</v>
      </c>
      <c r="AJ4504">
        <v>1</v>
      </c>
      <c r="AK4504">
        <v>18</v>
      </c>
      <c r="AL4504">
        <v>49</v>
      </c>
      <c r="AM4504" t="s">
        <v>43</v>
      </c>
      <c r="AN4504" t="str">
        <f>HYPERLINK("https://www.google.com/maps?q=10.77333832,79.8254776","Open Location")</f>
        <v>Open Location</v>
      </c>
    </row>
    <row r="4505" spans="1:40" x14ac:dyDescent="0.3">
      <c r="A4505" s="1">
        <v>46210.477893518517</v>
      </c>
      <c r="B4505" t="s">
        <v>40</v>
      </c>
      <c r="C4505" t="s">
        <v>41</v>
      </c>
      <c r="D4505" s="1">
        <v>46210.480752314812</v>
      </c>
      <c r="E4505" t="s">
        <v>42</v>
      </c>
      <c r="F4505" t="s">
        <v>83</v>
      </c>
      <c r="G4505">
        <v>29</v>
      </c>
      <c r="H4505" t="s">
        <v>43</v>
      </c>
      <c r="I4505" t="s">
        <v>2548</v>
      </c>
      <c r="J4505">
        <v>56</v>
      </c>
      <c r="K4505">
        <v>-32</v>
      </c>
      <c r="L4505">
        <v>98</v>
      </c>
      <c r="M4505">
        <v>629.20001220999995</v>
      </c>
      <c r="N4505" t="s">
        <v>87</v>
      </c>
      <c r="O4505" t="s">
        <v>86</v>
      </c>
      <c r="P4505">
        <v>130</v>
      </c>
      <c r="Q4505">
        <v>5</v>
      </c>
      <c r="R4505">
        <v>19</v>
      </c>
      <c r="S4505">
        <v>1337</v>
      </c>
      <c r="T4505">
        <v>-40</v>
      </c>
      <c r="U4505">
        <v>50</v>
      </c>
      <c r="V4505">
        <v>-184</v>
      </c>
      <c r="W4505">
        <v>30</v>
      </c>
      <c r="X4505">
        <v>30</v>
      </c>
      <c r="Y4505">
        <v>5</v>
      </c>
      <c r="Z4505">
        <v>3</v>
      </c>
      <c r="AA4505">
        <v>27</v>
      </c>
      <c r="AB4505">
        <v>2</v>
      </c>
      <c r="AC4505">
        <v>5</v>
      </c>
      <c r="AD4505">
        <v>3.2750001000000002</v>
      </c>
      <c r="AE4505">
        <v>1</v>
      </c>
      <c r="AF4505">
        <v>26</v>
      </c>
      <c r="AG4505">
        <v>3.2720000699999998</v>
      </c>
      <c r="AH4505">
        <v>2</v>
      </c>
      <c r="AI4505">
        <v>6</v>
      </c>
      <c r="AJ4505" t="s">
        <v>43</v>
      </c>
      <c r="AK4505" t="s">
        <v>43</v>
      </c>
      <c r="AL4505" t="s">
        <v>43</v>
      </c>
      <c r="AM4505" t="s">
        <v>43</v>
      </c>
      <c r="AN4505" t="str">
        <f>HYPERLINK("https://www.google.com/maps?q=10.77421665,79.82534027","Open Location")</f>
        <v>Open Location</v>
      </c>
    </row>
    <row r="4506" spans="1:40" x14ac:dyDescent="0.3">
      <c r="A4506" s="1">
        <v>46210.477777777778</v>
      </c>
      <c r="B4506" t="s">
        <v>40</v>
      </c>
      <c r="C4506" t="s">
        <v>41</v>
      </c>
      <c r="D4506" s="1">
        <v>46210.480624999997</v>
      </c>
      <c r="E4506" t="s">
        <v>42</v>
      </c>
      <c r="F4506" t="s">
        <v>83</v>
      </c>
      <c r="G4506">
        <v>27</v>
      </c>
      <c r="H4506">
        <v>33092</v>
      </c>
      <c r="I4506" t="s">
        <v>43</v>
      </c>
      <c r="J4506">
        <v>56</v>
      </c>
      <c r="K4506">
        <v>48</v>
      </c>
      <c r="L4506">
        <v>98</v>
      </c>
      <c r="M4506">
        <v>624.90002441000001</v>
      </c>
      <c r="N4506" t="s">
        <v>87</v>
      </c>
      <c r="O4506" t="s">
        <v>86</v>
      </c>
      <c r="P4506">
        <v>130</v>
      </c>
      <c r="Q4506">
        <v>5</v>
      </c>
      <c r="R4506">
        <v>26</v>
      </c>
      <c r="S4506">
        <v>1291</v>
      </c>
      <c r="T4506">
        <v>-40</v>
      </c>
      <c r="U4506">
        <v>50</v>
      </c>
      <c r="V4506">
        <v>200</v>
      </c>
      <c r="W4506">
        <v>30</v>
      </c>
      <c r="X4506">
        <v>30</v>
      </c>
      <c r="Y4506">
        <v>5</v>
      </c>
      <c r="Z4506">
        <v>3</v>
      </c>
      <c r="AA4506">
        <v>27</v>
      </c>
      <c r="AB4506">
        <v>2</v>
      </c>
      <c r="AC4506">
        <v>5</v>
      </c>
      <c r="AD4506">
        <v>3.2609999200000002</v>
      </c>
      <c r="AE4506">
        <v>5</v>
      </c>
      <c r="AF4506">
        <v>38</v>
      </c>
      <c r="AG4506">
        <v>3.2550001100000001</v>
      </c>
      <c r="AH4506">
        <v>4</v>
      </c>
      <c r="AI4506">
        <v>17</v>
      </c>
      <c r="AJ4506">
        <v>1</v>
      </c>
      <c r="AK4506">
        <v>18</v>
      </c>
      <c r="AL4506">
        <v>49</v>
      </c>
      <c r="AM4506" t="s">
        <v>43</v>
      </c>
      <c r="AN4506" t="s">
        <v>43</v>
      </c>
    </row>
    <row r="4507" spans="1:40" x14ac:dyDescent="0.3">
      <c r="A4507" s="1">
        <v>46210.477662037039</v>
      </c>
      <c r="B4507" t="s">
        <v>40</v>
      </c>
      <c r="C4507" t="s">
        <v>41</v>
      </c>
      <c r="D4507" s="1">
        <v>46210.48060185185</v>
      </c>
      <c r="E4507" t="s">
        <v>42</v>
      </c>
      <c r="F4507" t="s">
        <v>83</v>
      </c>
      <c r="G4507">
        <v>28</v>
      </c>
      <c r="H4507" t="s">
        <v>43</v>
      </c>
      <c r="I4507" t="s">
        <v>2549</v>
      </c>
      <c r="J4507">
        <v>56</v>
      </c>
      <c r="K4507">
        <v>34</v>
      </c>
      <c r="L4507">
        <v>98</v>
      </c>
      <c r="M4507">
        <v>625.20001220999995</v>
      </c>
      <c r="N4507" t="s">
        <v>87</v>
      </c>
      <c r="O4507" t="s">
        <v>86</v>
      </c>
      <c r="P4507">
        <v>130</v>
      </c>
      <c r="Q4507">
        <v>5</v>
      </c>
      <c r="R4507">
        <v>16</v>
      </c>
      <c r="S4507">
        <v>1238</v>
      </c>
      <c r="T4507">
        <v>-40</v>
      </c>
      <c r="U4507">
        <v>52</v>
      </c>
      <c r="V4507">
        <v>140</v>
      </c>
      <c r="W4507">
        <v>30</v>
      </c>
      <c r="X4507">
        <v>30</v>
      </c>
      <c r="Y4507">
        <v>5</v>
      </c>
      <c r="Z4507">
        <v>3</v>
      </c>
      <c r="AA4507">
        <v>27</v>
      </c>
      <c r="AB4507">
        <v>2</v>
      </c>
      <c r="AC4507">
        <v>5</v>
      </c>
      <c r="AD4507">
        <v>3.2599999899999998</v>
      </c>
      <c r="AE4507">
        <v>1</v>
      </c>
      <c r="AF4507">
        <v>1</v>
      </c>
      <c r="AG4507">
        <v>3.2550001100000001</v>
      </c>
      <c r="AH4507">
        <v>6</v>
      </c>
      <c r="AI4507">
        <v>24</v>
      </c>
      <c r="AJ4507">
        <v>1</v>
      </c>
      <c r="AK4507">
        <v>18</v>
      </c>
      <c r="AL4507">
        <v>49</v>
      </c>
      <c r="AM4507" t="s">
        <v>43</v>
      </c>
      <c r="AN4507" t="str">
        <f>HYPERLINK("https://www.google.com/maps?q=10.77513409,79.82522583","Open Location")</f>
        <v>Open Location</v>
      </c>
    </row>
    <row r="4508" spans="1:40" x14ac:dyDescent="0.3">
      <c r="A4508" s="1">
        <v>46210.477546296293</v>
      </c>
      <c r="B4508" t="s">
        <v>40</v>
      </c>
      <c r="C4508" t="s">
        <v>41</v>
      </c>
      <c r="D4508" s="1">
        <v>46210.480405092596</v>
      </c>
      <c r="E4508" t="s">
        <v>42</v>
      </c>
      <c r="F4508" t="s">
        <v>83</v>
      </c>
      <c r="G4508">
        <v>28</v>
      </c>
      <c r="H4508">
        <v>33092</v>
      </c>
      <c r="I4508" t="s">
        <v>2550</v>
      </c>
      <c r="J4508">
        <v>56</v>
      </c>
      <c r="K4508">
        <v>111</v>
      </c>
      <c r="L4508">
        <v>98</v>
      </c>
      <c r="M4508">
        <v>622.09997558999999</v>
      </c>
      <c r="N4508" t="s">
        <v>87</v>
      </c>
      <c r="O4508" t="s">
        <v>86</v>
      </c>
      <c r="P4508">
        <v>130</v>
      </c>
      <c r="Q4508">
        <v>5</v>
      </c>
      <c r="R4508">
        <v>59</v>
      </c>
      <c r="S4508">
        <v>1312</v>
      </c>
      <c r="T4508">
        <v>-40</v>
      </c>
      <c r="U4508">
        <v>52</v>
      </c>
      <c r="V4508">
        <v>440</v>
      </c>
      <c r="W4508">
        <v>30</v>
      </c>
      <c r="X4508">
        <v>30</v>
      </c>
      <c r="Y4508">
        <v>5</v>
      </c>
      <c r="Z4508">
        <v>3</v>
      </c>
      <c r="AA4508">
        <v>27</v>
      </c>
      <c r="AB4508">
        <v>2</v>
      </c>
      <c r="AC4508">
        <v>5</v>
      </c>
      <c r="AD4508">
        <v>3.24099994</v>
      </c>
      <c r="AE4508">
        <v>5</v>
      </c>
      <c r="AF4508">
        <v>38</v>
      </c>
      <c r="AG4508">
        <v>3.22900009</v>
      </c>
      <c r="AH4508">
        <v>6</v>
      </c>
      <c r="AI4508">
        <v>24</v>
      </c>
      <c r="AJ4508">
        <v>1</v>
      </c>
      <c r="AK4508">
        <v>18</v>
      </c>
      <c r="AL4508">
        <v>49</v>
      </c>
      <c r="AM4508" t="s">
        <v>43</v>
      </c>
      <c r="AN4508" t="str">
        <f>HYPERLINK("https://www.google.com/maps?q=10.77597904,79.82514954","Open Location")</f>
        <v>Open Location</v>
      </c>
    </row>
    <row r="4509" spans="1:40" x14ac:dyDescent="0.3">
      <c r="A4509" s="1">
        <v>46210.477430555555</v>
      </c>
      <c r="B4509" t="s">
        <v>40</v>
      </c>
      <c r="C4509" t="s">
        <v>41</v>
      </c>
      <c r="D4509" s="1">
        <v>46210.480624999997</v>
      </c>
      <c r="E4509" t="s">
        <v>42</v>
      </c>
      <c r="F4509" t="s">
        <v>83</v>
      </c>
      <c r="G4509">
        <v>29</v>
      </c>
      <c r="H4509">
        <v>33091</v>
      </c>
      <c r="I4509" t="s">
        <v>43</v>
      </c>
      <c r="J4509">
        <v>56</v>
      </c>
      <c r="K4509">
        <v>117</v>
      </c>
      <c r="L4509">
        <v>98</v>
      </c>
      <c r="M4509">
        <v>621</v>
      </c>
      <c r="N4509" t="s">
        <v>87</v>
      </c>
      <c r="O4509" t="s">
        <v>86</v>
      </c>
      <c r="P4509">
        <v>130</v>
      </c>
      <c r="Q4509">
        <v>5</v>
      </c>
      <c r="R4509">
        <v>83</v>
      </c>
      <c r="S4509">
        <v>1294</v>
      </c>
      <c r="T4509">
        <v>-40</v>
      </c>
      <c r="U4509">
        <v>53</v>
      </c>
      <c r="V4509">
        <v>480</v>
      </c>
      <c r="W4509">
        <v>30</v>
      </c>
      <c r="X4509">
        <v>30</v>
      </c>
      <c r="Y4509">
        <v>5</v>
      </c>
      <c r="Z4509">
        <v>3</v>
      </c>
      <c r="AA4509">
        <v>27</v>
      </c>
      <c r="AB4509">
        <v>2</v>
      </c>
      <c r="AC4509">
        <v>5</v>
      </c>
      <c r="AD4509">
        <v>3.2420000999999998</v>
      </c>
      <c r="AE4509">
        <v>5</v>
      </c>
      <c r="AF4509">
        <v>38</v>
      </c>
      <c r="AG4509">
        <v>3.2309999500000002</v>
      </c>
      <c r="AH4509">
        <v>4</v>
      </c>
      <c r="AI4509">
        <v>24</v>
      </c>
      <c r="AJ4509" t="s">
        <v>43</v>
      </c>
      <c r="AK4509" t="s">
        <v>43</v>
      </c>
      <c r="AL4509" t="s">
        <v>43</v>
      </c>
      <c r="AM4509" t="s">
        <v>43</v>
      </c>
      <c r="AN4509" t="s">
        <v>43</v>
      </c>
    </row>
    <row r="4510" spans="1:40" x14ac:dyDescent="0.3">
      <c r="A4510" s="1">
        <v>46210.477314814816</v>
      </c>
      <c r="B4510" t="s">
        <v>40</v>
      </c>
      <c r="C4510" t="s">
        <v>41</v>
      </c>
      <c r="D4510" s="1">
        <v>46210.480023148149</v>
      </c>
      <c r="E4510" t="s">
        <v>42</v>
      </c>
      <c r="F4510" t="s">
        <v>83</v>
      </c>
      <c r="G4510">
        <v>29</v>
      </c>
      <c r="H4510">
        <v>33091</v>
      </c>
      <c r="I4510" t="s">
        <v>2551</v>
      </c>
      <c r="J4510">
        <v>56</v>
      </c>
      <c r="K4510">
        <v>174</v>
      </c>
      <c r="L4510">
        <v>98</v>
      </c>
      <c r="M4510">
        <v>619.29998779000005</v>
      </c>
      <c r="N4510" t="s">
        <v>87</v>
      </c>
      <c r="O4510" t="s">
        <v>86</v>
      </c>
      <c r="P4510">
        <v>130</v>
      </c>
      <c r="Q4510">
        <v>5</v>
      </c>
      <c r="R4510">
        <v>121</v>
      </c>
      <c r="S4510">
        <v>1362</v>
      </c>
      <c r="T4510">
        <v>-40</v>
      </c>
      <c r="U4510">
        <v>53</v>
      </c>
      <c r="V4510">
        <v>720</v>
      </c>
      <c r="W4510">
        <v>30</v>
      </c>
      <c r="X4510">
        <v>30</v>
      </c>
      <c r="Y4510">
        <v>5</v>
      </c>
      <c r="Z4510">
        <v>3</v>
      </c>
      <c r="AA4510">
        <v>27</v>
      </c>
      <c r="AB4510">
        <v>2</v>
      </c>
      <c r="AC4510">
        <v>5</v>
      </c>
      <c r="AD4510">
        <v>3.2309999500000002</v>
      </c>
      <c r="AE4510">
        <v>5</v>
      </c>
      <c r="AF4510">
        <v>38</v>
      </c>
      <c r="AG4510">
        <v>3.21700001</v>
      </c>
      <c r="AH4510">
        <v>4</v>
      </c>
      <c r="AI4510">
        <v>24</v>
      </c>
      <c r="AJ4510">
        <v>1</v>
      </c>
      <c r="AK4510">
        <v>18</v>
      </c>
      <c r="AL4510">
        <v>49</v>
      </c>
      <c r="AM4510" t="s">
        <v>43</v>
      </c>
      <c r="AN4510" t="str">
        <f>HYPERLINK("https://www.google.com/maps?q=10.77771568,79.82498169","Open Location")</f>
        <v>Open Location</v>
      </c>
    </row>
    <row r="4511" spans="1:40" x14ac:dyDescent="0.3">
      <c r="A4511" s="1">
        <v>46210.477199074077</v>
      </c>
      <c r="B4511" t="s">
        <v>40</v>
      </c>
      <c r="C4511" t="s">
        <v>41</v>
      </c>
      <c r="D4511" s="1">
        <v>46210.480162037034</v>
      </c>
      <c r="E4511" t="s">
        <v>42</v>
      </c>
      <c r="F4511" t="s">
        <v>83</v>
      </c>
      <c r="G4511">
        <v>32</v>
      </c>
      <c r="H4511" t="s">
        <v>43</v>
      </c>
      <c r="I4511" t="s">
        <v>2552</v>
      </c>
      <c r="J4511">
        <v>56</v>
      </c>
      <c r="K4511">
        <v>186</v>
      </c>
      <c r="L4511">
        <v>98</v>
      </c>
      <c r="M4511">
        <v>618.70001220999995</v>
      </c>
      <c r="N4511" t="s">
        <v>87</v>
      </c>
      <c r="O4511" t="s">
        <v>86</v>
      </c>
      <c r="P4511">
        <v>130</v>
      </c>
      <c r="Q4511">
        <v>5</v>
      </c>
      <c r="R4511">
        <v>51</v>
      </c>
      <c r="S4511">
        <v>1333</v>
      </c>
      <c r="T4511">
        <v>-40</v>
      </c>
      <c r="U4511">
        <v>49</v>
      </c>
      <c r="V4511">
        <v>760</v>
      </c>
      <c r="W4511">
        <v>30</v>
      </c>
      <c r="X4511">
        <v>30</v>
      </c>
      <c r="Y4511">
        <v>5</v>
      </c>
      <c r="Z4511">
        <v>3</v>
      </c>
      <c r="AA4511">
        <v>27</v>
      </c>
      <c r="AB4511">
        <v>2</v>
      </c>
      <c r="AC4511">
        <v>5</v>
      </c>
      <c r="AD4511">
        <v>3.2490000700000001</v>
      </c>
      <c r="AE4511">
        <v>5</v>
      </c>
      <c r="AF4511">
        <v>38</v>
      </c>
      <c r="AG4511">
        <v>3.23799992</v>
      </c>
      <c r="AH4511">
        <v>4</v>
      </c>
      <c r="AI4511">
        <v>24</v>
      </c>
      <c r="AJ4511" t="s">
        <v>43</v>
      </c>
      <c r="AK4511" t="s">
        <v>43</v>
      </c>
      <c r="AL4511" t="s">
        <v>43</v>
      </c>
      <c r="AM4511" t="s">
        <v>43</v>
      </c>
      <c r="AN4511" t="str">
        <f>HYPERLINK("https://www.google.com/maps?q=10.7786417,79.82489014","Open Location")</f>
        <v>Open Location</v>
      </c>
    </row>
    <row r="4512" spans="1:40" x14ac:dyDescent="0.3">
      <c r="A4512" s="1">
        <v>46210.477083333331</v>
      </c>
      <c r="B4512" t="s">
        <v>40</v>
      </c>
      <c r="C4512" t="s">
        <v>41</v>
      </c>
      <c r="D4512" s="1">
        <v>46210.479826388888</v>
      </c>
      <c r="E4512" t="s">
        <v>42</v>
      </c>
      <c r="F4512" t="s">
        <v>83</v>
      </c>
      <c r="G4512">
        <v>33</v>
      </c>
      <c r="H4512">
        <v>33091</v>
      </c>
      <c r="I4512" t="s">
        <v>43</v>
      </c>
      <c r="J4512">
        <v>56</v>
      </c>
      <c r="K4512">
        <v>62</v>
      </c>
      <c r="L4512">
        <v>98</v>
      </c>
      <c r="M4512">
        <v>624.59997558999999</v>
      </c>
      <c r="N4512" t="s">
        <v>87</v>
      </c>
      <c r="O4512" t="s">
        <v>86</v>
      </c>
      <c r="P4512">
        <v>130</v>
      </c>
      <c r="Q4512">
        <v>5</v>
      </c>
      <c r="R4512">
        <v>28</v>
      </c>
      <c r="S4512">
        <v>1483</v>
      </c>
      <c r="T4512">
        <v>-40</v>
      </c>
      <c r="U4512">
        <v>49</v>
      </c>
      <c r="V4512">
        <v>248</v>
      </c>
      <c r="W4512">
        <v>30</v>
      </c>
      <c r="X4512">
        <v>30</v>
      </c>
      <c r="Y4512">
        <v>5</v>
      </c>
      <c r="Z4512">
        <v>3</v>
      </c>
      <c r="AA4512">
        <v>27</v>
      </c>
      <c r="AB4512">
        <v>2</v>
      </c>
      <c r="AC4512">
        <v>5</v>
      </c>
      <c r="AD4512">
        <v>3.2639999400000002</v>
      </c>
      <c r="AE4512">
        <v>5</v>
      </c>
      <c r="AF4512">
        <v>38</v>
      </c>
      <c r="AG4512">
        <v>3.2579999000000002</v>
      </c>
      <c r="AH4512">
        <v>4</v>
      </c>
      <c r="AI4512">
        <v>17</v>
      </c>
      <c r="AJ4512">
        <v>1</v>
      </c>
      <c r="AK4512">
        <v>18</v>
      </c>
      <c r="AL4512">
        <v>49</v>
      </c>
      <c r="AM4512" t="s">
        <v>43</v>
      </c>
      <c r="AN4512" t="s">
        <v>43</v>
      </c>
    </row>
    <row r="4513" spans="1:40" x14ac:dyDescent="0.3">
      <c r="A4513" s="1">
        <v>46210.476967592593</v>
      </c>
      <c r="B4513" t="s">
        <v>40</v>
      </c>
      <c r="C4513" t="s">
        <v>41</v>
      </c>
      <c r="D4513" s="1">
        <v>46210.479861111111</v>
      </c>
      <c r="E4513" t="s">
        <v>42</v>
      </c>
      <c r="F4513" t="s">
        <v>83</v>
      </c>
      <c r="G4513">
        <v>32</v>
      </c>
      <c r="H4513">
        <v>33091</v>
      </c>
      <c r="I4513" t="s">
        <v>2553</v>
      </c>
      <c r="J4513">
        <v>56</v>
      </c>
      <c r="K4513">
        <v>44</v>
      </c>
      <c r="L4513">
        <v>98</v>
      </c>
      <c r="M4513">
        <v>625.90002441000001</v>
      </c>
      <c r="N4513" t="s">
        <v>87</v>
      </c>
      <c r="O4513" t="s">
        <v>86</v>
      </c>
      <c r="P4513">
        <v>130</v>
      </c>
      <c r="Q4513">
        <v>5</v>
      </c>
      <c r="R4513">
        <v>37</v>
      </c>
      <c r="S4513">
        <v>1493</v>
      </c>
      <c r="T4513">
        <v>-40</v>
      </c>
      <c r="U4513">
        <v>50</v>
      </c>
      <c r="V4513">
        <v>160</v>
      </c>
      <c r="W4513">
        <v>30</v>
      </c>
      <c r="X4513">
        <v>30</v>
      </c>
      <c r="Y4513">
        <v>1</v>
      </c>
      <c r="Z4513">
        <v>7</v>
      </c>
      <c r="AA4513">
        <v>27</v>
      </c>
      <c r="AB4513">
        <v>2</v>
      </c>
      <c r="AC4513">
        <v>5</v>
      </c>
      <c r="AD4513">
        <v>3.2609999200000002</v>
      </c>
      <c r="AE4513">
        <v>5</v>
      </c>
      <c r="AF4513">
        <v>38</v>
      </c>
      <c r="AG4513">
        <v>3.2539999499999999</v>
      </c>
      <c r="AH4513">
        <v>6</v>
      </c>
      <c r="AI4513">
        <v>24</v>
      </c>
      <c r="AJ4513">
        <v>1</v>
      </c>
      <c r="AK4513">
        <v>18</v>
      </c>
      <c r="AL4513">
        <v>49</v>
      </c>
      <c r="AM4513" t="s">
        <v>43</v>
      </c>
      <c r="AN4513" t="str">
        <f>HYPERLINK("https://www.google.com/maps?q=10.77962685,79.82480621","Open Location")</f>
        <v>Open Location</v>
      </c>
    </row>
    <row r="4514" spans="1:40" x14ac:dyDescent="0.3">
      <c r="A4514" s="1">
        <v>46210.476851851854</v>
      </c>
      <c r="B4514" t="s">
        <v>40</v>
      </c>
      <c r="C4514" t="s">
        <v>41</v>
      </c>
      <c r="D4514" s="1">
        <v>46210.479861111111</v>
      </c>
      <c r="E4514" t="s">
        <v>42</v>
      </c>
      <c r="F4514" t="s">
        <v>83</v>
      </c>
      <c r="G4514">
        <v>31</v>
      </c>
      <c r="H4514">
        <v>33091</v>
      </c>
      <c r="I4514" t="s">
        <v>2554</v>
      </c>
      <c r="J4514">
        <v>56</v>
      </c>
      <c r="K4514">
        <v>76</v>
      </c>
      <c r="L4514">
        <v>98</v>
      </c>
      <c r="M4514">
        <v>624.5</v>
      </c>
      <c r="N4514" t="s">
        <v>87</v>
      </c>
      <c r="O4514" t="s">
        <v>86</v>
      </c>
      <c r="P4514">
        <v>130</v>
      </c>
      <c r="Q4514">
        <v>5</v>
      </c>
      <c r="R4514">
        <v>71</v>
      </c>
      <c r="S4514">
        <v>1482</v>
      </c>
      <c r="T4514">
        <v>-40</v>
      </c>
      <c r="U4514">
        <v>50</v>
      </c>
      <c r="V4514">
        <v>280</v>
      </c>
      <c r="W4514">
        <v>30</v>
      </c>
      <c r="X4514">
        <v>30</v>
      </c>
      <c r="Y4514">
        <v>1</v>
      </c>
      <c r="Z4514">
        <v>7</v>
      </c>
      <c r="AA4514">
        <v>27</v>
      </c>
      <c r="AB4514">
        <v>2</v>
      </c>
      <c r="AC4514">
        <v>5</v>
      </c>
      <c r="AD4514">
        <v>3.2579999000000002</v>
      </c>
      <c r="AE4514">
        <v>5</v>
      </c>
      <c r="AF4514">
        <v>38</v>
      </c>
      <c r="AG4514">
        <v>3.25</v>
      </c>
      <c r="AH4514">
        <v>4</v>
      </c>
      <c r="AI4514">
        <v>24</v>
      </c>
      <c r="AJ4514">
        <v>1</v>
      </c>
      <c r="AK4514">
        <v>18</v>
      </c>
      <c r="AL4514">
        <v>49</v>
      </c>
      <c r="AM4514" t="s">
        <v>43</v>
      </c>
      <c r="AN4514" t="str">
        <f>HYPERLINK("https://www.google.com/maps?q=10.78059578,79.82470703","Open Location")</f>
        <v>Open Location</v>
      </c>
    </row>
    <row r="4515" spans="1:40" x14ac:dyDescent="0.3">
      <c r="A4515" s="1">
        <v>46210.476736111108</v>
      </c>
      <c r="B4515" t="s">
        <v>40</v>
      </c>
      <c r="C4515" t="s">
        <v>41</v>
      </c>
      <c r="D4515" s="1">
        <v>46210.479525462964</v>
      </c>
      <c r="E4515" t="s">
        <v>42</v>
      </c>
      <c r="F4515" t="s">
        <v>83</v>
      </c>
      <c r="G4515">
        <v>31</v>
      </c>
      <c r="H4515" t="s">
        <v>43</v>
      </c>
      <c r="I4515" t="s">
        <v>2555</v>
      </c>
      <c r="J4515">
        <v>56</v>
      </c>
      <c r="K4515">
        <v>103</v>
      </c>
      <c r="L4515">
        <v>98</v>
      </c>
      <c r="M4515">
        <v>621.59997558999999</v>
      </c>
      <c r="N4515" t="s">
        <v>87</v>
      </c>
      <c r="O4515" t="s">
        <v>86</v>
      </c>
      <c r="P4515">
        <v>130</v>
      </c>
      <c r="Q4515">
        <v>5</v>
      </c>
      <c r="R4515">
        <v>-27</v>
      </c>
      <c r="S4515">
        <v>1353</v>
      </c>
      <c r="T4515">
        <v>-40</v>
      </c>
      <c r="U4515">
        <v>49</v>
      </c>
      <c r="V4515">
        <v>402</v>
      </c>
      <c r="W4515">
        <v>30</v>
      </c>
      <c r="X4515">
        <v>30</v>
      </c>
      <c r="Y4515">
        <v>1</v>
      </c>
      <c r="Z4515">
        <v>7</v>
      </c>
      <c r="AA4515">
        <v>27</v>
      </c>
      <c r="AB4515">
        <v>2</v>
      </c>
      <c r="AC4515">
        <v>5</v>
      </c>
      <c r="AD4515">
        <v>3.2809998999999999</v>
      </c>
      <c r="AE4515">
        <v>1</v>
      </c>
      <c r="AF4515">
        <v>26</v>
      </c>
      <c r="AG4515">
        <v>3.2780001200000002</v>
      </c>
      <c r="AH4515">
        <v>2</v>
      </c>
      <c r="AI4515">
        <v>3</v>
      </c>
      <c r="AJ4515" t="s">
        <v>43</v>
      </c>
      <c r="AK4515">
        <v>18</v>
      </c>
      <c r="AL4515">
        <v>49</v>
      </c>
      <c r="AM4515" t="s">
        <v>43</v>
      </c>
      <c r="AN4515" t="str">
        <f>HYPERLINK("https://www.google.com/maps?q=10.78158283,79.82459259","Open Location")</f>
        <v>Open Location</v>
      </c>
    </row>
    <row r="4516" spans="1:40" x14ac:dyDescent="0.3">
      <c r="A4516" s="1">
        <v>46210.476620370369</v>
      </c>
      <c r="B4516" t="s">
        <v>40</v>
      </c>
      <c r="C4516" t="s">
        <v>41</v>
      </c>
      <c r="D4516" s="1">
        <v>46210.479479166665</v>
      </c>
      <c r="E4516" t="s">
        <v>42</v>
      </c>
      <c r="F4516" t="s">
        <v>83</v>
      </c>
      <c r="G4516">
        <v>33</v>
      </c>
      <c r="H4516">
        <v>33091</v>
      </c>
      <c r="I4516" t="s">
        <v>2556</v>
      </c>
      <c r="J4516">
        <v>56</v>
      </c>
      <c r="K4516">
        <v>-35</v>
      </c>
      <c r="L4516">
        <v>98</v>
      </c>
      <c r="M4516">
        <v>629</v>
      </c>
      <c r="N4516" t="s">
        <v>87</v>
      </c>
      <c r="O4516" t="s">
        <v>86</v>
      </c>
      <c r="P4516">
        <v>130</v>
      </c>
      <c r="Q4516">
        <v>5</v>
      </c>
      <c r="R4516">
        <v>12</v>
      </c>
      <c r="S4516">
        <v>1430</v>
      </c>
      <c r="T4516">
        <v>-40</v>
      </c>
      <c r="U4516">
        <v>49</v>
      </c>
      <c r="V4516">
        <v>-184</v>
      </c>
      <c r="W4516">
        <v>30</v>
      </c>
      <c r="X4516">
        <v>30</v>
      </c>
      <c r="Y4516">
        <v>1</v>
      </c>
      <c r="Z4516">
        <v>7</v>
      </c>
      <c r="AA4516">
        <v>27</v>
      </c>
      <c r="AB4516">
        <v>2</v>
      </c>
      <c r="AC4516">
        <v>5</v>
      </c>
      <c r="AD4516">
        <v>3.27699995</v>
      </c>
      <c r="AE4516">
        <v>1</v>
      </c>
      <c r="AF4516">
        <v>26</v>
      </c>
      <c r="AG4516">
        <v>3.27399993</v>
      </c>
      <c r="AH4516">
        <v>2</v>
      </c>
      <c r="AI4516">
        <v>6</v>
      </c>
      <c r="AJ4516">
        <v>1</v>
      </c>
      <c r="AK4516">
        <v>18</v>
      </c>
      <c r="AL4516">
        <v>49</v>
      </c>
      <c r="AM4516" t="s">
        <v>43</v>
      </c>
      <c r="AN4516" t="str">
        <f>HYPERLINK("https://www.google.com/maps?q=10.78256321,79.82447052","Open Location")</f>
        <v>Open Location</v>
      </c>
    </row>
    <row r="4517" spans="1:40" x14ac:dyDescent="0.3">
      <c r="A4517" s="1">
        <v>46210.476504629631</v>
      </c>
      <c r="B4517" t="s">
        <v>40</v>
      </c>
      <c r="C4517" t="s">
        <v>41</v>
      </c>
      <c r="D4517" s="1">
        <v>46210.479305555556</v>
      </c>
      <c r="E4517" t="s">
        <v>42</v>
      </c>
      <c r="F4517" t="s">
        <v>83</v>
      </c>
      <c r="G4517">
        <v>33</v>
      </c>
      <c r="H4517" t="s">
        <v>43</v>
      </c>
      <c r="I4517" t="s">
        <v>43</v>
      </c>
      <c r="J4517">
        <v>56</v>
      </c>
      <c r="K4517">
        <v>40</v>
      </c>
      <c r="L4517">
        <v>98</v>
      </c>
      <c r="M4517">
        <v>624.79998779000005</v>
      </c>
      <c r="N4517" t="s">
        <v>87</v>
      </c>
      <c r="O4517" t="s">
        <v>86</v>
      </c>
      <c r="P4517">
        <v>130</v>
      </c>
      <c r="Q4517">
        <v>5</v>
      </c>
      <c r="R4517">
        <v>44</v>
      </c>
      <c r="S4517">
        <v>1534</v>
      </c>
      <c r="T4517">
        <v>-40</v>
      </c>
      <c r="U4517">
        <v>50</v>
      </c>
      <c r="V4517">
        <v>140</v>
      </c>
      <c r="W4517">
        <v>30</v>
      </c>
      <c r="X4517">
        <v>30</v>
      </c>
      <c r="Y4517">
        <v>1</v>
      </c>
      <c r="Z4517">
        <v>7</v>
      </c>
      <c r="AA4517">
        <v>27</v>
      </c>
      <c r="AB4517">
        <v>2</v>
      </c>
      <c r="AC4517">
        <v>5</v>
      </c>
      <c r="AD4517">
        <v>3.2569999699999999</v>
      </c>
      <c r="AE4517">
        <v>1</v>
      </c>
      <c r="AF4517">
        <v>38</v>
      </c>
      <c r="AG4517">
        <v>3.25</v>
      </c>
      <c r="AH4517">
        <v>6</v>
      </c>
      <c r="AI4517">
        <v>24</v>
      </c>
      <c r="AJ4517" t="s">
        <v>43</v>
      </c>
      <c r="AK4517" t="s">
        <v>43</v>
      </c>
      <c r="AL4517" t="s">
        <v>43</v>
      </c>
      <c r="AM4517" t="s">
        <v>43</v>
      </c>
      <c r="AN4517" t="s">
        <v>43</v>
      </c>
    </row>
    <row r="4518" spans="1:40" x14ac:dyDescent="0.3">
      <c r="A4518" s="1">
        <v>46210.476388888892</v>
      </c>
      <c r="B4518" t="s">
        <v>40</v>
      </c>
      <c r="C4518" t="s">
        <v>41</v>
      </c>
      <c r="D4518" s="1">
        <v>46210.479467592595</v>
      </c>
      <c r="E4518" t="s">
        <v>42</v>
      </c>
      <c r="F4518" t="s">
        <v>83</v>
      </c>
      <c r="G4518">
        <v>33</v>
      </c>
      <c r="H4518" t="s">
        <v>43</v>
      </c>
      <c r="I4518" t="s">
        <v>2557</v>
      </c>
      <c r="J4518">
        <v>56</v>
      </c>
      <c r="K4518">
        <v>92</v>
      </c>
      <c r="L4518">
        <v>98</v>
      </c>
      <c r="M4518">
        <v>623.09997558999999</v>
      </c>
      <c r="N4518" t="s">
        <v>87</v>
      </c>
      <c r="O4518" t="s">
        <v>86</v>
      </c>
      <c r="P4518">
        <v>130</v>
      </c>
      <c r="Q4518">
        <v>5</v>
      </c>
      <c r="R4518">
        <v>59</v>
      </c>
      <c r="S4518">
        <v>1507</v>
      </c>
      <c r="T4518">
        <v>-40</v>
      </c>
      <c r="U4518">
        <v>51</v>
      </c>
      <c r="V4518">
        <v>340</v>
      </c>
      <c r="W4518">
        <v>30</v>
      </c>
      <c r="X4518">
        <v>30</v>
      </c>
      <c r="Y4518">
        <v>1</v>
      </c>
      <c r="Z4518">
        <v>7</v>
      </c>
      <c r="AA4518">
        <v>27</v>
      </c>
      <c r="AB4518">
        <v>2</v>
      </c>
      <c r="AC4518">
        <v>5</v>
      </c>
      <c r="AD4518">
        <v>3.25600004</v>
      </c>
      <c r="AE4518">
        <v>1</v>
      </c>
      <c r="AF4518">
        <v>44</v>
      </c>
      <c r="AG4518">
        <v>3.25</v>
      </c>
      <c r="AH4518">
        <v>4</v>
      </c>
      <c r="AI4518">
        <v>17</v>
      </c>
      <c r="AJ4518">
        <v>1</v>
      </c>
      <c r="AK4518">
        <v>18</v>
      </c>
      <c r="AL4518">
        <v>49</v>
      </c>
      <c r="AM4518" t="s">
        <v>43</v>
      </c>
      <c r="AN4518" t="str">
        <f>HYPERLINK("https://www.google.com/maps?q=10.78358555,79.8243866","Open Location")</f>
        <v>Open Location</v>
      </c>
    </row>
    <row r="4519" spans="1:40" x14ac:dyDescent="0.3">
      <c r="A4519" s="1">
        <v>46210.476273148146</v>
      </c>
      <c r="B4519" t="s">
        <v>40</v>
      </c>
      <c r="C4519" t="s">
        <v>41</v>
      </c>
      <c r="D4519" s="1">
        <v>46210.479479166665</v>
      </c>
      <c r="E4519" t="s">
        <v>42</v>
      </c>
      <c r="F4519" t="s">
        <v>83</v>
      </c>
      <c r="G4519">
        <v>32</v>
      </c>
      <c r="H4519">
        <v>33091</v>
      </c>
      <c r="I4519" t="s">
        <v>2558</v>
      </c>
      <c r="J4519">
        <v>57</v>
      </c>
      <c r="K4519">
        <v>139</v>
      </c>
      <c r="L4519">
        <v>98</v>
      </c>
      <c r="M4519">
        <v>620.70001220999995</v>
      </c>
      <c r="N4519" t="s">
        <v>87</v>
      </c>
      <c r="O4519" t="s">
        <v>86</v>
      </c>
      <c r="P4519">
        <v>130</v>
      </c>
      <c r="Q4519">
        <v>5</v>
      </c>
      <c r="R4519">
        <v>69</v>
      </c>
      <c r="S4519">
        <v>1475</v>
      </c>
      <c r="T4519">
        <v>-40</v>
      </c>
      <c r="U4519">
        <v>50</v>
      </c>
      <c r="V4519">
        <v>520</v>
      </c>
      <c r="W4519">
        <v>30</v>
      </c>
      <c r="X4519">
        <v>30</v>
      </c>
      <c r="Y4519">
        <v>1</v>
      </c>
      <c r="Z4519">
        <v>7</v>
      </c>
      <c r="AA4519">
        <v>27</v>
      </c>
      <c r="AB4519">
        <v>2</v>
      </c>
      <c r="AC4519">
        <v>5</v>
      </c>
      <c r="AD4519">
        <v>3.24699998</v>
      </c>
      <c r="AE4519">
        <v>5</v>
      </c>
      <c r="AF4519">
        <v>38</v>
      </c>
      <c r="AG4519">
        <v>3.2360000599999998</v>
      </c>
      <c r="AH4519">
        <v>6</v>
      </c>
      <c r="AI4519">
        <v>24</v>
      </c>
      <c r="AJ4519">
        <v>1</v>
      </c>
      <c r="AK4519">
        <v>18</v>
      </c>
      <c r="AL4519">
        <v>49</v>
      </c>
      <c r="AM4519" t="s">
        <v>43</v>
      </c>
      <c r="AN4519" t="str">
        <f>HYPERLINK("https://www.google.com/maps?q=10.78455925,79.82430267","Open Location")</f>
        <v>Open Location</v>
      </c>
    </row>
    <row r="4520" spans="1:40" x14ac:dyDescent="0.3">
      <c r="A4520" s="1">
        <v>46210.476157407407</v>
      </c>
      <c r="B4520" t="s">
        <v>40</v>
      </c>
      <c r="C4520" t="s">
        <v>41</v>
      </c>
      <c r="D4520" s="1">
        <v>46210.478912037041</v>
      </c>
      <c r="E4520" t="s">
        <v>42</v>
      </c>
      <c r="F4520" t="s">
        <v>83</v>
      </c>
      <c r="G4520">
        <v>32</v>
      </c>
      <c r="H4520">
        <v>33091</v>
      </c>
      <c r="I4520" t="s">
        <v>2559</v>
      </c>
      <c r="J4520">
        <v>57</v>
      </c>
      <c r="K4520">
        <v>111</v>
      </c>
      <c r="L4520">
        <v>98</v>
      </c>
      <c r="M4520">
        <v>622.40002441000001</v>
      </c>
      <c r="N4520" t="s">
        <v>87</v>
      </c>
      <c r="O4520" t="s">
        <v>86</v>
      </c>
      <c r="P4520">
        <v>130</v>
      </c>
      <c r="Q4520">
        <v>5</v>
      </c>
      <c r="R4520">
        <v>54</v>
      </c>
      <c r="S4520">
        <v>1431</v>
      </c>
      <c r="T4520">
        <v>-40</v>
      </c>
      <c r="U4520">
        <v>51</v>
      </c>
      <c r="V4520">
        <v>420</v>
      </c>
      <c r="W4520">
        <v>30</v>
      </c>
      <c r="X4520">
        <v>30</v>
      </c>
      <c r="Y4520">
        <v>1</v>
      </c>
      <c r="Z4520">
        <v>7</v>
      </c>
      <c r="AA4520">
        <v>27</v>
      </c>
      <c r="AB4520">
        <v>2</v>
      </c>
      <c r="AC4520">
        <v>5</v>
      </c>
      <c r="AD4520">
        <v>3.2550001100000001</v>
      </c>
      <c r="AE4520">
        <v>5</v>
      </c>
      <c r="AF4520">
        <v>38</v>
      </c>
      <c r="AG4520">
        <v>3.24699998</v>
      </c>
      <c r="AH4520">
        <v>4</v>
      </c>
      <c r="AI4520">
        <v>17</v>
      </c>
      <c r="AJ4520">
        <v>1</v>
      </c>
      <c r="AK4520">
        <v>18</v>
      </c>
      <c r="AL4520">
        <v>49</v>
      </c>
      <c r="AM4520" t="s">
        <v>43</v>
      </c>
      <c r="AN4520" t="str">
        <f>HYPERLINK("https://www.google.com/maps?q=10.78551388,79.82424927","Open Location")</f>
        <v>Open Location</v>
      </c>
    </row>
    <row r="4521" spans="1:40" x14ac:dyDescent="0.3">
      <c r="A4521" s="1">
        <v>46210.476041666669</v>
      </c>
      <c r="B4521" t="s">
        <v>40</v>
      </c>
      <c r="C4521" t="s">
        <v>41</v>
      </c>
      <c r="D4521" s="1">
        <v>46210.47892361111</v>
      </c>
      <c r="E4521" t="s">
        <v>42</v>
      </c>
      <c r="F4521" t="s">
        <v>83</v>
      </c>
      <c r="G4521">
        <v>31</v>
      </c>
      <c r="H4521">
        <v>33090</v>
      </c>
      <c r="I4521" t="s">
        <v>2560</v>
      </c>
      <c r="J4521">
        <v>57</v>
      </c>
      <c r="K4521">
        <v>108</v>
      </c>
      <c r="L4521">
        <v>98</v>
      </c>
      <c r="M4521">
        <v>622.40002441000001</v>
      </c>
      <c r="N4521" t="s">
        <v>87</v>
      </c>
      <c r="O4521" t="s">
        <v>86</v>
      </c>
      <c r="P4521">
        <v>130</v>
      </c>
      <c r="Q4521">
        <v>5</v>
      </c>
      <c r="R4521">
        <v>85</v>
      </c>
      <c r="S4521">
        <v>1445</v>
      </c>
      <c r="T4521">
        <v>-40</v>
      </c>
      <c r="U4521">
        <v>52</v>
      </c>
      <c r="V4521">
        <v>380</v>
      </c>
      <c r="W4521">
        <v>30</v>
      </c>
      <c r="X4521">
        <v>30</v>
      </c>
      <c r="Y4521">
        <v>1</v>
      </c>
      <c r="Z4521">
        <v>7</v>
      </c>
      <c r="AA4521">
        <v>27</v>
      </c>
      <c r="AB4521">
        <v>2</v>
      </c>
      <c r="AC4521">
        <v>5</v>
      </c>
      <c r="AD4521">
        <v>3.2460000500000001</v>
      </c>
      <c r="AE4521">
        <v>5</v>
      </c>
      <c r="AF4521">
        <v>38</v>
      </c>
      <c r="AG4521">
        <v>3.2349999</v>
      </c>
      <c r="AH4521">
        <v>6</v>
      </c>
      <c r="AI4521">
        <v>24</v>
      </c>
      <c r="AJ4521">
        <v>1</v>
      </c>
      <c r="AK4521">
        <v>18</v>
      </c>
      <c r="AL4521">
        <v>49</v>
      </c>
      <c r="AM4521" t="s">
        <v>43</v>
      </c>
      <c r="AN4521" t="str">
        <f>HYPERLINK("https://www.google.com/maps?q=10.78647232,79.82423401","Open Location")</f>
        <v>Open Location</v>
      </c>
    </row>
    <row r="4522" spans="1:40" x14ac:dyDescent="0.3">
      <c r="A4522" s="1">
        <v>46210.475925925923</v>
      </c>
      <c r="B4522" t="s">
        <v>40</v>
      </c>
      <c r="C4522" t="s">
        <v>41</v>
      </c>
      <c r="D4522" s="1">
        <v>46210.478761574072</v>
      </c>
      <c r="E4522" t="s">
        <v>42</v>
      </c>
      <c r="F4522" t="s">
        <v>83</v>
      </c>
      <c r="G4522">
        <v>28</v>
      </c>
      <c r="H4522">
        <v>33090</v>
      </c>
      <c r="I4522" t="s">
        <v>2561</v>
      </c>
      <c r="J4522">
        <v>57</v>
      </c>
      <c r="K4522">
        <v>168</v>
      </c>
      <c r="L4522">
        <v>98</v>
      </c>
      <c r="M4522">
        <v>620.70001220999995</v>
      </c>
      <c r="N4522" t="s">
        <v>87</v>
      </c>
      <c r="O4522" t="s">
        <v>86</v>
      </c>
      <c r="P4522">
        <v>130</v>
      </c>
      <c r="Q4522">
        <v>5</v>
      </c>
      <c r="R4522">
        <v>16</v>
      </c>
      <c r="S4522">
        <v>1360</v>
      </c>
      <c r="T4522">
        <v>-40</v>
      </c>
      <c r="U4522">
        <v>49</v>
      </c>
      <c r="V4522">
        <v>640</v>
      </c>
      <c r="W4522">
        <v>30</v>
      </c>
      <c r="X4522">
        <v>30</v>
      </c>
      <c r="Y4522">
        <v>1</v>
      </c>
      <c r="Z4522">
        <v>7</v>
      </c>
      <c r="AA4522">
        <v>27</v>
      </c>
      <c r="AB4522">
        <v>2</v>
      </c>
      <c r="AC4522">
        <v>5</v>
      </c>
      <c r="AD4522">
        <v>3.2460000500000001</v>
      </c>
      <c r="AE4522">
        <v>5</v>
      </c>
      <c r="AF4522">
        <v>38</v>
      </c>
      <c r="AG4522">
        <v>3.2330000399999999</v>
      </c>
      <c r="AH4522">
        <v>6</v>
      </c>
      <c r="AI4522">
        <v>24</v>
      </c>
      <c r="AJ4522">
        <v>1</v>
      </c>
      <c r="AK4522">
        <v>18</v>
      </c>
      <c r="AL4522">
        <v>49</v>
      </c>
      <c r="AM4522" t="s">
        <v>43</v>
      </c>
      <c r="AN4522" t="str">
        <f>HYPERLINK("https://www.google.com/maps?q=10.78734875,79.82427216","Open Location")</f>
        <v>Open Location</v>
      </c>
    </row>
    <row r="4523" spans="1:40" x14ac:dyDescent="0.3">
      <c r="A4523" s="1">
        <v>46210.475810185184</v>
      </c>
      <c r="B4523" t="s">
        <v>40</v>
      </c>
      <c r="C4523" t="s">
        <v>41</v>
      </c>
      <c r="D4523" s="1">
        <v>46210.478761574072</v>
      </c>
      <c r="E4523" t="s">
        <v>42</v>
      </c>
      <c r="F4523" t="s">
        <v>83</v>
      </c>
      <c r="G4523">
        <v>32</v>
      </c>
      <c r="H4523" t="s">
        <v>43</v>
      </c>
      <c r="I4523" t="s">
        <v>43</v>
      </c>
      <c r="J4523">
        <v>57</v>
      </c>
      <c r="K4523">
        <v>-92</v>
      </c>
      <c r="L4523">
        <v>98</v>
      </c>
      <c r="M4523">
        <v>628.90002441000001</v>
      </c>
      <c r="N4523" t="s">
        <v>87</v>
      </c>
      <c r="O4523" t="s">
        <v>86</v>
      </c>
      <c r="P4523">
        <v>130</v>
      </c>
      <c r="Q4523">
        <v>5</v>
      </c>
      <c r="R4523">
        <v>17</v>
      </c>
      <c r="S4523">
        <v>1323</v>
      </c>
      <c r="T4523">
        <v>-40</v>
      </c>
      <c r="U4523">
        <v>48</v>
      </c>
      <c r="V4523">
        <v>-320</v>
      </c>
      <c r="W4523">
        <v>30</v>
      </c>
      <c r="X4523">
        <v>30</v>
      </c>
      <c r="Y4523">
        <v>1</v>
      </c>
      <c r="Z4523">
        <v>7</v>
      </c>
      <c r="AA4523">
        <v>27</v>
      </c>
      <c r="AB4523">
        <v>2</v>
      </c>
      <c r="AC4523">
        <v>5</v>
      </c>
      <c r="AD4523">
        <v>3.2630000099999998</v>
      </c>
      <c r="AE4523">
        <v>1</v>
      </c>
      <c r="AF4523">
        <v>46</v>
      </c>
      <c r="AG4523">
        <v>3.2579999000000002</v>
      </c>
      <c r="AH4523">
        <v>4</v>
      </c>
      <c r="AI4523">
        <v>17</v>
      </c>
      <c r="AJ4523" t="s">
        <v>43</v>
      </c>
      <c r="AK4523" t="s">
        <v>43</v>
      </c>
      <c r="AL4523" t="s">
        <v>43</v>
      </c>
      <c r="AM4523" t="s">
        <v>43</v>
      </c>
      <c r="AN4523" t="s">
        <v>43</v>
      </c>
    </row>
    <row r="4524" spans="1:40" x14ac:dyDescent="0.3">
      <c r="A4524" s="1">
        <v>46210.475694444445</v>
      </c>
      <c r="B4524" t="s">
        <v>40</v>
      </c>
      <c r="C4524" t="s">
        <v>41</v>
      </c>
      <c r="D4524" s="1">
        <v>46210.47859953704</v>
      </c>
      <c r="E4524" t="s">
        <v>42</v>
      </c>
      <c r="F4524" t="s">
        <v>83</v>
      </c>
      <c r="G4524">
        <v>33</v>
      </c>
      <c r="H4524">
        <v>33090</v>
      </c>
      <c r="I4524" t="s">
        <v>2562</v>
      </c>
      <c r="J4524">
        <v>57</v>
      </c>
      <c r="K4524">
        <v>65</v>
      </c>
      <c r="L4524">
        <v>98</v>
      </c>
      <c r="M4524">
        <v>624.79998779000005</v>
      </c>
      <c r="N4524" t="s">
        <v>87</v>
      </c>
      <c r="O4524" t="s">
        <v>86</v>
      </c>
      <c r="P4524">
        <v>130</v>
      </c>
      <c r="Q4524">
        <v>5</v>
      </c>
      <c r="R4524">
        <v>38</v>
      </c>
      <c r="S4524">
        <v>1488</v>
      </c>
      <c r="T4524">
        <v>-40</v>
      </c>
      <c r="U4524">
        <v>49</v>
      </c>
      <c r="V4524">
        <v>240</v>
      </c>
      <c r="W4524">
        <v>30</v>
      </c>
      <c r="X4524">
        <v>30</v>
      </c>
      <c r="Y4524">
        <v>1</v>
      </c>
      <c r="Z4524">
        <v>7</v>
      </c>
      <c r="AA4524">
        <v>27</v>
      </c>
      <c r="AB4524">
        <v>2</v>
      </c>
      <c r="AC4524">
        <v>5</v>
      </c>
      <c r="AD4524">
        <v>3.25600004</v>
      </c>
      <c r="AE4524">
        <v>5</v>
      </c>
      <c r="AF4524">
        <v>38</v>
      </c>
      <c r="AG4524">
        <v>3.2479999099999999</v>
      </c>
      <c r="AH4524">
        <v>6</v>
      </c>
      <c r="AI4524">
        <v>24</v>
      </c>
      <c r="AJ4524">
        <v>1</v>
      </c>
      <c r="AK4524">
        <v>20</v>
      </c>
      <c r="AL4524">
        <v>49</v>
      </c>
      <c r="AM4524" t="s">
        <v>43</v>
      </c>
      <c r="AN4524" t="str">
        <f>HYPERLINK("https://www.google.com/maps?q=10.78841114,79.82433319","Open Location")</f>
        <v>Open Location</v>
      </c>
    </row>
    <row r="4525" spans="1:40" x14ac:dyDescent="0.3">
      <c r="A4525" s="1">
        <v>46210.475578703707</v>
      </c>
      <c r="B4525" t="s">
        <v>40</v>
      </c>
      <c r="C4525" t="s">
        <v>41</v>
      </c>
      <c r="D4525" s="1">
        <v>46210.479016203702</v>
      </c>
      <c r="E4525" t="s">
        <v>42</v>
      </c>
      <c r="F4525" t="s">
        <v>83</v>
      </c>
      <c r="G4525">
        <v>32</v>
      </c>
      <c r="H4525">
        <v>33090</v>
      </c>
      <c r="I4525" t="s">
        <v>2563</v>
      </c>
      <c r="J4525">
        <v>57</v>
      </c>
      <c r="K4525">
        <v>71</v>
      </c>
      <c r="L4525">
        <v>98</v>
      </c>
      <c r="M4525">
        <v>623.90002441000001</v>
      </c>
      <c r="N4525" t="s">
        <v>87</v>
      </c>
      <c r="O4525" t="s">
        <v>86</v>
      </c>
      <c r="P4525">
        <v>130</v>
      </c>
      <c r="Q4525">
        <v>5</v>
      </c>
      <c r="R4525">
        <v>36</v>
      </c>
      <c r="S4525">
        <v>1498</v>
      </c>
      <c r="T4525">
        <v>-40</v>
      </c>
      <c r="U4525">
        <v>50</v>
      </c>
      <c r="V4525">
        <v>260</v>
      </c>
      <c r="W4525">
        <v>30</v>
      </c>
      <c r="X4525">
        <v>30</v>
      </c>
      <c r="Y4525">
        <v>1</v>
      </c>
      <c r="Z4525">
        <v>7</v>
      </c>
      <c r="AA4525">
        <v>27</v>
      </c>
      <c r="AB4525">
        <v>2</v>
      </c>
      <c r="AC4525">
        <v>5</v>
      </c>
      <c r="AD4525">
        <v>3.25900006</v>
      </c>
      <c r="AE4525">
        <v>5</v>
      </c>
      <c r="AF4525">
        <v>38</v>
      </c>
      <c r="AG4525">
        <v>3.2520000900000001</v>
      </c>
      <c r="AH4525">
        <v>4</v>
      </c>
      <c r="AI4525">
        <v>17</v>
      </c>
      <c r="AJ4525">
        <v>1</v>
      </c>
      <c r="AK4525">
        <v>20</v>
      </c>
      <c r="AL4525">
        <v>48</v>
      </c>
      <c r="AM4525" t="s">
        <v>43</v>
      </c>
      <c r="AN4525" t="str">
        <f>HYPERLINK("https://www.google.com/maps?q=10.78941536,79.82439423","Open Location")</f>
        <v>Open Location</v>
      </c>
    </row>
    <row r="4526" spans="1:40" x14ac:dyDescent="0.3">
      <c r="A4526" s="1">
        <v>46210.475462962961</v>
      </c>
      <c r="B4526" t="s">
        <v>40</v>
      </c>
      <c r="C4526" t="s">
        <v>41</v>
      </c>
      <c r="D4526" s="1">
        <v>46210.478391203702</v>
      </c>
      <c r="E4526" t="s">
        <v>42</v>
      </c>
      <c r="F4526" t="s">
        <v>83</v>
      </c>
      <c r="G4526">
        <v>31</v>
      </c>
      <c r="H4526">
        <v>33090</v>
      </c>
      <c r="I4526" t="s">
        <v>2564</v>
      </c>
      <c r="J4526">
        <v>57</v>
      </c>
      <c r="K4526">
        <v>75</v>
      </c>
      <c r="L4526">
        <v>98</v>
      </c>
      <c r="M4526">
        <v>624.09997558999999</v>
      </c>
      <c r="N4526" t="s">
        <v>87</v>
      </c>
      <c r="O4526" t="s">
        <v>86</v>
      </c>
      <c r="P4526">
        <v>130</v>
      </c>
      <c r="Q4526">
        <v>5</v>
      </c>
      <c r="R4526">
        <v>42</v>
      </c>
      <c r="S4526">
        <v>1470</v>
      </c>
      <c r="T4526">
        <v>-40</v>
      </c>
      <c r="U4526">
        <v>50</v>
      </c>
      <c r="V4526">
        <v>280</v>
      </c>
      <c r="W4526">
        <v>30</v>
      </c>
      <c r="X4526">
        <v>30</v>
      </c>
      <c r="Y4526">
        <v>1</v>
      </c>
      <c r="Z4526">
        <v>7</v>
      </c>
      <c r="AA4526">
        <v>27</v>
      </c>
      <c r="AB4526">
        <v>2</v>
      </c>
      <c r="AC4526">
        <v>5</v>
      </c>
      <c r="AD4526">
        <v>3.2579999000000002</v>
      </c>
      <c r="AE4526">
        <v>5</v>
      </c>
      <c r="AF4526">
        <v>38</v>
      </c>
      <c r="AG4526">
        <v>3.2509999299999999</v>
      </c>
      <c r="AH4526">
        <v>4</v>
      </c>
      <c r="AI4526">
        <v>24</v>
      </c>
      <c r="AJ4526">
        <v>1</v>
      </c>
      <c r="AK4526">
        <v>20</v>
      </c>
      <c r="AL4526">
        <v>48</v>
      </c>
      <c r="AM4526" t="s">
        <v>43</v>
      </c>
      <c r="AN4526" t="str">
        <f>HYPERLINK("https://www.google.com/maps?q=10.79039192,79.82444","Open Location")</f>
        <v>Open Location</v>
      </c>
    </row>
    <row r="4527" spans="1:40" x14ac:dyDescent="0.3">
      <c r="A4527" s="1">
        <v>46210.475347222222</v>
      </c>
      <c r="B4527" t="s">
        <v>40</v>
      </c>
      <c r="C4527" t="s">
        <v>41</v>
      </c>
      <c r="D4527" s="1">
        <v>46210.47861111111</v>
      </c>
      <c r="E4527" t="s">
        <v>42</v>
      </c>
      <c r="F4527" t="s">
        <v>83</v>
      </c>
      <c r="G4527">
        <v>30</v>
      </c>
      <c r="H4527">
        <v>33090</v>
      </c>
      <c r="I4527" t="s">
        <v>2565</v>
      </c>
      <c r="J4527">
        <v>57</v>
      </c>
      <c r="K4527">
        <v>82</v>
      </c>
      <c r="L4527">
        <v>98</v>
      </c>
      <c r="M4527">
        <v>623.40002441000001</v>
      </c>
      <c r="N4527" t="s">
        <v>87</v>
      </c>
      <c r="O4527" t="s">
        <v>86</v>
      </c>
      <c r="P4527">
        <v>130</v>
      </c>
      <c r="Q4527">
        <v>5</v>
      </c>
      <c r="R4527">
        <v>51</v>
      </c>
      <c r="S4527">
        <v>1404</v>
      </c>
      <c r="T4527">
        <v>-40</v>
      </c>
      <c r="U4527">
        <v>50</v>
      </c>
      <c r="V4527">
        <v>320</v>
      </c>
      <c r="W4527">
        <v>30</v>
      </c>
      <c r="X4527">
        <v>30</v>
      </c>
      <c r="Y4527">
        <v>1</v>
      </c>
      <c r="Z4527">
        <v>1</v>
      </c>
      <c r="AA4527">
        <v>27</v>
      </c>
      <c r="AB4527">
        <v>2</v>
      </c>
      <c r="AC4527">
        <v>5</v>
      </c>
      <c r="AD4527">
        <v>3.2579999000000002</v>
      </c>
      <c r="AE4527">
        <v>5</v>
      </c>
      <c r="AF4527">
        <v>38</v>
      </c>
      <c r="AG4527">
        <v>3.2509999299999999</v>
      </c>
      <c r="AH4527">
        <v>7</v>
      </c>
      <c r="AI4527">
        <v>1</v>
      </c>
      <c r="AJ4527">
        <v>1</v>
      </c>
      <c r="AK4527">
        <v>20</v>
      </c>
      <c r="AL4527">
        <v>48</v>
      </c>
      <c r="AM4527" t="s">
        <v>43</v>
      </c>
      <c r="AN4527" t="str">
        <f>HYPERLINK("https://www.google.com/maps?q=10.79131794,79.82446289","Open Location")</f>
        <v>Open Location</v>
      </c>
    </row>
    <row r="4528" spans="1:40" x14ac:dyDescent="0.3">
      <c r="A4528" s="1">
        <v>46210.475231481483</v>
      </c>
      <c r="B4528" t="s">
        <v>40</v>
      </c>
      <c r="C4528" t="s">
        <v>41</v>
      </c>
      <c r="D4528" s="1">
        <v>46210.477916666663</v>
      </c>
      <c r="E4528" t="s">
        <v>42</v>
      </c>
      <c r="F4528" t="s">
        <v>83</v>
      </c>
      <c r="G4528">
        <v>28</v>
      </c>
      <c r="H4528">
        <v>33090</v>
      </c>
      <c r="I4528" t="s">
        <v>43</v>
      </c>
      <c r="J4528">
        <v>57</v>
      </c>
      <c r="K4528">
        <v>65</v>
      </c>
      <c r="L4528">
        <v>98</v>
      </c>
      <c r="M4528">
        <v>624.09997558999999</v>
      </c>
      <c r="N4528" t="s">
        <v>87</v>
      </c>
      <c r="O4528" t="s">
        <v>86</v>
      </c>
      <c r="P4528">
        <v>130</v>
      </c>
      <c r="Q4528">
        <v>5</v>
      </c>
      <c r="R4528">
        <v>40</v>
      </c>
      <c r="S4528">
        <v>1324</v>
      </c>
      <c r="T4528">
        <v>-40</v>
      </c>
      <c r="U4528">
        <v>51</v>
      </c>
      <c r="V4528">
        <v>262</v>
      </c>
      <c r="W4528">
        <v>30</v>
      </c>
      <c r="X4528">
        <v>30</v>
      </c>
      <c r="Y4528">
        <v>1</v>
      </c>
      <c r="Z4528">
        <v>1</v>
      </c>
      <c r="AA4528">
        <v>27</v>
      </c>
      <c r="AB4528">
        <v>2</v>
      </c>
      <c r="AC4528">
        <v>5</v>
      </c>
      <c r="AD4528">
        <v>3.2569999699999999</v>
      </c>
      <c r="AE4528">
        <v>5</v>
      </c>
      <c r="AF4528">
        <v>38</v>
      </c>
      <c r="AG4528">
        <v>3.2490000700000001</v>
      </c>
      <c r="AH4528">
        <v>6</v>
      </c>
      <c r="AI4528">
        <v>24</v>
      </c>
      <c r="AJ4528">
        <v>1</v>
      </c>
      <c r="AK4528">
        <v>20</v>
      </c>
      <c r="AL4528">
        <v>48</v>
      </c>
      <c r="AM4528" t="s">
        <v>43</v>
      </c>
      <c r="AN4528" t="s">
        <v>43</v>
      </c>
    </row>
    <row r="4529" spans="1:40" x14ac:dyDescent="0.3">
      <c r="A4529" s="1">
        <v>46210.475115740737</v>
      </c>
      <c r="B4529" t="s">
        <v>40</v>
      </c>
      <c r="C4529" t="s">
        <v>41</v>
      </c>
      <c r="D4529" s="1">
        <v>46210.477916666663</v>
      </c>
      <c r="E4529" t="s">
        <v>42</v>
      </c>
      <c r="F4529" t="s">
        <v>83</v>
      </c>
      <c r="G4529">
        <v>27</v>
      </c>
      <c r="H4529">
        <v>33090</v>
      </c>
      <c r="I4529" t="s">
        <v>2566</v>
      </c>
      <c r="J4529">
        <v>57</v>
      </c>
      <c r="K4529">
        <v>107</v>
      </c>
      <c r="L4529">
        <v>98</v>
      </c>
      <c r="M4529">
        <v>622.90002441000001</v>
      </c>
      <c r="N4529" t="s">
        <v>87</v>
      </c>
      <c r="O4529" t="s">
        <v>86</v>
      </c>
      <c r="P4529">
        <v>130</v>
      </c>
      <c r="Q4529">
        <v>5</v>
      </c>
      <c r="R4529">
        <v>42</v>
      </c>
      <c r="S4529">
        <v>1270</v>
      </c>
      <c r="T4529">
        <v>-40</v>
      </c>
      <c r="U4529">
        <v>51</v>
      </c>
      <c r="V4529">
        <v>440</v>
      </c>
      <c r="W4529">
        <v>30</v>
      </c>
      <c r="X4529">
        <v>30</v>
      </c>
      <c r="Y4529">
        <v>1</v>
      </c>
      <c r="Z4529">
        <v>1</v>
      </c>
      <c r="AA4529">
        <v>27</v>
      </c>
      <c r="AB4529">
        <v>2</v>
      </c>
      <c r="AC4529">
        <v>5</v>
      </c>
      <c r="AD4529">
        <v>3.2569999699999999</v>
      </c>
      <c r="AE4529">
        <v>1</v>
      </c>
      <c r="AF4529">
        <v>44</v>
      </c>
      <c r="AG4529">
        <v>3.25</v>
      </c>
      <c r="AH4529">
        <v>6</v>
      </c>
      <c r="AI4529">
        <v>24</v>
      </c>
      <c r="AJ4529" t="s">
        <v>43</v>
      </c>
      <c r="AK4529" t="s">
        <v>43</v>
      </c>
      <c r="AL4529" t="s">
        <v>43</v>
      </c>
      <c r="AM4529" t="s">
        <v>43</v>
      </c>
      <c r="AN4529" t="str">
        <f>HYPERLINK("https://www.google.com/maps?q=10.79218674,79.82450867","Open Location")</f>
        <v>Open Location</v>
      </c>
    </row>
    <row r="4530" spans="1:40" x14ac:dyDescent="0.3">
      <c r="A4530" s="1">
        <v>46210.474999999999</v>
      </c>
      <c r="B4530" t="s">
        <v>40</v>
      </c>
      <c r="C4530" t="s">
        <v>41</v>
      </c>
      <c r="D4530" s="1">
        <v>46210.477743055555</v>
      </c>
      <c r="E4530" t="s">
        <v>42</v>
      </c>
      <c r="F4530" t="s">
        <v>83</v>
      </c>
      <c r="G4530">
        <v>25</v>
      </c>
      <c r="H4530">
        <v>33090</v>
      </c>
      <c r="I4530" t="s">
        <v>2567</v>
      </c>
      <c r="J4530">
        <v>57</v>
      </c>
      <c r="K4530">
        <v>77</v>
      </c>
      <c r="L4530">
        <v>98</v>
      </c>
      <c r="M4530">
        <v>623.79998779000005</v>
      </c>
      <c r="N4530" t="s">
        <v>87</v>
      </c>
      <c r="O4530" t="s">
        <v>86</v>
      </c>
      <c r="P4530">
        <v>130</v>
      </c>
      <c r="Q4530">
        <v>5</v>
      </c>
      <c r="R4530">
        <v>53</v>
      </c>
      <c r="S4530">
        <v>1230</v>
      </c>
      <c r="T4530">
        <v>-40</v>
      </c>
      <c r="U4530">
        <v>52</v>
      </c>
      <c r="V4530">
        <v>340</v>
      </c>
      <c r="W4530">
        <v>30</v>
      </c>
      <c r="X4530">
        <v>30</v>
      </c>
      <c r="Y4530">
        <v>1</v>
      </c>
      <c r="Z4530">
        <v>1</v>
      </c>
      <c r="AA4530">
        <v>27</v>
      </c>
      <c r="AB4530">
        <v>2</v>
      </c>
      <c r="AC4530">
        <v>5</v>
      </c>
      <c r="AD4530">
        <v>3.2520000900000001</v>
      </c>
      <c r="AE4530">
        <v>5</v>
      </c>
      <c r="AF4530">
        <v>38</v>
      </c>
      <c r="AG4530">
        <v>3.2430000300000001</v>
      </c>
      <c r="AH4530">
        <v>4</v>
      </c>
      <c r="AI4530">
        <v>24</v>
      </c>
      <c r="AJ4530">
        <v>1</v>
      </c>
      <c r="AK4530">
        <v>20</v>
      </c>
      <c r="AL4530">
        <v>48</v>
      </c>
      <c r="AM4530" t="s">
        <v>43</v>
      </c>
      <c r="AN4530" t="str">
        <f>HYPERLINK("https://www.google.com/maps?q=10.79299736,79.82462311","Open Location")</f>
        <v>Open Location</v>
      </c>
    </row>
    <row r="4531" spans="1:40" x14ac:dyDescent="0.3">
      <c r="A4531" s="1">
        <v>46210.47488425926</v>
      </c>
      <c r="B4531" t="s">
        <v>40</v>
      </c>
      <c r="C4531" t="s">
        <v>41</v>
      </c>
      <c r="D4531" s="1">
        <v>46210.477777777778</v>
      </c>
      <c r="E4531" t="s">
        <v>42</v>
      </c>
      <c r="F4531" t="s">
        <v>83</v>
      </c>
      <c r="G4531">
        <v>25</v>
      </c>
      <c r="H4531" t="s">
        <v>43</v>
      </c>
      <c r="I4531" t="s">
        <v>2568</v>
      </c>
      <c r="J4531">
        <v>57</v>
      </c>
      <c r="K4531">
        <v>81</v>
      </c>
      <c r="L4531">
        <v>98</v>
      </c>
      <c r="M4531">
        <v>623.79998779000005</v>
      </c>
      <c r="N4531" t="s">
        <v>87</v>
      </c>
      <c r="O4531" t="s">
        <v>86</v>
      </c>
      <c r="P4531">
        <v>130</v>
      </c>
      <c r="Q4531">
        <v>5</v>
      </c>
      <c r="R4531">
        <v>36</v>
      </c>
      <c r="S4531">
        <v>1138</v>
      </c>
      <c r="T4531">
        <v>-40</v>
      </c>
      <c r="U4531">
        <v>52</v>
      </c>
      <c r="V4531">
        <v>380</v>
      </c>
      <c r="W4531">
        <v>30</v>
      </c>
      <c r="X4531">
        <v>30</v>
      </c>
      <c r="Y4531">
        <v>1</v>
      </c>
      <c r="Z4531">
        <v>1</v>
      </c>
      <c r="AA4531">
        <v>27</v>
      </c>
      <c r="AB4531">
        <v>2</v>
      </c>
      <c r="AC4531">
        <v>5</v>
      </c>
      <c r="AD4531">
        <v>3.2579999000000002</v>
      </c>
      <c r="AE4531">
        <v>5</v>
      </c>
      <c r="AF4531">
        <v>38</v>
      </c>
      <c r="AG4531">
        <v>3.2509999299999999</v>
      </c>
      <c r="AH4531">
        <v>4</v>
      </c>
      <c r="AI4531">
        <v>17</v>
      </c>
      <c r="AJ4531">
        <v>1</v>
      </c>
      <c r="AK4531">
        <v>20</v>
      </c>
      <c r="AL4531">
        <v>48</v>
      </c>
      <c r="AM4531" t="s">
        <v>43</v>
      </c>
      <c r="AN4531" t="str">
        <f>HYPERLINK("https://www.google.com/maps?q=10.7938261,79.82466888","Open Location")</f>
        <v>Open Location</v>
      </c>
    </row>
    <row r="4532" spans="1:40" x14ac:dyDescent="0.3">
      <c r="A4532" s="1">
        <v>46210.474768518521</v>
      </c>
      <c r="B4532" t="s">
        <v>40</v>
      </c>
      <c r="C4532" t="s">
        <v>41</v>
      </c>
      <c r="D4532" s="1">
        <v>46210.477650462963</v>
      </c>
      <c r="E4532" t="s">
        <v>42</v>
      </c>
      <c r="F4532" t="s">
        <v>83</v>
      </c>
      <c r="G4532">
        <v>24</v>
      </c>
      <c r="H4532">
        <v>33090</v>
      </c>
      <c r="I4532" t="s">
        <v>2569</v>
      </c>
      <c r="J4532">
        <v>57</v>
      </c>
      <c r="K4532">
        <v>89</v>
      </c>
      <c r="L4532">
        <v>98</v>
      </c>
      <c r="M4532">
        <v>623.40002441000001</v>
      </c>
      <c r="N4532" t="s">
        <v>87</v>
      </c>
      <c r="O4532" t="s">
        <v>86</v>
      </c>
      <c r="P4532">
        <v>129</v>
      </c>
      <c r="Q4532">
        <v>5</v>
      </c>
      <c r="R4532">
        <v>52</v>
      </c>
      <c r="S4532">
        <v>1128</v>
      </c>
      <c r="T4532">
        <v>-40</v>
      </c>
      <c r="U4532">
        <v>52</v>
      </c>
      <c r="V4532">
        <v>420</v>
      </c>
      <c r="W4532">
        <v>30</v>
      </c>
      <c r="X4532">
        <v>30</v>
      </c>
      <c r="Y4532">
        <v>1</v>
      </c>
      <c r="Z4532">
        <v>1</v>
      </c>
      <c r="AA4532">
        <v>27</v>
      </c>
      <c r="AB4532">
        <v>2</v>
      </c>
      <c r="AC4532">
        <v>5</v>
      </c>
      <c r="AD4532">
        <v>3.25300002</v>
      </c>
      <c r="AE4532">
        <v>5</v>
      </c>
      <c r="AF4532">
        <v>38</v>
      </c>
      <c r="AG4532">
        <v>3.24399996</v>
      </c>
      <c r="AH4532">
        <v>4</v>
      </c>
      <c r="AI4532">
        <v>24</v>
      </c>
      <c r="AJ4532">
        <v>1</v>
      </c>
      <c r="AK4532">
        <v>19</v>
      </c>
      <c r="AL4532">
        <v>48</v>
      </c>
      <c r="AM4532" t="s">
        <v>43</v>
      </c>
      <c r="AN4532" t="str">
        <f>HYPERLINK("https://www.google.com/maps?q=10.79457569,79.82475281","Open Location")</f>
        <v>Open Location</v>
      </c>
    </row>
    <row r="4533" spans="1:40" x14ac:dyDescent="0.3">
      <c r="A4533" s="1">
        <v>46210.474652777775</v>
      </c>
      <c r="B4533" t="s">
        <v>40</v>
      </c>
      <c r="C4533" t="s">
        <v>41</v>
      </c>
      <c r="D4533" s="1">
        <v>46210.478136574071</v>
      </c>
      <c r="E4533" t="s">
        <v>42</v>
      </c>
      <c r="F4533" t="s">
        <v>83</v>
      </c>
      <c r="G4533">
        <v>21</v>
      </c>
      <c r="H4533">
        <v>33089</v>
      </c>
      <c r="I4533" t="s">
        <v>2570</v>
      </c>
      <c r="J4533">
        <v>57</v>
      </c>
      <c r="K4533">
        <v>152</v>
      </c>
      <c r="L4533">
        <v>98</v>
      </c>
      <c r="M4533">
        <v>620.40002441000001</v>
      </c>
      <c r="N4533" t="s">
        <v>87</v>
      </c>
      <c r="O4533" t="s">
        <v>86</v>
      </c>
      <c r="P4533">
        <v>129</v>
      </c>
      <c r="Q4533">
        <v>4</v>
      </c>
      <c r="R4533">
        <v>74</v>
      </c>
      <c r="S4533">
        <v>1778</v>
      </c>
      <c r="T4533">
        <v>-40</v>
      </c>
      <c r="U4533">
        <v>53</v>
      </c>
      <c r="V4533">
        <v>480</v>
      </c>
      <c r="W4533">
        <v>30</v>
      </c>
      <c r="X4533">
        <v>30</v>
      </c>
      <c r="Y4533">
        <v>1</v>
      </c>
      <c r="Z4533">
        <v>1</v>
      </c>
      <c r="AA4533">
        <v>27</v>
      </c>
      <c r="AB4533">
        <v>2</v>
      </c>
      <c r="AC4533">
        <v>5</v>
      </c>
      <c r="AD4533">
        <v>3.24399996</v>
      </c>
      <c r="AE4533">
        <v>5</v>
      </c>
      <c r="AF4533">
        <v>38</v>
      </c>
      <c r="AG4533">
        <v>3.2309999500000002</v>
      </c>
      <c r="AH4533">
        <v>6</v>
      </c>
      <c r="AI4533">
        <v>24</v>
      </c>
      <c r="AJ4533">
        <v>1</v>
      </c>
      <c r="AK4533">
        <v>18</v>
      </c>
      <c r="AL4533">
        <v>48</v>
      </c>
      <c r="AM4533" t="s">
        <v>43</v>
      </c>
      <c r="AN4533" t="str">
        <f>HYPERLINK("https://www.google.com/maps?q=10.79525757,79.8248291","Open Location")</f>
        <v>Open Location</v>
      </c>
    </row>
    <row r="4534" spans="1:40" x14ac:dyDescent="0.3">
      <c r="A4534" s="1">
        <v>46210.474537037036</v>
      </c>
      <c r="B4534" t="s">
        <v>40</v>
      </c>
      <c r="C4534" t="s">
        <v>41</v>
      </c>
      <c r="D4534" s="1">
        <v>46210.477326388886</v>
      </c>
      <c r="E4534" t="s">
        <v>42</v>
      </c>
      <c r="F4534" t="s">
        <v>83</v>
      </c>
      <c r="G4534">
        <v>15</v>
      </c>
      <c r="H4534">
        <v>33089</v>
      </c>
      <c r="I4534" t="s">
        <v>43</v>
      </c>
      <c r="J4534">
        <v>57</v>
      </c>
      <c r="K4534">
        <v>150</v>
      </c>
      <c r="L4534">
        <v>98</v>
      </c>
      <c r="M4534">
        <v>621.90002441000001</v>
      </c>
      <c r="N4534" t="s">
        <v>87</v>
      </c>
      <c r="O4534" t="s">
        <v>86</v>
      </c>
      <c r="P4534">
        <v>129</v>
      </c>
      <c r="Q4534">
        <v>4</v>
      </c>
      <c r="R4534">
        <v>95</v>
      </c>
      <c r="S4534">
        <v>1558</v>
      </c>
      <c r="T4534">
        <v>-40</v>
      </c>
      <c r="U4534">
        <v>51</v>
      </c>
      <c r="V4534">
        <v>520</v>
      </c>
      <c r="W4534">
        <v>30</v>
      </c>
      <c r="X4534">
        <v>30</v>
      </c>
      <c r="Y4534">
        <v>1</v>
      </c>
      <c r="Z4534">
        <v>1</v>
      </c>
      <c r="AA4534">
        <v>27</v>
      </c>
      <c r="AB4534">
        <v>2</v>
      </c>
      <c r="AC4534">
        <v>5</v>
      </c>
      <c r="AD4534">
        <v>3.2420000999999998</v>
      </c>
      <c r="AE4534">
        <v>5</v>
      </c>
      <c r="AF4534">
        <v>38</v>
      </c>
      <c r="AG4534">
        <v>3.2279999300000002</v>
      </c>
      <c r="AH4534">
        <v>4</v>
      </c>
      <c r="AI4534">
        <v>17</v>
      </c>
      <c r="AJ4534">
        <v>1</v>
      </c>
      <c r="AK4534">
        <v>18</v>
      </c>
      <c r="AL4534">
        <v>48</v>
      </c>
      <c r="AM4534" t="s">
        <v>43</v>
      </c>
      <c r="AN4534" t="s">
        <v>43</v>
      </c>
    </row>
    <row r="4535" spans="1:40" x14ac:dyDescent="0.3">
      <c r="A4535" s="1">
        <v>46210.474421296298</v>
      </c>
      <c r="B4535" t="s">
        <v>40</v>
      </c>
      <c r="C4535" t="s">
        <v>41</v>
      </c>
      <c r="D4535" s="1">
        <v>46210.477696759262</v>
      </c>
      <c r="E4535" t="s">
        <v>42</v>
      </c>
      <c r="F4535" t="s">
        <v>83</v>
      </c>
      <c r="G4535">
        <v>11</v>
      </c>
      <c r="H4535">
        <v>33089</v>
      </c>
      <c r="I4535" t="s">
        <v>2571</v>
      </c>
      <c r="J4535">
        <v>57</v>
      </c>
      <c r="K4535">
        <v>-1</v>
      </c>
      <c r="L4535">
        <v>98</v>
      </c>
      <c r="M4535">
        <v>627.29998779000005</v>
      </c>
      <c r="N4535" t="s">
        <v>87</v>
      </c>
      <c r="O4535" t="s">
        <v>86</v>
      </c>
      <c r="P4535">
        <v>128</v>
      </c>
      <c r="Q4535">
        <v>3</v>
      </c>
      <c r="R4535">
        <v>58</v>
      </c>
      <c r="S4535">
        <v>1115</v>
      </c>
      <c r="T4535">
        <v>-40</v>
      </c>
      <c r="U4535">
        <v>50</v>
      </c>
      <c r="V4535">
        <v>16</v>
      </c>
      <c r="W4535">
        <v>30</v>
      </c>
      <c r="X4535">
        <v>30</v>
      </c>
      <c r="Y4535">
        <v>1</v>
      </c>
      <c r="Z4535">
        <v>1</v>
      </c>
      <c r="AA4535">
        <v>27</v>
      </c>
      <c r="AB4535">
        <v>2</v>
      </c>
      <c r="AC4535">
        <v>5</v>
      </c>
      <c r="AD4535">
        <v>3.2569999699999999</v>
      </c>
      <c r="AE4535">
        <v>5</v>
      </c>
      <c r="AF4535">
        <v>38</v>
      </c>
      <c r="AG4535">
        <v>3.24699998</v>
      </c>
      <c r="AH4535">
        <v>4</v>
      </c>
      <c r="AI4535">
        <v>17</v>
      </c>
      <c r="AJ4535">
        <v>1</v>
      </c>
      <c r="AK4535">
        <v>18</v>
      </c>
      <c r="AL4535">
        <v>48</v>
      </c>
      <c r="AM4535" t="s">
        <v>43</v>
      </c>
      <c r="AN4535" t="str">
        <f>HYPERLINK("https://www.google.com/maps?q=10.79577923,79.82492065","Open Location")</f>
        <v>Open Location</v>
      </c>
    </row>
    <row r="4536" spans="1:40" x14ac:dyDescent="0.3">
      <c r="A4536" s="1">
        <v>46210.474305555559</v>
      </c>
      <c r="B4536" t="s">
        <v>40</v>
      </c>
      <c r="C4536" t="s">
        <v>41</v>
      </c>
      <c r="D4536" s="1">
        <v>46210.477488425924</v>
      </c>
      <c r="E4536" t="s">
        <v>42</v>
      </c>
      <c r="F4536" t="s">
        <v>83</v>
      </c>
      <c r="G4536">
        <v>5</v>
      </c>
      <c r="H4536">
        <v>33089</v>
      </c>
      <c r="I4536" t="s">
        <v>2572</v>
      </c>
      <c r="J4536">
        <v>58</v>
      </c>
      <c r="K4536">
        <v>63</v>
      </c>
      <c r="L4536">
        <v>98</v>
      </c>
      <c r="M4536">
        <v>625.40002441000001</v>
      </c>
      <c r="N4536" t="s">
        <v>87</v>
      </c>
      <c r="O4536" t="s">
        <v>86</v>
      </c>
      <c r="P4536">
        <v>127</v>
      </c>
      <c r="Q4536">
        <v>2</v>
      </c>
      <c r="R4536">
        <v>23</v>
      </c>
      <c r="S4536">
        <v>1203</v>
      </c>
      <c r="T4536">
        <v>-40</v>
      </c>
      <c r="U4536">
        <v>50</v>
      </c>
      <c r="V4536">
        <v>324</v>
      </c>
      <c r="W4536">
        <v>30</v>
      </c>
      <c r="X4536">
        <v>30</v>
      </c>
      <c r="Y4536">
        <v>1</v>
      </c>
      <c r="Z4536">
        <v>1</v>
      </c>
      <c r="AA4536">
        <v>27</v>
      </c>
      <c r="AB4536">
        <v>2</v>
      </c>
      <c r="AC4536">
        <v>5</v>
      </c>
      <c r="AD4536">
        <v>3.2760000200000001</v>
      </c>
      <c r="AE4536">
        <v>5</v>
      </c>
      <c r="AF4536">
        <v>38</v>
      </c>
      <c r="AG4536">
        <v>3.2699999800000001</v>
      </c>
      <c r="AH4536">
        <v>4</v>
      </c>
      <c r="AI4536">
        <v>17</v>
      </c>
      <c r="AJ4536">
        <v>1</v>
      </c>
      <c r="AK4536">
        <v>18</v>
      </c>
      <c r="AL4536">
        <v>48</v>
      </c>
      <c r="AM4536" t="s">
        <v>43</v>
      </c>
      <c r="AN4536" t="str">
        <f>HYPERLINK("https://www.google.com/maps?q=10.79610729,79.82498169","Open Location")</f>
        <v>Open Location</v>
      </c>
    </row>
    <row r="4537" spans="1:40" x14ac:dyDescent="0.3">
      <c r="A4537" s="1">
        <v>46210.474189814813</v>
      </c>
      <c r="B4537" t="s">
        <v>40</v>
      </c>
      <c r="C4537" t="s">
        <v>41</v>
      </c>
      <c r="D4537" s="1">
        <v>46210.477106481485</v>
      </c>
      <c r="E4537" t="s">
        <v>42</v>
      </c>
      <c r="F4537" t="s">
        <v>83</v>
      </c>
      <c r="G4537">
        <v>25</v>
      </c>
      <c r="H4537">
        <v>33089</v>
      </c>
      <c r="I4537" t="s">
        <v>2573</v>
      </c>
      <c r="J4537">
        <v>58</v>
      </c>
      <c r="K4537">
        <v>17</v>
      </c>
      <c r="L4537">
        <v>98</v>
      </c>
      <c r="M4537">
        <v>628.40002441000001</v>
      </c>
      <c r="N4537" t="s">
        <v>87</v>
      </c>
      <c r="O4537" t="s">
        <v>86</v>
      </c>
      <c r="P4537">
        <v>130</v>
      </c>
      <c r="Q4537">
        <v>4</v>
      </c>
      <c r="R4537">
        <v>-99</v>
      </c>
      <c r="S4537">
        <v>765</v>
      </c>
      <c r="T4537">
        <v>-40</v>
      </c>
      <c r="U4537">
        <v>49</v>
      </c>
      <c r="V4537">
        <v>0</v>
      </c>
      <c r="W4537">
        <v>30</v>
      </c>
      <c r="X4537">
        <v>30</v>
      </c>
      <c r="Y4537">
        <v>1</v>
      </c>
      <c r="Z4537">
        <v>1</v>
      </c>
      <c r="AA4537">
        <v>27</v>
      </c>
      <c r="AB4537">
        <v>2</v>
      </c>
      <c r="AC4537">
        <v>5</v>
      </c>
      <c r="AD4537">
        <v>3.3029999700000001</v>
      </c>
      <c r="AE4537">
        <v>4</v>
      </c>
      <c r="AF4537">
        <v>24</v>
      </c>
      <c r="AG4537">
        <v>3.2969999300000001</v>
      </c>
      <c r="AH4537">
        <v>2</v>
      </c>
      <c r="AI4537">
        <v>19</v>
      </c>
      <c r="AJ4537">
        <v>1</v>
      </c>
      <c r="AK4537">
        <v>19</v>
      </c>
      <c r="AL4537">
        <v>48</v>
      </c>
      <c r="AM4537" t="s">
        <v>43</v>
      </c>
      <c r="AN4537" t="str">
        <f>HYPERLINK("https://www.google.com/maps?q=10.79637527,79.82504272","Open Location")</f>
        <v>Open Location</v>
      </c>
    </row>
    <row r="4538" spans="1:40" x14ac:dyDescent="0.3">
      <c r="A4538" s="1">
        <v>46210.474074074074</v>
      </c>
      <c r="B4538" t="s">
        <v>40</v>
      </c>
      <c r="C4538" t="s">
        <v>41</v>
      </c>
      <c r="D4538" s="1">
        <v>46210.477210648147</v>
      </c>
      <c r="E4538" t="s">
        <v>42</v>
      </c>
      <c r="F4538" t="s">
        <v>83</v>
      </c>
      <c r="G4538">
        <v>25</v>
      </c>
      <c r="H4538">
        <v>33089</v>
      </c>
      <c r="I4538" t="s">
        <v>2574</v>
      </c>
      <c r="J4538">
        <v>58</v>
      </c>
      <c r="K4538">
        <v>-27</v>
      </c>
      <c r="L4538">
        <v>98</v>
      </c>
      <c r="M4538">
        <v>629.70001220999995</v>
      </c>
      <c r="N4538" t="s">
        <v>87</v>
      </c>
      <c r="O4538" t="s">
        <v>86</v>
      </c>
      <c r="P4538">
        <v>130</v>
      </c>
      <c r="Q4538">
        <v>5</v>
      </c>
      <c r="R4538">
        <v>-22</v>
      </c>
      <c r="S4538">
        <v>1160</v>
      </c>
      <c r="T4538">
        <v>-40</v>
      </c>
      <c r="U4538">
        <v>49</v>
      </c>
      <c r="V4538">
        <v>-184</v>
      </c>
      <c r="W4538">
        <v>30</v>
      </c>
      <c r="X4538">
        <v>30</v>
      </c>
      <c r="Y4538">
        <v>1</v>
      </c>
      <c r="Z4538">
        <v>1</v>
      </c>
      <c r="AA4538">
        <v>27</v>
      </c>
      <c r="AB4538">
        <v>2</v>
      </c>
      <c r="AC4538">
        <v>5</v>
      </c>
      <c r="AD4538">
        <v>3.27999997</v>
      </c>
      <c r="AE4538">
        <v>1</v>
      </c>
      <c r="AF4538">
        <v>1</v>
      </c>
      <c r="AG4538">
        <v>3.27699995</v>
      </c>
      <c r="AH4538">
        <v>3</v>
      </c>
      <c r="AI4538">
        <v>27</v>
      </c>
      <c r="AJ4538">
        <v>1</v>
      </c>
      <c r="AK4538">
        <v>18</v>
      </c>
      <c r="AL4538">
        <v>48</v>
      </c>
      <c r="AM4538" t="s">
        <v>43</v>
      </c>
      <c r="AN4538" t="str">
        <f>HYPERLINK("https://www.google.com/maps?q=10.79712009,79.82515717","Open Location")</f>
        <v>Open Location</v>
      </c>
    </row>
    <row r="4539" spans="1:40" x14ac:dyDescent="0.3">
      <c r="A4539" s="1">
        <v>46210.473958333336</v>
      </c>
      <c r="B4539" t="s">
        <v>40</v>
      </c>
      <c r="C4539" t="s">
        <v>41</v>
      </c>
      <c r="D4539" s="1">
        <v>46210.47693287037</v>
      </c>
      <c r="E4539" t="s">
        <v>42</v>
      </c>
      <c r="F4539" t="s">
        <v>83</v>
      </c>
      <c r="G4539">
        <v>23</v>
      </c>
      <c r="H4539">
        <v>33089</v>
      </c>
      <c r="I4539" t="s">
        <v>2575</v>
      </c>
      <c r="J4539">
        <v>57</v>
      </c>
      <c r="K4539">
        <v>-26</v>
      </c>
      <c r="L4539">
        <v>98</v>
      </c>
      <c r="M4539">
        <v>629.20001220999995</v>
      </c>
      <c r="N4539" t="s">
        <v>87</v>
      </c>
      <c r="O4539" t="s">
        <v>86</v>
      </c>
      <c r="P4539">
        <v>130</v>
      </c>
      <c r="Q4539">
        <v>5</v>
      </c>
      <c r="R4539">
        <v>17</v>
      </c>
      <c r="S4539">
        <v>1114</v>
      </c>
      <c r="T4539">
        <v>-40</v>
      </c>
      <c r="U4539">
        <v>50</v>
      </c>
      <c r="V4539">
        <v>-184</v>
      </c>
      <c r="W4539">
        <v>30</v>
      </c>
      <c r="X4539">
        <v>30</v>
      </c>
      <c r="Y4539">
        <v>1</v>
      </c>
      <c r="Z4539">
        <v>1</v>
      </c>
      <c r="AA4539">
        <v>27</v>
      </c>
      <c r="AB4539">
        <v>3</v>
      </c>
      <c r="AC4539">
        <v>5</v>
      </c>
      <c r="AD4539">
        <v>3.2699999800000001</v>
      </c>
      <c r="AE4539">
        <v>1</v>
      </c>
      <c r="AF4539">
        <v>3</v>
      </c>
      <c r="AG4539">
        <v>3.2660000299999998</v>
      </c>
      <c r="AH4539">
        <v>6</v>
      </c>
      <c r="AI4539">
        <v>24</v>
      </c>
      <c r="AJ4539">
        <v>1</v>
      </c>
      <c r="AK4539">
        <v>18</v>
      </c>
      <c r="AL4539">
        <v>48</v>
      </c>
      <c r="AM4539" t="s">
        <v>43</v>
      </c>
      <c r="AN4539" t="str">
        <f>HYPERLINK("https://www.google.com/maps?q=10.79783726,79.82528687","Open Location")</f>
        <v>Open Location</v>
      </c>
    </row>
    <row r="4540" spans="1:40" x14ac:dyDescent="0.3">
      <c r="A4540" s="1">
        <v>46210.47384259259</v>
      </c>
      <c r="B4540" t="s">
        <v>40</v>
      </c>
      <c r="C4540" t="s">
        <v>41</v>
      </c>
      <c r="D4540" s="1">
        <v>46210.476805555554</v>
      </c>
      <c r="E4540" t="s">
        <v>42</v>
      </c>
      <c r="F4540" t="s">
        <v>83</v>
      </c>
      <c r="G4540">
        <v>20</v>
      </c>
      <c r="H4540">
        <v>33089</v>
      </c>
      <c r="I4540" t="s">
        <v>43</v>
      </c>
      <c r="J4540">
        <v>57</v>
      </c>
      <c r="K4540">
        <v>46</v>
      </c>
      <c r="L4540">
        <v>98</v>
      </c>
      <c r="M4540">
        <v>625.90002441000001</v>
      </c>
      <c r="N4540" t="s">
        <v>87</v>
      </c>
      <c r="O4540" t="s">
        <v>86</v>
      </c>
      <c r="P4540">
        <v>130</v>
      </c>
      <c r="Q4540">
        <v>5</v>
      </c>
      <c r="R4540">
        <v>45</v>
      </c>
      <c r="S4540">
        <v>1014</v>
      </c>
      <c r="T4540">
        <v>-40</v>
      </c>
      <c r="U4540">
        <v>51</v>
      </c>
      <c r="V4540">
        <v>240</v>
      </c>
      <c r="W4540">
        <v>30</v>
      </c>
      <c r="X4540">
        <v>30</v>
      </c>
      <c r="Y4540">
        <v>1</v>
      </c>
      <c r="Z4540">
        <v>1</v>
      </c>
      <c r="AA4540">
        <v>27</v>
      </c>
      <c r="AB4540">
        <v>3</v>
      </c>
      <c r="AC4540">
        <v>5</v>
      </c>
      <c r="AD4540">
        <v>3.2550001100000001</v>
      </c>
      <c r="AE4540">
        <v>5</v>
      </c>
      <c r="AF4540">
        <v>38</v>
      </c>
      <c r="AG4540">
        <v>3.2449998899999999</v>
      </c>
      <c r="AH4540">
        <v>7</v>
      </c>
      <c r="AI4540">
        <v>1</v>
      </c>
      <c r="AJ4540">
        <v>1</v>
      </c>
      <c r="AK4540">
        <v>18</v>
      </c>
      <c r="AL4540">
        <v>48</v>
      </c>
      <c r="AM4540" t="s">
        <v>43</v>
      </c>
      <c r="AN4540" t="s">
        <v>43</v>
      </c>
    </row>
    <row r="4541" spans="1:40" x14ac:dyDescent="0.3">
      <c r="A4541" s="1">
        <v>46210.473726851851</v>
      </c>
      <c r="B4541" t="s">
        <v>40</v>
      </c>
      <c r="C4541" t="s">
        <v>41</v>
      </c>
      <c r="D4541" s="1">
        <v>46210.476585648146</v>
      </c>
      <c r="E4541" t="s">
        <v>42</v>
      </c>
      <c r="F4541" t="s">
        <v>83</v>
      </c>
      <c r="G4541">
        <v>23</v>
      </c>
      <c r="H4541" t="s">
        <v>43</v>
      </c>
      <c r="I4541" t="s">
        <v>2576</v>
      </c>
      <c r="J4541">
        <v>58</v>
      </c>
      <c r="K4541">
        <v>90</v>
      </c>
      <c r="L4541">
        <v>98</v>
      </c>
      <c r="M4541">
        <v>623.40002441000001</v>
      </c>
      <c r="N4541" t="s">
        <v>87</v>
      </c>
      <c r="O4541" t="s">
        <v>86</v>
      </c>
      <c r="P4541">
        <v>130</v>
      </c>
      <c r="Q4541">
        <v>5</v>
      </c>
      <c r="R4541">
        <v>39</v>
      </c>
      <c r="S4541">
        <v>902</v>
      </c>
      <c r="T4541">
        <v>-40</v>
      </c>
      <c r="U4541">
        <v>51</v>
      </c>
      <c r="V4541">
        <v>500</v>
      </c>
      <c r="W4541">
        <v>30</v>
      </c>
      <c r="X4541">
        <v>30</v>
      </c>
      <c r="Y4541">
        <v>1</v>
      </c>
      <c r="Z4541">
        <v>1</v>
      </c>
      <c r="AA4541">
        <v>27</v>
      </c>
      <c r="AB4541">
        <v>3</v>
      </c>
      <c r="AC4541">
        <v>5</v>
      </c>
      <c r="AD4541">
        <v>3.27399993</v>
      </c>
      <c r="AE4541">
        <v>1</v>
      </c>
      <c r="AF4541">
        <v>3</v>
      </c>
      <c r="AG4541">
        <v>3.27099991</v>
      </c>
      <c r="AH4541">
        <v>2</v>
      </c>
      <c r="AI4541">
        <v>6</v>
      </c>
      <c r="AJ4541">
        <v>1</v>
      </c>
      <c r="AK4541">
        <v>18</v>
      </c>
      <c r="AL4541">
        <v>48</v>
      </c>
      <c r="AM4541" t="s">
        <v>43</v>
      </c>
      <c r="AN4541" t="str">
        <f>HYPERLINK("https://www.google.com/maps?q=10.79850006,79.82540894","Open Location")</f>
        <v>Open Location</v>
      </c>
    </row>
    <row r="4542" spans="1:40" x14ac:dyDescent="0.3">
      <c r="A4542" s="1">
        <v>46210.473611111112</v>
      </c>
      <c r="B4542" t="s">
        <v>40</v>
      </c>
      <c r="C4542" t="s">
        <v>41</v>
      </c>
      <c r="D4542" s="1">
        <v>46210.476412037038</v>
      </c>
      <c r="E4542" t="s">
        <v>42</v>
      </c>
      <c r="F4542" t="s">
        <v>83</v>
      </c>
      <c r="G4542">
        <v>24</v>
      </c>
      <c r="H4542">
        <v>33089</v>
      </c>
      <c r="I4542" t="s">
        <v>2577</v>
      </c>
      <c r="J4542">
        <v>58</v>
      </c>
      <c r="K4542">
        <v>99</v>
      </c>
      <c r="L4542">
        <v>98</v>
      </c>
      <c r="M4542">
        <v>622.90002441000001</v>
      </c>
      <c r="N4542" t="s">
        <v>87</v>
      </c>
      <c r="O4542" t="s">
        <v>86</v>
      </c>
      <c r="P4542">
        <v>130</v>
      </c>
      <c r="Q4542">
        <v>5</v>
      </c>
      <c r="R4542">
        <v>16</v>
      </c>
      <c r="S4542">
        <v>1074</v>
      </c>
      <c r="T4542">
        <v>-40</v>
      </c>
      <c r="U4542">
        <v>49</v>
      </c>
      <c r="V4542">
        <v>480</v>
      </c>
      <c r="W4542">
        <v>30</v>
      </c>
      <c r="X4542">
        <v>30</v>
      </c>
      <c r="Y4542">
        <v>1</v>
      </c>
      <c r="Z4542">
        <v>1</v>
      </c>
      <c r="AA4542">
        <v>27</v>
      </c>
      <c r="AB4542">
        <v>3</v>
      </c>
      <c r="AC4542">
        <v>5</v>
      </c>
      <c r="AD4542">
        <v>3.2669999600000001</v>
      </c>
      <c r="AE4542">
        <v>5</v>
      </c>
      <c r="AF4542">
        <v>38</v>
      </c>
      <c r="AG4542">
        <v>3.26200008</v>
      </c>
      <c r="AH4542">
        <v>4</v>
      </c>
      <c r="AI4542">
        <v>17</v>
      </c>
      <c r="AJ4542">
        <v>1</v>
      </c>
      <c r="AK4542">
        <v>18</v>
      </c>
      <c r="AL4542">
        <v>48</v>
      </c>
      <c r="AM4542" t="s">
        <v>43</v>
      </c>
      <c r="AN4542" t="str">
        <f>HYPERLINK("https://www.google.com/maps?q=10.79918957,79.82549286","Open Location")</f>
        <v>Open Location</v>
      </c>
    </row>
    <row r="4543" spans="1:40" x14ac:dyDescent="0.3">
      <c r="A4543" s="1">
        <v>46210.473495370374</v>
      </c>
      <c r="B4543" t="s">
        <v>40</v>
      </c>
      <c r="C4543" t="s">
        <v>41</v>
      </c>
      <c r="D4543" s="1">
        <v>46210.47625</v>
      </c>
      <c r="E4543" t="s">
        <v>42</v>
      </c>
      <c r="F4543" t="s">
        <v>83</v>
      </c>
      <c r="G4543">
        <v>24</v>
      </c>
      <c r="H4543">
        <v>33089</v>
      </c>
      <c r="I4543" t="s">
        <v>2578</v>
      </c>
      <c r="J4543">
        <v>58</v>
      </c>
      <c r="K4543">
        <v>30</v>
      </c>
      <c r="L4543">
        <v>98</v>
      </c>
      <c r="M4543">
        <v>626.20001220999995</v>
      </c>
      <c r="N4543" t="s">
        <v>87</v>
      </c>
      <c r="O4543" t="s">
        <v>86</v>
      </c>
      <c r="P4543">
        <v>129</v>
      </c>
      <c r="Q4543">
        <v>5</v>
      </c>
      <c r="R4543">
        <v>29</v>
      </c>
      <c r="S4543">
        <v>1116</v>
      </c>
      <c r="T4543">
        <v>-40</v>
      </c>
      <c r="U4543">
        <v>50</v>
      </c>
      <c r="V4543">
        <v>140</v>
      </c>
      <c r="W4543">
        <v>30</v>
      </c>
      <c r="X4543">
        <v>30</v>
      </c>
      <c r="Y4543">
        <v>1</v>
      </c>
      <c r="Z4543">
        <v>1</v>
      </c>
      <c r="AA4543">
        <v>27</v>
      </c>
      <c r="AB4543">
        <v>7</v>
      </c>
      <c r="AC4543">
        <v>5</v>
      </c>
      <c r="AD4543">
        <v>3.2660000299999998</v>
      </c>
      <c r="AE4543">
        <v>1</v>
      </c>
      <c r="AF4543">
        <v>25</v>
      </c>
      <c r="AG4543">
        <v>3.2609999200000002</v>
      </c>
      <c r="AH4543">
        <v>7</v>
      </c>
      <c r="AI4543">
        <v>1</v>
      </c>
      <c r="AJ4543">
        <v>1</v>
      </c>
      <c r="AK4543">
        <v>18</v>
      </c>
      <c r="AL4543">
        <v>48</v>
      </c>
      <c r="AM4543" t="s">
        <v>43</v>
      </c>
      <c r="AN4543" t="str">
        <f>HYPERLINK("https://www.google.com/maps?q=10.79991913,79.82552338","Open Location")</f>
        <v>Open Location</v>
      </c>
    </row>
    <row r="4544" spans="1:40" x14ac:dyDescent="0.3">
      <c r="A4544" s="1">
        <v>46210.473379629628</v>
      </c>
      <c r="B4544" t="s">
        <v>40</v>
      </c>
      <c r="C4544" t="s">
        <v>41</v>
      </c>
      <c r="D4544" s="1">
        <v>46210.47625</v>
      </c>
      <c r="E4544" t="s">
        <v>42</v>
      </c>
      <c r="F4544" t="s">
        <v>83</v>
      </c>
      <c r="G4544">
        <v>19</v>
      </c>
      <c r="H4544">
        <v>33089</v>
      </c>
      <c r="I4544" t="s">
        <v>2579</v>
      </c>
      <c r="J4544">
        <v>58</v>
      </c>
      <c r="K4544">
        <v>53</v>
      </c>
      <c r="L4544">
        <v>98</v>
      </c>
      <c r="M4544">
        <v>625</v>
      </c>
      <c r="N4544" t="s">
        <v>87</v>
      </c>
      <c r="O4544" t="s">
        <v>86</v>
      </c>
      <c r="P4544">
        <v>129</v>
      </c>
      <c r="Q4544">
        <v>4</v>
      </c>
      <c r="R4544">
        <v>35</v>
      </c>
      <c r="S4544">
        <v>1723</v>
      </c>
      <c r="T4544">
        <v>-40</v>
      </c>
      <c r="U4544">
        <v>51</v>
      </c>
      <c r="V4544">
        <v>160</v>
      </c>
      <c r="W4544">
        <v>30</v>
      </c>
      <c r="X4544">
        <v>30</v>
      </c>
      <c r="Y4544">
        <v>1</v>
      </c>
      <c r="Z4544">
        <v>1</v>
      </c>
      <c r="AA4544">
        <v>27</v>
      </c>
      <c r="AB4544">
        <v>7</v>
      </c>
      <c r="AC4544">
        <v>5</v>
      </c>
      <c r="AD4544">
        <v>3.2609999200000002</v>
      </c>
      <c r="AE4544">
        <v>5</v>
      </c>
      <c r="AF4544">
        <v>38</v>
      </c>
      <c r="AG4544">
        <v>3.25300002</v>
      </c>
      <c r="AH4544">
        <v>6</v>
      </c>
      <c r="AI4544">
        <v>24</v>
      </c>
      <c r="AJ4544">
        <v>1</v>
      </c>
      <c r="AK4544">
        <v>18</v>
      </c>
      <c r="AL4544">
        <v>48</v>
      </c>
      <c r="AM4544" t="s">
        <v>43</v>
      </c>
      <c r="AN4544" t="str">
        <f>HYPERLINK("https://www.google.com/maps?q=10.80056858,79.82544708","Open Location")</f>
        <v>Open Location</v>
      </c>
    </row>
    <row r="4545" spans="1:40" x14ac:dyDescent="0.3">
      <c r="A4545" s="1">
        <v>46210.473263888889</v>
      </c>
      <c r="B4545" t="s">
        <v>40</v>
      </c>
      <c r="C4545" t="s">
        <v>41</v>
      </c>
      <c r="D4545" s="1">
        <v>46210.476331018515</v>
      </c>
      <c r="E4545" t="s">
        <v>42</v>
      </c>
      <c r="F4545" t="s">
        <v>83</v>
      </c>
      <c r="G4545">
        <v>14</v>
      </c>
      <c r="H4545">
        <v>33089</v>
      </c>
      <c r="I4545" t="s">
        <v>43</v>
      </c>
      <c r="J4545">
        <v>58</v>
      </c>
      <c r="K4545">
        <v>60</v>
      </c>
      <c r="L4545">
        <v>98</v>
      </c>
      <c r="M4545">
        <v>624.79998779000005</v>
      </c>
      <c r="N4545" t="s">
        <v>87</v>
      </c>
      <c r="O4545" t="s">
        <v>86</v>
      </c>
      <c r="P4545">
        <v>129</v>
      </c>
      <c r="Q4545">
        <v>4</v>
      </c>
      <c r="R4545">
        <v>70</v>
      </c>
      <c r="S4545">
        <v>1373</v>
      </c>
      <c r="T4545">
        <v>-40</v>
      </c>
      <c r="U4545">
        <v>50</v>
      </c>
      <c r="V4545">
        <v>240</v>
      </c>
      <c r="W4545">
        <v>30</v>
      </c>
      <c r="X4545">
        <v>30</v>
      </c>
      <c r="Y4545">
        <v>1</v>
      </c>
      <c r="Z4545">
        <v>1</v>
      </c>
      <c r="AA4545">
        <v>27</v>
      </c>
      <c r="AB4545">
        <v>7</v>
      </c>
      <c r="AC4545">
        <v>5</v>
      </c>
      <c r="AD4545">
        <v>3.25</v>
      </c>
      <c r="AE4545">
        <v>5</v>
      </c>
      <c r="AF4545">
        <v>38</v>
      </c>
      <c r="AG4545">
        <v>3.2400000100000002</v>
      </c>
      <c r="AH4545">
        <v>6</v>
      </c>
      <c r="AI4545">
        <v>24</v>
      </c>
      <c r="AJ4545">
        <v>1</v>
      </c>
      <c r="AK4545">
        <v>18</v>
      </c>
      <c r="AL4545">
        <v>48</v>
      </c>
      <c r="AM4545" t="s">
        <v>43</v>
      </c>
      <c r="AN4545" t="s">
        <v>43</v>
      </c>
    </row>
    <row r="4546" spans="1:40" x14ac:dyDescent="0.3">
      <c r="A4546" s="1">
        <v>46210.47314814815</v>
      </c>
      <c r="B4546" t="s">
        <v>40</v>
      </c>
      <c r="C4546" t="s">
        <v>41</v>
      </c>
      <c r="D4546" s="1">
        <v>46210.475914351853</v>
      </c>
      <c r="E4546" t="s">
        <v>42</v>
      </c>
      <c r="F4546" t="s">
        <v>83</v>
      </c>
      <c r="G4546">
        <v>11</v>
      </c>
      <c r="H4546">
        <v>33089</v>
      </c>
      <c r="I4546" t="s">
        <v>2580</v>
      </c>
      <c r="J4546">
        <v>58</v>
      </c>
      <c r="K4546">
        <v>20</v>
      </c>
      <c r="L4546">
        <v>98</v>
      </c>
      <c r="M4546">
        <v>626.79998779000005</v>
      </c>
      <c r="N4546" t="s">
        <v>87</v>
      </c>
      <c r="O4546" t="s">
        <v>86</v>
      </c>
      <c r="P4546">
        <v>128</v>
      </c>
      <c r="Q4546">
        <v>3</v>
      </c>
      <c r="R4546">
        <v>72</v>
      </c>
      <c r="S4546">
        <v>1739</v>
      </c>
      <c r="T4546">
        <v>-40</v>
      </c>
      <c r="U4546">
        <v>50</v>
      </c>
      <c r="V4546">
        <v>0</v>
      </c>
      <c r="W4546">
        <v>30</v>
      </c>
      <c r="X4546">
        <v>30</v>
      </c>
      <c r="Y4546">
        <v>1</v>
      </c>
      <c r="Z4546">
        <v>1</v>
      </c>
      <c r="AA4546">
        <v>27</v>
      </c>
      <c r="AB4546">
        <v>7</v>
      </c>
      <c r="AC4546">
        <v>5</v>
      </c>
      <c r="AD4546">
        <v>3.24699998</v>
      </c>
      <c r="AE4546">
        <v>5</v>
      </c>
      <c r="AF4546">
        <v>38</v>
      </c>
      <c r="AG4546">
        <v>3.2360000599999998</v>
      </c>
      <c r="AH4546">
        <v>6</v>
      </c>
      <c r="AI4546">
        <v>24</v>
      </c>
      <c r="AJ4546">
        <v>1</v>
      </c>
      <c r="AK4546">
        <v>18</v>
      </c>
      <c r="AL4546">
        <v>48</v>
      </c>
      <c r="AM4546" t="s">
        <v>43</v>
      </c>
      <c r="AN4546" t="str">
        <f>HYPERLINK("https://www.google.com/maps?q=10.80105019,79.82535553","Open Location")</f>
        <v>Open Location</v>
      </c>
    </row>
    <row r="4547" spans="1:40" x14ac:dyDescent="0.3">
      <c r="A4547" s="1">
        <v>46210.473032407404</v>
      </c>
      <c r="B4547" t="s">
        <v>40</v>
      </c>
      <c r="C4547" t="s">
        <v>41</v>
      </c>
      <c r="D4547" s="1">
        <v>46210.475995370369</v>
      </c>
      <c r="E4547" t="s">
        <v>42</v>
      </c>
      <c r="F4547" t="s">
        <v>83</v>
      </c>
      <c r="G4547">
        <v>9</v>
      </c>
      <c r="H4547">
        <v>33089</v>
      </c>
      <c r="I4547" t="s">
        <v>2581</v>
      </c>
      <c r="J4547">
        <v>58</v>
      </c>
      <c r="K4547">
        <v>74</v>
      </c>
      <c r="L4547">
        <v>98</v>
      </c>
      <c r="M4547">
        <v>625</v>
      </c>
      <c r="N4547" t="s">
        <v>87</v>
      </c>
      <c r="O4547" t="s">
        <v>86</v>
      </c>
      <c r="P4547">
        <v>128</v>
      </c>
      <c r="Q4547">
        <v>3</v>
      </c>
      <c r="R4547">
        <v>31</v>
      </c>
      <c r="S4547">
        <v>1425</v>
      </c>
      <c r="T4547">
        <v>-40</v>
      </c>
      <c r="U4547">
        <v>49</v>
      </c>
      <c r="V4547">
        <v>280</v>
      </c>
      <c r="W4547">
        <v>30</v>
      </c>
      <c r="X4547">
        <v>30</v>
      </c>
      <c r="Y4547">
        <v>1</v>
      </c>
      <c r="Z4547">
        <v>1</v>
      </c>
      <c r="AA4547">
        <v>27</v>
      </c>
      <c r="AB4547">
        <v>7</v>
      </c>
      <c r="AC4547">
        <v>5</v>
      </c>
      <c r="AD4547">
        <v>3.2569999699999999</v>
      </c>
      <c r="AE4547">
        <v>5</v>
      </c>
      <c r="AF4547">
        <v>38</v>
      </c>
      <c r="AG4547">
        <v>3.2479999099999999</v>
      </c>
      <c r="AH4547">
        <v>4</v>
      </c>
      <c r="AI4547">
        <v>24</v>
      </c>
      <c r="AJ4547">
        <v>1</v>
      </c>
      <c r="AK4547">
        <v>18</v>
      </c>
      <c r="AL4547">
        <v>48</v>
      </c>
      <c r="AM4547" t="s">
        <v>43</v>
      </c>
      <c r="AN4547" t="str">
        <f>HYPERLINK("https://www.google.com/maps?q=10.80142307,79.82528687","Open Location")</f>
        <v>Open Location</v>
      </c>
    </row>
    <row r="4548" spans="1:40" x14ac:dyDescent="0.3">
      <c r="A4548" s="1">
        <v>46210.472916666666</v>
      </c>
      <c r="B4548" t="s">
        <v>40</v>
      </c>
      <c r="C4548" t="s">
        <v>41</v>
      </c>
      <c r="D4548" s="1">
        <v>46210.475555555553</v>
      </c>
      <c r="E4548" t="s">
        <v>42</v>
      </c>
      <c r="F4548" t="s">
        <v>83</v>
      </c>
      <c r="G4548">
        <v>15</v>
      </c>
      <c r="H4548">
        <v>33089</v>
      </c>
      <c r="I4548" t="s">
        <v>2582</v>
      </c>
      <c r="J4548">
        <v>58</v>
      </c>
      <c r="K4548">
        <v>55</v>
      </c>
      <c r="L4548">
        <v>98</v>
      </c>
      <c r="M4548">
        <v>625</v>
      </c>
      <c r="N4548" t="s">
        <v>87</v>
      </c>
      <c r="O4548" t="s">
        <v>86</v>
      </c>
      <c r="P4548">
        <v>129</v>
      </c>
      <c r="Q4548">
        <v>3</v>
      </c>
      <c r="R4548">
        <v>19</v>
      </c>
      <c r="S4548">
        <v>1256</v>
      </c>
      <c r="T4548">
        <v>-40</v>
      </c>
      <c r="U4548">
        <v>50</v>
      </c>
      <c r="V4548">
        <v>240</v>
      </c>
      <c r="W4548">
        <v>30</v>
      </c>
      <c r="X4548">
        <v>30</v>
      </c>
      <c r="Y4548">
        <v>1</v>
      </c>
      <c r="Z4548">
        <v>1</v>
      </c>
      <c r="AA4548">
        <v>27</v>
      </c>
      <c r="AB4548">
        <v>7</v>
      </c>
      <c r="AC4548">
        <v>5</v>
      </c>
      <c r="AD4548">
        <v>3.2760000200000001</v>
      </c>
      <c r="AE4548">
        <v>1</v>
      </c>
      <c r="AF4548">
        <v>2</v>
      </c>
      <c r="AG4548">
        <v>3.2699999800000001</v>
      </c>
      <c r="AH4548">
        <v>8</v>
      </c>
      <c r="AI4548">
        <v>10</v>
      </c>
      <c r="AJ4548">
        <v>1</v>
      </c>
      <c r="AK4548">
        <v>18</v>
      </c>
      <c r="AL4548">
        <v>48</v>
      </c>
      <c r="AM4548" t="s">
        <v>43</v>
      </c>
      <c r="AN4548" t="str">
        <f>HYPERLINK("https://www.google.com/maps?q=10.80171871,79.82523346","Open Location")</f>
        <v>Open Location</v>
      </c>
    </row>
    <row r="4549" spans="1:40" x14ac:dyDescent="0.3">
      <c r="A4549" s="1">
        <v>46210.472800925927</v>
      </c>
      <c r="B4549" t="s">
        <v>40</v>
      </c>
      <c r="C4549" t="s">
        <v>41</v>
      </c>
      <c r="D4549" s="1">
        <v>46210.475613425922</v>
      </c>
      <c r="E4549" t="s">
        <v>42</v>
      </c>
      <c r="F4549" t="s">
        <v>83</v>
      </c>
      <c r="G4549">
        <v>14</v>
      </c>
      <c r="H4549">
        <v>33089</v>
      </c>
      <c r="I4549" t="s">
        <v>2583</v>
      </c>
      <c r="J4549">
        <v>58</v>
      </c>
      <c r="K4549">
        <v>81</v>
      </c>
      <c r="L4549">
        <v>98</v>
      </c>
      <c r="M4549">
        <v>624.29998779000005</v>
      </c>
      <c r="N4549" t="s">
        <v>87</v>
      </c>
      <c r="O4549" t="s">
        <v>86</v>
      </c>
      <c r="P4549">
        <v>129</v>
      </c>
      <c r="Q4549">
        <v>4</v>
      </c>
      <c r="R4549">
        <v>58</v>
      </c>
      <c r="S4549">
        <v>1188</v>
      </c>
      <c r="T4549">
        <v>-40</v>
      </c>
      <c r="U4549">
        <v>50</v>
      </c>
      <c r="V4549">
        <v>320</v>
      </c>
      <c r="W4549">
        <v>30</v>
      </c>
      <c r="X4549">
        <v>30</v>
      </c>
      <c r="Y4549">
        <v>1</v>
      </c>
      <c r="Z4549">
        <v>1</v>
      </c>
      <c r="AA4549">
        <v>27</v>
      </c>
      <c r="AB4549">
        <v>7</v>
      </c>
      <c r="AC4549">
        <v>5</v>
      </c>
      <c r="AD4549">
        <v>3.2509999299999999</v>
      </c>
      <c r="AE4549">
        <v>5</v>
      </c>
      <c r="AF4549">
        <v>38</v>
      </c>
      <c r="AG4549">
        <v>3.2400000100000002</v>
      </c>
      <c r="AH4549">
        <v>4</v>
      </c>
      <c r="AI4549">
        <v>17</v>
      </c>
      <c r="AJ4549">
        <v>1</v>
      </c>
      <c r="AK4549">
        <v>18</v>
      </c>
      <c r="AL4549">
        <v>48</v>
      </c>
      <c r="AM4549" t="s">
        <v>43</v>
      </c>
      <c r="AN4549" t="str">
        <f>HYPERLINK("https://www.google.com/maps?q=10.80222034,79.82514191","Open Location")</f>
        <v>Open Location</v>
      </c>
    </row>
    <row r="4550" spans="1:40" x14ac:dyDescent="0.3">
      <c r="A4550" s="1">
        <v>46210.472685185188</v>
      </c>
      <c r="B4550" t="s">
        <v>40</v>
      </c>
      <c r="C4550" t="s">
        <v>41</v>
      </c>
      <c r="D4550" s="1">
        <v>46210.475462962961</v>
      </c>
      <c r="E4550" t="s">
        <v>42</v>
      </c>
      <c r="F4550" t="s">
        <v>83</v>
      </c>
      <c r="G4550">
        <v>8</v>
      </c>
      <c r="H4550">
        <v>33089</v>
      </c>
      <c r="I4550" t="s">
        <v>2584</v>
      </c>
      <c r="J4550">
        <v>58</v>
      </c>
      <c r="K4550">
        <v>107</v>
      </c>
      <c r="L4550">
        <v>98</v>
      </c>
      <c r="M4550">
        <v>626.20001220999995</v>
      </c>
      <c r="N4550" t="s">
        <v>87</v>
      </c>
      <c r="O4550" t="s">
        <v>86</v>
      </c>
      <c r="P4550">
        <v>127</v>
      </c>
      <c r="Q4550">
        <v>3</v>
      </c>
      <c r="R4550">
        <v>0</v>
      </c>
      <c r="S4550">
        <v>1769</v>
      </c>
      <c r="T4550">
        <v>-40</v>
      </c>
      <c r="U4550">
        <v>48</v>
      </c>
      <c r="V4550">
        <v>160</v>
      </c>
      <c r="W4550">
        <v>30</v>
      </c>
      <c r="X4550">
        <v>30</v>
      </c>
      <c r="Y4550">
        <v>1</v>
      </c>
      <c r="Z4550">
        <v>1</v>
      </c>
      <c r="AA4550">
        <v>27</v>
      </c>
      <c r="AB4550">
        <v>7</v>
      </c>
      <c r="AC4550">
        <v>5</v>
      </c>
      <c r="AD4550">
        <v>3.2579999000000002</v>
      </c>
      <c r="AE4550">
        <v>5</v>
      </c>
      <c r="AF4550">
        <v>38</v>
      </c>
      <c r="AG4550">
        <v>3.2490000700000001</v>
      </c>
      <c r="AH4550">
        <v>4</v>
      </c>
      <c r="AI4550">
        <v>17</v>
      </c>
      <c r="AJ4550">
        <v>1</v>
      </c>
      <c r="AK4550">
        <v>20</v>
      </c>
      <c r="AL4550">
        <v>48</v>
      </c>
      <c r="AM4550" t="s">
        <v>43</v>
      </c>
      <c r="AN4550" t="str">
        <f>HYPERLINK("https://www.google.com/maps?q=10.80257797,79.82507324","Open Location")</f>
        <v>Open Location</v>
      </c>
    </row>
    <row r="4551" spans="1:40" x14ac:dyDescent="0.3">
      <c r="A4551" s="1">
        <v>46210.472569444442</v>
      </c>
      <c r="B4551" t="s">
        <v>40</v>
      </c>
      <c r="C4551" t="s">
        <v>41</v>
      </c>
      <c r="D4551" s="1">
        <v>46210.475532407407</v>
      </c>
      <c r="E4551" t="s">
        <v>42</v>
      </c>
      <c r="F4551" t="s">
        <v>83</v>
      </c>
      <c r="G4551">
        <v>8</v>
      </c>
      <c r="H4551">
        <v>33089</v>
      </c>
      <c r="I4551" t="s">
        <v>43</v>
      </c>
      <c r="J4551">
        <v>58</v>
      </c>
      <c r="K4551">
        <v>43</v>
      </c>
      <c r="L4551">
        <v>98</v>
      </c>
      <c r="M4551">
        <v>625.40002441000001</v>
      </c>
      <c r="N4551" t="s">
        <v>87</v>
      </c>
      <c r="O4551" t="s">
        <v>86</v>
      </c>
      <c r="P4551">
        <v>128</v>
      </c>
      <c r="Q4551">
        <v>3</v>
      </c>
      <c r="R4551">
        <v>0</v>
      </c>
      <c r="S4551">
        <v>1427</v>
      </c>
      <c r="T4551">
        <v>-40</v>
      </c>
      <c r="U4551">
        <v>49</v>
      </c>
      <c r="V4551">
        <v>190</v>
      </c>
      <c r="W4551">
        <v>30</v>
      </c>
      <c r="X4551">
        <v>30</v>
      </c>
      <c r="Y4551">
        <v>1</v>
      </c>
      <c r="Z4551">
        <v>1</v>
      </c>
      <c r="AA4551">
        <v>27</v>
      </c>
      <c r="AB4551">
        <v>7</v>
      </c>
      <c r="AC4551">
        <v>5</v>
      </c>
      <c r="AD4551">
        <v>3.2760000200000001</v>
      </c>
      <c r="AE4551">
        <v>5</v>
      </c>
      <c r="AF4551">
        <v>38</v>
      </c>
      <c r="AG4551">
        <v>3.27099991</v>
      </c>
      <c r="AH4551">
        <v>3</v>
      </c>
      <c r="AI4551">
        <v>27</v>
      </c>
      <c r="AJ4551">
        <v>1</v>
      </c>
      <c r="AK4551">
        <v>18</v>
      </c>
      <c r="AL4551">
        <v>48</v>
      </c>
      <c r="AM4551" t="s">
        <v>43</v>
      </c>
      <c r="AN4551" t="s">
        <v>43</v>
      </c>
    </row>
    <row r="4552" spans="1:40" x14ac:dyDescent="0.3">
      <c r="A4552" s="1">
        <v>46210.472453703704</v>
      </c>
      <c r="B4552" t="s">
        <v>40</v>
      </c>
      <c r="C4552" t="s">
        <v>41</v>
      </c>
      <c r="D4552" s="1">
        <v>46210.475127314814</v>
      </c>
      <c r="E4552" t="s">
        <v>42</v>
      </c>
      <c r="F4552" t="s">
        <v>83</v>
      </c>
      <c r="G4552">
        <v>21</v>
      </c>
      <c r="H4552">
        <v>33089</v>
      </c>
      <c r="I4552" t="s">
        <v>2585</v>
      </c>
      <c r="J4552">
        <v>58</v>
      </c>
      <c r="K4552">
        <v>16</v>
      </c>
      <c r="L4552">
        <v>98</v>
      </c>
      <c r="M4552">
        <v>627.70001220999995</v>
      </c>
      <c r="N4552" t="s">
        <v>87</v>
      </c>
      <c r="O4552" t="s">
        <v>86</v>
      </c>
      <c r="P4552">
        <v>130</v>
      </c>
      <c r="Q4552">
        <v>3</v>
      </c>
      <c r="R4552">
        <v>-79</v>
      </c>
      <c r="S4552">
        <v>1128</v>
      </c>
      <c r="T4552">
        <v>-40</v>
      </c>
      <c r="U4552">
        <v>50</v>
      </c>
      <c r="V4552">
        <v>11</v>
      </c>
      <c r="W4552">
        <v>30</v>
      </c>
      <c r="X4552">
        <v>30</v>
      </c>
      <c r="Y4552">
        <v>1</v>
      </c>
      <c r="Z4552">
        <v>1</v>
      </c>
      <c r="AA4552">
        <v>27</v>
      </c>
      <c r="AB4552">
        <v>7</v>
      </c>
      <c r="AC4552">
        <v>5</v>
      </c>
      <c r="AD4552">
        <v>3.2780001200000002</v>
      </c>
      <c r="AE4552">
        <v>1</v>
      </c>
      <c r="AF4552">
        <v>16</v>
      </c>
      <c r="AG4552">
        <v>3.27399993</v>
      </c>
      <c r="AH4552">
        <v>3</v>
      </c>
      <c r="AI4552">
        <v>10</v>
      </c>
      <c r="AJ4552">
        <v>1</v>
      </c>
      <c r="AK4552">
        <v>19</v>
      </c>
      <c r="AL4552">
        <v>48</v>
      </c>
      <c r="AM4552" t="s">
        <v>43</v>
      </c>
      <c r="AN4552" t="str">
        <f>HYPERLINK("https://www.google.com/maps?q=10.80279922,79.82511139","Open Location")</f>
        <v>Open Location</v>
      </c>
    </row>
    <row r="4553" spans="1:40" x14ac:dyDescent="0.3">
      <c r="A4553" s="1">
        <v>46210.472337962965</v>
      </c>
      <c r="B4553" t="s">
        <v>40</v>
      </c>
      <c r="C4553" t="s">
        <v>41</v>
      </c>
      <c r="D4553" s="1">
        <v>46210.475115740737</v>
      </c>
      <c r="E4553" t="s">
        <v>42</v>
      </c>
      <c r="F4553" t="s">
        <v>83</v>
      </c>
      <c r="G4553">
        <v>30</v>
      </c>
      <c r="H4553">
        <v>33089</v>
      </c>
      <c r="I4553" t="s">
        <v>2586</v>
      </c>
      <c r="J4553">
        <v>58</v>
      </c>
      <c r="K4553">
        <v>-112</v>
      </c>
      <c r="L4553">
        <v>98</v>
      </c>
      <c r="M4553">
        <v>632.90002441000001</v>
      </c>
      <c r="N4553" t="s">
        <v>87</v>
      </c>
      <c r="O4553" t="s">
        <v>86</v>
      </c>
      <c r="P4553">
        <v>130</v>
      </c>
      <c r="Q4553">
        <v>5</v>
      </c>
      <c r="R4553">
        <v>42</v>
      </c>
      <c r="S4553">
        <v>1199</v>
      </c>
      <c r="T4553">
        <v>-40</v>
      </c>
      <c r="U4553">
        <v>50</v>
      </c>
      <c r="V4553">
        <v>-860</v>
      </c>
      <c r="W4553">
        <v>30</v>
      </c>
      <c r="X4553">
        <v>30</v>
      </c>
      <c r="Y4553">
        <v>1</v>
      </c>
      <c r="Z4553">
        <v>1</v>
      </c>
      <c r="AA4553">
        <v>27</v>
      </c>
      <c r="AB4553">
        <v>7</v>
      </c>
      <c r="AC4553">
        <v>5</v>
      </c>
      <c r="AD4553">
        <v>3.26200008</v>
      </c>
      <c r="AE4553">
        <v>5</v>
      </c>
      <c r="AF4553">
        <v>38</v>
      </c>
      <c r="AG4553">
        <v>3.25600004</v>
      </c>
      <c r="AH4553">
        <v>4</v>
      </c>
      <c r="AI4553">
        <v>24</v>
      </c>
      <c r="AJ4553">
        <v>1</v>
      </c>
      <c r="AK4553">
        <v>19</v>
      </c>
      <c r="AL4553">
        <v>48</v>
      </c>
      <c r="AM4553" t="s">
        <v>43</v>
      </c>
      <c r="AN4553" t="str">
        <f>HYPERLINK("https://www.google.com/maps?q=10.80341244,79.82511902","Open Location")</f>
        <v>Open Location</v>
      </c>
    </row>
    <row r="4554" spans="1:40" x14ac:dyDescent="0.3">
      <c r="A4554" s="1">
        <v>46210.472222222219</v>
      </c>
      <c r="B4554" t="s">
        <v>40</v>
      </c>
      <c r="C4554" t="s">
        <v>41</v>
      </c>
      <c r="D4554" s="1">
        <v>46210.475092592591</v>
      </c>
      <c r="E4554" t="s">
        <v>42</v>
      </c>
      <c r="F4554" t="s">
        <v>83</v>
      </c>
      <c r="G4554">
        <v>30</v>
      </c>
      <c r="H4554">
        <v>33088</v>
      </c>
      <c r="I4554" t="s">
        <v>2587</v>
      </c>
      <c r="J4554">
        <v>58</v>
      </c>
      <c r="K4554">
        <v>66</v>
      </c>
      <c r="L4554">
        <v>98</v>
      </c>
      <c r="M4554">
        <v>624.20001220999995</v>
      </c>
      <c r="N4554" t="s">
        <v>87</v>
      </c>
      <c r="O4554" t="s">
        <v>86</v>
      </c>
      <c r="P4554">
        <v>130</v>
      </c>
      <c r="Q4554">
        <v>5</v>
      </c>
      <c r="R4554">
        <v>58</v>
      </c>
      <c r="S4554">
        <v>1373</v>
      </c>
      <c r="T4554">
        <v>-40</v>
      </c>
      <c r="U4554">
        <v>50</v>
      </c>
      <c r="V4554">
        <v>260</v>
      </c>
      <c r="W4554">
        <v>30</v>
      </c>
      <c r="X4554">
        <v>30</v>
      </c>
      <c r="Y4554">
        <v>1</v>
      </c>
      <c r="Z4554">
        <v>1</v>
      </c>
      <c r="AA4554">
        <v>27</v>
      </c>
      <c r="AB4554">
        <v>7</v>
      </c>
      <c r="AC4554">
        <v>5</v>
      </c>
      <c r="AD4554">
        <v>3.2520000900000001</v>
      </c>
      <c r="AE4554">
        <v>5</v>
      </c>
      <c r="AF4554">
        <v>38</v>
      </c>
      <c r="AG4554">
        <v>3.2430000300000001</v>
      </c>
      <c r="AH4554">
        <v>4</v>
      </c>
      <c r="AI4554">
        <v>24</v>
      </c>
      <c r="AJ4554">
        <v>1</v>
      </c>
      <c r="AK4554">
        <v>19</v>
      </c>
      <c r="AL4554">
        <v>47</v>
      </c>
      <c r="AM4554" t="s">
        <v>43</v>
      </c>
      <c r="AN4554" t="str">
        <f>HYPERLINK("https://www.google.com/maps?q=10.80430698,79.82530975","Open Location")</f>
        <v>Open Location</v>
      </c>
    </row>
    <row r="4555" spans="1:40" x14ac:dyDescent="0.3">
      <c r="A4555" s="1">
        <v>46210.47210648148</v>
      </c>
      <c r="B4555" t="s">
        <v>40</v>
      </c>
      <c r="C4555" t="s">
        <v>41</v>
      </c>
      <c r="D4555" s="1">
        <v>46210.474918981483</v>
      </c>
      <c r="E4555" t="s">
        <v>42</v>
      </c>
      <c r="F4555" t="s">
        <v>83</v>
      </c>
      <c r="G4555">
        <v>31</v>
      </c>
      <c r="H4555" t="s">
        <v>43</v>
      </c>
      <c r="I4555" t="s">
        <v>2588</v>
      </c>
      <c r="J4555">
        <v>58</v>
      </c>
      <c r="K4555">
        <v>108</v>
      </c>
      <c r="L4555">
        <v>98</v>
      </c>
      <c r="M4555">
        <v>622.5</v>
      </c>
      <c r="N4555" t="s">
        <v>87</v>
      </c>
      <c r="O4555" t="s">
        <v>86</v>
      </c>
      <c r="P4555">
        <v>130</v>
      </c>
      <c r="Q4555">
        <v>5</v>
      </c>
      <c r="R4555">
        <v>58</v>
      </c>
      <c r="S4555">
        <v>1390</v>
      </c>
      <c r="T4555">
        <v>-40</v>
      </c>
      <c r="U4555">
        <v>51</v>
      </c>
      <c r="V4555">
        <v>420</v>
      </c>
      <c r="W4555" t="s">
        <v>43</v>
      </c>
      <c r="X4555" t="s">
        <v>43</v>
      </c>
      <c r="Y4555" t="s">
        <v>43</v>
      </c>
      <c r="Z4555" t="s">
        <v>43</v>
      </c>
      <c r="AA4555" t="s">
        <v>43</v>
      </c>
      <c r="AB4555" t="s">
        <v>43</v>
      </c>
      <c r="AC4555" t="s">
        <v>43</v>
      </c>
      <c r="AD4555" t="s">
        <v>43</v>
      </c>
      <c r="AE4555" t="s">
        <v>43</v>
      </c>
      <c r="AF4555" t="s">
        <v>43</v>
      </c>
      <c r="AG4555" t="s">
        <v>43</v>
      </c>
      <c r="AH4555" t="s">
        <v>43</v>
      </c>
      <c r="AI4555" t="s">
        <v>43</v>
      </c>
      <c r="AJ4555">
        <v>1</v>
      </c>
      <c r="AK4555">
        <v>18</v>
      </c>
      <c r="AL4555">
        <v>47</v>
      </c>
      <c r="AM4555" t="s">
        <v>43</v>
      </c>
      <c r="AN4555" t="str">
        <f>HYPERLINK("https://www.google.com/maps?q=10.80520153,79.82556152","Open Location")</f>
        <v>Open Location</v>
      </c>
    </row>
    <row r="4556" spans="1:40" x14ac:dyDescent="0.3">
      <c r="A4556" s="1">
        <v>46210.471990740742</v>
      </c>
      <c r="B4556" t="s">
        <v>40</v>
      </c>
      <c r="C4556" t="s">
        <v>41</v>
      </c>
      <c r="D4556" s="1">
        <v>46210.474618055552</v>
      </c>
      <c r="E4556" t="s">
        <v>42</v>
      </c>
      <c r="F4556" t="s">
        <v>83</v>
      </c>
      <c r="G4556">
        <v>29</v>
      </c>
      <c r="H4556">
        <v>33088</v>
      </c>
      <c r="I4556" t="s">
        <v>2589</v>
      </c>
      <c r="J4556">
        <v>58</v>
      </c>
      <c r="K4556">
        <v>102</v>
      </c>
      <c r="L4556">
        <v>98</v>
      </c>
      <c r="M4556">
        <v>621.59997558999999</v>
      </c>
      <c r="N4556" t="s">
        <v>87</v>
      </c>
      <c r="O4556" t="s">
        <v>86</v>
      </c>
      <c r="P4556">
        <v>130</v>
      </c>
      <c r="Q4556">
        <v>5</v>
      </c>
      <c r="R4556">
        <v>66</v>
      </c>
      <c r="S4556">
        <v>1393</v>
      </c>
      <c r="T4556">
        <v>-40</v>
      </c>
      <c r="U4556">
        <v>51</v>
      </c>
      <c r="V4556">
        <v>400</v>
      </c>
      <c r="W4556">
        <v>30</v>
      </c>
      <c r="X4556">
        <v>30</v>
      </c>
      <c r="Y4556">
        <v>1</v>
      </c>
      <c r="Z4556">
        <v>1</v>
      </c>
      <c r="AA4556">
        <v>27</v>
      </c>
      <c r="AB4556">
        <v>7</v>
      </c>
      <c r="AC4556">
        <v>5</v>
      </c>
      <c r="AD4556">
        <v>3.24399996</v>
      </c>
      <c r="AE4556">
        <v>5</v>
      </c>
      <c r="AF4556">
        <v>38</v>
      </c>
      <c r="AG4556">
        <v>3.2330000399999999</v>
      </c>
      <c r="AH4556">
        <v>4</v>
      </c>
      <c r="AI4556">
        <v>24</v>
      </c>
      <c r="AJ4556">
        <v>1</v>
      </c>
      <c r="AK4556">
        <v>18</v>
      </c>
      <c r="AL4556">
        <v>47</v>
      </c>
      <c r="AM4556" t="s">
        <v>43</v>
      </c>
      <c r="AN4556" t="str">
        <f>HYPERLINK("https://www.google.com/maps?q=10.80613327,79.82585907","Open Location")</f>
        <v>Open Location</v>
      </c>
    </row>
    <row r="4557" spans="1:40" x14ac:dyDescent="0.3">
      <c r="A4557" s="1">
        <v>46210.471875000003</v>
      </c>
      <c r="B4557" t="s">
        <v>40</v>
      </c>
      <c r="C4557" t="s">
        <v>41</v>
      </c>
      <c r="D4557" s="1">
        <v>46210.474733796298</v>
      </c>
      <c r="E4557" t="s">
        <v>42</v>
      </c>
      <c r="F4557" t="s">
        <v>83</v>
      </c>
      <c r="G4557">
        <v>26</v>
      </c>
      <c r="H4557">
        <v>33088</v>
      </c>
      <c r="I4557" t="s">
        <v>43</v>
      </c>
      <c r="J4557">
        <v>58</v>
      </c>
      <c r="K4557">
        <v>114</v>
      </c>
      <c r="L4557">
        <v>98</v>
      </c>
      <c r="M4557">
        <v>622</v>
      </c>
      <c r="N4557" t="s">
        <v>87</v>
      </c>
      <c r="O4557" t="s">
        <v>86</v>
      </c>
      <c r="P4557">
        <v>130</v>
      </c>
      <c r="Q4557">
        <v>5</v>
      </c>
      <c r="R4557">
        <v>72</v>
      </c>
      <c r="S4557">
        <v>1299</v>
      </c>
      <c r="T4557">
        <v>-40</v>
      </c>
      <c r="U4557">
        <v>51</v>
      </c>
      <c r="V4557">
        <v>480</v>
      </c>
      <c r="W4557">
        <v>30</v>
      </c>
      <c r="X4557">
        <v>30</v>
      </c>
      <c r="Y4557">
        <v>1</v>
      </c>
      <c r="Z4557">
        <v>1</v>
      </c>
      <c r="AA4557">
        <v>27</v>
      </c>
      <c r="AB4557">
        <v>7</v>
      </c>
      <c r="AC4557">
        <v>5</v>
      </c>
      <c r="AD4557">
        <v>3.2460000500000001</v>
      </c>
      <c r="AE4557">
        <v>5</v>
      </c>
      <c r="AF4557">
        <v>38</v>
      </c>
      <c r="AG4557">
        <v>3.2349999</v>
      </c>
      <c r="AH4557">
        <v>4</v>
      </c>
      <c r="AI4557">
        <v>24</v>
      </c>
      <c r="AJ4557">
        <v>1</v>
      </c>
      <c r="AK4557">
        <v>18</v>
      </c>
      <c r="AL4557">
        <v>47</v>
      </c>
      <c r="AM4557" t="s">
        <v>43</v>
      </c>
      <c r="AN4557" t="s">
        <v>43</v>
      </c>
    </row>
    <row r="4558" spans="1:40" x14ac:dyDescent="0.3">
      <c r="A4558" s="1">
        <v>46210.471759259257</v>
      </c>
      <c r="B4558" t="s">
        <v>40</v>
      </c>
      <c r="C4558" t="s">
        <v>41</v>
      </c>
      <c r="D4558" s="1">
        <v>46210.47446759259</v>
      </c>
      <c r="E4558" t="s">
        <v>42</v>
      </c>
      <c r="F4558" t="s">
        <v>83</v>
      </c>
      <c r="G4558">
        <v>23</v>
      </c>
      <c r="H4558">
        <v>33088</v>
      </c>
      <c r="I4558" t="s">
        <v>2590</v>
      </c>
      <c r="J4558">
        <v>58</v>
      </c>
      <c r="K4558">
        <v>142</v>
      </c>
      <c r="L4558">
        <v>98</v>
      </c>
      <c r="M4558">
        <v>620.79998779000005</v>
      </c>
      <c r="N4558" t="s">
        <v>87</v>
      </c>
      <c r="O4558" t="s">
        <v>86</v>
      </c>
      <c r="P4558">
        <v>129</v>
      </c>
      <c r="Q4558">
        <v>5</v>
      </c>
      <c r="R4558">
        <v>109</v>
      </c>
      <c r="S4558">
        <v>1170</v>
      </c>
      <c r="T4558">
        <v>-40</v>
      </c>
      <c r="U4558">
        <v>52</v>
      </c>
      <c r="V4558">
        <v>660</v>
      </c>
      <c r="W4558">
        <v>30</v>
      </c>
      <c r="X4558">
        <v>30</v>
      </c>
      <c r="Y4558">
        <v>1</v>
      </c>
      <c r="Z4558">
        <v>1</v>
      </c>
      <c r="AA4558">
        <v>27</v>
      </c>
      <c r="AB4558">
        <v>7</v>
      </c>
      <c r="AC4558">
        <v>5</v>
      </c>
      <c r="AD4558">
        <v>3.2369999900000002</v>
      </c>
      <c r="AE4558">
        <v>5</v>
      </c>
      <c r="AF4558">
        <v>38</v>
      </c>
      <c r="AG4558">
        <v>3.2219998799999998</v>
      </c>
      <c r="AH4558">
        <v>6</v>
      </c>
      <c r="AI4558">
        <v>24</v>
      </c>
      <c r="AJ4558">
        <v>1</v>
      </c>
      <c r="AK4558">
        <v>18</v>
      </c>
      <c r="AL4558">
        <v>47</v>
      </c>
      <c r="AM4558" t="s">
        <v>43</v>
      </c>
      <c r="AN4558" t="str">
        <f>HYPERLINK("https://www.google.com/maps?q=10.80691147,79.82608795","Open Location")</f>
        <v>Open Location</v>
      </c>
    </row>
    <row r="4559" spans="1:40" x14ac:dyDescent="0.3">
      <c r="A4559" s="1">
        <v>46210.471643518518</v>
      </c>
      <c r="B4559" t="s">
        <v>40</v>
      </c>
      <c r="C4559" t="s">
        <v>41</v>
      </c>
      <c r="D4559" s="1">
        <v>46210.474594907406</v>
      </c>
      <c r="E4559" t="s">
        <v>42</v>
      </c>
      <c r="F4559" t="s">
        <v>83</v>
      </c>
      <c r="G4559">
        <v>14</v>
      </c>
      <c r="H4559">
        <v>33088</v>
      </c>
      <c r="I4559" t="s">
        <v>2591</v>
      </c>
      <c r="J4559">
        <v>58</v>
      </c>
      <c r="K4559">
        <v>206</v>
      </c>
      <c r="L4559">
        <v>98</v>
      </c>
      <c r="M4559">
        <v>618.20001220999995</v>
      </c>
      <c r="N4559" t="s">
        <v>87</v>
      </c>
      <c r="O4559" t="s">
        <v>86</v>
      </c>
      <c r="P4559">
        <v>128</v>
      </c>
      <c r="Q4559">
        <v>4</v>
      </c>
      <c r="R4559">
        <v>99</v>
      </c>
      <c r="S4559">
        <v>1568</v>
      </c>
      <c r="T4559">
        <v>-40</v>
      </c>
      <c r="U4559">
        <v>49</v>
      </c>
      <c r="V4559">
        <v>740</v>
      </c>
      <c r="W4559">
        <v>30</v>
      </c>
      <c r="X4559">
        <v>30</v>
      </c>
      <c r="Y4559">
        <v>1</v>
      </c>
      <c r="Z4559">
        <v>1</v>
      </c>
      <c r="AA4559">
        <v>27</v>
      </c>
      <c r="AB4559">
        <v>7</v>
      </c>
      <c r="AC4559">
        <v>5</v>
      </c>
      <c r="AD4559">
        <v>3.2669999600000001</v>
      </c>
      <c r="AE4559">
        <v>5</v>
      </c>
      <c r="AF4559">
        <v>38</v>
      </c>
      <c r="AG4559">
        <v>3.2599999899999998</v>
      </c>
      <c r="AH4559">
        <v>7</v>
      </c>
      <c r="AI4559">
        <v>1</v>
      </c>
      <c r="AJ4559">
        <v>1</v>
      </c>
      <c r="AK4559">
        <v>20</v>
      </c>
      <c r="AL4559">
        <v>47</v>
      </c>
      <c r="AM4559" t="s">
        <v>43</v>
      </c>
      <c r="AN4559" t="str">
        <f>HYPERLINK("https://www.google.com/maps?q=10.8075304,79.82627106","Open Location")</f>
        <v>Open Location</v>
      </c>
    </row>
    <row r="4560" spans="1:40" x14ac:dyDescent="0.3">
      <c r="A4560" s="1">
        <v>46210.47152777778</v>
      </c>
      <c r="B4560" t="s">
        <v>40</v>
      </c>
      <c r="C4560" t="s">
        <v>41</v>
      </c>
      <c r="D4560" s="1">
        <v>46210.474560185183</v>
      </c>
      <c r="E4560" t="s">
        <v>42</v>
      </c>
      <c r="F4560" t="s">
        <v>83</v>
      </c>
      <c r="G4560">
        <v>29</v>
      </c>
      <c r="H4560">
        <v>33088</v>
      </c>
      <c r="I4560" t="s">
        <v>2592</v>
      </c>
      <c r="J4560">
        <v>58</v>
      </c>
      <c r="K4560">
        <v>21</v>
      </c>
      <c r="L4560">
        <v>98</v>
      </c>
      <c r="M4560">
        <v>628.09997558999999</v>
      </c>
      <c r="N4560" t="s">
        <v>87</v>
      </c>
      <c r="O4560" t="s">
        <v>86</v>
      </c>
      <c r="P4560">
        <v>130</v>
      </c>
      <c r="Q4560">
        <v>4</v>
      </c>
      <c r="R4560">
        <v>-53</v>
      </c>
      <c r="S4560">
        <v>1580</v>
      </c>
      <c r="T4560">
        <v>-40</v>
      </c>
      <c r="U4560">
        <v>48</v>
      </c>
      <c r="V4560">
        <v>0</v>
      </c>
      <c r="W4560">
        <v>30</v>
      </c>
      <c r="X4560">
        <v>30</v>
      </c>
      <c r="Y4560">
        <v>1</v>
      </c>
      <c r="Z4560">
        <v>1</v>
      </c>
      <c r="AA4560">
        <v>27</v>
      </c>
      <c r="AB4560">
        <v>7</v>
      </c>
      <c r="AC4560">
        <v>5</v>
      </c>
      <c r="AD4560">
        <v>3.2990000199999998</v>
      </c>
      <c r="AE4560">
        <v>4</v>
      </c>
      <c r="AF4560">
        <v>24</v>
      </c>
      <c r="AG4560">
        <v>3.2929999799999998</v>
      </c>
      <c r="AH4560">
        <v>6</v>
      </c>
      <c r="AI4560">
        <v>12</v>
      </c>
      <c r="AJ4560">
        <v>1</v>
      </c>
      <c r="AK4560">
        <v>20</v>
      </c>
      <c r="AL4560">
        <v>47</v>
      </c>
      <c r="AM4560" t="s">
        <v>43</v>
      </c>
      <c r="AN4560" t="str">
        <f>HYPERLINK("https://www.google.com/maps?q=10.80798626,79.82643127","Open Location")</f>
        <v>Open Location</v>
      </c>
    </row>
    <row r="4561" spans="1:40" x14ac:dyDescent="0.3">
      <c r="A4561" s="1">
        <v>46210.471412037034</v>
      </c>
      <c r="B4561" t="s">
        <v>40</v>
      </c>
      <c r="C4561" t="s">
        <v>41</v>
      </c>
      <c r="D4561" s="1">
        <v>46210.474409722221</v>
      </c>
      <c r="E4561" t="s">
        <v>42</v>
      </c>
      <c r="F4561" t="s">
        <v>83</v>
      </c>
      <c r="G4561">
        <v>32</v>
      </c>
      <c r="H4561" t="s">
        <v>43</v>
      </c>
      <c r="I4561" t="s">
        <v>2593</v>
      </c>
      <c r="J4561">
        <v>58</v>
      </c>
      <c r="K4561">
        <v>47</v>
      </c>
      <c r="L4561">
        <v>98</v>
      </c>
      <c r="M4561">
        <v>625.70001220999995</v>
      </c>
      <c r="N4561" t="s">
        <v>87</v>
      </c>
      <c r="O4561" t="s">
        <v>86</v>
      </c>
      <c r="P4561">
        <v>130</v>
      </c>
      <c r="Q4561" t="s">
        <v>43</v>
      </c>
      <c r="R4561">
        <v>36</v>
      </c>
      <c r="S4561">
        <v>1356</v>
      </c>
      <c r="T4561">
        <v>-40</v>
      </c>
      <c r="U4561">
        <v>49</v>
      </c>
      <c r="V4561">
        <v>220</v>
      </c>
      <c r="W4561" t="s">
        <v>43</v>
      </c>
      <c r="X4561" t="s">
        <v>43</v>
      </c>
      <c r="Y4561" t="s">
        <v>43</v>
      </c>
      <c r="Z4561" t="s">
        <v>43</v>
      </c>
      <c r="AA4561" t="s">
        <v>43</v>
      </c>
      <c r="AB4561" t="s">
        <v>43</v>
      </c>
      <c r="AC4561" t="s">
        <v>43</v>
      </c>
      <c r="AD4561" t="s">
        <v>43</v>
      </c>
      <c r="AE4561" t="s">
        <v>43</v>
      </c>
      <c r="AF4561" t="s">
        <v>43</v>
      </c>
      <c r="AG4561" t="s">
        <v>43</v>
      </c>
      <c r="AH4561" t="s">
        <v>43</v>
      </c>
      <c r="AI4561" t="s">
        <v>43</v>
      </c>
      <c r="AJ4561">
        <v>1</v>
      </c>
      <c r="AK4561">
        <v>19</v>
      </c>
      <c r="AL4561">
        <v>47</v>
      </c>
      <c r="AM4561" t="s">
        <v>43</v>
      </c>
      <c r="AN4561" t="str">
        <f>HYPERLINK("https://www.google.com/maps?q=10.80886459,79.82675171","Open Location")</f>
        <v>Open Location</v>
      </c>
    </row>
    <row r="4562" spans="1:40" x14ac:dyDescent="0.3">
      <c r="A4562" s="1">
        <v>46210.471296296295</v>
      </c>
      <c r="B4562" t="s">
        <v>40</v>
      </c>
      <c r="C4562" t="s">
        <v>41</v>
      </c>
      <c r="D4562" s="1">
        <v>46210.47415509259</v>
      </c>
      <c r="E4562" t="s">
        <v>42</v>
      </c>
      <c r="F4562" t="s">
        <v>83</v>
      </c>
      <c r="G4562">
        <v>32</v>
      </c>
      <c r="H4562" t="s">
        <v>43</v>
      </c>
      <c r="I4562" t="s">
        <v>43</v>
      </c>
      <c r="J4562">
        <v>58</v>
      </c>
      <c r="K4562">
        <v>88</v>
      </c>
      <c r="L4562">
        <v>98</v>
      </c>
      <c r="M4562">
        <v>624.40002441000001</v>
      </c>
      <c r="N4562" t="s">
        <v>87</v>
      </c>
      <c r="O4562" t="s">
        <v>86</v>
      </c>
      <c r="P4562">
        <v>130</v>
      </c>
      <c r="Q4562">
        <v>5</v>
      </c>
      <c r="R4562">
        <v>42</v>
      </c>
      <c r="S4562">
        <v>1454</v>
      </c>
      <c r="T4562">
        <v>-40</v>
      </c>
      <c r="U4562">
        <v>48</v>
      </c>
      <c r="V4562">
        <v>300</v>
      </c>
      <c r="W4562">
        <v>30</v>
      </c>
      <c r="X4562">
        <v>30</v>
      </c>
      <c r="Y4562">
        <v>1</v>
      </c>
      <c r="Z4562">
        <v>1</v>
      </c>
      <c r="AA4562">
        <v>27</v>
      </c>
      <c r="AB4562">
        <v>7</v>
      </c>
      <c r="AC4562">
        <v>5</v>
      </c>
      <c r="AD4562">
        <v>3.2579999000000002</v>
      </c>
      <c r="AE4562">
        <v>5</v>
      </c>
      <c r="AF4562">
        <v>38</v>
      </c>
      <c r="AG4562">
        <v>3.2490000700000001</v>
      </c>
      <c r="AH4562">
        <v>6</v>
      </c>
      <c r="AI4562">
        <v>24</v>
      </c>
      <c r="AJ4562">
        <v>1</v>
      </c>
      <c r="AK4562">
        <v>19</v>
      </c>
      <c r="AL4562">
        <v>47</v>
      </c>
      <c r="AM4562" t="s">
        <v>43</v>
      </c>
      <c r="AN4562" t="s">
        <v>43</v>
      </c>
    </row>
    <row r="4563" spans="1:40" x14ac:dyDescent="0.3">
      <c r="A4563" s="1">
        <v>46210.471180555556</v>
      </c>
      <c r="B4563" t="s">
        <v>40</v>
      </c>
      <c r="C4563" t="s">
        <v>41</v>
      </c>
      <c r="D4563" s="1">
        <v>46210.474062499998</v>
      </c>
      <c r="E4563" t="s">
        <v>42</v>
      </c>
      <c r="F4563" t="s">
        <v>83</v>
      </c>
      <c r="G4563">
        <v>33</v>
      </c>
      <c r="H4563">
        <v>33088</v>
      </c>
      <c r="I4563" t="s">
        <v>2594</v>
      </c>
      <c r="J4563">
        <v>58</v>
      </c>
      <c r="K4563">
        <v>69</v>
      </c>
      <c r="L4563">
        <v>98</v>
      </c>
      <c r="M4563">
        <v>624.5</v>
      </c>
      <c r="N4563" t="s">
        <v>87</v>
      </c>
      <c r="O4563" t="s">
        <v>86</v>
      </c>
      <c r="P4563">
        <v>130</v>
      </c>
      <c r="Q4563">
        <v>5</v>
      </c>
      <c r="R4563">
        <v>44</v>
      </c>
      <c r="S4563">
        <v>1457</v>
      </c>
      <c r="T4563">
        <v>-40</v>
      </c>
      <c r="U4563">
        <v>48</v>
      </c>
      <c r="V4563">
        <v>260</v>
      </c>
      <c r="W4563">
        <v>30</v>
      </c>
      <c r="X4563">
        <v>30</v>
      </c>
      <c r="Y4563">
        <v>1</v>
      </c>
      <c r="Z4563">
        <v>1</v>
      </c>
      <c r="AA4563">
        <v>27</v>
      </c>
      <c r="AB4563">
        <v>7</v>
      </c>
      <c r="AC4563">
        <v>5</v>
      </c>
      <c r="AD4563">
        <v>3.2599999899999998</v>
      </c>
      <c r="AE4563">
        <v>5</v>
      </c>
      <c r="AF4563">
        <v>38</v>
      </c>
      <c r="AG4563">
        <v>3.2520000900000001</v>
      </c>
      <c r="AH4563">
        <v>6</v>
      </c>
      <c r="AI4563">
        <v>24</v>
      </c>
      <c r="AJ4563">
        <v>1</v>
      </c>
      <c r="AK4563">
        <v>18</v>
      </c>
      <c r="AL4563">
        <v>47</v>
      </c>
      <c r="AM4563" t="s">
        <v>43</v>
      </c>
      <c r="AN4563" t="str">
        <f>HYPERLINK("https://www.google.com/maps?q=10.80977631,79.82710266","Open Location")</f>
        <v>Open Location</v>
      </c>
    </row>
    <row r="4564" spans="1:40" x14ac:dyDescent="0.3">
      <c r="A4564" s="1">
        <v>46210.471064814818</v>
      </c>
      <c r="B4564" t="s">
        <v>40</v>
      </c>
      <c r="C4564" t="s">
        <v>41</v>
      </c>
      <c r="D4564" s="1">
        <v>46210.47388888889</v>
      </c>
      <c r="E4564" t="s">
        <v>42</v>
      </c>
      <c r="F4564" t="s">
        <v>83</v>
      </c>
      <c r="G4564">
        <v>33</v>
      </c>
      <c r="H4564">
        <v>33088</v>
      </c>
      <c r="I4564" t="s">
        <v>2595</v>
      </c>
      <c r="J4564">
        <v>58</v>
      </c>
      <c r="K4564">
        <v>81</v>
      </c>
      <c r="L4564">
        <v>98</v>
      </c>
      <c r="M4564">
        <v>624.09997558999999</v>
      </c>
      <c r="N4564" t="s">
        <v>87</v>
      </c>
      <c r="O4564" t="s">
        <v>86</v>
      </c>
      <c r="P4564">
        <v>130</v>
      </c>
      <c r="Q4564">
        <v>5</v>
      </c>
      <c r="R4564">
        <v>44</v>
      </c>
      <c r="S4564">
        <v>1501</v>
      </c>
      <c r="T4564">
        <v>-40</v>
      </c>
      <c r="U4564">
        <v>48</v>
      </c>
      <c r="V4564">
        <v>300</v>
      </c>
      <c r="W4564">
        <v>30</v>
      </c>
      <c r="X4564">
        <v>30</v>
      </c>
      <c r="Y4564">
        <v>1</v>
      </c>
      <c r="Z4564">
        <v>1</v>
      </c>
      <c r="AA4564">
        <v>27</v>
      </c>
      <c r="AB4564">
        <v>7</v>
      </c>
      <c r="AC4564">
        <v>5</v>
      </c>
      <c r="AD4564">
        <v>3.2579999000000002</v>
      </c>
      <c r="AE4564">
        <v>5</v>
      </c>
      <c r="AF4564">
        <v>38</v>
      </c>
      <c r="AG4564">
        <v>3.2490000700000001</v>
      </c>
      <c r="AH4564">
        <v>6</v>
      </c>
      <c r="AI4564">
        <v>24</v>
      </c>
      <c r="AJ4564">
        <v>1</v>
      </c>
      <c r="AK4564">
        <v>19</v>
      </c>
      <c r="AL4564">
        <v>47</v>
      </c>
      <c r="AM4564" t="s">
        <v>43</v>
      </c>
      <c r="AN4564" t="str">
        <f>HYPERLINK("https://www.google.com/maps?q=10.81070423,79.82745361","Open Location")</f>
        <v>Open Location</v>
      </c>
    </row>
    <row r="4565" spans="1:40" x14ac:dyDescent="0.3">
      <c r="A4565" s="1">
        <v>46210.470949074072</v>
      </c>
      <c r="B4565" t="s">
        <v>40</v>
      </c>
      <c r="C4565" t="s">
        <v>41</v>
      </c>
      <c r="D4565" s="1">
        <v>46210.473958333336</v>
      </c>
      <c r="E4565" t="s">
        <v>42</v>
      </c>
      <c r="F4565" t="s">
        <v>83</v>
      </c>
      <c r="G4565">
        <v>34</v>
      </c>
      <c r="H4565" t="s">
        <v>43</v>
      </c>
      <c r="I4565" t="s">
        <v>2596</v>
      </c>
      <c r="J4565">
        <v>59</v>
      </c>
      <c r="K4565">
        <v>82</v>
      </c>
      <c r="L4565">
        <v>98</v>
      </c>
      <c r="M4565">
        <v>624.09997558999999</v>
      </c>
      <c r="N4565" t="s">
        <v>87</v>
      </c>
      <c r="O4565" t="s">
        <v>86</v>
      </c>
      <c r="P4565">
        <v>130</v>
      </c>
      <c r="Q4565">
        <v>5</v>
      </c>
      <c r="R4565">
        <v>38</v>
      </c>
      <c r="S4565">
        <v>1511</v>
      </c>
      <c r="T4565">
        <v>-40</v>
      </c>
      <c r="U4565">
        <v>48</v>
      </c>
      <c r="V4565">
        <v>300</v>
      </c>
      <c r="W4565">
        <v>30</v>
      </c>
      <c r="X4565">
        <v>30</v>
      </c>
      <c r="Y4565">
        <v>1</v>
      </c>
      <c r="Z4565">
        <v>1</v>
      </c>
      <c r="AA4565">
        <v>27</v>
      </c>
      <c r="AB4565">
        <v>7</v>
      </c>
      <c r="AC4565">
        <v>5</v>
      </c>
      <c r="AD4565">
        <v>3.2599999899999998</v>
      </c>
      <c r="AE4565">
        <v>5</v>
      </c>
      <c r="AF4565">
        <v>38</v>
      </c>
      <c r="AG4565">
        <v>3.25300002</v>
      </c>
      <c r="AH4565">
        <v>4</v>
      </c>
      <c r="AI4565">
        <v>24</v>
      </c>
      <c r="AJ4565">
        <v>1</v>
      </c>
      <c r="AK4565">
        <v>18</v>
      </c>
      <c r="AL4565">
        <v>47</v>
      </c>
      <c r="AM4565" t="s">
        <v>43</v>
      </c>
      <c r="AN4565" t="str">
        <f>HYPERLINK("https://www.google.com/maps?q=10.81172276,79.82784271","Open Location")</f>
        <v>Open Location</v>
      </c>
    </row>
    <row r="4566" spans="1:40" x14ac:dyDescent="0.3">
      <c r="A4566" s="1">
        <v>46210.470833333333</v>
      </c>
      <c r="B4566" t="s">
        <v>40</v>
      </c>
      <c r="C4566" t="s">
        <v>41</v>
      </c>
      <c r="D4566" s="1">
        <v>46210.473530092589</v>
      </c>
      <c r="E4566" t="s">
        <v>42</v>
      </c>
      <c r="F4566" t="s">
        <v>83</v>
      </c>
      <c r="G4566">
        <v>33</v>
      </c>
      <c r="H4566">
        <v>33088</v>
      </c>
      <c r="I4566" t="s">
        <v>2597</v>
      </c>
      <c r="J4566">
        <v>59</v>
      </c>
      <c r="K4566">
        <v>67</v>
      </c>
      <c r="L4566">
        <v>98</v>
      </c>
      <c r="M4566">
        <v>624.59997558999999</v>
      </c>
      <c r="N4566" t="s">
        <v>87</v>
      </c>
      <c r="O4566" t="s">
        <v>86</v>
      </c>
      <c r="P4566">
        <v>130</v>
      </c>
      <c r="Q4566">
        <v>5</v>
      </c>
      <c r="R4566">
        <v>44</v>
      </c>
      <c r="S4566">
        <v>1538</v>
      </c>
      <c r="T4566">
        <v>-40</v>
      </c>
      <c r="U4566">
        <v>48</v>
      </c>
      <c r="V4566">
        <v>240</v>
      </c>
      <c r="W4566">
        <v>30</v>
      </c>
      <c r="X4566">
        <v>30</v>
      </c>
      <c r="Y4566">
        <v>1</v>
      </c>
      <c r="Z4566">
        <v>1</v>
      </c>
      <c r="AA4566">
        <v>27</v>
      </c>
      <c r="AB4566">
        <v>7</v>
      </c>
      <c r="AC4566">
        <v>5</v>
      </c>
      <c r="AD4566">
        <v>3.25900006</v>
      </c>
      <c r="AE4566">
        <v>5</v>
      </c>
      <c r="AF4566">
        <v>38</v>
      </c>
      <c r="AG4566">
        <v>3.2509999299999999</v>
      </c>
      <c r="AH4566">
        <v>4</v>
      </c>
      <c r="AI4566">
        <v>24</v>
      </c>
      <c r="AJ4566">
        <v>1</v>
      </c>
      <c r="AK4566">
        <v>19</v>
      </c>
      <c r="AL4566">
        <v>47</v>
      </c>
      <c r="AM4566" t="s">
        <v>43</v>
      </c>
      <c r="AN4566" t="str">
        <f>HYPERLINK("https://www.google.com/maps?q=10.81268311,79.82820892","Open Location")</f>
        <v>Open Location</v>
      </c>
    </row>
    <row r="4567" spans="1:40" x14ac:dyDescent="0.3">
      <c r="A4567" s="1">
        <v>46210.470717592594</v>
      </c>
      <c r="B4567" t="s">
        <v>40</v>
      </c>
      <c r="C4567" t="s">
        <v>41</v>
      </c>
      <c r="D4567" s="1">
        <v>46210.473923611113</v>
      </c>
      <c r="E4567" t="s">
        <v>42</v>
      </c>
      <c r="F4567" t="s">
        <v>83</v>
      </c>
      <c r="G4567">
        <v>34</v>
      </c>
      <c r="H4567">
        <v>33087</v>
      </c>
      <c r="I4567" t="s">
        <v>2598</v>
      </c>
      <c r="J4567">
        <v>59</v>
      </c>
      <c r="K4567">
        <v>78</v>
      </c>
      <c r="L4567">
        <v>98</v>
      </c>
      <c r="M4567">
        <v>624.70001220999995</v>
      </c>
      <c r="N4567" t="s">
        <v>87</v>
      </c>
      <c r="O4567" t="s">
        <v>86</v>
      </c>
      <c r="P4567">
        <v>130</v>
      </c>
      <c r="Q4567" t="s">
        <v>43</v>
      </c>
      <c r="R4567">
        <v>42</v>
      </c>
      <c r="S4567">
        <v>1518</v>
      </c>
      <c r="T4567">
        <v>-40</v>
      </c>
      <c r="U4567">
        <v>48</v>
      </c>
      <c r="V4567">
        <v>280</v>
      </c>
      <c r="W4567" t="s">
        <v>43</v>
      </c>
      <c r="X4567" t="s">
        <v>43</v>
      </c>
      <c r="Y4567" t="s">
        <v>43</v>
      </c>
      <c r="Z4567" t="s">
        <v>43</v>
      </c>
      <c r="AA4567" t="s">
        <v>43</v>
      </c>
      <c r="AB4567" t="s">
        <v>43</v>
      </c>
      <c r="AC4567" t="s">
        <v>43</v>
      </c>
      <c r="AD4567">
        <v>3.2599999899999998</v>
      </c>
      <c r="AE4567">
        <v>5</v>
      </c>
      <c r="AF4567">
        <v>38</v>
      </c>
      <c r="AG4567">
        <v>3.2520000900000001</v>
      </c>
      <c r="AH4567">
        <v>4</v>
      </c>
      <c r="AI4567">
        <v>24</v>
      </c>
      <c r="AJ4567">
        <v>1</v>
      </c>
      <c r="AK4567">
        <v>19</v>
      </c>
      <c r="AL4567">
        <v>47</v>
      </c>
      <c r="AM4567" t="s">
        <v>43</v>
      </c>
      <c r="AN4567" t="str">
        <f>HYPERLINK("https://www.google.com/maps?q=10.81364059,79.8285675","Open Location")</f>
        <v>Open Location</v>
      </c>
    </row>
    <row r="4568" spans="1:40" x14ac:dyDescent="0.3">
      <c r="A4568" s="1">
        <v>46210.470601851855</v>
      </c>
      <c r="B4568" t="s">
        <v>40</v>
      </c>
      <c r="C4568" t="s">
        <v>41</v>
      </c>
      <c r="D4568" s="1">
        <v>46210.473333333335</v>
      </c>
      <c r="E4568" t="s">
        <v>42</v>
      </c>
      <c r="F4568" t="s">
        <v>83</v>
      </c>
      <c r="G4568">
        <v>34</v>
      </c>
      <c r="H4568">
        <v>33087</v>
      </c>
      <c r="I4568" t="s">
        <v>43</v>
      </c>
      <c r="J4568">
        <v>59</v>
      </c>
      <c r="K4568">
        <v>73</v>
      </c>
      <c r="L4568">
        <v>98</v>
      </c>
      <c r="M4568">
        <v>624.5</v>
      </c>
      <c r="N4568" t="s">
        <v>87</v>
      </c>
      <c r="O4568" t="s">
        <v>86</v>
      </c>
      <c r="P4568">
        <v>130</v>
      </c>
      <c r="Q4568">
        <v>5</v>
      </c>
      <c r="R4568">
        <v>39</v>
      </c>
      <c r="S4568">
        <v>1538</v>
      </c>
      <c r="T4568">
        <v>-40</v>
      </c>
      <c r="U4568">
        <v>48</v>
      </c>
      <c r="V4568">
        <v>260</v>
      </c>
      <c r="W4568">
        <v>30</v>
      </c>
      <c r="X4568">
        <v>30</v>
      </c>
      <c r="Y4568">
        <v>1</v>
      </c>
      <c r="Z4568">
        <v>1</v>
      </c>
      <c r="AA4568">
        <v>28</v>
      </c>
      <c r="AB4568">
        <v>2</v>
      </c>
      <c r="AC4568">
        <v>1</v>
      </c>
      <c r="AD4568">
        <v>3.2609999200000002</v>
      </c>
      <c r="AE4568">
        <v>5</v>
      </c>
      <c r="AF4568">
        <v>38</v>
      </c>
      <c r="AG4568">
        <v>3.2539999499999999</v>
      </c>
      <c r="AH4568">
        <v>6</v>
      </c>
      <c r="AI4568">
        <v>24</v>
      </c>
      <c r="AJ4568">
        <v>1</v>
      </c>
      <c r="AK4568">
        <v>19</v>
      </c>
      <c r="AL4568">
        <v>47</v>
      </c>
      <c r="AM4568" t="s">
        <v>43</v>
      </c>
      <c r="AN4568" t="s">
        <v>43</v>
      </c>
    </row>
    <row r="4569" spans="1:40" x14ac:dyDescent="0.3">
      <c r="A4569" s="1">
        <v>46210.470486111109</v>
      </c>
      <c r="B4569" t="s">
        <v>40</v>
      </c>
      <c r="C4569" t="s">
        <v>41</v>
      </c>
      <c r="D4569" s="1">
        <v>46210.473298611112</v>
      </c>
      <c r="E4569" t="s">
        <v>42</v>
      </c>
      <c r="F4569" t="s">
        <v>83</v>
      </c>
      <c r="G4569">
        <v>33</v>
      </c>
      <c r="H4569">
        <v>33087</v>
      </c>
      <c r="I4569" t="s">
        <v>2599</v>
      </c>
      <c r="J4569">
        <v>59</v>
      </c>
      <c r="K4569">
        <v>68</v>
      </c>
      <c r="L4569">
        <v>98</v>
      </c>
      <c r="M4569">
        <v>624.5</v>
      </c>
      <c r="N4569" t="s">
        <v>87</v>
      </c>
      <c r="O4569" t="s">
        <v>86</v>
      </c>
      <c r="P4569">
        <v>130</v>
      </c>
      <c r="Q4569">
        <v>5</v>
      </c>
      <c r="R4569">
        <v>31</v>
      </c>
      <c r="S4569">
        <v>1559</v>
      </c>
      <c r="T4569">
        <v>-40</v>
      </c>
      <c r="U4569">
        <v>48</v>
      </c>
      <c r="V4569">
        <v>240</v>
      </c>
      <c r="W4569">
        <v>30</v>
      </c>
      <c r="X4569">
        <v>30</v>
      </c>
      <c r="Y4569">
        <v>1</v>
      </c>
      <c r="Z4569">
        <v>1</v>
      </c>
      <c r="AA4569">
        <v>28</v>
      </c>
      <c r="AB4569">
        <v>2</v>
      </c>
      <c r="AC4569">
        <v>2</v>
      </c>
      <c r="AD4569">
        <v>3.2609999200000002</v>
      </c>
      <c r="AE4569">
        <v>5</v>
      </c>
      <c r="AF4569">
        <v>38</v>
      </c>
      <c r="AG4569">
        <v>3.2539999499999999</v>
      </c>
      <c r="AH4569">
        <v>4</v>
      </c>
      <c r="AI4569">
        <v>24</v>
      </c>
      <c r="AJ4569">
        <v>1</v>
      </c>
      <c r="AK4569">
        <v>19</v>
      </c>
      <c r="AL4569">
        <v>47</v>
      </c>
      <c r="AM4569" t="s">
        <v>43</v>
      </c>
      <c r="AN4569" t="str">
        <f>HYPERLINK("https://www.google.com/maps?q=10.81451702,79.82911682","Open Location")</f>
        <v>Open Location</v>
      </c>
    </row>
    <row r="4570" spans="1:40" x14ac:dyDescent="0.3">
      <c r="A4570" s="1">
        <v>46210.470370370371</v>
      </c>
      <c r="B4570" t="s">
        <v>40</v>
      </c>
      <c r="C4570" t="s">
        <v>41</v>
      </c>
      <c r="D4570" s="1">
        <v>46210.472974537035</v>
      </c>
      <c r="E4570" t="s">
        <v>42</v>
      </c>
      <c r="F4570" t="s">
        <v>83</v>
      </c>
      <c r="G4570">
        <v>31</v>
      </c>
      <c r="H4570">
        <v>33087</v>
      </c>
      <c r="I4570" t="s">
        <v>2600</v>
      </c>
      <c r="J4570">
        <v>59</v>
      </c>
      <c r="K4570">
        <v>55</v>
      </c>
      <c r="L4570">
        <v>98</v>
      </c>
      <c r="M4570">
        <v>625.59997558999999</v>
      </c>
      <c r="N4570" t="s">
        <v>87</v>
      </c>
      <c r="O4570" t="s">
        <v>86</v>
      </c>
      <c r="P4570">
        <v>130</v>
      </c>
      <c r="Q4570">
        <v>5</v>
      </c>
      <c r="R4570">
        <v>30</v>
      </c>
      <c r="S4570">
        <v>1501</v>
      </c>
      <c r="T4570">
        <v>-40</v>
      </c>
      <c r="U4570">
        <v>48</v>
      </c>
      <c r="V4570">
        <v>200</v>
      </c>
      <c r="W4570">
        <v>30</v>
      </c>
      <c r="X4570">
        <v>30</v>
      </c>
      <c r="Y4570">
        <v>1</v>
      </c>
      <c r="Z4570">
        <v>1</v>
      </c>
      <c r="AA4570">
        <v>28</v>
      </c>
      <c r="AB4570">
        <v>2</v>
      </c>
      <c r="AC4570">
        <v>2</v>
      </c>
      <c r="AD4570">
        <v>3.2630000099999998</v>
      </c>
      <c r="AE4570">
        <v>5</v>
      </c>
      <c r="AF4570">
        <v>38</v>
      </c>
      <c r="AG4570">
        <v>3.25600004</v>
      </c>
      <c r="AH4570">
        <v>4</v>
      </c>
      <c r="AI4570">
        <v>24</v>
      </c>
      <c r="AJ4570">
        <v>1</v>
      </c>
      <c r="AK4570">
        <v>19</v>
      </c>
      <c r="AL4570">
        <v>47</v>
      </c>
      <c r="AM4570" t="s">
        <v>43</v>
      </c>
      <c r="AN4570" t="str">
        <f>HYPERLINK("https://www.google.com/maps?q=10.81519699,79.82988739","Open Location")</f>
        <v>Open Location</v>
      </c>
    </row>
    <row r="4571" spans="1:40" x14ac:dyDescent="0.3">
      <c r="A4571" s="1">
        <v>46210.470254629632</v>
      </c>
      <c r="B4571" t="s">
        <v>40</v>
      </c>
      <c r="C4571" t="s">
        <v>41</v>
      </c>
      <c r="D4571" s="1">
        <v>46210.472974537035</v>
      </c>
      <c r="E4571" t="s">
        <v>42</v>
      </c>
      <c r="F4571" t="s">
        <v>83</v>
      </c>
      <c r="G4571">
        <v>28</v>
      </c>
      <c r="H4571">
        <v>33087</v>
      </c>
      <c r="I4571" t="s">
        <v>2601</v>
      </c>
      <c r="J4571">
        <v>59</v>
      </c>
      <c r="K4571">
        <v>53</v>
      </c>
      <c r="L4571">
        <v>98</v>
      </c>
      <c r="M4571">
        <v>625.5</v>
      </c>
      <c r="N4571" t="s">
        <v>87</v>
      </c>
      <c r="O4571" t="s">
        <v>86</v>
      </c>
      <c r="P4571">
        <v>130</v>
      </c>
      <c r="Q4571">
        <v>5</v>
      </c>
      <c r="R4571">
        <v>38</v>
      </c>
      <c r="S4571">
        <v>1403</v>
      </c>
      <c r="T4571">
        <v>-40</v>
      </c>
      <c r="U4571">
        <v>48</v>
      </c>
      <c r="V4571">
        <v>200</v>
      </c>
      <c r="W4571">
        <v>31</v>
      </c>
      <c r="X4571">
        <v>31</v>
      </c>
      <c r="Y4571">
        <v>5</v>
      </c>
      <c r="Z4571">
        <v>3</v>
      </c>
      <c r="AA4571">
        <v>28</v>
      </c>
      <c r="AB4571">
        <v>2</v>
      </c>
      <c r="AC4571">
        <v>2</v>
      </c>
      <c r="AD4571">
        <v>3.25900006</v>
      </c>
      <c r="AE4571">
        <v>5</v>
      </c>
      <c r="AF4571">
        <v>38</v>
      </c>
      <c r="AG4571">
        <v>3.2509999299999999</v>
      </c>
      <c r="AH4571">
        <v>4</v>
      </c>
      <c r="AI4571">
        <v>17</v>
      </c>
      <c r="AJ4571">
        <v>1</v>
      </c>
      <c r="AK4571">
        <v>19</v>
      </c>
      <c r="AL4571">
        <v>47</v>
      </c>
      <c r="AM4571" t="s">
        <v>43</v>
      </c>
      <c r="AN4571" t="str">
        <f>HYPERLINK("https://www.google.com/maps?q=10.81579971,79.83061981","Open Location")</f>
        <v>Open Location</v>
      </c>
    </row>
    <row r="4572" spans="1:40" x14ac:dyDescent="0.3">
      <c r="A4572" s="1">
        <v>46210.470138888886</v>
      </c>
      <c r="B4572" t="s">
        <v>40</v>
      </c>
      <c r="C4572" t="s">
        <v>41</v>
      </c>
      <c r="D4572" s="1">
        <v>46210.47278935185</v>
      </c>
      <c r="E4572" t="s">
        <v>42</v>
      </c>
      <c r="F4572" t="s">
        <v>83</v>
      </c>
      <c r="G4572">
        <v>26</v>
      </c>
      <c r="H4572">
        <v>33087</v>
      </c>
      <c r="I4572" t="s">
        <v>2602</v>
      </c>
      <c r="J4572">
        <v>59</v>
      </c>
      <c r="K4572">
        <v>87</v>
      </c>
      <c r="L4572">
        <v>98</v>
      </c>
      <c r="M4572">
        <v>623.90002441000001</v>
      </c>
      <c r="N4572" t="s">
        <v>87</v>
      </c>
      <c r="O4572" t="s">
        <v>86</v>
      </c>
      <c r="P4572">
        <v>130</v>
      </c>
      <c r="Q4572">
        <v>5</v>
      </c>
      <c r="R4572">
        <v>30</v>
      </c>
      <c r="S4572">
        <v>1271</v>
      </c>
      <c r="T4572">
        <v>-40</v>
      </c>
      <c r="U4572">
        <v>48</v>
      </c>
      <c r="V4572">
        <v>340</v>
      </c>
      <c r="W4572">
        <v>31</v>
      </c>
      <c r="X4572">
        <v>31</v>
      </c>
      <c r="Y4572">
        <v>5</v>
      </c>
      <c r="Z4572">
        <v>3</v>
      </c>
      <c r="AA4572">
        <v>28</v>
      </c>
      <c r="AB4572">
        <v>2</v>
      </c>
      <c r="AC4572">
        <v>2</v>
      </c>
      <c r="AD4572">
        <v>3.25600004</v>
      </c>
      <c r="AE4572">
        <v>5</v>
      </c>
      <c r="AF4572">
        <v>38</v>
      </c>
      <c r="AG4572">
        <v>3.24699998</v>
      </c>
      <c r="AH4572">
        <v>4</v>
      </c>
      <c r="AI4572">
        <v>17</v>
      </c>
      <c r="AJ4572">
        <v>1</v>
      </c>
      <c r="AK4572">
        <v>19</v>
      </c>
      <c r="AL4572">
        <v>47</v>
      </c>
      <c r="AM4572" t="s">
        <v>43</v>
      </c>
      <c r="AN4572" t="str">
        <f>HYPERLINK("https://www.google.com/maps?q=10.81649876,79.83119965","Open Location")</f>
        <v>Open Location</v>
      </c>
    </row>
    <row r="4573" spans="1:40" x14ac:dyDescent="0.3">
      <c r="A4573" s="1">
        <v>46210.470023148147</v>
      </c>
      <c r="B4573" t="s">
        <v>40</v>
      </c>
      <c r="C4573" t="s">
        <v>41</v>
      </c>
      <c r="D4573" s="1">
        <v>46210.472812499997</v>
      </c>
      <c r="E4573" t="s">
        <v>42</v>
      </c>
      <c r="F4573" t="s">
        <v>83</v>
      </c>
      <c r="G4573">
        <v>27</v>
      </c>
      <c r="H4573" t="s">
        <v>43</v>
      </c>
      <c r="I4573" t="s">
        <v>2603</v>
      </c>
      <c r="J4573">
        <v>59</v>
      </c>
      <c r="K4573">
        <v>64</v>
      </c>
      <c r="L4573">
        <v>98</v>
      </c>
      <c r="M4573">
        <v>624.59997558999999</v>
      </c>
      <c r="N4573" t="s">
        <v>87</v>
      </c>
      <c r="O4573" t="s">
        <v>86</v>
      </c>
      <c r="P4573">
        <v>130</v>
      </c>
      <c r="Q4573">
        <v>5</v>
      </c>
      <c r="R4573">
        <v>46</v>
      </c>
      <c r="S4573">
        <v>1218</v>
      </c>
      <c r="T4573">
        <v>-40</v>
      </c>
      <c r="U4573">
        <v>49</v>
      </c>
      <c r="V4573">
        <v>240</v>
      </c>
      <c r="W4573" t="s">
        <v>43</v>
      </c>
      <c r="X4573" t="s">
        <v>43</v>
      </c>
      <c r="Y4573" t="s">
        <v>43</v>
      </c>
      <c r="Z4573" t="s">
        <v>43</v>
      </c>
      <c r="AA4573" t="s">
        <v>43</v>
      </c>
      <c r="AB4573" t="s">
        <v>43</v>
      </c>
      <c r="AC4573" t="s">
        <v>43</v>
      </c>
      <c r="AD4573">
        <v>3.25900006</v>
      </c>
      <c r="AE4573">
        <v>5</v>
      </c>
      <c r="AF4573">
        <v>38</v>
      </c>
      <c r="AG4573">
        <v>3.2509999299999999</v>
      </c>
      <c r="AH4573">
        <v>4</v>
      </c>
      <c r="AI4573">
        <v>17</v>
      </c>
      <c r="AJ4573">
        <v>1</v>
      </c>
      <c r="AK4573">
        <v>19</v>
      </c>
      <c r="AL4573">
        <v>47</v>
      </c>
      <c r="AM4573" t="s">
        <v>43</v>
      </c>
      <c r="AN4573" t="str">
        <f>HYPERLINK("https://www.google.com/maps?q=10.81722736,79.83156586","Open Location")</f>
        <v>Open Location</v>
      </c>
    </row>
    <row r="4574" spans="1:40" x14ac:dyDescent="0.3">
      <c r="A4574" s="1">
        <v>46210.469907407409</v>
      </c>
      <c r="B4574" t="s">
        <v>40</v>
      </c>
      <c r="C4574" t="s">
        <v>41</v>
      </c>
      <c r="D4574" s="1">
        <v>46210.472673611112</v>
      </c>
      <c r="E4574" t="s">
        <v>42</v>
      </c>
      <c r="F4574" t="s">
        <v>83</v>
      </c>
      <c r="G4574">
        <v>25</v>
      </c>
      <c r="H4574">
        <v>33087</v>
      </c>
      <c r="I4574" t="s">
        <v>43</v>
      </c>
      <c r="J4574">
        <v>59</v>
      </c>
      <c r="K4574">
        <v>110</v>
      </c>
      <c r="L4574">
        <v>98</v>
      </c>
      <c r="M4574">
        <v>623.40002441000001</v>
      </c>
      <c r="N4574" t="s">
        <v>87</v>
      </c>
      <c r="O4574" t="s">
        <v>86</v>
      </c>
      <c r="P4574">
        <v>130</v>
      </c>
      <c r="Q4574">
        <v>5</v>
      </c>
      <c r="R4574">
        <v>45</v>
      </c>
      <c r="S4574">
        <v>1225</v>
      </c>
      <c r="T4574">
        <v>-40</v>
      </c>
      <c r="U4574">
        <v>48</v>
      </c>
      <c r="V4574">
        <v>460</v>
      </c>
      <c r="W4574">
        <v>31</v>
      </c>
      <c r="X4574">
        <v>31</v>
      </c>
      <c r="Y4574">
        <v>5</v>
      </c>
      <c r="Z4574">
        <v>3</v>
      </c>
      <c r="AA4574">
        <v>28</v>
      </c>
      <c r="AB4574">
        <v>2</v>
      </c>
      <c r="AC4574">
        <v>2</v>
      </c>
      <c r="AD4574">
        <v>3.2579999000000002</v>
      </c>
      <c r="AE4574">
        <v>5</v>
      </c>
      <c r="AF4574">
        <v>38</v>
      </c>
      <c r="AG4574">
        <v>3.2490000700000001</v>
      </c>
      <c r="AH4574">
        <v>4</v>
      </c>
      <c r="AI4574">
        <v>24</v>
      </c>
      <c r="AJ4574">
        <v>1</v>
      </c>
      <c r="AK4574">
        <v>19</v>
      </c>
      <c r="AL4574">
        <v>47</v>
      </c>
      <c r="AM4574" t="s">
        <v>43</v>
      </c>
      <c r="AN4574" t="s">
        <v>43</v>
      </c>
    </row>
    <row r="4575" spans="1:40" x14ac:dyDescent="0.3">
      <c r="A4575" s="1">
        <v>46210.46979166667</v>
      </c>
      <c r="B4575" t="s">
        <v>40</v>
      </c>
      <c r="C4575" t="s">
        <v>41</v>
      </c>
      <c r="D4575" s="1">
        <v>46210.472673611112</v>
      </c>
      <c r="E4575" t="s">
        <v>42</v>
      </c>
      <c r="F4575" t="s">
        <v>83</v>
      </c>
      <c r="G4575">
        <v>23</v>
      </c>
      <c r="H4575">
        <v>33087</v>
      </c>
      <c r="I4575" t="s">
        <v>2604</v>
      </c>
      <c r="J4575">
        <v>59</v>
      </c>
      <c r="K4575">
        <v>46</v>
      </c>
      <c r="L4575">
        <v>98</v>
      </c>
      <c r="M4575">
        <v>625.20001220999995</v>
      </c>
      <c r="N4575" t="s">
        <v>87</v>
      </c>
      <c r="O4575" t="s">
        <v>86</v>
      </c>
      <c r="P4575">
        <v>130</v>
      </c>
      <c r="Q4575">
        <v>5</v>
      </c>
      <c r="R4575">
        <v>51</v>
      </c>
      <c r="S4575">
        <v>1119</v>
      </c>
      <c r="T4575">
        <v>-40</v>
      </c>
      <c r="U4575">
        <v>48</v>
      </c>
      <c r="V4575">
        <v>258</v>
      </c>
      <c r="W4575">
        <v>31</v>
      </c>
      <c r="X4575">
        <v>31</v>
      </c>
      <c r="Y4575">
        <v>5</v>
      </c>
      <c r="Z4575">
        <v>3</v>
      </c>
      <c r="AA4575">
        <v>28</v>
      </c>
      <c r="AB4575">
        <v>2</v>
      </c>
      <c r="AC4575">
        <v>2</v>
      </c>
      <c r="AD4575">
        <v>3.2579999000000002</v>
      </c>
      <c r="AE4575">
        <v>5</v>
      </c>
      <c r="AF4575">
        <v>38</v>
      </c>
      <c r="AG4575">
        <v>3.2490000700000001</v>
      </c>
      <c r="AH4575">
        <v>4</v>
      </c>
      <c r="AI4575">
        <v>24</v>
      </c>
      <c r="AJ4575">
        <v>1</v>
      </c>
      <c r="AK4575">
        <v>19</v>
      </c>
      <c r="AL4575">
        <v>47</v>
      </c>
      <c r="AM4575" t="s">
        <v>43</v>
      </c>
      <c r="AN4575" t="str">
        <f>HYPERLINK("https://www.google.com/maps?q=10.81792736,79.83190155","Open Location")</f>
        <v>Open Location</v>
      </c>
    </row>
    <row r="4576" spans="1:40" x14ac:dyDescent="0.3">
      <c r="A4576" s="1">
        <v>46210.469675925924</v>
      </c>
      <c r="B4576" t="s">
        <v>40</v>
      </c>
      <c r="C4576" t="s">
        <v>41</v>
      </c>
      <c r="D4576" s="1">
        <v>46210.472615740742</v>
      </c>
      <c r="E4576" t="s">
        <v>42</v>
      </c>
      <c r="F4576" t="s">
        <v>83</v>
      </c>
      <c r="G4576">
        <v>24</v>
      </c>
      <c r="H4576">
        <v>33087</v>
      </c>
      <c r="I4576" t="s">
        <v>2605</v>
      </c>
      <c r="J4576">
        <v>59</v>
      </c>
      <c r="K4576">
        <v>49</v>
      </c>
      <c r="L4576">
        <v>98</v>
      </c>
      <c r="M4576">
        <v>625.59997558999999</v>
      </c>
      <c r="N4576" t="s">
        <v>87</v>
      </c>
      <c r="O4576" t="s">
        <v>86</v>
      </c>
      <c r="P4576">
        <v>130</v>
      </c>
      <c r="Q4576">
        <v>5</v>
      </c>
      <c r="R4576">
        <v>27</v>
      </c>
      <c r="S4576">
        <v>1064</v>
      </c>
      <c r="T4576">
        <v>-40</v>
      </c>
      <c r="U4576">
        <v>47</v>
      </c>
      <c r="V4576">
        <v>240</v>
      </c>
      <c r="W4576">
        <v>31</v>
      </c>
      <c r="X4576">
        <v>31</v>
      </c>
      <c r="Y4576">
        <v>5</v>
      </c>
      <c r="Z4576">
        <v>3</v>
      </c>
      <c r="AA4576">
        <v>28</v>
      </c>
      <c r="AB4576">
        <v>2</v>
      </c>
      <c r="AC4576">
        <v>2</v>
      </c>
      <c r="AD4576">
        <v>3.2690000499999998</v>
      </c>
      <c r="AE4576">
        <v>1</v>
      </c>
      <c r="AF4576">
        <v>16</v>
      </c>
      <c r="AG4576">
        <v>3.2630000099999998</v>
      </c>
      <c r="AH4576">
        <v>6</v>
      </c>
      <c r="AI4576">
        <v>24</v>
      </c>
      <c r="AJ4576">
        <v>1</v>
      </c>
      <c r="AK4576">
        <v>19</v>
      </c>
      <c r="AL4576">
        <v>47</v>
      </c>
      <c r="AM4576" t="s">
        <v>43</v>
      </c>
      <c r="AN4576" t="str">
        <f>HYPERLINK("https://www.google.com/maps?q=10.81857014,79.83221436","Open Location")</f>
        <v>Open Location</v>
      </c>
    </row>
    <row r="4577" spans="1:40" x14ac:dyDescent="0.3">
      <c r="A4577" s="1">
        <v>46210.469560185185</v>
      </c>
      <c r="B4577" t="s">
        <v>40</v>
      </c>
      <c r="C4577" t="s">
        <v>41</v>
      </c>
      <c r="D4577" s="1">
        <v>46210.472615740742</v>
      </c>
      <c r="E4577" t="s">
        <v>42</v>
      </c>
      <c r="F4577" t="s">
        <v>83</v>
      </c>
      <c r="G4577">
        <v>25</v>
      </c>
      <c r="H4577" t="s">
        <v>43</v>
      </c>
      <c r="I4577" t="s">
        <v>2606</v>
      </c>
      <c r="J4577">
        <v>59</v>
      </c>
      <c r="K4577">
        <v>38</v>
      </c>
      <c r="L4577">
        <v>98</v>
      </c>
      <c r="M4577">
        <v>625.70001220999995</v>
      </c>
      <c r="N4577" t="s">
        <v>87</v>
      </c>
      <c r="O4577" t="s">
        <v>86</v>
      </c>
      <c r="P4577">
        <v>130</v>
      </c>
      <c r="Q4577">
        <v>5</v>
      </c>
      <c r="R4577">
        <v>12</v>
      </c>
      <c r="S4577">
        <v>1085</v>
      </c>
      <c r="T4577">
        <v>-40</v>
      </c>
      <c r="U4577">
        <v>48</v>
      </c>
      <c r="V4577">
        <v>180</v>
      </c>
      <c r="W4577">
        <v>31</v>
      </c>
      <c r="X4577">
        <v>31</v>
      </c>
      <c r="Y4577">
        <v>5</v>
      </c>
      <c r="Z4577">
        <v>3</v>
      </c>
      <c r="AA4577">
        <v>28</v>
      </c>
      <c r="AB4577">
        <v>2</v>
      </c>
      <c r="AC4577">
        <v>2</v>
      </c>
      <c r="AD4577">
        <v>3.2669999600000001</v>
      </c>
      <c r="AE4577">
        <v>5</v>
      </c>
      <c r="AF4577">
        <v>38</v>
      </c>
      <c r="AG4577">
        <v>3.2609999200000002</v>
      </c>
      <c r="AH4577">
        <v>4</v>
      </c>
      <c r="AI4577">
        <v>24</v>
      </c>
      <c r="AJ4577">
        <v>1</v>
      </c>
      <c r="AK4577">
        <v>19</v>
      </c>
      <c r="AL4577">
        <v>47</v>
      </c>
      <c r="AM4577" t="s">
        <v>43</v>
      </c>
      <c r="AN4577" t="str">
        <f>HYPERLINK("https://www.google.com/maps?q=10.81923199,79.83253479","Open Location")</f>
        <v>Open Location</v>
      </c>
    </row>
    <row r="4578" spans="1:40" x14ac:dyDescent="0.3">
      <c r="A4578" s="1">
        <v>46210.469444444447</v>
      </c>
      <c r="B4578" t="s">
        <v>40</v>
      </c>
      <c r="C4578" t="s">
        <v>41</v>
      </c>
      <c r="D4578" s="1">
        <v>46210.472210648149</v>
      </c>
      <c r="E4578" t="s">
        <v>42</v>
      </c>
      <c r="F4578" t="s">
        <v>83</v>
      </c>
      <c r="G4578">
        <v>25</v>
      </c>
      <c r="H4578">
        <v>33087</v>
      </c>
      <c r="I4578" t="s">
        <v>2607</v>
      </c>
      <c r="J4578">
        <v>59</v>
      </c>
      <c r="K4578">
        <v>40</v>
      </c>
      <c r="L4578">
        <v>98</v>
      </c>
      <c r="M4578">
        <v>625.5</v>
      </c>
      <c r="N4578" t="s">
        <v>87</v>
      </c>
      <c r="O4578" t="s">
        <v>86</v>
      </c>
      <c r="P4578">
        <v>130</v>
      </c>
      <c r="Q4578">
        <v>5</v>
      </c>
      <c r="R4578">
        <v>36</v>
      </c>
      <c r="S4578">
        <v>1151</v>
      </c>
      <c r="T4578">
        <v>-40</v>
      </c>
      <c r="U4578">
        <v>48</v>
      </c>
      <c r="V4578">
        <v>180</v>
      </c>
      <c r="W4578">
        <v>31</v>
      </c>
      <c r="X4578">
        <v>31</v>
      </c>
      <c r="Y4578">
        <v>5</v>
      </c>
      <c r="Z4578">
        <v>3</v>
      </c>
      <c r="AA4578">
        <v>28</v>
      </c>
      <c r="AB4578">
        <v>2</v>
      </c>
      <c r="AC4578">
        <v>2</v>
      </c>
      <c r="AD4578">
        <v>3.2609999200000002</v>
      </c>
      <c r="AE4578">
        <v>5</v>
      </c>
      <c r="AF4578">
        <v>38</v>
      </c>
      <c r="AG4578">
        <v>3.25300002</v>
      </c>
      <c r="AH4578">
        <v>6</v>
      </c>
      <c r="AI4578">
        <v>24</v>
      </c>
      <c r="AJ4578">
        <v>1</v>
      </c>
      <c r="AK4578">
        <v>19</v>
      </c>
      <c r="AL4578">
        <v>47</v>
      </c>
      <c r="AM4578" t="s">
        <v>43</v>
      </c>
      <c r="AN4578" t="str">
        <f>HYPERLINK("https://www.google.com/maps?q=10.81992054,79.83287811","Open Location")</f>
        <v>Open Location</v>
      </c>
    </row>
    <row r="4579" spans="1:40" x14ac:dyDescent="0.3">
      <c r="A4579" s="1">
        <v>46210.469328703701</v>
      </c>
      <c r="B4579" t="s">
        <v>40</v>
      </c>
      <c r="C4579" t="s">
        <v>41</v>
      </c>
      <c r="D4579" s="1">
        <v>46210.472233796296</v>
      </c>
      <c r="E4579" t="s">
        <v>42</v>
      </c>
      <c r="F4579" t="s">
        <v>83</v>
      </c>
      <c r="G4579">
        <v>24</v>
      </c>
      <c r="H4579">
        <v>33087</v>
      </c>
      <c r="I4579" t="s">
        <v>43</v>
      </c>
      <c r="J4579">
        <v>59</v>
      </c>
      <c r="K4579">
        <v>79</v>
      </c>
      <c r="L4579">
        <v>98</v>
      </c>
      <c r="M4579">
        <v>623.90002441000001</v>
      </c>
      <c r="N4579" t="s">
        <v>87</v>
      </c>
      <c r="O4579" t="s">
        <v>86</v>
      </c>
      <c r="P4579">
        <v>130</v>
      </c>
      <c r="Q4579" t="s">
        <v>43</v>
      </c>
      <c r="R4579">
        <v>18</v>
      </c>
      <c r="S4579">
        <v>1148</v>
      </c>
      <c r="T4579">
        <v>-40</v>
      </c>
      <c r="U4579">
        <v>48</v>
      </c>
      <c r="V4579">
        <v>380</v>
      </c>
      <c r="W4579" t="s">
        <v>43</v>
      </c>
      <c r="X4579" t="s">
        <v>43</v>
      </c>
      <c r="Y4579" t="s">
        <v>43</v>
      </c>
      <c r="Z4579" t="s">
        <v>43</v>
      </c>
      <c r="AA4579" t="s">
        <v>43</v>
      </c>
      <c r="AB4579" t="s">
        <v>43</v>
      </c>
      <c r="AC4579" t="s">
        <v>43</v>
      </c>
      <c r="AD4579">
        <v>3.2660000299999998</v>
      </c>
      <c r="AE4579">
        <v>5</v>
      </c>
      <c r="AF4579">
        <v>38</v>
      </c>
      <c r="AG4579">
        <v>3.25900006</v>
      </c>
      <c r="AH4579">
        <v>6</v>
      </c>
      <c r="AI4579">
        <v>24</v>
      </c>
      <c r="AJ4579">
        <v>1</v>
      </c>
      <c r="AK4579">
        <v>19</v>
      </c>
      <c r="AL4579">
        <v>47</v>
      </c>
      <c r="AM4579" t="s">
        <v>43</v>
      </c>
      <c r="AN4579" t="s">
        <v>43</v>
      </c>
    </row>
    <row r="4580" spans="1:40" x14ac:dyDescent="0.3">
      <c r="A4580" s="1">
        <v>46210.469212962962</v>
      </c>
      <c r="B4580" t="s">
        <v>40</v>
      </c>
      <c r="C4580" t="s">
        <v>41</v>
      </c>
      <c r="D4580" s="1">
        <v>46210.471956018519</v>
      </c>
      <c r="E4580" t="s">
        <v>42</v>
      </c>
      <c r="F4580" t="s">
        <v>83</v>
      </c>
      <c r="G4580">
        <v>25</v>
      </c>
      <c r="H4580">
        <v>33087</v>
      </c>
      <c r="I4580" t="s">
        <v>2608</v>
      </c>
      <c r="J4580">
        <v>59</v>
      </c>
      <c r="K4580">
        <v>27</v>
      </c>
      <c r="L4580">
        <v>98</v>
      </c>
      <c r="M4580">
        <v>626</v>
      </c>
      <c r="N4580" t="s">
        <v>87</v>
      </c>
      <c r="O4580" t="s">
        <v>86</v>
      </c>
      <c r="P4580">
        <v>130</v>
      </c>
      <c r="Q4580">
        <v>5</v>
      </c>
      <c r="R4580">
        <v>36</v>
      </c>
      <c r="S4580">
        <v>1144</v>
      </c>
      <c r="T4580">
        <v>-40</v>
      </c>
      <c r="U4580">
        <v>48</v>
      </c>
      <c r="V4580">
        <v>100</v>
      </c>
      <c r="W4580">
        <v>31</v>
      </c>
      <c r="X4580">
        <v>31</v>
      </c>
      <c r="Y4580">
        <v>5</v>
      </c>
      <c r="Z4580">
        <v>3</v>
      </c>
      <c r="AA4580">
        <v>28</v>
      </c>
      <c r="AB4580">
        <v>2</v>
      </c>
      <c r="AC4580">
        <v>2</v>
      </c>
      <c r="AD4580">
        <v>3.25900006</v>
      </c>
      <c r="AE4580">
        <v>1</v>
      </c>
      <c r="AF4580">
        <v>16</v>
      </c>
      <c r="AG4580">
        <v>3.2509999299999999</v>
      </c>
      <c r="AH4580">
        <v>6</v>
      </c>
      <c r="AI4580">
        <v>24</v>
      </c>
      <c r="AJ4580">
        <v>1</v>
      </c>
      <c r="AK4580">
        <v>19</v>
      </c>
      <c r="AL4580">
        <v>47</v>
      </c>
      <c r="AM4580" t="s">
        <v>43</v>
      </c>
      <c r="AN4580" t="str">
        <f>HYPERLINK("https://www.google.com/maps?q=10.82059479,79.83320618","Open Location")</f>
        <v>Open Location</v>
      </c>
    </row>
    <row r="4581" spans="1:40" x14ac:dyDescent="0.3">
      <c r="A4581" s="1">
        <v>46210.469097222223</v>
      </c>
      <c r="B4581" t="s">
        <v>40</v>
      </c>
      <c r="C4581" t="s">
        <v>41</v>
      </c>
      <c r="D4581" s="1">
        <v>46210.471898148149</v>
      </c>
      <c r="E4581" t="s">
        <v>42</v>
      </c>
      <c r="F4581" t="s">
        <v>83</v>
      </c>
      <c r="G4581">
        <v>25</v>
      </c>
      <c r="H4581">
        <v>33086</v>
      </c>
      <c r="I4581" t="s">
        <v>2609</v>
      </c>
      <c r="J4581">
        <v>59</v>
      </c>
      <c r="K4581">
        <v>69</v>
      </c>
      <c r="L4581">
        <v>98</v>
      </c>
      <c r="M4581">
        <v>624.29998779000005</v>
      </c>
      <c r="N4581" t="s">
        <v>87</v>
      </c>
      <c r="O4581" t="s">
        <v>86</v>
      </c>
      <c r="P4581">
        <v>130</v>
      </c>
      <c r="Q4581">
        <v>5</v>
      </c>
      <c r="R4581">
        <v>35</v>
      </c>
      <c r="S4581">
        <v>1154</v>
      </c>
      <c r="T4581">
        <v>-40</v>
      </c>
      <c r="U4581">
        <v>49</v>
      </c>
      <c r="V4581">
        <v>320</v>
      </c>
      <c r="W4581">
        <v>31</v>
      </c>
      <c r="X4581">
        <v>31</v>
      </c>
      <c r="Y4581">
        <v>5</v>
      </c>
      <c r="Z4581">
        <v>3</v>
      </c>
      <c r="AA4581">
        <v>28</v>
      </c>
      <c r="AB4581">
        <v>2</v>
      </c>
      <c r="AC4581">
        <v>2</v>
      </c>
      <c r="AD4581">
        <v>3.26200008</v>
      </c>
      <c r="AE4581">
        <v>5</v>
      </c>
      <c r="AF4581">
        <v>38</v>
      </c>
      <c r="AG4581">
        <v>3.2550001100000001</v>
      </c>
      <c r="AH4581">
        <v>4</v>
      </c>
      <c r="AI4581">
        <v>24</v>
      </c>
      <c r="AJ4581">
        <v>1</v>
      </c>
      <c r="AK4581">
        <v>19</v>
      </c>
      <c r="AL4581">
        <v>47</v>
      </c>
      <c r="AM4581" t="s">
        <v>43</v>
      </c>
      <c r="AN4581" t="str">
        <f>HYPERLINK("https://www.google.com/maps?q=10.82134438,79.83356476","Open Location")</f>
        <v>Open Location</v>
      </c>
    </row>
    <row r="4582" spans="1:40" x14ac:dyDescent="0.3">
      <c r="A4582" s="1">
        <v>46210.468981481485</v>
      </c>
      <c r="B4582" t="s">
        <v>40</v>
      </c>
      <c r="C4582" t="s">
        <v>41</v>
      </c>
      <c r="D4582" s="1">
        <v>46210.471678240741</v>
      </c>
      <c r="E4582" t="s">
        <v>42</v>
      </c>
      <c r="F4582" t="s">
        <v>83</v>
      </c>
      <c r="G4582">
        <v>24</v>
      </c>
      <c r="H4582">
        <v>33086</v>
      </c>
      <c r="I4582" t="s">
        <v>2610</v>
      </c>
      <c r="J4582">
        <v>59</v>
      </c>
      <c r="K4582">
        <v>72</v>
      </c>
      <c r="L4582">
        <v>98</v>
      </c>
      <c r="M4582">
        <v>624.09997558999999</v>
      </c>
      <c r="N4582" t="s">
        <v>87</v>
      </c>
      <c r="O4582" t="s">
        <v>86</v>
      </c>
      <c r="P4582">
        <v>130</v>
      </c>
      <c r="Q4582">
        <v>5</v>
      </c>
      <c r="R4582">
        <v>39</v>
      </c>
      <c r="S4582">
        <v>1100</v>
      </c>
      <c r="T4582">
        <v>-40</v>
      </c>
      <c r="U4582">
        <v>49</v>
      </c>
      <c r="V4582">
        <v>340</v>
      </c>
      <c r="W4582">
        <v>31</v>
      </c>
      <c r="X4582">
        <v>31</v>
      </c>
      <c r="Y4582">
        <v>5</v>
      </c>
      <c r="Z4582">
        <v>3</v>
      </c>
      <c r="AA4582">
        <v>28</v>
      </c>
      <c r="AB4582">
        <v>2</v>
      </c>
      <c r="AC4582">
        <v>2</v>
      </c>
      <c r="AD4582">
        <v>3.25600004</v>
      </c>
      <c r="AE4582">
        <v>5</v>
      </c>
      <c r="AF4582">
        <v>38</v>
      </c>
      <c r="AG4582">
        <v>3.24699998</v>
      </c>
      <c r="AH4582">
        <v>6</v>
      </c>
      <c r="AI4582">
        <v>24</v>
      </c>
      <c r="AJ4582">
        <v>1</v>
      </c>
      <c r="AK4582">
        <v>19</v>
      </c>
      <c r="AL4582">
        <v>47</v>
      </c>
      <c r="AM4582" t="s">
        <v>43</v>
      </c>
      <c r="AN4582" t="str">
        <f>HYPERLINK("https://www.google.com/maps?q=10.82201385,79.83390045","Open Location")</f>
        <v>Open Location</v>
      </c>
    </row>
    <row r="4583" spans="1:40" x14ac:dyDescent="0.3">
      <c r="A4583" s="1">
        <v>46210.468865740739</v>
      </c>
      <c r="B4583" t="s">
        <v>40</v>
      </c>
      <c r="C4583" t="s">
        <v>41</v>
      </c>
      <c r="D4583" s="1">
        <v>46210.471597222226</v>
      </c>
      <c r="E4583" t="s">
        <v>42</v>
      </c>
      <c r="F4583" t="s">
        <v>83</v>
      </c>
      <c r="G4583">
        <v>24</v>
      </c>
      <c r="H4583">
        <v>33086</v>
      </c>
      <c r="I4583" t="s">
        <v>2611</v>
      </c>
      <c r="J4583">
        <v>59</v>
      </c>
      <c r="K4583">
        <v>93</v>
      </c>
      <c r="L4583">
        <v>98</v>
      </c>
      <c r="M4583">
        <v>623.09997558999999</v>
      </c>
      <c r="N4583" t="s">
        <v>87</v>
      </c>
      <c r="O4583" t="s">
        <v>86</v>
      </c>
      <c r="P4583">
        <v>129</v>
      </c>
      <c r="Q4583">
        <v>4</v>
      </c>
      <c r="R4583">
        <v>79</v>
      </c>
      <c r="S4583">
        <v>1111</v>
      </c>
      <c r="T4583">
        <v>-40</v>
      </c>
      <c r="U4583">
        <v>50</v>
      </c>
      <c r="V4583">
        <v>440</v>
      </c>
      <c r="W4583">
        <v>31</v>
      </c>
      <c r="X4583">
        <v>31</v>
      </c>
      <c r="Y4583">
        <v>5</v>
      </c>
      <c r="Z4583">
        <v>3</v>
      </c>
      <c r="AA4583">
        <v>28</v>
      </c>
      <c r="AB4583">
        <v>2</v>
      </c>
      <c r="AC4583">
        <v>2</v>
      </c>
      <c r="AD4583">
        <v>3.24399996</v>
      </c>
      <c r="AE4583">
        <v>5</v>
      </c>
      <c r="AF4583">
        <v>38</v>
      </c>
      <c r="AG4583">
        <v>3.2309999500000002</v>
      </c>
      <c r="AH4583">
        <v>6</v>
      </c>
      <c r="AI4583">
        <v>24</v>
      </c>
      <c r="AJ4583">
        <v>1</v>
      </c>
      <c r="AK4583">
        <v>19</v>
      </c>
      <c r="AL4583">
        <v>40</v>
      </c>
      <c r="AM4583" t="s">
        <v>43</v>
      </c>
      <c r="AN4583" t="str">
        <f>HYPERLINK("https://www.google.com/maps?q=10.82262802,79.83431244","Open Location")</f>
        <v>Open Location</v>
      </c>
    </row>
    <row r="4584" spans="1:40" x14ac:dyDescent="0.3">
      <c r="A4584" s="1">
        <v>46210.46875</v>
      </c>
      <c r="B4584" t="s">
        <v>40</v>
      </c>
      <c r="C4584" t="s">
        <v>41</v>
      </c>
      <c r="D4584" s="1">
        <v>46210.471597222226</v>
      </c>
      <c r="E4584" t="s">
        <v>42</v>
      </c>
      <c r="F4584" t="s">
        <v>83</v>
      </c>
      <c r="G4584">
        <v>24</v>
      </c>
      <c r="H4584">
        <v>33086</v>
      </c>
      <c r="I4584" t="s">
        <v>2612</v>
      </c>
      <c r="J4584">
        <v>59</v>
      </c>
      <c r="K4584">
        <v>169</v>
      </c>
      <c r="L4584">
        <v>98</v>
      </c>
      <c r="M4584">
        <v>619.90002441000001</v>
      </c>
      <c r="N4584" t="s">
        <v>87</v>
      </c>
      <c r="O4584" t="s">
        <v>86</v>
      </c>
      <c r="P4584">
        <v>129</v>
      </c>
      <c r="Q4584">
        <v>4</v>
      </c>
      <c r="R4584">
        <v>93</v>
      </c>
      <c r="S4584">
        <v>1779</v>
      </c>
      <c r="T4584">
        <v>-40</v>
      </c>
      <c r="U4584">
        <v>50</v>
      </c>
      <c r="V4584">
        <v>540</v>
      </c>
      <c r="W4584">
        <v>31</v>
      </c>
      <c r="X4584">
        <v>31</v>
      </c>
      <c r="Y4584">
        <v>5</v>
      </c>
      <c r="Z4584">
        <v>3</v>
      </c>
      <c r="AA4584">
        <v>28</v>
      </c>
      <c r="AB4584">
        <v>2</v>
      </c>
      <c r="AC4584">
        <v>2</v>
      </c>
      <c r="AD4584">
        <v>3.24399996</v>
      </c>
      <c r="AE4584">
        <v>5</v>
      </c>
      <c r="AF4584">
        <v>38</v>
      </c>
      <c r="AG4584">
        <v>3.2300000199999999</v>
      </c>
      <c r="AH4584">
        <v>4</v>
      </c>
      <c r="AI4584">
        <v>24</v>
      </c>
      <c r="AJ4584">
        <v>1</v>
      </c>
      <c r="AK4584">
        <v>19</v>
      </c>
      <c r="AL4584">
        <v>40</v>
      </c>
      <c r="AM4584" t="s">
        <v>43</v>
      </c>
      <c r="AN4584" t="str">
        <f>HYPERLINK("https://www.google.com/maps?q=10.82317257,79.83480072","Open Location")</f>
        <v>Open Location</v>
      </c>
    </row>
    <row r="4585" spans="1:40" x14ac:dyDescent="0.3">
      <c r="A4585" s="1">
        <v>46210.468634259261</v>
      </c>
      <c r="B4585" t="s">
        <v>40</v>
      </c>
      <c r="C4585" t="s">
        <v>41</v>
      </c>
      <c r="D4585" s="1">
        <v>46210.471597222226</v>
      </c>
      <c r="E4585" t="s">
        <v>42</v>
      </c>
      <c r="F4585" t="s">
        <v>83</v>
      </c>
      <c r="G4585">
        <v>22</v>
      </c>
      <c r="H4585" t="s">
        <v>43</v>
      </c>
      <c r="I4585" t="s">
        <v>43</v>
      </c>
      <c r="J4585">
        <v>59</v>
      </c>
      <c r="K4585">
        <v>158</v>
      </c>
      <c r="L4585">
        <v>98</v>
      </c>
      <c r="M4585">
        <v>620.79998779000005</v>
      </c>
      <c r="N4585" t="s">
        <v>87</v>
      </c>
      <c r="O4585" t="s">
        <v>86</v>
      </c>
      <c r="P4585">
        <v>129</v>
      </c>
      <c r="Q4585" t="s">
        <v>43</v>
      </c>
      <c r="R4585">
        <v>71</v>
      </c>
      <c r="S4585">
        <v>1706</v>
      </c>
      <c r="T4585">
        <v>-40</v>
      </c>
      <c r="U4585">
        <v>49</v>
      </c>
      <c r="V4585">
        <v>400</v>
      </c>
      <c r="W4585">
        <v>31</v>
      </c>
      <c r="X4585">
        <v>31</v>
      </c>
      <c r="Y4585">
        <v>5</v>
      </c>
      <c r="Z4585">
        <v>3</v>
      </c>
      <c r="AA4585">
        <v>28</v>
      </c>
      <c r="AB4585">
        <v>2</v>
      </c>
      <c r="AC4585">
        <v>2</v>
      </c>
      <c r="AD4585">
        <v>3.2520000900000001</v>
      </c>
      <c r="AE4585">
        <v>5</v>
      </c>
      <c r="AF4585">
        <v>38</v>
      </c>
      <c r="AG4585">
        <v>3.2400000100000002</v>
      </c>
      <c r="AH4585">
        <v>6</v>
      </c>
      <c r="AI4585">
        <v>24</v>
      </c>
      <c r="AJ4585">
        <v>1</v>
      </c>
      <c r="AK4585">
        <v>19</v>
      </c>
      <c r="AL4585">
        <v>40</v>
      </c>
      <c r="AM4585" t="s">
        <v>43</v>
      </c>
      <c r="AN4585" t="s">
        <v>43</v>
      </c>
    </row>
    <row r="4586" spans="1:40" x14ac:dyDescent="0.3">
      <c r="A4586" s="1">
        <v>46210.468518518515</v>
      </c>
      <c r="B4586" t="s">
        <v>40</v>
      </c>
      <c r="C4586" t="s">
        <v>41</v>
      </c>
      <c r="D4586" s="1">
        <v>46210.471284722225</v>
      </c>
      <c r="E4586" t="s">
        <v>42</v>
      </c>
      <c r="F4586" t="s">
        <v>83</v>
      </c>
      <c r="G4586">
        <v>18</v>
      </c>
      <c r="H4586">
        <v>33086</v>
      </c>
      <c r="I4586" t="s">
        <v>2613</v>
      </c>
      <c r="J4586">
        <v>60</v>
      </c>
      <c r="K4586">
        <v>121</v>
      </c>
      <c r="L4586">
        <v>98</v>
      </c>
      <c r="M4586">
        <v>622.90002441000001</v>
      </c>
      <c r="N4586" t="s">
        <v>87</v>
      </c>
      <c r="O4586" t="s">
        <v>86</v>
      </c>
      <c r="P4586">
        <v>129</v>
      </c>
      <c r="Q4586">
        <v>4</v>
      </c>
      <c r="R4586">
        <v>40</v>
      </c>
      <c r="S4586">
        <v>1641</v>
      </c>
      <c r="T4586">
        <v>-40</v>
      </c>
      <c r="U4586">
        <v>48</v>
      </c>
      <c r="V4586">
        <v>400</v>
      </c>
      <c r="W4586">
        <v>31</v>
      </c>
      <c r="X4586">
        <v>31</v>
      </c>
      <c r="Y4586">
        <v>5</v>
      </c>
      <c r="Z4586">
        <v>3</v>
      </c>
      <c r="AA4586">
        <v>28</v>
      </c>
      <c r="AB4586">
        <v>2</v>
      </c>
      <c r="AC4586">
        <v>2</v>
      </c>
      <c r="AD4586">
        <v>3.26200008</v>
      </c>
      <c r="AE4586">
        <v>5</v>
      </c>
      <c r="AF4586">
        <v>38</v>
      </c>
      <c r="AG4586">
        <v>3.2539999499999999</v>
      </c>
      <c r="AH4586">
        <v>4</v>
      </c>
      <c r="AI4586">
        <v>24</v>
      </c>
      <c r="AJ4586">
        <v>1</v>
      </c>
      <c r="AK4586">
        <v>19</v>
      </c>
      <c r="AL4586">
        <v>40</v>
      </c>
      <c r="AM4586" t="s">
        <v>43</v>
      </c>
      <c r="AN4586" t="str">
        <f>HYPERLINK("https://www.google.com/maps?q=10.82368755,79.835289","Open Location")</f>
        <v>Open Location</v>
      </c>
    </row>
    <row r="4587" spans="1:40" x14ac:dyDescent="0.3">
      <c r="A4587" s="1">
        <v>46210.468402777777</v>
      </c>
      <c r="B4587" t="s">
        <v>40</v>
      </c>
      <c r="C4587" t="s">
        <v>41</v>
      </c>
      <c r="D4587" s="1">
        <v>46210.471180555556</v>
      </c>
      <c r="E4587" t="s">
        <v>42</v>
      </c>
      <c r="F4587" t="s">
        <v>83</v>
      </c>
      <c r="G4587">
        <v>14</v>
      </c>
      <c r="H4587">
        <v>33086</v>
      </c>
      <c r="I4587" t="s">
        <v>2614</v>
      </c>
      <c r="J4587">
        <v>60</v>
      </c>
      <c r="K4587">
        <v>70</v>
      </c>
      <c r="L4587">
        <v>98</v>
      </c>
      <c r="M4587">
        <v>624.5</v>
      </c>
      <c r="N4587" t="s">
        <v>87</v>
      </c>
      <c r="O4587" t="s">
        <v>86</v>
      </c>
      <c r="P4587">
        <v>128</v>
      </c>
      <c r="Q4587">
        <v>4</v>
      </c>
      <c r="R4587">
        <v>-91</v>
      </c>
      <c r="S4587">
        <v>1341</v>
      </c>
      <c r="T4587">
        <v>-40</v>
      </c>
      <c r="U4587">
        <v>48</v>
      </c>
      <c r="V4587">
        <v>280</v>
      </c>
      <c r="W4587">
        <v>31</v>
      </c>
      <c r="X4587">
        <v>31</v>
      </c>
      <c r="Y4587">
        <v>5</v>
      </c>
      <c r="Z4587">
        <v>3</v>
      </c>
      <c r="AA4587">
        <v>28</v>
      </c>
      <c r="AB4587">
        <v>2</v>
      </c>
      <c r="AC4587">
        <v>2</v>
      </c>
      <c r="AD4587">
        <v>3.27399993</v>
      </c>
      <c r="AE4587">
        <v>1</v>
      </c>
      <c r="AF4587">
        <v>16</v>
      </c>
      <c r="AG4587">
        <v>3.2690000499999998</v>
      </c>
      <c r="AH4587">
        <v>6</v>
      </c>
      <c r="AI4587">
        <v>24</v>
      </c>
      <c r="AJ4587">
        <v>1</v>
      </c>
      <c r="AK4587">
        <v>20</v>
      </c>
      <c r="AL4587">
        <v>40</v>
      </c>
      <c r="AM4587" t="s">
        <v>43</v>
      </c>
      <c r="AN4587" t="str">
        <f>HYPERLINK("https://www.google.com/maps?q=10.82413387,79.83564758","Open Location")</f>
        <v>Open Location</v>
      </c>
    </row>
    <row r="4588" spans="1:40" x14ac:dyDescent="0.3">
      <c r="A4588" s="1">
        <v>46210.468287037038</v>
      </c>
      <c r="B4588" t="s">
        <v>40</v>
      </c>
      <c r="C4588" t="s">
        <v>41</v>
      </c>
      <c r="D4588" s="1">
        <v>46210.470972222225</v>
      </c>
      <c r="E4588" t="s">
        <v>42</v>
      </c>
      <c r="F4588" t="s">
        <v>83</v>
      </c>
      <c r="G4588">
        <v>9</v>
      </c>
      <c r="H4588">
        <v>33086</v>
      </c>
      <c r="I4588" t="s">
        <v>2615</v>
      </c>
      <c r="J4588">
        <v>60</v>
      </c>
      <c r="K4588">
        <v>72</v>
      </c>
      <c r="L4588">
        <v>98</v>
      </c>
      <c r="M4588">
        <v>624.79998779000005</v>
      </c>
      <c r="N4588" t="s">
        <v>87</v>
      </c>
      <c r="O4588" t="s">
        <v>86</v>
      </c>
      <c r="P4588">
        <v>128</v>
      </c>
      <c r="Q4588">
        <v>3</v>
      </c>
      <c r="R4588">
        <v>50</v>
      </c>
      <c r="S4588">
        <v>1823</v>
      </c>
      <c r="T4588">
        <v>-40</v>
      </c>
      <c r="U4588">
        <v>47</v>
      </c>
      <c r="V4588">
        <v>220</v>
      </c>
      <c r="W4588">
        <v>31</v>
      </c>
      <c r="X4588">
        <v>31</v>
      </c>
      <c r="Y4588">
        <v>5</v>
      </c>
      <c r="Z4588">
        <v>3</v>
      </c>
      <c r="AA4588">
        <v>28</v>
      </c>
      <c r="AB4588">
        <v>2</v>
      </c>
      <c r="AC4588">
        <v>2</v>
      </c>
      <c r="AD4588">
        <v>3.2609999200000002</v>
      </c>
      <c r="AE4588">
        <v>5</v>
      </c>
      <c r="AF4588">
        <v>38</v>
      </c>
      <c r="AG4588">
        <v>3.2520000900000001</v>
      </c>
      <c r="AH4588">
        <v>6</v>
      </c>
      <c r="AI4588">
        <v>24</v>
      </c>
      <c r="AJ4588">
        <v>1</v>
      </c>
      <c r="AK4588">
        <v>19</v>
      </c>
      <c r="AL4588">
        <v>40</v>
      </c>
      <c r="AM4588" t="s">
        <v>43</v>
      </c>
      <c r="AN4588" t="str">
        <f>HYPERLINK("https://www.google.com/maps?q=10.82452488,79.83585358","Open Location")</f>
        <v>Open Location</v>
      </c>
    </row>
    <row r="4589" spans="1:40" x14ac:dyDescent="0.3">
      <c r="A4589" s="1">
        <v>46210.468171296299</v>
      </c>
      <c r="B4589" t="s">
        <v>40</v>
      </c>
      <c r="C4589" t="s">
        <v>41</v>
      </c>
      <c r="D4589" s="1">
        <v>46210.470972222225</v>
      </c>
      <c r="E4589" t="s">
        <v>42</v>
      </c>
      <c r="F4589" t="s">
        <v>83</v>
      </c>
      <c r="G4589">
        <v>4</v>
      </c>
      <c r="H4589">
        <v>33086</v>
      </c>
      <c r="I4589" t="s">
        <v>2616</v>
      </c>
      <c r="J4589">
        <v>60</v>
      </c>
      <c r="K4589">
        <v>13</v>
      </c>
      <c r="L4589">
        <v>98</v>
      </c>
      <c r="M4589">
        <v>626.79998779000005</v>
      </c>
      <c r="N4589" t="s">
        <v>87</v>
      </c>
      <c r="O4589" t="s">
        <v>86</v>
      </c>
      <c r="P4589">
        <v>127</v>
      </c>
      <c r="Q4589">
        <v>2</v>
      </c>
      <c r="R4589">
        <v>0</v>
      </c>
      <c r="S4589">
        <v>1082</v>
      </c>
      <c r="T4589">
        <v>-40</v>
      </c>
      <c r="U4589">
        <v>47</v>
      </c>
      <c r="V4589">
        <v>0</v>
      </c>
      <c r="W4589">
        <v>31</v>
      </c>
      <c r="X4589">
        <v>31</v>
      </c>
      <c r="Y4589">
        <v>5</v>
      </c>
      <c r="Z4589">
        <v>3</v>
      </c>
      <c r="AA4589">
        <v>28</v>
      </c>
      <c r="AB4589">
        <v>2</v>
      </c>
      <c r="AC4589">
        <v>2</v>
      </c>
      <c r="AD4589">
        <v>3.2690000499999998</v>
      </c>
      <c r="AE4589">
        <v>1</v>
      </c>
      <c r="AF4589">
        <v>16</v>
      </c>
      <c r="AG4589">
        <v>3.26200008</v>
      </c>
      <c r="AH4589">
        <v>6</v>
      </c>
      <c r="AI4589">
        <v>24</v>
      </c>
      <c r="AJ4589">
        <v>1</v>
      </c>
      <c r="AK4589">
        <v>20</v>
      </c>
      <c r="AL4589">
        <v>40</v>
      </c>
      <c r="AM4589" t="s">
        <v>43</v>
      </c>
      <c r="AN4589" t="str">
        <f>HYPERLINK("https://www.google.com/maps?q=10.82477474,79.8359375","Open Location")</f>
        <v>Open Location</v>
      </c>
    </row>
    <row r="4590" spans="1:40" x14ac:dyDescent="0.3">
      <c r="A4590" s="1">
        <v>46210.468055555553</v>
      </c>
      <c r="B4590" t="s">
        <v>40</v>
      </c>
      <c r="C4590" t="s">
        <v>41</v>
      </c>
      <c r="D4590" s="1">
        <v>46210.471099537041</v>
      </c>
      <c r="E4590" t="s">
        <v>42</v>
      </c>
      <c r="F4590" t="s">
        <v>83</v>
      </c>
      <c r="G4590">
        <v>15</v>
      </c>
      <c r="H4590">
        <v>33086</v>
      </c>
      <c r="I4590" t="s">
        <v>2617</v>
      </c>
      <c r="J4590">
        <v>60</v>
      </c>
      <c r="K4590">
        <v>0</v>
      </c>
      <c r="L4590">
        <v>98</v>
      </c>
      <c r="M4590">
        <v>628.29998779000005</v>
      </c>
      <c r="N4590" t="s">
        <v>87</v>
      </c>
      <c r="O4590" t="s">
        <v>86</v>
      </c>
      <c r="P4590">
        <v>129</v>
      </c>
      <c r="Q4590">
        <v>4</v>
      </c>
      <c r="R4590">
        <v>26</v>
      </c>
      <c r="S4590">
        <v>515</v>
      </c>
      <c r="T4590">
        <v>-40</v>
      </c>
      <c r="U4590">
        <v>48</v>
      </c>
      <c r="V4590">
        <v>-25</v>
      </c>
      <c r="W4590">
        <v>31</v>
      </c>
      <c r="X4590">
        <v>31</v>
      </c>
      <c r="Y4590">
        <v>5</v>
      </c>
      <c r="Z4590">
        <v>3</v>
      </c>
      <c r="AA4590">
        <v>28</v>
      </c>
      <c r="AB4590">
        <v>2</v>
      </c>
      <c r="AC4590">
        <v>2</v>
      </c>
      <c r="AD4590">
        <v>3.27099991</v>
      </c>
      <c r="AE4590">
        <v>5</v>
      </c>
      <c r="AF4590">
        <v>38</v>
      </c>
      <c r="AG4590">
        <v>3.2639999400000002</v>
      </c>
      <c r="AH4590">
        <v>7</v>
      </c>
      <c r="AI4590">
        <v>1</v>
      </c>
      <c r="AJ4590">
        <v>1</v>
      </c>
      <c r="AK4590">
        <v>19</v>
      </c>
      <c r="AL4590">
        <v>40</v>
      </c>
      <c r="AM4590" t="s">
        <v>43</v>
      </c>
      <c r="AN4590" t="str">
        <f>HYPERLINK("https://www.google.com/maps?q=10.82517147,79.83599854","Open Location")</f>
        <v>Open Location</v>
      </c>
    </row>
    <row r="4591" spans="1:40" x14ac:dyDescent="0.3">
      <c r="A4591" s="1">
        <v>46210.467939814815</v>
      </c>
      <c r="B4591" t="s">
        <v>40</v>
      </c>
      <c r="C4591" t="s">
        <v>41</v>
      </c>
      <c r="D4591" s="1">
        <v>46210.47084490741</v>
      </c>
      <c r="E4591" t="s">
        <v>42</v>
      </c>
      <c r="F4591" t="s">
        <v>83</v>
      </c>
      <c r="G4591">
        <v>12</v>
      </c>
      <c r="H4591" t="s">
        <v>43</v>
      </c>
      <c r="I4591" t="s">
        <v>43</v>
      </c>
      <c r="J4591">
        <v>60</v>
      </c>
      <c r="K4591">
        <v>52</v>
      </c>
      <c r="L4591">
        <v>98</v>
      </c>
      <c r="M4591">
        <v>625</v>
      </c>
      <c r="N4591" t="s">
        <v>87</v>
      </c>
      <c r="O4591" t="s">
        <v>86</v>
      </c>
      <c r="P4591">
        <v>128</v>
      </c>
      <c r="Q4591" t="s">
        <v>43</v>
      </c>
      <c r="R4591">
        <v>99</v>
      </c>
      <c r="S4591">
        <v>1473</v>
      </c>
      <c r="T4591">
        <v>-40</v>
      </c>
      <c r="U4591">
        <v>50</v>
      </c>
      <c r="V4591">
        <v>240</v>
      </c>
      <c r="W4591">
        <v>31</v>
      </c>
      <c r="X4591">
        <v>31</v>
      </c>
      <c r="Y4591">
        <v>5</v>
      </c>
      <c r="Z4591">
        <v>3</v>
      </c>
      <c r="AA4591">
        <v>28</v>
      </c>
      <c r="AB4591">
        <v>2</v>
      </c>
      <c r="AC4591">
        <v>2</v>
      </c>
      <c r="AD4591">
        <v>3.2460000500000001</v>
      </c>
      <c r="AE4591">
        <v>5</v>
      </c>
      <c r="AF4591">
        <v>38</v>
      </c>
      <c r="AG4591">
        <v>3.2309999500000002</v>
      </c>
      <c r="AH4591">
        <v>6</v>
      </c>
      <c r="AI4591">
        <v>24</v>
      </c>
      <c r="AJ4591">
        <v>1</v>
      </c>
      <c r="AK4591">
        <v>19</v>
      </c>
      <c r="AL4591">
        <v>40</v>
      </c>
      <c r="AM4591" t="s">
        <v>43</v>
      </c>
      <c r="AN4591" t="s">
        <v>43</v>
      </c>
    </row>
    <row r="4592" spans="1:40" x14ac:dyDescent="0.3">
      <c r="A4592" s="1">
        <v>46210.467824074076</v>
      </c>
      <c r="B4592" t="s">
        <v>40</v>
      </c>
      <c r="C4592" t="s">
        <v>41</v>
      </c>
      <c r="D4592" s="1">
        <v>46210.47084490741</v>
      </c>
      <c r="E4592" t="s">
        <v>42</v>
      </c>
      <c r="F4592" t="s">
        <v>83</v>
      </c>
      <c r="G4592">
        <v>10</v>
      </c>
      <c r="H4592">
        <v>33086</v>
      </c>
      <c r="I4592" t="s">
        <v>2618</v>
      </c>
      <c r="J4592">
        <v>60</v>
      </c>
      <c r="K4592">
        <v>179</v>
      </c>
      <c r="L4592">
        <v>98</v>
      </c>
      <c r="M4592">
        <v>620.70001220999995</v>
      </c>
      <c r="N4592" t="s">
        <v>87</v>
      </c>
      <c r="O4592" t="s">
        <v>86</v>
      </c>
      <c r="P4592">
        <v>128</v>
      </c>
      <c r="Q4592">
        <v>3</v>
      </c>
      <c r="R4592">
        <v>33</v>
      </c>
      <c r="S4592">
        <v>1394</v>
      </c>
      <c r="T4592">
        <v>-40</v>
      </c>
      <c r="U4592">
        <v>47</v>
      </c>
      <c r="V4592">
        <v>700</v>
      </c>
      <c r="W4592">
        <v>31</v>
      </c>
      <c r="X4592">
        <v>31</v>
      </c>
      <c r="Y4592">
        <v>5</v>
      </c>
      <c r="Z4592">
        <v>3</v>
      </c>
      <c r="AA4592">
        <v>28</v>
      </c>
      <c r="AB4592">
        <v>2</v>
      </c>
      <c r="AC4592">
        <v>2</v>
      </c>
      <c r="AD4592">
        <v>3.2690000499999998</v>
      </c>
      <c r="AE4592">
        <v>1</v>
      </c>
      <c r="AF4592">
        <v>16</v>
      </c>
      <c r="AG4592">
        <v>3.26200008</v>
      </c>
      <c r="AH4592">
        <v>4</v>
      </c>
      <c r="AI4592">
        <v>17</v>
      </c>
      <c r="AJ4592">
        <v>1</v>
      </c>
      <c r="AK4592">
        <v>19</v>
      </c>
      <c r="AL4592">
        <v>40</v>
      </c>
      <c r="AM4592" t="s">
        <v>43</v>
      </c>
      <c r="AN4592" t="str">
        <f>HYPERLINK("https://www.google.com/maps?q=10.82555485,79.83604431","Open Location")</f>
        <v>Open Location</v>
      </c>
    </row>
    <row r="4593" spans="1:40" x14ac:dyDescent="0.3">
      <c r="A4593" s="1">
        <v>46210.46770833333</v>
      </c>
      <c r="B4593" t="s">
        <v>40</v>
      </c>
      <c r="C4593" t="s">
        <v>41</v>
      </c>
      <c r="D4593" s="1">
        <v>46210.470648148148</v>
      </c>
      <c r="E4593" t="s">
        <v>42</v>
      </c>
      <c r="F4593" t="s">
        <v>83</v>
      </c>
      <c r="G4593">
        <v>8</v>
      </c>
      <c r="H4593">
        <v>33086</v>
      </c>
      <c r="I4593" t="s">
        <v>2619</v>
      </c>
      <c r="J4593">
        <v>60</v>
      </c>
      <c r="K4593">
        <v>77</v>
      </c>
      <c r="L4593">
        <v>98</v>
      </c>
      <c r="M4593">
        <v>625.70001220999995</v>
      </c>
      <c r="N4593" t="s">
        <v>87</v>
      </c>
      <c r="O4593" t="s">
        <v>86</v>
      </c>
      <c r="P4593">
        <v>127</v>
      </c>
      <c r="Q4593" t="s">
        <v>43</v>
      </c>
      <c r="R4593">
        <v>60</v>
      </c>
      <c r="S4593">
        <v>1303</v>
      </c>
      <c r="T4593">
        <v>-40</v>
      </c>
      <c r="U4593">
        <v>48</v>
      </c>
      <c r="V4593">
        <v>240</v>
      </c>
      <c r="W4593">
        <v>31</v>
      </c>
      <c r="X4593">
        <v>31</v>
      </c>
      <c r="Y4593">
        <v>5</v>
      </c>
      <c r="Z4593">
        <v>3</v>
      </c>
      <c r="AA4593">
        <v>28</v>
      </c>
      <c r="AB4593">
        <v>2</v>
      </c>
      <c r="AC4593">
        <v>2</v>
      </c>
      <c r="AD4593">
        <v>3.2609999200000002</v>
      </c>
      <c r="AE4593">
        <v>5</v>
      </c>
      <c r="AF4593">
        <v>38</v>
      </c>
      <c r="AG4593">
        <v>3.2509999299999999</v>
      </c>
      <c r="AH4593">
        <v>6</v>
      </c>
      <c r="AI4593">
        <v>24</v>
      </c>
      <c r="AJ4593">
        <v>1</v>
      </c>
      <c r="AK4593">
        <v>19</v>
      </c>
      <c r="AL4593">
        <v>40</v>
      </c>
      <c r="AM4593" t="s">
        <v>43</v>
      </c>
      <c r="AN4593" t="str">
        <f>HYPERLINK("https://www.google.com/maps?q=10.82581615,79.83596802","Open Location")</f>
        <v>Open Location</v>
      </c>
    </row>
    <row r="4594" spans="1:40" x14ac:dyDescent="0.3">
      <c r="A4594" s="1">
        <v>46210.467592592591</v>
      </c>
      <c r="B4594" t="s">
        <v>40</v>
      </c>
      <c r="C4594" t="s">
        <v>41</v>
      </c>
      <c r="D4594" s="1">
        <v>46210.470486111109</v>
      </c>
      <c r="E4594" t="s">
        <v>42</v>
      </c>
      <c r="F4594" t="s">
        <v>83</v>
      </c>
      <c r="G4594">
        <v>0</v>
      </c>
      <c r="H4594">
        <v>33086</v>
      </c>
      <c r="I4594" t="s">
        <v>2620</v>
      </c>
      <c r="J4594">
        <v>60</v>
      </c>
      <c r="K4594">
        <v>127</v>
      </c>
      <c r="L4594">
        <v>98</v>
      </c>
      <c r="M4594">
        <v>623.79998779000005</v>
      </c>
      <c r="N4594" t="s">
        <v>85</v>
      </c>
      <c r="O4594" t="s">
        <v>86</v>
      </c>
      <c r="P4594">
        <v>127</v>
      </c>
      <c r="Q4594">
        <v>2</v>
      </c>
      <c r="R4594">
        <v>6</v>
      </c>
      <c r="S4594">
        <v>1391</v>
      </c>
      <c r="T4594">
        <v>-40</v>
      </c>
      <c r="U4594">
        <v>45</v>
      </c>
      <c r="V4594">
        <v>460</v>
      </c>
      <c r="W4594">
        <v>31</v>
      </c>
      <c r="X4594">
        <v>31</v>
      </c>
      <c r="Y4594">
        <v>5</v>
      </c>
      <c r="Z4594">
        <v>3</v>
      </c>
      <c r="AA4594">
        <v>28</v>
      </c>
      <c r="AB4594">
        <v>2</v>
      </c>
      <c r="AC4594">
        <v>2</v>
      </c>
      <c r="AD4594">
        <v>3.27999997</v>
      </c>
      <c r="AE4594">
        <v>5</v>
      </c>
      <c r="AF4594">
        <v>38</v>
      </c>
      <c r="AG4594">
        <v>3.2730000000000001</v>
      </c>
      <c r="AH4594">
        <v>4</v>
      </c>
      <c r="AI4594">
        <v>17</v>
      </c>
      <c r="AJ4594">
        <v>1</v>
      </c>
      <c r="AK4594">
        <v>19</v>
      </c>
      <c r="AL4594">
        <v>40</v>
      </c>
      <c r="AM4594" t="s">
        <v>43</v>
      </c>
      <c r="AN4594" t="str">
        <f>HYPERLINK("https://www.google.com/maps?q=10.82597733,79.83592224","Open Location")</f>
        <v>Open Location</v>
      </c>
    </row>
    <row r="4595" spans="1:40" x14ac:dyDescent="0.3">
      <c r="A4595" s="1">
        <v>46210.467476851853</v>
      </c>
      <c r="B4595" t="s">
        <v>40</v>
      </c>
      <c r="C4595" t="s">
        <v>41</v>
      </c>
      <c r="D4595" s="1">
        <v>46210.470451388886</v>
      </c>
      <c r="E4595" t="s">
        <v>42</v>
      </c>
      <c r="F4595" t="s">
        <v>83</v>
      </c>
      <c r="G4595">
        <v>0</v>
      </c>
      <c r="H4595" t="s">
        <v>43</v>
      </c>
      <c r="I4595" t="s">
        <v>2621</v>
      </c>
      <c r="J4595">
        <v>60</v>
      </c>
      <c r="K4595">
        <v>7</v>
      </c>
      <c r="L4595">
        <v>98</v>
      </c>
      <c r="M4595">
        <v>629.09997558999999</v>
      </c>
      <c r="N4595" t="s">
        <v>85</v>
      </c>
      <c r="O4595" t="s">
        <v>86</v>
      </c>
      <c r="P4595">
        <v>125</v>
      </c>
      <c r="Q4595">
        <v>2</v>
      </c>
      <c r="R4595">
        <v>0</v>
      </c>
      <c r="S4595">
        <v>116</v>
      </c>
      <c r="T4595">
        <v>-40</v>
      </c>
      <c r="U4595">
        <v>45</v>
      </c>
      <c r="V4595">
        <v>5</v>
      </c>
      <c r="W4595">
        <v>31</v>
      </c>
      <c r="X4595">
        <v>31</v>
      </c>
      <c r="Y4595">
        <v>5</v>
      </c>
      <c r="Z4595">
        <v>3</v>
      </c>
      <c r="AA4595">
        <v>28</v>
      </c>
      <c r="AB4595">
        <v>2</v>
      </c>
      <c r="AC4595">
        <v>2</v>
      </c>
      <c r="AD4595">
        <v>3.28299999</v>
      </c>
      <c r="AE4595">
        <v>1</v>
      </c>
      <c r="AF4595">
        <v>16</v>
      </c>
      <c r="AG4595">
        <v>3.2790000400000001</v>
      </c>
      <c r="AH4595">
        <v>2</v>
      </c>
      <c r="AI4595">
        <v>22</v>
      </c>
      <c r="AJ4595">
        <v>1</v>
      </c>
      <c r="AK4595">
        <v>19</v>
      </c>
      <c r="AL4595">
        <v>40</v>
      </c>
      <c r="AM4595" t="s">
        <v>43</v>
      </c>
      <c r="AN4595" t="str">
        <f>HYPERLINK("https://www.google.com/maps?q=10.82599545,79.83591461","Open Location")</f>
        <v>Open Location</v>
      </c>
    </row>
    <row r="4596" spans="1:40" x14ac:dyDescent="0.3">
      <c r="A4596" s="1">
        <v>46210.467361111114</v>
      </c>
      <c r="B4596" t="s">
        <v>40</v>
      </c>
      <c r="C4596" t="s">
        <v>41</v>
      </c>
      <c r="D4596" s="1">
        <v>46210.470219907409</v>
      </c>
      <c r="E4596" t="s">
        <v>42</v>
      </c>
      <c r="F4596" t="s">
        <v>83</v>
      </c>
      <c r="G4596">
        <v>0</v>
      </c>
      <c r="H4596">
        <v>33086</v>
      </c>
      <c r="I4596" t="s">
        <v>43</v>
      </c>
      <c r="J4596">
        <v>60</v>
      </c>
      <c r="K4596">
        <v>7</v>
      </c>
      <c r="L4596">
        <v>98</v>
      </c>
      <c r="M4596">
        <v>629</v>
      </c>
      <c r="N4596" t="s">
        <v>85</v>
      </c>
      <c r="O4596" t="s">
        <v>82</v>
      </c>
      <c r="P4596">
        <v>125</v>
      </c>
      <c r="Q4596" t="s">
        <v>82</v>
      </c>
      <c r="R4596">
        <v>0</v>
      </c>
      <c r="S4596">
        <v>0</v>
      </c>
      <c r="T4596">
        <v>-40</v>
      </c>
      <c r="U4596">
        <v>45</v>
      </c>
      <c r="V4596">
        <v>0</v>
      </c>
      <c r="W4596">
        <v>31</v>
      </c>
      <c r="X4596">
        <v>31</v>
      </c>
      <c r="Y4596">
        <v>5</v>
      </c>
      <c r="Z4596">
        <v>3</v>
      </c>
      <c r="AA4596">
        <v>28</v>
      </c>
      <c r="AB4596">
        <v>2</v>
      </c>
      <c r="AC4596">
        <v>2</v>
      </c>
      <c r="AD4596">
        <v>3.2820000600000001</v>
      </c>
      <c r="AE4596">
        <v>1</v>
      </c>
      <c r="AF4596">
        <v>16</v>
      </c>
      <c r="AG4596">
        <v>3.2760000200000001</v>
      </c>
      <c r="AH4596">
        <v>4</v>
      </c>
      <c r="AI4596">
        <v>17</v>
      </c>
      <c r="AJ4596">
        <v>1</v>
      </c>
      <c r="AK4596">
        <v>19</v>
      </c>
      <c r="AL4596">
        <v>40</v>
      </c>
      <c r="AM4596" t="s">
        <v>43</v>
      </c>
      <c r="AN4596" t="s">
        <v>43</v>
      </c>
    </row>
    <row r="4597" spans="1:40" x14ac:dyDescent="0.3">
      <c r="A4597" s="1">
        <v>46210.467245370368</v>
      </c>
      <c r="B4597" t="s">
        <v>40</v>
      </c>
      <c r="C4597" t="s">
        <v>41</v>
      </c>
      <c r="D4597" s="1">
        <v>46210.470266203702</v>
      </c>
      <c r="E4597" t="s">
        <v>42</v>
      </c>
      <c r="F4597" t="s">
        <v>83</v>
      </c>
      <c r="G4597">
        <v>0</v>
      </c>
      <c r="H4597">
        <v>33086</v>
      </c>
      <c r="I4597" t="s">
        <v>2622</v>
      </c>
      <c r="J4597">
        <v>60</v>
      </c>
      <c r="K4597">
        <v>12</v>
      </c>
      <c r="L4597">
        <v>98</v>
      </c>
      <c r="M4597">
        <v>629.40002441000001</v>
      </c>
      <c r="N4597" t="s">
        <v>85</v>
      </c>
      <c r="O4597" t="s">
        <v>82</v>
      </c>
      <c r="P4597">
        <v>125</v>
      </c>
      <c r="Q4597" t="s">
        <v>43</v>
      </c>
      <c r="R4597">
        <v>0</v>
      </c>
      <c r="S4597">
        <v>0</v>
      </c>
      <c r="T4597">
        <v>-40</v>
      </c>
      <c r="U4597">
        <v>45</v>
      </c>
      <c r="V4597">
        <v>0</v>
      </c>
      <c r="W4597">
        <v>31</v>
      </c>
      <c r="X4597">
        <v>31</v>
      </c>
      <c r="Y4597">
        <v>5</v>
      </c>
      <c r="Z4597">
        <v>3</v>
      </c>
      <c r="AA4597">
        <v>28</v>
      </c>
      <c r="AB4597">
        <v>2</v>
      </c>
      <c r="AC4597">
        <v>2</v>
      </c>
      <c r="AD4597">
        <v>3.2820000600000001</v>
      </c>
      <c r="AE4597">
        <v>1</v>
      </c>
      <c r="AF4597">
        <v>16</v>
      </c>
      <c r="AG4597">
        <v>3.27699995</v>
      </c>
      <c r="AH4597">
        <v>4</v>
      </c>
      <c r="AI4597">
        <v>17</v>
      </c>
      <c r="AJ4597">
        <v>1</v>
      </c>
      <c r="AK4597">
        <v>19</v>
      </c>
      <c r="AL4597">
        <v>40</v>
      </c>
      <c r="AM4597" t="s">
        <v>43</v>
      </c>
      <c r="AN4597" t="str">
        <f>HYPERLINK("https://www.google.com/maps?q=10.8259964,79.83591461","Open Location")</f>
        <v>Open Location</v>
      </c>
    </row>
    <row r="4598" spans="1:40" x14ac:dyDescent="0.3">
      <c r="A4598" s="1">
        <v>46210.467129629629</v>
      </c>
      <c r="B4598" t="s">
        <v>40</v>
      </c>
      <c r="C4598" t="s">
        <v>41</v>
      </c>
      <c r="D4598" s="1">
        <v>46210.470023148147</v>
      </c>
      <c r="E4598" t="s">
        <v>42</v>
      </c>
      <c r="F4598" t="s">
        <v>83</v>
      </c>
      <c r="G4598">
        <v>0</v>
      </c>
      <c r="H4598">
        <v>33086</v>
      </c>
      <c r="I4598" t="s">
        <v>2623</v>
      </c>
      <c r="J4598">
        <v>60</v>
      </c>
      <c r="K4598">
        <v>12</v>
      </c>
      <c r="L4598">
        <v>98</v>
      </c>
      <c r="M4598">
        <v>629.40002441000001</v>
      </c>
      <c r="N4598" t="s">
        <v>85</v>
      </c>
      <c r="O4598" t="s">
        <v>82</v>
      </c>
      <c r="P4598">
        <v>125</v>
      </c>
      <c r="Q4598" t="s">
        <v>82</v>
      </c>
      <c r="R4598">
        <v>0</v>
      </c>
      <c r="S4598">
        <v>0</v>
      </c>
      <c r="T4598">
        <v>-40</v>
      </c>
      <c r="U4598">
        <v>45</v>
      </c>
      <c r="V4598">
        <v>0</v>
      </c>
      <c r="W4598">
        <v>31</v>
      </c>
      <c r="X4598">
        <v>31</v>
      </c>
      <c r="Y4598">
        <v>5</v>
      </c>
      <c r="Z4598">
        <v>3</v>
      </c>
      <c r="AA4598">
        <v>28</v>
      </c>
      <c r="AB4598">
        <v>2</v>
      </c>
      <c r="AC4598">
        <v>2</v>
      </c>
      <c r="AD4598">
        <v>3.2820000600000001</v>
      </c>
      <c r="AE4598">
        <v>1</v>
      </c>
      <c r="AF4598">
        <v>16</v>
      </c>
      <c r="AG4598">
        <v>3.27699995</v>
      </c>
      <c r="AH4598">
        <v>4</v>
      </c>
      <c r="AI4598">
        <v>17</v>
      </c>
      <c r="AJ4598">
        <v>1</v>
      </c>
      <c r="AK4598">
        <v>19</v>
      </c>
      <c r="AL4598">
        <v>40</v>
      </c>
      <c r="AM4598" t="s">
        <v>43</v>
      </c>
      <c r="AN4598" t="str">
        <f>HYPERLINK("https://www.google.com/maps?q=10.8259964,79.83592224","Open Location")</f>
        <v>Open Location</v>
      </c>
    </row>
    <row r="4599" spans="1:40" x14ac:dyDescent="0.3">
      <c r="A4599" s="1">
        <v>46210.467013888891</v>
      </c>
      <c r="B4599" t="s">
        <v>40</v>
      </c>
      <c r="C4599" t="s">
        <v>41</v>
      </c>
      <c r="D4599" s="1">
        <v>46210.469710648147</v>
      </c>
      <c r="E4599" t="s">
        <v>42</v>
      </c>
      <c r="F4599" t="s">
        <v>83</v>
      </c>
      <c r="G4599">
        <v>5</v>
      </c>
      <c r="H4599">
        <v>33086</v>
      </c>
      <c r="I4599" t="s">
        <v>2624</v>
      </c>
      <c r="J4599">
        <v>60</v>
      </c>
      <c r="K4599">
        <v>5</v>
      </c>
      <c r="L4599">
        <v>98</v>
      </c>
      <c r="M4599">
        <v>629.09997558999999</v>
      </c>
      <c r="N4599" t="s">
        <v>87</v>
      </c>
      <c r="O4599" t="s">
        <v>82</v>
      </c>
      <c r="P4599">
        <v>127</v>
      </c>
      <c r="Q4599">
        <v>2</v>
      </c>
      <c r="R4599">
        <v>0</v>
      </c>
      <c r="S4599">
        <v>0</v>
      </c>
      <c r="T4599">
        <v>-40</v>
      </c>
      <c r="U4599">
        <v>46</v>
      </c>
      <c r="V4599">
        <v>0</v>
      </c>
      <c r="W4599">
        <v>31</v>
      </c>
      <c r="X4599">
        <v>31</v>
      </c>
      <c r="Y4599">
        <v>5</v>
      </c>
      <c r="Z4599">
        <v>3</v>
      </c>
      <c r="AA4599">
        <v>28</v>
      </c>
      <c r="AB4599">
        <v>2</v>
      </c>
      <c r="AC4599">
        <v>2</v>
      </c>
      <c r="AD4599">
        <v>3.28299999</v>
      </c>
      <c r="AE4599">
        <v>1</v>
      </c>
      <c r="AF4599">
        <v>16</v>
      </c>
      <c r="AG4599">
        <v>3.2780001200000002</v>
      </c>
      <c r="AH4599">
        <v>7</v>
      </c>
      <c r="AI4599">
        <v>1</v>
      </c>
      <c r="AJ4599">
        <v>1</v>
      </c>
      <c r="AK4599">
        <v>19</v>
      </c>
      <c r="AL4599">
        <v>40</v>
      </c>
      <c r="AM4599" t="s">
        <v>43</v>
      </c>
      <c r="AN4599" t="str">
        <f>HYPERLINK("https://www.google.com/maps?q=10.82599926,79.83592987","Open Location")</f>
        <v>Open Location</v>
      </c>
    </row>
    <row r="4600" spans="1:40" x14ac:dyDescent="0.3">
      <c r="A4600" s="1">
        <v>46210.466898148145</v>
      </c>
      <c r="B4600" t="s">
        <v>40</v>
      </c>
      <c r="C4600" t="s">
        <v>41</v>
      </c>
      <c r="D4600" s="1">
        <v>46210.469548611109</v>
      </c>
      <c r="E4600" t="s">
        <v>42</v>
      </c>
      <c r="F4600" t="s">
        <v>83</v>
      </c>
      <c r="G4600">
        <v>14</v>
      </c>
      <c r="H4600">
        <v>33086</v>
      </c>
      <c r="I4600" t="s">
        <v>2625</v>
      </c>
      <c r="J4600">
        <v>60</v>
      </c>
      <c r="K4600">
        <v>28</v>
      </c>
      <c r="L4600">
        <v>98</v>
      </c>
      <c r="M4600">
        <v>629.09997558999999</v>
      </c>
      <c r="N4600" t="s">
        <v>87</v>
      </c>
      <c r="O4600" t="s">
        <v>86</v>
      </c>
      <c r="P4600">
        <v>129</v>
      </c>
      <c r="Q4600">
        <v>2</v>
      </c>
      <c r="R4600">
        <v>-13</v>
      </c>
      <c r="S4600">
        <v>1004</v>
      </c>
      <c r="T4600">
        <v>-40</v>
      </c>
      <c r="U4600">
        <v>46</v>
      </c>
      <c r="V4600">
        <v>100</v>
      </c>
      <c r="W4600">
        <v>31</v>
      </c>
      <c r="X4600">
        <v>31</v>
      </c>
      <c r="Y4600">
        <v>5</v>
      </c>
      <c r="Z4600">
        <v>3</v>
      </c>
      <c r="AA4600">
        <v>28</v>
      </c>
      <c r="AB4600">
        <v>2</v>
      </c>
      <c r="AC4600">
        <v>2</v>
      </c>
      <c r="AD4600">
        <v>3.3020000500000002</v>
      </c>
      <c r="AE4600">
        <v>1</v>
      </c>
      <c r="AF4600">
        <v>26</v>
      </c>
      <c r="AG4600">
        <v>3.2969999300000001</v>
      </c>
      <c r="AH4600">
        <v>1</v>
      </c>
      <c r="AI4600">
        <v>4</v>
      </c>
      <c r="AJ4600">
        <v>1</v>
      </c>
      <c r="AK4600">
        <v>20</v>
      </c>
      <c r="AL4600">
        <v>39</v>
      </c>
      <c r="AM4600" t="s">
        <v>43</v>
      </c>
      <c r="AN4600" t="str">
        <f>HYPERLINK("https://www.google.com/maps?q=10.82617569,79.83583832","Open Location")</f>
        <v>Open Location</v>
      </c>
    </row>
    <row r="4601" spans="1:40" x14ac:dyDescent="0.3">
      <c r="A4601" s="1">
        <v>46210.466782407406</v>
      </c>
      <c r="B4601" t="s">
        <v>40</v>
      </c>
      <c r="C4601" t="s">
        <v>41</v>
      </c>
      <c r="D4601" s="1">
        <v>46210.469675925924</v>
      </c>
      <c r="E4601" t="s">
        <v>42</v>
      </c>
      <c r="F4601" t="s">
        <v>83</v>
      </c>
      <c r="G4601">
        <v>19</v>
      </c>
      <c r="H4601">
        <v>33086</v>
      </c>
      <c r="I4601" t="s">
        <v>2626</v>
      </c>
      <c r="J4601">
        <v>60</v>
      </c>
      <c r="K4601">
        <v>-129</v>
      </c>
      <c r="L4601">
        <v>98</v>
      </c>
      <c r="M4601">
        <v>633.5</v>
      </c>
      <c r="N4601" t="s">
        <v>87</v>
      </c>
      <c r="O4601" t="s">
        <v>86</v>
      </c>
      <c r="P4601">
        <v>129</v>
      </c>
      <c r="Q4601">
        <v>4</v>
      </c>
      <c r="R4601">
        <v>-17</v>
      </c>
      <c r="S4601">
        <v>1139</v>
      </c>
      <c r="T4601">
        <v>-40</v>
      </c>
      <c r="U4601">
        <v>45</v>
      </c>
      <c r="V4601">
        <v>-750</v>
      </c>
      <c r="W4601">
        <v>31</v>
      </c>
      <c r="X4601">
        <v>31</v>
      </c>
      <c r="Y4601">
        <v>5</v>
      </c>
      <c r="Z4601">
        <v>3</v>
      </c>
      <c r="AA4601">
        <v>28</v>
      </c>
      <c r="AB4601">
        <v>2</v>
      </c>
      <c r="AC4601">
        <v>2</v>
      </c>
      <c r="AD4601">
        <v>3.2839999199999999</v>
      </c>
      <c r="AE4601">
        <v>1</v>
      </c>
      <c r="AF4601">
        <v>16</v>
      </c>
      <c r="AG4601">
        <v>3.27999997</v>
      </c>
      <c r="AH4601">
        <v>2</v>
      </c>
      <c r="AI4601">
        <v>19</v>
      </c>
      <c r="AJ4601">
        <v>1</v>
      </c>
      <c r="AK4601">
        <v>19</v>
      </c>
      <c r="AL4601">
        <v>39</v>
      </c>
      <c r="AM4601" t="s">
        <v>43</v>
      </c>
      <c r="AN4601" t="str">
        <f>HYPERLINK("https://www.google.com/maps?q=10.82664299,79.83559418","Open Location")</f>
        <v>Open Location</v>
      </c>
    </row>
    <row r="4602" spans="1:40" x14ac:dyDescent="0.3">
      <c r="A4602" s="1">
        <v>46210.466666666667</v>
      </c>
      <c r="B4602" t="s">
        <v>40</v>
      </c>
      <c r="C4602" t="s">
        <v>41</v>
      </c>
      <c r="D4602" s="1">
        <v>46210.469861111109</v>
      </c>
      <c r="E4602" t="s">
        <v>42</v>
      </c>
      <c r="F4602" t="s">
        <v>83</v>
      </c>
      <c r="G4602">
        <v>22</v>
      </c>
      <c r="H4602">
        <v>33086</v>
      </c>
      <c r="I4602" t="s">
        <v>43</v>
      </c>
      <c r="J4602">
        <v>60</v>
      </c>
      <c r="K4602">
        <v>-20</v>
      </c>
      <c r="L4602">
        <v>98</v>
      </c>
      <c r="M4602">
        <v>629.20001220999995</v>
      </c>
      <c r="N4602" t="s">
        <v>87</v>
      </c>
      <c r="O4602" t="s">
        <v>86</v>
      </c>
      <c r="P4602">
        <v>129</v>
      </c>
      <c r="Q4602">
        <v>4</v>
      </c>
      <c r="R4602">
        <v>31</v>
      </c>
      <c r="S4602">
        <v>1497</v>
      </c>
      <c r="T4602">
        <v>-40</v>
      </c>
      <c r="U4602">
        <v>46</v>
      </c>
      <c r="V4602">
        <v>-112</v>
      </c>
      <c r="W4602">
        <v>31</v>
      </c>
      <c r="X4602">
        <v>31</v>
      </c>
      <c r="Y4602">
        <v>1</v>
      </c>
      <c r="Z4602">
        <v>9</v>
      </c>
      <c r="AA4602">
        <v>28</v>
      </c>
      <c r="AB4602">
        <v>2</v>
      </c>
      <c r="AC4602">
        <v>2</v>
      </c>
      <c r="AD4602">
        <v>3.26799989</v>
      </c>
      <c r="AE4602">
        <v>1</v>
      </c>
      <c r="AF4602">
        <v>16</v>
      </c>
      <c r="AG4602">
        <v>3.2609999200000002</v>
      </c>
      <c r="AH4602">
        <v>6</v>
      </c>
      <c r="AI4602">
        <v>24</v>
      </c>
      <c r="AJ4602">
        <v>1</v>
      </c>
      <c r="AK4602">
        <v>20</v>
      </c>
      <c r="AL4602">
        <v>39</v>
      </c>
      <c r="AM4602" t="s">
        <v>43</v>
      </c>
      <c r="AN4602" t="s">
        <v>43</v>
      </c>
    </row>
    <row r="4603" spans="1:40" x14ac:dyDescent="0.3">
      <c r="A4603" s="1">
        <v>46210.466550925928</v>
      </c>
      <c r="B4603" t="s">
        <v>40</v>
      </c>
      <c r="C4603" t="s">
        <v>41</v>
      </c>
      <c r="D4603" s="1">
        <v>46210.469409722224</v>
      </c>
      <c r="E4603" t="s">
        <v>42</v>
      </c>
      <c r="F4603" t="s">
        <v>83</v>
      </c>
      <c r="G4603">
        <v>21</v>
      </c>
      <c r="H4603">
        <v>33086</v>
      </c>
      <c r="I4603" t="s">
        <v>43</v>
      </c>
      <c r="J4603">
        <v>60</v>
      </c>
      <c r="K4603">
        <v>72</v>
      </c>
      <c r="L4603">
        <v>98</v>
      </c>
      <c r="M4603">
        <v>625.59997558999999</v>
      </c>
      <c r="N4603" t="s">
        <v>87</v>
      </c>
      <c r="O4603" t="s">
        <v>86</v>
      </c>
      <c r="P4603">
        <v>129</v>
      </c>
      <c r="Q4603">
        <v>4</v>
      </c>
      <c r="R4603">
        <v>29</v>
      </c>
      <c r="S4603">
        <v>1631</v>
      </c>
      <c r="T4603">
        <v>-40</v>
      </c>
      <c r="U4603">
        <v>46</v>
      </c>
      <c r="V4603">
        <v>240</v>
      </c>
      <c r="W4603">
        <v>31</v>
      </c>
      <c r="X4603">
        <v>31</v>
      </c>
      <c r="Y4603">
        <v>1</v>
      </c>
      <c r="Z4603">
        <v>9</v>
      </c>
      <c r="AA4603">
        <v>28</v>
      </c>
      <c r="AB4603">
        <v>2</v>
      </c>
      <c r="AC4603">
        <v>2</v>
      </c>
      <c r="AD4603">
        <v>3.2690000499999998</v>
      </c>
      <c r="AE4603">
        <v>1</v>
      </c>
      <c r="AF4603">
        <v>16</v>
      </c>
      <c r="AG4603">
        <v>3.2630000099999998</v>
      </c>
      <c r="AH4603">
        <v>4</v>
      </c>
      <c r="AI4603">
        <v>24</v>
      </c>
      <c r="AJ4603">
        <v>1</v>
      </c>
      <c r="AK4603">
        <v>20</v>
      </c>
      <c r="AL4603">
        <v>39</v>
      </c>
      <c r="AM4603" t="s">
        <v>43</v>
      </c>
      <c r="AN4603" t="s">
        <v>43</v>
      </c>
    </row>
    <row r="4604" spans="1:40" x14ac:dyDescent="0.3">
      <c r="A4604" s="1">
        <v>46210.466435185182</v>
      </c>
      <c r="B4604" t="s">
        <v>40</v>
      </c>
      <c r="C4604" t="s">
        <v>41</v>
      </c>
      <c r="D4604" s="1">
        <v>46210.469375000001</v>
      </c>
      <c r="E4604" t="s">
        <v>42</v>
      </c>
      <c r="F4604" t="s">
        <v>83</v>
      </c>
      <c r="G4604">
        <v>18</v>
      </c>
      <c r="H4604">
        <v>33086</v>
      </c>
      <c r="I4604" t="s">
        <v>2627</v>
      </c>
      <c r="J4604">
        <v>60</v>
      </c>
      <c r="K4604">
        <v>52</v>
      </c>
      <c r="L4604">
        <v>98</v>
      </c>
      <c r="M4604">
        <v>626</v>
      </c>
      <c r="N4604" t="s">
        <v>87</v>
      </c>
      <c r="O4604" t="s">
        <v>86</v>
      </c>
      <c r="P4604">
        <v>129</v>
      </c>
      <c r="Q4604">
        <v>4</v>
      </c>
      <c r="R4604">
        <v>59</v>
      </c>
      <c r="S4604">
        <v>1566</v>
      </c>
      <c r="T4604">
        <v>-40</v>
      </c>
      <c r="U4604">
        <v>47</v>
      </c>
      <c r="V4604">
        <v>180</v>
      </c>
      <c r="W4604">
        <v>31</v>
      </c>
      <c r="X4604">
        <v>31</v>
      </c>
      <c r="Y4604">
        <v>1</v>
      </c>
      <c r="Z4604">
        <v>9</v>
      </c>
      <c r="AA4604">
        <v>28</v>
      </c>
      <c r="AB4604">
        <v>2</v>
      </c>
      <c r="AC4604">
        <v>2</v>
      </c>
      <c r="AD4604">
        <v>3.2660000299999998</v>
      </c>
      <c r="AE4604">
        <v>1</v>
      </c>
      <c r="AF4604">
        <v>16</v>
      </c>
      <c r="AG4604">
        <v>3.25900006</v>
      </c>
      <c r="AH4604">
        <v>4</v>
      </c>
      <c r="AI4604">
        <v>24</v>
      </c>
      <c r="AJ4604">
        <v>1</v>
      </c>
      <c r="AK4604">
        <v>20</v>
      </c>
      <c r="AL4604">
        <v>39</v>
      </c>
      <c r="AM4604" t="s">
        <v>43</v>
      </c>
      <c r="AN4604" t="str">
        <f>HYPERLINK("https://www.google.com/maps?q=10.82777214,79.83494568","Open Location")</f>
        <v>Open Location</v>
      </c>
    </row>
    <row r="4605" spans="1:40" x14ac:dyDescent="0.3">
      <c r="A4605" s="1">
        <v>46210.466319444444</v>
      </c>
      <c r="B4605" t="s">
        <v>40</v>
      </c>
      <c r="C4605" t="s">
        <v>41</v>
      </c>
      <c r="D4605" s="1">
        <v>46210.469409722224</v>
      </c>
      <c r="E4605" t="s">
        <v>42</v>
      </c>
      <c r="F4605" t="s">
        <v>83</v>
      </c>
      <c r="G4605">
        <v>22</v>
      </c>
      <c r="H4605" t="s">
        <v>43</v>
      </c>
      <c r="I4605" t="s">
        <v>43</v>
      </c>
      <c r="J4605">
        <v>60</v>
      </c>
      <c r="K4605">
        <v>111</v>
      </c>
      <c r="L4605">
        <v>98</v>
      </c>
      <c r="M4605">
        <v>623.59997558999999</v>
      </c>
      <c r="N4605" t="s">
        <v>87</v>
      </c>
      <c r="O4605" t="s">
        <v>86</v>
      </c>
      <c r="P4605">
        <v>129</v>
      </c>
      <c r="Q4605">
        <v>4</v>
      </c>
      <c r="R4605">
        <v>-20</v>
      </c>
      <c r="S4605">
        <v>1371</v>
      </c>
      <c r="T4605">
        <v>-40</v>
      </c>
      <c r="U4605">
        <v>45</v>
      </c>
      <c r="V4605">
        <v>400</v>
      </c>
      <c r="W4605">
        <v>31</v>
      </c>
      <c r="X4605">
        <v>31</v>
      </c>
      <c r="Y4605">
        <v>1</v>
      </c>
      <c r="Z4605">
        <v>9</v>
      </c>
      <c r="AA4605">
        <v>28</v>
      </c>
      <c r="AB4605">
        <v>2</v>
      </c>
      <c r="AC4605">
        <v>2</v>
      </c>
      <c r="AD4605">
        <v>3.2820000600000001</v>
      </c>
      <c r="AE4605">
        <v>1</v>
      </c>
      <c r="AF4605">
        <v>16</v>
      </c>
      <c r="AG4605">
        <v>3.2780001200000002</v>
      </c>
      <c r="AH4605">
        <v>2</v>
      </c>
      <c r="AI4605">
        <v>6</v>
      </c>
      <c r="AJ4605">
        <v>1</v>
      </c>
      <c r="AK4605">
        <v>20</v>
      </c>
      <c r="AL4605">
        <v>39</v>
      </c>
      <c r="AM4605" t="s">
        <v>43</v>
      </c>
      <c r="AN4605" t="s">
        <v>43</v>
      </c>
    </row>
    <row r="4606" spans="1:40" x14ac:dyDescent="0.3">
      <c r="A4606" s="1">
        <v>46210.466203703705</v>
      </c>
      <c r="B4606" t="s">
        <v>40</v>
      </c>
      <c r="C4606" t="s">
        <v>41</v>
      </c>
      <c r="D4606" s="1">
        <v>46210.468935185185</v>
      </c>
      <c r="E4606" t="s">
        <v>42</v>
      </c>
      <c r="F4606" t="s">
        <v>83</v>
      </c>
      <c r="G4606">
        <v>24</v>
      </c>
      <c r="H4606">
        <v>33086</v>
      </c>
      <c r="I4606" t="s">
        <v>2628</v>
      </c>
      <c r="J4606">
        <v>60</v>
      </c>
      <c r="K4606">
        <v>54</v>
      </c>
      <c r="L4606">
        <v>98</v>
      </c>
      <c r="M4606">
        <v>626.59997558999999</v>
      </c>
      <c r="N4606" t="s">
        <v>87</v>
      </c>
      <c r="O4606" t="s">
        <v>86</v>
      </c>
      <c r="P4606">
        <v>129</v>
      </c>
      <c r="Q4606">
        <v>4</v>
      </c>
      <c r="R4606">
        <v>36</v>
      </c>
      <c r="S4606">
        <v>1701</v>
      </c>
      <c r="T4606">
        <v>-40</v>
      </c>
      <c r="U4606">
        <v>46</v>
      </c>
      <c r="V4606">
        <v>180</v>
      </c>
      <c r="W4606">
        <v>31</v>
      </c>
      <c r="X4606">
        <v>31</v>
      </c>
      <c r="Y4606">
        <v>1</v>
      </c>
      <c r="Z4606">
        <v>9</v>
      </c>
      <c r="AA4606">
        <v>28</v>
      </c>
      <c r="AB4606">
        <v>2</v>
      </c>
      <c r="AC4606">
        <v>2</v>
      </c>
      <c r="AD4606">
        <v>3.2650001</v>
      </c>
      <c r="AE4606">
        <v>5</v>
      </c>
      <c r="AF4606">
        <v>38</v>
      </c>
      <c r="AG4606">
        <v>3.2569999699999999</v>
      </c>
      <c r="AH4606">
        <v>4</v>
      </c>
      <c r="AI4606">
        <v>24</v>
      </c>
      <c r="AJ4606">
        <v>1</v>
      </c>
      <c r="AK4606">
        <v>20</v>
      </c>
      <c r="AL4606">
        <v>39</v>
      </c>
      <c r="AM4606" t="s">
        <v>43</v>
      </c>
      <c r="AN4606" t="str">
        <f>HYPERLINK("https://www.google.com/maps?q=10.82857227,79.83449554","Open Location")</f>
        <v>Open Location</v>
      </c>
    </row>
    <row r="4607" spans="1:40" x14ac:dyDescent="0.3">
      <c r="A4607" s="1">
        <v>46210.466087962966</v>
      </c>
      <c r="B4607" t="s">
        <v>40</v>
      </c>
      <c r="C4607" t="s">
        <v>41</v>
      </c>
      <c r="D4607" s="1">
        <v>46210.468946759262</v>
      </c>
      <c r="E4607" t="s">
        <v>42</v>
      </c>
      <c r="F4607" t="s">
        <v>83</v>
      </c>
      <c r="G4607">
        <v>23</v>
      </c>
      <c r="H4607">
        <v>33085</v>
      </c>
      <c r="I4607" t="s">
        <v>2629</v>
      </c>
      <c r="J4607">
        <v>60</v>
      </c>
      <c r="K4607">
        <v>66</v>
      </c>
      <c r="L4607">
        <v>98</v>
      </c>
      <c r="M4607">
        <v>625.70001220999995</v>
      </c>
      <c r="N4607" t="s">
        <v>87</v>
      </c>
      <c r="O4607" t="s">
        <v>86</v>
      </c>
      <c r="P4607">
        <v>129</v>
      </c>
      <c r="Q4607">
        <v>4</v>
      </c>
      <c r="R4607">
        <v>32</v>
      </c>
      <c r="S4607">
        <v>1796</v>
      </c>
      <c r="T4607">
        <v>-40</v>
      </c>
      <c r="U4607">
        <v>46</v>
      </c>
      <c r="V4607">
        <v>200</v>
      </c>
      <c r="W4607">
        <v>31</v>
      </c>
      <c r="X4607">
        <v>31</v>
      </c>
      <c r="Y4607">
        <v>1</v>
      </c>
      <c r="Z4607">
        <v>9</v>
      </c>
      <c r="AA4607">
        <v>28</v>
      </c>
      <c r="AB4607">
        <v>2</v>
      </c>
      <c r="AC4607">
        <v>2</v>
      </c>
      <c r="AD4607">
        <v>3.2660000299999998</v>
      </c>
      <c r="AE4607">
        <v>1</v>
      </c>
      <c r="AF4607">
        <v>16</v>
      </c>
      <c r="AG4607">
        <v>3.25900006</v>
      </c>
      <c r="AH4607">
        <v>4</v>
      </c>
      <c r="AI4607">
        <v>24</v>
      </c>
      <c r="AJ4607">
        <v>1</v>
      </c>
      <c r="AK4607">
        <v>20</v>
      </c>
      <c r="AL4607">
        <v>39</v>
      </c>
      <c r="AM4607" t="s">
        <v>43</v>
      </c>
      <c r="AN4607" t="str">
        <f>HYPERLINK("https://www.google.com/maps?q=10.82929516,79.83449554","Open Location")</f>
        <v>Open Location</v>
      </c>
    </row>
    <row r="4608" spans="1:40" x14ac:dyDescent="0.3">
      <c r="A4608" s="1">
        <v>46210.46597222222</v>
      </c>
      <c r="B4608" t="s">
        <v>40</v>
      </c>
      <c r="C4608" t="s">
        <v>41</v>
      </c>
      <c r="D4608" s="1">
        <v>46210.468634259261</v>
      </c>
      <c r="E4608" t="s">
        <v>42</v>
      </c>
      <c r="F4608" t="s">
        <v>83</v>
      </c>
      <c r="G4608">
        <v>21</v>
      </c>
      <c r="H4608">
        <v>33085</v>
      </c>
      <c r="I4608" t="s">
        <v>2630</v>
      </c>
      <c r="J4608">
        <v>60</v>
      </c>
      <c r="K4608">
        <v>46</v>
      </c>
      <c r="L4608">
        <v>98</v>
      </c>
      <c r="M4608">
        <v>626</v>
      </c>
      <c r="N4608" t="s">
        <v>87</v>
      </c>
      <c r="O4608" t="s">
        <v>86</v>
      </c>
      <c r="P4608">
        <v>129</v>
      </c>
      <c r="Q4608">
        <v>4</v>
      </c>
      <c r="R4608">
        <v>33</v>
      </c>
      <c r="S4608">
        <v>1719</v>
      </c>
      <c r="T4608">
        <v>-40</v>
      </c>
      <c r="U4608">
        <v>46</v>
      </c>
      <c r="V4608">
        <v>140</v>
      </c>
      <c r="W4608">
        <v>31</v>
      </c>
      <c r="X4608">
        <v>31</v>
      </c>
      <c r="Y4608">
        <v>1</v>
      </c>
      <c r="Z4608">
        <v>9</v>
      </c>
      <c r="AA4608">
        <v>28</v>
      </c>
      <c r="AB4608">
        <v>2</v>
      </c>
      <c r="AC4608">
        <v>2</v>
      </c>
      <c r="AD4608">
        <v>3.2650001</v>
      </c>
      <c r="AE4608">
        <v>5</v>
      </c>
      <c r="AF4608">
        <v>38</v>
      </c>
      <c r="AG4608">
        <v>3.2569999699999999</v>
      </c>
      <c r="AH4608">
        <v>4</v>
      </c>
      <c r="AI4608">
        <v>24</v>
      </c>
      <c r="AJ4608">
        <v>1</v>
      </c>
      <c r="AK4608">
        <v>20</v>
      </c>
      <c r="AL4608">
        <v>39</v>
      </c>
      <c r="AM4608" t="s">
        <v>43</v>
      </c>
      <c r="AN4608" t="str">
        <f>HYPERLINK("https://www.google.com/maps?q=10.82998466,79.8345108","Open Location")</f>
        <v>Open Location</v>
      </c>
    </row>
    <row r="4609" spans="1:40" x14ac:dyDescent="0.3">
      <c r="A4609" s="1">
        <v>46210.465856481482</v>
      </c>
      <c r="B4609" t="s">
        <v>40</v>
      </c>
      <c r="C4609" t="s">
        <v>41</v>
      </c>
      <c r="D4609" s="1">
        <v>46210.468935185185</v>
      </c>
      <c r="E4609" t="s">
        <v>42</v>
      </c>
      <c r="F4609" t="s">
        <v>83</v>
      </c>
      <c r="G4609">
        <v>21</v>
      </c>
      <c r="H4609" t="s">
        <v>43</v>
      </c>
      <c r="I4609" t="s">
        <v>2631</v>
      </c>
      <c r="J4609">
        <v>60</v>
      </c>
      <c r="K4609">
        <v>69</v>
      </c>
      <c r="L4609">
        <v>98</v>
      </c>
      <c r="M4609">
        <v>624.90002441000001</v>
      </c>
      <c r="N4609" t="s">
        <v>87</v>
      </c>
      <c r="O4609" t="s">
        <v>86</v>
      </c>
      <c r="P4609">
        <v>129</v>
      </c>
      <c r="Q4609" t="s">
        <v>43</v>
      </c>
      <c r="R4609">
        <v>36</v>
      </c>
      <c r="S4609">
        <v>1579</v>
      </c>
      <c r="T4609">
        <v>-40</v>
      </c>
      <c r="U4609">
        <v>47</v>
      </c>
      <c r="V4609">
        <v>240</v>
      </c>
      <c r="W4609">
        <v>31</v>
      </c>
      <c r="X4609">
        <v>31</v>
      </c>
      <c r="Y4609">
        <v>1</v>
      </c>
      <c r="Z4609">
        <v>9</v>
      </c>
      <c r="AA4609">
        <v>28</v>
      </c>
      <c r="AB4609">
        <v>2</v>
      </c>
      <c r="AC4609">
        <v>2</v>
      </c>
      <c r="AD4609">
        <v>3.2650001</v>
      </c>
      <c r="AE4609">
        <v>5</v>
      </c>
      <c r="AF4609">
        <v>38</v>
      </c>
      <c r="AG4609">
        <v>3.2569999699999999</v>
      </c>
      <c r="AH4609">
        <v>4</v>
      </c>
      <c r="AI4609">
        <v>24</v>
      </c>
      <c r="AJ4609">
        <v>1</v>
      </c>
      <c r="AK4609">
        <v>20</v>
      </c>
      <c r="AL4609">
        <v>39</v>
      </c>
      <c r="AM4609" t="s">
        <v>43</v>
      </c>
      <c r="AN4609" t="str">
        <f>HYPERLINK("https://www.google.com/maps?q=10.83061695,79.8344574","Open Location")</f>
        <v>Open Location</v>
      </c>
    </row>
    <row r="4610" spans="1:40" x14ac:dyDescent="0.3">
      <c r="A4610" s="1">
        <v>46210.465740740743</v>
      </c>
      <c r="B4610" t="s">
        <v>40</v>
      </c>
      <c r="C4610" t="s">
        <v>41</v>
      </c>
      <c r="D4610" s="1">
        <v>46210.468506944446</v>
      </c>
      <c r="E4610" t="s">
        <v>42</v>
      </c>
      <c r="F4610" t="s">
        <v>83</v>
      </c>
      <c r="G4610">
        <v>19</v>
      </c>
      <c r="H4610">
        <v>33085</v>
      </c>
      <c r="I4610" t="s">
        <v>43</v>
      </c>
      <c r="J4610">
        <v>60</v>
      </c>
      <c r="K4610">
        <v>65</v>
      </c>
      <c r="L4610">
        <v>98</v>
      </c>
      <c r="M4610">
        <v>625.40002441000001</v>
      </c>
      <c r="N4610" t="s">
        <v>87</v>
      </c>
      <c r="O4610" t="s">
        <v>86</v>
      </c>
      <c r="P4610">
        <v>129</v>
      </c>
      <c r="Q4610">
        <v>4</v>
      </c>
      <c r="R4610">
        <v>54</v>
      </c>
      <c r="S4610">
        <v>1587</v>
      </c>
      <c r="T4610">
        <v>-40</v>
      </c>
      <c r="U4610">
        <v>47</v>
      </c>
      <c r="V4610">
        <v>220</v>
      </c>
      <c r="W4610">
        <v>31</v>
      </c>
      <c r="X4610">
        <v>31</v>
      </c>
      <c r="Y4610">
        <v>1</v>
      </c>
      <c r="Z4610">
        <v>9</v>
      </c>
      <c r="AA4610">
        <v>28</v>
      </c>
      <c r="AB4610">
        <v>2</v>
      </c>
      <c r="AC4610">
        <v>2</v>
      </c>
      <c r="AD4610">
        <v>3.2569999699999999</v>
      </c>
      <c r="AE4610">
        <v>5</v>
      </c>
      <c r="AF4610">
        <v>38</v>
      </c>
      <c r="AG4610">
        <v>3.2460000500000001</v>
      </c>
      <c r="AH4610">
        <v>6</v>
      </c>
      <c r="AI4610">
        <v>24</v>
      </c>
      <c r="AJ4610">
        <v>1</v>
      </c>
      <c r="AK4610">
        <v>20</v>
      </c>
      <c r="AL4610">
        <v>39</v>
      </c>
      <c r="AM4610" t="s">
        <v>43</v>
      </c>
      <c r="AN4610" t="s">
        <v>43</v>
      </c>
    </row>
    <row r="4611" spans="1:40" x14ac:dyDescent="0.3">
      <c r="A4611" s="1">
        <v>46210.465624999997</v>
      </c>
      <c r="B4611" t="s">
        <v>40</v>
      </c>
      <c r="C4611" t="s">
        <v>41</v>
      </c>
      <c r="D4611" s="1">
        <v>46210.468541666669</v>
      </c>
      <c r="E4611" t="s">
        <v>42</v>
      </c>
      <c r="F4611" t="s">
        <v>83</v>
      </c>
      <c r="G4611">
        <v>17</v>
      </c>
      <c r="H4611">
        <v>33085</v>
      </c>
      <c r="I4611" t="s">
        <v>2632</v>
      </c>
      <c r="J4611">
        <v>60</v>
      </c>
      <c r="K4611">
        <v>55</v>
      </c>
      <c r="L4611">
        <v>98</v>
      </c>
      <c r="M4611">
        <v>625.90002441000001</v>
      </c>
      <c r="N4611" t="s">
        <v>87</v>
      </c>
      <c r="O4611" t="s">
        <v>86</v>
      </c>
      <c r="P4611">
        <v>129</v>
      </c>
      <c r="Q4611">
        <v>4</v>
      </c>
      <c r="R4611">
        <v>61</v>
      </c>
      <c r="S4611">
        <v>1427</v>
      </c>
      <c r="T4611">
        <v>-40</v>
      </c>
      <c r="U4611">
        <v>47</v>
      </c>
      <c r="V4611">
        <v>200</v>
      </c>
      <c r="W4611">
        <v>31</v>
      </c>
      <c r="X4611">
        <v>31</v>
      </c>
      <c r="Y4611">
        <v>5</v>
      </c>
      <c r="Z4611">
        <v>3</v>
      </c>
      <c r="AA4611">
        <v>28</v>
      </c>
      <c r="AB4611">
        <v>2</v>
      </c>
      <c r="AC4611">
        <v>2</v>
      </c>
      <c r="AD4611">
        <v>3.2569999699999999</v>
      </c>
      <c r="AE4611">
        <v>5</v>
      </c>
      <c r="AF4611">
        <v>38</v>
      </c>
      <c r="AG4611">
        <v>3.2449998899999999</v>
      </c>
      <c r="AH4611">
        <v>4</v>
      </c>
      <c r="AI4611">
        <v>24</v>
      </c>
      <c r="AJ4611">
        <v>1</v>
      </c>
      <c r="AK4611">
        <v>20</v>
      </c>
      <c r="AL4611">
        <v>39</v>
      </c>
      <c r="AM4611" t="s">
        <v>43</v>
      </c>
      <c r="AN4611" t="str">
        <f>HYPERLINK("https://www.google.com/maps?q=10.83121204,79.83431244","Open Location")</f>
        <v>Open Location</v>
      </c>
    </row>
    <row r="4612" spans="1:40" x14ac:dyDescent="0.3">
      <c r="A4612" s="1">
        <v>46210.465509259258</v>
      </c>
      <c r="B4612" t="s">
        <v>40</v>
      </c>
      <c r="C4612" t="s">
        <v>41</v>
      </c>
      <c r="D4612" s="1">
        <v>46210.468206018515</v>
      </c>
      <c r="E4612" t="s">
        <v>42</v>
      </c>
      <c r="F4612" t="s">
        <v>83</v>
      </c>
      <c r="G4612">
        <v>12</v>
      </c>
      <c r="H4612">
        <v>33085</v>
      </c>
      <c r="I4612" t="s">
        <v>2633</v>
      </c>
      <c r="J4612">
        <v>60</v>
      </c>
      <c r="K4612">
        <v>67</v>
      </c>
      <c r="L4612">
        <v>98</v>
      </c>
      <c r="M4612">
        <v>625.90002441000001</v>
      </c>
      <c r="N4612" t="s">
        <v>87</v>
      </c>
      <c r="O4612" t="s">
        <v>86</v>
      </c>
      <c r="P4612">
        <v>128</v>
      </c>
      <c r="Q4612">
        <v>4</v>
      </c>
      <c r="R4612">
        <v>150</v>
      </c>
      <c r="S4612">
        <v>1274</v>
      </c>
      <c r="T4612">
        <v>-40</v>
      </c>
      <c r="U4612">
        <v>49</v>
      </c>
      <c r="V4612">
        <v>280</v>
      </c>
      <c r="W4612">
        <v>31</v>
      </c>
      <c r="X4612">
        <v>31</v>
      </c>
      <c r="Y4612">
        <v>5</v>
      </c>
      <c r="Z4612">
        <v>3</v>
      </c>
      <c r="AA4612">
        <v>28</v>
      </c>
      <c r="AB4612">
        <v>2</v>
      </c>
      <c r="AC4612">
        <v>2</v>
      </c>
      <c r="AD4612">
        <v>3.23200011</v>
      </c>
      <c r="AE4612">
        <v>1</v>
      </c>
      <c r="AF4612">
        <v>48</v>
      </c>
      <c r="AG4612">
        <v>3.2090001099999999</v>
      </c>
      <c r="AH4612">
        <v>4</v>
      </c>
      <c r="AI4612">
        <v>17</v>
      </c>
      <c r="AJ4612">
        <v>1</v>
      </c>
      <c r="AK4612">
        <v>20</v>
      </c>
      <c r="AL4612">
        <v>39</v>
      </c>
      <c r="AM4612" t="s">
        <v>43</v>
      </c>
      <c r="AN4612" t="str">
        <f>HYPERLINK("https://www.google.com/maps?q=10.83173466,79.83419037","Open Location")</f>
        <v>Open Location</v>
      </c>
    </row>
    <row r="4613" spans="1:40" x14ac:dyDescent="0.3">
      <c r="A4613" s="1">
        <v>46210.46539351852</v>
      </c>
      <c r="B4613" t="s">
        <v>40</v>
      </c>
      <c r="C4613" t="s">
        <v>41</v>
      </c>
      <c r="D4613" s="1">
        <v>46210.468194444446</v>
      </c>
      <c r="E4613" t="s">
        <v>42</v>
      </c>
      <c r="F4613" t="s">
        <v>83</v>
      </c>
      <c r="G4613">
        <v>2</v>
      </c>
      <c r="H4613">
        <v>33085</v>
      </c>
      <c r="I4613" t="s">
        <v>2634</v>
      </c>
      <c r="J4613">
        <v>60</v>
      </c>
      <c r="K4613">
        <v>231</v>
      </c>
      <c r="L4613">
        <v>98</v>
      </c>
      <c r="M4613">
        <v>620.5</v>
      </c>
      <c r="N4613" t="s">
        <v>87</v>
      </c>
      <c r="O4613" t="s">
        <v>86</v>
      </c>
      <c r="P4613">
        <v>127</v>
      </c>
      <c r="Q4613">
        <v>2</v>
      </c>
      <c r="R4613">
        <v>0</v>
      </c>
      <c r="S4613">
        <v>1210</v>
      </c>
      <c r="T4613">
        <v>-40</v>
      </c>
      <c r="U4613">
        <v>45</v>
      </c>
      <c r="V4613">
        <v>1000</v>
      </c>
      <c r="W4613">
        <v>31</v>
      </c>
      <c r="X4613">
        <v>31</v>
      </c>
      <c r="Y4613">
        <v>5</v>
      </c>
      <c r="Z4613">
        <v>3</v>
      </c>
      <c r="AA4613">
        <v>28</v>
      </c>
      <c r="AB4613">
        <v>2</v>
      </c>
      <c r="AC4613">
        <v>2</v>
      </c>
      <c r="AD4613">
        <v>3.2809998999999999</v>
      </c>
      <c r="AE4613">
        <v>1</v>
      </c>
      <c r="AF4613">
        <v>16</v>
      </c>
      <c r="AG4613">
        <v>3.2750001000000002</v>
      </c>
      <c r="AH4613">
        <v>4</v>
      </c>
      <c r="AI4613">
        <v>17</v>
      </c>
      <c r="AJ4613">
        <v>1</v>
      </c>
      <c r="AK4613">
        <v>20</v>
      </c>
      <c r="AL4613">
        <v>39</v>
      </c>
      <c r="AM4613" t="s">
        <v>43</v>
      </c>
      <c r="AN4613" t="str">
        <f>HYPERLINK("https://www.google.com/maps?q=10.83207607,79.83403778","Open Location")</f>
        <v>Open Location</v>
      </c>
    </row>
    <row r="4614" spans="1:40" x14ac:dyDescent="0.3">
      <c r="A4614" s="1">
        <v>46210.465277777781</v>
      </c>
      <c r="B4614" t="s">
        <v>40</v>
      </c>
      <c r="C4614" t="s">
        <v>41</v>
      </c>
      <c r="D4614" s="1">
        <v>46210.467997685184</v>
      </c>
      <c r="E4614" t="s">
        <v>42</v>
      </c>
      <c r="F4614" t="s">
        <v>83</v>
      </c>
      <c r="G4614">
        <v>0</v>
      </c>
      <c r="H4614">
        <v>33085</v>
      </c>
      <c r="I4614" t="s">
        <v>2635</v>
      </c>
      <c r="J4614">
        <v>60</v>
      </c>
      <c r="K4614">
        <v>52</v>
      </c>
      <c r="L4614">
        <v>98</v>
      </c>
      <c r="M4614">
        <v>626.59997558999999</v>
      </c>
      <c r="N4614" t="s">
        <v>85</v>
      </c>
      <c r="O4614" t="s">
        <v>86</v>
      </c>
      <c r="P4614">
        <v>127</v>
      </c>
      <c r="Q4614">
        <v>2</v>
      </c>
      <c r="R4614">
        <v>7</v>
      </c>
      <c r="S4614">
        <v>554</v>
      </c>
      <c r="T4614">
        <v>-40</v>
      </c>
      <c r="U4614">
        <v>44</v>
      </c>
      <c r="V4614">
        <v>384</v>
      </c>
      <c r="W4614">
        <v>31</v>
      </c>
      <c r="X4614">
        <v>31</v>
      </c>
      <c r="Y4614">
        <v>5</v>
      </c>
      <c r="Z4614">
        <v>3</v>
      </c>
      <c r="AA4614">
        <v>28</v>
      </c>
      <c r="AB4614">
        <v>2</v>
      </c>
      <c r="AC4614">
        <v>2</v>
      </c>
      <c r="AD4614">
        <v>3.2809998999999999</v>
      </c>
      <c r="AE4614">
        <v>1</v>
      </c>
      <c r="AF4614">
        <v>16</v>
      </c>
      <c r="AG4614">
        <v>3.27399993</v>
      </c>
      <c r="AH4614">
        <v>4</v>
      </c>
      <c r="AI4614">
        <v>17</v>
      </c>
      <c r="AJ4614">
        <v>1</v>
      </c>
      <c r="AK4614">
        <v>20</v>
      </c>
      <c r="AL4614">
        <v>39</v>
      </c>
      <c r="AM4614" t="s">
        <v>43</v>
      </c>
      <c r="AN4614" t="str">
        <f>HYPERLINK("https://www.google.com/maps?q=10.83216667,79.83409882","Open Location")</f>
        <v>Open Location</v>
      </c>
    </row>
    <row r="4615" spans="1:40" x14ac:dyDescent="0.3">
      <c r="A4615" s="1">
        <v>46210.465162037035</v>
      </c>
      <c r="B4615" t="s">
        <v>40</v>
      </c>
      <c r="C4615" t="s">
        <v>41</v>
      </c>
      <c r="D4615" s="1">
        <v>46210.467893518522</v>
      </c>
      <c r="E4615" t="s">
        <v>42</v>
      </c>
      <c r="F4615" t="s">
        <v>83</v>
      </c>
      <c r="G4615">
        <v>0</v>
      </c>
      <c r="H4615" t="s">
        <v>43</v>
      </c>
      <c r="I4615" t="s">
        <v>2636</v>
      </c>
      <c r="J4615">
        <v>60</v>
      </c>
      <c r="K4615">
        <v>14</v>
      </c>
      <c r="L4615">
        <v>98</v>
      </c>
      <c r="M4615">
        <v>629.29998779000005</v>
      </c>
      <c r="N4615" t="s">
        <v>85</v>
      </c>
      <c r="O4615" t="s">
        <v>86</v>
      </c>
      <c r="P4615">
        <v>125</v>
      </c>
      <c r="Q4615" t="s">
        <v>43</v>
      </c>
      <c r="R4615">
        <v>0</v>
      </c>
      <c r="S4615">
        <v>323</v>
      </c>
      <c r="T4615">
        <v>-40</v>
      </c>
      <c r="U4615">
        <v>43</v>
      </c>
      <c r="V4615">
        <v>5</v>
      </c>
      <c r="W4615">
        <v>31</v>
      </c>
      <c r="X4615">
        <v>31</v>
      </c>
      <c r="Y4615">
        <v>5</v>
      </c>
      <c r="Z4615">
        <v>3</v>
      </c>
      <c r="AA4615">
        <v>28</v>
      </c>
      <c r="AB4615">
        <v>2</v>
      </c>
      <c r="AC4615">
        <v>2</v>
      </c>
      <c r="AD4615">
        <v>3.28600001</v>
      </c>
      <c r="AE4615">
        <v>1</v>
      </c>
      <c r="AF4615">
        <v>16</v>
      </c>
      <c r="AG4615">
        <v>3.27999997</v>
      </c>
      <c r="AH4615">
        <v>4</v>
      </c>
      <c r="AI4615">
        <v>17</v>
      </c>
      <c r="AJ4615">
        <v>1</v>
      </c>
      <c r="AK4615">
        <v>20</v>
      </c>
      <c r="AL4615">
        <v>39</v>
      </c>
      <c r="AM4615" t="s">
        <v>43</v>
      </c>
      <c r="AN4615" t="str">
        <f>HYPERLINK("https://www.google.com/maps?q=10.8321619,79.83415985","Open Location")</f>
        <v>Open Location</v>
      </c>
    </row>
    <row r="4616" spans="1:40" x14ac:dyDescent="0.3">
      <c r="A4616" s="1">
        <v>46210.465046296296</v>
      </c>
      <c r="B4616" t="s">
        <v>40</v>
      </c>
      <c r="C4616" t="s">
        <v>41</v>
      </c>
      <c r="D4616" s="1">
        <v>46210.46770833333</v>
      </c>
      <c r="E4616" t="s">
        <v>42</v>
      </c>
      <c r="F4616" t="s">
        <v>83</v>
      </c>
      <c r="G4616">
        <v>0</v>
      </c>
      <c r="H4616">
        <v>33085</v>
      </c>
      <c r="I4616" t="s">
        <v>43</v>
      </c>
      <c r="J4616">
        <v>60</v>
      </c>
      <c r="K4616">
        <v>5</v>
      </c>
      <c r="L4616">
        <v>98</v>
      </c>
      <c r="M4616">
        <v>630.29998779000005</v>
      </c>
      <c r="N4616" t="s">
        <v>85</v>
      </c>
      <c r="O4616" t="s">
        <v>82</v>
      </c>
      <c r="P4616">
        <v>125</v>
      </c>
      <c r="Q4616" t="s">
        <v>82</v>
      </c>
      <c r="R4616">
        <v>0</v>
      </c>
      <c r="S4616">
        <v>0</v>
      </c>
      <c r="T4616">
        <v>-40</v>
      </c>
      <c r="U4616">
        <v>43</v>
      </c>
      <c r="V4616">
        <v>0</v>
      </c>
      <c r="W4616">
        <v>31</v>
      </c>
      <c r="X4616">
        <v>31</v>
      </c>
      <c r="Y4616">
        <v>5</v>
      </c>
      <c r="Z4616">
        <v>3</v>
      </c>
      <c r="AA4616">
        <v>28</v>
      </c>
      <c r="AB4616">
        <v>2</v>
      </c>
      <c r="AC4616">
        <v>2</v>
      </c>
      <c r="AD4616">
        <v>3.28800011</v>
      </c>
      <c r="AE4616">
        <v>1</v>
      </c>
      <c r="AF4616">
        <v>16</v>
      </c>
      <c r="AG4616">
        <v>3.28299999</v>
      </c>
      <c r="AH4616">
        <v>7</v>
      </c>
      <c r="AI4616">
        <v>1</v>
      </c>
      <c r="AJ4616">
        <v>1</v>
      </c>
      <c r="AK4616">
        <v>20</v>
      </c>
      <c r="AL4616">
        <v>39</v>
      </c>
      <c r="AM4616" t="s">
        <v>43</v>
      </c>
      <c r="AN4616" t="s">
        <v>43</v>
      </c>
    </row>
    <row r="4617" spans="1:40" x14ac:dyDescent="0.3">
      <c r="A4617" s="1">
        <v>46210.464930555558</v>
      </c>
      <c r="B4617" t="s">
        <v>40</v>
      </c>
      <c r="C4617" t="s">
        <v>41</v>
      </c>
      <c r="D4617" s="1">
        <v>46210.467974537038</v>
      </c>
      <c r="E4617" t="s">
        <v>42</v>
      </c>
      <c r="F4617" t="s">
        <v>83</v>
      </c>
      <c r="G4617">
        <v>0</v>
      </c>
      <c r="H4617">
        <v>33085</v>
      </c>
      <c r="I4617" t="s">
        <v>2637</v>
      </c>
      <c r="J4617">
        <v>60</v>
      </c>
      <c r="K4617">
        <v>5</v>
      </c>
      <c r="L4617">
        <v>98</v>
      </c>
      <c r="M4617">
        <v>630.09997558999999</v>
      </c>
      <c r="N4617" t="s">
        <v>85</v>
      </c>
      <c r="O4617" t="s">
        <v>82</v>
      </c>
      <c r="P4617">
        <v>125</v>
      </c>
      <c r="Q4617" t="s">
        <v>82</v>
      </c>
      <c r="R4617">
        <v>0</v>
      </c>
      <c r="S4617">
        <v>0</v>
      </c>
      <c r="T4617">
        <v>-40</v>
      </c>
      <c r="U4617">
        <v>43</v>
      </c>
      <c r="V4617">
        <v>0</v>
      </c>
      <c r="W4617">
        <v>31</v>
      </c>
      <c r="X4617">
        <v>31</v>
      </c>
      <c r="Y4617">
        <v>5</v>
      </c>
      <c r="Z4617">
        <v>3</v>
      </c>
      <c r="AA4617">
        <v>28</v>
      </c>
      <c r="AB4617">
        <v>2</v>
      </c>
      <c r="AC4617">
        <v>2</v>
      </c>
      <c r="AD4617">
        <v>3.2869999399999998</v>
      </c>
      <c r="AE4617">
        <v>1</v>
      </c>
      <c r="AF4617">
        <v>16</v>
      </c>
      <c r="AG4617">
        <v>3.28299999</v>
      </c>
      <c r="AH4617">
        <v>7</v>
      </c>
      <c r="AI4617">
        <v>1</v>
      </c>
      <c r="AJ4617">
        <v>1</v>
      </c>
      <c r="AK4617">
        <v>20</v>
      </c>
      <c r="AL4617">
        <v>38</v>
      </c>
      <c r="AM4617" t="s">
        <v>43</v>
      </c>
      <c r="AN4617" t="str">
        <f>HYPERLINK("https://www.google.com/maps?q=10.83215714,79.83415985","Open Location")</f>
        <v>Open Location</v>
      </c>
    </row>
    <row r="4618" spans="1:40" x14ac:dyDescent="0.3">
      <c r="A4618" s="1">
        <v>46210.464814814812</v>
      </c>
      <c r="B4618" t="s">
        <v>40</v>
      </c>
      <c r="C4618" t="s">
        <v>41</v>
      </c>
      <c r="D4618" s="1">
        <v>46210.467604166668</v>
      </c>
      <c r="E4618" t="s">
        <v>42</v>
      </c>
      <c r="F4618" t="s">
        <v>83</v>
      </c>
      <c r="G4618">
        <v>0</v>
      </c>
      <c r="H4618" t="s">
        <v>43</v>
      </c>
      <c r="I4618" t="s">
        <v>2638</v>
      </c>
      <c r="J4618">
        <v>60</v>
      </c>
      <c r="K4618">
        <v>5</v>
      </c>
      <c r="L4618">
        <v>98</v>
      </c>
      <c r="M4618">
        <v>630.5</v>
      </c>
      <c r="N4618" t="s">
        <v>85</v>
      </c>
      <c r="O4618" t="s">
        <v>82</v>
      </c>
      <c r="P4618">
        <v>125</v>
      </c>
      <c r="Q4618" t="s">
        <v>82</v>
      </c>
      <c r="R4618">
        <v>0</v>
      </c>
      <c r="S4618">
        <v>0</v>
      </c>
      <c r="T4618">
        <v>-40</v>
      </c>
      <c r="U4618">
        <v>43</v>
      </c>
      <c r="V4618">
        <v>0</v>
      </c>
      <c r="W4618">
        <v>31</v>
      </c>
      <c r="X4618">
        <v>31</v>
      </c>
      <c r="Y4618">
        <v>5</v>
      </c>
      <c r="Z4618">
        <v>3</v>
      </c>
      <c r="AA4618">
        <v>28</v>
      </c>
      <c r="AB4618">
        <v>2</v>
      </c>
      <c r="AC4618">
        <v>2</v>
      </c>
      <c r="AD4618">
        <v>3.2869999399999998</v>
      </c>
      <c r="AE4618">
        <v>1</v>
      </c>
      <c r="AF4618">
        <v>16</v>
      </c>
      <c r="AG4618">
        <v>3.28299999</v>
      </c>
      <c r="AH4618">
        <v>6</v>
      </c>
      <c r="AI4618">
        <v>24</v>
      </c>
      <c r="AJ4618">
        <v>1</v>
      </c>
      <c r="AK4618">
        <v>20</v>
      </c>
      <c r="AL4618">
        <v>38</v>
      </c>
      <c r="AM4618" t="s">
        <v>43</v>
      </c>
      <c r="AN4618" t="str">
        <f>HYPERLINK("https://www.google.com/maps?q=10.83215618,79.83416748","Open Location")</f>
        <v>Open Location</v>
      </c>
    </row>
    <row r="4619" spans="1:40" x14ac:dyDescent="0.3">
      <c r="A4619" s="1">
        <v>46210.464699074073</v>
      </c>
      <c r="B4619" t="s">
        <v>40</v>
      </c>
      <c r="C4619" t="s">
        <v>41</v>
      </c>
      <c r="D4619" s="1">
        <v>46210.467604166668</v>
      </c>
      <c r="E4619" t="s">
        <v>42</v>
      </c>
      <c r="F4619" t="s">
        <v>83</v>
      </c>
      <c r="G4619">
        <v>0</v>
      </c>
      <c r="H4619">
        <v>33085</v>
      </c>
      <c r="I4619" t="s">
        <v>2639</v>
      </c>
      <c r="J4619">
        <v>60</v>
      </c>
      <c r="K4619">
        <v>5</v>
      </c>
      <c r="L4619">
        <v>98</v>
      </c>
      <c r="M4619">
        <v>630.59997558999999</v>
      </c>
      <c r="N4619" t="s">
        <v>85</v>
      </c>
      <c r="O4619" t="s">
        <v>82</v>
      </c>
      <c r="P4619">
        <v>125</v>
      </c>
      <c r="Q4619" t="s">
        <v>82</v>
      </c>
      <c r="R4619">
        <v>0</v>
      </c>
      <c r="S4619">
        <v>0</v>
      </c>
      <c r="T4619">
        <v>-40</v>
      </c>
      <c r="U4619">
        <v>43</v>
      </c>
      <c r="V4619">
        <v>0</v>
      </c>
      <c r="W4619">
        <v>31</v>
      </c>
      <c r="X4619">
        <v>31</v>
      </c>
      <c r="Y4619">
        <v>5</v>
      </c>
      <c r="Z4619">
        <v>3</v>
      </c>
      <c r="AA4619">
        <v>28</v>
      </c>
      <c r="AB4619">
        <v>2</v>
      </c>
      <c r="AC4619">
        <v>2</v>
      </c>
      <c r="AD4619">
        <v>3.2869999399999998</v>
      </c>
      <c r="AE4619">
        <v>1</v>
      </c>
      <c r="AF4619">
        <v>16</v>
      </c>
      <c r="AG4619">
        <v>3.28299999</v>
      </c>
      <c r="AH4619">
        <v>3</v>
      </c>
      <c r="AI4619">
        <v>7</v>
      </c>
      <c r="AJ4619">
        <v>1</v>
      </c>
      <c r="AK4619">
        <v>20</v>
      </c>
      <c r="AL4619">
        <v>38</v>
      </c>
      <c r="AM4619" t="s">
        <v>43</v>
      </c>
      <c r="AN4619" t="str">
        <f>HYPERLINK("https://www.google.com/maps?q=10.83216,79.83415985","Open Location")</f>
        <v>Open Location</v>
      </c>
    </row>
    <row r="4620" spans="1:40" x14ac:dyDescent="0.3">
      <c r="A4620" s="1">
        <v>46210.464583333334</v>
      </c>
      <c r="B4620" t="s">
        <v>40</v>
      </c>
      <c r="C4620" t="s">
        <v>41</v>
      </c>
      <c r="D4620" s="1">
        <v>46210.467256944445</v>
      </c>
      <c r="E4620" t="s">
        <v>42</v>
      </c>
      <c r="F4620" t="s">
        <v>83</v>
      </c>
      <c r="G4620">
        <v>0</v>
      </c>
      <c r="H4620">
        <v>33085</v>
      </c>
      <c r="I4620" t="s">
        <v>2640</v>
      </c>
      <c r="J4620">
        <v>60</v>
      </c>
      <c r="K4620">
        <v>5</v>
      </c>
      <c r="L4620">
        <v>98</v>
      </c>
      <c r="M4620">
        <v>629.79998779000005</v>
      </c>
      <c r="N4620" t="s">
        <v>85</v>
      </c>
      <c r="O4620" t="s">
        <v>82</v>
      </c>
      <c r="P4620">
        <v>125</v>
      </c>
      <c r="Q4620" t="s">
        <v>82</v>
      </c>
      <c r="R4620">
        <v>0</v>
      </c>
      <c r="S4620">
        <v>0</v>
      </c>
      <c r="T4620">
        <v>-40</v>
      </c>
      <c r="U4620">
        <v>43</v>
      </c>
      <c r="V4620">
        <v>0</v>
      </c>
      <c r="W4620">
        <v>31</v>
      </c>
      <c r="X4620">
        <v>31</v>
      </c>
      <c r="Y4620">
        <v>5</v>
      </c>
      <c r="Z4620">
        <v>3</v>
      </c>
      <c r="AA4620">
        <v>28</v>
      </c>
      <c r="AB4620">
        <v>2</v>
      </c>
      <c r="AC4620">
        <v>2</v>
      </c>
      <c r="AD4620">
        <v>3.2869999399999998</v>
      </c>
      <c r="AE4620">
        <v>1</v>
      </c>
      <c r="AF4620">
        <v>16</v>
      </c>
      <c r="AG4620">
        <v>3.28299999</v>
      </c>
      <c r="AH4620">
        <v>2</v>
      </c>
      <c r="AI4620">
        <v>22</v>
      </c>
      <c r="AJ4620">
        <v>1</v>
      </c>
      <c r="AK4620">
        <v>20</v>
      </c>
      <c r="AL4620">
        <v>38</v>
      </c>
      <c r="AM4620" t="s">
        <v>43</v>
      </c>
      <c r="AN4620" t="str">
        <f>HYPERLINK("https://www.google.com/maps?q=10.83215904,79.83416748","Open Location")</f>
        <v>Open Location</v>
      </c>
    </row>
    <row r="4621" spans="1:40" x14ac:dyDescent="0.3">
      <c r="A4621" s="1">
        <v>46210.464467592596</v>
      </c>
      <c r="B4621" t="s">
        <v>40</v>
      </c>
      <c r="C4621" t="s">
        <v>41</v>
      </c>
      <c r="D4621" s="1">
        <v>46210.467627314814</v>
      </c>
      <c r="E4621" t="s">
        <v>42</v>
      </c>
      <c r="F4621" t="s">
        <v>83</v>
      </c>
      <c r="G4621">
        <v>0</v>
      </c>
      <c r="H4621">
        <v>33085</v>
      </c>
      <c r="I4621" t="s">
        <v>2641</v>
      </c>
      <c r="J4621">
        <v>61</v>
      </c>
      <c r="K4621">
        <v>5</v>
      </c>
      <c r="L4621">
        <v>98</v>
      </c>
      <c r="M4621">
        <v>629.70001220999995</v>
      </c>
      <c r="N4621" t="s">
        <v>85</v>
      </c>
      <c r="O4621" t="s">
        <v>82</v>
      </c>
      <c r="P4621">
        <v>125</v>
      </c>
      <c r="Q4621" t="s">
        <v>43</v>
      </c>
      <c r="R4621">
        <v>0</v>
      </c>
      <c r="S4621">
        <v>0</v>
      </c>
      <c r="T4621">
        <v>-40</v>
      </c>
      <c r="U4621">
        <v>43</v>
      </c>
      <c r="V4621">
        <v>0</v>
      </c>
      <c r="W4621">
        <v>31</v>
      </c>
      <c r="X4621">
        <v>31</v>
      </c>
      <c r="Y4621">
        <v>5</v>
      </c>
      <c r="Z4621">
        <v>3</v>
      </c>
      <c r="AA4621">
        <v>28</v>
      </c>
      <c r="AB4621">
        <v>2</v>
      </c>
      <c r="AC4621">
        <v>2</v>
      </c>
      <c r="AD4621">
        <v>3.2869999399999998</v>
      </c>
      <c r="AE4621">
        <v>1</v>
      </c>
      <c r="AF4621">
        <v>16</v>
      </c>
      <c r="AG4621">
        <v>3.28299999</v>
      </c>
      <c r="AH4621">
        <v>2</v>
      </c>
      <c r="AI4621">
        <v>6</v>
      </c>
      <c r="AJ4621">
        <v>1</v>
      </c>
      <c r="AK4621">
        <v>20</v>
      </c>
      <c r="AL4621">
        <v>38</v>
      </c>
      <c r="AM4621" t="s">
        <v>43</v>
      </c>
      <c r="AN4621" t="str">
        <f>HYPERLINK("https://www.google.com/maps?q=10.83216286,79.83416748","Open Location")</f>
        <v>Open Location</v>
      </c>
    </row>
    <row r="4622" spans="1:40" x14ac:dyDescent="0.3">
      <c r="A4622" s="1">
        <v>46210.46435185185</v>
      </c>
      <c r="B4622" t="s">
        <v>40</v>
      </c>
      <c r="C4622" t="s">
        <v>41</v>
      </c>
      <c r="D4622" s="1">
        <v>46210.467245370368</v>
      </c>
      <c r="E4622" t="s">
        <v>42</v>
      </c>
      <c r="F4622" t="s">
        <v>83</v>
      </c>
      <c r="G4622">
        <v>0</v>
      </c>
      <c r="H4622">
        <v>33085</v>
      </c>
      <c r="I4622" t="s">
        <v>43</v>
      </c>
      <c r="J4622">
        <v>61</v>
      </c>
      <c r="K4622">
        <v>5</v>
      </c>
      <c r="L4622">
        <v>98</v>
      </c>
      <c r="M4622">
        <v>629.70001220999995</v>
      </c>
      <c r="N4622" t="s">
        <v>85</v>
      </c>
      <c r="O4622" t="s">
        <v>82</v>
      </c>
      <c r="P4622">
        <v>125</v>
      </c>
      <c r="Q4622" t="s">
        <v>82</v>
      </c>
      <c r="R4622">
        <v>0</v>
      </c>
      <c r="S4622">
        <v>0</v>
      </c>
      <c r="T4622">
        <v>-40</v>
      </c>
      <c r="U4622">
        <v>43</v>
      </c>
      <c r="V4622">
        <v>0</v>
      </c>
      <c r="W4622">
        <v>31</v>
      </c>
      <c r="X4622">
        <v>31</v>
      </c>
      <c r="Y4622">
        <v>5</v>
      </c>
      <c r="Z4622">
        <v>3</v>
      </c>
      <c r="AA4622">
        <v>28</v>
      </c>
      <c r="AB4622">
        <v>2</v>
      </c>
      <c r="AC4622">
        <v>2</v>
      </c>
      <c r="AD4622">
        <v>3.28600001</v>
      </c>
      <c r="AE4622">
        <v>1</v>
      </c>
      <c r="AF4622">
        <v>16</v>
      </c>
      <c r="AG4622">
        <v>3.2820000600000001</v>
      </c>
      <c r="AH4622">
        <v>6</v>
      </c>
      <c r="AI4622">
        <v>24</v>
      </c>
      <c r="AJ4622">
        <v>1</v>
      </c>
      <c r="AK4622">
        <v>20</v>
      </c>
      <c r="AL4622">
        <v>38</v>
      </c>
      <c r="AM4622" t="s">
        <v>43</v>
      </c>
      <c r="AN4622" t="s">
        <v>43</v>
      </c>
    </row>
    <row r="4623" spans="1:40" x14ac:dyDescent="0.3">
      <c r="A4623" s="1">
        <v>46210.464236111111</v>
      </c>
      <c r="B4623" t="s">
        <v>40</v>
      </c>
      <c r="C4623" t="s">
        <v>41</v>
      </c>
      <c r="D4623" s="1">
        <v>46210.467245370368</v>
      </c>
      <c r="E4623" t="s">
        <v>42</v>
      </c>
      <c r="F4623" t="s">
        <v>83</v>
      </c>
      <c r="G4623">
        <v>0</v>
      </c>
      <c r="H4623">
        <v>33085</v>
      </c>
      <c r="I4623" t="s">
        <v>2642</v>
      </c>
      <c r="J4623">
        <v>61</v>
      </c>
      <c r="K4623">
        <v>5</v>
      </c>
      <c r="L4623">
        <v>98</v>
      </c>
      <c r="M4623">
        <v>629.79998779000005</v>
      </c>
      <c r="N4623" t="s">
        <v>85</v>
      </c>
      <c r="O4623" t="s">
        <v>82</v>
      </c>
      <c r="P4623">
        <v>125</v>
      </c>
      <c r="Q4623" t="s">
        <v>82</v>
      </c>
      <c r="R4623">
        <v>0</v>
      </c>
      <c r="S4623">
        <v>0</v>
      </c>
      <c r="T4623">
        <v>-40</v>
      </c>
      <c r="U4623">
        <v>43</v>
      </c>
      <c r="V4623">
        <v>0</v>
      </c>
      <c r="W4623">
        <v>31</v>
      </c>
      <c r="X4623">
        <v>31</v>
      </c>
      <c r="Y4623">
        <v>5</v>
      </c>
      <c r="Z4623">
        <v>3</v>
      </c>
      <c r="AA4623">
        <v>28</v>
      </c>
      <c r="AB4623">
        <v>2</v>
      </c>
      <c r="AC4623">
        <v>2</v>
      </c>
      <c r="AD4623">
        <v>3.28600001</v>
      </c>
      <c r="AE4623">
        <v>1</v>
      </c>
      <c r="AF4623">
        <v>16</v>
      </c>
      <c r="AG4623">
        <v>3.2820000600000001</v>
      </c>
      <c r="AH4623">
        <v>2</v>
      </c>
      <c r="AI4623">
        <v>22</v>
      </c>
      <c r="AJ4623">
        <v>1</v>
      </c>
      <c r="AK4623">
        <v>20</v>
      </c>
      <c r="AL4623">
        <v>38</v>
      </c>
      <c r="AM4623" t="s">
        <v>43</v>
      </c>
      <c r="AN4623" t="str">
        <f>HYPERLINK("https://www.google.com/maps?q=10.83216572,79.83417511","Open Location")</f>
        <v>Open Location</v>
      </c>
    </row>
    <row r="4624" spans="1:40" x14ac:dyDescent="0.3">
      <c r="A4624" s="1">
        <v>46210.464120370372</v>
      </c>
      <c r="B4624" t="s">
        <v>40</v>
      </c>
      <c r="C4624" t="s">
        <v>41</v>
      </c>
      <c r="D4624" s="1">
        <v>46210.467083333337</v>
      </c>
      <c r="E4624" t="s">
        <v>42</v>
      </c>
      <c r="F4624" t="s">
        <v>83</v>
      </c>
      <c r="G4624">
        <v>0</v>
      </c>
      <c r="H4624">
        <v>33085</v>
      </c>
      <c r="I4624" t="s">
        <v>2643</v>
      </c>
      <c r="J4624">
        <v>61</v>
      </c>
      <c r="K4624">
        <v>5</v>
      </c>
      <c r="L4624">
        <v>98</v>
      </c>
      <c r="M4624">
        <v>630.20001220999995</v>
      </c>
      <c r="N4624" t="s">
        <v>85</v>
      </c>
      <c r="O4624" t="s">
        <v>82</v>
      </c>
      <c r="P4624">
        <v>125</v>
      </c>
      <c r="Q4624" t="s">
        <v>82</v>
      </c>
      <c r="R4624">
        <v>0</v>
      </c>
      <c r="S4624">
        <v>0</v>
      </c>
      <c r="T4624">
        <v>-40</v>
      </c>
      <c r="U4624">
        <v>43</v>
      </c>
      <c r="V4624">
        <v>0</v>
      </c>
      <c r="W4624">
        <v>31</v>
      </c>
      <c r="X4624">
        <v>31</v>
      </c>
      <c r="Y4624">
        <v>5</v>
      </c>
      <c r="Z4624">
        <v>3</v>
      </c>
      <c r="AA4624">
        <v>28</v>
      </c>
      <c r="AB4624">
        <v>2</v>
      </c>
      <c r="AC4624">
        <v>2</v>
      </c>
      <c r="AD4624">
        <v>3.2839999199999999</v>
      </c>
      <c r="AE4624">
        <v>1</v>
      </c>
      <c r="AF4624">
        <v>16</v>
      </c>
      <c r="AG4624">
        <v>3.2780001200000002</v>
      </c>
      <c r="AH4624">
        <v>4</v>
      </c>
      <c r="AI4624">
        <v>17</v>
      </c>
      <c r="AJ4624">
        <v>1</v>
      </c>
      <c r="AK4624">
        <v>20</v>
      </c>
      <c r="AL4624">
        <v>38</v>
      </c>
      <c r="AM4624" t="s">
        <v>43</v>
      </c>
      <c r="AN4624" t="str">
        <f>HYPERLINK("https://www.google.com/maps?q=10.8321743,79.83417511","Open Location")</f>
        <v>Open Location</v>
      </c>
    </row>
    <row r="4625" spans="1:40" x14ac:dyDescent="0.3">
      <c r="A4625" s="1">
        <v>46210.464004629626</v>
      </c>
      <c r="B4625" t="s">
        <v>40</v>
      </c>
      <c r="C4625" t="s">
        <v>41</v>
      </c>
      <c r="D4625" s="1">
        <v>46210.466898148145</v>
      </c>
      <c r="E4625" t="s">
        <v>42</v>
      </c>
      <c r="F4625" t="s">
        <v>83</v>
      </c>
      <c r="G4625">
        <v>0</v>
      </c>
      <c r="H4625">
        <v>33085</v>
      </c>
      <c r="I4625" t="s">
        <v>2644</v>
      </c>
      <c r="J4625">
        <v>61</v>
      </c>
      <c r="K4625">
        <v>13</v>
      </c>
      <c r="L4625">
        <v>98</v>
      </c>
      <c r="M4625">
        <v>629.79998779000005</v>
      </c>
      <c r="N4625" t="s">
        <v>85</v>
      </c>
      <c r="O4625" t="s">
        <v>82</v>
      </c>
      <c r="P4625">
        <v>125</v>
      </c>
      <c r="Q4625" t="s">
        <v>82</v>
      </c>
      <c r="R4625">
        <v>0</v>
      </c>
      <c r="S4625">
        <v>0</v>
      </c>
      <c r="T4625">
        <v>-40</v>
      </c>
      <c r="U4625">
        <v>43</v>
      </c>
      <c r="V4625">
        <v>0</v>
      </c>
      <c r="W4625">
        <v>31</v>
      </c>
      <c r="X4625">
        <v>31</v>
      </c>
      <c r="Y4625">
        <v>5</v>
      </c>
      <c r="Z4625">
        <v>3</v>
      </c>
      <c r="AA4625">
        <v>28</v>
      </c>
      <c r="AB4625">
        <v>2</v>
      </c>
      <c r="AC4625">
        <v>2</v>
      </c>
      <c r="AD4625">
        <v>3.2839999199999999</v>
      </c>
      <c r="AE4625">
        <v>1</v>
      </c>
      <c r="AF4625">
        <v>16</v>
      </c>
      <c r="AG4625">
        <v>3.2790000400000001</v>
      </c>
      <c r="AH4625">
        <v>4</v>
      </c>
      <c r="AI4625">
        <v>17</v>
      </c>
      <c r="AJ4625">
        <v>1</v>
      </c>
      <c r="AK4625">
        <v>21</v>
      </c>
      <c r="AL4625">
        <v>38</v>
      </c>
      <c r="AM4625" t="s">
        <v>43</v>
      </c>
      <c r="AN4625" t="str">
        <f>HYPERLINK("https://www.google.com/maps?q=10.83217239,79.83418274","Open Location")</f>
        <v>Open Location</v>
      </c>
    </row>
    <row r="4626" spans="1:40" x14ac:dyDescent="0.3">
      <c r="A4626" s="1">
        <v>46210.463888888888</v>
      </c>
      <c r="B4626" t="s">
        <v>40</v>
      </c>
      <c r="C4626" t="s">
        <v>41</v>
      </c>
      <c r="D4626" s="1">
        <v>46210.466620370367</v>
      </c>
      <c r="E4626" t="s">
        <v>42</v>
      </c>
      <c r="F4626" t="s">
        <v>83</v>
      </c>
      <c r="G4626">
        <v>0</v>
      </c>
      <c r="H4626" t="s">
        <v>43</v>
      </c>
      <c r="I4626" t="s">
        <v>2645</v>
      </c>
      <c r="J4626">
        <v>61</v>
      </c>
      <c r="K4626">
        <v>13</v>
      </c>
      <c r="L4626">
        <v>98</v>
      </c>
      <c r="M4626">
        <v>629.70001220999995</v>
      </c>
      <c r="N4626" t="s">
        <v>85</v>
      </c>
      <c r="O4626" t="s">
        <v>82</v>
      </c>
      <c r="P4626">
        <v>125</v>
      </c>
      <c r="Q4626" t="s">
        <v>82</v>
      </c>
      <c r="R4626">
        <v>0</v>
      </c>
      <c r="S4626">
        <v>0</v>
      </c>
      <c r="T4626">
        <v>-40</v>
      </c>
      <c r="U4626">
        <v>43</v>
      </c>
      <c r="V4626">
        <v>0</v>
      </c>
      <c r="W4626">
        <v>31</v>
      </c>
      <c r="X4626">
        <v>31</v>
      </c>
      <c r="Y4626">
        <v>5</v>
      </c>
      <c r="Z4626">
        <v>3</v>
      </c>
      <c r="AA4626">
        <v>28</v>
      </c>
      <c r="AB4626">
        <v>2</v>
      </c>
      <c r="AC4626">
        <v>2</v>
      </c>
      <c r="AD4626">
        <v>3.2839999199999999</v>
      </c>
      <c r="AE4626">
        <v>1</v>
      </c>
      <c r="AF4626">
        <v>16</v>
      </c>
      <c r="AG4626">
        <v>3.2790000400000001</v>
      </c>
      <c r="AH4626">
        <v>4</v>
      </c>
      <c r="AI4626">
        <v>17</v>
      </c>
      <c r="AJ4626">
        <v>1</v>
      </c>
      <c r="AK4626">
        <v>20</v>
      </c>
      <c r="AL4626">
        <v>38</v>
      </c>
      <c r="AM4626" t="s">
        <v>43</v>
      </c>
      <c r="AN4626" t="str">
        <f>HYPERLINK("https://www.google.com/maps?q=10.83217716,79.83419037","Open Location")</f>
        <v>Open Location</v>
      </c>
    </row>
    <row r="4627" spans="1:40" x14ac:dyDescent="0.3">
      <c r="A4627" s="1">
        <v>46210.463773148149</v>
      </c>
      <c r="B4627" t="s">
        <v>40</v>
      </c>
      <c r="C4627" t="s">
        <v>41</v>
      </c>
      <c r="D4627" s="1">
        <v>46210.466527777775</v>
      </c>
      <c r="E4627" t="s">
        <v>42</v>
      </c>
      <c r="F4627" t="s">
        <v>83</v>
      </c>
      <c r="G4627">
        <v>0</v>
      </c>
      <c r="H4627">
        <v>33085</v>
      </c>
      <c r="I4627" t="s">
        <v>43</v>
      </c>
      <c r="J4627">
        <v>61</v>
      </c>
      <c r="K4627">
        <v>10</v>
      </c>
      <c r="L4627">
        <v>98</v>
      </c>
      <c r="M4627">
        <v>629.29998779000005</v>
      </c>
      <c r="N4627" t="s">
        <v>85</v>
      </c>
      <c r="O4627" t="s">
        <v>82</v>
      </c>
      <c r="P4627">
        <v>125</v>
      </c>
      <c r="Q4627" t="s">
        <v>43</v>
      </c>
      <c r="R4627">
        <v>0</v>
      </c>
      <c r="S4627">
        <v>0</v>
      </c>
      <c r="T4627">
        <v>-40</v>
      </c>
      <c r="U4627">
        <v>43</v>
      </c>
      <c r="V4627">
        <v>0</v>
      </c>
      <c r="W4627">
        <v>31</v>
      </c>
      <c r="X4627">
        <v>31</v>
      </c>
      <c r="Y4627">
        <v>5</v>
      </c>
      <c r="Z4627">
        <v>3</v>
      </c>
      <c r="AA4627">
        <v>28</v>
      </c>
      <c r="AB4627">
        <v>2</v>
      </c>
      <c r="AC4627">
        <v>2</v>
      </c>
      <c r="AD4627">
        <v>3.28500009</v>
      </c>
      <c r="AE4627">
        <v>1</v>
      </c>
      <c r="AF4627">
        <v>16</v>
      </c>
      <c r="AG4627">
        <v>3.2809998999999999</v>
      </c>
      <c r="AH4627">
        <v>3</v>
      </c>
      <c r="AI4627">
        <v>10</v>
      </c>
      <c r="AJ4627">
        <v>1</v>
      </c>
      <c r="AK4627">
        <v>21</v>
      </c>
      <c r="AL4627">
        <v>38</v>
      </c>
      <c r="AM4627" t="s">
        <v>43</v>
      </c>
      <c r="AN4627" t="s">
        <v>43</v>
      </c>
    </row>
    <row r="4628" spans="1:40" x14ac:dyDescent="0.3">
      <c r="A4628" s="1">
        <v>46210.46365740741</v>
      </c>
      <c r="B4628" t="s">
        <v>40</v>
      </c>
      <c r="C4628" t="s">
        <v>41</v>
      </c>
      <c r="D4628" s="1">
        <v>46210.466458333336</v>
      </c>
      <c r="E4628" t="s">
        <v>42</v>
      </c>
      <c r="F4628" t="s">
        <v>83</v>
      </c>
      <c r="G4628">
        <v>6</v>
      </c>
      <c r="H4628">
        <v>33085</v>
      </c>
      <c r="I4628" t="s">
        <v>2646</v>
      </c>
      <c r="J4628">
        <v>61</v>
      </c>
      <c r="K4628">
        <v>5</v>
      </c>
      <c r="L4628">
        <v>98</v>
      </c>
      <c r="M4628">
        <v>630</v>
      </c>
      <c r="N4628" t="s">
        <v>87</v>
      </c>
      <c r="O4628" t="s">
        <v>82</v>
      </c>
      <c r="P4628">
        <v>128</v>
      </c>
      <c r="Q4628">
        <v>2</v>
      </c>
      <c r="R4628">
        <v>0</v>
      </c>
      <c r="S4628">
        <v>0</v>
      </c>
      <c r="T4628">
        <v>-40</v>
      </c>
      <c r="U4628">
        <v>44</v>
      </c>
      <c r="V4628">
        <v>0</v>
      </c>
      <c r="W4628">
        <v>31</v>
      </c>
      <c r="X4628">
        <v>31</v>
      </c>
      <c r="Y4628">
        <v>5</v>
      </c>
      <c r="Z4628">
        <v>3</v>
      </c>
      <c r="AA4628">
        <v>28</v>
      </c>
      <c r="AB4628">
        <v>2</v>
      </c>
      <c r="AC4628">
        <v>2</v>
      </c>
      <c r="AD4628">
        <v>3.2839999199999999</v>
      </c>
      <c r="AE4628">
        <v>1</v>
      </c>
      <c r="AF4628">
        <v>16</v>
      </c>
      <c r="AG4628">
        <v>3.27999997</v>
      </c>
      <c r="AH4628">
        <v>2</v>
      </c>
      <c r="AI4628">
        <v>46</v>
      </c>
      <c r="AJ4628">
        <v>1</v>
      </c>
      <c r="AK4628">
        <v>21</v>
      </c>
      <c r="AL4628">
        <v>38</v>
      </c>
      <c r="AM4628" t="s">
        <v>43</v>
      </c>
      <c r="AN4628" t="str">
        <f>HYPERLINK("https://www.google.com/maps?q=10.83218288,79.83420563","Open Location")</f>
        <v>Open Location</v>
      </c>
    </row>
    <row r="4629" spans="1:40" x14ac:dyDescent="0.3">
      <c r="A4629" s="1">
        <v>46210.463541666664</v>
      </c>
      <c r="B4629" t="s">
        <v>40</v>
      </c>
      <c r="C4629" t="s">
        <v>41</v>
      </c>
      <c r="D4629" s="1">
        <v>46210.466423611113</v>
      </c>
      <c r="E4629" t="s">
        <v>42</v>
      </c>
      <c r="F4629" t="s">
        <v>83</v>
      </c>
      <c r="G4629">
        <v>12</v>
      </c>
      <c r="H4629" t="s">
        <v>43</v>
      </c>
      <c r="I4629" t="s">
        <v>2647</v>
      </c>
      <c r="J4629">
        <v>61</v>
      </c>
      <c r="K4629">
        <v>8</v>
      </c>
      <c r="L4629">
        <v>98</v>
      </c>
      <c r="M4629">
        <v>629.70001220999995</v>
      </c>
      <c r="N4629" t="s">
        <v>87</v>
      </c>
      <c r="O4629" t="s">
        <v>86</v>
      </c>
      <c r="P4629">
        <v>128</v>
      </c>
      <c r="Q4629" t="s">
        <v>43</v>
      </c>
      <c r="R4629">
        <v>-11</v>
      </c>
      <c r="S4629">
        <v>858</v>
      </c>
      <c r="T4629">
        <v>-40</v>
      </c>
      <c r="U4629">
        <v>44</v>
      </c>
      <c r="V4629">
        <v>5</v>
      </c>
      <c r="W4629">
        <v>31</v>
      </c>
      <c r="X4629">
        <v>31</v>
      </c>
      <c r="Y4629">
        <v>5</v>
      </c>
      <c r="Z4629">
        <v>3</v>
      </c>
      <c r="AA4629">
        <v>28</v>
      </c>
      <c r="AB4629">
        <v>2</v>
      </c>
      <c r="AC4629">
        <v>2</v>
      </c>
      <c r="AD4629">
        <v>3.28500009</v>
      </c>
      <c r="AE4629">
        <v>1</v>
      </c>
      <c r="AF4629">
        <v>16</v>
      </c>
      <c r="AG4629">
        <v>3.2809998999999999</v>
      </c>
      <c r="AH4629">
        <v>3</v>
      </c>
      <c r="AI4629">
        <v>26</v>
      </c>
      <c r="AJ4629">
        <v>1</v>
      </c>
      <c r="AK4629">
        <v>21</v>
      </c>
      <c r="AL4629">
        <v>38</v>
      </c>
      <c r="AM4629" t="s">
        <v>43</v>
      </c>
      <c r="AN4629" t="str">
        <f>HYPERLINK("https://www.google.com/maps?q=10.83220577,79.83434296","Open Location")</f>
        <v>Open Location</v>
      </c>
    </row>
    <row r="4630" spans="1:40" x14ac:dyDescent="0.3">
      <c r="A4630" s="1">
        <v>46210.463425925926</v>
      </c>
      <c r="B4630" t="s">
        <v>40</v>
      </c>
      <c r="C4630" t="s">
        <v>41</v>
      </c>
      <c r="D4630" s="1">
        <v>46210.466307870367</v>
      </c>
      <c r="E4630" t="s">
        <v>42</v>
      </c>
      <c r="F4630" t="s">
        <v>83</v>
      </c>
      <c r="G4630">
        <v>11</v>
      </c>
      <c r="H4630" t="s">
        <v>43</v>
      </c>
      <c r="I4630" t="s">
        <v>2648</v>
      </c>
      <c r="J4630">
        <v>61</v>
      </c>
      <c r="K4630">
        <v>2</v>
      </c>
      <c r="L4630">
        <v>98</v>
      </c>
      <c r="M4630">
        <v>629.79998779000005</v>
      </c>
      <c r="N4630" t="s">
        <v>87</v>
      </c>
      <c r="O4630" t="s">
        <v>86</v>
      </c>
      <c r="P4630">
        <v>128</v>
      </c>
      <c r="Q4630">
        <v>3</v>
      </c>
      <c r="R4630">
        <v>20</v>
      </c>
      <c r="S4630">
        <v>1553</v>
      </c>
      <c r="T4630">
        <v>-40</v>
      </c>
      <c r="U4630">
        <v>44</v>
      </c>
      <c r="V4630">
        <v>-68</v>
      </c>
      <c r="W4630">
        <v>31</v>
      </c>
      <c r="X4630">
        <v>31</v>
      </c>
      <c r="Y4630">
        <v>5</v>
      </c>
      <c r="Z4630">
        <v>3</v>
      </c>
      <c r="AA4630">
        <v>28</v>
      </c>
      <c r="AB4630">
        <v>2</v>
      </c>
      <c r="AC4630">
        <v>2</v>
      </c>
      <c r="AD4630">
        <v>3.27699995</v>
      </c>
      <c r="AE4630">
        <v>1</v>
      </c>
      <c r="AF4630">
        <v>16</v>
      </c>
      <c r="AG4630">
        <v>3.27099991</v>
      </c>
      <c r="AH4630">
        <v>4</v>
      </c>
      <c r="AI4630">
        <v>24</v>
      </c>
      <c r="AJ4630">
        <v>1</v>
      </c>
      <c r="AK4630">
        <v>21</v>
      </c>
      <c r="AL4630">
        <v>37</v>
      </c>
      <c r="AM4630" t="s">
        <v>43</v>
      </c>
      <c r="AN4630" t="str">
        <f>HYPERLINK("https://www.google.com/maps?q=10.83226204,79.83469391","Open Location")</f>
        <v>Open Location</v>
      </c>
    </row>
    <row r="4631" spans="1:40" x14ac:dyDescent="0.3">
      <c r="A4631" s="1">
        <v>46210.463310185187</v>
      </c>
      <c r="B4631" t="s">
        <v>40</v>
      </c>
      <c r="C4631" t="s">
        <v>41</v>
      </c>
      <c r="D4631" s="1">
        <v>46210.466064814813</v>
      </c>
      <c r="E4631" t="s">
        <v>42</v>
      </c>
      <c r="F4631" t="s">
        <v>83</v>
      </c>
      <c r="G4631">
        <v>12</v>
      </c>
      <c r="H4631">
        <v>33085</v>
      </c>
      <c r="I4631" t="s">
        <v>2649</v>
      </c>
      <c r="J4631">
        <v>61</v>
      </c>
      <c r="K4631">
        <v>49</v>
      </c>
      <c r="L4631">
        <v>98</v>
      </c>
      <c r="M4631">
        <v>628.09997558999999</v>
      </c>
      <c r="N4631" t="s">
        <v>87</v>
      </c>
      <c r="O4631" t="s">
        <v>86</v>
      </c>
      <c r="P4631">
        <v>128</v>
      </c>
      <c r="Q4631">
        <v>3</v>
      </c>
      <c r="R4631">
        <v>13</v>
      </c>
      <c r="S4631">
        <v>1391</v>
      </c>
      <c r="T4631">
        <v>-40</v>
      </c>
      <c r="U4631">
        <v>44</v>
      </c>
      <c r="V4631">
        <v>180</v>
      </c>
      <c r="W4631">
        <v>31</v>
      </c>
      <c r="X4631">
        <v>31</v>
      </c>
      <c r="Y4631">
        <v>1</v>
      </c>
      <c r="Z4631">
        <v>9</v>
      </c>
      <c r="AA4631">
        <v>28</v>
      </c>
      <c r="AB4631">
        <v>2</v>
      </c>
      <c r="AC4631">
        <v>2</v>
      </c>
      <c r="AD4631">
        <v>3.28500009</v>
      </c>
      <c r="AE4631">
        <v>1</v>
      </c>
      <c r="AF4631">
        <v>16</v>
      </c>
      <c r="AG4631">
        <v>3.27999997</v>
      </c>
      <c r="AH4631">
        <v>7</v>
      </c>
      <c r="AI4631">
        <v>1</v>
      </c>
      <c r="AJ4631">
        <v>1</v>
      </c>
      <c r="AK4631">
        <v>21</v>
      </c>
      <c r="AL4631">
        <v>37</v>
      </c>
      <c r="AM4631" t="s">
        <v>43</v>
      </c>
      <c r="AN4631" t="str">
        <f>HYPERLINK("https://www.google.com/maps?q=10.83231354,79.83508301","Open Location")</f>
        <v>Open Location</v>
      </c>
    </row>
    <row r="4632" spans="1:40" x14ac:dyDescent="0.3">
      <c r="A4632" s="1">
        <v>46210.463194444441</v>
      </c>
      <c r="B4632" t="s">
        <v>40</v>
      </c>
      <c r="C4632" t="s">
        <v>41</v>
      </c>
      <c r="D4632" s="1">
        <v>46210.466006944444</v>
      </c>
      <c r="E4632" t="s">
        <v>42</v>
      </c>
      <c r="F4632" t="s">
        <v>83</v>
      </c>
      <c r="G4632">
        <v>14</v>
      </c>
      <c r="H4632">
        <v>33085</v>
      </c>
      <c r="I4632" t="s">
        <v>2650</v>
      </c>
      <c r="J4632">
        <v>61</v>
      </c>
      <c r="K4632">
        <v>27</v>
      </c>
      <c r="L4632">
        <v>98</v>
      </c>
      <c r="M4632">
        <v>628.59997558999999</v>
      </c>
      <c r="N4632" t="s">
        <v>87</v>
      </c>
      <c r="O4632" t="s">
        <v>86</v>
      </c>
      <c r="P4632">
        <v>128</v>
      </c>
      <c r="Q4632">
        <v>3</v>
      </c>
      <c r="R4632">
        <v>19</v>
      </c>
      <c r="S4632">
        <v>1535</v>
      </c>
      <c r="T4632">
        <v>-40</v>
      </c>
      <c r="U4632">
        <v>44</v>
      </c>
      <c r="V4632">
        <v>80</v>
      </c>
      <c r="W4632">
        <v>31</v>
      </c>
      <c r="X4632">
        <v>31</v>
      </c>
      <c r="Y4632">
        <v>5</v>
      </c>
      <c r="Z4632">
        <v>3</v>
      </c>
      <c r="AA4632">
        <v>28</v>
      </c>
      <c r="AB4632">
        <v>2</v>
      </c>
      <c r="AC4632">
        <v>2</v>
      </c>
      <c r="AD4632">
        <v>3.2750001000000002</v>
      </c>
      <c r="AE4632">
        <v>1</v>
      </c>
      <c r="AF4632">
        <v>16</v>
      </c>
      <c r="AG4632">
        <v>3.2699999800000001</v>
      </c>
      <c r="AH4632">
        <v>4</v>
      </c>
      <c r="AI4632">
        <v>24</v>
      </c>
      <c r="AJ4632">
        <v>1</v>
      </c>
      <c r="AK4632">
        <v>21</v>
      </c>
      <c r="AL4632">
        <v>37</v>
      </c>
      <c r="AM4632" t="s">
        <v>43</v>
      </c>
      <c r="AN4632" t="str">
        <f>HYPERLINK("https://www.google.com/maps?q=10.83238411,79.83548737","Open Location")</f>
        <v>Open Location</v>
      </c>
    </row>
    <row r="4633" spans="1:40" x14ac:dyDescent="0.3">
      <c r="A4633" s="1">
        <v>46210.463078703702</v>
      </c>
      <c r="B4633" t="s">
        <v>40</v>
      </c>
      <c r="C4633" t="s">
        <v>41</v>
      </c>
      <c r="D4633" s="1">
        <v>46210.465891203705</v>
      </c>
      <c r="E4633" t="s">
        <v>42</v>
      </c>
      <c r="F4633" t="s">
        <v>83</v>
      </c>
      <c r="G4633">
        <v>14</v>
      </c>
      <c r="H4633">
        <v>33085</v>
      </c>
      <c r="I4633" t="s">
        <v>43</v>
      </c>
      <c r="J4633">
        <v>61</v>
      </c>
      <c r="K4633">
        <v>37</v>
      </c>
      <c r="L4633">
        <v>98</v>
      </c>
      <c r="M4633">
        <v>627.59997558999999</v>
      </c>
      <c r="N4633" t="s">
        <v>87</v>
      </c>
      <c r="O4633" t="s">
        <v>86</v>
      </c>
      <c r="P4633">
        <v>128</v>
      </c>
      <c r="Q4633" t="s">
        <v>43</v>
      </c>
      <c r="R4633">
        <v>29</v>
      </c>
      <c r="S4633">
        <v>1831</v>
      </c>
      <c r="T4633">
        <v>-40</v>
      </c>
      <c r="U4633">
        <v>45</v>
      </c>
      <c r="V4633">
        <v>100</v>
      </c>
      <c r="W4633">
        <v>31</v>
      </c>
      <c r="X4633">
        <v>31</v>
      </c>
      <c r="Y4633">
        <v>5</v>
      </c>
      <c r="Z4633">
        <v>3</v>
      </c>
      <c r="AA4633">
        <v>28</v>
      </c>
      <c r="AB4633">
        <v>2</v>
      </c>
      <c r="AC4633">
        <v>2</v>
      </c>
      <c r="AD4633">
        <v>3.2730000000000001</v>
      </c>
      <c r="AE4633">
        <v>1</v>
      </c>
      <c r="AF4633">
        <v>16</v>
      </c>
      <c r="AG4633">
        <v>3.2660000299999998</v>
      </c>
      <c r="AH4633">
        <v>6</v>
      </c>
      <c r="AI4633">
        <v>24</v>
      </c>
      <c r="AJ4633">
        <v>1</v>
      </c>
      <c r="AK4633">
        <v>21</v>
      </c>
      <c r="AL4633">
        <v>37</v>
      </c>
      <c r="AM4633" t="s">
        <v>43</v>
      </c>
      <c r="AN4633" t="s">
        <v>43</v>
      </c>
    </row>
    <row r="4634" spans="1:40" x14ac:dyDescent="0.3">
      <c r="A4634" s="1">
        <v>46210.462962962964</v>
      </c>
      <c r="B4634" t="s">
        <v>40</v>
      </c>
      <c r="C4634" t="s">
        <v>41</v>
      </c>
      <c r="D4634" s="1">
        <v>46210.465740740743</v>
      </c>
      <c r="E4634" t="s">
        <v>42</v>
      </c>
      <c r="F4634" t="s">
        <v>83</v>
      </c>
      <c r="G4634">
        <v>10</v>
      </c>
      <c r="H4634">
        <v>33085</v>
      </c>
      <c r="I4634" t="s">
        <v>2651</v>
      </c>
      <c r="J4634">
        <v>61</v>
      </c>
      <c r="K4634">
        <v>74</v>
      </c>
      <c r="L4634">
        <v>98</v>
      </c>
      <c r="M4634">
        <v>626.5</v>
      </c>
      <c r="N4634" t="s">
        <v>87</v>
      </c>
      <c r="O4634" t="s">
        <v>86</v>
      </c>
      <c r="P4634">
        <v>128</v>
      </c>
      <c r="Q4634">
        <v>3</v>
      </c>
      <c r="R4634">
        <v>44</v>
      </c>
      <c r="S4634">
        <v>1765</v>
      </c>
      <c r="T4634">
        <v>-40</v>
      </c>
      <c r="U4634">
        <v>44</v>
      </c>
      <c r="V4634">
        <v>220</v>
      </c>
      <c r="W4634">
        <v>31</v>
      </c>
      <c r="X4634">
        <v>31</v>
      </c>
      <c r="Y4634">
        <v>5</v>
      </c>
      <c r="Z4634">
        <v>3</v>
      </c>
      <c r="AA4634">
        <v>28</v>
      </c>
      <c r="AB4634">
        <v>2</v>
      </c>
      <c r="AC4634">
        <v>2</v>
      </c>
      <c r="AD4634">
        <v>3.2690000499999998</v>
      </c>
      <c r="AE4634">
        <v>5</v>
      </c>
      <c r="AF4634">
        <v>38</v>
      </c>
      <c r="AG4634">
        <v>3.2599999899999998</v>
      </c>
      <c r="AH4634">
        <v>6</v>
      </c>
      <c r="AI4634">
        <v>24</v>
      </c>
      <c r="AJ4634">
        <v>1</v>
      </c>
      <c r="AK4634">
        <v>21</v>
      </c>
      <c r="AL4634">
        <v>37</v>
      </c>
      <c r="AM4634" t="s">
        <v>43</v>
      </c>
      <c r="AN4634" t="str">
        <f>HYPERLINK("https://www.google.com/maps?q=10.83247852,79.8359375","Open Location")</f>
        <v>Open Location</v>
      </c>
    </row>
    <row r="4635" spans="1:40" x14ac:dyDescent="0.3">
      <c r="A4635" s="1">
        <v>46210.462847222225</v>
      </c>
      <c r="B4635" t="s">
        <v>40</v>
      </c>
      <c r="C4635" t="s">
        <v>41</v>
      </c>
      <c r="D4635" s="1">
        <v>46210.465694444443</v>
      </c>
      <c r="E4635" t="s">
        <v>42</v>
      </c>
      <c r="F4635" t="s">
        <v>83</v>
      </c>
      <c r="G4635">
        <v>14</v>
      </c>
      <c r="H4635">
        <v>33085</v>
      </c>
      <c r="I4635" t="s">
        <v>2652</v>
      </c>
      <c r="J4635">
        <v>61</v>
      </c>
      <c r="K4635">
        <v>58</v>
      </c>
      <c r="L4635">
        <v>98</v>
      </c>
      <c r="M4635">
        <v>627.59997558999999</v>
      </c>
      <c r="N4635" t="s">
        <v>87</v>
      </c>
      <c r="O4635" t="s">
        <v>86</v>
      </c>
      <c r="P4635">
        <v>128</v>
      </c>
      <c r="Q4635">
        <v>3</v>
      </c>
      <c r="R4635">
        <v>25</v>
      </c>
      <c r="S4635">
        <v>1310</v>
      </c>
      <c r="T4635">
        <v>-40</v>
      </c>
      <c r="U4635">
        <v>44</v>
      </c>
      <c r="V4635">
        <v>220</v>
      </c>
      <c r="W4635">
        <v>31</v>
      </c>
      <c r="X4635">
        <v>31</v>
      </c>
      <c r="Y4635">
        <v>5</v>
      </c>
      <c r="Z4635">
        <v>3</v>
      </c>
      <c r="AA4635">
        <v>28</v>
      </c>
      <c r="AB4635">
        <v>2</v>
      </c>
      <c r="AC4635">
        <v>2</v>
      </c>
      <c r="AD4635">
        <v>3.2839999199999999</v>
      </c>
      <c r="AE4635">
        <v>1</v>
      </c>
      <c r="AF4635">
        <v>16</v>
      </c>
      <c r="AG4635">
        <v>3.27999997</v>
      </c>
      <c r="AH4635">
        <v>7</v>
      </c>
      <c r="AI4635">
        <v>1</v>
      </c>
      <c r="AJ4635">
        <v>1</v>
      </c>
      <c r="AK4635">
        <v>21</v>
      </c>
      <c r="AL4635">
        <v>37</v>
      </c>
      <c r="AM4635" t="s">
        <v>43</v>
      </c>
      <c r="AN4635" t="str">
        <f>HYPERLINK("https://www.google.com/maps?q=10.83254719,79.83630371","Open Location")</f>
        <v>Open Location</v>
      </c>
    </row>
    <row r="4636" spans="1:40" x14ac:dyDescent="0.3">
      <c r="A4636" s="1">
        <v>46210.462731481479</v>
      </c>
      <c r="B4636" t="s">
        <v>40</v>
      </c>
      <c r="C4636" t="s">
        <v>41</v>
      </c>
      <c r="D4636" s="1">
        <v>46210.465486111112</v>
      </c>
      <c r="E4636" t="s">
        <v>42</v>
      </c>
      <c r="F4636" t="s">
        <v>83</v>
      </c>
      <c r="G4636">
        <v>12</v>
      </c>
      <c r="H4636">
        <v>33085</v>
      </c>
      <c r="I4636" t="s">
        <v>2653</v>
      </c>
      <c r="J4636">
        <v>61</v>
      </c>
      <c r="K4636">
        <v>58</v>
      </c>
      <c r="L4636">
        <v>98</v>
      </c>
      <c r="M4636">
        <v>627.20001220999995</v>
      </c>
      <c r="N4636" t="s">
        <v>87</v>
      </c>
      <c r="O4636" t="s">
        <v>86</v>
      </c>
      <c r="P4636">
        <v>128</v>
      </c>
      <c r="Q4636">
        <v>3</v>
      </c>
      <c r="R4636">
        <v>39</v>
      </c>
      <c r="S4636">
        <v>1704</v>
      </c>
      <c r="T4636">
        <v>-40</v>
      </c>
      <c r="U4636">
        <v>45</v>
      </c>
      <c r="V4636">
        <v>180</v>
      </c>
      <c r="W4636">
        <v>31</v>
      </c>
      <c r="X4636">
        <v>31</v>
      </c>
      <c r="Y4636">
        <v>5</v>
      </c>
      <c r="Z4636">
        <v>3</v>
      </c>
      <c r="AA4636">
        <v>28</v>
      </c>
      <c r="AB4636">
        <v>2</v>
      </c>
      <c r="AC4636">
        <v>2</v>
      </c>
      <c r="AD4636">
        <v>3.27099991</v>
      </c>
      <c r="AE4636">
        <v>1</v>
      </c>
      <c r="AF4636">
        <v>16</v>
      </c>
      <c r="AG4636">
        <v>3.2639999400000002</v>
      </c>
      <c r="AH4636">
        <v>4</v>
      </c>
      <c r="AI4636">
        <v>24</v>
      </c>
      <c r="AJ4636">
        <v>1</v>
      </c>
      <c r="AK4636">
        <v>21</v>
      </c>
      <c r="AL4636">
        <v>37</v>
      </c>
      <c r="AM4636" t="s">
        <v>43</v>
      </c>
      <c r="AN4636" t="str">
        <f>HYPERLINK("https://www.google.com/maps?q=10.8326149,79.83666992","Open Location")</f>
        <v>Open Location</v>
      </c>
    </row>
    <row r="4637" spans="1:40" x14ac:dyDescent="0.3">
      <c r="A4637" s="1">
        <v>46210.46261574074</v>
      </c>
      <c r="B4637" t="s">
        <v>40</v>
      </c>
      <c r="C4637" t="s">
        <v>41</v>
      </c>
      <c r="D4637" s="1">
        <v>46210.465474537035</v>
      </c>
      <c r="E4637" t="s">
        <v>42</v>
      </c>
      <c r="F4637" t="s">
        <v>83</v>
      </c>
      <c r="G4637">
        <v>10</v>
      </c>
      <c r="H4637">
        <v>33085</v>
      </c>
      <c r="I4637" t="s">
        <v>2654</v>
      </c>
      <c r="J4637">
        <v>61</v>
      </c>
      <c r="K4637">
        <v>88</v>
      </c>
      <c r="L4637">
        <v>98</v>
      </c>
      <c r="M4637">
        <v>626.29998779000005</v>
      </c>
      <c r="N4637" t="s">
        <v>87</v>
      </c>
      <c r="O4637" t="s">
        <v>86</v>
      </c>
      <c r="P4637">
        <v>128</v>
      </c>
      <c r="Q4637">
        <v>3</v>
      </c>
      <c r="R4637">
        <v>11</v>
      </c>
      <c r="S4637">
        <v>1486</v>
      </c>
      <c r="T4637">
        <v>-40</v>
      </c>
      <c r="U4637">
        <v>43</v>
      </c>
      <c r="V4637">
        <v>320</v>
      </c>
      <c r="W4637">
        <v>31</v>
      </c>
      <c r="X4637">
        <v>31</v>
      </c>
      <c r="Y4637">
        <v>5</v>
      </c>
      <c r="Z4637">
        <v>3</v>
      </c>
      <c r="AA4637">
        <v>28</v>
      </c>
      <c r="AB4637">
        <v>2</v>
      </c>
      <c r="AC4637">
        <v>2</v>
      </c>
      <c r="AD4637">
        <v>3.2790000400000001</v>
      </c>
      <c r="AE4637">
        <v>1</v>
      </c>
      <c r="AF4637">
        <v>16</v>
      </c>
      <c r="AG4637">
        <v>3.2730000000000001</v>
      </c>
      <c r="AH4637">
        <v>4</v>
      </c>
      <c r="AI4637">
        <v>24</v>
      </c>
      <c r="AJ4637">
        <v>1</v>
      </c>
      <c r="AK4637">
        <v>21</v>
      </c>
      <c r="AL4637">
        <v>37</v>
      </c>
      <c r="AM4637" t="s">
        <v>43</v>
      </c>
      <c r="AN4637" t="str">
        <f>HYPERLINK("https://www.google.com/maps?q=10.83265209,79.83702087","Open Location")</f>
        <v>Open Location</v>
      </c>
    </row>
    <row r="4638" spans="1:40" x14ac:dyDescent="0.3">
      <c r="A4638" s="1">
        <v>46210.462500000001</v>
      </c>
      <c r="B4638" t="s">
        <v>40</v>
      </c>
      <c r="C4638" t="s">
        <v>41</v>
      </c>
      <c r="D4638" s="1">
        <v>46210.465370370373</v>
      </c>
      <c r="E4638" t="s">
        <v>42</v>
      </c>
      <c r="F4638" t="s">
        <v>83</v>
      </c>
      <c r="G4638">
        <v>13</v>
      </c>
      <c r="H4638">
        <v>33085</v>
      </c>
      <c r="I4638" t="s">
        <v>2655</v>
      </c>
      <c r="J4638">
        <v>61</v>
      </c>
      <c r="K4638">
        <v>-9</v>
      </c>
      <c r="L4638">
        <v>98</v>
      </c>
      <c r="M4638">
        <v>630.59997558999999</v>
      </c>
      <c r="N4638" t="s">
        <v>87</v>
      </c>
      <c r="O4638" t="s">
        <v>86</v>
      </c>
      <c r="P4638">
        <v>128</v>
      </c>
      <c r="Q4638">
        <v>3</v>
      </c>
      <c r="R4638">
        <v>10</v>
      </c>
      <c r="S4638">
        <v>1368</v>
      </c>
      <c r="T4638">
        <v>-40</v>
      </c>
      <c r="U4638">
        <v>44</v>
      </c>
      <c r="V4638">
        <v>-68</v>
      </c>
      <c r="W4638">
        <v>31</v>
      </c>
      <c r="X4638">
        <v>31</v>
      </c>
      <c r="Y4638">
        <v>5</v>
      </c>
      <c r="Z4638">
        <v>3</v>
      </c>
      <c r="AA4638">
        <v>28</v>
      </c>
      <c r="AB4638">
        <v>2</v>
      </c>
      <c r="AC4638">
        <v>2</v>
      </c>
      <c r="AD4638">
        <v>3.27999997</v>
      </c>
      <c r="AE4638">
        <v>1</v>
      </c>
      <c r="AF4638">
        <v>16</v>
      </c>
      <c r="AG4638">
        <v>3.2750001000000002</v>
      </c>
      <c r="AH4638">
        <v>4</v>
      </c>
      <c r="AI4638">
        <v>24</v>
      </c>
      <c r="AJ4638">
        <v>1</v>
      </c>
      <c r="AK4638">
        <v>22</v>
      </c>
      <c r="AL4638">
        <v>37</v>
      </c>
      <c r="AM4638" t="s">
        <v>43</v>
      </c>
      <c r="AN4638" t="str">
        <f>HYPERLINK("https://www.google.com/maps?q=10.83267212,79.83738708","Open Location")</f>
        <v>Open Location</v>
      </c>
    </row>
    <row r="4639" spans="1:40" x14ac:dyDescent="0.3">
      <c r="A4639" s="1">
        <v>46210.462384259263</v>
      </c>
      <c r="B4639" t="s">
        <v>40</v>
      </c>
      <c r="C4639" t="s">
        <v>41</v>
      </c>
      <c r="D4639" s="1">
        <v>46210.465416666666</v>
      </c>
      <c r="E4639" t="s">
        <v>42</v>
      </c>
      <c r="F4639" t="s">
        <v>83</v>
      </c>
      <c r="G4639">
        <v>12</v>
      </c>
      <c r="H4639">
        <v>33085</v>
      </c>
      <c r="I4639" t="s">
        <v>43</v>
      </c>
      <c r="J4639">
        <v>61</v>
      </c>
      <c r="K4639">
        <v>23</v>
      </c>
      <c r="L4639">
        <v>98</v>
      </c>
      <c r="M4639">
        <v>628.79998779000005</v>
      </c>
      <c r="N4639" t="s">
        <v>87</v>
      </c>
      <c r="O4639" t="s">
        <v>86</v>
      </c>
      <c r="P4639">
        <v>128</v>
      </c>
      <c r="Q4639">
        <v>3</v>
      </c>
      <c r="R4639">
        <v>45</v>
      </c>
      <c r="S4639">
        <v>1719</v>
      </c>
      <c r="T4639">
        <v>-40</v>
      </c>
      <c r="U4639">
        <v>44</v>
      </c>
      <c r="V4639">
        <v>60</v>
      </c>
      <c r="W4639">
        <v>31</v>
      </c>
      <c r="X4639">
        <v>31</v>
      </c>
      <c r="Y4639">
        <v>5</v>
      </c>
      <c r="Z4639">
        <v>3</v>
      </c>
      <c r="AA4639">
        <v>28</v>
      </c>
      <c r="AB4639">
        <v>2</v>
      </c>
      <c r="AC4639">
        <v>2</v>
      </c>
      <c r="AD4639">
        <v>3.27099991</v>
      </c>
      <c r="AE4639">
        <v>1</v>
      </c>
      <c r="AF4639">
        <v>16</v>
      </c>
      <c r="AG4639">
        <v>3.2639999400000002</v>
      </c>
      <c r="AH4639">
        <v>4</v>
      </c>
      <c r="AI4639">
        <v>17</v>
      </c>
      <c r="AJ4639">
        <v>1</v>
      </c>
      <c r="AK4639">
        <v>22</v>
      </c>
      <c r="AL4639">
        <v>37</v>
      </c>
      <c r="AM4639" t="s">
        <v>43</v>
      </c>
      <c r="AN4639" t="s">
        <v>43</v>
      </c>
    </row>
    <row r="4640" spans="1:40" x14ac:dyDescent="0.3">
      <c r="A4640" s="1">
        <v>46210.462268518517</v>
      </c>
      <c r="B4640" t="s">
        <v>40</v>
      </c>
      <c r="C4640" t="s">
        <v>41</v>
      </c>
      <c r="D4640" s="1">
        <v>46210.464999999997</v>
      </c>
      <c r="E4640" t="s">
        <v>42</v>
      </c>
      <c r="F4640" t="s">
        <v>83</v>
      </c>
      <c r="G4640">
        <v>11</v>
      </c>
      <c r="H4640">
        <v>33085</v>
      </c>
      <c r="I4640" t="s">
        <v>2656</v>
      </c>
      <c r="J4640">
        <v>61</v>
      </c>
      <c r="K4640">
        <v>83</v>
      </c>
      <c r="L4640">
        <v>98</v>
      </c>
      <c r="M4640">
        <v>626.40002441000001</v>
      </c>
      <c r="N4640" t="s">
        <v>87</v>
      </c>
      <c r="O4640" t="s">
        <v>86</v>
      </c>
      <c r="P4640">
        <v>128</v>
      </c>
      <c r="Q4640">
        <v>3</v>
      </c>
      <c r="R4640">
        <v>11</v>
      </c>
      <c r="S4640">
        <v>1494</v>
      </c>
      <c r="T4640">
        <v>-40</v>
      </c>
      <c r="U4640">
        <v>44</v>
      </c>
      <c r="V4640">
        <v>280</v>
      </c>
      <c r="W4640">
        <v>31</v>
      </c>
      <c r="X4640">
        <v>31</v>
      </c>
      <c r="Y4640">
        <v>5</v>
      </c>
      <c r="Z4640">
        <v>3</v>
      </c>
      <c r="AA4640">
        <v>28</v>
      </c>
      <c r="AB4640">
        <v>2</v>
      </c>
      <c r="AC4640">
        <v>2</v>
      </c>
      <c r="AD4640">
        <v>3.27999997</v>
      </c>
      <c r="AE4640">
        <v>1</v>
      </c>
      <c r="AF4640">
        <v>16</v>
      </c>
      <c r="AG4640">
        <v>3.27399993</v>
      </c>
      <c r="AH4640">
        <v>4</v>
      </c>
      <c r="AI4640">
        <v>17</v>
      </c>
      <c r="AJ4640">
        <v>1</v>
      </c>
      <c r="AK4640">
        <v>22</v>
      </c>
      <c r="AL4640">
        <v>37</v>
      </c>
      <c r="AM4640" t="s">
        <v>43</v>
      </c>
      <c r="AN4640" t="str">
        <f>HYPERLINK("https://www.google.com/maps?q=10.83269882,79.8378067","Open Location")</f>
        <v>Open Location</v>
      </c>
    </row>
    <row r="4641" spans="1:40" x14ac:dyDescent="0.3">
      <c r="A4641" s="1">
        <v>46210.462152777778</v>
      </c>
      <c r="B4641" t="s">
        <v>40</v>
      </c>
      <c r="C4641" t="s">
        <v>41</v>
      </c>
      <c r="D4641" s="1">
        <v>46210.465011574073</v>
      </c>
      <c r="E4641" t="s">
        <v>42</v>
      </c>
      <c r="F4641" t="s">
        <v>83</v>
      </c>
      <c r="G4641">
        <v>9</v>
      </c>
      <c r="H4641">
        <v>33085</v>
      </c>
      <c r="I4641" t="s">
        <v>2657</v>
      </c>
      <c r="J4641">
        <v>61</v>
      </c>
      <c r="K4641">
        <v>49</v>
      </c>
      <c r="L4641">
        <v>98</v>
      </c>
      <c r="M4641">
        <v>628.70001220999995</v>
      </c>
      <c r="N4641" t="s">
        <v>87</v>
      </c>
      <c r="O4641" t="s">
        <v>86</v>
      </c>
      <c r="P4641">
        <v>128</v>
      </c>
      <c r="Q4641">
        <v>3</v>
      </c>
      <c r="R4641">
        <v>34</v>
      </c>
      <c r="S4641">
        <v>1410</v>
      </c>
      <c r="T4641">
        <v>-40</v>
      </c>
      <c r="U4641">
        <v>44</v>
      </c>
      <c r="V4641">
        <v>120</v>
      </c>
      <c r="W4641">
        <v>31</v>
      </c>
      <c r="X4641">
        <v>31</v>
      </c>
      <c r="Y4641">
        <v>5</v>
      </c>
      <c r="Z4641">
        <v>3</v>
      </c>
      <c r="AA4641">
        <v>28</v>
      </c>
      <c r="AB4641">
        <v>2</v>
      </c>
      <c r="AC4641">
        <v>2</v>
      </c>
      <c r="AD4641">
        <v>3.2760000200000001</v>
      </c>
      <c r="AE4641">
        <v>1</v>
      </c>
      <c r="AF4641">
        <v>16</v>
      </c>
      <c r="AG4641">
        <v>3.2690000499999998</v>
      </c>
      <c r="AH4641">
        <v>6</v>
      </c>
      <c r="AI4641">
        <v>24</v>
      </c>
      <c r="AJ4641">
        <v>1</v>
      </c>
      <c r="AK4641">
        <v>22</v>
      </c>
      <c r="AL4641">
        <v>37</v>
      </c>
      <c r="AM4641" t="s">
        <v>43</v>
      </c>
      <c r="AN4641" t="str">
        <f>HYPERLINK("https://www.google.com/maps?q=10.83272839,79.83815002","Open Location")</f>
        <v>Open Location</v>
      </c>
    </row>
    <row r="4642" spans="1:40" x14ac:dyDescent="0.3">
      <c r="A4642" s="1">
        <v>46210.462037037039</v>
      </c>
      <c r="B4642" t="s">
        <v>40</v>
      </c>
      <c r="C4642" t="s">
        <v>41</v>
      </c>
      <c r="D4642" s="1">
        <v>46210.465011574073</v>
      </c>
      <c r="E4642" t="s">
        <v>42</v>
      </c>
      <c r="F4642" t="s">
        <v>83</v>
      </c>
      <c r="G4642">
        <v>10</v>
      </c>
      <c r="H4642">
        <v>33085</v>
      </c>
      <c r="I4642" t="s">
        <v>2658</v>
      </c>
      <c r="J4642">
        <v>61</v>
      </c>
      <c r="K4642">
        <v>61</v>
      </c>
      <c r="L4642">
        <v>98</v>
      </c>
      <c r="M4642">
        <v>628</v>
      </c>
      <c r="N4642" t="s">
        <v>87</v>
      </c>
      <c r="O4642" t="s">
        <v>86</v>
      </c>
      <c r="P4642">
        <v>128</v>
      </c>
      <c r="Q4642">
        <v>3</v>
      </c>
      <c r="R4642">
        <v>45</v>
      </c>
      <c r="S4642">
        <v>1163</v>
      </c>
      <c r="T4642">
        <v>-40</v>
      </c>
      <c r="U4642">
        <v>43</v>
      </c>
      <c r="V4642">
        <v>302</v>
      </c>
      <c r="W4642">
        <v>31</v>
      </c>
      <c r="X4642">
        <v>31</v>
      </c>
      <c r="Y4642">
        <v>5</v>
      </c>
      <c r="Z4642">
        <v>3</v>
      </c>
      <c r="AA4642">
        <v>28</v>
      </c>
      <c r="AB4642">
        <v>2</v>
      </c>
      <c r="AC4642">
        <v>2</v>
      </c>
      <c r="AD4642">
        <v>3.27399993</v>
      </c>
      <c r="AE4642">
        <v>5</v>
      </c>
      <c r="AF4642">
        <v>38</v>
      </c>
      <c r="AG4642">
        <v>3.2669999600000001</v>
      </c>
      <c r="AH4642">
        <v>4</v>
      </c>
      <c r="AI4642">
        <v>24</v>
      </c>
      <c r="AJ4642">
        <v>1</v>
      </c>
      <c r="AK4642">
        <v>22</v>
      </c>
      <c r="AL4642">
        <v>37</v>
      </c>
      <c r="AM4642" t="s">
        <v>43</v>
      </c>
      <c r="AN4642" t="str">
        <f>HYPERLINK("https://www.google.com/maps?q=10.83275032,79.83844757","Open Location")</f>
        <v>Open Location</v>
      </c>
    </row>
    <row r="4643" spans="1:40" x14ac:dyDescent="0.3">
      <c r="A4643" s="1">
        <v>46210.461921296293</v>
      </c>
      <c r="B4643" t="s">
        <v>40</v>
      </c>
      <c r="C4643" t="s">
        <v>41</v>
      </c>
      <c r="D4643" s="1">
        <v>46210.464849537035</v>
      </c>
      <c r="E4643" t="s">
        <v>42</v>
      </c>
      <c r="F4643" t="s">
        <v>83</v>
      </c>
      <c r="G4643">
        <v>11</v>
      </c>
      <c r="H4643">
        <v>33085</v>
      </c>
      <c r="I4643" t="s">
        <v>2659</v>
      </c>
      <c r="J4643">
        <v>61</v>
      </c>
      <c r="K4643">
        <v>55</v>
      </c>
      <c r="L4643">
        <v>98</v>
      </c>
      <c r="M4643">
        <v>627.70001220999995</v>
      </c>
      <c r="N4643" t="s">
        <v>87</v>
      </c>
      <c r="O4643" t="s">
        <v>86</v>
      </c>
      <c r="P4643">
        <v>128</v>
      </c>
      <c r="Q4643">
        <v>3</v>
      </c>
      <c r="R4643">
        <v>24</v>
      </c>
      <c r="S4643">
        <v>1315</v>
      </c>
      <c r="T4643">
        <v>-40</v>
      </c>
      <c r="U4643">
        <v>44</v>
      </c>
      <c r="V4643">
        <v>240</v>
      </c>
      <c r="W4643">
        <v>31</v>
      </c>
      <c r="X4643">
        <v>31</v>
      </c>
      <c r="Y4643">
        <v>5</v>
      </c>
      <c r="Z4643">
        <v>3</v>
      </c>
      <c r="AA4643">
        <v>28</v>
      </c>
      <c r="AB4643">
        <v>2</v>
      </c>
      <c r="AC4643">
        <v>2</v>
      </c>
      <c r="AD4643">
        <v>3.2780001200000002</v>
      </c>
      <c r="AE4643">
        <v>1</v>
      </c>
      <c r="AF4643">
        <v>1</v>
      </c>
      <c r="AG4643">
        <v>3.2730000000000001</v>
      </c>
      <c r="AH4643">
        <v>4</v>
      </c>
      <c r="AI4643">
        <v>24</v>
      </c>
      <c r="AJ4643">
        <v>1</v>
      </c>
      <c r="AK4643">
        <v>22</v>
      </c>
      <c r="AL4643">
        <v>37</v>
      </c>
      <c r="AM4643" t="s">
        <v>43</v>
      </c>
      <c r="AN4643" t="str">
        <f>HYPERLINK("https://www.google.com/maps?q=10.8327713,79.83878326","Open Location")</f>
        <v>Open Location</v>
      </c>
    </row>
    <row r="4644" spans="1:40" x14ac:dyDescent="0.3">
      <c r="A4644" s="1">
        <v>46210.461805555555</v>
      </c>
      <c r="B4644" t="s">
        <v>40</v>
      </c>
      <c r="C4644" t="s">
        <v>41</v>
      </c>
      <c r="D4644" s="1">
        <v>46210.464618055557</v>
      </c>
      <c r="E4644" t="s">
        <v>42</v>
      </c>
      <c r="F4644" t="s">
        <v>83</v>
      </c>
      <c r="G4644">
        <v>9</v>
      </c>
      <c r="H4644">
        <v>33085</v>
      </c>
      <c r="I4644" t="s">
        <v>43</v>
      </c>
      <c r="J4644">
        <v>61</v>
      </c>
      <c r="K4644">
        <v>44</v>
      </c>
      <c r="L4644">
        <v>98</v>
      </c>
      <c r="M4644">
        <v>628.29998779000005</v>
      </c>
      <c r="N4644" t="s">
        <v>87</v>
      </c>
      <c r="O4644" t="s">
        <v>86</v>
      </c>
      <c r="P4644">
        <v>128</v>
      </c>
      <c r="Q4644">
        <v>3</v>
      </c>
      <c r="R4644">
        <v>37</v>
      </c>
      <c r="S4644">
        <v>1408</v>
      </c>
      <c r="T4644">
        <v>-40</v>
      </c>
      <c r="U4644">
        <v>43</v>
      </c>
      <c r="V4644">
        <v>160</v>
      </c>
      <c r="W4644">
        <v>31</v>
      </c>
      <c r="X4644">
        <v>31</v>
      </c>
      <c r="Y4644">
        <v>5</v>
      </c>
      <c r="Z4644">
        <v>3</v>
      </c>
      <c r="AA4644">
        <v>28</v>
      </c>
      <c r="AB4644">
        <v>2</v>
      </c>
      <c r="AC4644">
        <v>2</v>
      </c>
      <c r="AD4644">
        <v>3.2760000200000001</v>
      </c>
      <c r="AE4644">
        <v>5</v>
      </c>
      <c r="AF4644">
        <v>38</v>
      </c>
      <c r="AG4644">
        <v>3.2690000499999998</v>
      </c>
      <c r="AH4644">
        <v>4</v>
      </c>
      <c r="AI4644">
        <v>24</v>
      </c>
      <c r="AJ4644">
        <v>1</v>
      </c>
      <c r="AK4644">
        <v>22</v>
      </c>
      <c r="AL4644">
        <v>36</v>
      </c>
      <c r="AM4644" t="s">
        <v>43</v>
      </c>
      <c r="AN4644" t="s">
        <v>43</v>
      </c>
    </row>
    <row r="4645" spans="1:40" x14ac:dyDescent="0.3">
      <c r="A4645" s="1">
        <v>46210.461689814816</v>
      </c>
      <c r="B4645" t="s">
        <v>40</v>
      </c>
      <c r="C4645" t="s">
        <v>41</v>
      </c>
      <c r="D4645" s="1">
        <v>46210.464606481481</v>
      </c>
      <c r="E4645" t="s">
        <v>42</v>
      </c>
      <c r="F4645" t="s">
        <v>83</v>
      </c>
      <c r="G4645">
        <v>7</v>
      </c>
      <c r="H4645" t="s">
        <v>43</v>
      </c>
      <c r="I4645" t="s">
        <v>2660</v>
      </c>
      <c r="J4645">
        <v>61</v>
      </c>
      <c r="K4645">
        <v>51</v>
      </c>
      <c r="L4645">
        <v>98</v>
      </c>
      <c r="M4645">
        <v>628.09997558999999</v>
      </c>
      <c r="N4645" t="s">
        <v>87</v>
      </c>
      <c r="O4645" t="s">
        <v>86</v>
      </c>
      <c r="P4645">
        <v>127</v>
      </c>
      <c r="Q4645">
        <v>2</v>
      </c>
      <c r="R4645">
        <v>0</v>
      </c>
      <c r="S4645">
        <v>1138</v>
      </c>
      <c r="T4645">
        <v>-40</v>
      </c>
      <c r="U4645">
        <v>42</v>
      </c>
      <c r="V4645">
        <v>240</v>
      </c>
      <c r="W4645">
        <v>31</v>
      </c>
      <c r="X4645">
        <v>31</v>
      </c>
      <c r="Y4645">
        <v>5</v>
      </c>
      <c r="Z4645">
        <v>3</v>
      </c>
      <c r="AA4645">
        <v>28</v>
      </c>
      <c r="AB4645">
        <v>2</v>
      </c>
      <c r="AC4645">
        <v>2</v>
      </c>
      <c r="AD4645">
        <v>3.28800011</v>
      </c>
      <c r="AE4645">
        <v>1</v>
      </c>
      <c r="AF4645">
        <v>16</v>
      </c>
      <c r="AG4645">
        <v>3.2839999199999999</v>
      </c>
      <c r="AH4645">
        <v>6</v>
      </c>
      <c r="AI4645">
        <v>24</v>
      </c>
      <c r="AJ4645">
        <v>1</v>
      </c>
      <c r="AK4645">
        <v>22</v>
      </c>
      <c r="AL4645">
        <v>36</v>
      </c>
      <c r="AM4645" t="s">
        <v>43</v>
      </c>
      <c r="AN4645" t="str">
        <f>HYPERLINK("https://www.google.com/maps?q=10.83279896,79.83909607","Open Location")</f>
        <v>Open Location</v>
      </c>
    </row>
    <row r="4646" spans="1:40" x14ac:dyDescent="0.3">
      <c r="A4646" s="1">
        <v>46210.461574074077</v>
      </c>
      <c r="B4646" t="s">
        <v>40</v>
      </c>
      <c r="C4646" t="s">
        <v>41</v>
      </c>
      <c r="D4646" s="1">
        <v>46210.46429398148</v>
      </c>
      <c r="E4646" t="s">
        <v>42</v>
      </c>
      <c r="F4646" t="s">
        <v>83</v>
      </c>
      <c r="G4646">
        <v>7</v>
      </c>
      <c r="H4646">
        <v>33085</v>
      </c>
      <c r="I4646" t="s">
        <v>2661</v>
      </c>
      <c r="J4646">
        <v>61</v>
      </c>
      <c r="K4646">
        <v>27</v>
      </c>
      <c r="L4646">
        <v>98</v>
      </c>
      <c r="M4646">
        <v>630.40002441000001</v>
      </c>
      <c r="N4646" t="s">
        <v>87</v>
      </c>
      <c r="O4646" t="s">
        <v>86</v>
      </c>
      <c r="P4646">
        <v>127</v>
      </c>
      <c r="Q4646">
        <v>2</v>
      </c>
      <c r="R4646">
        <v>0</v>
      </c>
      <c r="S4646">
        <v>1266</v>
      </c>
      <c r="T4646">
        <v>-40</v>
      </c>
      <c r="U4646">
        <v>42</v>
      </c>
      <c r="V4646">
        <v>5</v>
      </c>
      <c r="W4646">
        <v>31</v>
      </c>
      <c r="X4646">
        <v>31</v>
      </c>
      <c r="Y4646">
        <v>5</v>
      </c>
      <c r="Z4646">
        <v>3</v>
      </c>
      <c r="AA4646">
        <v>28</v>
      </c>
      <c r="AB4646">
        <v>2</v>
      </c>
      <c r="AC4646">
        <v>2</v>
      </c>
      <c r="AD4646">
        <v>3.2869999399999998</v>
      </c>
      <c r="AE4646">
        <v>1</v>
      </c>
      <c r="AF4646">
        <v>1</v>
      </c>
      <c r="AG4646">
        <v>3.2839999199999999</v>
      </c>
      <c r="AH4646">
        <v>2</v>
      </c>
      <c r="AI4646">
        <v>26</v>
      </c>
      <c r="AJ4646">
        <v>1</v>
      </c>
      <c r="AK4646">
        <v>22</v>
      </c>
      <c r="AL4646">
        <v>36</v>
      </c>
      <c r="AM4646" t="s">
        <v>43</v>
      </c>
      <c r="AN4646" t="str">
        <f>HYPERLINK("https://www.google.com/maps?q=10.83282471,79.83932495","Open Location")</f>
        <v>Open Location</v>
      </c>
    </row>
    <row r="4647" spans="1:40" x14ac:dyDescent="0.3">
      <c r="A4647" s="1">
        <v>46210.461458333331</v>
      </c>
      <c r="B4647" t="s">
        <v>40</v>
      </c>
      <c r="C4647" t="s">
        <v>41</v>
      </c>
      <c r="D4647" s="1">
        <v>46210.464502314811</v>
      </c>
      <c r="E4647" t="s">
        <v>42</v>
      </c>
      <c r="F4647" t="s">
        <v>83</v>
      </c>
      <c r="G4647">
        <v>5</v>
      </c>
      <c r="H4647">
        <v>33085</v>
      </c>
      <c r="I4647" t="s">
        <v>2662</v>
      </c>
      <c r="J4647">
        <v>61</v>
      </c>
      <c r="K4647">
        <v>7</v>
      </c>
      <c r="L4647">
        <v>98</v>
      </c>
      <c r="M4647">
        <v>630.40002441000001</v>
      </c>
      <c r="N4647" t="s">
        <v>87</v>
      </c>
      <c r="O4647" t="s">
        <v>86</v>
      </c>
      <c r="P4647">
        <v>127</v>
      </c>
      <c r="Q4647">
        <v>2</v>
      </c>
      <c r="R4647">
        <v>54</v>
      </c>
      <c r="S4647">
        <v>1572</v>
      </c>
      <c r="T4647">
        <v>-40</v>
      </c>
      <c r="U4647">
        <v>43</v>
      </c>
      <c r="V4647">
        <v>5</v>
      </c>
      <c r="W4647">
        <v>31</v>
      </c>
      <c r="X4647">
        <v>31</v>
      </c>
      <c r="Y4647">
        <v>5</v>
      </c>
      <c r="Z4647">
        <v>3</v>
      </c>
      <c r="AA4647">
        <v>28</v>
      </c>
      <c r="AB4647">
        <v>2</v>
      </c>
      <c r="AC4647">
        <v>2</v>
      </c>
      <c r="AD4647">
        <v>3.27699995</v>
      </c>
      <c r="AE4647">
        <v>1</v>
      </c>
      <c r="AF4647">
        <v>16</v>
      </c>
      <c r="AG4647">
        <v>3.2699999800000001</v>
      </c>
      <c r="AH4647">
        <v>4</v>
      </c>
      <c r="AI4647">
        <v>17</v>
      </c>
      <c r="AJ4647">
        <v>1</v>
      </c>
      <c r="AK4647">
        <v>22</v>
      </c>
      <c r="AL4647">
        <v>36</v>
      </c>
      <c r="AM4647" t="s">
        <v>43</v>
      </c>
      <c r="AN4647" t="str">
        <f>HYPERLINK("https://www.google.com/maps?q=10.83284092,79.83956146","Open Location")</f>
        <v>Open Location</v>
      </c>
    </row>
    <row r="4648" spans="1:40" x14ac:dyDescent="0.3">
      <c r="A4648" s="1">
        <v>46210.461342592593</v>
      </c>
      <c r="B4648" t="s">
        <v>40</v>
      </c>
      <c r="C4648" t="s">
        <v>41</v>
      </c>
      <c r="D4648" s="1">
        <v>46210.464050925926</v>
      </c>
      <c r="E4648" t="s">
        <v>42</v>
      </c>
      <c r="F4648" t="s">
        <v>83</v>
      </c>
      <c r="G4648">
        <v>0</v>
      </c>
      <c r="H4648">
        <v>33085</v>
      </c>
      <c r="I4648" t="s">
        <v>2663</v>
      </c>
      <c r="J4648">
        <v>61</v>
      </c>
      <c r="K4648">
        <v>72</v>
      </c>
      <c r="L4648">
        <v>98</v>
      </c>
      <c r="M4648">
        <v>627.5</v>
      </c>
      <c r="N4648" t="s">
        <v>85</v>
      </c>
      <c r="O4648" t="s">
        <v>86</v>
      </c>
      <c r="P4648">
        <v>127</v>
      </c>
      <c r="Q4648">
        <v>2</v>
      </c>
      <c r="R4648">
        <v>0</v>
      </c>
      <c r="S4648">
        <v>870</v>
      </c>
      <c r="T4648">
        <v>-40</v>
      </c>
      <c r="U4648">
        <v>42</v>
      </c>
      <c r="V4648">
        <v>420</v>
      </c>
      <c r="W4648">
        <v>31</v>
      </c>
      <c r="X4648">
        <v>31</v>
      </c>
      <c r="Y4648">
        <v>5</v>
      </c>
      <c r="Z4648">
        <v>3</v>
      </c>
      <c r="AA4648">
        <v>28</v>
      </c>
      <c r="AB4648">
        <v>2</v>
      </c>
      <c r="AC4648">
        <v>2</v>
      </c>
      <c r="AD4648">
        <v>3.2869999399999998</v>
      </c>
      <c r="AE4648">
        <v>1</v>
      </c>
      <c r="AF4648">
        <v>16</v>
      </c>
      <c r="AG4648">
        <v>3.2820000600000001</v>
      </c>
      <c r="AH4648">
        <v>4</v>
      </c>
      <c r="AI4648">
        <v>17</v>
      </c>
      <c r="AJ4648">
        <v>1</v>
      </c>
      <c r="AK4648">
        <v>23</v>
      </c>
      <c r="AL4648">
        <v>36</v>
      </c>
      <c r="AM4648" t="s">
        <v>43</v>
      </c>
      <c r="AN4648" t="str">
        <f>HYPERLINK("https://www.google.com/maps?q=10.83283329,79.83966064","Open Location")</f>
        <v>Open Location</v>
      </c>
    </row>
    <row r="4649" spans="1:40" x14ac:dyDescent="0.3">
      <c r="A4649" s="1">
        <v>46210.461226851854</v>
      </c>
      <c r="B4649" t="s">
        <v>40</v>
      </c>
      <c r="C4649" t="s">
        <v>41</v>
      </c>
      <c r="D4649" s="1">
        <v>46210.464502314811</v>
      </c>
      <c r="E4649" t="s">
        <v>42</v>
      </c>
      <c r="F4649" t="s">
        <v>83</v>
      </c>
      <c r="G4649">
        <v>9</v>
      </c>
      <c r="H4649" t="s">
        <v>43</v>
      </c>
      <c r="I4649" t="s">
        <v>2664</v>
      </c>
      <c r="J4649">
        <v>61</v>
      </c>
      <c r="K4649">
        <v>13</v>
      </c>
      <c r="L4649">
        <v>98</v>
      </c>
      <c r="M4649">
        <v>630.5</v>
      </c>
      <c r="N4649" t="s">
        <v>87</v>
      </c>
      <c r="O4649" t="s">
        <v>86</v>
      </c>
      <c r="P4649">
        <v>128</v>
      </c>
      <c r="Q4649">
        <v>2</v>
      </c>
      <c r="R4649">
        <v>-3</v>
      </c>
      <c r="S4649">
        <v>0</v>
      </c>
      <c r="T4649">
        <v>-40</v>
      </c>
      <c r="U4649">
        <v>43</v>
      </c>
      <c r="V4649">
        <v>-5</v>
      </c>
      <c r="W4649">
        <v>31</v>
      </c>
      <c r="X4649">
        <v>31</v>
      </c>
      <c r="Y4649">
        <v>5</v>
      </c>
      <c r="Z4649">
        <v>3</v>
      </c>
      <c r="AA4649">
        <v>28</v>
      </c>
      <c r="AB4649">
        <v>2</v>
      </c>
      <c r="AC4649">
        <v>2</v>
      </c>
      <c r="AD4649">
        <v>3.2869999399999998</v>
      </c>
      <c r="AE4649">
        <v>1</v>
      </c>
      <c r="AF4649">
        <v>16</v>
      </c>
      <c r="AG4649">
        <v>3.2820000600000001</v>
      </c>
      <c r="AH4649">
        <v>4</v>
      </c>
      <c r="AI4649">
        <v>17</v>
      </c>
      <c r="AJ4649">
        <v>1</v>
      </c>
      <c r="AK4649">
        <v>24</v>
      </c>
      <c r="AL4649">
        <v>36</v>
      </c>
      <c r="AM4649" t="s">
        <v>43</v>
      </c>
      <c r="AN4649" t="str">
        <f>HYPERLINK("https://www.google.com/maps?q=10.83284187,79.83979034","Open Location")</f>
        <v>Open Location</v>
      </c>
    </row>
    <row r="4650" spans="1:40" x14ac:dyDescent="0.3">
      <c r="A4650" s="1">
        <v>46210.461111111108</v>
      </c>
      <c r="B4650" t="s">
        <v>40</v>
      </c>
      <c r="C4650" t="s">
        <v>41</v>
      </c>
      <c r="D4650" s="1">
        <v>46210.463888888888</v>
      </c>
      <c r="E4650" t="s">
        <v>42</v>
      </c>
      <c r="F4650" t="s">
        <v>83</v>
      </c>
      <c r="G4650">
        <v>9</v>
      </c>
      <c r="H4650">
        <v>33085</v>
      </c>
      <c r="I4650" t="s">
        <v>43</v>
      </c>
      <c r="J4650">
        <v>61</v>
      </c>
      <c r="K4650">
        <v>-36</v>
      </c>
      <c r="L4650">
        <v>98</v>
      </c>
      <c r="M4650">
        <v>632</v>
      </c>
      <c r="N4650" t="s">
        <v>87</v>
      </c>
      <c r="O4650" t="s">
        <v>86</v>
      </c>
      <c r="P4650">
        <v>128</v>
      </c>
      <c r="Q4650">
        <v>3</v>
      </c>
      <c r="R4650">
        <v>46</v>
      </c>
      <c r="S4650">
        <v>1267</v>
      </c>
      <c r="T4650">
        <v>-40</v>
      </c>
      <c r="U4650">
        <v>44</v>
      </c>
      <c r="V4650">
        <v>-350</v>
      </c>
      <c r="W4650">
        <v>31</v>
      </c>
      <c r="X4650">
        <v>31</v>
      </c>
      <c r="Y4650">
        <v>5</v>
      </c>
      <c r="Z4650">
        <v>3</v>
      </c>
      <c r="AA4650">
        <v>28</v>
      </c>
      <c r="AB4650">
        <v>2</v>
      </c>
      <c r="AC4650">
        <v>2</v>
      </c>
      <c r="AD4650">
        <v>3.2750001000000002</v>
      </c>
      <c r="AE4650">
        <v>5</v>
      </c>
      <c r="AF4650">
        <v>38</v>
      </c>
      <c r="AG4650">
        <v>3.26799989</v>
      </c>
      <c r="AH4650">
        <v>4</v>
      </c>
      <c r="AI4650">
        <v>24</v>
      </c>
      <c r="AJ4650">
        <v>1</v>
      </c>
      <c r="AK4650">
        <v>22</v>
      </c>
      <c r="AL4650">
        <v>36</v>
      </c>
      <c r="AM4650" t="s">
        <v>43</v>
      </c>
      <c r="AN4650" t="s">
        <v>43</v>
      </c>
    </row>
    <row r="4651" spans="1:40" x14ac:dyDescent="0.3">
      <c r="A4651" s="1">
        <v>46210.460995370369</v>
      </c>
      <c r="B4651" t="s">
        <v>40</v>
      </c>
      <c r="C4651" t="s">
        <v>41</v>
      </c>
      <c r="D4651" s="1">
        <v>46210.464189814818</v>
      </c>
      <c r="E4651" t="s">
        <v>42</v>
      </c>
      <c r="F4651" t="s">
        <v>83</v>
      </c>
      <c r="G4651">
        <v>7</v>
      </c>
      <c r="H4651">
        <v>33085</v>
      </c>
      <c r="I4651" t="s">
        <v>2665</v>
      </c>
      <c r="J4651">
        <v>61</v>
      </c>
      <c r="K4651">
        <v>83</v>
      </c>
      <c r="L4651">
        <v>98</v>
      </c>
      <c r="M4651">
        <v>626.70001220999995</v>
      </c>
      <c r="N4651" t="s">
        <v>87</v>
      </c>
      <c r="O4651" t="s">
        <v>86</v>
      </c>
      <c r="P4651">
        <v>127</v>
      </c>
      <c r="Q4651">
        <v>2</v>
      </c>
      <c r="R4651">
        <v>25</v>
      </c>
      <c r="S4651">
        <v>1111</v>
      </c>
      <c r="T4651">
        <v>-40</v>
      </c>
      <c r="U4651">
        <v>42</v>
      </c>
      <c r="V4651">
        <v>360</v>
      </c>
      <c r="W4651">
        <v>31</v>
      </c>
      <c r="X4651">
        <v>31</v>
      </c>
      <c r="Y4651">
        <v>5</v>
      </c>
      <c r="Z4651">
        <v>3</v>
      </c>
      <c r="AA4651">
        <v>28</v>
      </c>
      <c r="AB4651">
        <v>2</v>
      </c>
      <c r="AC4651">
        <v>2</v>
      </c>
      <c r="AD4651">
        <v>3.2809998999999999</v>
      </c>
      <c r="AE4651">
        <v>1</v>
      </c>
      <c r="AF4651">
        <v>16</v>
      </c>
      <c r="AG4651">
        <v>3.2750001000000002</v>
      </c>
      <c r="AH4651">
        <v>6</v>
      </c>
      <c r="AI4651">
        <v>24</v>
      </c>
      <c r="AJ4651">
        <v>1</v>
      </c>
      <c r="AK4651">
        <v>23</v>
      </c>
      <c r="AL4651">
        <v>36</v>
      </c>
      <c r="AM4651" t="s">
        <v>43</v>
      </c>
      <c r="AN4651" t="str">
        <f>HYPERLINK("https://www.google.com/maps?q=10.83278561,79.84009552","Open Location")</f>
        <v>Open Location</v>
      </c>
    </row>
    <row r="4652" spans="1:40" x14ac:dyDescent="0.3">
      <c r="A4652" s="1">
        <v>46210.460879629631</v>
      </c>
      <c r="B4652" t="s">
        <v>40</v>
      </c>
      <c r="C4652" t="s">
        <v>41</v>
      </c>
      <c r="D4652" s="1">
        <v>46210.463761574072</v>
      </c>
      <c r="E4652" t="s">
        <v>42</v>
      </c>
      <c r="F4652" t="s">
        <v>83</v>
      </c>
      <c r="G4652">
        <v>8</v>
      </c>
      <c r="H4652">
        <v>33085</v>
      </c>
      <c r="I4652" t="s">
        <v>2666</v>
      </c>
      <c r="J4652">
        <v>61</v>
      </c>
      <c r="K4652">
        <v>75</v>
      </c>
      <c r="L4652">
        <v>98</v>
      </c>
      <c r="M4652">
        <v>629.09997558999999</v>
      </c>
      <c r="N4652" t="s">
        <v>87</v>
      </c>
      <c r="O4652" t="s">
        <v>86</v>
      </c>
      <c r="P4652">
        <v>127</v>
      </c>
      <c r="Q4652">
        <v>2</v>
      </c>
      <c r="R4652">
        <v>11</v>
      </c>
      <c r="S4652">
        <v>1479</v>
      </c>
      <c r="T4652">
        <v>-40</v>
      </c>
      <c r="U4652">
        <v>43</v>
      </c>
      <c r="V4652">
        <v>300</v>
      </c>
      <c r="W4652">
        <v>31</v>
      </c>
      <c r="X4652">
        <v>31</v>
      </c>
      <c r="Y4652">
        <v>5</v>
      </c>
      <c r="Z4652">
        <v>3</v>
      </c>
      <c r="AA4652">
        <v>28</v>
      </c>
      <c r="AB4652">
        <v>2</v>
      </c>
      <c r="AC4652">
        <v>2</v>
      </c>
      <c r="AD4652">
        <v>3.28800011</v>
      </c>
      <c r="AE4652">
        <v>1</v>
      </c>
      <c r="AF4652">
        <v>16</v>
      </c>
      <c r="AG4652">
        <v>3.2839999199999999</v>
      </c>
      <c r="AH4652">
        <v>6</v>
      </c>
      <c r="AI4652">
        <v>24</v>
      </c>
      <c r="AJ4652">
        <v>1</v>
      </c>
      <c r="AK4652">
        <v>23</v>
      </c>
      <c r="AL4652">
        <v>36</v>
      </c>
      <c r="AM4652" t="s">
        <v>43</v>
      </c>
      <c r="AN4652" t="str">
        <f>HYPERLINK("https://www.google.com/maps?q=10.83267021,79.84028625","Open Location")</f>
        <v>Open Location</v>
      </c>
    </row>
    <row r="4653" spans="1:40" x14ac:dyDescent="0.3">
      <c r="A4653" s="1">
        <v>46210.460763888892</v>
      </c>
      <c r="B4653" t="s">
        <v>40</v>
      </c>
      <c r="C4653" t="s">
        <v>41</v>
      </c>
      <c r="D4653" s="1">
        <v>46210.463900462964</v>
      </c>
      <c r="E4653" t="s">
        <v>42</v>
      </c>
      <c r="F4653" t="s">
        <v>83</v>
      </c>
      <c r="G4653">
        <v>6</v>
      </c>
      <c r="H4653">
        <v>33085</v>
      </c>
      <c r="I4653" t="s">
        <v>2667</v>
      </c>
      <c r="J4653">
        <v>61</v>
      </c>
      <c r="K4653">
        <v>23</v>
      </c>
      <c r="L4653">
        <v>98</v>
      </c>
      <c r="M4653">
        <v>629.90002441000001</v>
      </c>
      <c r="N4653" t="s">
        <v>87</v>
      </c>
      <c r="O4653" t="s">
        <v>86</v>
      </c>
      <c r="P4653">
        <v>127</v>
      </c>
      <c r="Q4653">
        <v>2</v>
      </c>
      <c r="R4653">
        <v>51</v>
      </c>
      <c r="S4653">
        <v>1789</v>
      </c>
      <c r="T4653">
        <v>-40</v>
      </c>
      <c r="U4653">
        <v>43</v>
      </c>
      <c r="V4653">
        <v>60</v>
      </c>
      <c r="W4653">
        <v>31</v>
      </c>
      <c r="X4653">
        <v>31</v>
      </c>
      <c r="Y4653">
        <v>5</v>
      </c>
      <c r="Z4653">
        <v>3</v>
      </c>
      <c r="AA4653">
        <v>28</v>
      </c>
      <c r="AB4653">
        <v>2</v>
      </c>
      <c r="AC4653">
        <v>2</v>
      </c>
      <c r="AD4653">
        <v>3.2750001000000002</v>
      </c>
      <c r="AE4653">
        <v>5</v>
      </c>
      <c r="AF4653">
        <v>38</v>
      </c>
      <c r="AG4653">
        <v>3.2669999600000001</v>
      </c>
      <c r="AH4653">
        <v>4</v>
      </c>
      <c r="AI4653">
        <v>24</v>
      </c>
      <c r="AJ4653">
        <v>1</v>
      </c>
      <c r="AK4653">
        <v>23</v>
      </c>
      <c r="AL4653">
        <v>36</v>
      </c>
      <c r="AM4653" t="s">
        <v>43</v>
      </c>
      <c r="AN4653" t="str">
        <f>HYPERLINK("https://www.google.com/maps?q=10.83241558,79.84029388","Open Location")</f>
        <v>Open Location</v>
      </c>
    </row>
    <row r="4654" spans="1:40" x14ac:dyDescent="0.3">
      <c r="A4654" s="1">
        <v>46210.460648148146</v>
      </c>
      <c r="B4654" t="s">
        <v>40</v>
      </c>
      <c r="C4654" t="s">
        <v>41</v>
      </c>
      <c r="D4654" s="1">
        <v>46210.463414351849</v>
      </c>
      <c r="E4654" t="s">
        <v>42</v>
      </c>
      <c r="F4654" t="s">
        <v>83</v>
      </c>
      <c r="G4654">
        <v>4</v>
      </c>
      <c r="H4654">
        <v>33085</v>
      </c>
      <c r="I4654" t="s">
        <v>2668</v>
      </c>
      <c r="J4654">
        <v>61</v>
      </c>
      <c r="K4654">
        <v>73</v>
      </c>
      <c r="L4654">
        <v>98</v>
      </c>
      <c r="M4654">
        <v>628.90002441000001</v>
      </c>
      <c r="N4654" t="s">
        <v>87</v>
      </c>
      <c r="O4654" t="s">
        <v>86</v>
      </c>
      <c r="P4654">
        <v>127</v>
      </c>
      <c r="Q4654">
        <v>2</v>
      </c>
      <c r="R4654">
        <v>13</v>
      </c>
      <c r="S4654">
        <v>1275</v>
      </c>
      <c r="T4654">
        <v>-40</v>
      </c>
      <c r="U4654">
        <v>43</v>
      </c>
      <c r="V4654">
        <v>300</v>
      </c>
      <c r="W4654">
        <v>31</v>
      </c>
      <c r="X4654">
        <v>31</v>
      </c>
      <c r="Y4654">
        <v>5</v>
      </c>
      <c r="Z4654">
        <v>3</v>
      </c>
      <c r="AA4654">
        <v>28</v>
      </c>
      <c r="AB4654">
        <v>2</v>
      </c>
      <c r="AC4654">
        <v>2</v>
      </c>
      <c r="AD4654">
        <v>3.28800011</v>
      </c>
      <c r="AE4654">
        <v>1</v>
      </c>
      <c r="AF4654">
        <v>16</v>
      </c>
      <c r="AG4654">
        <v>3.2839999199999999</v>
      </c>
      <c r="AH4654">
        <v>4</v>
      </c>
      <c r="AI4654">
        <v>24</v>
      </c>
      <c r="AJ4654">
        <v>1</v>
      </c>
      <c r="AK4654">
        <v>23</v>
      </c>
      <c r="AL4654">
        <v>36</v>
      </c>
      <c r="AM4654" t="s">
        <v>43</v>
      </c>
      <c r="AN4654" t="str">
        <f>HYPERLINK("https://www.google.com/maps?q=10.83225441,79.84024811","Open Location")</f>
        <v>Open Location</v>
      </c>
    </row>
    <row r="4655" spans="1:40" x14ac:dyDescent="0.3">
      <c r="A4655" s="1">
        <v>46210.460532407407</v>
      </c>
      <c r="B4655" t="s">
        <v>40</v>
      </c>
      <c r="C4655" t="s">
        <v>41</v>
      </c>
      <c r="D4655" s="1">
        <v>46210.463414351849</v>
      </c>
      <c r="E4655" t="s">
        <v>42</v>
      </c>
      <c r="F4655" t="s">
        <v>83</v>
      </c>
      <c r="G4655">
        <v>0</v>
      </c>
      <c r="H4655">
        <v>33085</v>
      </c>
      <c r="I4655" t="s">
        <v>2669</v>
      </c>
      <c r="J4655">
        <v>61</v>
      </c>
      <c r="K4655">
        <v>51</v>
      </c>
      <c r="L4655">
        <v>98</v>
      </c>
      <c r="M4655">
        <v>629.59997558999999</v>
      </c>
      <c r="N4655" t="s">
        <v>85</v>
      </c>
      <c r="O4655" t="s">
        <v>86</v>
      </c>
      <c r="P4655">
        <v>125</v>
      </c>
      <c r="Q4655">
        <v>2</v>
      </c>
      <c r="R4655">
        <v>0</v>
      </c>
      <c r="S4655">
        <v>808</v>
      </c>
      <c r="T4655">
        <v>-40</v>
      </c>
      <c r="U4655">
        <v>41</v>
      </c>
      <c r="V4655">
        <v>300</v>
      </c>
      <c r="W4655">
        <v>31</v>
      </c>
      <c r="X4655">
        <v>31</v>
      </c>
      <c r="Y4655">
        <v>5</v>
      </c>
      <c r="Z4655">
        <v>3</v>
      </c>
      <c r="AA4655">
        <v>28</v>
      </c>
      <c r="AB4655">
        <v>2</v>
      </c>
      <c r="AC4655">
        <v>2</v>
      </c>
      <c r="AD4655">
        <v>3.2929999799999998</v>
      </c>
      <c r="AE4655">
        <v>1</v>
      </c>
      <c r="AF4655">
        <v>2</v>
      </c>
      <c r="AG4655">
        <v>3.2899999599999998</v>
      </c>
      <c r="AH4655">
        <v>2</v>
      </c>
      <c r="AI4655">
        <v>26</v>
      </c>
      <c r="AJ4655">
        <v>1</v>
      </c>
      <c r="AK4655">
        <v>23</v>
      </c>
      <c r="AL4655">
        <v>36</v>
      </c>
      <c r="AM4655" t="s">
        <v>43</v>
      </c>
      <c r="AN4655" t="str">
        <f>HYPERLINK("https://www.google.com/maps?q=10.83224964,79.84020233","Open Location")</f>
        <v>Open Location</v>
      </c>
    </row>
    <row r="4656" spans="1:40" x14ac:dyDescent="0.3">
      <c r="A4656" s="1">
        <v>46210.460416666669</v>
      </c>
      <c r="B4656" t="s">
        <v>40</v>
      </c>
      <c r="C4656" t="s">
        <v>41</v>
      </c>
      <c r="D4656" s="1">
        <v>46210.463275462964</v>
      </c>
      <c r="E4656" t="s">
        <v>42</v>
      </c>
      <c r="F4656" t="s">
        <v>83</v>
      </c>
      <c r="G4656">
        <v>0</v>
      </c>
      <c r="H4656">
        <v>33085</v>
      </c>
      <c r="I4656" t="s">
        <v>43</v>
      </c>
      <c r="J4656">
        <v>61</v>
      </c>
      <c r="K4656">
        <v>8</v>
      </c>
      <c r="L4656">
        <v>98</v>
      </c>
      <c r="M4656">
        <v>631.40002441000001</v>
      </c>
      <c r="N4656" t="s">
        <v>85</v>
      </c>
      <c r="O4656" t="s">
        <v>82</v>
      </c>
      <c r="P4656">
        <v>125</v>
      </c>
      <c r="Q4656" t="s">
        <v>82</v>
      </c>
      <c r="R4656">
        <v>0</v>
      </c>
      <c r="S4656">
        <v>0</v>
      </c>
      <c r="T4656">
        <v>-40</v>
      </c>
      <c r="U4656">
        <v>41</v>
      </c>
      <c r="V4656">
        <v>0</v>
      </c>
      <c r="W4656">
        <v>31</v>
      </c>
      <c r="X4656">
        <v>31</v>
      </c>
      <c r="Y4656">
        <v>5</v>
      </c>
      <c r="Z4656">
        <v>3</v>
      </c>
      <c r="AA4656">
        <v>28</v>
      </c>
      <c r="AB4656">
        <v>2</v>
      </c>
      <c r="AC4656">
        <v>2</v>
      </c>
      <c r="AD4656">
        <v>3.2939999100000001</v>
      </c>
      <c r="AE4656">
        <v>1</v>
      </c>
      <c r="AF4656">
        <v>16</v>
      </c>
      <c r="AG4656">
        <v>3.2899999599999998</v>
      </c>
      <c r="AH4656">
        <v>2</v>
      </c>
      <c r="AI4656">
        <v>26</v>
      </c>
      <c r="AJ4656">
        <v>1</v>
      </c>
      <c r="AK4656">
        <v>23</v>
      </c>
      <c r="AL4656">
        <v>36</v>
      </c>
      <c r="AM4656" t="s">
        <v>43</v>
      </c>
      <c r="AN4656" t="s">
        <v>43</v>
      </c>
    </row>
    <row r="4657" spans="1:40" x14ac:dyDescent="0.3">
      <c r="A4657" s="1">
        <v>46210.460300925923</v>
      </c>
      <c r="B4657" t="s">
        <v>40</v>
      </c>
      <c r="C4657" t="s">
        <v>41</v>
      </c>
      <c r="D4657" s="1">
        <v>46210.463275462964</v>
      </c>
      <c r="E4657" t="s">
        <v>42</v>
      </c>
      <c r="F4657" t="s">
        <v>83</v>
      </c>
      <c r="G4657">
        <v>0</v>
      </c>
      <c r="H4657" t="s">
        <v>43</v>
      </c>
      <c r="I4657" t="s">
        <v>2670</v>
      </c>
      <c r="J4657">
        <v>61</v>
      </c>
      <c r="K4657">
        <v>8</v>
      </c>
      <c r="L4657">
        <v>98</v>
      </c>
      <c r="M4657">
        <v>631.20001220999995</v>
      </c>
      <c r="N4657" t="s">
        <v>85</v>
      </c>
      <c r="O4657" t="s">
        <v>82</v>
      </c>
      <c r="P4657">
        <v>125</v>
      </c>
      <c r="Q4657" t="s">
        <v>82</v>
      </c>
      <c r="R4657">
        <v>0</v>
      </c>
      <c r="S4657">
        <v>0</v>
      </c>
      <c r="T4657">
        <v>-40</v>
      </c>
      <c r="U4657">
        <v>41</v>
      </c>
      <c r="V4657">
        <v>0</v>
      </c>
      <c r="W4657">
        <v>31</v>
      </c>
      <c r="X4657">
        <v>31</v>
      </c>
      <c r="Y4657">
        <v>5</v>
      </c>
      <c r="Z4657">
        <v>3</v>
      </c>
      <c r="AA4657">
        <v>28</v>
      </c>
      <c r="AB4657">
        <v>2</v>
      </c>
      <c r="AC4657">
        <v>2</v>
      </c>
      <c r="AD4657">
        <v>3.2939999100000001</v>
      </c>
      <c r="AE4657">
        <v>1</v>
      </c>
      <c r="AF4657">
        <v>16</v>
      </c>
      <c r="AG4657">
        <v>3.2899999599999998</v>
      </c>
      <c r="AH4657">
        <v>7</v>
      </c>
      <c r="AI4657">
        <v>1</v>
      </c>
      <c r="AJ4657">
        <v>1</v>
      </c>
      <c r="AK4657">
        <v>23</v>
      </c>
      <c r="AL4657">
        <v>36</v>
      </c>
      <c r="AM4657" t="s">
        <v>43</v>
      </c>
      <c r="AN4657" t="str">
        <f>HYPERLINK("https://www.google.com/maps?q=10.83225441,79.84021759","Open Location")</f>
        <v>Open Location</v>
      </c>
    </row>
    <row r="4658" spans="1:40" x14ac:dyDescent="0.3">
      <c r="A4658" s="1">
        <v>46210.460185185184</v>
      </c>
      <c r="B4658" t="s">
        <v>40</v>
      </c>
      <c r="C4658" t="s">
        <v>41</v>
      </c>
      <c r="D4658" s="1">
        <v>46210.462962962964</v>
      </c>
      <c r="E4658" t="s">
        <v>42</v>
      </c>
      <c r="F4658" t="s">
        <v>83</v>
      </c>
      <c r="G4658">
        <v>0</v>
      </c>
      <c r="H4658">
        <v>33085</v>
      </c>
      <c r="I4658" t="s">
        <v>2671</v>
      </c>
      <c r="J4658">
        <v>61</v>
      </c>
      <c r="K4658">
        <v>8</v>
      </c>
      <c r="L4658">
        <v>98</v>
      </c>
      <c r="M4658">
        <v>631.40002441000001</v>
      </c>
      <c r="N4658" t="s">
        <v>85</v>
      </c>
      <c r="O4658" t="s">
        <v>82</v>
      </c>
      <c r="P4658">
        <v>125</v>
      </c>
      <c r="Q4658" t="s">
        <v>82</v>
      </c>
      <c r="R4658">
        <v>0</v>
      </c>
      <c r="S4658">
        <v>0</v>
      </c>
      <c r="T4658">
        <v>-40</v>
      </c>
      <c r="U4658">
        <v>41</v>
      </c>
      <c r="V4658">
        <v>0</v>
      </c>
      <c r="W4658">
        <v>31</v>
      </c>
      <c r="X4658">
        <v>31</v>
      </c>
      <c r="Y4658">
        <v>5</v>
      </c>
      <c r="Z4658">
        <v>3</v>
      </c>
      <c r="AA4658">
        <v>28</v>
      </c>
      <c r="AB4658">
        <v>2</v>
      </c>
      <c r="AC4658">
        <v>2</v>
      </c>
      <c r="AD4658">
        <v>3.2939999100000001</v>
      </c>
      <c r="AE4658">
        <v>1</v>
      </c>
      <c r="AF4658">
        <v>16</v>
      </c>
      <c r="AG4658">
        <v>3.2909998900000001</v>
      </c>
      <c r="AH4658">
        <v>1</v>
      </c>
      <c r="AI4658">
        <v>4</v>
      </c>
      <c r="AJ4658">
        <v>1</v>
      </c>
      <c r="AK4658">
        <v>23</v>
      </c>
      <c r="AL4658">
        <v>35</v>
      </c>
      <c r="AM4658" t="s">
        <v>43</v>
      </c>
      <c r="AN4658" t="str">
        <f>HYPERLINK("https://www.google.com/maps?q=10.83225727,79.84022522","Open Location")</f>
        <v>Open Location</v>
      </c>
    </row>
    <row r="4659" spans="1:40" x14ac:dyDescent="0.3">
      <c r="A4659" s="1">
        <v>46210.460069444445</v>
      </c>
      <c r="B4659" t="s">
        <v>40</v>
      </c>
      <c r="C4659" t="s">
        <v>41</v>
      </c>
      <c r="D4659" s="1">
        <v>46210.46334490741</v>
      </c>
      <c r="E4659" t="s">
        <v>42</v>
      </c>
      <c r="F4659" t="s">
        <v>83</v>
      </c>
      <c r="G4659">
        <v>0</v>
      </c>
      <c r="H4659">
        <v>33085</v>
      </c>
      <c r="I4659" t="s">
        <v>2672</v>
      </c>
      <c r="J4659">
        <v>61</v>
      </c>
      <c r="K4659">
        <v>8</v>
      </c>
      <c r="L4659">
        <v>98</v>
      </c>
      <c r="M4659">
        <v>631.90002441000001</v>
      </c>
      <c r="N4659" t="s">
        <v>85</v>
      </c>
      <c r="O4659" t="s">
        <v>82</v>
      </c>
      <c r="P4659">
        <v>125</v>
      </c>
      <c r="Q4659" t="s">
        <v>82</v>
      </c>
      <c r="R4659">
        <v>0</v>
      </c>
      <c r="S4659">
        <v>0</v>
      </c>
      <c r="T4659">
        <v>-40</v>
      </c>
      <c r="U4659">
        <v>41</v>
      </c>
      <c r="V4659">
        <v>0</v>
      </c>
      <c r="W4659">
        <v>31</v>
      </c>
      <c r="X4659">
        <v>31</v>
      </c>
      <c r="Y4659">
        <v>5</v>
      </c>
      <c r="Z4659">
        <v>3</v>
      </c>
      <c r="AA4659">
        <v>28</v>
      </c>
      <c r="AB4659">
        <v>2</v>
      </c>
      <c r="AC4659">
        <v>2</v>
      </c>
      <c r="AD4659">
        <v>3.2939999100000001</v>
      </c>
      <c r="AE4659">
        <v>1</v>
      </c>
      <c r="AF4659">
        <v>16</v>
      </c>
      <c r="AG4659">
        <v>3.2909998900000001</v>
      </c>
      <c r="AH4659">
        <v>1</v>
      </c>
      <c r="AI4659">
        <v>4</v>
      </c>
      <c r="AJ4659">
        <v>1</v>
      </c>
      <c r="AK4659">
        <v>23</v>
      </c>
      <c r="AL4659">
        <v>35</v>
      </c>
      <c r="AM4659" t="s">
        <v>43</v>
      </c>
      <c r="AN4659" t="str">
        <f>HYPERLINK("https://www.google.com/maps?q=10.83225346,79.84021759","Open Location")</f>
        <v>Open Location</v>
      </c>
    </row>
    <row r="4660" spans="1:40" x14ac:dyDescent="0.3">
      <c r="A4660" s="1">
        <v>46210.459953703707</v>
      </c>
      <c r="B4660" t="s">
        <v>40</v>
      </c>
      <c r="C4660" t="s">
        <v>41</v>
      </c>
      <c r="D4660" s="1">
        <v>46210.462777777779</v>
      </c>
      <c r="E4660" t="s">
        <v>42</v>
      </c>
      <c r="F4660" t="s">
        <v>83</v>
      </c>
      <c r="G4660">
        <v>0</v>
      </c>
      <c r="H4660">
        <v>33085</v>
      </c>
      <c r="I4660" t="s">
        <v>2673</v>
      </c>
      <c r="J4660">
        <v>61</v>
      </c>
      <c r="K4660">
        <v>8</v>
      </c>
      <c r="L4660">
        <v>98</v>
      </c>
      <c r="M4660">
        <v>631.90002441000001</v>
      </c>
      <c r="N4660" t="s">
        <v>85</v>
      </c>
      <c r="O4660" t="s">
        <v>82</v>
      </c>
      <c r="P4660">
        <v>125</v>
      </c>
      <c r="Q4660" t="s">
        <v>82</v>
      </c>
      <c r="R4660">
        <v>0</v>
      </c>
      <c r="S4660">
        <v>0</v>
      </c>
      <c r="T4660">
        <v>-40</v>
      </c>
      <c r="U4660">
        <v>41</v>
      </c>
      <c r="V4660">
        <v>0</v>
      </c>
      <c r="W4660">
        <v>31</v>
      </c>
      <c r="X4660">
        <v>31</v>
      </c>
      <c r="Y4660">
        <v>5</v>
      </c>
      <c r="Z4660">
        <v>3</v>
      </c>
      <c r="AA4660">
        <v>28</v>
      </c>
      <c r="AB4660">
        <v>2</v>
      </c>
      <c r="AC4660">
        <v>2</v>
      </c>
      <c r="AD4660">
        <v>3.2939999100000001</v>
      </c>
      <c r="AE4660">
        <v>1</v>
      </c>
      <c r="AF4660">
        <v>16</v>
      </c>
      <c r="AG4660">
        <v>3.2909998900000001</v>
      </c>
      <c r="AH4660">
        <v>1</v>
      </c>
      <c r="AI4660">
        <v>10</v>
      </c>
      <c r="AJ4660">
        <v>1</v>
      </c>
      <c r="AK4660">
        <v>24</v>
      </c>
      <c r="AL4660">
        <v>35</v>
      </c>
      <c r="AM4660" t="s">
        <v>43</v>
      </c>
      <c r="AN4660" t="str">
        <f>HYPERLINK("https://www.google.com/maps?q=10.83225346,79.84020233","Open Location")</f>
        <v>Open Location</v>
      </c>
    </row>
    <row r="4661" spans="1:40" x14ac:dyDescent="0.3">
      <c r="A4661" s="1">
        <v>46210.459837962961</v>
      </c>
      <c r="B4661" t="s">
        <v>40</v>
      </c>
      <c r="C4661" t="s">
        <v>41</v>
      </c>
      <c r="D4661" s="1">
        <v>46210.462719907409</v>
      </c>
      <c r="E4661" t="s">
        <v>42</v>
      </c>
      <c r="F4661" t="s">
        <v>83</v>
      </c>
      <c r="G4661">
        <v>0</v>
      </c>
      <c r="H4661">
        <v>33085</v>
      </c>
      <c r="I4661" t="s">
        <v>43</v>
      </c>
      <c r="J4661">
        <v>61</v>
      </c>
      <c r="K4661">
        <v>8</v>
      </c>
      <c r="L4661">
        <v>98</v>
      </c>
      <c r="M4661">
        <v>632</v>
      </c>
      <c r="N4661" t="s">
        <v>85</v>
      </c>
      <c r="O4661" t="s">
        <v>82</v>
      </c>
      <c r="P4661">
        <v>125</v>
      </c>
      <c r="Q4661" t="s">
        <v>82</v>
      </c>
      <c r="R4661">
        <v>0</v>
      </c>
      <c r="S4661">
        <v>0</v>
      </c>
      <c r="T4661">
        <v>-40</v>
      </c>
      <c r="U4661">
        <v>41</v>
      </c>
      <c r="V4661">
        <v>0</v>
      </c>
      <c r="W4661">
        <v>31</v>
      </c>
      <c r="X4661">
        <v>31</v>
      </c>
      <c r="Y4661">
        <v>5</v>
      </c>
      <c r="Z4661">
        <v>3</v>
      </c>
      <c r="AA4661">
        <v>28</v>
      </c>
      <c r="AB4661">
        <v>2</v>
      </c>
      <c r="AC4661">
        <v>2</v>
      </c>
      <c r="AD4661">
        <v>3.2939999100000001</v>
      </c>
      <c r="AE4661">
        <v>1</v>
      </c>
      <c r="AF4661">
        <v>16</v>
      </c>
      <c r="AG4661">
        <v>3.2909998900000001</v>
      </c>
      <c r="AH4661">
        <v>2</v>
      </c>
      <c r="AI4661">
        <v>3</v>
      </c>
      <c r="AJ4661">
        <v>1</v>
      </c>
      <c r="AK4661">
        <v>23</v>
      </c>
      <c r="AL4661">
        <v>35</v>
      </c>
      <c r="AM4661" t="s">
        <v>43</v>
      </c>
      <c r="AN4661" t="s">
        <v>43</v>
      </c>
    </row>
    <row r="4662" spans="1:40" x14ac:dyDescent="0.3">
      <c r="A4662" s="1">
        <v>46210.459722222222</v>
      </c>
      <c r="B4662" t="s">
        <v>40</v>
      </c>
      <c r="C4662" t="s">
        <v>41</v>
      </c>
      <c r="D4662" s="1">
        <v>46210.462500000001</v>
      </c>
      <c r="E4662" t="s">
        <v>42</v>
      </c>
      <c r="F4662" t="s">
        <v>83</v>
      </c>
      <c r="G4662">
        <v>0</v>
      </c>
      <c r="H4662">
        <v>33085</v>
      </c>
      <c r="I4662" t="s">
        <v>2674</v>
      </c>
      <c r="J4662">
        <v>61</v>
      </c>
      <c r="K4662">
        <v>7</v>
      </c>
      <c r="L4662">
        <v>98</v>
      </c>
      <c r="M4662">
        <v>631.79998779000005</v>
      </c>
      <c r="N4662" t="s">
        <v>85</v>
      </c>
      <c r="O4662" t="s">
        <v>82</v>
      </c>
      <c r="P4662">
        <v>125</v>
      </c>
      <c r="Q4662" t="s">
        <v>82</v>
      </c>
      <c r="R4662">
        <v>0</v>
      </c>
      <c r="S4662">
        <v>0</v>
      </c>
      <c r="T4662">
        <v>-40</v>
      </c>
      <c r="U4662">
        <v>41</v>
      </c>
      <c r="V4662">
        <v>0</v>
      </c>
      <c r="W4662">
        <v>31</v>
      </c>
      <c r="X4662">
        <v>31</v>
      </c>
      <c r="Y4662">
        <v>5</v>
      </c>
      <c r="Z4662">
        <v>3</v>
      </c>
      <c r="AA4662">
        <v>28</v>
      </c>
      <c r="AB4662">
        <v>2</v>
      </c>
      <c r="AC4662">
        <v>2</v>
      </c>
      <c r="AD4662">
        <v>3.2939999100000001</v>
      </c>
      <c r="AE4662">
        <v>1</v>
      </c>
      <c r="AF4662">
        <v>16</v>
      </c>
      <c r="AG4662">
        <v>3.2909998900000001</v>
      </c>
      <c r="AH4662">
        <v>2</v>
      </c>
      <c r="AI4662">
        <v>22</v>
      </c>
      <c r="AJ4662">
        <v>1</v>
      </c>
      <c r="AK4662">
        <v>24</v>
      </c>
      <c r="AL4662">
        <v>35</v>
      </c>
      <c r="AM4662" t="s">
        <v>43</v>
      </c>
      <c r="AN4662" t="str">
        <f>HYPERLINK("https://www.google.com/maps?q=10.83225441,79.84020233","Open Location")</f>
        <v>Open Location</v>
      </c>
    </row>
    <row r="4663" spans="1:40" x14ac:dyDescent="0.3">
      <c r="A4663" s="1">
        <v>46210.459606481483</v>
      </c>
      <c r="B4663" t="s">
        <v>40</v>
      </c>
      <c r="C4663" t="s">
        <v>41</v>
      </c>
      <c r="D4663" s="1">
        <v>46210.462500000001</v>
      </c>
      <c r="E4663" t="s">
        <v>42</v>
      </c>
      <c r="F4663" t="s">
        <v>83</v>
      </c>
      <c r="G4663">
        <v>0</v>
      </c>
      <c r="H4663">
        <v>33085</v>
      </c>
      <c r="I4663" t="s">
        <v>2675</v>
      </c>
      <c r="J4663">
        <v>61</v>
      </c>
      <c r="K4663">
        <v>6</v>
      </c>
      <c r="L4663">
        <v>98</v>
      </c>
      <c r="M4663">
        <v>631.5</v>
      </c>
      <c r="N4663" t="s">
        <v>85</v>
      </c>
      <c r="O4663" t="s">
        <v>82</v>
      </c>
      <c r="P4663">
        <v>125</v>
      </c>
      <c r="Q4663" t="s">
        <v>82</v>
      </c>
      <c r="R4663">
        <v>0</v>
      </c>
      <c r="S4663">
        <v>0</v>
      </c>
      <c r="T4663">
        <v>-40</v>
      </c>
      <c r="U4663">
        <v>41</v>
      </c>
      <c r="V4663">
        <v>0</v>
      </c>
      <c r="W4663">
        <v>31</v>
      </c>
      <c r="X4663">
        <v>31</v>
      </c>
      <c r="Y4663">
        <v>5</v>
      </c>
      <c r="Z4663">
        <v>3</v>
      </c>
      <c r="AA4663">
        <v>28</v>
      </c>
      <c r="AB4663">
        <v>2</v>
      </c>
      <c r="AC4663">
        <v>2</v>
      </c>
      <c r="AD4663">
        <v>3.2939999100000001</v>
      </c>
      <c r="AE4663">
        <v>1</v>
      </c>
      <c r="AF4663">
        <v>2</v>
      </c>
      <c r="AG4663">
        <v>3.2909998900000001</v>
      </c>
      <c r="AH4663">
        <v>2</v>
      </c>
      <c r="AI4663">
        <v>26</v>
      </c>
      <c r="AJ4663">
        <v>1</v>
      </c>
      <c r="AK4663">
        <v>24</v>
      </c>
      <c r="AL4663">
        <v>35</v>
      </c>
      <c r="AM4663" t="s">
        <v>43</v>
      </c>
      <c r="AN4663" t="str">
        <f>HYPERLINK("https://www.google.com/maps?q=10.83225632,79.84021759","Open Location")</f>
        <v>Open Location</v>
      </c>
    </row>
    <row r="4664" spans="1:40" x14ac:dyDescent="0.3">
      <c r="A4664" s="1">
        <v>46210.459490740737</v>
      </c>
      <c r="B4664" t="s">
        <v>40</v>
      </c>
      <c r="C4664" t="s">
        <v>41</v>
      </c>
      <c r="D4664" s="1">
        <v>46210.462337962963</v>
      </c>
      <c r="E4664" t="s">
        <v>42</v>
      </c>
      <c r="F4664" t="s">
        <v>83</v>
      </c>
      <c r="G4664">
        <v>0</v>
      </c>
      <c r="H4664" t="s">
        <v>43</v>
      </c>
      <c r="I4664" t="s">
        <v>2676</v>
      </c>
      <c r="J4664">
        <v>61</v>
      </c>
      <c r="K4664">
        <v>6</v>
      </c>
      <c r="L4664">
        <v>98</v>
      </c>
      <c r="M4664">
        <v>631.29998779000005</v>
      </c>
      <c r="N4664" t="s">
        <v>85</v>
      </c>
      <c r="O4664" t="s">
        <v>82</v>
      </c>
      <c r="P4664">
        <v>125</v>
      </c>
      <c r="Q4664" t="s">
        <v>82</v>
      </c>
      <c r="R4664">
        <v>0</v>
      </c>
      <c r="S4664">
        <v>0</v>
      </c>
      <c r="T4664">
        <v>-40</v>
      </c>
      <c r="U4664">
        <v>41</v>
      </c>
      <c r="V4664">
        <v>0</v>
      </c>
      <c r="W4664">
        <v>31</v>
      </c>
      <c r="X4664">
        <v>31</v>
      </c>
      <c r="Y4664">
        <v>5</v>
      </c>
      <c r="Z4664">
        <v>3</v>
      </c>
      <c r="AA4664">
        <v>28</v>
      </c>
      <c r="AB4664">
        <v>2</v>
      </c>
      <c r="AC4664">
        <v>2</v>
      </c>
      <c r="AD4664">
        <v>3.2939999100000001</v>
      </c>
      <c r="AE4664">
        <v>1</v>
      </c>
      <c r="AF4664">
        <v>2</v>
      </c>
      <c r="AG4664">
        <v>3.2909998900000001</v>
      </c>
      <c r="AH4664">
        <v>2</v>
      </c>
      <c r="AI4664">
        <v>26</v>
      </c>
      <c r="AJ4664">
        <v>1</v>
      </c>
      <c r="AK4664">
        <v>24</v>
      </c>
      <c r="AL4664">
        <v>35</v>
      </c>
      <c r="AM4664" t="s">
        <v>43</v>
      </c>
      <c r="AN4664" t="str">
        <f>HYPERLINK("https://www.google.com/maps?q=10.8322506,79.84022522","Open Location")</f>
        <v>Open Location</v>
      </c>
    </row>
    <row r="4665" spans="1:40" x14ac:dyDescent="0.3">
      <c r="A4665" s="1">
        <v>46210.459374999999</v>
      </c>
      <c r="B4665" t="s">
        <v>40</v>
      </c>
      <c r="C4665" t="s">
        <v>41</v>
      </c>
      <c r="D4665" s="1">
        <v>46210.462384259263</v>
      </c>
      <c r="E4665" t="s">
        <v>42</v>
      </c>
      <c r="F4665" t="s">
        <v>83</v>
      </c>
      <c r="G4665">
        <v>0</v>
      </c>
      <c r="H4665">
        <v>33085</v>
      </c>
      <c r="I4665" t="s">
        <v>2677</v>
      </c>
      <c r="J4665">
        <v>61</v>
      </c>
      <c r="K4665">
        <v>6</v>
      </c>
      <c r="L4665">
        <v>98</v>
      </c>
      <c r="M4665">
        <v>632.09997558999999</v>
      </c>
      <c r="N4665" t="s">
        <v>85</v>
      </c>
      <c r="O4665" t="s">
        <v>82</v>
      </c>
      <c r="P4665">
        <v>125</v>
      </c>
      <c r="Q4665" t="s">
        <v>82</v>
      </c>
      <c r="R4665">
        <v>0</v>
      </c>
      <c r="S4665">
        <v>0</v>
      </c>
      <c r="T4665">
        <v>-40</v>
      </c>
      <c r="U4665">
        <v>41</v>
      </c>
      <c r="V4665">
        <v>0</v>
      </c>
      <c r="W4665">
        <v>31</v>
      </c>
      <c r="X4665">
        <v>31</v>
      </c>
      <c r="Y4665">
        <v>5</v>
      </c>
      <c r="Z4665">
        <v>3</v>
      </c>
      <c r="AA4665">
        <v>28</v>
      </c>
      <c r="AB4665">
        <v>2</v>
      </c>
      <c r="AC4665">
        <v>2</v>
      </c>
      <c r="AD4665">
        <v>3.2939999100000001</v>
      </c>
      <c r="AE4665">
        <v>1</v>
      </c>
      <c r="AF4665">
        <v>16</v>
      </c>
      <c r="AG4665">
        <v>3.2899999599999998</v>
      </c>
      <c r="AH4665">
        <v>4</v>
      </c>
      <c r="AI4665">
        <v>17</v>
      </c>
      <c r="AJ4665">
        <v>1</v>
      </c>
      <c r="AK4665">
        <v>24</v>
      </c>
      <c r="AL4665">
        <v>35</v>
      </c>
      <c r="AM4665" t="s">
        <v>43</v>
      </c>
      <c r="AN4665" t="str">
        <f>HYPERLINK("https://www.google.com/maps?q=10.83224583,79.84020996","Open Location")</f>
        <v>Open Location</v>
      </c>
    </row>
    <row r="4666" spans="1:40" x14ac:dyDescent="0.3">
      <c r="A4666" s="1">
        <v>46210.45925925926</v>
      </c>
      <c r="B4666" t="s">
        <v>40</v>
      </c>
      <c r="C4666" t="s">
        <v>41</v>
      </c>
      <c r="D4666" s="1">
        <v>46210.462106481478</v>
      </c>
      <c r="E4666" t="s">
        <v>42</v>
      </c>
      <c r="F4666" t="s">
        <v>83</v>
      </c>
      <c r="G4666">
        <v>0</v>
      </c>
      <c r="H4666">
        <v>33085</v>
      </c>
      <c r="I4666" t="s">
        <v>2678</v>
      </c>
      <c r="J4666">
        <v>61</v>
      </c>
      <c r="K4666">
        <v>12</v>
      </c>
      <c r="L4666">
        <v>98</v>
      </c>
      <c r="M4666">
        <v>631.70001220999995</v>
      </c>
      <c r="N4666" t="s">
        <v>85</v>
      </c>
      <c r="O4666" t="s">
        <v>82</v>
      </c>
      <c r="P4666">
        <v>125</v>
      </c>
      <c r="Q4666" t="s">
        <v>82</v>
      </c>
      <c r="R4666">
        <v>0</v>
      </c>
      <c r="S4666">
        <v>0</v>
      </c>
      <c r="T4666">
        <v>-40</v>
      </c>
      <c r="U4666">
        <v>41</v>
      </c>
      <c r="V4666">
        <v>0</v>
      </c>
      <c r="W4666">
        <v>31</v>
      </c>
      <c r="X4666">
        <v>31</v>
      </c>
      <c r="Y4666">
        <v>5</v>
      </c>
      <c r="Z4666">
        <v>3</v>
      </c>
      <c r="AA4666">
        <v>28</v>
      </c>
      <c r="AB4666">
        <v>2</v>
      </c>
      <c r="AC4666">
        <v>2</v>
      </c>
      <c r="AD4666">
        <v>3.2939999100000001</v>
      </c>
      <c r="AE4666">
        <v>1</v>
      </c>
      <c r="AF4666">
        <v>25</v>
      </c>
      <c r="AG4666">
        <v>3.28900003</v>
      </c>
      <c r="AH4666">
        <v>4</v>
      </c>
      <c r="AI4666">
        <v>17</v>
      </c>
      <c r="AJ4666">
        <v>1</v>
      </c>
      <c r="AK4666">
        <v>24</v>
      </c>
      <c r="AL4666">
        <v>35</v>
      </c>
      <c r="AM4666" t="s">
        <v>43</v>
      </c>
      <c r="AN4666" t="str">
        <f>HYPERLINK("https://www.google.com/maps?q=10.83224583,79.84020233","Open Location")</f>
        <v>Open Location</v>
      </c>
    </row>
    <row r="4667" spans="1:40" x14ac:dyDescent="0.3">
      <c r="A4667" s="1">
        <v>46210.459143518521</v>
      </c>
      <c r="B4667" t="s">
        <v>40</v>
      </c>
      <c r="C4667" t="s">
        <v>41</v>
      </c>
      <c r="D4667" s="1">
        <v>46210.462094907409</v>
      </c>
      <c r="E4667" t="s">
        <v>42</v>
      </c>
      <c r="F4667" t="s">
        <v>83</v>
      </c>
      <c r="G4667">
        <v>0</v>
      </c>
      <c r="H4667">
        <v>33085</v>
      </c>
      <c r="I4667" t="s">
        <v>43</v>
      </c>
      <c r="J4667">
        <v>61</v>
      </c>
      <c r="K4667">
        <v>13</v>
      </c>
      <c r="L4667">
        <v>98</v>
      </c>
      <c r="M4667">
        <v>631.40002441000001</v>
      </c>
      <c r="N4667" t="s">
        <v>85</v>
      </c>
      <c r="O4667" t="s">
        <v>82</v>
      </c>
      <c r="P4667">
        <v>125</v>
      </c>
      <c r="Q4667" t="s">
        <v>82</v>
      </c>
      <c r="R4667">
        <v>0</v>
      </c>
      <c r="S4667">
        <v>0</v>
      </c>
      <c r="T4667">
        <v>-40</v>
      </c>
      <c r="U4667">
        <v>41</v>
      </c>
      <c r="V4667">
        <v>0</v>
      </c>
      <c r="W4667">
        <v>31</v>
      </c>
      <c r="X4667">
        <v>31</v>
      </c>
      <c r="Y4667">
        <v>5</v>
      </c>
      <c r="Z4667">
        <v>3</v>
      </c>
      <c r="AA4667">
        <v>28</v>
      </c>
      <c r="AB4667">
        <v>2</v>
      </c>
      <c r="AC4667">
        <v>2</v>
      </c>
      <c r="AD4667">
        <v>3.2939999100000001</v>
      </c>
      <c r="AE4667">
        <v>1</v>
      </c>
      <c r="AF4667">
        <v>16</v>
      </c>
      <c r="AG4667">
        <v>3.2899999599999998</v>
      </c>
      <c r="AH4667">
        <v>4</v>
      </c>
      <c r="AI4667">
        <v>17</v>
      </c>
      <c r="AJ4667">
        <v>1</v>
      </c>
      <c r="AK4667">
        <v>25</v>
      </c>
      <c r="AL4667">
        <v>35</v>
      </c>
      <c r="AM4667" t="s">
        <v>43</v>
      </c>
      <c r="AN4667" t="s">
        <v>43</v>
      </c>
    </row>
    <row r="4668" spans="1:40" x14ac:dyDescent="0.3">
      <c r="A4668" s="1">
        <v>46210.459027777775</v>
      </c>
      <c r="B4668" t="s">
        <v>40</v>
      </c>
      <c r="C4668" t="s">
        <v>41</v>
      </c>
      <c r="D4668" s="1">
        <v>46210.462025462963</v>
      </c>
      <c r="E4668" t="s">
        <v>42</v>
      </c>
      <c r="F4668" t="s">
        <v>83</v>
      </c>
      <c r="G4668">
        <v>0</v>
      </c>
      <c r="H4668" t="s">
        <v>43</v>
      </c>
      <c r="I4668" t="s">
        <v>2679</v>
      </c>
      <c r="J4668">
        <v>61</v>
      </c>
      <c r="K4668">
        <v>7</v>
      </c>
      <c r="L4668">
        <v>98</v>
      </c>
      <c r="M4668">
        <v>632.40002441000001</v>
      </c>
      <c r="N4668" t="s">
        <v>85</v>
      </c>
      <c r="O4668" t="s">
        <v>82</v>
      </c>
      <c r="P4668">
        <v>125</v>
      </c>
      <c r="Q4668" t="s">
        <v>82</v>
      </c>
      <c r="R4668">
        <v>0</v>
      </c>
      <c r="S4668">
        <v>0</v>
      </c>
      <c r="T4668">
        <v>-40</v>
      </c>
      <c r="U4668">
        <v>41</v>
      </c>
      <c r="V4668">
        <v>0</v>
      </c>
      <c r="W4668">
        <v>31</v>
      </c>
      <c r="X4668">
        <v>31</v>
      </c>
      <c r="Y4668">
        <v>5</v>
      </c>
      <c r="Z4668">
        <v>3</v>
      </c>
      <c r="AA4668">
        <v>28</v>
      </c>
      <c r="AB4668">
        <v>2</v>
      </c>
      <c r="AC4668">
        <v>2</v>
      </c>
      <c r="AD4668">
        <v>3.2959999999999998</v>
      </c>
      <c r="AE4668">
        <v>1</v>
      </c>
      <c r="AF4668">
        <v>25</v>
      </c>
      <c r="AG4668">
        <v>3.2920000599999999</v>
      </c>
      <c r="AH4668">
        <v>2</v>
      </c>
      <c r="AI4668">
        <v>26</v>
      </c>
      <c r="AJ4668">
        <v>1</v>
      </c>
      <c r="AK4668">
        <v>25</v>
      </c>
      <c r="AL4668">
        <v>35</v>
      </c>
      <c r="AM4668" t="s">
        <v>43</v>
      </c>
      <c r="AN4668" t="str">
        <f>HYPERLINK("https://www.google.com/maps?q=10.83223915,79.8401947","Open Location")</f>
        <v>Open Location</v>
      </c>
    </row>
    <row r="4669" spans="1:40" x14ac:dyDescent="0.3">
      <c r="A4669" s="1">
        <v>46210.458912037036</v>
      </c>
      <c r="B4669" t="s">
        <v>40</v>
      </c>
      <c r="C4669" t="s">
        <v>41</v>
      </c>
      <c r="D4669" s="1">
        <v>46210.462094907409</v>
      </c>
      <c r="E4669" t="s">
        <v>42</v>
      </c>
      <c r="F4669" t="s">
        <v>83</v>
      </c>
      <c r="G4669">
        <v>0</v>
      </c>
      <c r="H4669">
        <v>33085</v>
      </c>
      <c r="I4669" t="s">
        <v>43</v>
      </c>
      <c r="J4669">
        <v>61</v>
      </c>
      <c r="K4669">
        <v>5</v>
      </c>
      <c r="L4669">
        <v>98</v>
      </c>
      <c r="M4669">
        <v>631.79998779000005</v>
      </c>
      <c r="N4669" t="s">
        <v>85</v>
      </c>
      <c r="O4669" t="s">
        <v>82</v>
      </c>
      <c r="P4669">
        <v>125</v>
      </c>
      <c r="Q4669" t="s">
        <v>82</v>
      </c>
      <c r="R4669">
        <v>0</v>
      </c>
      <c r="S4669">
        <v>0</v>
      </c>
      <c r="T4669">
        <v>-40</v>
      </c>
      <c r="U4669">
        <v>40</v>
      </c>
      <c r="V4669">
        <v>0</v>
      </c>
      <c r="W4669">
        <v>31</v>
      </c>
      <c r="X4669">
        <v>31</v>
      </c>
      <c r="Y4669">
        <v>5</v>
      </c>
      <c r="Z4669">
        <v>3</v>
      </c>
      <c r="AA4669">
        <v>28</v>
      </c>
      <c r="AB4669">
        <v>2</v>
      </c>
      <c r="AC4669">
        <v>2</v>
      </c>
      <c r="AD4669">
        <v>3.2959999999999998</v>
      </c>
      <c r="AE4669">
        <v>1</v>
      </c>
      <c r="AF4669">
        <v>16</v>
      </c>
      <c r="AG4669">
        <v>3.2920000599999999</v>
      </c>
      <c r="AH4669">
        <v>7</v>
      </c>
      <c r="AI4669">
        <v>42</v>
      </c>
      <c r="AJ4669">
        <v>1</v>
      </c>
      <c r="AK4669">
        <v>25</v>
      </c>
      <c r="AL4669">
        <v>35</v>
      </c>
      <c r="AM4669" t="s">
        <v>43</v>
      </c>
      <c r="AN4669" t="s">
        <v>43</v>
      </c>
    </row>
    <row r="4670" spans="1:40" x14ac:dyDescent="0.3">
      <c r="A4670" s="1">
        <v>46210.458796296298</v>
      </c>
      <c r="B4670" t="s">
        <v>40</v>
      </c>
      <c r="C4670" t="s">
        <v>41</v>
      </c>
      <c r="D4670" s="1">
        <v>46210.461724537039</v>
      </c>
      <c r="E4670" t="s">
        <v>42</v>
      </c>
      <c r="F4670" t="s">
        <v>83</v>
      </c>
      <c r="G4670">
        <v>0</v>
      </c>
      <c r="H4670">
        <v>33085</v>
      </c>
      <c r="I4670" t="s">
        <v>2680</v>
      </c>
      <c r="J4670">
        <v>61</v>
      </c>
      <c r="K4670">
        <v>5</v>
      </c>
      <c r="L4670">
        <v>98</v>
      </c>
      <c r="M4670">
        <v>631.79998779000005</v>
      </c>
      <c r="N4670" t="s">
        <v>85</v>
      </c>
      <c r="O4670" t="s">
        <v>82</v>
      </c>
      <c r="P4670">
        <v>125</v>
      </c>
      <c r="Q4670" t="s">
        <v>82</v>
      </c>
      <c r="R4670">
        <v>0</v>
      </c>
      <c r="S4670">
        <v>0</v>
      </c>
      <c r="T4670">
        <v>-40</v>
      </c>
      <c r="U4670">
        <v>40</v>
      </c>
      <c r="V4670">
        <v>0</v>
      </c>
      <c r="W4670">
        <v>31</v>
      </c>
      <c r="X4670">
        <v>31</v>
      </c>
      <c r="Y4670">
        <v>5</v>
      </c>
      <c r="Z4670">
        <v>3</v>
      </c>
      <c r="AA4670">
        <v>28</v>
      </c>
      <c r="AB4670">
        <v>2</v>
      </c>
      <c r="AC4670">
        <v>2</v>
      </c>
      <c r="AD4670">
        <v>3.2959999999999998</v>
      </c>
      <c r="AE4670">
        <v>1</v>
      </c>
      <c r="AF4670">
        <v>16</v>
      </c>
      <c r="AG4670">
        <v>3.2929999799999998</v>
      </c>
      <c r="AH4670">
        <v>1</v>
      </c>
      <c r="AI4670">
        <v>4</v>
      </c>
      <c r="AJ4670">
        <v>1</v>
      </c>
      <c r="AK4670">
        <v>26</v>
      </c>
      <c r="AL4670">
        <v>35</v>
      </c>
      <c r="AM4670" t="s">
        <v>43</v>
      </c>
      <c r="AN4670" t="str">
        <f>HYPERLINK("https://www.google.com/maps?q=10.8322382,79.84017944","Open Location")</f>
        <v>Open Location</v>
      </c>
    </row>
    <row r="4671" spans="1:40" x14ac:dyDescent="0.3">
      <c r="A4671" s="1">
        <v>46210.458680555559</v>
      </c>
      <c r="B4671" t="s">
        <v>40</v>
      </c>
      <c r="C4671" t="s">
        <v>41</v>
      </c>
      <c r="D4671" s="1">
        <v>46210.461655092593</v>
      </c>
      <c r="E4671" t="s">
        <v>42</v>
      </c>
      <c r="F4671" t="s">
        <v>83</v>
      </c>
      <c r="G4671">
        <v>0</v>
      </c>
      <c r="H4671">
        <v>33085</v>
      </c>
      <c r="I4671" t="s">
        <v>2681</v>
      </c>
      <c r="J4671">
        <v>61</v>
      </c>
      <c r="K4671">
        <v>4</v>
      </c>
      <c r="L4671">
        <v>98</v>
      </c>
      <c r="M4671">
        <v>632.20001220999995</v>
      </c>
      <c r="N4671" t="s">
        <v>85</v>
      </c>
      <c r="O4671" t="s">
        <v>82</v>
      </c>
      <c r="P4671">
        <v>125</v>
      </c>
      <c r="Q4671" t="s">
        <v>82</v>
      </c>
      <c r="R4671">
        <v>0</v>
      </c>
      <c r="S4671">
        <v>0</v>
      </c>
      <c r="T4671">
        <v>-40</v>
      </c>
      <c r="U4671">
        <v>40</v>
      </c>
      <c r="V4671">
        <v>0</v>
      </c>
      <c r="W4671">
        <v>31</v>
      </c>
      <c r="X4671">
        <v>31</v>
      </c>
      <c r="Y4671">
        <v>5</v>
      </c>
      <c r="Z4671">
        <v>3</v>
      </c>
      <c r="AA4671">
        <v>28</v>
      </c>
      <c r="AB4671">
        <v>2</v>
      </c>
      <c r="AC4671">
        <v>2</v>
      </c>
      <c r="AD4671">
        <v>3.2959999999999998</v>
      </c>
      <c r="AE4671">
        <v>1</v>
      </c>
      <c r="AF4671">
        <v>16</v>
      </c>
      <c r="AG4671">
        <v>3.2929999799999998</v>
      </c>
      <c r="AH4671">
        <v>1</v>
      </c>
      <c r="AI4671">
        <v>10</v>
      </c>
      <c r="AJ4671">
        <v>1</v>
      </c>
      <c r="AK4671">
        <v>26</v>
      </c>
      <c r="AL4671">
        <v>35</v>
      </c>
      <c r="AM4671" t="s">
        <v>43</v>
      </c>
      <c r="AN4671" t="str">
        <f>HYPERLINK("https://www.google.com/maps?q=10.8322401,79.84017944","Open Location")</f>
        <v>Open Location</v>
      </c>
    </row>
    <row r="4672" spans="1:40" x14ac:dyDescent="0.3">
      <c r="A4672" s="1">
        <v>46210.458564814813</v>
      </c>
      <c r="B4672" t="s">
        <v>40</v>
      </c>
      <c r="C4672" t="s">
        <v>41</v>
      </c>
      <c r="D4672" s="1">
        <v>46210.461689814816</v>
      </c>
      <c r="E4672" t="s">
        <v>42</v>
      </c>
      <c r="F4672" t="s">
        <v>83</v>
      </c>
      <c r="G4672">
        <v>0</v>
      </c>
      <c r="H4672">
        <v>33085</v>
      </c>
      <c r="I4672" t="s">
        <v>2682</v>
      </c>
      <c r="J4672">
        <v>61</v>
      </c>
      <c r="K4672">
        <v>4</v>
      </c>
      <c r="L4672">
        <v>98</v>
      </c>
      <c r="M4672">
        <v>631.79998779000005</v>
      </c>
      <c r="N4672" t="s">
        <v>85</v>
      </c>
      <c r="O4672" t="s">
        <v>82</v>
      </c>
      <c r="P4672">
        <v>125</v>
      </c>
      <c r="Q4672" t="s">
        <v>82</v>
      </c>
      <c r="R4672">
        <v>0</v>
      </c>
      <c r="S4672">
        <v>0</v>
      </c>
      <c r="T4672">
        <v>-40</v>
      </c>
      <c r="U4672">
        <v>39</v>
      </c>
      <c r="V4672">
        <v>0</v>
      </c>
      <c r="W4672">
        <v>31</v>
      </c>
      <c r="X4672">
        <v>31</v>
      </c>
      <c r="Y4672">
        <v>5</v>
      </c>
      <c r="Z4672">
        <v>3</v>
      </c>
      <c r="AA4672">
        <v>28</v>
      </c>
      <c r="AB4672">
        <v>2</v>
      </c>
      <c r="AC4672">
        <v>2</v>
      </c>
      <c r="AD4672">
        <v>3.2959999999999998</v>
      </c>
      <c r="AE4672">
        <v>1</v>
      </c>
      <c r="AF4672">
        <v>16</v>
      </c>
      <c r="AG4672">
        <v>3.2929999799999998</v>
      </c>
      <c r="AH4672">
        <v>2</v>
      </c>
      <c r="AI4672">
        <v>6</v>
      </c>
      <c r="AJ4672">
        <v>1</v>
      </c>
      <c r="AK4672">
        <v>26</v>
      </c>
      <c r="AL4672">
        <v>35</v>
      </c>
      <c r="AM4672" t="s">
        <v>43</v>
      </c>
      <c r="AN4672" t="str">
        <f>HYPERLINK("https://www.google.com/maps?q=10.83223915,79.84017181","Open Location")</f>
        <v>Open Location</v>
      </c>
    </row>
    <row r="4673" spans="1:40" x14ac:dyDescent="0.3">
      <c r="A4673" s="1">
        <v>46210.458449074074</v>
      </c>
      <c r="B4673" t="s">
        <v>40</v>
      </c>
      <c r="C4673" t="s">
        <v>41</v>
      </c>
      <c r="D4673" s="1">
        <v>46210.461655092593</v>
      </c>
      <c r="E4673" t="s">
        <v>42</v>
      </c>
      <c r="F4673" t="s">
        <v>83</v>
      </c>
      <c r="G4673">
        <v>0</v>
      </c>
      <c r="H4673" t="s">
        <v>43</v>
      </c>
      <c r="I4673" t="s">
        <v>43</v>
      </c>
      <c r="J4673">
        <v>61</v>
      </c>
      <c r="K4673">
        <v>4</v>
      </c>
      <c r="L4673">
        <v>98</v>
      </c>
      <c r="M4673">
        <v>631.70001220999995</v>
      </c>
      <c r="N4673" t="s">
        <v>85</v>
      </c>
      <c r="O4673" t="s">
        <v>82</v>
      </c>
      <c r="P4673">
        <v>125</v>
      </c>
      <c r="Q4673" t="s">
        <v>82</v>
      </c>
      <c r="R4673">
        <v>0</v>
      </c>
      <c r="S4673">
        <v>0</v>
      </c>
      <c r="T4673">
        <v>-40</v>
      </c>
      <c r="U4673">
        <v>39</v>
      </c>
      <c r="V4673">
        <v>0</v>
      </c>
      <c r="W4673">
        <v>31</v>
      </c>
      <c r="X4673">
        <v>31</v>
      </c>
      <c r="Y4673">
        <v>5</v>
      </c>
      <c r="Z4673">
        <v>3</v>
      </c>
      <c r="AA4673">
        <v>28</v>
      </c>
      <c r="AB4673">
        <v>2</v>
      </c>
      <c r="AC4673">
        <v>2</v>
      </c>
      <c r="AD4673">
        <v>3.2959999999999998</v>
      </c>
      <c r="AE4673">
        <v>1</v>
      </c>
      <c r="AF4673">
        <v>16</v>
      </c>
      <c r="AG4673">
        <v>3.2929999799999998</v>
      </c>
      <c r="AH4673">
        <v>2</v>
      </c>
      <c r="AI4673">
        <v>6</v>
      </c>
      <c r="AJ4673">
        <v>1</v>
      </c>
      <c r="AK4673">
        <v>24</v>
      </c>
      <c r="AL4673">
        <v>34</v>
      </c>
      <c r="AM4673" t="s">
        <v>43</v>
      </c>
      <c r="AN4673" t="s">
        <v>43</v>
      </c>
    </row>
    <row r="4674" spans="1:40" x14ac:dyDescent="0.3">
      <c r="A4674" s="1">
        <v>46210.458333333336</v>
      </c>
      <c r="B4674" t="s">
        <v>40</v>
      </c>
      <c r="C4674" t="s">
        <v>41</v>
      </c>
      <c r="D4674" s="1">
        <v>46210.461053240739</v>
      </c>
      <c r="E4674" t="s">
        <v>42</v>
      </c>
      <c r="F4674" t="s">
        <v>83</v>
      </c>
      <c r="G4674">
        <v>0</v>
      </c>
      <c r="H4674">
        <v>33085</v>
      </c>
      <c r="I4674" t="s">
        <v>2683</v>
      </c>
      <c r="J4674">
        <v>61</v>
      </c>
      <c r="K4674">
        <v>3</v>
      </c>
      <c r="L4674">
        <v>98</v>
      </c>
      <c r="M4674">
        <v>632.20001220999995</v>
      </c>
      <c r="N4674" t="s">
        <v>85</v>
      </c>
      <c r="O4674" t="s">
        <v>82</v>
      </c>
      <c r="P4674">
        <v>125</v>
      </c>
      <c r="Q4674" t="s">
        <v>82</v>
      </c>
      <c r="R4674">
        <v>0</v>
      </c>
      <c r="S4674">
        <v>0</v>
      </c>
      <c r="T4674">
        <v>-40</v>
      </c>
      <c r="U4674">
        <v>39</v>
      </c>
      <c r="V4674">
        <v>0</v>
      </c>
      <c r="W4674">
        <v>31</v>
      </c>
      <c r="X4674">
        <v>31</v>
      </c>
      <c r="Y4674">
        <v>5</v>
      </c>
      <c r="Z4674">
        <v>3</v>
      </c>
      <c r="AA4674">
        <v>28</v>
      </c>
      <c r="AB4674">
        <v>2</v>
      </c>
      <c r="AC4674">
        <v>2</v>
      </c>
      <c r="AD4674">
        <v>3.2969999300000001</v>
      </c>
      <c r="AE4674">
        <v>1</v>
      </c>
      <c r="AF4674">
        <v>25</v>
      </c>
      <c r="AG4674">
        <v>3.2929999799999998</v>
      </c>
      <c r="AH4674">
        <v>7</v>
      </c>
      <c r="AI4674">
        <v>42</v>
      </c>
      <c r="AJ4674">
        <v>1</v>
      </c>
      <c r="AK4674">
        <v>19</v>
      </c>
      <c r="AL4674">
        <v>34</v>
      </c>
      <c r="AM4674" t="s">
        <v>43</v>
      </c>
      <c r="AN4674" t="str">
        <f>HYPERLINK("https://www.google.com/maps?q=10.83224201,79.84017944","Open Location")</f>
        <v>Open Location</v>
      </c>
    </row>
    <row r="4675" spans="1:40" x14ac:dyDescent="0.3">
      <c r="A4675" s="1">
        <v>46210.45821759259</v>
      </c>
      <c r="B4675" t="s">
        <v>40</v>
      </c>
      <c r="C4675" t="s">
        <v>41</v>
      </c>
      <c r="D4675" s="1">
        <v>46210.461273148147</v>
      </c>
      <c r="E4675" t="s">
        <v>42</v>
      </c>
      <c r="F4675" t="s">
        <v>83</v>
      </c>
      <c r="G4675" t="s">
        <v>43</v>
      </c>
      <c r="H4675">
        <v>33085</v>
      </c>
      <c r="I4675" t="s">
        <v>2684</v>
      </c>
      <c r="J4675">
        <v>61</v>
      </c>
      <c r="K4675">
        <v>2</v>
      </c>
      <c r="L4675">
        <v>98</v>
      </c>
      <c r="M4675">
        <v>632.09997558999999</v>
      </c>
      <c r="N4675" t="s">
        <v>45</v>
      </c>
      <c r="O4675" t="s">
        <v>82</v>
      </c>
      <c r="P4675" t="s">
        <v>43</v>
      </c>
      <c r="Q4675" t="s">
        <v>82</v>
      </c>
      <c r="R4675" t="s">
        <v>43</v>
      </c>
      <c r="S4675">
        <v>0</v>
      </c>
      <c r="T4675">
        <v>-40</v>
      </c>
      <c r="U4675">
        <v>39</v>
      </c>
      <c r="V4675">
        <v>0</v>
      </c>
      <c r="W4675">
        <v>31</v>
      </c>
      <c r="X4675">
        <v>31</v>
      </c>
      <c r="Y4675">
        <v>5</v>
      </c>
      <c r="Z4675">
        <v>3</v>
      </c>
      <c r="AA4675">
        <v>28</v>
      </c>
      <c r="AB4675">
        <v>2</v>
      </c>
      <c r="AC4675">
        <v>2</v>
      </c>
      <c r="AD4675">
        <v>3.2969999300000001</v>
      </c>
      <c r="AE4675">
        <v>1</v>
      </c>
      <c r="AF4675">
        <v>25</v>
      </c>
      <c r="AG4675">
        <v>3.2929999799999998</v>
      </c>
      <c r="AH4675">
        <v>2</v>
      </c>
      <c r="AI4675">
        <v>45</v>
      </c>
      <c r="AJ4675">
        <v>1</v>
      </c>
      <c r="AK4675">
        <v>19</v>
      </c>
      <c r="AL4675">
        <v>34</v>
      </c>
      <c r="AM4675" t="s">
        <v>43</v>
      </c>
      <c r="AN4675" t="str">
        <f>HYPERLINK("https://www.google.com/maps?q=10.83224297,79.84017181","Open Location")</f>
        <v>Open Location</v>
      </c>
    </row>
    <row r="4676" spans="1:40" x14ac:dyDescent="0.3">
      <c r="A4676" s="1">
        <v>46210.458101851851</v>
      </c>
      <c r="B4676" t="s">
        <v>40</v>
      </c>
      <c r="C4676" t="s">
        <v>41</v>
      </c>
      <c r="D4676" s="1">
        <v>46210.460879629631</v>
      </c>
      <c r="E4676" t="s">
        <v>42</v>
      </c>
      <c r="F4676" t="s">
        <v>83</v>
      </c>
      <c r="G4676">
        <v>0</v>
      </c>
      <c r="H4676">
        <v>33085</v>
      </c>
      <c r="I4676" t="s">
        <v>2685</v>
      </c>
      <c r="J4676">
        <v>61</v>
      </c>
      <c r="K4676">
        <v>2</v>
      </c>
      <c r="L4676">
        <v>98</v>
      </c>
      <c r="M4676">
        <v>632</v>
      </c>
      <c r="N4676" t="s">
        <v>81</v>
      </c>
      <c r="O4676" t="s">
        <v>82</v>
      </c>
      <c r="P4676">
        <v>125</v>
      </c>
      <c r="Q4676" t="s">
        <v>82</v>
      </c>
      <c r="R4676">
        <v>0</v>
      </c>
      <c r="S4676">
        <v>0</v>
      </c>
      <c r="T4676">
        <v>-40</v>
      </c>
      <c r="U4676">
        <v>38</v>
      </c>
      <c r="V4676">
        <v>0</v>
      </c>
      <c r="W4676">
        <v>31</v>
      </c>
      <c r="X4676">
        <v>31</v>
      </c>
      <c r="Y4676">
        <v>5</v>
      </c>
      <c r="Z4676">
        <v>3</v>
      </c>
      <c r="AA4676">
        <v>28</v>
      </c>
      <c r="AB4676">
        <v>2</v>
      </c>
      <c r="AC4676">
        <v>2</v>
      </c>
      <c r="AD4676">
        <v>3.2969999300000001</v>
      </c>
      <c r="AE4676">
        <v>1</v>
      </c>
      <c r="AF4676">
        <v>25</v>
      </c>
      <c r="AG4676">
        <v>3.2929999799999998</v>
      </c>
      <c r="AH4676">
        <v>7</v>
      </c>
      <c r="AI4676">
        <v>42</v>
      </c>
      <c r="AJ4676">
        <v>1</v>
      </c>
      <c r="AK4676">
        <v>19</v>
      </c>
      <c r="AL4676">
        <v>34</v>
      </c>
      <c r="AM4676" t="s">
        <v>43</v>
      </c>
      <c r="AN4676" t="str">
        <f>HYPERLINK("https://www.google.com/maps?q=10.83224773,79.84017944","Open Location")</f>
        <v>Open Location</v>
      </c>
    </row>
    <row r="4677" spans="1:40" x14ac:dyDescent="0.3">
      <c r="A4677" s="1">
        <v>46210.457986111112</v>
      </c>
      <c r="B4677" t="s">
        <v>40</v>
      </c>
      <c r="C4677" t="s">
        <v>41</v>
      </c>
      <c r="D4677" s="1">
        <v>46210.460810185185</v>
      </c>
      <c r="E4677" t="s">
        <v>42</v>
      </c>
      <c r="F4677" t="s">
        <v>83</v>
      </c>
      <c r="G4677">
        <v>0</v>
      </c>
      <c r="H4677" t="s">
        <v>43</v>
      </c>
      <c r="I4677" t="s">
        <v>2686</v>
      </c>
      <c r="J4677">
        <v>61</v>
      </c>
      <c r="K4677">
        <v>2</v>
      </c>
      <c r="L4677">
        <v>98</v>
      </c>
      <c r="M4677">
        <v>632</v>
      </c>
      <c r="N4677" t="s">
        <v>81</v>
      </c>
      <c r="O4677" t="s">
        <v>82</v>
      </c>
      <c r="P4677">
        <v>125</v>
      </c>
      <c r="Q4677" t="s">
        <v>82</v>
      </c>
      <c r="R4677">
        <v>0</v>
      </c>
      <c r="S4677">
        <v>0</v>
      </c>
      <c r="T4677">
        <v>-40</v>
      </c>
      <c r="U4677">
        <v>38</v>
      </c>
      <c r="V4677">
        <v>0</v>
      </c>
      <c r="W4677">
        <v>31</v>
      </c>
      <c r="X4677">
        <v>31</v>
      </c>
      <c r="Y4677">
        <v>5</v>
      </c>
      <c r="Z4677">
        <v>3</v>
      </c>
      <c r="AA4677">
        <v>28</v>
      </c>
      <c r="AB4677">
        <v>2</v>
      </c>
      <c r="AC4677">
        <v>2</v>
      </c>
      <c r="AD4677">
        <v>3.2969999300000001</v>
      </c>
      <c r="AE4677">
        <v>1</v>
      </c>
      <c r="AF4677">
        <v>25</v>
      </c>
      <c r="AG4677">
        <v>3.2929999799999998</v>
      </c>
      <c r="AH4677">
        <v>7</v>
      </c>
      <c r="AI4677">
        <v>42</v>
      </c>
      <c r="AJ4677">
        <v>1</v>
      </c>
      <c r="AK4677">
        <v>20</v>
      </c>
      <c r="AL4677">
        <v>34</v>
      </c>
      <c r="AM4677" t="s">
        <v>43</v>
      </c>
      <c r="AN4677" t="str">
        <f>HYPERLINK("https://www.google.com/maps?q=10.83224964,79.84018707","Open Location")</f>
        <v>Open Location</v>
      </c>
    </row>
    <row r="4678" spans="1:40" x14ac:dyDescent="0.3">
      <c r="A4678" s="1">
        <v>46210.457870370374</v>
      </c>
      <c r="B4678" t="s">
        <v>40</v>
      </c>
      <c r="C4678" t="s">
        <v>41</v>
      </c>
      <c r="D4678" s="1">
        <v>46210.460844907408</v>
      </c>
      <c r="E4678" t="s">
        <v>42</v>
      </c>
      <c r="F4678" t="s">
        <v>83</v>
      </c>
      <c r="G4678">
        <v>0</v>
      </c>
      <c r="H4678">
        <v>33085</v>
      </c>
      <c r="I4678" t="s">
        <v>43</v>
      </c>
      <c r="J4678">
        <v>61</v>
      </c>
      <c r="K4678">
        <v>2</v>
      </c>
      <c r="L4678">
        <v>98</v>
      </c>
      <c r="M4678">
        <v>632</v>
      </c>
      <c r="N4678" t="s">
        <v>81</v>
      </c>
      <c r="O4678" t="s">
        <v>82</v>
      </c>
      <c r="P4678">
        <v>125</v>
      </c>
      <c r="Q4678" t="s">
        <v>82</v>
      </c>
      <c r="R4678">
        <v>0</v>
      </c>
      <c r="S4678">
        <v>0</v>
      </c>
      <c r="T4678">
        <v>-40</v>
      </c>
      <c r="U4678">
        <v>38</v>
      </c>
      <c r="V4678">
        <v>0</v>
      </c>
      <c r="W4678">
        <v>31</v>
      </c>
      <c r="X4678">
        <v>31</v>
      </c>
      <c r="Y4678">
        <v>5</v>
      </c>
      <c r="Z4678">
        <v>3</v>
      </c>
      <c r="AA4678">
        <v>28</v>
      </c>
      <c r="AB4678">
        <v>2</v>
      </c>
      <c r="AC4678">
        <v>2</v>
      </c>
      <c r="AD4678">
        <v>3.2969999300000001</v>
      </c>
      <c r="AE4678">
        <v>1</v>
      </c>
      <c r="AF4678">
        <v>25</v>
      </c>
      <c r="AG4678">
        <v>3.2929999799999998</v>
      </c>
      <c r="AH4678">
        <v>2</v>
      </c>
      <c r="AI4678">
        <v>26</v>
      </c>
      <c r="AJ4678">
        <v>1</v>
      </c>
      <c r="AK4678">
        <v>20</v>
      </c>
      <c r="AL4678">
        <v>34</v>
      </c>
      <c r="AM4678" t="s">
        <v>43</v>
      </c>
      <c r="AN4678" t="s">
        <v>43</v>
      </c>
    </row>
    <row r="4679" spans="1:40" x14ac:dyDescent="0.3">
      <c r="A4679" s="1">
        <v>46210.457754629628</v>
      </c>
      <c r="B4679" t="s">
        <v>40</v>
      </c>
      <c r="C4679" t="s">
        <v>41</v>
      </c>
      <c r="D4679" s="1">
        <v>46210.46056712963</v>
      </c>
      <c r="E4679" t="s">
        <v>42</v>
      </c>
      <c r="F4679" t="s">
        <v>83</v>
      </c>
      <c r="G4679">
        <v>0</v>
      </c>
      <c r="H4679">
        <v>33085</v>
      </c>
      <c r="I4679" t="s">
        <v>2687</v>
      </c>
      <c r="J4679">
        <v>61</v>
      </c>
      <c r="K4679">
        <v>2</v>
      </c>
      <c r="L4679">
        <v>98</v>
      </c>
      <c r="M4679">
        <v>632</v>
      </c>
      <c r="N4679" t="s">
        <v>81</v>
      </c>
      <c r="O4679" t="s">
        <v>82</v>
      </c>
      <c r="P4679">
        <v>125</v>
      </c>
      <c r="Q4679" t="s">
        <v>82</v>
      </c>
      <c r="R4679">
        <v>0</v>
      </c>
      <c r="S4679">
        <v>0</v>
      </c>
      <c r="T4679">
        <v>-40</v>
      </c>
      <c r="U4679">
        <v>38</v>
      </c>
      <c r="V4679">
        <v>0</v>
      </c>
      <c r="W4679">
        <v>31</v>
      </c>
      <c r="X4679">
        <v>31</v>
      </c>
      <c r="Y4679">
        <v>5</v>
      </c>
      <c r="Z4679">
        <v>3</v>
      </c>
      <c r="AA4679">
        <v>28</v>
      </c>
      <c r="AB4679">
        <v>2</v>
      </c>
      <c r="AC4679">
        <v>2</v>
      </c>
      <c r="AD4679">
        <v>3.2959999999999998</v>
      </c>
      <c r="AE4679">
        <v>1</v>
      </c>
      <c r="AF4679">
        <v>16</v>
      </c>
      <c r="AG4679">
        <v>3.2929999799999998</v>
      </c>
      <c r="AH4679">
        <v>2</v>
      </c>
      <c r="AI4679">
        <v>26</v>
      </c>
      <c r="AJ4679">
        <v>1</v>
      </c>
      <c r="AK4679">
        <v>21</v>
      </c>
      <c r="AL4679">
        <v>34</v>
      </c>
      <c r="AM4679" t="s">
        <v>43</v>
      </c>
      <c r="AN4679" t="str">
        <f>HYPERLINK("https://www.google.com/maps?q=10.83225155,79.8401947","Open Location")</f>
        <v>Open Location</v>
      </c>
    </row>
    <row r="4680" spans="1:40" x14ac:dyDescent="0.3">
      <c r="A4680" s="1">
        <v>46210.457638888889</v>
      </c>
      <c r="B4680" t="s">
        <v>40</v>
      </c>
      <c r="C4680" t="s">
        <v>41</v>
      </c>
      <c r="D4680" s="1">
        <v>46210.460844907408</v>
      </c>
      <c r="E4680" t="s">
        <v>42</v>
      </c>
      <c r="F4680" t="s">
        <v>83</v>
      </c>
      <c r="G4680">
        <v>0</v>
      </c>
      <c r="H4680">
        <v>33085</v>
      </c>
      <c r="I4680" t="s">
        <v>2688</v>
      </c>
      <c r="J4680">
        <v>61</v>
      </c>
      <c r="K4680">
        <v>2</v>
      </c>
      <c r="L4680">
        <v>98</v>
      </c>
      <c r="M4680">
        <v>631.90002441000001</v>
      </c>
      <c r="N4680" t="s">
        <v>81</v>
      </c>
      <c r="O4680" t="s">
        <v>82</v>
      </c>
      <c r="P4680">
        <v>125</v>
      </c>
      <c r="Q4680" t="s">
        <v>82</v>
      </c>
      <c r="R4680">
        <v>0</v>
      </c>
      <c r="S4680">
        <v>0</v>
      </c>
      <c r="T4680">
        <v>-40</v>
      </c>
      <c r="U4680">
        <v>38</v>
      </c>
      <c r="V4680">
        <v>0</v>
      </c>
      <c r="W4680">
        <v>31</v>
      </c>
      <c r="X4680">
        <v>31</v>
      </c>
      <c r="Y4680">
        <v>5</v>
      </c>
      <c r="Z4680">
        <v>3</v>
      </c>
      <c r="AA4680">
        <v>28</v>
      </c>
      <c r="AB4680">
        <v>2</v>
      </c>
      <c r="AC4680">
        <v>2</v>
      </c>
      <c r="AD4680">
        <v>3.2959999999999998</v>
      </c>
      <c r="AE4680">
        <v>1</v>
      </c>
      <c r="AF4680">
        <v>16</v>
      </c>
      <c r="AG4680">
        <v>3.2929999799999998</v>
      </c>
      <c r="AH4680">
        <v>2</v>
      </c>
      <c r="AI4680">
        <v>6</v>
      </c>
      <c r="AJ4680">
        <v>1</v>
      </c>
      <c r="AK4680">
        <v>23</v>
      </c>
      <c r="AL4680">
        <v>34</v>
      </c>
      <c r="AM4680" t="s">
        <v>43</v>
      </c>
      <c r="AN4680" t="str">
        <f>HYPERLINK("https://www.google.com/maps?q=10.83224583,79.84018707","Open Location")</f>
        <v>Open Location</v>
      </c>
    </row>
    <row r="4681" spans="1:40" x14ac:dyDescent="0.3">
      <c r="A4681" s="1">
        <v>46210.45752314815</v>
      </c>
      <c r="B4681" t="s">
        <v>40</v>
      </c>
      <c r="C4681" t="s">
        <v>41</v>
      </c>
      <c r="D4681" s="1">
        <v>46210.460810185185</v>
      </c>
      <c r="E4681" t="s">
        <v>42</v>
      </c>
      <c r="F4681" t="s">
        <v>83</v>
      </c>
      <c r="G4681">
        <v>0</v>
      </c>
      <c r="H4681">
        <v>33085</v>
      </c>
      <c r="I4681" t="s">
        <v>2689</v>
      </c>
      <c r="J4681">
        <v>61</v>
      </c>
      <c r="K4681">
        <v>5</v>
      </c>
      <c r="L4681">
        <v>98</v>
      </c>
      <c r="M4681">
        <v>631.90002441000001</v>
      </c>
      <c r="N4681" t="s">
        <v>81</v>
      </c>
      <c r="O4681" t="s">
        <v>82</v>
      </c>
      <c r="P4681">
        <v>125</v>
      </c>
      <c r="Q4681" t="s">
        <v>82</v>
      </c>
      <c r="R4681">
        <v>0</v>
      </c>
      <c r="S4681">
        <v>0</v>
      </c>
      <c r="T4681">
        <v>-40</v>
      </c>
      <c r="U4681">
        <v>38</v>
      </c>
      <c r="V4681">
        <v>0</v>
      </c>
      <c r="W4681">
        <v>31</v>
      </c>
      <c r="X4681">
        <v>31</v>
      </c>
      <c r="Y4681">
        <v>5</v>
      </c>
      <c r="Z4681">
        <v>3</v>
      </c>
      <c r="AA4681">
        <v>28</v>
      </c>
      <c r="AB4681">
        <v>2</v>
      </c>
      <c r="AC4681">
        <v>2</v>
      </c>
      <c r="AD4681">
        <v>3.2950000799999999</v>
      </c>
      <c r="AE4681">
        <v>1</v>
      </c>
      <c r="AF4681">
        <v>16</v>
      </c>
      <c r="AG4681">
        <v>3.28900003</v>
      </c>
      <c r="AH4681">
        <v>5</v>
      </c>
      <c r="AI4681">
        <v>10</v>
      </c>
      <c r="AJ4681">
        <v>1</v>
      </c>
      <c r="AK4681">
        <v>25</v>
      </c>
      <c r="AL4681">
        <v>34</v>
      </c>
      <c r="AM4681" t="s">
        <v>43</v>
      </c>
      <c r="AN4681" t="str">
        <f>HYPERLINK("https://www.google.com/maps?q=10.83224583,79.8401947","Open Location")</f>
        <v>Open Location</v>
      </c>
    </row>
    <row r="4682" spans="1:40" x14ac:dyDescent="0.3">
      <c r="A4682" s="1">
        <v>46210.457407407404</v>
      </c>
      <c r="B4682" t="s">
        <v>40</v>
      </c>
      <c r="C4682" t="s">
        <v>41</v>
      </c>
      <c r="D4682" s="1">
        <v>46210.460416666669</v>
      </c>
      <c r="E4682" t="s">
        <v>42</v>
      </c>
      <c r="F4682" t="s">
        <v>83</v>
      </c>
      <c r="G4682">
        <v>0</v>
      </c>
      <c r="H4682">
        <v>33085</v>
      </c>
      <c r="I4682" t="s">
        <v>2690</v>
      </c>
      <c r="J4682">
        <v>61</v>
      </c>
      <c r="K4682">
        <v>10</v>
      </c>
      <c r="L4682">
        <v>98</v>
      </c>
      <c r="M4682">
        <v>632</v>
      </c>
      <c r="N4682" t="s">
        <v>81</v>
      </c>
      <c r="O4682" t="s">
        <v>82</v>
      </c>
      <c r="P4682">
        <v>125</v>
      </c>
      <c r="Q4682" t="s">
        <v>82</v>
      </c>
      <c r="R4682">
        <v>0</v>
      </c>
      <c r="S4682">
        <v>0</v>
      </c>
      <c r="T4682">
        <v>-40</v>
      </c>
      <c r="U4682">
        <v>38</v>
      </c>
      <c r="V4682">
        <v>0</v>
      </c>
      <c r="W4682">
        <v>31</v>
      </c>
      <c r="X4682">
        <v>31</v>
      </c>
      <c r="Y4682">
        <v>5</v>
      </c>
      <c r="Z4682">
        <v>3</v>
      </c>
      <c r="AA4682">
        <v>28</v>
      </c>
      <c r="AB4682">
        <v>2</v>
      </c>
      <c r="AC4682">
        <v>2</v>
      </c>
      <c r="AD4682">
        <v>3.2950000799999999</v>
      </c>
      <c r="AE4682">
        <v>1</v>
      </c>
      <c r="AF4682">
        <v>16</v>
      </c>
      <c r="AG4682">
        <v>3.2899999599999998</v>
      </c>
      <c r="AH4682">
        <v>5</v>
      </c>
      <c r="AI4682">
        <v>10</v>
      </c>
      <c r="AJ4682">
        <v>1</v>
      </c>
      <c r="AK4682">
        <v>27</v>
      </c>
      <c r="AL4682">
        <v>34</v>
      </c>
      <c r="AM4682" t="s">
        <v>43</v>
      </c>
      <c r="AN4682" t="str">
        <f>HYPERLINK("https://www.google.com/maps?q=10.83225155,79.84020996","Open Location")</f>
        <v>Open Location</v>
      </c>
    </row>
    <row r="4683" spans="1:40" x14ac:dyDescent="0.3">
      <c r="A4683" s="1">
        <v>46210.457291666666</v>
      </c>
      <c r="B4683" t="s">
        <v>40</v>
      </c>
      <c r="C4683" t="s">
        <v>41</v>
      </c>
      <c r="D4683" s="1">
        <v>46210.460416666669</v>
      </c>
      <c r="E4683" t="s">
        <v>42</v>
      </c>
      <c r="F4683" t="s">
        <v>83</v>
      </c>
      <c r="G4683">
        <v>0</v>
      </c>
      <c r="H4683">
        <v>33085</v>
      </c>
      <c r="I4683" t="s">
        <v>2691</v>
      </c>
      <c r="J4683">
        <v>61</v>
      </c>
      <c r="K4683">
        <v>10</v>
      </c>
      <c r="L4683">
        <v>98</v>
      </c>
      <c r="M4683">
        <v>631.59997558999999</v>
      </c>
      <c r="N4683" t="s">
        <v>81</v>
      </c>
      <c r="O4683" t="s">
        <v>82</v>
      </c>
      <c r="P4683">
        <v>125</v>
      </c>
      <c r="Q4683" t="s">
        <v>82</v>
      </c>
      <c r="R4683">
        <v>0</v>
      </c>
      <c r="S4683">
        <v>0</v>
      </c>
      <c r="T4683">
        <v>-40</v>
      </c>
      <c r="U4683">
        <v>38</v>
      </c>
      <c r="V4683">
        <v>0</v>
      </c>
      <c r="W4683">
        <v>31</v>
      </c>
      <c r="X4683">
        <v>31</v>
      </c>
      <c r="Y4683">
        <v>5</v>
      </c>
      <c r="Z4683">
        <v>3</v>
      </c>
      <c r="AA4683">
        <v>28</v>
      </c>
      <c r="AB4683">
        <v>2</v>
      </c>
      <c r="AC4683">
        <v>2</v>
      </c>
      <c r="AD4683">
        <v>3.2959999999999998</v>
      </c>
      <c r="AE4683">
        <v>1</v>
      </c>
      <c r="AF4683">
        <v>25</v>
      </c>
      <c r="AG4683">
        <v>3.2899999599999998</v>
      </c>
      <c r="AH4683">
        <v>5</v>
      </c>
      <c r="AI4683">
        <v>10</v>
      </c>
      <c r="AJ4683">
        <v>2</v>
      </c>
      <c r="AK4683">
        <v>32</v>
      </c>
      <c r="AL4683">
        <v>34</v>
      </c>
      <c r="AM4683" t="s">
        <v>43</v>
      </c>
      <c r="AN4683" t="str">
        <f>HYPERLINK("https://www.google.com/maps?q=10.83224964,79.8401947","Open Location")</f>
        <v>Open Location</v>
      </c>
    </row>
    <row r="4684" spans="1:40" x14ac:dyDescent="0.3">
      <c r="A4684" s="1">
        <v>46210.457175925927</v>
      </c>
      <c r="B4684" t="s">
        <v>40</v>
      </c>
      <c r="C4684" t="s">
        <v>41</v>
      </c>
      <c r="D4684" s="1">
        <v>46210.459814814814</v>
      </c>
      <c r="E4684" t="s">
        <v>42</v>
      </c>
      <c r="F4684" t="s">
        <v>83</v>
      </c>
      <c r="G4684">
        <v>0</v>
      </c>
      <c r="H4684">
        <v>33085</v>
      </c>
      <c r="I4684" t="s">
        <v>43</v>
      </c>
      <c r="J4684">
        <v>61</v>
      </c>
      <c r="K4684">
        <v>10</v>
      </c>
      <c r="L4684">
        <v>98</v>
      </c>
      <c r="M4684">
        <v>631.70001220999995</v>
      </c>
      <c r="N4684" t="s">
        <v>81</v>
      </c>
      <c r="O4684" t="s">
        <v>82</v>
      </c>
      <c r="P4684">
        <v>125</v>
      </c>
      <c r="Q4684" t="s">
        <v>43</v>
      </c>
      <c r="R4684">
        <v>0</v>
      </c>
      <c r="S4684">
        <v>0</v>
      </c>
      <c r="T4684">
        <v>-40</v>
      </c>
      <c r="U4684">
        <v>38</v>
      </c>
      <c r="V4684">
        <v>0</v>
      </c>
      <c r="W4684">
        <v>31</v>
      </c>
      <c r="X4684">
        <v>31</v>
      </c>
      <c r="Y4684">
        <v>5</v>
      </c>
      <c r="Z4684">
        <v>3</v>
      </c>
      <c r="AA4684">
        <v>28</v>
      </c>
      <c r="AB4684">
        <v>2</v>
      </c>
      <c r="AC4684">
        <v>2</v>
      </c>
      <c r="AD4684">
        <v>3.2959999999999998</v>
      </c>
      <c r="AE4684">
        <v>1</v>
      </c>
      <c r="AF4684">
        <v>16</v>
      </c>
      <c r="AG4684">
        <v>3.2899999599999998</v>
      </c>
      <c r="AH4684">
        <v>5</v>
      </c>
      <c r="AI4684">
        <v>10</v>
      </c>
      <c r="AJ4684">
        <v>2</v>
      </c>
      <c r="AK4684">
        <v>43</v>
      </c>
      <c r="AL4684">
        <v>34</v>
      </c>
      <c r="AM4684" t="s">
        <v>43</v>
      </c>
      <c r="AN4684" t="s">
        <v>43</v>
      </c>
    </row>
    <row r="4685" spans="1:40" x14ac:dyDescent="0.3">
      <c r="A4685" s="1">
        <v>46210.457060185188</v>
      </c>
      <c r="B4685" t="s">
        <v>40</v>
      </c>
      <c r="C4685" t="s">
        <v>41</v>
      </c>
      <c r="D4685" s="1">
        <v>46210.46</v>
      </c>
      <c r="E4685" t="s">
        <v>42</v>
      </c>
      <c r="F4685" t="s">
        <v>83</v>
      </c>
      <c r="G4685">
        <v>0</v>
      </c>
      <c r="H4685">
        <v>33085</v>
      </c>
      <c r="I4685" t="s">
        <v>2692</v>
      </c>
      <c r="J4685">
        <v>61</v>
      </c>
      <c r="K4685">
        <v>10</v>
      </c>
      <c r="L4685">
        <v>98</v>
      </c>
      <c r="M4685">
        <v>632.09997558999999</v>
      </c>
      <c r="N4685" t="s">
        <v>81</v>
      </c>
      <c r="O4685" t="s">
        <v>82</v>
      </c>
      <c r="P4685">
        <v>125</v>
      </c>
      <c r="Q4685" t="s">
        <v>82</v>
      </c>
      <c r="R4685">
        <v>0</v>
      </c>
      <c r="S4685">
        <v>0</v>
      </c>
      <c r="T4685">
        <v>-40</v>
      </c>
      <c r="U4685">
        <v>38</v>
      </c>
      <c r="V4685">
        <v>0</v>
      </c>
      <c r="W4685">
        <v>31</v>
      </c>
      <c r="X4685">
        <v>31</v>
      </c>
      <c r="Y4685">
        <v>5</v>
      </c>
      <c r="Z4685">
        <v>3</v>
      </c>
      <c r="AA4685">
        <v>27</v>
      </c>
      <c r="AB4685">
        <v>7</v>
      </c>
      <c r="AC4685">
        <v>5</v>
      </c>
      <c r="AD4685">
        <v>3.2980000999999999</v>
      </c>
      <c r="AE4685">
        <v>1</v>
      </c>
      <c r="AF4685">
        <v>16</v>
      </c>
      <c r="AG4685">
        <v>3.2950000799999999</v>
      </c>
      <c r="AH4685">
        <v>1</v>
      </c>
      <c r="AI4685">
        <v>4</v>
      </c>
      <c r="AJ4685">
        <v>0</v>
      </c>
      <c r="AK4685">
        <v>0</v>
      </c>
      <c r="AL4685">
        <v>34</v>
      </c>
      <c r="AM4685" t="s">
        <v>43</v>
      </c>
      <c r="AN4685" t="str">
        <f>HYPERLINK("https://www.google.com/maps?q=10.83224869,79.84020233","Open Location")</f>
        <v>Open Location</v>
      </c>
    </row>
    <row r="4686" spans="1:40" x14ac:dyDescent="0.3">
      <c r="A4686" s="1">
        <v>46210.456944444442</v>
      </c>
      <c r="B4686" t="s">
        <v>40</v>
      </c>
      <c r="C4686" t="s">
        <v>41</v>
      </c>
      <c r="D4686" s="1">
        <v>46210.459756944445</v>
      </c>
      <c r="E4686" t="s">
        <v>42</v>
      </c>
      <c r="F4686" t="s">
        <v>83</v>
      </c>
      <c r="G4686">
        <v>0</v>
      </c>
      <c r="H4686" t="s">
        <v>43</v>
      </c>
      <c r="I4686" t="s">
        <v>2693</v>
      </c>
      <c r="J4686">
        <v>0</v>
      </c>
      <c r="K4686">
        <v>-3200</v>
      </c>
      <c r="L4686">
        <v>0</v>
      </c>
      <c r="M4686">
        <v>0</v>
      </c>
      <c r="N4686" t="s">
        <v>81</v>
      </c>
      <c r="O4686" t="s">
        <v>82</v>
      </c>
      <c r="P4686">
        <v>125</v>
      </c>
      <c r="Q4686" t="s">
        <v>43</v>
      </c>
      <c r="R4686">
        <v>0</v>
      </c>
      <c r="S4686">
        <v>0</v>
      </c>
      <c r="T4686">
        <v>-40</v>
      </c>
      <c r="U4686">
        <v>38</v>
      </c>
      <c r="V4686">
        <v>0</v>
      </c>
      <c r="W4686" t="s">
        <v>43</v>
      </c>
      <c r="X4686" t="s">
        <v>43</v>
      </c>
      <c r="Y4686" t="s">
        <v>43</v>
      </c>
      <c r="Z4686" t="s">
        <v>43</v>
      </c>
      <c r="AA4686" t="s">
        <v>43</v>
      </c>
      <c r="AB4686" t="s">
        <v>43</v>
      </c>
      <c r="AC4686" t="s">
        <v>43</v>
      </c>
      <c r="AD4686" t="s">
        <v>43</v>
      </c>
      <c r="AE4686" t="s">
        <v>43</v>
      </c>
      <c r="AF4686" t="s">
        <v>43</v>
      </c>
      <c r="AG4686" t="s">
        <v>43</v>
      </c>
      <c r="AH4686" t="s">
        <v>43</v>
      </c>
      <c r="AI4686" t="s">
        <v>43</v>
      </c>
      <c r="AJ4686" t="s">
        <v>43</v>
      </c>
      <c r="AK4686" t="s">
        <v>43</v>
      </c>
      <c r="AL4686" t="s">
        <v>43</v>
      </c>
      <c r="AM4686" t="s">
        <v>43</v>
      </c>
      <c r="AN4686" t="str">
        <f>HYPERLINK("https://www.google.com/maps?q=10.83224678,79.84020996","Open Location")</f>
        <v>Open Location</v>
      </c>
    </row>
    <row r="4687" spans="1:40" x14ac:dyDescent="0.3">
      <c r="A4687" s="1">
        <v>46210.456828703704</v>
      </c>
      <c r="B4687" t="s">
        <v>40</v>
      </c>
      <c r="C4687" t="s">
        <v>41</v>
      </c>
      <c r="D4687" s="1">
        <v>46210.459756944445</v>
      </c>
      <c r="E4687" t="s">
        <v>42</v>
      </c>
      <c r="F4687" t="s">
        <v>43</v>
      </c>
      <c r="G4687" t="s">
        <v>43</v>
      </c>
      <c r="H4687" t="s">
        <v>43</v>
      </c>
      <c r="I4687" t="s">
        <v>2694</v>
      </c>
      <c r="J4687" t="s">
        <v>43</v>
      </c>
      <c r="K4687" t="s">
        <v>43</v>
      </c>
      <c r="L4687" t="s">
        <v>43</v>
      </c>
      <c r="M4687" t="s">
        <v>43</v>
      </c>
      <c r="N4687" t="s">
        <v>45</v>
      </c>
      <c r="O4687" t="s">
        <v>43</v>
      </c>
      <c r="P4687" t="s">
        <v>43</v>
      </c>
      <c r="Q4687" t="s">
        <v>43</v>
      </c>
      <c r="R4687" t="s">
        <v>43</v>
      </c>
      <c r="S4687" t="s">
        <v>43</v>
      </c>
      <c r="T4687" t="s">
        <v>43</v>
      </c>
      <c r="U4687" t="s">
        <v>43</v>
      </c>
      <c r="V4687" t="s">
        <v>43</v>
      </c>
      <c r="W4687" t="s">
        <v>43</v>
      </c>
      <c r="X4687" t="s">
        <v>43</v>
      </c>
      <c r="Y4687" t="s">
        <v>43</v>
      </c>
      <c r="Z4687" t="s">
        <v>43</v>
      </c>
      <c r="AA4687" t="s">
        <v>43</v>
      </c>
      <c r="AB4687" t="s">
        <v>43</v>
      </c>
      <c r="AC4687" t="s">
        <v>43</v>
      </c>
      <c r="AD4687" t="s">
        <v>43</v>
      </c>
      <c r="AE4687" t="s">
        <v>43</v>
      </c>
      <c r="AF4687" t="s">
        <v>43</v>
      </c>
      <c r="AG4687" t="s">
        <v>43</v>
      </c>
      <c r="AH4687" t="s">
        <v>43</v>
      </c>
      <c r="AI4687" t="s">
        <v>43</v>
      </c>
      <c r="AJ4687" t="s">
        <v>43</v>
      </c>
      <c r="AK4687" t="s">
        <v>43</v>
      </c>
      <c r="AL4687" t="s">
        <v>43</v>
      </c>
      <c r="AM4687" t="s">
        <v>43</v>
      </c>
      <c r="AN4687" t="str">
        <f>HYPERLINK("https://www.google.com/maps?q=10.83224773,79.84021759","Open Location")</f>
        <v>Open Location</v>
      </c>
    </row>
    <row r="4688" spans="1:40" x14ac:dyDescent="0.3">
      <c r="A4688" s="1">
        <v>46210.456712962965</v>
      </c>
      <c r="B4688" t="s">
        <v>40</v>
      </c>
      <c r="C4688" t="s">
        <v>41</v>
      </c>
      <c r="D4688" s="1">
        <v>46210.459490740737</v>
      </c>
      <c r="E4688" t="s">
        <v>42</v>
      </c>
      <c r="F4688" t="s">
        <v>43</v>
      </c>
      <c r="G4688" t="s">
        <v>43</v>
      </c>
      <c r="H4688" t="s">
        <v>43</v>
      </c>
      <c r="I4688" t="s">
        <v>2695</v>
      </c>
      <c r="J4688" t="s">
        <v>43</v>
      </c>
      <c r="K4688" t="s">
        <v>43</v>
      </c>
      <c r="L4688" t="s">
        <v>43</v>
      </c>
      <c r="M4688" t="s">
        <v>43</v>
      </c>
      <c r="N4688" t="s">
        <v>45</v>
      </c>
      <c r="O4688" t="s">
        <v>43</v>
      </c>
      <c r="P4688" t="s">
        <v>43</v>
      </c>
      <c r="Q4688" t="s">
        <v>43</v>
      </c>
      <c r="R4688" t="s">
        <v>43</v>
      </c>
      <c r="S4688" t="s">
        <v>43</v>
      </c>
      <c r="T4688" t="s">
        <v>43</v>
      </c>
      <c r="U4688" t="s">
        <v>43</v>
      </c>
      <c r="V4688" t="s">
        <v>43</v>
      </c>
      <c r="W4688" t="s">
        <v>43</v>
      </c>
      <c r="X4688" t="s">
        <v>43</v>
      </c>
      <c r="Y4688" t="s">
        <v>43</v>
      </c>
      <c r="Z4688" t="s">
        <v>43</v>
      </c>
      <c r="AA4688" t="s">
        <v>43</v>
      </c>
      <c r="AB4688" t="s">
        <v>43</v>
      </c>
      <c r="AC4688" t="s">
        <v>43</v>
      </c>
      <c r="AD4688" t="s">
        <v>43</v>
      </c>
      <c r="AE4688" t="s">
        <v>43</v>
      </c>
      <c r="AF4688" t="s">
        <v>43</v>
      </c>
      <c r="AG4688" t="s">
        <v>43</v>
      </c>
      <c r="AH4688" t="s">
        <v>43</v>
      </c>
      <c r="AI4688" t="s">
        <v>43</v>
      </c>
      <c r="AJ4688" t="s">
        <v>43</v>
      </c>
      <c r="AK4688" t="s">
        <v>43</v>
      </c>
      <c r="AL4688" t="s">
        <v>43</v>
      </c>
      <c r="AM4688" t="s">
        <v>43</v>
      </c>
      <c r="AN4688" t="str">
        <f>HYPERLINK("https://www.google.com/maps?q=10.83225346,79.84022522","Open Location")</f>
        <v>Open Location</v>
      </c>
    </row>
    <row r="4689" spans="1:40" x14ac:dyDescent="0.3">
      <c r="A4689" s="1">
        <v>46210.456597222219</v>
      </c>
      <c r="B4689" t="s">
        <v>40</v>
      </c>
      <c r="C4689" t="s">
        <v>41</v>
      </c>
      <c r="D4689" s="1">
        <v>46210.459490740737</v>
      </c>
      <c r="E4689" t="s">
        <v>42</v>
      </c>
      <c r="F4689" t="s">
        <v>43</v>
      </c>
      <c r="G4689" t="s">
        <v>43</v>
      </c>
      <c r="H4689" t="s">
        <v>43</v>
      </c>
      <c r="I4689" t="s">
        <v>2696</v>
      </c>
      <c r="J4689" t="s">
        <v>43</v>
      </c>
      <c r="K4689" t="s">
        <v>43</v>
      </c>
      <c r="L4689" t="s">
        <v>43</v>
      </c>
      <c r="M4689" t="s">
        <v>43</v>
      </c>
      <c r="N4689" t="s">
        <v>45</v>
      </c>
      <c r="O4689" t="s">
        <v>43</v>
      </c>
      <c r="P4689" t="s">
        <v>43</v>
      </c>
      <c r="Q4689" t="s">
        <v>43</v>
      </c>
      <c r="R4689" t="s">
        <v>43</v>
      </c>
      <c r="S4689" t="s">
        <v>43</v>
      </c>
      <c r="T4689" t="s">
        <v>43</v>
      </c>
      <c r="U4689" t="s">
        <v>43</v>
      </c>
      <c r="V4689" t="s">
        <v>43</v>
      </c>
      <c r="W4689" t="s">
        <v>43</v>
      </c>
      <c r="X4689" t="s">
        <v>43</v>
      </c>
      <c r="Y4689" t="s">
        <v>43</v>
      </c>
      <c r="Z4689" t="s">
        <v>43</v>
      </c>
      <c r="AA4689" t="s">
        <v>43</v>
      </c>
      <c r="AB4689" t="s">
        <v>43</v>
      </c>
      <c r="AC4689" t="s">
        <v>43</v>
      </c>
      <c r="AD4689" t="s">
        <v>43</v>
      </c>
      <c r="AE4689" t="s">
        <v>43</v>
      </c>
      <c r="AF4689" t="s">
        <v>43</v>
      </c>
      <c r="AG4689" t="s">
        <v>43</v>
      </c>
      <c r="AH4689" t="s">
        <v>43</v>
      </c>
      <c r="AI4689" t="s">
        <v>43</v>
      </c>
      <c r="AJ4689" t="s">
        <v>43</v>
      </c>
      <c r="AK4689" t="s">
        <v>43</v>
      </c>
      <c r="AL4689" t="s">
        <v>43</v>
      </c>
      <c r="AM4689" t="s">
        <v>43</v>
      </c>
      <c r="AN4689" t="str">
        <f>HYPERLINK("https://www.google.com/maps?q=10.83225536,79.84022522","Open Location")</f>
        <v>Open Location</v>
      </c>
    </row>
    <row r="4690" spans="1:40" x14ac:dyDescent="0.3">
      <c r="A4690" s="1">
        <v>46210.45648148148</v>
      </c>
      <c r="B4690" t="s">
        <v>40</v>
      </c>
      <c r="C4690" t="s">
        <v>41</v>
      </c>
      <c r="D4690" s="1">
        <v>46210.459270833337</v>
      </c>
      <c r="E4690" t="s">
        <v>42</v>
      </c>
      <c r="F4690" t="s">
        <v>43</v>
      </c>
      <c r="G4690" t="s">
        <v>43</v>
      </c>
      <c r="H4690" t="s">
        <v>43</v>
      </c>
      <c r="I4690" t="s">
        <v>43</v>
      </c>
      <c r="J4690" t="s">
        <v>43</v>
      </c>
      <c r="K4690" t="s">
        <v>43</v>
      </c>
      <c r="L4690" t="s">
        <v>43</v>
      </c>
      <c r="M4690" t="s">
        <v>43</v>
      </c>
      <c r="N4690" t="s">
        <v>45</v>
      </c>
      <c r="O4690" t="s">
        <v>43</v>
      </c>
      <c r="P4690" t="s">
        <v>43</v>
      </c>
      <c r="Q4690" t="s">
        <v>43</v>
      </c>
      <c r="R4690" t="s">
        <v>43</v>
      </c>
      <c r="S4690" t="s">
        <v>43</v>
      </c>
      <c r="T4690" t="s">
        <v>43</v>
      </c>
      <c r="U4690" t="s">
        <v>43</v>
      </c>
      <c r="V4690" t="s">
        <v>43</v>
      </c>
      <c r="W4690" t="s">
        <v>43</v>
      </c>
      <c r="X4690" t="s">
        <v>43</v>
      </c>
      <c r="Y4690" t="s">
        <v>43</v>
      </c>
      <c r="Z4690" t="s">
        <v>43</v>
      </c>
      <c r="AA4690" t="s">
        <v>43</v>
      </c>
      <c r="AB4690" t="s">
        <v>43</v>
      </c>
      <c r="AC4690" t="s">
        <v>43</v>
      </c>
      <c r="AD4690" t="s">
        <v>43</v>
      </c>
      <c r="AE4690" t="s">
        <v>43</v>
      </c>
      <c r="AF4690" t="s">
        <v>43</v>
      </c>
      <c r="AG4690" t="s">
        <v>43</v>
      </c>
      <c r="AH4690" t="s">
        <v>43</v>
      </c>
      <c r="AI4690" t="s">
        <v>43</v>
      </c>
      <c r="AJ4690" t="s">
        <v>43</v>
      </c>
      <c r="AK4690" t="s">
        <v>43</v>
      </c>
      <c r="AL4690" t="s">
        <v>43</v>
      </c>
      <c r="AM4690" t="s">
        <v>43</v>
      </c>
      <c r="AN4690" t="s">
        <v>43</v>
      </c>
    </row>
    <row r="4691" spans="1:40" x14ac:dyDescent="0.3">
      <c r="A4691" s="1">
        <v>46210.456365740742</v>
      </c>
      <c r="B4691" t="s">
        <v>40</v>
      </c>
      <c r="C4691" t="s">
        <v>41</v>
      </c>
      <c r="D4691" s="1">
        <v>46210.459270833337</v>
      </c>
      <c r="E4691" t="s">
        <v>42</v>
      </c>
      <c r="F4691" t="s">
        <v>43</v>
      </c>
      <c r="G4691" t="s">
        <v>43</v>
      </c>
      <c r="H4691" t="s">
        <v>43</v>
      </c>
      <c r="I4691" t="s">
        <v>2697</v>
      </c>
      <c r="J4691" t="s">
        <v>43</v>
      </c>
      <c r="K4691" t="s">
        <v>43</v>
      </c>
      <c r="L4691" t="s">
        <v>43</v>
      </c>
      <c r="M4691" t="s">
        <v>43</v>
      </c>
      <c r="N4691" t="s">
        <v>45</v>
      </c>
      <c r="O4691" t="s">
        <v>43</v>
      </c>
      <c r="P4691" t="s">
        <v>43</v>
      </c>
      <c r="Q4691" t="s">
        <v>43</v>
      </c>
      <c r="R4691" t="s">
        <v>43</v>
      </c>
      <c r="S4691" t="s">
        <v>43</v>
      </c>
      <c r="T4691" t="s">
        <v>43</v>
      </c>
      <c r="U4691" t="s">
        <v>43</v>
      </c>
      <c r="V4691" t="s">
        <v>43</v>
      </c>
      <c r="W4691" t="s">
        <v>43</v>
      </c>
      <c r="X4691" t="s">
        <v>43</v>
      </c>
      <c r="Y4691" t="s">
        <v>43</v>
      </c>
      <c r="Z4691" t="s">
        <v>43</v>
      </c>
      <c r="AA4691" t="s">
        <v>43</v>
      </c>
      <c r="AB4691" t="s">
        <v>43</v>
      </c>
      <c r="AC4691" t="s">
        <v>43</v>
      </c>
      <c r="AD4691" t="s">
        <v>43</v>
      </c>
      <c r="AE4691" t="s">
        <v>43</v>
      </c>
      <c r="AF4691" t="s">
        <v>43</v>
      </c>
      <c r="AG4691" t="s">
        <v>43</v>
      </c>
      <c r="AH4691" t="s">
        <v>43</v>
      </c>
      <c r="AI4691" t="s">
        <v>43</v>
      </c>
      <c r="AJ4691" t="s">
        <v>43</v>
      </c>
      <c r="AK4691" t="s">
        <v>43</v>
      </c>
      <c r="AL4691" t="s">
        <v>43</v>
      </c>
      <c r="AM4691" t="s">
        <v>43</v>
      </c>
      <c r="AN4691" t="str">
        <f>HYPERLINK("https://www.google.com/maps?q=10.83225632,79.84022522","Open Location")</f>
        <v>Open Location</v>
      </c>
    </row>
    <row r="4692" spans="1:40" x14ac:dyDescent="0.3">
      <c r="A4692" s="1">
        <v>46210.456250000003</v>
      </c>
      <c r="B4692" t="s">
        <v>40</v>
      </c>
      <c r="C4692" t="s">
        <v>41</v>
      </c>
      <c r="D4692" s="1">
        <v>46210.458969907406</v>
      </c>
      <c r="E4692" t="s">
        <v>42</v>
      </c>
      <c r="F4692" t="s">
        <v>43</v>
      </c>
      <c r="G4692" t="s">
        <v>43</v>
      </c>
      <c r="H4692" t="s">
        <v>43</v>
      </c>
      <c r="I4692" t="s">
        <v>2698</v>
      </c>
      <c r="J4692" t="s">
        <v>43</v>
      </c>
      <c r="K4692" t="s">
        <v>43</v>
      </c>
      <c r="L4692" t="s">
        <v>43</v>
      </c>
      <c r="M4692" t="s">
        <v>43</v>
      </c>
      <c r="N4692" t="s">
        <v>45</v>
      </c>
      <c r="O4692" t="s">
        <v>43</v>
      </c>
      <c r="P4692" t="s">
        <v>43</v>
      </c>
      <c r="Q4692" t="s">
        <v>43</v>
      </c>
      <c r="R4692" t="s">
        <v>43</v>
      </c>
      <c r="S4692" t="s">
        <v>43</v>
      </c>
      <c r="T4692" t="s">
        <v>43</v>
      </c>
      <c r="U4692" t="s">
        <v>43</v>
      </c>
      <c r="V4692" t="s">
        <v>43</v>
      </c>
      <c r="W4692" t="s">
        <v>43</v>
      </c>
      <c r="X4692" t="s">
        <v>43</v>
      </c>
      <c r="Y4692" t="s">
        <v>43</v>
      </c>
      <c r="Z4692" t="s">
        <v>43</v>
      </c>
      <c r="AA4692" t="s">
        <v>43</v>
      </c>
      <c r="AB4692" t="s">
        <v>43</v>
      </c>
      <c r="AC4692" t="s">
        <v>43</v>
      </c>
      <c r="AD4692" t="s">
        <v>43</v>
      </c>
      <c r="AE4692" t="s">
        <v>43</v>
      </c>
      <c r="AF4692" t="s">
        <v>43</v>
      </c>
      <c r="AG4692" t="s">
        <v>43</v>
      </c>
      <c r="AH4692" t="s">
        <v>43</v>
      </c>
      <c r="AI4692" t="s">
        <v>43</v>
      </c>
      <c r="AJ4692" t="s">
        <v>43</v>
      </c>
      <c r="AK4692" t="s">
        <v>43</v>
      </c>
      <c r="AL4692" t="s">
        <v>43</v>
      </c>
      <c r="AM4692" t="s">
        <v>43</v>
      </c>
      <c r="AN4692" t="str">
        <f>HYPERLINK("https://www.google.com/maps?q=10.83225632,79.84020996","Open Location")</f>
        <v>Open Location</v>
      </c>
    </row>
    <row r="4693" spans="1:40" x14ac:dyDescent="0.3">
      <c r="A4693" s="1">
        <v>46210.456134259257</v>
      </c>
      <c r="B4693" t="s">
        <v>40</v>
      </c>
      <c r="C4693" t="s">
        <v>41</v>
      </c>
      <c r="D4693" s="1">
        <v>46210.458912037036</v>
      </c>
      <c r="E4693" t="s">
        <v>42</v>
      </c>
      <c r="F4693" t="s">
        <v>43</v>
      </c>
      <c r="G4693" t="s">
        <v>43</v>
      </c>
      <c r="H4693" t="s">
        <v>43</v>
      </c>
      <c r="I4693" t="s">
        <v>2699</v>
      </c>
      <c r="J4693" t="s">
        <v>43</v>
      </c>
      <c r="K4693" t="s">
        <v>43</v>
      </c>
      <c r="L4693" t="s">
        <v>43</v>
      </c>
      <c r="M4693" t="s">
        <v>43</v>
      </c>
      <c r="N4693" t="s">
        <v>45</v>
      </c>
      <c r="O4693" t="s">
        <v>43</v>
      </c>
      <c r="P4693" t="s">
        <v>43</v>
      </c>
      <c r="Q4693" t="s">
        <v>43</v>
      </c>
      <c r="R4693" t="s">
        <v>43</v>
      </c>
      <c r="S4693" t="s">
        <v>43</v>
      </c>
      <c r="T4693" t="s">
        <v>43</v>
      </c>
      <c r="U4693" t="s">
        <v>43</v>
      </c>
      <c r="V4693" t="s">
        <v>43</v>
      </c>
      <c r="W4693" t="s">
        <v>43</v>
      </c>
      <c r="X4693" t="s">
        <v>43</v>
      </c>
      <c r="Y4693" t="s">
        <v>43</v>
      </c>
      <c r="Z4693" t="s">
        <v>43</v>
      </c>
      <c r="AA4693" t="s">
        <v>43</v>
      </c>
      <c r="AB4693" t="s">
        <v>43</v>
      </c>
      <c r="AC4693" t="s">
        <v>43</v>
      </c>
      <c r="AD4693" t="s">
        <v>43</v>
      </c>
      <c r="AE4693" t="s">
        <v>43</v>
      </c>
      <c r="AF4693" t="s">
        <v>43</v>
      </c>
      <c r="AG4693" t="s">
        <v>43</v>
      </c>
      <c r="AH4693" t="s">
        <v>43</v>
      </c>
      <c r="AI4693" t="s">
        <v>43</v>
      </c>
      <c r="AJ4693" t="s">
        <v>43</v>
      </c>
      <c r="AK4693" t="s">
        <v>43</v>
      </c>
      <c r="AL4693" t="s">
        <v>43</v>
      </c>
      <c r="AM4693" t="s">
        <v>43</v>
      </c>
      <c r="AN4693" t="str">
        <f>HYPERLINK("https://www.google.com/maps?q=10.83224964,79.84020996","Open Location")</f>
        <v>Open Location</v>
      </c>
    </row>
    <row r="4694" spans="1:40" x14ac:dyDescent="0.3">
      <c r="A4694" s="1">
        <v>46210.456018518518</v>
      </c>
      <c r="B4694" t="s">
        <v>40</v>
      </c>
      <c r="C4694" t="s">
        <v>41</v>
      </c>
      <c r="D4694" s="1">
        <v>46210.458935185183</v>
      </c>
      <c r="E4694" t="s">
        <v>42</v>
      </c>
      <c r="F4694" t="s">
        <v>43</v>
      </c>
      <c r="G4694" t="s">
        <v>43</v>
      </c>
      <c r="H4694" t="s">
        <v>43</v>
      </c>
      <c r="I4694" t="s">
        <v>2700</v>
      </c>
      <c r="J4694" t="s">
        <v>43</v>
      </c>
      <c r="K4694" t="s">
        <v>43</v>
      </c>
      <c r="L4694" t="s">
        <v>43</v>
      </c>
      <c r="M4694" t="s">
        <v>43</v>
      </c>
      <c r="N4694" t="s">
        <v>45</v>
      </c>
      <c r="O4694" t="s">
        <v>43</v>
      </c>
      <c r="P4694" t="s">
        <v>43</v>
      </c>
      <c r="Q4694" t="s">
        <v>43</v>
      </c>
      <c r="R4694" t="s">
        <v>43</v>
      </c>
      <c r="S4694" t="s">
        <v>43</v>
      </c>
      <c r="T4694" t="s">
        <v>43</v>
      </c>
      <c r="U4694" t="s">
        <v>43</v>
      </c>
      <c r="V4694" t="s">
        <v>43</v>
      </c>
      <c r="W4694" t="s">
        <v>43</v>
      </c>
      <c r="X4694" t="s">
        <v>43</v>
      </c>
      <c r="Y4694" t="s">
        <v>43</v>
      </c>
      <c r="Z4694" t="s">
        <v>43</v>
      </c>
      <c r="AA4694" t="s">
        <v>43</v>
      </c>
      <c r="AB4694" t="s">
        <v>43</v>
      </c>
      <c r="AC4694" t="s">
        <v>43</v>
      </c>
      <c r="AD4694" t="s">
        <v>43</v>
      </c>
      <c r="AE4694" t="s">
        <v>43</v>
      </c>
      <c r="AF4694" t="s">
        <v>43</v>
      </c>
      <c r="AG4694" t="s">
        <v>43</v>
      </c>
      <c r="AH4694" t="s">
        <v>43</v>
      </c>
      <c r="AI4694" t="s">
        <v>43</v>
      </c>
      <c r="AJ4694" t="s">
        <v>43</v>
      </c>
      <c r="AK4694" t="s">
        <v>43</v>
      </c>
      <c r="AL4694" t="s">
        <v>43</v>
      </c>
      <c r="AM4694" t="s">
        <v>43</v>
      </c>
      <c r="AN4694" t="str">
        <f>HYPERLINK("https://www.google.com/maps?q=10.83224773,79.84020233","Open Location")</f>
        <v>Open Location</v>
      </c>
    </row>
    <row r="4695" spans="1:40" x14ac:dyDescent="0.3">
      <c r="A4695" s="1">
        <v>46210.45590277778</v>
      </c>
      <c r="B4695" t="s">
        <v>40</v>
      </c>
      <c r="C4695" t="s">
        <v>41</v>
      </c>
      <c r="D4695" s="1">
        <v>46210.458738425928</v>
      </c>
      <c r="E4695" t="s">
        <v>42</v>
      </c>
      <c r="F4695" t="s">
        <v>43</v>
      </c>
      <c r="G4695" t="s">
        <v>43</v>
      </c>
      <c r="H4695" t="s">
        <v>43</v>
      </c>
      <c r="I4695" t="s">
        <v>43</v>
      </c>
      <c r="J4695" t="s">
        <v>43</v>
      </c>
      <c r="K4695" t="s">
        <v>43</v>
      </c>
      <c r="L4695" t="s">
        <v>43</v>
      </c>
      <c r="M4695" t="s">
        <v>43</v>
      </c>
      <c r="N4695" t="s">
        <v>45</v>
      </c>
      <c r="O4695" t="s">
        <v>43</v>
      </c>
      <c r="P4695" t="s">
        <v>43</v>
      </c>
      <c r="Q4695" t="s">
        <v>43</v>
      </c>
      <c r="R4695" t="s">
        <v>43</v>
      </c>
      <c r="S4695" t="s">
        <v>43</v>
      </c>
      <c r="T4695" t="s">
        <v>43</v>
      </c>
      <c r="U4695" t="s">
        <v>43</v>
      </c>
      <c r="V4695" t="s">
        <v>43</v>
      </c>
      <c r="W4695" t="s">
        <v>43</v>
      </c>
      <c r="X4695" t="s">
        <v>43</v>
      </c>
      <c r="Y4695" t="s">
        <v>43</v>
      </c>
      <c r="Z4695" t="s">
        <v>43</v>
      </c>
      <c r="AA4695" t="s">
        <v>43</v>
      </c>
      <c r="AB4695" t="s">
        <v>43</v>
      </c>
      <c r="AC4695" t="s">
        <v>43</v>
      </c>
      <c r="AD4695" t="s">
        <v>43</v>
      </c>
      <c r="AE4695" t="s">
        <v>43</v>
      </c>
      <c r="AF4695" t="s">
        <v>43</v>
      </c>
      <c r="AG4695" t="s">
        <v>43</v>
      </c>
      <c r="AH4695" t="s">
        <v>43</v>
      </c>
      <c r="AI4695" t="s">
        <v>43</v>
      </c>
      <c r="AJ4695" t="s">
        <v>43</v>
      </c>
      <c r="AK4695" t="s">
        <v>43</v>
      </c>
      <c r="AL4695" t="s">
        <v>43</v>
      </c>
      <c r="AM4695" t="s">
        <v>43</v>
      </c>
      <c r="AN4695" t="s">
        <v>43</v>
      </c>
    </row>
    <row r="4696" spans="1:40" x14ac:dyDescent="0.3">
      <c r="A4696" s="1">
        <v>46210.455787037034</v>
      </c>
      <c r="B4696" t="s">
        <v>40</v>
      </c>
      <c r="C4696" t="s">
        <v>41</v>
      </c>
      <c r="D4696" s="1">
        <v>46210.458564814813</v>
      </c>
      <c r="E4696" t="s">
        <v>42</v>
      </c>
      <c r="F4696" t="s">
        <v>43</v>
      </c>
      <c r="G4696" t="s">
        <v>43</v>
      </c>
      <c r="H4696" t="s">
        <v>43</v>
      </c>
      <c r="I4696" t="s">
        <v>2701</v>
      </c>
      <c r="J4696" t="s">
        <v>43</v>
      </c>
      <c r="K4696" t="s">
        <v>43</v>
      </c>
      <c r="L4696" t="s">
        <v>43</v>
      </c>
      <c r="M4696" t="s">
        <v>43</v>
      </c>
      <c r="N4696" t="s">
        <v>45</v>
      </c>
      <c r="O4696" t="s">
        <v>43</v>
      </c>
      <c r="P4696" t="s">
        <v>43</v>
      </c>
      <c r="Q4696" t="s">
        <v>43</v>
      </c>
      <c r="R4696" t="s">
        <v>43</v>
      </c>
      <c r="S4696" t="s">
        <v>43</v>
      </c>
      <c r="T4696" t="s">
        <v>43</v>
      </c>
      <c r="U4696" t="s">
        <v>43</v>
      </c>
      <c r="V4696" t="s">
        <v>43</v>
      </c>
      <c r="W4696" t="s">
        <v>43</v>
      </c>
      <c r="X4696" t="s">
        <v>43</v>
      </c>
      <c r="Y4696" t="s">
        <v>43</v>
      </c>
      <c r="Z4696" t="s">
        <v>43</v>
      </c>
      <c r="AA4696" t="s">
        <v>43</v>
      </c>
      <c r="AB4696" t="s">
        <v>43</v>
      </c>
      <c r="AC4696" t="s">
        <v>43</v>
      </c>
      <c r="AD4696" t="s">
        <v>43</v>
      </c>
      <c r="AE4696" t="s">
        <v>43</v>
      </c>
      <c r="AF4696" t="s">
        <v>43</v>
      </c>
      <c r="AG4696" t="s">
        <v>43</v>
      </c>
      <c r="AH4696" t="s">
        <v>43</v>
      </c>
      <c r="AI4696" t="s">
        <v>43</v>
      </c>
      <c r="AJ4696" t="s">
        <v>43</v>
      </c>
      <c r="AK4696" t="s">
        <v>43</v>
      </c>
      <c r="AL4696" t="s">
        <v>43</v>
      </c>
      <c r="AM4696" t="s">
        <v>43</v>
      </c>
      <c r="AN4696" t="str">
        <f>HYPERLINK("https://www.google.com/maps?q=10.8322506,79.84020233","Open Location")</f>
        <v>Open Location</v>
      </c>
    </row>
    <row r="4697" spans="1:40" x14ac:dyDescent="0.3">
      <c r="A4697" s="1">
        <v>46210.455671296295</v>
      </c>
      <c r="B4697" t="s">
        <v>40</v>
      </c>
      <c r="C4697" t="s">
        <v>41</v>
      </c>
      <c r="D4697" s="1">
        <v>46210.458680555559</v>
      </c>
      <c r="E4697" t="s">
        <v>42</v>
      </c>
      <c r="F4697" t="s">
        <v>43</v>
      </c>
      <c r="G4697" t="s">
        <v>43</v>
      </c>
      <c r="H4697" t="s">
        <v>43</v>
      </c>
      <c r="I4697" t="s">
        <v>2702</v>
      </c>
      <c r="J4697" t="s">
        <v>43</v>
      </c>
      <c r="K4697" t="s">
        <v>43</v>
      </c>
      <c r="L4697" t="s">
        <v>43</v>
      </c>
      <c r="M4697" t="s">
        <v>43</v>
      </c>
      <c r="N4697" t="s">
        <v>45</v>
      </c>
      <c r="O4697" t="s">
        <v>43</v>
      </c>
      <c r="P4697" t="s">
        <v>43</v>
      </c>
      <c r="Q4697" t="s">
        <v>43</v>
      </c>
      <c r="R4697" t="s">
        <v>43</v>
      </c>
      <c r="S4697" t="s">
        <v>43</v>
      </c>
      <c r="T4697" t="s">
        <v>43</v>
      </c>
      <c r="U4697" t="s">
        <v>43</v>
      </c>
      <c r="V4697" t="s">
        <v>43</v>
      </c>
      <c r="W4697" t="s">
        <v>43</v>
      </c>
      <c r="X4697" t="s">
        <v>43</v>
      </c>
      <c r="Y4697" t="s">
        <v>43</v>
      </c>
      <c r="Z4697" t="s">
        <v>43</v>
      </c>
      <c r="AA4697" t="s">
        <v>43</v>
      </c>
      <c r="AB4697" t="s">
        <v>43</v>
      </c>
      <c r="AC4697" t="s">
        <v>43</v>
      </c>
      <c r="AD4697" t="s">
        <v>43</v>
      </c>
      <c r="AE4697" t="s">
        <v>43</v>
      </c>
      <c r="AF4697" t="s">
        <v>43</v>
      </c>
      <c r="AG4697" t="s">
        <v>43</v>
      </c>
      <c r="AH4697" t="s">
        <v>43</v>
      </c>
      <c r="AI4697" t="s">
        <v>43</v>
      </c>
      <c r="AJ4697" t="s">
        <v>43</v>
      </c>
      <c r="AK4697" t="s">
        <v>43</v>
      </c>
      <c r="AL4697" t="s">
        <v>43</v>
      </c>
      <c r="AM4697" t="s">
        <v>43</v>
      </c>
      <c r="AN4697" t="str">
        <f>HYPERLINK("https://www.google.com/maps?q=10.83225822,79.84020233","Open Location")</f>
        <v>Open Location</v>
      </c>
    </row>
    <row r="4698" spans="1:40" x14ac:dyDescent="0.3">
      <c r="A4698" s="1">
        <v>46210.455555555556</v>
      </c>
      <c r="B4698" t="s">
        <v>40</v>
      </c>
      <c r="C4698" t="s">
        <v>41</v>
      </c>
      <c r="D4698" s="1">
        <v>46210.45826388889</v>
      </c>
      <c r="E4698" t="s">
        <v>42</v>
      </c>
      <c r="F4698" t="s">
        <v>43</v>
      </c>
      <c r="G4698" t="s">
        <v>43</v>
      </c>
      <c r="H4698" t="s">
        <v>43</v>
      </c>
      <c r="I4698" t="s">
        <v>2703</v>
      </c>
      <c r="J4698" t="s">
        <v>43</v>
      </c>
      <c r="K4698" t="s">
        <v>43</v>
      </c>
      <c r="L4698" t="s">
        <v>43</v>
      </c>
      <c r="M4698" t="s">
        <v>43</v>
      </c>
      <c r="N4698" t="s">
        <v>45</v>
      </c>
      <c r="O4698" t="s">
        <v>43</v>
      </c>
      <c r="P4698" t="s">
        <v>43</v>
      </c>
      <c r="Q4698" t="s">
        <v>43</v>
      </c>
      <c r="R4698" t="s">
        <v>43</v>
      </c>
      <c r="S4698" t="s">
        <v>43</v>
      </c>
      <c r="T4698" t="s">
        <v>43</v>
      </c>
      <c r="U4698" t="s">
        <v>43</v>
      </c>
      <c r="V4698" t="s">
        <v>43</v>
      </c>
      <c r="W4698" t="s">
        <v>43</v>
      </c>
      <c r="X4698" t="s">
        <v>43</v>
      </c>
      <c r="Y4698" t="s">
        <v>43</v>
      </c>
      <c r="Z4698" t="s">
        <v>43</v>
      </c>
      <c r="AA4698" t="s">
        <v>43</v>
      </c>
      <c r="AB4698" t="s">
        <v>43</v>
      </c>
      <c r="AC4698" t="s">
        <v>43</v>
      </c>
      <c r="AD4698" t="s">
        <v>43</v>
      </c>
      <c r="AE4698" t="s">
        <v>43</v>
      </c>
      <c r="AF4698" t="s">
        <v>43</v>
      </c>
      <c r="AG4698" t="s">
        <v>43</v>
      </c>
      <c r="AH4698" t="s">
        <v>43</v>
      </c>
      <c r="AI4698" t="s">
        <v>43</v>
      </c>
      <c r="AJ4698" t="s">
        <v>43</v>
      </c>
      <c r="AK4698" t="s">
        <v>43</v>
      </c>
      <c r="AL4698" t="s">
        <v>43</v>
      </c>
      <c r="AM4698" t="s">
        <v>43</v>
      </c>
      <c r="AN4698" t="str">
        <f>HYPERLINK("https://www.google.com/maps?q=10.8322649,79.84020233","Open Location")</f>
        <v>Open Location</v>
      </c>
    </row>
    <row r="4699" spans="1:40" x14ac:dyDescent="0.3">
      <c r="A4699" s="1">
        <v>46210.455439814818</v>
      </c>
      <c r="B4699" t="s">
        <v>40</v>
      </c>
      <c r="C4699" t="s">
        <v>41</v>
      </c>
      <c r="D4699" s="1">
        <v>46210.45826388889</v>
      </c>
      <c r="E4699" t="s">
        <v>42</v>
      </c>
      <c r="F4699" t="s">
        <v>43</v>
      </c>
      <c r="G4699" t="s">
        <v>43</v>
      </c>
      <c r="H4699" t="s">
        <v>43</v>
      </c>
      <c r="I4699" t="s">
        <v>2704</v>
      </c>
      <c r="J4699" t="s">
        <v>43</v>
      </c>
      <c r="K4699" t="s">
        <v>43</v>
      </c>
      <c r="L4699" t="s">
        <v>43</v>
      </c>
      <c r="M4699" t="s">
        <v>43</v>
      </c>
      <c r="N4699" t="s">
        <v>45</v>
      </c>
      <c r="O4699" t="s">
        <v>43</v>
      </c>
      <c r="P4699" t="s">
        <v>43</v>
      </c>
      <c r="Q4699" t="s">
        <v>43</v>
      </c>
      <c r="R4699" t="s">
        <v>43</v>
      </c>
      <c r="S4699" t="s">
        <v>43</v>
      </c>
      <c r="T4699" t="s">
        <v>43</v>
      </c>
      <c r="U4699" t="s">
        <v>43</v>
      </c>
      <c r="V4699" t="s">
        <v>43</v>
      </c>
      <c r="W4699" t="s">
        <v>43</v>
      </c>
      <c r="X4699" t="s">
        <v>43</v>
      </c>
      <c r="Y4699" t="s">
        <v>43</v>
      </c>
      <c r="Z4699" t="s">
        <v>43</v>
      </c>
      <c r="AA4699" t="s">
        <v>43</v>
      </c>
      <c r="AB4699" t="s">
        <v>43</v>
      </c>
      <c r="AC4699" t="s">
        <v>43</v>
      </c>
      <c r="AD4699" t="s">
        <v>43</v>
      </c>
      <c r="AE4699" t="s">
        <v>43</v>
      </c>
      <c r="AF4699" t="s">
        <v>43</v>
      </c>
      <c r="AG4699" t="s">
        <v>43</v>
      </c>
      <c r="AH4699" t="s">
        <v>43</v>
      </c>
      <c r="AI4699" t="s">
        <v>43</v>
      </c>
      <c r="AJ4699" t="s">
        <v>43</v>
      </c>
      <c r="AK4699" t="s">
        <v>43</v>
      </c>
      <c r="AL4699" t="s">
        <v>43</v>
      </c>
      <c r="AM4699" t="s">
        <v>43</v>
      </c>
      <c r="AN4699" t="str">
        <f>HYPERLINK("https://www.google.com/maps?q=10.83226395,79.84020233","Open Location")</f>
        <v>Open Location</v>
      </c>
    </row>
    <row r="4700" spans="1:40" x14ac:dyDescent="0.3">
      <c r="A4700" s="1">
        <v>46210.455324074072</v>
      </c>
      <c r="B4700" t="s">
        <v>40</v>
      </c>
      <c r="C4700" t="s">
        <v>41</v>
      </c>
      <c r="D4700" s="1">
        <v>46210.458275462966</v>
      </c>
      <c r="E4700" t="s">
        <v>42</v>
      </c>
      <c r="F4700" t="s">
        <v>43</v>
      </c>
      <c r="G4700" t="s">
        <v>43</v>
      </c>
      <c r="H4700" t="s">
        <v>43</v>
      </c>
      <c r="I4700" t="s">
        <v>2703</v>
      </c>
      <c r="J4700" t="s">
        <v>43</v>
      </c>
      <c r="K4700" t="s">
        <v>43</v>
      </c>
      <c r="L4700" t="s">
        <v>43</v>
      </c>
      <c r="M4700" t="s">
        <v>43</v>
      </c>
      <c r="N4700" t="s">
        <v>45</v>
      </c>
      <c r="O4700" t="s">
        <v>43</v>
      </c>
      <c r="P4700" t="s">
        <v>43</v>
      </c>
      <c r="Q4700" t="s">
        <v>43</v>
      </c>
      <c r="R4700" t="s">
        <v>43</v>
      </c>
      <c r="S4700" t="s">
        <v>43</v>
      </c>
      <c r="T4700" t="s">
        <v>43</v>
      </c>
      <c r="U4700" t="s">
        <v>43</v>
      </c>
      <c r="V4700" t="s">
        <v>43</v>
      </c>
      <c r="W4700" t="s">
        <v>43</v>
      </c>
      <c r="X4700" t="s">
        <v>43</v>
      </c>
      <c r="Y4700" t="s">
        <v>43</v>
      </c>
      <c r="Z4700" t="s">
        <v>43</v>
      </c>
      <c r="AA4700" t="s">
        <v>43</v>
      </c>
      <c r="AB4700" t="s">
        <v>43</v>
      </c>
      <c r="AC4700" t="s">
        <v>43</v>
      </c>
      <c r="AD4700" t="s">
        <v>43</v>
      </c>
      <c r="AE4700" t="s">
        <v>43</v>
      </c>
      <c r="AF4700" t="s">
        <v>43</v>
      </c>
      <c r="AG4700" t="s">
        <v>43</v>
      </c>
      <c r="AH4700" t="s">
        <v>43</v>
      </c>
      <c r="AI4700" t="s">
        <v>43</v>
      </c>
      <c r="AJ4700" t="s">
        <v>43</v>
      </c>
      <c r="AK4700" t="s">
        <v>43</v>
      </c>
      <c r="AL4700" t="s">
        <v>43</v>
      </c>
      <c r="AM4700" t="s">
        <v>43</v>
      </c>
      <c r="AN4700" t="str">
        <f>HYPERLINK("https://www.google.com/maps?q=10.8322649,79.84020233","Open Location")</f>
        <v>Open Location</v>
      </c>
    </row>
    <row r="4701" spans="1:40" x14ac:dyDescent="0.3">
      <c r="A4701" s="1">
        <v>46210.455208333333</v>
      </c>
      <c r="B4701" t="s">
        <v>40</v>
      </c>
      <c r="C4701" t="s">
        <v>41</v>
      </c>
      <c r="D4701" s="1">
        <v>46210.458275462966</v>
      </c>
      <c r="E4701" t="s">
        <v>42</v>
      </c>
      <c r="F4701" t="s">
        <v>43</v>
      </c>
      <c r="G4701" t="s">
        <v>43</v>
      </c>
      <c r="H4701" t="s">
        <v>43</v>
      </c>
      <c r="I4701" t="s">
        <v>43</v>
      </c>
      <c r="J4701" t="s">
        <v>43</v>
      </c>
      <c r="K4701" t="s">
        <v>43</v>
      </c>
      <c r="L4701" t="s">
        <v>43</v>
      </c>
      <c r="M4701" t="s">
        <v>43</v>
      </c>
      <c r="N4701" t="s">
        <v>45</v>
      </c>
      <c r="O4701" t="s">
        <v>43</v>
      </c>
      <c r="P4701" t="s">
        <v>43</v>
      </c>
      <c r="Q4701" t="s">
        <v>43</v>
      </c>
      <c r="R4701" t="s">
        <v>43</v>
      </c>
      <c r="S4701" t="s">
        <v>43</v>
      </c>
      <c r="T4701" t="s">
        <v>43</v>
      </c>
      <c r="U4701" t="s">
        <v>43</v>
      </c>
      <c r="V4701" t="s">
        <v>43</v>
      </c>
      <c r="W4701" t="s">
        <v>43</v>
      </c>
      <c r="X4701" t="s">
        <v>43</v>
      </c>
      <c r="Y4701" t="s">
        <v>43</v>
      </c>
      <c r="Z4701" t="s">
        <v>43</v>
      </c>
      <c r="AA4701" t="s">
        <v>43</v>
      </c>
      <c r="AB4701" t="s">
        <v>43</v>
      </c>
      <c r="AC4701" t="s">
        <v>43</v>
      </c>
      <c r="AD4701" t="s">
        <v>43</v>
      </c>
      <c r="AE4701" t="s">
        <v>43</v>
      </c>
      <c r="AF4701" t="s">
        <v>43</v>
      </c>
      <c r="AG4701" t="s">
        <v>43</v>
      </c>
      <c r="AH4701" t="s">
        <v>43</v>
      </c>
      <c r="AI4701" t="s">
        <v>43</v>
      </c>
      <c r="AJ4701" t="s">
        <v>43</v>
      </c>
      <c r="AK4701" t="s">
        <v>43</v>
      </c>
      <c r="AL4701" t="s">
        <v>43</v>
      </c>
      <c r="AM4701" t="s">
        <v>43</v>
      </c>
      <c r="AN4701" t="s">
        <v>43</v>
      </c>
    </row>
    <row r="4702" spans="1:40" x14ac:dyDescent="0.3">
      <c r="A4702" s="1">
        <v>46210.455092592594</v>
      </c>
      <c r="B4702" t="s">
        <v>40</v>
      </c>
      <c r="C4702" t="s">
        <v>41</v>
      </c>
      <c r="D4702" s="1">
        <v>46210.457870370374</v>
      </c>
      <c r="E4702" t="s">
        <v>42</v>
      </c>
      <c r="F4702" t="s">
        <v>43</v>
      </c>
      <c r="G4702" t="s">
        <v>43</v>
      </c>
      <c r="H4702" t="s">
        <v>43</v>
      </c>
      <c r="I4702" t="s">
        <v>2704</v>
      </c>
      <c r="J4702" t="s">
        <v>43</v>
      </c>
      <c r="K4702" t="s">
        <v>43</v>
      </c>
      <c r="L4702" t="s">
        <v>43</v>
      </c>
      <c r="M4702" t="s">
        <v>43</v>
      </c>
      <c r="N4702" t="s">
        <v>45</v>
      </c>
      <c r="O4702" t="s">
        <v>43</v>
      </c>
      <c r="P4702" t="s">
        <v>43</v>
      </c>
      <c r="Q4702" t="s">
        <v>43</v>
      </c>
      <c r="R4702" t="s">
        <v>43</v>
      </c>
      <c r="S4702" t="s">
        <v>43</v>
      </c>
      <c r="T4702" t="s">
        <v>43</v>
      </c>
      <c r="U4702" t="s">
        <v>43</v>
      </c>
      <c r="V4702" t="s">
        <v>43</v>
      </c>
      <c r="W4702" t="s">
        <v>43</v>
      </c>
      <c r="X4702" t="s">
        <v>43</v>
      </c>
      <c r="Y4702" t="s">
        <v>43</v>
      </c>
      <c r="Z4702" t="s">
        <v>43</v>
      </c>
      <c r="AA4702" t="s">
        <v>43</v>
      </c>
      <c r="AB4702" t="s">
        <v>43</v>
      </c>
      <c r="AC4702" t="s">
        <v>43</v>
      </c>
      <c r="AD4702" t="s">
        <v>43</v>
      </c>
      <c r="AE4702" t="s">
        <v>43</v>
      </c>
      <c r="AF4702" t="s">
        <v>43</v>
      </c>
      <c r="AG4702" t="s">
        <v>43</v>
      </c>
      <c r="AH4702" t="s">
        <v>43</v>
      </c>
      <c r="AI4702" t="s">
        <v>43</v>
      </c>
      <c r="AJ4702" t="s">
        <v>43</v>
      </c>
      <c r="AK4702" t="s">
        <v>43</v>
      </c>
      <c r="AL4702" t="s">
        <v>43</v>
      </c>
      <c r="AM4702" t="s">
        <v>43</v>
      </c>
      <c r="AN4702" t="str">
        <f>HYPERLINK("https://www.google.com/maps?q=10.83226395,79.84020233","Open Location")</f>
        <v>Open Location</v>
      </c>
    </row>
    <row r="4703" spans="1:40" x14ac:dyDescent="0.3">
      <c r="A4703" s="1">
        <v>46210.454976851855</v>
      </c>
      <c r="B4703" t="s">
        <v>40</v>
      </c>
      <c r="C4703" t="s">
        <v>41</v>
      </c>
      <c r="D4703" s="1">
        <v>46210.457835648151</v>
      </c>
      <c r="E4703" t="s">
        <v>42</v>
      </c>
      <c r="F4703" t="s">
        <v>43</v>
      </c>
      <c r="G4703" t="s">
        <v>43</v>
      </c>
      <c r="H4703" t="s">
        <v>43</v>
      </c>
      <c r="I4703" t="s">
        <v>2705</v>
      </c>
      <c r="J4703" t="s">
        <v>43</v>
      </c>
      <c r="K4703" t="s">
        <v>43</v>
      </c>
      <c r="L4703" t="s">
        <v>43</v>
      </c>
      <c r="M4703" t="s">
        <v>43</v>
      </c>
      <c r="N4703" t="s">
        <v>45</v>
      </c>
      <c r="O4703" t="s">
        <v>43</v>
      </c>
      <c r="P4703" t="s">
        <v>43</v>
      </c>
      <c r="Q4703" t="s">
        <v>43</v>
      </c>
      <c r="R4703" t="s">
        <v>43</v>
      </c>
      <c r="S4703" t="s">
        <v>43</v>
      </c>
      <c r="T4703" t="s">
        <v>43</v>
      </c>
      <c r="U4703" t="s">
        <v>43</v>
      </c>
      <c r="V4703" t="s">
        <v>43</v>
      </c>
      <c r="W4703" t="s">
        <v>43</v>
      </c>
      <c r="X4703" t="s">
        <v>43</v>
      </c>
      <c r="Y4703" t="s">
        <v>43</v>
      </c>
      <c r="Z4703" t="s">
        <v>43</v>
      </c>
      <c r="AA4703" t="s">
        <v>43</v>
      </c>
      <c r="AB4703" t="s">
        <v>43</v>
      </c>
      <c r="AC4703" t="s">
        <v>43</v>
      </c>
      <c r="AD4703" t="s">
        <v>43</v>
      </c>
      <c r="AE4703" t="s">
        <v>43</v>
      </c>
      <c r="AF4703" t="s">
        <v>43</v>
      </c>
      <c r="AG4703" t="s">
        <v>43</v>
      </c>
      <c r="AH4703" t="s">
        <v>43</v>
      </c>
      <c r="AI4703" t="s">
        <v>43</v>
      </c>
      <c r="AJ4703" t="s">
        <v>43</v>
      </c>
      <c r="AK4703" t="s">
        <v>43</v>
      </c>
      <c r="AL4703" t="s">
        <v>43</v>
      </c>
      <c r="AM4703" t="s">
        <v>43</v>
      </c>
      <c r="AN4703" t="str">
        <f>HYPERLINK("https://www.google.com/maps?q=10.8322649,79.84020996","Open Location")</f>
        <v>Open Location</v>
      </c>
    </row>
    <row r="4704" spans="1:40" x14ac:dyDescent="0.3">
      <c r="A4704" s="1">
        <v>46210.454861111109</v>
      </c>
      <c r="B4704" t="s">
        <v>40</v>
      </c>
      <c r="C4704" t="s">
        <v>41</v>
      </c>
      <c r="D4704" s="1">
        <v>46210.457835648151</v>
      </c>
      <c r="E4704" t="s">
        <v>42</v>
      </c>
      <c r="F4704" t="s">
        <v>43</v>
      </c>
      <c r="G4704" t="s">
        <v>43</v>
      </c>
      <c r="H4704" t="s">
        <v>43</v>
      </c>
      <c r="I4704" t="s">
        <v>2706</v>
      </c>
      <c r="J4704" t="s">
        <v>43</v>
      </c>
      <c r="K4704" t="s">
        <v>43</v>
      </c>
      <c r="L4704" t="s">
        <v>43</v>
      </c>
      <c r="M4704" t="s">
        <v>43</v>
      </c>
      <c r="N4704" t="s">
        <v>45</v>
      </c>
      <c r="O4704" t="s">
        <v>43</v>
      </c>
      <c r="P4704" t="s">
        <v>43</v>
      </c>
      <c r="Q4704" t="s">
        <v>43</v>
      </c>
      <c r="R4704" t="s">
        <v>43</v>
      </c>
      <c r="S4704" t="s">
        <v>43</v>
      </c>
      <c r="T4704" t="s">
        <v>43</v>
      </c>
      <c r="U4704" t="s">
        <v>43</v>
      </c>
      <c r="V4704" t="s">
        <v>43</v>
      </c>
      <c r="W4704" t="s">
        <v>43</v>
      </c>
      <c r="X4704" t="s">
        <v>43</v>
      </c>
      <c r="Y4704" t="s">
        <v>43</v>
      </c>
      <c r="Z4704" t="s">
        <v>43</v>
      </c>
      <c r="AA4704" t="s">
        <v>43</v>
      </c>
      <c r="AB4704" t="s">
        <v>43</v>
      </c>
      <c r="AC4704" t="s">
        <v>43</v>
      </c>
      <c r="AD4704" t="s">
        <v>43</v>
      </c>
      <c r="AE4704" t="s">
        <v>43</v>
      </c>
      <c r="AF4704" t="s">
        <v>43</v>
      </c>
      <c r="AG4704" t="s">
        <v>43</v>
      </c>
      <c r="AH4704" t="s">
        <v>43</v>
      </c>
      <c r="AI4704" t="s">
        <v>43</v>
      </c>
      <c r="AJ4704" t="s">
        <v>43</v>
      </c>
      <c r="AK4704" t="s">
        <v>43</v>
      </c>
      <c r="AL4704" t="s">
        <v>43</v>
      </c>
      <c r="AM4704" t="s">
        <v>43</v>
      </c>
      <c r="AN4704" t="str">
        <f>HYPERLINK("https://www.google.com/maps?q=10.83226681,79.84021759","Open Location")</f>
        <v>Open Location</v>
      </c>
    </row>
    <row r="4705" spans="1:40" x14ac:dyDescent="0.3">
      <c r="A4705" s="1">
        <v>46210.454745370371</v>
      </c>
      <c r="B4705" t="s">
        <v>40</v>
      </c>
      <c r="C4705" t="s">
        <v>41</v>
      </c>
      <c r="D4705" s="1">
        <v>46210.457696759258</v>
      </c>
      <c r="E4705" t="s">
        <v>42</v>
      </c>
      <c r="F4705" t="s">
        <v>43</v>
      </c>
      <c r="G4705" t="s">
        <v>43</v>
      </c>
      <c r="H4705" t="s">
        <v>43</v>
      </c>
      <c r="I4705" t="s">
        <v>2707</v>
      </c>
      <c r="J4705" t="s">
        <v>43</v>
      </c>
      <c r="K4705" t="s">
        <v>43</v>
      </c>
      <c r="L4705" t="s">
        <v>43</v>
      </c>
      <c r="M4705" t="s">
        <v>43</v>
      </c>
      <c r="N4705" t="s">
        <v>45</v>
      </c>
      <c r="O4705" t="s">
        <v>43</v>
      </c>
      <c r="P4705" t="s">
        <v>43</v>
      </c>
      <c r="Q4705" t="s">
        <v>43</v>
      </c>
      <c r="R4705" t="s">
        <v>43</v>
      </c>
      <c r="S4705" t="s">
        <v>43</v>
      </c>
      <c r="T4705" t="s">
        <v>43</v>
      </c>
      <c r="U4705" t="s">
        <v>43</v>
      </c>
      <c r="V4705" t="s">
        <v>43</v>
      </c>
      <c r="W4705" t="s">
        <v>43</v>
      </c>
      <c r="X4705" t="s">
        <v>43</v>
      </c>
      <c r="Y4705" t="s">
        <v>43</v>
      </c>
      <c r="Z4705" t="s">
        <v>43</v>
      </c>
      <c r="AA4705" t="s">
        <v>43</v>
      </c>
      <c r="AB4705" t="s">
        <v>43</v>
      </c>
      <c r="AC4705" t="s">
        <v>43</v>
      </c>
      <c r="AD4705" t="s">
        <v>43</v>
      </c>
      <c r="AE4705" t="s">
        <v>43</v>
      </c>
      <c r="AF4705" t="s">
        <v>43</v>
      </c>
      <c r="AG4705" t="s">
        <v>43</v>
      </c>
      <c r="AH4705" t="s">
        <v>43</v>
      </c>
      <c r="AI4705" t="s">
        <v>43</v>
      </c>
      <c r="AJ4705" t="s">
        <v>43</v>
      </c>
      <c r="AK4705" t="s">
        <v>43</v>
      </c>
      <c r="AL4705" t="s">
        <v>43</v>
      </c>
      <c r="AM4705" t="s">
        <v>43</v>
      </c>
      <c r="AN4705" t="str">
        <f>HYPERLINK("https://www.google.com/maps?q=10.83226967,79.84021759","Open Location")</f>
        <v>Open Location</v>
      </c>
    </row>
    <row r="4706" spans="1:40" x14ac:dyDescent="0.3">
      <c r="A4706" s="1">
        <v>46210.454629629632</v>
      </c>
      <c r="B4706" t="s">
        <v>40</v>
      </c>
      <c r="C4706" t="s">
        <v>41</v>
      </c>
      <c r="D4706" s="1">
        <v>46210.457303240742</v>
      </c>
      <c r="E4706" t="s">
        <v>42</v>
      </c>
      <c r="F4706" t="s">
        <v>43</v>
      </c>
      <c r="G4706" t="s">
        <v>43</v>
      </c>
      <c r="H4706" t="s">
        <v>43</v>
      </c>
      <c r="I4706" t="s">
        <v>2708</v>
      </c>
      <c r="J4706" t="s">
        <v>43</v>
      </c>
      <c r="K4706" t="s">
        <v>43</v>
      </c>
      <c r="L4706" t="s">
        <v>43</v>
      </c>
      <c r="M4706" t="s">
        <v>43</v>
      </c>
      <c r="N4706" t="s">
        <v>45</v>
      </c>
      <c r="O4706" t="s">
        <v>43</v>
      </c>
      <c r="P4706" t="s">
        <v>43</v>
      </c>
      <c r="Q4706" t="s">
        <v>43</v>
      </c>
      <c r="R4706" t="s">
        <v>43</v>
      </c>
      <c r="S4706" t="s">
        <v>43</v>
      </c>
      <c r="T4706" t="s">
        <v>43</v>
      </c>
      <c r="U4706" t="s">
        <v>43</v>
      </c>
      <c r="V4706" t="s">
        <v>43</v>
      </c>
      <c r="W4706" t="s">
        <v>43</v>
      </c>
      <c r="X4706" t="s">
        <v>43</v>
      </c>
      <c r="Y4706" t="s">
        <v>43</v>
      </c>
      <c r="Z4706" t="s">
        <v>43</v>
      </c>
      <c r="AA4706" t="s">
        <v>43</v>
      </c>
      <c r="AB4706" t="s">
        <v>43</v>
      </c>
      <c r="AC4706" t="s">
        <v>43</v>
      </c>
      <c r="AD4706" t="s">
        <v>43</v>
      </c>
      <c r="AE4706" t="s">
        <v>43</v>
      </c>
      <c r="AF4706" t="s">
        <v>43</v>
      </c>
      <c r="AG4706" t="s">
        <v>43</v>
      </c>
      <c r="AH4706" t="s">
        <v>43</v>
      </c>
      <c r="AI4706" t="s">
        <v>43</v>
      </c>
      <c r="AJ4706" t="s">
        <v>43</v>
      </c>
      <c r="AK4706" t="s">
        <v>43</v>
      </c>
      <c r="AL4706" t="s">
        <v>43</v>
      </c>
      <c r="AM4706" t="s">
        <v>43</v>
      </c>
      <c r="AN4706" t="str">
        <f>HYPERLINK("https://www.google.com/maps?q=10.83226871,79.84020996","Open Location")</f>
        <v>Open Location</v>
      </c>
    </row>
    <row r="4707" spans="1:40" x14ac:dyDescent="0.3">
      <c r="A4707" s="1">
        <v>46210.454513888886</v>
      </c>
      <c r="B4707" t="s">
        <v>40</v>
      </c>
      <c r="C4707" t="s">
        <v>41</v>
      </c>
      <c r="D4707" s="1">
        <v>46210.457303240742</v>
      </c>
      <c r="E4707" t="s">
        <v>42</v>
      </c>
      <c r="F4707" t="s">
        <v>43</v>
      </c>
      <c r="G4707" t="s">
        <v>43</v>
      </c>
      <c r="H4707" t="s">
        <v>43</v>
      </c>
      <c r="I4707" t="s">
        <v>43</v>
      </c>
      <c r="J4707" t="s">
        <v>43</v>
      </c>
      <c r="K4707" t="s">
        <v>43</v>
      </c>
      <c r="L4707" t="s">
        <v>43</v>
      </c>
      <c r="M4707" t="s">
        <v>43</v>
      </c>
      <c r="N4707" t="s">
        <v>45</v>
      </c>
      <c r="O4707" t="s">
        <v>43</v>
      </c>
      <c r="P4707" t="s">
        <v>43</v>
      </c>
      <c r="Q4707" t="s">
        <v>43</v>
      </c>
      <c r="R4707" t="s">
        <v>43</v>
      </c>
      <c r="S4707" t="s">
        <v>43</v>
      </c>
      <c r="T4707" t="s">
        <v>43</v>
      </c>
      <c r="U4707" t="s">
        <v>43</v>
      </c>
      <c r="V4707" t="s">
        <v>43</v>
      </c>
      <c r="W4707" t="s">
        <v>43</v>
      </c>
      <c r="X4707" t="s">
        <v>43</v>
      </c>
      <c r="Y4707" t="s">
        <v>43</v>
      </c>
      <c r="Z4707" t="s">
        <v>43</v>
      </c>
      <c r="AA4707" t="s">
        <v>43</v>
      </c>
      <c r="AB4707" t="s">
        <v>43</v>
      </c>
      <c r="AC4707" t="s">
        <v>43</v>
      </c>
      <c r="AD4707" t="s">
        <v>43</v>
      </c>
      <c r="AE4707" t="s">
        <v>43</v>
      </c>
      <c r="AF4707" t="s">
        <v>43</v>
      </c>
      <c r="AG4707" t="s">
        <v>43</v>
      </c>
      <c r="AH4707" t="s">
        <v>43</v>
      </c>
      <c r="AI4707" t="s">
        <v>43</v>
      </c>
      <c r="AJ4707" t="s">
        <v>43</v>
      </c>
      <c r="AK4707" t="s">
        <v>43</v>
      </c>
      <c r="AL4707" t="s">
        <v>43</v>
      </c>
      <c r="AM4707" t="s">
        <v>43</v>
      </c>
      <c r="AN4707" t="s">
        <v>43</v>
      </c>
    </row>
    <row r="4708" spans="1:40" x14ac:dyDescent="0.3">
      <c r="A4708" s="1">
        <v>46210.454398148147</v>
      </c>
      <c r="B4708" t="s">
        <v>40</v>
      </c>
      <c r="C4708" t="s">
        <v>41</v>
      </c>
      <c r="D4708" s="1">
        <v>46210.457256944443</v>
      </c>
      <c r="E4708" t="s">
        <v>42</v>
      </c>
      <c r="F4708" t="s">
        <v>43</v>
      </c>
      <c r="G4708" t="s">
        <v>43</v>
      </c>
      <c r="H4708" t="s">
        <v>43</v>
      </c>
      <c r="I4708" t="s">
        <v>2709</v>
      </c>
      <c r="J4708" t="s">
        <v>43</v>
      </c>
      <c r="K4708" t="s">
        <v>43</v>
      </c>
      <c r="L4708" t="s">
        <v>43</v>
      </c>
      <c r="M4708" t="s">
        <v>43</v>
      </c>
      <c r="N4708" t="s">
        <v>45</v>
      </c>
      <c r="O4708" t="s">
        <v>43</v>
      </c>
      <c r="P4708" t="s">
        <v>43</v>
      </c>
      <c r="Q4708" t="s">
        <v>43</v>
      </c>
      <c r="R4708" t="s">
        <v>43</v>
      </c>
      <c r="S4708" t="s">
        <v>43</v>
      </c>
      <c r="T4708" t="s">
        <v>43</v>
      </c>
      <c r="U4708" t="s">
        <v>43</v>
      </c>
      <c r="V4708" t="s">
        <v>43</v>
      </c>
      <c r="W4708" t="s">
        <v>43</v>
      </c>
      <c r="X4708" t="s">
        <v>43</v>
      </c>
      <c r="Y4708" t="s">
        <v>43</v>
      </c>
      <c r="Z4708" t="s">
        <v>43</v>
      </c>
      <c r="AA4708" t="s">
        <v>43</v>
      </c>
      <c r="AB4708" t="s">
        <v>43</v>
      </c>
      <c r="AC4708" t="s">
        <v>43</v>
      </c>
      <c r="AD4708" t="s">
        <v>43</v>
      </c>
      <c r="AE4708" t="s">
        <v>43</v>
      </c>
      <c r="AF4708" t="s">
        <v>43</v>
      </c>
      <c r="AG4708" t="s">
        <v>43</v>
      </c>
      <c r="AH4708" t="s">
        <v>43</v>
      </c>
      <c r="AI4708" t="s">
        <v>43</v>
      </c>
      <c r="AJ4708" t="s">
        <v>43</v>
      </c>
      <c r="AK4708" t="s">
        <v>43</v>
      </c>
      <c r="AL4708" t="s">
        <v>43</v>
      </c>
      <c r="AM4708" t="s">
        <v>43</v>
      </c>
      <c r="AN4708" t="str">
        <f>HYPERLINK("https://www.google.com/maps?q=10.83227158,79.84021759","Open Location")</f>
        <v>Open Location</v>
      </c>
    </row>
    <row r="4709" spans="1:40" x14ac:dyDescent="0.3">
      <c r="A4709" s="1">
        <v>46210.454282407409</v>
      </c>
      <c r="B4709" t="s">
        <v>40</v>
      </c>
      <c r="C4709" t="s">
        <v>41</v>
      </c>
      <c r="D4709" s="1">
        <v>46210.457256944443</v>
      </c>
      <c r="E4709" t="s">
        <v>42</v>
      </c>
      <c r="F4709" t="s">
        <v>43</v>
      </c>
      <c r="G4709" t="s">
        <v>43</v>
      </c>
      <c r="H4709" t="s">
        <v>43</v>
      </c>
      <c r="I4709" t="s">
        <v>2710</v>
      </c>
      <c r="J4709" t="s">
        <v>43</v>
      </c>
      <c r="K4709" t="s">
        <v>43</v>
      </c>
      <c r="L4709" t="s">
        <v>43</v>
      </c>
      <c r="M4709" t="s">
        <v>43</v>
      </c>
      <c r="N4709" t="s">
        <v>45</v>
      </c>
      <c r="O4709" t="s">
        <v>43</v>
      </c>
      <c r="P4709" t="s">
        <v>43</v>
      </c>
      <c r="Q4709" t="s">
        <v>43</v>
      </c>
      <c r="R4709" t="s">
        <v>43</v>
      </c>
      <c r="S4709" t="s">
        <v>43</v>
      </c>
      <c r="T4709" t="s">
        <v>43</v>
      </c>
      <c r="U4709" t="s">
        <v>43</v>
      </c>
      <c r="V4709" t="s">
        <v>43</v>
      </c>
      <c r="W4709" t="s">
        <v>43</v>
      </c>
      <c r="X4709" t="s">
        <v>43</v>
      </c>
      <c r="Y4709" t="s">
        <v>43</v>
      </c>
      <c r="Z4709" t="s">
        <v>43</v>
      </c>
      <c r="AA4709" t="s">
        <v>43</v>
      </c>
      <c r="AB4709" t="s">
        <v>43</v>
      </c>
      <c r="AC4709" t="s">
        <v>43</v>
      </c>
      <c r="AD4709" t="s">
        <v>43</v>
      </c>
      <c r="AE4709" t="s">
        <v>43</v>
      </c>
      <c r="AF4709" t="s">
        <v>43</v>
      </c>
      <c r="AG4709" t="s">
        <v>43</v>
      </c>
      <c r="AH4709" t="s">
        <v>43</v>
      </c>
      <c r="AI4709" t="s">
        <v>43</v>
      </c>
      <c r="AJ4709" t="s">
        <v>43</v>
      </c>
      <c r="AK4709" t="s">
        <v>43</v>
      </c>
      <c r="AL4709" t="s">
        <v>43</v>
      </c>
      <c r="AM4709" t="s">
        <v>43</v>
      </c>
      <c r="AN4709" t="str">
        <f>HYPERLINK("https://www.google.com/maps?q=10.83227634,79.84022522","Open Location")</f>
        <v>Open Location</v>
      </c>
    </row>
    <row r="4710" spans="1:40" x14ac:dyDescent="0.3">
      <c r="A4710" s="1">
        <v>46210.45416666667</v>
      </c>
      <c r="B4710" t="s">
        <v>40</v>
      </c>
      <c r="C4710" t="s">
        <v>41</v>
      </c>
      <c r="D4710" s="1">
        <v>46210.456875000003</v>
      </c>
      <c r="E4710" t="s">
        <v>42</v>
      </c>
      <c r="F4710" t="s">
        <v>43</v>
      </c>
      <c r="G4710" t="s">
        <v>43</v>
      </c>
      <c r="H4710" t="s">
        <v>43</v>
      </c>
      <c r="I4710" t="s">
        <v>2711</v>
      </c>
      <c r="J4710" t="s">
        <v>43</v>
      </c>
      <c r="K4710" t="s">
        <v>43</v>
      </c>
      <c r="L4710" t="s">
        <v>43</v>
      </c>
      <c r="M4710" t="s">
        <v>43</v>
      </c>
      <c r="N4710" t="s">
        <v>45</v>
      </c>
      <c r="O4710" t="s">
        <v>43</v>
      </c>
      <c r="P4710" t="s">
        <v>43</v>
      </c>
      <c r="Q4710" t="s">
        <v>43</v>
      </c>
      <c r="R4710" t="s">
        <v>43</v>
      </c>
      <c r="S4710" t="s">
        <v>43</v>
      </c>
      <c r="T4710" t="s">
        <v>43</v>
      </c>
      <c r="U4710" t="s">
        <v>43</v>
      </c>
      <c r="V4710" t="s">
        <v>43</v>
      </c>
      <c r="W4710" t="s">
        <v>43</v>
      </c>
      <c r="X4710" t="s">
        <v>43</v>
      </c>
      <c r="Y4710" t="s">
        <v>43</v>
      </c>
      <c r="Z4710" t="s">
        <v>43</v>
      </c>
      <c r="AA4710" t="s">
        <v>43</v>
      </c>
      <c r="AB4710" t="s">
        <v>43</v>
      </c>
      <c r="AC4710" t="s">
        <v>43</v>
      </c>
      <c r="AD4710" t="s">
        <v>43</v>
      </c>
      <c r="AE4710" t="s">
        <v>43</v>
      </c>
      <c r="AF4710" t="s">
        <v>43</v>
      </c>
      <c r="AG4710" t="s">
        <v>43</v>
      </c>
      <c r="AH4710" t="s">
        <v>43</v>
      </c>
      <c r="AI4710" t="s">
        <v>43</v>
      </c>
      <c r="AJ4710" t="s">
        <v>43</v>
      </c>
      <c r="AK4710" t="s">
        <v>43</v>
      </c>
      <c r="AL4710" t="s">
        <v>43</v>
      </c>
      <c r="AM4710" t="s">
        <v>43</v>
      </c>
      <c r="AN4710" t="str">
        <f>HYPERLINK("https://www.google.com/maps?q=10.83228207,79.84022522","Open Location")</f>
        <v>Open Location</v>
      </c>
    </row>
    <row r="4711" spans="1:40" x14ac:dyDescent="0.3">
      <c r="A4711" s="1">
        <v>46210.454050925924</v>
      </c>
      <c r="B4711" t="s">
        <v>40</v>
      </c>
      <c r="C4711" t="s">
        <v>41</v>
      </c>
      <c r="D4711" s="1">
        <v>46210.456921296296</v>
      </c>
      <c r="E4711" t="s">
        <v>42</v>
      </c>
      <c r="F4711" t="s">
        <v>43</v>
      </c>
      <c r="G4711" t="s">
        <v>43</v>
      </c>
      <c r="H4711" t="s">
        <v>43</v>
      </c>
      <c r="I4711" t="s">
        <v>2712</v>
      </c>
      <c r="J4711" t="s">
        <v>43</v>
      </c>
      <c r="K4711" t="s">
        <v>43</v>
      </c>
      <c r="L4711" t="s">
        <v>43</v>
      </c>
      <c r="M4711" t="s">
        <v>43</v>
      </c>
      <c r="N4711" t="s">
        <v>45</v>
      </c>
      <c r="O4711" t="s">
        <v>43</v>
      </c>
      <c r="P4711" t="s">
        <v>43</v>
      </c>
      <c r="Q4711" t="s">
        <v>43</v>
      </c>
      <c r="R4711" t="s">
        <v>43</v>
      </c>
      <c r="S4711" t="s">
        <v>43</v>
      </c>
      <c r="T4711" t="s">
        <v>43</v>
      </c>
      <c r="U4711" t="s">
        <v>43</v>
      </c>
      <c r="V4711" t="s">
        <v>43</v>
      </c>
      <c r="W4711" t="s">
        <v>43</v>
      </c>
      <c r="X4711" t="s">
        <v>43</v>
      </c>
      <c r="Y4711" t="s">
        <v>43</v>
      </c>
      <c r="Z4711" t="s">
        <v>43</v>
      </c>
      <c r="AA4711" t="s">
        <v>43</v>
      </c>
      <c r="AB4711" t="s">
        <v>43</v>
      </c>
      <c r="AC4711" t="s">
        <v>43</v>
      </c>
      <c r="AD4711" t="s">
        <v>43</v>
      </c>
      <c r="AE4711" t="s">
        <v>43</v>
      </c>
      <c r="AF4711" t="s">
        <v>43</v>
      </c>
      <c r="AG4711" t="s">
        <v>43</v>
      </c>
      <c r="AH4711" t="s">
        <v>43</v>
      </c>
      <c r="AI4711" t="s">
        <v>43</v>
      </c>
      <c r="AJ4711" t="s">
        <v>43</v>
      </c>
      <c r="AK4711" t="s">
        <v>43</v>
      </c>
      <c r="AL4711" t="s">
        <v>43</v>
      </c>
      <c r="AM4711" t="s">
        <v>43</v>
      </c>
      <c r="AN4711" t="str">
        <f>HYPERLINK("https://www.google.com/maps?q=10.83228493,79.84022522","Open Location")</f>
        <v>Open Location</v>
      </c>
    </row>
    <row r="4712" spans="1:40" x14ac:dyDescent="0.3">
      <c r="A4712" s="1">
        <v>46210.453935185185</v>
      </c>
      <c r="B4712" t="s">
        <v>40</v>
      </c>
      <c r="C4712" t="s">
        <v>41</v>
      </c>
      <c r="D4712" s="1">
        <v>46210.456504629627</v>
      </c>
      <c r="E4712" t="s">
        <v>42</v>
      </c>
      <c r="F4712" t="s">
        <v>43</v>
      </c>
      <c r="G4712" t="s">
        <v>43</v>
      </c>
      <c r="H4712" t="s">
        <v>43</v>
      </c>
      <c r="I4712" t="s">
        <v>43</v>
      </c>
      <c r="J4712" t="s">
        <v>43</v>
      </c>
      <c r="K4712" t="s">
        <v>43</v>
      </c>
      <c r="L4712" t="s">
        <v>43</v>
      </c>
      <c r="M4712" t="s">
        <v>43</v>
      </c>
      <c r="N4712" t="s">
        <v>45</v>
      </c>
      <c r="O4712" t="s">
        <v>43</v>
      </c>
      <c r="P4712" t="s">
        <v>43</v>
      </c>
      <c r="Q4712" t="s">
        <v>43</v>
      </c>
      <c r="R4712" t="s">
        <v>43</v>
      </c>
      <c r="S4712" t="s">
        <v>43</v>
      </c>
      <c r="T4712" t="s">
        <v>43</v>
      </c>
      <c r="U4712" t="s">
        <v>43</v>
      </c>
      <c r="V4712" t="s">
        <v>43</v>
      </c>
      <c r="W4712" t="s">
        <v>43</v>
      </c>
      <c r="X4712" t="s">
        <v>43</v>
      </c>
      <c r="Y4712" t="s">
        <v>43</v>
      </c>
      <c r="Z4712" t="s">
        <v>43</v>
      </c>
      <c r="AA4712" t="s">
        <v>43</v>
      </c>
      <c r="AB4712" t="s">
        <v>43</v>
      </c>
      <c r="AC4712" t="s">
        <v>43</v>
      </c>
      <c r="AD4712" t="s">
        <v>43</v>
      </c>
      <c r="AE4712" t="s">
        <v>43</v>
      </c>
      <c r="AF4712" t="s">
        <v>43</v>
      </c>
      <c r="AG4712" t="s">
        <v>43</v>
      </c>
      <c r="AH4712" t="s">
        <v>43</v>
      </c>
      <c r="AI4712" t="s">
        <v>43</v>
      </c>
      <c r="AJ4712" t="s">
        <v>43</v>
      </c>
      <c r="AK4712" t="s">
        <v>43</v>
      </c>
      <c r="AL4712" t="s">
        <v>43</v>
      </c>
      <c r="AM4712" t="s">
        <v>43</v>
      </c>
      <c r="AN4712" t="s">
        <v>43</v>
      </c>
    </row>
    <row r="4713" spans="1:40" x14ac:dyDescent="0.3">
      <c r="A4713" s="1">
        <v>46210.453819444447</v>
      </c>
      <c r="B4713" t="s">
        <v>40</v>
      </c>
      <c r="C4713" t="s">
        <v>41</v>
      </c>
      <c r="D4713" s="1">
        <v>46210.456585648149</v>
      </c>
      <c r="E4713" t="s">
        <v>42</v>
      </c>
      <c r="F4713" t="s">
        <v>43</v>
      </c>
      <c r="G4713" t="s">
        <v>43</v>
      </c>
      <c r="H4713" t="s">
        <v>43</v>
      </c>
      <c r="I4713" t="s">
        <v>2713</v>
      </c>
      <c r="J4713" t="s">
        <v>43</v>
      </c>
      <c r="K4713" t="s">
        <v>43</v>
      </c>
      <c r="L4713" t="s">
        <v>43</v>
      </c>
      <c r="M4713" t="s">
        <v>43</v>
      </c>
      <c r="N4713" t="s">
        <v>45</v>
      </c>
      <c r="O4713" t="s">
        <v>43</v>
      </c>
      <c r="P4713" t="s">
        <v>43</v>
      </c>
      <c r="Q4713" t="s">
        <v>43</v>
      </c>
      <c r="R4713" t="s">
        <v>43</v>
      </c>
      <c r="S4713" t="s">
        <v>43</v>
      </c>
      <c r="T4713" t="s">
        <v>43</v>
      </c>
      <c r="U4713" t="s">
        <v>43</v>
      </c>
      <c r="V4713" t="s">
        <v>43</v>
      </c>
      <c r="W4713" t="s">
        <v>43</v>
      </c>
      <c r="X4713" t="s">
        <v>43</v>
      </c>
      <c r="Y4713" t="s">
        <v>43</v>
      </c>
      <c r="Z4713" t="s">
        <v>43</v>
      </c>
      <c r="AA4713" t="s">
        <v>43</v>
      </c>
      <c r="AB4713" t="s">
        <v>43</v>
      </c>
      <c r="AC4713" t="s">
        <v>43</v>
      </c>
      <c r="AD4713" t="s">
        <v>43</v>
      </c>
      <c r="AE4713" t="s">
        <v>43</v>
      </c>
      <c r="AF4713" t="s">
        <v>43</v>
      </c>
      <c r="AG4713" t="s">
        <v>43</v>
      </c>
      <c r="AH4713" t="s">
        <v>43</v>
      </c>
      <c r="AI4713" t="s">
        <v>43</v>
      </c>
      <c r="AJ4713" t="s">
        <v>43</v>
      </c>
      <c r="AK4713" t="s">
        <v>43</v>
      </c>
      <c r="AL4713" t="s">
        <v>43</v>
      </c>
      <c r="AM4713" t="s">
        <v>43</v>
      </c>
      <c r="AN4713" t="str">
        <f>HYPERLINK("https://www.google.com/maps?q=10.83228588,79.84022522","Open Location")</f>
        <v>Open Location</v>
      </c>
    </row>
    <row r="4714" spans="1:40" x14ac:dyDescent="0.3">
      <c r="A4714" s="1">
        <v>46210.453703703701</v>
      </c>
      <c r="B4714" t="s">
        <v>40</v>
      </c>
      <c r="C4714" t="s">
        <v>41</v>
      </c>
      <c r="D4714" s="1">
        <v>46210.456643518519</v>
      </c>
      <c r="E4714" t="s">
        <v>42</v>
      </c>
      <c r="F4714" t="s">
        <v>43</v>
      </c>
      <c r="G4714" t="s">
        <v>43</v>
      </c>
      <c r="H4714" t="s">
        <v>43</v>
      </c>
      <c r="I4714" t="s">
        <v>2714</v>
      </c>
      <c r="J4714" t="s">
        <v>43</v>
      </c>
      <c r="K4714" t="s">
        <v>43</v>
      </c>
      <c r="L4714" t="s">
        <v>43</v>
      </c>
      <c r="M4714" t="s">
        <v>43</v>
      </c>
      <c r="N4714" t="s">
        <v>45</v>
      </c>
      <c r="O4714" t="s">
        <v>43</v>
      </c>
      <c r="P4714" t="s">
        <v>43</v>
      </c>
      <c r="Q4714" t="s">
        <v>43</v>
      </c>
      <c r="R4714" t="s">
        <v>43</v>
      </c>
      <c r="S4714" t="s">
        <v>43</v>
      </c>
      <c r="T4714" t="s">
        <v>43</v>
      </c>
      <c r="U4714" t="s">
        <v>43</v>
      </c>
      <c r="V4714" t="s">
        <v>43</v>
      </c>
      <c r="W4714" t="s">
        <v>43</v>
      </c>
      <c r="X4714" t="s">
        <v>43</v>
      </c>
      <c r="Y4714" t="s">
        <v>43</v>
      </c>
      <c r="Z4714" t="s">
        <v>43</v>
      </c>
      <c r="AA4714" t="s">
        <v>43</v>
      </c>
      <c r="AB4714" t="s">
        <v>43</v>
      </c>
      <c r="AC4714" t="s">
        <v>43</v>
      </c>
      <c r="AD4714" t="s">
        <v>43</v>
      </c>
      <c r="AE4714" t="s">
        <v>43</v>
      </c>
      <c r="AF4714" t="s">
        <v>43</v>
      </c>
      <c r="AG4714" t="s">
        <v>43</v>
      </c>
      <c r="AH4714" t="s">
        <v>43</v>
      </c>
      <c r="AI4714" t="s">
        <v>43</v>
      </c>
      <c r="AJ4714" t="s">
        <v>43</v>
      </c>
      <c r="AK4714" t="s">
        <v>43</v>
      </c>
      <c r="AL4714" t="s">
        <v>43</v>
      </c>
      <c r="AM4714" t="s">
        <v>43</v>
      </c>
      <c r="AN4714" t="str">
        <f>HYPERLINK("https://www.google.com/maps?q=10.83228683,79.84022522","Open Location")</f>
        <v>Open Location</v>
      </c>
    </row>
    <row r="4715" spans="1:40" x14ac:dyDescent="0.3">
      <c r="A4715" s="1">
        <v>46210.453587962962</v>
      </c>
      <c r="B4715" t="s">
        <v>40</v>
      </c>
      <c r="C4715" t="s">
        <v>41</v>
      </c>
      <c r="D4715" s="1">
        <v>46210.456516203703</v>
      </c>
      <c r="E4715" t="s">
        <v>42</v>
      </c>
      <c r="F4715" t="s">
        <v>43</v>
      </c>
      <c r="G4715" t="s">
        <v>43</v>
      </c>
      <c r="H4715" t="s">
        <v>43</v>
      </c>
      <c r="I4715" t="s">
        <v>2715</v>
      </c>
      <c r="J4715" t="s">
        <v>43</v>
      </c>
      <c r="K4715" t="s">
        <v>43</v>
      </c>
      <c r="L4715" t="s">
        <v>43</v>
      </c>
      <c r="M4715" t="s">
        <v>43</v>
      </c>
      <c r="N4715" t="s">
        <v>45</v>
      </c>
      <c r="O4715" t="s">
        <v>43</v>
      </c>
      <c r="P4715" t="s">
        <v>43</v>
      </c>
      <c r="Q4715" t="s">
        <v>43</v>
      </c>
      <c r="R4715" t="s">
        <v>43</v>
      </c>
      <c r="S4715" t="s">
        <v>43</v>
      </c>
      <c r="T4715" t="s">
        <v>43</v>
      </c>
      <c r="U4715" t="s">
        <v>43</v>
      </c>
      <c r="V4715" t="s">
        <v>43</v>
      </c>
      <c r="W4715" t="s">
        <v>43</v>
      </c>
      <c r="X4715" t="s">
        <v>43</v>
      </c>
      <c r="Y4715" t="s">
        <v>43</v>
      </c>
      <c r="Z4715" t="s">
        <v>43</v>
      </c>
      <c r="AA4715" t="s">
        <v>43</v>
      </c>
      <c r="AB4715" t="s">
        <v>43</v>
      </c>
      <c r="AC4715" t="s">
        <v>43</v>
      </c>
      <c r="AD4715" t="s">
        <v>43</v>
      </c>
      <c r="AE4715" t="s">
        <v>43</v>
      </c>
      <c r="AF4715" t="s">
        <v>43</v>
      </c>
      <c r="AG4715" t="s">
        <v>43</v>
      </c>
      <c r="AH4715" t="s">
        <v>43</v>
      </c>
      <c r="AI4715" t="s">
        <v>43</v>
      </c>
      <c r="AJ4715" t="s">
        <v>43</v>
      </c>
      <c r="AK4715" t="s">
        <v>43</v>
      </c>
      <c r="AL4715" t="s">
        <v>43</v>
      </c>
      <c r="AM4715" t="s">
        <v>43</v>
      </c>
      <c r="AN4715" t="str">
        <f>HYPERLINK("https://www.google.com/maps?q=10.83229065,79.84023285","Open Location")</f>
        <v>Open Location</v>
      </c>
    </row>
    <row r="4716" spans="1:40" x14ac:dyDescent="0.3">
      <c r="A4716" s="1">
        <v>46210.453472222223</v>
      </c>
      <c r="B4716" t="s">
        <v>40</v>
      </c>
      <c r="C4716" t="s">
        <v>41</v>
      </c>
      <c r="D4716" s="1">
        <v>46210.456180555557</v>
      </c>
      <c r="E4716" t="s">
        <v>42</v>
      </c>
      <c r="F4716" t="s">
        <v>43</v>
      </c>
      <c r="G4716" t="s">
        <v>43</v>
      </c>
      <c r="H4716" t="s">
        <v>43</v>
      </c>
      <c r="I4716" t="s">
        <v>2713</v>
      </c>
      <c r="J4716" t="s">
        <v>43</v>
      </c>
      <c r="K4716" t="s">
        <v>43</v>
      </c>
      <c r="L4716" t="s">
        <v>43</v>
      </c>
      <c r="M4716" t="s">
        <v>43</v>
      </c>
      <c r="N4716" t="s">
        <v>45</v>
      </c>
      <c r="O4716" t="s">
        <v>43</v>
      </c>
      <c r="P4716" t="s">
        <v>43</v>
      </c>
      <c r="Q4716" t="s">
        <v>43</v>
      </c>
      <c r="R4716" t="s">
        <v>43</v>
      </c>
      <c r="S4716" t="s">
        <v>43</v>
      </c>
      <c r="T4716" t="s">
        <v>43</v>
      </c>
      <c r="U4716" t="s">
        <v>43</v>
      </c>
      <c r="V4716" t="s">
        <v>43</v>
      </c>
      <c r="W4716" t="s">
        <v>43</v>
      </c>
      <c r="X4716" t="s">
        <v>43</v>
      </c>
      <c r="Y4716" t="s">
        <v>43</v>
      </c>
      <c r="Z4716" t="s">
        <v>43</v>
      </c>
      <c r="AA4716" t="s">
        <v>43</v>
      </c>
      <c r="AB4716" t="s">
        <v>43</v>
      </c>
      <c r="AC4716" t="s">
        <v>43</v>
      </c>
      <c r="AD4716" t="s">
        <v>43</v>
      </c>
      <c r="AE4716" t="s">
        <v>43</v>
      </c>
      <c r="AF4716" t="s">
        <v>43</v>
      </c>
      <c r="AG4716" t="s">
        <v>43</v>
      </c>
      <c r="AH4716" t="s">
        <v>43</v>
      </c>
      <c r="AI4716" t="s">
        <v>43</v>
      </c>
      <c r="AJ4716" t="s">
        <v>43</v>
      </c>
      <c r="AK4716" t="s">
        <v>43</v>
      </c>
      <c r="AL4716" t="s">
        <v>43</v>
      </c>
      <c r="AM4716" t="s">
        <v>43</v>
      </c>
      <c r="AN4716" t="str">
        <f>HYPERLINK("https://www.google.com/maps?q=10.83228588,79.84022522","Open Location")</f>
        <v>Open Location</v>
      </c>
    </row>
    <row r="4717" spans="1:40" x14ac:dyDescent="0.3">
      <c r="A4717" s="1">
        <v>46210.453356481485</v>
      </c>
      <c r="B4717" t="s">
        <v>40</v>
      </c>
      <c r="C4717" t="s">
        <v>41</v>
      </c>
      <c r="D4717" s="1">
        <v>46210.456273148149</v>
      </c>
      <c r="E4717" t="s">
        <v>42</v>
      </c>
      <c r="F4717" t="s">
        <v>43</v>
      </c>
      <c r="G4717" t="s">
        <v>43</v>
      </c>
      <c r="H4717" t="s">
        <v>43</v>
      </c>
      <c r="I4717" t="s">
        <v>2712</v>
      </c>
      <c r="J4717" t="s">
        <v>43</v>
      </c>
      <c r="K4717" t="s">
        <v>43</v>
      </c>
      <c r="L4717" t="s">
        <v>43</v>
      </c>
      <c r="M4717" t="s">
        <v>43</v>
      </c>
      <c r="N4717" t="s">
        <v>45</v>
      </c>
      <c r="O4717" t="s">
        <v>43</v>
      </c>
      <c r="P4717" t="s">
        <v>43</v>
      </c>
      <c r="Q4717" t="s">
        <v>43</v>
      </c>
      <c r="R4717" t="s">
        <v>43</v>
      </c>
      <c r="S4717" t="s">
        <v>43</v>
      </c>
      <c r="T4717" t="s">
        <v>43</v>
      </c>
      <c r="U4717" t="s">
        <v>43</v>
      </c>
      <c r="V4717" t="s">
        <v>43</v>
      </c>
      <c r="W4717" t="s">
        <v>43</v>
      </c>
      <c r="X4717" t="s">
        <v>43</v>
      </c>
      <c r="Y4717" t="s">
        <v>43</v>
      </c>
      <c r="Z4717" t="s">
        <v>43</v>
      </c>
      <c r="AA4717" t="s">
        <v>43</v>
      </c>
      <c r="AB4717" t="s">
        <v>43</v>
      </c>
      <c r="AC4717" t="s">
        <v>43</v>
      </c>
      <c r="AD4717" t="s">
        <v>43</v>
      </c>
      <c r="AE4717" t="s">
        <v>43</v>
      </c>
      <c r="AF4717" t="s">
        <v>43</v>
      </c>
      <c r="AG4717" t="s">
        <v>43</v>
      </c>
      <c r="AH4717" t="s">
        <v>43</v>
      </c>
      <c r="AI4717" t="s">
        <v>43</v>
      </c>
      <c r="AJ4717" t="s">
        <v>43</v>
      </c>
      <c r="AK4717" t="s">
        <v>43</v>
      </c>
      <c r="AL4717" t="s">
        <v>43</v>
      </c>
      <c r="AM4717" t="s">
        <v>43</v>
      </c>
      <c r="AN4717" t="str">
        <f>HYPERLINK("https://www.google.com/maps?q=10.83228493,79.84022522","Open Location")</f>
        <v>Open Location</v>
      </c>
    </row>
    <row r="4718" spans="1:40" x14ac:dyDescent="0.3">
      <c r="A4718" s="1">
        <v>46210.453240740739</v>
      </c>
      <c r="B4718" t="s">
        <v>40</v>
      </c>
      <c r="C4718" t="s">
        <v>41</v>
      </c>
      <c r="D4718" s="1">
        <v>46210.456099537034</v>
      </c>
      <c r="E4718" t="s">
        <v>42</v>
      </c>
      <c r="F4718" t="s">
        <v>43</v>
      </c>
      <c r="G4718" t="s">
        <v>43</v>
      </c>
      <c r="H4718" t="s">
        <v>43</v>
      </c>
      <c r="I4718" t="s">
        <v>43</v>
      </c>
      <c r="J4718" t="s">
        <v>43</v>
      </c>
      <c r="K4718" t="s">
        <v>43</v>
      </c>
      <c r="L4718" t="s">
        <v>43</v>
      </c>
      <c r="M4718" t="s">
        <v>43</v>
      </c>
      <c r="N4718" t="s">
        <v>45</v>
      </c>
      <c r="O4718" t="s">
        <v>43</v>
      </c>
      <c r="P4718" t="s">
        <v>43</v>
      </c>
      <c r="Q4718" t="s">
        <v>43</v>
      </c>
      <c r="R4718" t="s">
        <v>43</v>
      </c>
      <c r="S4718" t="s">
        <v>43</v>
      </c>
      <c r="T4718" t="s">
        <v>43</v>
      </c>
      <c r="U4718" t="s">
        <v>43</v>
      </c>
      <c r="V4718" t="s">
        <v>43</v>
      </c>
      <c r="W4718" t="s">
        <v>43</v>
      </c>
      <c r="X4718" t="s">
        <v>43</v>
      </c>
      <c r="Y4718" t="s">
        <v>43</v>
      </c>
      <c r="Z4718" t="s">
        <v>43</v>
      </c>
      <c r="AA4718" t="s">
        <v>43</v>
      </c>
      <c r="AB4718" t="s">
        <v>43</v>
      </c>
      <c r="AC4718" t="s">
        <v>43</v>
      </c>
      <c r="AD4718" t="s">
        <v>43</v>
      </c>
      <c r="AE4718" t="s">
        <v>43</v>
      </c>
      <c r="AF4718" t="s">
        <v>43</v>
      </c>
      <c r="AG4718" t="s">
        <v>43</v>
      </c>
      <c r="AH4718" t="s">
        <v>43</v>
      </c>
      <c r="AI4718" t="s">
        <v>43</v>
      </c>
      <c r="AJ4718" t="s">
        <v>43</v>
      </c>
      <c r="AK4718" t="s">
        <v>43</v>
      </c>
      <c r="AL4718" t="s">
        <v>43</v>
      </c>
      <c r="AM4718" t="s">
        <v>43</v>
      </c>
      <c r="AN4718" t="s">
        <v>43</v>
      </c>
    </row>
    <row r="4719" spans="1:40" x14ac:dyDescent="0.3">
      <c r="A4719" s="1">
        <v>46210.453125</v>
      </c>
      <c r="B4719" t="s">
        <v>40</v>
      </c>
      <c r="C4719" t="s">
        <v>41</v>
      </c>
      <c r="D4719" s="1">
        <v>46210.456319444442</v>
      </c>
      <c r="E4719" t="s">
        <v>42</v>
      </c>
      <c r="F4719" t="s">
        <v>43</v>
      </c>
      <c r="G4719" t="s">
        <v>43</v>
      </c>
      <c r="H4719" t="s">
        <v>43</v>
      </c>
      <c r="I4719" t="s">
        <v>2716</v>
      </c>
      <c r="J4719" t="s">
        <v>43</v>
      </c>
      <c r="K4719" t="s">
        <v>43</v>
      </c>
      <c r="L4719" t="s">
        <v>43</v>
      </c>
      <c r="M4719" t="s">
        <v>43</v>
      </c>
      <c r="N4719" t="s">
        <v>45</v>
      </c>
      <c r="O4719" t="s">
        <v>43</v>
      </c>
      <c r="P4719" t="s">
        <v>43</v>
      </c>
      <c r="Q4719" t="s">
        <v>43</v>
      </c>
      <c r="R4719" t="s">
        <v>43</v>
      </c>
      <c r="S4719" t="s">
        <v>43</v>
      </c>
      <c r="T4719" t="s">
        <v>43</v>
      </c>
      <c r="U4719" t="s">
        <v>43</v>
      </c>
      <c r="V4719" t="s">
        <v>43</v>
      </c>
      <c r="W4719" t="s">
        <v>43</v>
      </c>
      <c r="X4719" t="s">
        <v>43</v>
      </c>
      <c r="Y4719" t="s">
        <v>43</v>
      </c>
      <c r="Z4719" t="s">
        <v>43</v>
      </c>
      <c r="AA4719" t="s">
        <v>43</v>
      </c>
      <c r="AB4719" t="s">
        <v>43</v>
      </c>
      <c r="AC4719" t="s">
        <v>43</v>
      </c>
      <c r="AD4719" t="s">
        <v>43</v>
      </c>
      <c r="AE4719" t="s">
        <v>43</v>
      </c>
      <c r="AF4719" t="s">
        <v>43</v>
      </c>
      <c r="AG4719" t="s">
        <v>43</v>
      </c>
      <c r="AH4719" t="s">
        <v>43</v>
      </c>
      <c r="AI4719" t="s">
        <v>43</v>
      </c>
      <c r="AJ4719" t="s">
        <v>43</v>
      </c>
      <c r="AK4719" t="s">
        <v>43</v>
      </c>
      <c r="AL4719" t="s">
        <v>43</v>
      </c>
      <c r="AM4719" t="s">
        <v>43</v>
      </c>
      <c r="AN4719" t="str">
        <f>HYPERLINK("https://www.google.com/maps?q=10.8322897,79.84022522","Open Location")</f>
        <v>Open Location</v>
      </c>
    </row>
    <row r="4720" spans="1:40" x14ac:dyDescent="0.3">
      <c r="A4720" s="1">
        <v>46210.453009259261</v>
      </c>
      <c r="B4720" t="s">
        <v>40</v>
      </c>
      <c r="C4720" t="s">
        <v>41</v>
      </c>
      <c r="D4720" s="1">
        <v>46210.455810185187</v>
      </c>
      <c r="E4720" t="s">
        <v>42</v>
      </c>
      <c r="F4720" t="s">
        <v>43</v>
      </c>
      <c r="G4720" t="s">
        <v>43</v>
      </c>
      <c r="H4720" t="s">
        <v>43</v>
      </c>
      <c r="I4720" t="s">
        <v>2717</v>
      </c>
      <c r="J4720" t="s">
        <v>43</v>
      </c>
      <c r="K4720" t="s">
        <v>43</v>
      </c>
      <c r="L4720" t="s">
        <v>43</v>
      </c>
      <c r="M4720" t="s">
        <v>43</v>
      </c>
      <c r="N4720" t="s">
        <v>45</v>
      </c>
      <c r="O4720" t="s">
        <v>43</v>
      </c>
      <c r="P4720" t="s">
        <v>43</v>
      </c>
      <c r="Q4720" t="s">
        <v>43</v>
      </c>
      <c r="R4720" t="s">
        <v>43</v>
      </c>
      <c r="S4720" t="s">
        <v>43</v>
      </c>
      <c r="T4720" t="s">
        <v>43</v>
      </c>
      <c r="U4720" t="s">
        <v>43</v>
      </c>
      <c r="V4720" t="s">
        <v>43</v>
      </c>
      <c r="W4720" t="s">
        <v>43</v>
      </c>
      <c r="X4720" t="s">
        <v>43</v>
      </c>
      <c r="Y4720" t="s">
        <v>43</v>
      </c>
      <c r="Z4720" t="s">
        <v>43</v>
      </c>
      <c r="AA4720" t="s">
        <v>43</v>
      </c>
      <c r="AB4720" t="s">
        <v>43</v>
      </c>
      <c r="AC4720" t="s">
        <v>43</v>
      </c>
      <c r="AD4720" t="s">
        <v>43</v>
      </c>
      <c r="AE4720" t="s">
        <v>43</v>
      </c>
      <c r="AF4720" t="s">
        <v>43</v>
      </c>
      <c r="AG4720" t="s">
        <v>43</v>
      </c>
      <c r="AH4720" t="s">
        <v>43</v>
      </c>
      <c r="AI4720" t="s">
        <v>43</v>
      </c>
      <c r="AJ4720" t="s">
        <v>43</v>
      </c>
      <c r="AK4720" t="s">
        <v>43</v>
      </c>
      <c r="AL4720" t="s">
        <v>43</v>
      </c>
      <c r="AM4720" t="s">
        <v>43</v>
      </c>
      <c r="AN4720" t="str">
        <f>HYPERLINK("https://www.google.com/maps?q=10.83228683,79.84023285","Open Location")</f>
        <v>Open Location</v>
      </c>
    </row>
    <row r="4721" spans="1:40" x14ac:dyDescent="0.3">
      <c r="A4721" s="1">
        <v>46210.452893518515</v>
      </c>
      <c r="B4721" t="s">
        <v>40</v>
      </c>
      <c r="C4721" t="s">
        <v>41</v>
      </c>
      <c r="D4721" s="1">
        <v>46210.455787037034</v>
      </c>
      <c r="E4721" t="s">
        <v>42</v>
      </c>
      <c r="F4721" t="s">
        <v>43</v>
      </c>
      <c r="G4721" t="s">
        <v>43</v>
      </c>
      <c r="H4721" t="s">
        <v>43</v>
      </c>
      <c r="I4721" t="s">
        <v>2718</v>
      </c>
      <c r="J4721" t="s">
        <v>43</v>
      </c>
      <c r="K4721" t="s">
        <v>43</v>
      </c>
      <c r="L4721" t="s">
        <v>43</v>
      </c>
      <c r="M4721" t="s">
        <v>43</v>
      </c>
      <c r="N4721" t="s">
        <v>45</v>
      </c>
      <c r="O4721" t="s">
        <v>43</v>
      </c>
      <c r="P4721" t="s">
        <v>43</v>
      </c>
      <c r="Q4721" t="s">
        <v>43</v>
      </c>
      <c r="R4721" t="s">
        <v>43</v>
      </c>
      <c r="S4721" t="s">
        <v>43</v>
      </c>
      <c r="T4721" t="s">
        <v>43</v>
      </c>
      <c r="U4721" t="s">
        <v>43</v>
      </c>
      <c r="V4721" t="s">
        <v>43</v>
      </c>
      <c r="W4721" t="s">
        <v>43</v>
      </c>
      <c r="X4721" t="s">
        <v>43</v>
      </c>
      <c r="Y4721" t="s">
        <v>43</v>
      </c>
      <c r="Z4721" t="s">
        <v>43</v>
      </c>
      <c r="AA4721" t="s">
        <v>43</v>
      </c>
      <c r="AB4721" t="s">
        <v>43</v>
      </c>
      <c r="AC4721" t="s">
        <v>43</v>
      </c>
      <c r="AD4721" t="s">
        <v>43</v>
      </c>
      <c r="AE4721" t="s">
        <v>43</v>
      </c>
      <c r="AF4721" t="s">
        <v>43</v>
      </c>
      <c r="AG4721" t="s">
        <v>43</v>
      </c>
      <c r="AH4721" t="s">
        <v>43</v>
      </c>
      <c r="AI4721" t="s">
        <v>43</v>
      </c>
      <c r="AJ4721" t="s">
        <v>43</v>
      </c>
      <c r="AK4721" t="s">
        <v>43</v>
      </c>
      <c r="AL4721" t="s">
        <v>43</v>
      </c>
      <c r="AM4721" t="s">
        <v>43</v>
      </c>
      <c r="AN4721" t="str">
        <f>HYPERLINK("https://www.google.com/maps?q=10.83227825,79.84022522","Open Location")</f>
        <v>Open Location</v>
      </c>
    </row>
    <row r="4722" spans="1:40" x14ac:dyDescent="0.3">
      <c r="A4722" s="1">
        <v>46210.452777777777</v>
      </c>
      <c r="B4722" t="s">
        <v>40</v>
      </c>
      <c r="C4722" t="s">
        <v>41</v>
      </c>
      <c r="D4722" s="1">
        <v>46210.455787037034</v>
      </c>
      <c r="E4722" t="s">
        <v>42</v>
      </c>
      <c r="F4722" t="s">
        <v>43</v>
      </c>
      <c r="G4722" t="s">
        <v>43</v>
      </c>
      <c r="H4722" t="s">
        <v>43</v>
      </c>
      <c r="I4722" t="s">
        <v>2719</v>
      </c>
      <c r="J4722" t="s">
        <v>43</v>
      </c>
      <c r="K4722" t="s">
        <v>43</v>
      </c>
      <c r="L4722" t="s">
        <v>43</v>
      </c>
      <c r="M4722" t="s">
        <v>43</v>
      </c>
      <c r="N4722" t="s">
        <v>45</v>
      </c>
      <c r="O4722" t="s">
        <v>43</v>
      </c>
      <c r="P4722" t="s">
        <v>43</v>
      </c>
      <c r="Q4722" t="s">
        <v>43</v>
      </c>
      <c r="R4722" t="s">
        <v>43</v>
      </c>
      <c r="S4722" t="s">
        <v>43</v>
      </c>
      <c r="T4722" t="s">
        <v>43</v>
      </c>
      <c r="U4722" t="s">
        <v>43</v>
      </c>
      <c r="V4722" t="s">
        <v>43</v>
      </c>
      <c r="W4722" t="s">
        <v>43</v>
      </c>
      <c r="X4722" t="s">
        <v>43</v>
      </c>
      <c r="Y4722" t="s">
        <v>43</v>
      </c>
      <c r="Z4722" t="s">
        <v>43</v>
      </c>
      <c r="AA4722" t="s">
        <v>43</v>
      </c>
      <c r="AB4722" t="s">
        <v>43</v>
      </c>
      <c r="AC4722" t="s">
        <v>43</v>
      </c>
      <c r="AD4722" t="s">
        <v>43</v>
      </c>
      <c r="AE4722" t="s">
        <v>43</v>
      </c>
      <c r="AF4722" t="s">
        <v>43</v>
      </c>
      <c r="AG4722" t="s">
        <v>43</v>
      </c>
      <c r="AH4722" t="s">
        <v>43</v>
      </c>
      <c r="AI4722" t="s">
        <v>43</v>
      </c>
      <c r="AJ4722" t="s">
        <v>43</v>
      </c>
      <c r="AK4722" t="s">
        <v>43</v>
      </c>
      <c r="AL4722" t="s">
        <v>43</v>
      </c>
      <c r="AM4722" t="s">
        <v>43</v>
      </c>
      <c r="AN4722" t="str">
        <f>HYPERLINK("https://www.google.com/maps?q=10.83227158,79.84022522","Open Location")</f>
        <v>Open Location</v>
      </c>
    </row>
    <row r="4723" spans="1:40" x14ac:dyDescent="0.3">
      <c r="A4723" s="1">
        <v>46210.452662037038</v>
      </c>
      <c r="B4723" t="s">
        <v>40</v>
      </c>
      <c r="C4723" t="s">
        <v>41</v>
      </c>
      <c r="D4723" s="1">
        <v>46210.455474537041</v>
      </c>
      <c r="E4723" t="s">
        <v>42</v>
      </c>
      <c r="F4723" t="s">
        <v>43</v>
      </c>
      <c r="G4723" t="s">
        <v>43</v>
      </c>
      <c r="H4723" t="s">
        <v>43</v>
      </c>
      <c r="I4723" t="s">
        <v>2720</v>
      </c>
      <c r="J4723" t="s">
        <v>43</v>
      </c>
      <c r="K4723" t="s">
        <v>43</v>
      </c>
      <c r="L4723" t="s">
        <v>43</v>
      </c>
      <c r="M4723" t="s">
        <v>43</v>
      </c>
      <c r="N4723" t="s">
        <v>45</v>
      </c>
      <c r="O4723" t="s">
        <v>43</v>
      </c>
      <c r="P4723" t="s">
        <v>43</v>
      </c>
      <c r="Q4723" t="s">
        <v>43</v>
      </c>
      <c r="R4723" t="s">
        <v>43</v>
      </c>
      <c r="S4723" t="s">
        <v>43</v>
      </c>
      <c r="T4723" t="s">
        <v>43</v>
      </c>
      <c r="U4723" t="s">
        <v>43</v>
      </c>
      <c r="V4723" t="s">
        <v>43</v>
      </c>
      <c r="W4723" t="s">
        <v>43</v>
      </c>
      <c r="X4723" t="s">
        <v>43</v>
      </c>
      <c r="Y4723" t="s">
        <v>43</v>
      </c>
      <c r="Z4723" t="s">
        <v>43</v>
      </c>
      <c r="AA4723" t="s">
        <v>43</v>
      </c>
      <c r="AB4723" t="s">
        <v>43</v>
      </c>
      <c r="AC4723" t="s">
        <v>43</v>
      </c>
      <c r="AD4723" t="s">
        <v>43</v>
      </c>
      <c r="AE4723" t="s">
        <v>43</v>
      </c>
      <c r="AF4723" t="s">
        <v>43</v>
      </c>
      <c r="AG4723" t="s">
        <v>43</v>
      </c>
      <c r="AH4723" t="s">
        <v>43</v>
      </c>
      <c r="AI4723" t="s">
        <v>43</v>
      </c>
      <c r="AJ4723" t="s">
        <v>43</v>
      </c>
      <c r="AK4723" t="s">
        <v>43</v>
      </c>
      <c r="AL4723" t="s">
        <v>43</v>
      </c>
      <c r="AM4723" t="s">
        <v>43</v>
      </c>
      <c r="AN4723" t="str">
        <f>HYPERLINK("https://www.google.com/maps?q=10.83226967,79.84022522","Open Location")</f>
        <v>Open Location</v>
      </c>
    </row>
    <row r="4724" spans="1:40" x14ac:dyDescent="0.3">
      <c r="A4724" s="1">
        <v>46210.452546296299</v>
      </c>
      <c r="B4724" t="s">
        <v>40</v>
      </c>
      <c r="C4724" t="s">
        <v>41</v>
      </c>
      <c r="D4724" s="1">
        <v>46210.455347222225</v>
      </c>
      <c r="E4724" t="s">
        <v>42</v>
      </c>
      <c r="F4724" t="s">
        <v>43</v>
      </c>
      <c r="G4724" t="s">
        <v>43</v>
      </c>
      <c r="H4724" t="s">
        <v>43</v>
      </c>
      <c r="I4724" t="s">
        <v>43</v>
      </c>
      <c r="J4724" t="s">
        <v>43</v>
      </c>
      <c r="K4724" t="s">
        <v>43</v>
      </c>
      <c r="L4724" t="s">
        <v>43</v>
      </c>
      <c r="M4724" t="s">
        <v>43</v>
      </c>
      <c r="N4724" t="s">
        <v>45</v>
      </c>
      <c r="O4724" t="s">
        <v>43</v>
      </c>
      <c r="P4724" t="s">
        <v>43</v>
      </c>
      <c r="Q4724" t="s">
        <v>43</v>
      </c>
      <c r="R4724" t="s">
        <v>43</v>
      </c>
      <c r="S4724" t="s">
        <v>43</v>
      </c>
      <c r="T4724" t="s">
        <v>43</v>
      </c>
      <c r="U4724" t="s">
        <v>43</v>
      </c>
      <c r="V4724" t="s">
        <v>43</v>
      </c>
      <c r="W4724" t="s">
        <v>43</v>
      </c>
      <c r="X4724" t="s">
        <v>43</v>
      </c>
      <c r="Y4724" t="s">
        <v>43</v>
      </c>
      <c r="Z4724" t="s">
        <v>43</v>
      </c>
      <c r="AA4724" t="s">
        <v>43</v>
      </c>
      <c r="AB4724" t="s">
        <v>43</v>
      </c>
      <c r="AC4724" t="s">
        <v>43</v>
      </c>
      <c r="AD4724" t="s">
        <v>43</v>
      </c>
      <c r="AE4724" t="s">
        <v>43</v>
      </c>
      <c r="AF4724" t="s">
        <v>43</v>
      </c>
      <c r="AG4724" t="s">
        <v>43</v>
      </c>
      <c r="AH4724" t="s">
        <v>43</v>
      </c>
      <c r="AI4724" t="s">
        <v>43</v>
      </c>
      <c r="AJ4724" t="s">
        <v>43</v>
      </c>
      <c r="AK4724" t="s">
        <v>43</v>
      </c>
      <c r="AL4724" t="s">
        <v>43</v>
      </c>
      <c r="AM4724" t="s">
        <v>43</v>
      </c>
      <c r="AN4724" t="s">
        <v>43</v>
      </c>
    </row>
    <row r="4725" spans="1:40" x14ac:dyDescent="0.3">
      <c r="A4725" s="1">
        <v>46210.452430555553</v>
      </c>
      <c r="B4725" t="s">
        <v>40</v>
      </c>
      <c r="C4725" t="s">
        <v>41</v>
      </c>
      <c r="D4725" s="1">
        <v>46210.455347222225</v>
      </c>
      <c r="E4725" t="s">
        <v>42</v>
      </c>
      <c r="F4725" t="s">
        <v>43</v>
      </c>
      <c r="G4725" t="s">
        <v>43</v>
      </c>
      <c r="H4725" t="s">
        <v>43</v>
      </c>
      <c r="I4725" t="s">
        <v>2721</v>
      </c>
      <c r="J4725" t="s">
        <v>43</v>
      </c>
      <c r="K4725" t="s">
        <v>43</v>
      </c>
      <c r="L4725" t="s">
        <v>43</v>
      </c>
      <c r="M4725" t="s">
        <v>43</v>
      </c>
      <c r="N4725" t="s">
        <v>45</v>
      </c>
      <c r="O4725" t="s">
        <v>43</v>
      </c>
      <c r="P4725" t="s">
        <v>43</v>
      </c>
      <c r="Q4725" t="s">
        <v>43</v>
      </c>
      <c r="R4725" t="s">
        <v>43</v>
      </c>
      <c r="S4725" t="s">
        <v>43</v>
      </c>
      <c r="T4725" t="s">
        <v>43</v>
      </c>
      <c r="U4725" t="s">
        <v>43</v>
      </c>
      <c r="V4725" t="s">
        <v>43</v>
      </c>
      <c r="W4725" t="s">
        <v>43</v>
      </c>
      <c r="X4725" t="s">
        <v>43</v>
      </c>
      <c r="Y4725" t="s">
        <v>43</v>
      </c>
      <c r="Z4725" t="s">
        <v>43</v>
      </c>
      <c r="AA4725" t="s">
        <v>43</v>
      </c>
      <c r="AB4725" t="s">
        <v>43</v>
      </c>
      <c r="AC4725" t="s">
        <v>43</v>
      </c>
      <c r="AD4725" t="s">
        <v>43</v>
      </c>
      <c r="AE4725" t="s">
        <v>43</v>
      </c>
      <c r="AF4725" t="s">
        <v>43</v>
      </c>
      <c r="AG4725" t="s">
        <v>43</v>
      </c>
      <c r="AH4725" t="s">
        <v>43</v>
      </c>
      <c r="AI4725" t="s">
        <v>43</v>
      </c>
      <c r="AJ4725" t="s">
        <v>43</v>
      </c>
      <c r="AK4725" t="s">
        <v>43</v>
      </c>
      <c r="AL4725" t="s">
        <v>43</v>
      </c>
      <c r="AM4725" t="s">
        <v>43</v>
      </c>
      <c r="AN4725" t="str">
        <f>HYPERLINK("https://www.google.com/maps?q=10.83226776,79.84024048","Open Location")</f>
        <v>Open Location</v>
      </c>
    </row>
    <row r="4726" spans="1:40" x14ac:dyDescent="0.3">
      <c r="A4726" s="1">
        <v>46210.452314814815</v>
      </c>
      <c r="B4726" t="s">
        <v>40</v>
      </c>
      <c r="C4726" t="s">
        <v>41</v>
      </c>
      <c r="D4726" s="1">
        <v>46210.455092592594</v>
      </c>
      <c r="E4726" t="s">
        <v>42</v>
      </c>
      <c r="F4726" t="s">
        <v>43</v>
      </c>
      <c r="G4726" t="s">
        <v>43</v>
      </c>
      <c r="H4726" t="s">
        <v>43</v>
      </c>
      <c r="I4726" t="s">
        <v>2722</v>
      </c>
      <c r="J4726" t="s">
        <v>43</v>
      </c>
      <c r="K4726" t="s">
        <v>43</v>
      </c>
      <c r="L4726" t="s">
        <v>43</v>
      </c>
      <c r="M4726" t="s">
        <v>43</v>
      </c>
      <c r="N4726" t="s">
        <v>45</v>
      </c>
      <c r="O4726" t="s">
        <v>43</v>
      </c>
      <c r="P4726" t="s">
        <v>43</v>
      </c>
      <c r="Q4726" t="s">
        <v>43</v>
      </c>
      <c r="R4726" t="s">
        <v>43</v>
      </c>
      <c r="S4726" t="s">
        <v>43</v>
      </c>
      <c r="T4726" t="s">
        <v>43</v>
      </c>
      <c r="U4726" t="s">
        <v>43</v>
      </c>
      <c r="V4726" t="s">
        <v>43</v>
      </c>
      <c r="W4726" t="s">
        <v>43</v>
      </c>
      <c r="X4726" t="s">
        <v>43</v>
      </c>
      <c r="Y4726" t="s">
        <v>43</v>
      </c>
      <c r="Z4726" t="s">
        <v>43</v>
      </c>
      <c r="AA4726" t="s">
        <v>43</v>
      </c>
      <c r="AB4726" t="s">
        <v>43</v>
      </c>
      <c r="AC4726" t="s">
        <v>43</v>
      </c>
      <c r="AD4726" t="s">
        <v>43</v>
      </c>
      <c r="AE4726" t="s">
        <v>43</v>
      </c>
      <c r="AF4726" t="s">
        <v>43</v>
      </c>
      <c r="AG4726" t="s">
        <v>43</v>
      </c>
      <c r="AH4726" t="s">
        <v>43</v>
      </c>
      <c r="AI4726" t="s">
        <v>43</v>
      </c>
      <c r="AJ4726" t="s">
        <v>43</v>
      </c>
      <c r="AK4726" t="s">
        <v>43</v>
      </c>
      <c r="AL4726" t="s">
        <v>43</v>
      </c>
      <c r="AM4726" t="s">
        <v>43</v>
      </c>
      <c r="AN4726" t="str">
        <f>HYPERLINK("https://www.google.com/maps?q=10.8322649,79.84024811","Open Location")</f>
        <v>Open Location</v>
      </c>
    </row>
    <row r="4727" spans="1:40" x14ac:dyDescent="0.3">
      <c r="A4727" s="1">
        <v>46210.452199074076</v>
      </c>
      <c r="B4727" t="s">
        <v>40</v>
      </c>
      <c r="C4727" t="s">
        <v>41</v>
      </c>
      <c r="D4727" s="1">
        <v>46210.455416666664</v>
      </c>
      <c r="E4727" t="s">
        <v>42</v>
      </c>
      <c r="F4727" t="s">
        <v>43</v>
      </c>
      <c r="G4727" t="s">
        <v>43</v>
      </c>
      <c r="H4727" t="s">
        <v>43</v>
      </c>
      <c r="I4727" t="s">
        <v>2723</v>
      </c>
      <c r="J4727" t="s">
        <v>43</v>
      </c>
      <c r="K4727" t="s">
        <v>43</v>
      </c>
      <c r="L4727" t="s">
        <v>43</v>
      </c>
      <c r="M4727" t="s">
        <v>43</v>
      </c>
      <c r="N4727" t="s">
        <v>45</v>
      </c>
      <c r="O4727" t="s">
        <v>43</v>
      </c>
      <c r="P4727" t="s">
        <v>43</v>
      </c>
      <c r="Q4727" t="s">
        <v>43</v>
      </c>
      <c r="R4727" t="s">
        <v>43</v>
      </c>
      <c r="S4727" t="s">
        <v>43</v>
      </c>
      <c r="T4727" t="s">
        <v>43</v>
      </c>
      <c r="U4727" t="s">
        <v>43</v>
      </c>
      <c r="V4727" t="s">
        <v>43</v>
      </c>
      <c r="W4727" t="s">
        <v>43</v>
      </c>
      <c r="X4727" t="s">
        <v>43</v>
      </c>
      <c r="Y4727" t="s">
        <v>43</v>
      </c>
      <c r="Z4727" t="s">
        <v>43</v>
      </c>
      <c r="AA4727" t="s">
        <v>43</v>
      </c>
      <c r="AB4727" t="s">
        <v>43</v>
      </c>
      <c r="AC4727" t="s">
        <v>43</v>
      </c>
      <c r="AD4727" t="s">
        <v>43</v>
      </c>
      <c r="AE4727" t="s">
        <v>43</v>
      </c>
      <c r="AF4727" t="s">
        <v>43</v>
      </c>
      <c r="AG4727" t="s">
        <v>43</v>
      </c>
      <c r="AH4727" t="s">
        <v>43</v>
      </c>
      <c r="AI4727" t="s">
        <v>43</v>
      </c>
      <c r="AJ4727" t="s">
        <v>43</v>
      </c>
      <c r="AK4727" t="s">
        <v>43</v>
      </c>
      <c r="AL4727" t="s">
        <v>43</v>
      </c>
      <c r="AM4727" t="s">
        <v>43</v>
      </c>
      <c r="AN4727" t="str">
        <f>HYPERLINK("https://www.google.com/maps?q=10.83226681,79.84025574","Open Location")</f>
        <v>Open Location</v>
      </c>
    </row>
    <row r="4728" spans="1:40" x14ac:dyDescent="0.3">
      <c r="A4728" s="1">
        <v>46210.45208333333</v>
      </c>
      <c r="B4728" t="s">
        <v>40</v>
      </c>
      <c r="C4728" t="s">
        <v>41</v>
      </c>
      <c r="D4728" s="1">
        <v>46210.454988425925</v>
      </c>
      <c r="E4728" t="s">
        <v>42</v>
      </c>
      <c r="F4728" t="s">
        <v>43</v>
      </c>
      <c r="G4728" t="s">
        <v>43</v>
      </c>
      <c r="H4728" t="s">
        <v>43</v>
      </c>
      <c r="I4728" t="s">
        <v>2724</v>
      </c>
      <c r="J4728" t="s">
        <v>43</v>
      </c>
      <c r="K4728" t="s">
        <v>43</v>
      </c>
      <c r="L4728" t="s">
        <v>43</v>
      </c>
      <c r="M4728" t="s">
        <v>43</v>
      </c>
      <c r="N4728" t="s">
        <v>45</v>
      </c>
      <c r="O4728" t="s">
        <v>43</v>
      </c>
      <c r="P4728" t="s">
        <v>43</v>
      </c>
      <c r="Q4728" t="s">
        <v>43</v>
      </c>
      <c r="R4728" t="s">
        <v>43</v>
      </c>
      <c r="S4728" t="s">
        <v>43</v>
      </c>
      <c r="T4728" t="s">
        <v>43</v>
      </c>
      <c r="U4728" t="s">
        <v>43</v>
      </c>
      <c r="V4728" t="s">
        <v>43</v>
      </c>
      <c r="W4728" t="s">
        <v>43</v>
      </c>
      <c r="X4728" t="s">
        <v>43</v>
      </c>
      <c r="Y4728" t="s">
        <v>43</v>
      </c>
      <c r="Z4728" t="s">
        <v>43</v>
      </c>
      <c r="AA4728" t="s">
        <v>43</v>
      </c>
      <c r="AB4728" t="s">
        <v>43</v>
      </c>
      <c r="AC4728" t="s">
        <v>43</v>
      </c>
      <c r="AD4728" t="s">
        <v>43</v>
      </c>
      <c r="AE4728" t="s">
        <v>43</v>
      </c>
      <c r="AF4728" t="s">
        <v>43</v>
      </c>
      <c r="AG4728" t="s">
        <v>43</v>
      </c>
      <c r="AH4728" t="s">
        <v>43</v>
      </c>
      <c r="AI4728" t="s">
        <v>43</v>
      </c>
      <c r="AJ4728" t="s">
        <v>43</v>
      </c>
      <c r="AK4728" t="s">
        <v>43</v>
      </c>
      <c r="AL4728" t="s">
        <v>43</v>
      </c>
      <c r="AM4728" t="s">
        <v>43</v>
      </c>
      <c r="AN4728" t="str">
        <f>HYPERLINK("https://www.google.com/maps?q=10.83227253,79.840271","Open Location")</f>
        <v>Open Location</v>
      </c>
    </row>
    <row r="4729" spans="1:40" x14ac:dyDescent="0.3">
      <c r="A4729" s="1">
        <v>46210.451967592591</v>
      </c>
      <c r="B4729" t="s">
        <v>40</v>
      </c>
      <c r="C4729" t="s">
        <v>41</v>
      </c>
      <c r="D4729" s="1">
        <v>46210.454745370371</v>
      </c>
      <c r="E4729" t="s">
        <v>42</v>
      </c>
      <c r="F4729" t="s">
        <v>43</v>
      </c>
      <c r="G4729" t="s">
        <v>43</v>
      </c>
      <c r="H4729" t="s">
        <v>43</v>
      </c>
      <c r="I4729" t="s">
        <v>43</v>
      </c>
      <c r="J4729" t="s">
        <v>43</v>
      </c>
      <c r="K4729" t="s">
        <v>43</v>
      </c>
      <c r="L4729" t="s">
        <v>43</v>
      </c>
      <c r="M4729" t="s">
        <v>43</v>
      </c>
      <c r="N4729" t="s">
        <v>45</v>
      </c>
      <c r="O4729" t="s">
        <v>43</v>
      </c>
      <c r="P4729" t="s">
        <v>43</v>
      </c>
      <c r="Q4729" t="s">
        <v>43</v>
      </c>
      <c r="R4729" t="s">
        <v>43</v>
      </c>
      <c r="S4729" t="s">
        <v>43</v>
      </c>
      <c r="T4729" t="s">
        <v>43</v>
      </c>
      <c r="U4729" t="s">
        <v>43</v>
      </c>
      <c r="V4729" t="s">
        <v>43</v>
      </c>
      <c r="W4729" t="s">
        <v>43</v>
      </c>
      <c r="X4729" t="s">
        <v>43</v>
      </c>
      <c r="Y4729" t="s">
        <v>43</v>
      </c>
      <c r="Z4729" t="s">
        <v>43</v>
      </c>
      <c r="AA4729" t="s">
        <v>43</v>
      </c>
      <c r="AB4729" t="s">
        <v>43</v>
      </c>
      <c r="AC4729" t="s">
        <v>43</v>
      </c>
      <c r="AD4729" t="s">
        <v>43</v>
      </c>
      <c r="AE4729" t="s">
        <v>43</v>
      </c>
      <c r="AF4729" t="s">
        <v>43</v>
      </c>
      <c r="AG4729" t="s">
        <v>43</v>
      </c>
      <c r="AH4729" t="s">
        <v>43</v>
      </c>
      <c r="AI4729" t="s">
        <v>43</v>
      </c>
      <c r="AJ4729" t="s">
        <v>43</v>
      </c>
      <c r="AK4729" t="s">
        <v>43</v>
      </c>
      <c r="AL4729" t="s">
        <v>43</v>
      </c>
      <c r="AM4729" t="s">
        <v>43</v>
      </c>
      <c r="AN4729" t="s">
        <v>43</v>
      </c>
    </row>
    <row r="4730" spans="1:40" x14ac:dyDescent="0.3">
      <c r="A4730" s="1">
        <v>46210.451851851853</v>
      </c>
      <c r="B4730" t="s">
        <v>40</v>
      </c>
      <c r="C4730" t="s">
        <v>41</v>
      </c>
      <c r="D4730" s="1">
        <v>46210.454722222225</v>
      </c>
      <c r="E4730" t="s">
        <v>42</v>
      </c>
      <c r="F4730" t="s">
        <v>43</v>
      </c>
      <c r="G4730" t="s">
        <v>43</v>
      </c>
      <c r="H4730" t="s">
        <v>43</v>
      </c>
      <c r="I4730" t="s">
        <v>2725</v>
      </c>
      <c r="J4730" t="s">
        <v>43</v>
      </c>
      <c r="K4730" t="s">
        <v>43</v>
      </c>
      <c r="L4730" t="s">
        <v>43</v>
      </c>
      <c r="M4730" t="s">
        <v>43</v>
      </c>
      <c r="N4730" t="s">
        <v>45</v>
      </c>
      <c r="O4730" t="s">
        <v>43</v>
      </c>
      <c r="P4730" t="s">
        <v>43</v>
      </c>
      <c r="Q4730" t="s">
        <v>43</v>
      </c>
      <c r="R4730" t="s">
        <v>43</v>
      </c>
      <c r="S4730" t="s">
        <v>43</v>
      </c>
      <c r="T4730" t="s">
        <v>43</v>
      </c>
      <c r="U4730" t="s">
        <v>43</v>
      </c>
      <c r="V4730" t="s">
        <v>43</v>
      </c>
      <c r="W4730" t="s">
        <v>43</v>
      </c>
      <c r="X4730" t="s">
        <v>43</v>
      </c>
      <c r="Y4730" t="s">
        <v>43</v>
      </c>
      <c r="Z4730" t="s">
        <v>43</v>
      </c>
      <c r="AA4730" t="s">
        <v>43</v>
      </c>
      <c r="AB4730" t="s">
        <v>43</v>
      </c>
      <c r="AC4730" t="s">
        <v>43</v>
      </c>
      <c r="AD4730" t="s">
        <v>43</v>
      </c>
      <c r="AE4730" t="s">
        <v>43</v>
      </c>
      <c r="AF4730" t="s">
        <v>43</v>
      </c>
      <c r="AG4730" t="s">
        <v>43</v>
      </c>
      <c r="AH4730" t="s">
        <v>43</v>
      </c>
      <c r="AI4730" t="s">
        <v>43</v>
      </c>
      <c r="AJ4730" t="s">
        <v>43</v>
      </c>
      <c r="AK4730" t="s">
        <v>43</v>
      </c>
      <c r="AL4730" t="s">
        <v>43</v>
      </c>
      <c r="AM4730" t="s">
        <v>43</v>
      </c>
      <c r="AN4730" t="str">
        <f>HYPERLINK("https://www.google.com/maps?q=10.8322773,79.84027863","Open Location")</f>
        <v>Open Location</v>
      </c>
    </row>
    <row r="4731" spans="1:40" x14ac:dyDescent="0.3">
      <c r="A4731" s="1">
        <v>46210.451736111114</v>
      </c>
      <c r="B4731" t="s">
        <v>40</v>
      </c>
      <c r="C4731" t="s">
        <v>41</v>
      </c>
      <c r="D4731" s="1">
        <v>46210.454629629632</v>
      </c>
      <c r="E4731" t="s">
        <v>42</v>
      </c>
      <c r="F4731" t="s">
        <v>43</v>
      </c>
      <c r="G4731" t="s">
        <v>43</v>
      </c>
      <c r="H4731" t="s">
        <v>43</v>
      </c>
      <c r="I4731" t="s">
        <v>2726</v>
      </c>
      <c r="J4731" t="s">
        <v>43</v>
      </c>
      <c r="K4731" t="s">
        <v>43</v>
      </c>
      <c r="L4731" t="s">
        <v>43</v>
      </c>
      <c r="M4731" t="s">
        <v>43</v>
      </c>
      <c r="N4731" t="s">
        <v>45</v>
      </c>
      <c r="O4731" t="s">
        <v>43</v>
      </c>
      <c r="P4731" t="s">
        <v>43</v>
      </c>
      <c r="Q4731" t="s">
        <v>43</v>
      </c>
      <c r="R4731" t="s">
        <v>43</v>
      </c>
      <c r="S4731" t="s">
        <v>43</v>
      </c>
      <c r="T4731" t="s">
        <v>43</v>
      </c>
      <c r="U4731" t="s">
        <v>43</v>
      </c>
      <c r="V4731" t="s">
        <v>43</v>
      </c>
      <c r="W4731" t="s">
        <v>43</v>
      </c>
      <c r="X4731" t="s">
        <v>43</v>
      </c>
      <c r="Y4731" t="s">
        <v>43</v>
      </c>
      <c r="Z4731" t="s">
        <v>43</v>
      </c>
      <c r="AA4731" t="s">
        <v>43</v>
      </c>
      <c r="AB4731" t="s">
        <v>43</v>
      </c>
      <c r="AC4731" t="s">
        <v>43</v>
      </c>
      <c r="AD4731" t="s">
        <v>43</v>
      </c>
      <c r="AE4731" t="s">
        <v>43</v>
      </c>
      <c r="AF4731" t="s">
        <v>43</v>
      </c>
      <c r="AG4731" t="s">
        <v>43</v>
      </c>
      <c r="AH4731" t="s">
        <v>43</v>
      </c>
      <c r="AI4731" t="s">
        <v>43</v>
      </c>
      <c r="AJ4731" t="s">
        <v>43</v>
      </c>
      <c r="AK4731" t="s">
        <v>43</v>
      </c>
      <c r="AL4731" t="s">
        <v>43</v>
      </c>
      <c r="AM4731" t="s">
        <v>43</v>
      </c>
      <c r="AN4731" t="str">
        <f>HYPERLINK("https://www.google.com/maps?q=10.83227062,79.84027863","Open Location")</f>
        <v>Open Location</v>
      </c>
    </row>
    <row r="4732" spans="1:40" x14ac:dyDescent="0.3">
      <c r="A4732" s="1">
        <v>46210.451620370368</v>
      </c>
      <c r="B4732" t="s">
        <v>40</v>
      </c>
      <c r="C4732" t="s">
        <v>41</v>
      </c>
      <c r="D4732" s="1">
        <v>46210.454560185186</v>
      </c>
      <c r="E4732" t="s">
        <v>42</v>
      </c>
      <c r="F4732" t="s">
        <v>43</v>
      </c>
      <c r="G4732" t="s">
        <v>43</v>
      </c>
      <c r="H4732" t="s">
        <v>43</v>
      </c>
      <c r="I4732" t="s">
        <v>2727</v>
      </c>
      <c r="J4732" t="s">
        <v>43</v>
      </c>
      <c r="K4732" t="s">
        <v>43</v>
      </c>
      <c r="L4732" t="s">
        <v>43</v>
      </c>
      <c r="M4732" t="s">
        <v>43</v>
      </c>
      <c r="N4732" t="s">
        <v>45</v>
      </c>
      <c r="O4732" t="s">
        <v>43</v>
      </c>
      <c r="P4732" t="s">
        <v>43</v>
      </c>
      <c r="Q4732" t="s">
        <v>43</v>
      </c>
      <c r="R4732" t="s">
        <v>43</v>
      </c>
      <c r="S4732" t="s">
        <v>43</v>
      </c>
      <c r="T4732" t="s">
        <v>43</v>
      </c>
      <c r="U4732" t="s">
        <v>43</v>
      </c>
      <c r="V4732" t="s">
        <v>43</v>
      </c>
      <c r="W4732" t="s">
        <v>43</v>
      </c>
      <c r="X4732" t="s">
        <v>43</v>
      </c>
      <c r="Y4732" t="s">
        <v>43</v>
      </c>
      <c r="Z4732" t="s">
        <v>43</v>
      </c>
      <c r="AA4732" t="s">
        <v>43</v>
      </c>
      <c r="AB4732" t="s">
        <v>43</v>
      </c>
      <c r="AC4732" t="s">
        <v>43</v>
      </c>
      <c r="AD4732" t="s">
        <v>43</v>
      </c>
      <c r="AE4732" t="s">
        <v>43</v>
      </c>
      <c r="AF4732" t="s">
        <v>43</v>
      </c>
      <c r="AG4732" t="s">
        <v>43</v>
      </c>
      <c r="AH4732" t="s">
        <v>43</v>
      </c>
      <c r="AI4732" t="s">
        <v>43</v>
      </c>
      <c r="AJ4732" t="s">
        <v>43</v>
      </c>
      <c r="AK4732" t="s">
        <v>43</v>
      </c>
      <c r="AL4732" t="s">
        <v>43</v>
      </c>
      <c r="AM4732" t="s">
        <v>43</v>
      </c>
      <c r="AN4732" t="str">
        <f>HYPERLINK("https://www.google.com/maps?q=10.83226585,79.84027863","Open Location")</f>
        <v>Open Location</v>
      </c>
    </row>
    <row r="4733" spans="1:40" x14ac:dyDescent="0.3">
      <c r="A4733" s="1">
        <v>46210.451504629629</v>
      </c>
      <c r="B4733" t="s">
        <v>40</v>
      </c>
      <c r="C4733" t="s">
        <v>41</v>
      </c>
      <c r="D4733" s="1">
        <v>46210.454375000001</v>
      </c>
      <c r="E4733" t="s">
        <v>42</v>
      </c>
      <c r="F4733" t="s">
        <v>43</v>
      </c>
      <c r="G4733" t="s">
        <v>43</v>
      </c>
      <c r="H4733" t="s">
        <v>43</v>
      </c>
      <c r="I4733" t="s">
        <v>2728</v>
      </c>
      <c r="J4733" t="s">
        <v>43</v>
      </c>
      <c r="K4733" t="s">
        <v>43</v>
      </c>
      <c r="L4733" t="s">
        <v>43</v>
      </c>
      <c r="M4733" t="s">
        <v>43</v>
      </c>
      <c r="N4733" t="s">
        <v>45</v>
      </c>
      <c r="O4733" t="s">
        <v>43</v>
      </c>
      <c r="P4733" t="s">
        <v>43</v>
      </c>
      <c r="Q4733" t="s">
        <v>43</v>
      </c>
      <c r="R4733" t="s">
        <v>43</v>
      </c>
      <c r="S4733" t="s">
        <v>43</v>
      </c>
      <c r="T4733" t="s">
        <v>43</v>
      </c>
      <c r="U4733" t="s">
        <v>43</v>
      </c>
      <c r="V4733" t="s">
        <v>43</v>
      </c>
      <c r="W4733" t="s">
        <v>43</v>
      </c>
      <c r="X4733" t="s">
        <v>43</v>
      </c>
      <c r="Y4733" t="s">
        <v>43</v>
      </c>
      <c r="Z4733" t="s">
        <v>43</v>
      </c>
      <c r="AA4733" t="s">
        <v>43</v>
      </c>
      <c r="AB4733" t="s">
        <v>43</v>
      </c>
      <c r="AC4733" t="s">
        <v>43</v>
      </c>
      <c r="AD4733" t="s">
        <v>43</v>
      </c>
      <c r="AE4733" t="s">
        <v>43</v>
      </c>
      <c r="AF4733" t="s">
        <v>43</v>
      </c>
      <c r="AG4733" t="s">
        <v>43</v>
      </c>
      <c r="AH4733" t="s">
        <v>43</v>
      </c>
      <c r="AI4733" t="s">
        <v>43</v>
      </c>
      <c r="AJ4733" t="s">
        <v>43</v>
      </c>
      <c r="AK4733" t="s">
        <v>43</v>
      </c>
      <c r="AL4733" t="s">
        <v>43</v>
      </c>
      <c r="AM4733" t="s">
        <v>43</v>
      </c>
      <c r="AN4733" t="str">
        <f>HYPERLINK("https://www.google.com/maps?q=10.83226681,79.84028625","Open Location")</f>
        <v>Open Location</v>
      </c>
    </row>
    <row r="4734" spans="1:40" x14ac:dyDescent="0.3">
      <c r="A4734" s="1">
        <v>46210.451388888891</v>
      </c>
      <c r="B4734" t="s">
        <v>40</v>
      </c>
      <c r="C4734" t="s">
        <v>41</v>
      </c>
      <c r="D4734" s="1">
        <v>46210.45412037037</v>
      </c>
      <c r="E4734" t="s">
        <v>42</v>
      </c>
      <c r="F4734" t="s">
        <v>43</v>
      </c>
      <c r="G4734" t="s">
        <v>43</v>
      </c>
      <c r="H4734" t="s">
        <v>43</v>
      </c>
      <c r="I4734" t="s">
        <v>2729</v>
      </c>
      <c r="J4734" t="s">
        <v>43</v>
      </c>
      <c r="K4734" t="s">
        <v>43</v>
      </c>
      <c r="L4734" t="s">
        <v>43</v>
      </c>
      <c r="M4734" t="s">
        <v>43</v>
      </c>
      <c r="N4734" t="s">
        <v>45</v>
      </c>
      <c r="O4734" t="s">
        <v>43</v>
      </c>
      <c r="P4734" t="s">
        <v>43</v>
      </c>
      <c r="Q4734" t="s">
        <v>43</v>
      </c>
      <c r="R4734" t="s">
        <v>43</v>
      </c>
      <c r="S4734" t="s">
        <v>43</v>
      </c>
      <c r="T4734" t="s">
        <v>43</v>
      </c>
      <c r="U4734" t="s">
        <v>43</v>
      </c>
      <c r="V4734" t="s">
        <v>43</v>
      </c>
      <c r="W4734" t="s">
        <v>43</v>
      </c>
      <c r="X4734" t="s">
        <v>43</v>
      </c>
      <c r="Y4734" t="s">
        <v>43</v>
      </c>
      <c r="Z4734" t="s">
        <v>43</v>
      </c>
      <c r="AA4734" t="s">
        <v>43</v>
      </c>
      <c r="AB4734" t="s">
        <v>43</v>
      </c>
      <c r="AC4734" t="s">
        <v>43</v>
      </c>
      <c r="AD4734" t="s">
        <v>43</v>
      </c>
      <c r="AE4734" t="s">
        <v>43</v>
      </c>
      <c r="AF4734" t="s">
        <v>43</v>
      </c>
      <c r="AG4734" t="s">
        <v>43</v>
      </c>
      <c r="AH4734" t="s">
        <v>43</v>
      </c>
      <c r="AI4734" t="s">
        <v>43</v>
      </c>
      <c r="AJ4734" t="s">
        <v>43</v>
      </c>
      <c r="AK4734" t="s">
        <v>43</v>
      </c>
      <c r="AL4734" t="s">
        <v>43</v>
      </c>
      <c r="AM4734" t="s">
        <v>43</v>
      </c>
      <c r="AN4734" t="str">
        <f>HYPERLINK("https://www.google.com/maps?q=10.83226395,79.84028625","Open Location")</f>
        <v>Open Location</v>
      </c>
    </row>
    <row r="4735" spans="1:40" x14ac:dyDescent="0.3">
      <c r="A4735" s="1">
        <v>46210.451273148145</v>
      </c>
      <c r="B4735" t="s">
        <v>40</v>
      </c>
      <c r="C4735" t="s">
        <v>41</v>
      </c>
      <c r="D4735" s="1">
        <v>46210.454062500001</v>
      </c>
      <c r="E4735" t="s">
        <v>42</v>
      </c>
      <c r="F4735" t="s">
        <v>43</v>
      </c>
      <c r="G4735" t="s">
        <v>43</v>
      </c>
      <c r="H4735" t="s">
        <v>43</v>
      </c>
      <c r="I4735" t="s">
        <v>43</v>
      </c>
      <c r="J4735" t="s">
        <v>43</v>
      </c>
      <c r="K4735" t="s">
        <v>43</v>
      </c>
      <c r="L4735" t="s">
        <v>43</v>
      </c>
      <c r="M4735" t="s">
        <v>43</v>
      </c>
      <c r="N4735" t="s">
        <v>45</v>
      </c>
      <c r="O4735" t="s">
        <v>43</v>
      </c>
      <c r="P4735" t="s">
        <v>43</v>
      </c>
      <c r="Q4735" t="s">
        <v>43</v>
      </c>
      <c r="R4735" t="s">
        <v>43</v>
      </c>
      <c r="S4735" t="s">
        <v>43</v>
      </c>
      <c r="T4735" t="s">
        <v>43</v>
      </c>
      <c r="U4735" t="s">
        <v>43</v>
      </c>
      <c r="V4735" t="s">
        <v>43</v>
      </c>
      <c r="W4735" t="s">
        <v>43</v>
      </c>
      <c r="X4735" t="s">
        <v>43</v>
      </c>
      <c r="Y4735" t="s">
        <v>43</v>
      </c>
      <c r="Z4735" t="s">
        <v>43</v>
      </c>
      <c r="AA4735" t="s">
        <v>43</v>
      </c>
      <c r="AB4735" t="s">
        <v>43</v>
      </c>
      <c r="AC4735" t="s">
        <v>43</v>
      </c>
      <c r="AD4735" t="s">
        <v>43</v>
      </c>
      <c r="AE4735" t="s">
        <v>43</v>
      </c>
      <c r="AF4735" t="s">
        <v>43</v>
      </c>
      <c r="AG4735" t="s">
        <v>43</v>
      </c>
      <c r="AH4735" t="s">
        <v>43</v>
      </c>
      <c r="AI4735" t="s">
        <v>43</v>
      </c>
      <c r="AJ4735" t="s">
        <v>43</v>
      </c>
      <c r="AK4735" t="s">
        <v>43</v>
      </c>
      <c r="AL4735" t="s">
        <v>43</v>
      </c>
      <c r="AM4735" t="s">
        <v>43</v>
      </c>
      <c r="AN4735" t="s">
        <v>43</v>
      </c>
    </row>
    <row r="4736" spans="1:40" x14ac:dyDescent="0.3">
      <c r="A4736" s="1">
        <v>46210.451157407406</v>
      </c>
      <c r="B4736" t="s">
        <v>40</v>
      </c>
      <c r="C4736" t="s">
        <v>41</v>
      </c>
      <c r="D4736" s="1">
        <v>46210.45416666667</v>
      </c>
      <c r="E4736" t="s">
        <v>42</v>
      </c>
      <c r="F4736" t="s">
        <v>43</v>
      </c>
      <c r="G4736" t="s">
        <v>43</v>
      </c>
      <c r="H4736" t="s">
        <v>43</v>
      </c>
      <c r="I4736" t="s">
        <v>2730</v>
      </c>
      <c r="J4736" t="s">
        <v>43</v>
      </c>
      <c r="K4736" t="s">
        <v>43</v>
      </c>
      <c r="L4736" t="s">
        <v>43</v>
      </c>
      <c r="M4736" t="s">
        <v>43</v>
      </c>
      <c r="N4736" t="s">
        <v>45</v>
      </c>
      <c r="O4736" t="s">
        <v>43</v>
      </c>
      <c r="P4736" t="s">
        <v>43</v>
      </c>
      <c r="Q4736" t="s">
        <v>43</v>
      </c>
      <c r="R4736" t="s">
        <v>43</v>
      </c>
      <c r="S4736" t="s">
        <v>43</v>
      </c>
      <c r="T4736" t="s">
        <v>43</v>
      </c>
      <c r="U4736" t="s">
        <v>43</v>
      </c>
      <c r="V4736" t="s">
        <v>43</v>
      </c>
      <c r="W4736" t="s">
        <v>43</v>
      </c>
      <c r="X4736" t="s">
        <v>43</v>
      </c>
      <c r="Y4736" t="s">
        <v>43</v>
      </c>
      <c r="Z4736" t="s">
        <v>43</v>
      </c>
      <c r="AA4736" t="s">
        <v>43</v>
      </c>
      <c r="AB4736" t="s">
        <v>43</v>
      </c>
      <c r="AC4736" t="s">
        <v>43</v>
      </c>
      <c r="AD4736" t="s">
        <v>43</v>
      </c>
      <c r="AE4736" t="s">
        <v>43</v>
      </c>
      <c r="AF4736" t="s">
        <v>43</v>
      </c>
      <c r="AG4736" t="s">
        <v>43</v>
      </c>
      <c r="AH4736" t="s">
        <v>43</v>
      </c>
      <c r="AI4736" t="s">
        <v>43</v>
      </c>
      <c r="AJ4736" t="s">
        <v>43</v>
      </c>
      <c r="AK4736" t="s">
        <v>43</v>
      </c>
      <c r="AL4736" t="s">
        <v>43</v>
      </c>
      <c r="AM4736" t="s">
        <v>43</v>
      </c>
      <c r="AN4736" t="str">
        <f>HYPERLINK("https://www.google.com/maps?q=10.83225441,79.84028625","Open Location")</f>
        <v>Open Location</v>
      </c>
    </row>
    <row r="4737" spans="1:40" x14ac:dyDescent="0.3">
      <c r="A4737" s="1">
        <v>46210.451041666667</v>
      </c>
      <c r="B4737" t="s">
        <v>40</v>
      </c>
      <c r="C4737" t="s">
        <v>41</v>
      </c>
      <c r="D4737" s="1">
        <v>46210.454004629632</v>
      </c>
      <c r="E4737" t="s">
        <v>42</v>
      </c>
      <c r="F4737" t="s">
        <v>43</v>
      </c>
      <c r="G4737" t="s">
        <v>43</v>
      </c>
      <c r="H4737" t="s">
        <v>43</v>
      </c>
      <c r="I4737" t="s">
        <v>2731</v>
      </c>
      <c r="J4737" t="s">
        <v>43</v>
      </c>
      <c r="K4737" t="s">
        <v>43</v>
      </c>
      <c r="L4737" t="s">
        <v>43</v>
      </c>
      <c r="M4737" t="s">
        <v>43</v>
      </c>
      <c r="N4737" t="s">
        <v>45</v>
      </c>
      <c r="O4737" t="s">
        <v>43</v>
      </c>
      <c r="P4737" t="s">
        <v>43</v>
      </c>
      <c r="Q4737" t="s">
        <v>43</v>
      </c>
      <c r="R4737" t="s">
        <v>43</v>
      </c>
      <c r="S4737" t="s">
        <v>43</v>
      </c>
      <c r="T4737" t="s">
        <v>43</v>
      </c>
      <c r="U4737" t="s">
        <v>43</v>
      </c>
      <c r="V4737" t="s">
        <v>43</v>
      </c>
      <c r="W4737" t="s">
        <v>43</v>
      </c>
      <c r="X4737" t="s">
        <v>43</v>
      </c>
      <c r="Y4737" t="s">
        <v>43</v>
      </c>
      <c r="Z4737" t="s">
        <v>43</v>
      </c>
      <c r="AA4737" t="s">
        <v>43</v>
      </c>
      <c r="AB4737" t="s">
        <v>43</v>
      </c>
      <c r="AC4737" t="s">
        <v>43</v>
      </c>
      <c r="AD4737" t="s">
        <v>43</v>
      </c>
      <c r="AE4737" t="s">
        <v>43</v>
      </c>
      <c r="AF4737" t="s">
        <v>43</v>
      </c>
      <c r="AG4737" t="s">
        <v>43</v>
      </c>
      <c r="AH4737" t="s">
        <v>43</v>
      </c>
      <c r="AI4737" t="s">
        <v>43</v>
      </c>
      <c r="AJ4737" t="s">
        <v>43</v>
      </c>
      <c r="AK4737" t="s">
        <v>43</v>
      </c>
      <c r="AL4737" t="s">
        <v>43</v>
      </c>
      <c r="AM4737" t="s">
        <v>43</v>
      </c>
      <c r="AN4737" t="str">
        <f>HYPERLINK("https://www.google.com/maps?q=10.83224583,79.840271","Open Location")</f>
        <v>Open Location</v>
      </c>
    </row>
    <row r="4738" spans="1:40" x14ac:dyDescent="0.3">
      <c r="A4738" s="1">
        <v>46210.450925925928</v>
      </c>
      <c r="B4738" t="s">
        <v>40</v>
      </c>
      <c r="C4738" t="s">
        <v>41</v>
      </c>
      <c r="D4738" s="1">
        <v>46210.453715277778</v>
      </c>
      <c r="E4738" t="s">
        <v>42</v>
      </c>
      <c r="F4738" t="s">
        <v>43</v>
      </c>
      <c r="G4738" t="s">
        <v>43</v>
      </c>
      <c r="H4738" t="s">
        <v>43</v>
      </c>
      <c r="I4738" t="s">
        <v>2732</v>
      </c>
      <c r="J4738" t="s">
        <v>43</v>
      </c>
      <c r="K4738" t="s">
        <v>43</v>
      </c>
      <c r="L4738" t="s">
        <v>43</v>
      </c>
      <c r="M4738" t="s">
        <v>43</v>
      </c>
      <c r="N4738" t="s">
        <v>45</v>
      </c>
      <c r="O4738" t="s">
        <v>43</v>
      </c>
      <c r="P4738" t="s">
        <v>43</v>
      </c>
      <c r="Q4738" t="s">
        <v>43</v>
      </c>
      <c r="R4738" t="s">
        <v>43</v>
      </c>
      <c r="S4738" t="s">
        <v>43</v>
      </c>
      <c r="T4738" t="s">
        <v>43</v>
      </c>
      <c r="U4738" t="s">
        <v>43</v>
      </c>
      <c r="V4738" t="s">
        <v>43</v>
      </c>
      <c r="W4738" t="s">
        <v>43</v>
      </c>
      <c r="X4738" t="s">
        <v>43</v>
      </c>
      <c r="Y4738" t="s">
        <v>43</v>
      </c>
      <c r="Z4738" t="s">
        <v>43</v>
      </c>
      <c r="AA4738" t="s">
        <v>43</v>
      </c>
      <c r="AB4738" t="s">
        <v>43</v>
      </c>
      <c r="AC4738" t="s">
        <v>43</v>
      </c>
      <c r="AD4738" t="s">
        <v>43</v>
      </c>
      <c r="AE4738" t="s">
        <v>43</v>
      </c>
      <c r="AF4738" t="s">
        <v>43</v>
      </c>
      <c r="AG4738" t="s">
        <v>43</v>
      </c>
      <c r="AH4738" t="s">
        <v>43</v>
      </c>
      <c r="AI4738" t="s">
        <v>43</v>
      </c>
      <c r="AJ4738" t="s">
        <v>43</v>
      </c>
      <c r="AK4738" t="s">
        <v>43</v>
      </c>
      <c r="AL4738" t="s">
        <v>43</v>
      </c>
      <c r="AM4738" t="s">
        <v>43</v>
      </c>
      <c r="AN4738" t="str">
        <f>HYPERLINK("https://www.google.com/maps?q=10.8322401,79.840271","Open Location")</f>
        <v>Open Location</v>
      </c>
    </row>
    <row r="4739" spans="1:40" x14ac:dyDescent="0.3">
      <c r="A4739" s="1">
        <v>46210.450810185182</v>
      </c>
      <c r="B4739" t="s">
        <v>40</v>
      </c>
      <c r="C4739" t="s">
        <v>41</v>
      </c>
      <c r="D4739" s="1">
        <v>46210.453668981485</v>
      </c>
      <c r="E4739" t="s">
        <v>42</v>
      </c>
      <c r="F4739" t="s">
        <v>43</v>
      </c>
      <c r="G4739" t="s">
        <v>43</v>
      </c>
      <c r="H4739" t="s">
        <v>43</v>
      </c>
      <c r="I4739" t="s">
        <v>2733</v>
      </c>
      <c r="J4739" t="s">
        <v>43</v>
      </c>
      <c r="K4739" t="s">
        <v>43</v>
      </c>
      <c r="L4739" t="s">
        <v>43</v>
      </c>
      <c r="M4739" t="s">
        <v>43</v>
      </c>
      <c r="N4739" t="s">
        <v>45</v>
      </c>
      <c r="O4739" t="s">
        <v>43</v>
      </c>
      <c r="P4739" t="s">
        <v>43</v>
      </c>
      <c r="Q4739" t="s">
        <v>43</v>
      </c>
      <c r="R4739" t="s">
        <v>43</v>
      </c>
      <c r="S4739" t="s">
        <v>43</v>
      </c>
      <c r="T4739" t="s">
        <v>43</v>
      </c>
      <c r="U4739" t="s">
        <v>43</v>
      </c>
      <c r="V4739" t="s">
        <v>43</v>
      </c>
      <c r="W4739" t="s">
        <v>43</v>
      </c>
      <c r="X4739" t="s">
        <v>43</v>
      </c>
      <c r="Y4739" t="s">
        <v>43</v>
      </c>
      <c r="Z4739" t="s">
        <v>43</v>
      </c>
      <c r="AA4739" t="s">
        <v>43</v>
      </c>
      <c r="AB4739" t="s">
        <v>43</v>
      </c>
      <c r="AC4739" t="s">
        <v>43</v>
      </c>
      <c r="AD4739" t="s">
        <v>43</v>
      </c>
      <c r="AE4739" t="s">
        <v>43</v>
      </c>
      <c r="AF4739" t="s">
        <v>43</v>
      </c>
      <c r="AG4739" t="s">
        <v>43</v>
      </c>
      <c r="AH4739" t="s">
        <v>43</v>
      </c>
      <c r="AI4739" t="s">
        <v>43</v>
      </c>
      <c r="AJ4739" t="s">
        <v>43</v>
      </c>
      <c r="AK4739" t="s">
        <v>43</v>
      </c>
      <c r="AL4739" t="s">
        <v>43</v>
      </c>
      <c r="AM4739" t="s">
        <v>43</v>
      </c>
      <c r="AN4739" t="str">
        <f>HYPERLINK("https://www.google.com/maps?q=10.83223915,79.840271","Open Location")</f>
        <v>Open Location</v>
      </c>
    </row>
    <row r="4740" spans="1:40" x14ac:dyDescent="0.3">
      <c r="A4740" s="1">
        <v>46210.450694444444</v>
      </c>
      <c r="B4740" t="s">
        <v>40</v>
      </c>
      <c r="C4740" t="s">
        <v>41</v>
      </c>
      <c r="D4740" s="1">
        <v>46210.453379629631</v>
      </c>
      <c r="E4740" t="s">
        <v>42</v>
      </c>
      <c r="F4740" t="s">
        <v>43</v>
      </c>
      <c r="G4740" t="s">
        <v>43</v>
      </c>
      <c r="H4740" t="s">
        <v>43</v>
      </c>
      <c r="I4740" t="s">
        <v>2734</v>
      </c>
      <c r="J4740" t="s">
        <v>43</v>
      </c>
      <c r="K4740" t="s">
        <v>43</v>
      </c>
      <c r="L4740" t="s">
        <v>43</v>
      </c>
      <c r="M4740" t="s">
        <v>43</v>
      </c>
      <c r="N4740" t="s">
        <v>45</v>
      </c>
      <c r="O4740" t="s">
        <v>43</v>
      </c>
      <c r="P4740" t="s">
        <v>43</v>
      </c>
      <c r="Q4740" t="s">
        <v>43</v>
      </c>
      <c r="R4740" t="s">
        <v>43</v>
      </c>
      <c r="S4740" t="s">
        <v>43</v>
      </c>
      <c r="T4740" t="s">
        <v>43</v>
      </c>
      <c r="U4740" t="s">
        <v>43</v>
      </c>
      <c r="V4740" t="s">
        <v>43</v>
      </c>
      <c r="W4740" t="s">
        <v>43</v>
      </c>
      <c r="X4740" t="s">
        <v>43</v>
      </c>
      <c r="Y4740" t="s">
        <v>43</v>
      </c>
      <c r="Z4740" t="s">
        <v>43</v>
      </c>
      <c r="AA4740" t="s">
        <v>43</v>
      </c>
      <c r="AB4740" t="s">
        <v>43</v>
      </c>
      <c r="AC4740" t="s">
        <v>43</v>
      </c>
      <c r="AD4740" t="s">
        <v>43</v>
      </c>
      <c r="AE4740" t="s">
        <v>43</v>
      </c>
      <c r="AF4740" t="s">
        <v>43</v>
      </c>
      <c r="AG4740" t="s">
        <v>43</v>
      </c>
      <c r="AH4740" t="s">
        <v>43</v>
      </c>
      <c r="AI4740" t="s">
        <v>43</v>
      </c>
      <c r="AJ4740" t="s">
        <v>43</v>
      </c>
      <c r="AK4740" t="s">
        <v>43</v>
      </c>
      <c r="AL4740" t="s">
        <v>43</v>
      </c>
      <c r="AM4740" t="s">
        <v>43</v>
      </c>
      <c r="AN4740" t="str">
        <f>HYPERLINK("https://www.google.com/maps?q=10.83224201,79.840271","Open Location")</f>
        <v>Open Location</v>
      </c>
    </row>
    <row r="4741" spans="1:40" x14ac:dyDescent="0.3">
      <c r="A4741" s="1">
        <v>46210.450578703705</v>
      </c>
      <c r="B4741" t="s">
        <v>40</v>
      </c>
      <c r="C4741" t="s">
        <v>41</v>
      </c>
      <c r="D4741" s="1">
        <v>46210.4533912037</v>
      </c>
      <c r="E4741" t="s">
        <v>42</v>
      </c>
      <c r="F4741" t="s">
        <v>43</v>
      </c>
      <c r="G4741" t="s">
        <v>43</v>
      </c>
      <c r="H4741" t="s">
        <v>43</v>
      </c>
      <c r="I4741" t="s">
        <v>43</v>
      </c>
      <c r="J4741" t="s">
        <v>43</v>
      </c>
      <c r="K4741" t="s">
        <v>43</v>
      </c>
      <c r="L4741" t="s">
        <v>43</v>
      </c>
      <c r="M4741" t="s">
        <v>43</v>
      </c>
      <c r="N4741" t="s">
        <v>45</v>
      </c>
      <c r="O4741" t="s">
        <v>43</v>
      </c>
      <c r="P4741" t="s">
        <v>43</v>
      </c>
      <c r="Q4741" t="s">
        <v>43</v>
      </c>
      <c r="R4741" t="s">
        <v>43</v>
      </c>
      <c r="S4741" t="s">
        <v>43</v>
      </c>
      <c r="T4741" t="s">
        <v>43</v>
      </c>
      <c r="U4741" t="s">
        <v>43</v>
      </c>
      <c r="V4741" t="s">
        <v>43</v>
      </c>
      <c r="W4741" t="s">
        <v>43</v>
      </c>
      <c r="X4741" t="s">
        <v>43</v>
      </c>
      <c r="Y4741" t="s">
        <v>43</v>
      </c>
      <c r="Z4741" t="s">
        <v>43</v>
      </c>
      <c r="AA4741" t="s">
        <v>43</v>
      </c>
      <c r="AB4741" t="s">
        <v>43</v>
      </c>
      <c r="AC4741" t="s">
        <v>43</v>
      </c>
      <c r="AD4741" t="s">
        <v>43</v>
      </c>
      <c r="AE4741" t="s">
        <v>43</v>
      </c>
      <c r="AF4741" t="s">
        <v>43</v>
      </c>
      <c r="AG4741" t="s">
        <v>43</v>
      </c>
      <c r="AH4741" t="s">
        <v>43</v>
      </c>
      <c r="AI4741" t="s">
        <v>43</v>
      </c>
      <c r="AJ4741" t="s">
        <v>43</v>
      </c>
      <c r="AK4741" t="s">
        <v>43</v>
      </c>
      <c r="AL4741" t="s">
        <v>43</v>
      </c>
      <c r="AM4741" t="s">
        <v>43</v>
      </c>
      <c r="AN4741" t="s">
        <v>43</v>
      </c>
    </row>
    <row r="4742" spans="1:40" x14ac:dyDescent="0.3">
      <c r="A4742" s="1">
        <v>46210.450462962966</v>
      </c>
      <c r="B4742" t="s">
        <v>40</v>
      </c>
      <c r="C4742" t="s">
        <v>41</v>
      </c>
      <c r="D4742" s="1">
        <v>46210.453182870369</v>
      </c>
      <c r="E4742" t="s">
        <v>42</v>
      </c>
      <c r="F4742" t="s">
        <v>43</v>
      </c>
      <c r="G4742" t="s">
        <v>43</v>
      </c>
      <c r="H4742" t="s">
        <v>43</v>
      </c>
      <c r="I4742" t="s">
        <v>2735</v>
      </c>
      <c r="J4742" t="s">
        <v>43</v>
      </c>
      <c r="K4742" t="s">
        <v>43</v>
      </c>
      <c r="L4742" t="s">
        <v>43</v>
      </c>
      <c r="M4742" t="s">
        <v>43</v>
      </c>
      <c r="N4742" t="s">
        <v>45</v>
      </c>
      <c r="O4742" t="s">
        <v>43</v>
      </c>
      <c r="P4742" t="s">
        <v>43</v>
      </c>
      <c r="Q4742" t="s">
        <v>43</v>
      </c>
      <c r="R4742" t="s">
        <v>43</v>
      </c>
      <c r="S4742" t="s">
        <v>43</v>
      </c>
      <c r="T4742" t="s">
        <v>43</v>
      </c>
      <c r="U4742" t="s">
        <v>43</v>
      </c>
      <c r="V4742" t="s">
        <v>43</v>
      </c>
      <c r="W4742" t="s">
        <v>43</v>
      </c>
      <c r="X4742" t="s">
        <v>43</v>
      </c>
      <c r="Y4742" t="s">
        <v>43</v>
      </c>
      <c r="Z4742" t="s">
        <v>43</v>
      </c>
      <c r="AA4742" t="s">
        <v>43</v>
      </c>
      <c r="AB4742" t="s">
        <v>43</v>
      </c>
      <c r="AC4742" t="s">
        <v>43</v>
      </c>
      <c r="AD4742" t="s">
        <v>43</v>
      </c>
      <c r="AE4742" t="s">
        <v>43</v>
      </c>
      <c r="AF4742" t="s">
        <v>43</v>
      </c>
      <c r="AG4742" t="s">
        <v>43</v>
      </c>
      <c r="AH4742" t="s">
        <v>43</v>
      </c>
      <c r="AI4742" t="s">
        <v>43</v>
      </c>
      <c r="AJ4742" t="s">
        <v>43</v>
      </c>
      <c r="AK4742" t="s">
        <v>43</v>
      </c>
      <c r="AL4742" t="s">
        <v>43</v>
      </c>
      <c r="AM4742" t="s">
        <v>43</v>
      </c>
      <c r="AN4742" t="str">
        <f>HYPERLINK("https://www.google.com/maps?q=10.83224201,79.84026337","Open Location")</f>
        <v>Open Location</v>
      </c>
    </row>
    <row r="4743" spans="1:40" x14ac:dyDescent="0.3">
      <c r="A4743" s="1">
        <v>46210.45034722222</v>
      </c>
      <c r="B4743" t="s">
        <v>40</v>
      </c>
      <c r="C4743" t="s">
        <v>41</v>
      </c>
      <c r="D4743" s="1">
        <v>46210.453182870369</v>
      </c>
      <c r="E4743" t="s">
        <v>42</v>
      </c>
      <c r="F4743" t="s">
        <v>43</v>
      </c>
      <c r="G4743" t="s">
        <v>43</v>
      </c>
      <c r="H4743" t="s">
        <v>43</v>
      </c>
      <c r="I4743" t="s">
        <v>2736</v>
      </c>
      <c r="J4743" t="s">
        <v>43</v>
      </c>
      <c r="K4743" t="s">
        <v>43</v>
      </c>
      <c r="L4743" t="s">
        <v>43</v>
      </c>
      <c r="M4743" t="s">
        <v>43</v>
      </c>
      <c r="N4743" t="s">
        <v>45</v>
      </c>
      <c r="O4743" t="s">
        <v>43</v>
      </c>
      <c r="P4743" t="s">
        <v>43</v>
      </c>
      <c r="Q4743" t="s">
        <v>43</v>
      </c>
      <c r="R4743" t="s">
        <v>43</v>
      </c>
      <c r="S4743" t="s">
        <v>43</v>
      </c>
      <c r="T4743" t="s">
        <v>43</v>
      </c>
      <c r="U4743" t="s">
        <v>43</v>
      </c>
      <c r="V4743" t="s">
        <v>43</v>
      </c>
      <c r="W4743" t="s">
        <v>43</v>
      </c>
      <c r="X4743" t="s">
        <v>43</v>
      </c>
      <c r="Y4743" t="s">
        <v>43</v>
      </c>
      <c r="Z4743" t="s">
        <v>43</v>
      </c>
      <c r="AA4743" t="s">
        <v>43</v>
      </c>
      <c r="AB4743" t="s">
        <v>43</v>
      </c>
      <c r="AC4743" t="s">
        <v>43</v>
      </c>
      <c r="AD4743" t="s">
        <v>43</v>
      </c>
      <c r="AE4743" t="s">
        <v>43</v>
      </c>
      <c r="AF4743" t="s">
        <v>43</v>
      </c>
      <c r="AG4743" t="s">
        <v>43</v>
      </c>
      <c r="AH4743" t="s">
        <v>43</v>
      </c>
      <c r="AI4743" t="s">
        <v>43</v>
      </c>
      <c r="AJ4743" t="s">
        <v>43</v>
      </c>
      <c r="AK4743" t="s">
        <v>43</v>
      </c>
      <c r="AL4743" t="s">
        <v>43</v>
      </c>
      <c r="AM4743" t="s">
        <v>43</v>
      </c>
      <c r="AN4743" t="str">
        <f>HYPERLINK("https://www.google.com/maps?q=10.83223915,79.84025574","Open Location")</f>
        <v>Open Location</v>
      </c>
    </row>
    <row r="4744" spans="1:40" x14ac:dyDescent="0.3">
      <c r="A4744" s="1">
        <v>46210.450231481482</v>
      </c>
      <c r="B4744" t="s">
        <v>40</v>
      </c>
      <c r="C4744" t="s">
        <v>41</v>
      </c>
      <c r="D4744" s="1">
        <v>46210.452928240738</v>
      </c>
      <c r="E4744" t="s">
        <v>42</v>
      </c>
      <c r="F4744" t="s">
        <v>43</v>
      </c>
      <c r="G4744" t="s">
        <v>43</v>
      </c>
      <c r="H4744" t="s">
        <v>43</v>
      </c>
      <c r="I4744" t="s">
        <v>2737</v>
      </c>
      <c r="J4744" t="s">
        <v>43</v>
      </c>
      <c r="K4744" t="s">
        <v>43</v>
      </c>
      <c r="L4744" t="s">
        <v>43</v>
      </c>
      <c r="M4744" t="s">
        <v>43</v>
      </c>
      <c r="N4744" t="s">
        <v>45</v>
      </c>
      <c r="O4744" t="s">
        <v>43</v>
      </c>
      <c r="P4744" t="s">
        <v>43</v>
      </c>
      <c r="Q4744" t="s">
        <v>43</v>
      </c>
      <c r="R4744" t="s">
        <v>43</v>
      </c>
      <c r="S4744" t="s">
        <v>43</v>
      </c>
      <c r="T4744" t="s">
        <v>43</v>
      </c>
      <c r="U4744" t="s">
        <v>43</v>
      </c>
      <c r="V4744" t="s">
        <v>43</v>
      </c>
      <c r="W4744" t="s">
        <v>43</v>
      </c>
      <c r="X4744" t="s">
        <v>43</v>
      </c>
      <c r="Y4744" t="s">
        <v>43</v>
      </c>
      <c r="Z4744" t="s">
        <v>43</v>
      </c>
      <c r="AA4744" t="s">
        <v>43</v>
      </c>
      <c r="AB4744" t="s">
        <v>43</v>
      </c>
      <c r="AC4744" t="s">
        <v>43</v>
      </c>
      <c r="AD4744" t="s">
        <v>43</v>
      </c>
      <c r="AE4744" t="s">
        <v>43</v>
      </c>
      <c r="AF4744" t="s">
        <v>43</v>
      </c>
      <c r="AG4744" t="s">
        <v>43</v>
      </c>
      <c r="AH4744" t="s">
        <v>43</v>
      </c>
      <c r="AI4744" t="s">
        <v>43</v>
      </c>
      <c r="AJ4744" t="s">
        <v>43</v>
      </c>
      <c r="AK4744" t="s">
        <v>43</v>
      </c>
      <c r="AL4744" t="s">
        <v>43</v>
      </c>
      <c r="AM4744" t="s">
        <v>43</v>
      </c>
      <c r="AN4744" t="str">
        <f>HYPERLINK("https://www.google.com/maps?q=10.83224106,79.84024811","Open Location")</f>
        <v>Open Location</v>
      </c>
    </row>
    <row r="4745" spans="1:40" x14ac:dyDescent="0.3">
      <c r="A4745" s="1">
        <v>46210.450115740743</v>
      </c>
      <c r="B4745" t="s">
        <v>40</v>
      </c>
      <c r="C4745" t="s">
        <v>41</v>
      </c>
      <c r="D4745" s="1">
        <v>46210.452962962961</v>
      </c>
      <c r="E4745" t="s">
        <v>42</v>
      </c>
      <c r="F4745" t="s">
        <v>43</v>
      </c>
      <c r="G4745" t="s">
        <v>43</v>
      </c>
      <c r="H4745" t="s">
        <v>43</v>
      </c>
      <c r="I4745" t="s">
        <v>2738</v>
      </c>
      <c r="J4745" t="s">
        <v>43</v>
      </c>
      <c r="K4745" t="s">
        <v>43</v>
      </c>
      <c r="L4745" t="s">
        <v>43</v>
      </c>
      <c r="M4745" t="s">
        <v>43</v>
      </c>
      <c r="N4745" t="s">
        <v>45</v>
      </c>
      <c r="O4745" t="s">
        <v>43</v>
      </c>
      <c r="P4745" t="s">
        <v>43</v>
      </c>
      <c r="Q4745" t="s">
        <v>43</v>
      </c>
      <c r="R4745" t="s">
        <v>43</v>
      </c>
      <c r="S4745" t="s">
        <v>43</v>
      </c>
      <c r="T4745" t="s">
        <v>43</v>
      </c>
      <c r="U4745" t="s">
        <v>43</v>
      </c>
      <c r="V4745" t="s">
        <v>43</v>
      </c>
      <c r="W4745" t="s">
        <v>43</v>
      </c>
      <c r="X4745" t="s">
        <v>43</v>
      </c>
      <c r="Y4745" t="s">
        <v>43</v>
      </c>
      <c r="Z4745" t="s">
        <v>43</v>
      </c>
      <c r="AA4745" t="s">
        <v>43</v>
      </c>
      <c r="AB4745" t="s">
        <v>43</v>
      </c>
      <c r="AC4745" t="s">
        <v>43</v>
      </c>
      <c r="AD4745" t="s">
        <v>43</v>
      </c>
      <c r="AE4745" t="s">
        <v>43</v>
      </c>
      <c r="AF4745" t="s">
        <v>43</v>
      </c>
      <c r="AG4745" t="s">
        <v>43</v>
      </c>
      <c r="AH4745" t="s">
        <v>43</v>
      </c>
      <c r="AI4745" t="s">
        <v>43</v>
      </c>
      <c r="AJ4745" t="s">
        <v>43</v>
      </c>
      <c r="AK4745" t="s">
        <v>43</v>
      </c>
      <c r="AL4745" t="s">
        <v>43</v>
      </c>
      <c r="AM4745" t="s">
        <v>43</v>
      </c>
      <c r="AN4745" t="str">
        <f>HYPERLINK("https://www.google.com/maps?q=10.83224201,79.84024048","Open Location")</f>
        <v>Open Location</v>
      </c>
    </row>
    <row r="4746" spans="1:40" x14ac:dyDescent="0.3">
      <c r="A4746" s="1">
        <v>46210.45</v>
      </c>
      <c r="B4746" t="s">
        <v>40</v>
      </c>
      <c r="C4746" t="s">
        <v>41</v>
      </c>
      <c r="D4746" s="1">
        <v>46210.452638888892</v>
      </c>
      <c r="E4746" t="s">
        <v>42</v>
      </c>
      <c r="F4746" t="s">
        <v>43</v>
      </c>
      <c r="G4746" t="s">
        <v>43</v>
      </c>
      <c r="H4746" t="s">
        <v>43</v>
      </c>
      <c r="I4746" t="s">
        <v>43</v>
      </c>
      <c r="J4746" t="s">
        <v>43</v>
      </c>
      <c r="K4746" t="s">
        <v>43</v>
      </c>
      <c r="L4746" t="s">
        <v>43</v>
      </c>
      <c r="M4746" t="s">
        <v>43</v>
      </c>
      <c r="N4746" t="s">
        <v>45</v>
      </c>
      <c r="O4746" t="s">
        <v>43</v>
      </c>
      <c r="P4746" t="s">
        <v>43</v>
      </c>
      <c r="Q4746" t="s">
        <v>43</v>
      </c>
      <c r="R4746" t="s">
        <v>43</v>
      </c>
      <c r="S4746" t="s">
        <v>43</v>
      </c>
      <c r="T4746" t="s">
        <v>43</v>
      </c>
      <c r="U4746" t="s">
        <v>43</v>
      </c>
      <c r="V4746" t="s">
        <v>43</v>
      </c>
      <c r="W4746" t="s">
        <v>43</v>
      </c>
      <c r="X4746" t="s">
        <v>43</v>
      </c>
      <c r="Y4746" t="s">
        <v>43</v>
      </c>
      <c r="Z4746" t="s">
        <v>43</v>
      </c>
      <c r="AA4746" t="s">
        <v>43</v>
      </c>
      <c r="AB4746" t="s">
        <v>43</v>
      </c>
      <c r="AC4746" t="s">
        <v>43</v>
      </c>
      <c r="AD4746" t="s">
        <v>43</v>
      </c>
      <c r="AE4746" t="s">
        <v>43</v>
      </c>
      <c r="AF4746" t="s">
        <v>43</v>
      </c>
      <c r="AG4746" t="s">
        <v>43</v>
      </c>
      <c r="AH4746" t="s">
        <v>43</v>
      </c>
      <c r="AI4746" t="s">
        <v>43</v>
      </c>
      <c r="AJ4746" t="s">
        <v>43</v>
      </c>
      <c r="AK4746" t="s">
        <v>43</v>
      </c>
      <c r="AL4746" t="s">
        <v>43</v>
      </c>
      <c r="AM4746" t="s">
        <v>43</v>
      </c>
      <c r="AN4746" t="s">
        <v>43</v>
      </c>
    </row>
    <row r="4747" spans="1:40" x14ac:dyDescent="0.3">
      <c r="A4747" s="1">
        <v>46210.449884259258</v>
      </c>
      <c r="B4747" t="s">
        <v>40</v>
      </c>
      <c r="C4747" t="s">
        <v>41</v>
      </c>
      <c r="D4747" s="1">
        <v>46210.452581018515</v>
      </c>
      <c r="E4747" t="s">
        <v>42</v>
      </c>
      <c r="F4747" t="s">
        <v>43</v>
      </c>
      <c r="G4747" t="s">
        <v>43</v>
      </c>
      <c r="H4747" t="s">
        <v>43</v>
      </c>
      <c r="I4747" t="s">
        <v>2739</v>
      </c>
      <c r="J4747" t="s">
        <v>43</v>
      </c>
      <c r="K4747" t="s">
        <v>43</v>
      </c>
      <c r="L4747" t="s">
        <v>43</v>
      </c>
      <c r="M4747" t="s">
        <v>43</v>
      </c>
      <c r="N4747" t="s">
        <v>45</v>
      </c>
      <c r="O4747" t="s">
        <v>43</v>
      </c>
      <c r="P4747" t="s">
        <v>43</v>
      </c>
      <c r="Q4747" t="s">
        <v>43</v>
      </c>
      <c r="R4747" t="s">
        <v>43</v>
      </c>
      <c r="S4747" t="s">
        <v>43</v>
      </c>
      <c r="T4747" t="s">
        <v>43</v>
      </c>
      <c r="U4747" t="s">
        <v>43</v>
      </c>
      <c r="V4747" t="s">
        <v>43</v>
      </c>
      <c r="W4747" t="s">
        <v>43</v>
      </c>
      <c r="X4747" t="s">
        <v>43</v>
      </c>
      <c r="Y4747" t="s">
        <v>43</v>
      </c>
      <c r="Z4747" t="s">
        <v>43</v>
      </c>
      <c r="AA4747" t="s">
        <v>43</v>
      </c>
      <c r="AB4747" t="s">
        <v>43</v>
      </c>
      <c r="AC4747" t="s">
        <v>43</v>
      </c>
      <c r="AD4747" t="s">
        <v>43</v>
      </c>
      <c r="AE4747" t="s">
        <v>43</v>
      </c>
      <c r="AF4747" t="s">
        <v>43</v>
      </c>
      <c r="AG4747" t="s">
        <v>43</v>
      </c>
      <c r="AH4747" t="s">
        <v>43</v>
      </c>
      <c r="AI4747" t="s">
        <v>43</v>
      </c>
      <c r="AJ4747" t="s">
        <v>43</v>
      </c>
      <c r="AK4747" t="s">
        <v>43</v>
      </c>
      <c r="AL4747" t="s">
        <v>43</v>
      </c>
      <c r="AM4747" t="s">
        <v>43</v>
      </c>
      <c r="AN4747" t="str">
        <f>HYPERLINK("https://www.google.com/maps?q=10.83224106,79.84023285","Open Location")</f>
        <v>Open Location</v>
      </c>
    </row>
    <row r="4748" spans="1:40" x14ac:dyDescent="0.3">
      <c r="A4748" s="1">
        <v>46210.44976851852</v>
      </c>
      <c r="B4748" t="s">
        <v>40</v>
      </c>
      <c r="C4748" t="s">
        <v>41</v>
      </c>
      <c r="D4748" s="1">
        <v>46210.452453703707</v>
      </c>
      <c r="E4748" t="s">
        <v>42</v>
      </c>
      <c r="F4748" t="s">
        <v>43</v>
      </c>
      <c r="G4748" t="s">
        <v>43</v>
      </c>
      <c r="H4748" t="s">
        <v>43</v>
      </c>
      <c r="I4748" t="s">
        <v>2740</v>
      </c>
      <c r="J4748" t="s">
        <v>43</v>
      </c>
      <c r="K4748" t="s">
        <v>43</v>
      </c>
      <c r="L4748" t="s">
        <v>43</v>
      </c>
      <c r="M4748" t="s">
        <v>43</v>
      </c>
      <c r="N4748" t="s">
        <v>45</v>
      </c>
      <c r="O4748" t="s">
        <v>43</v>
      </c>
      <c r="P4748" t="s">
        <v>43</v>
      </c>
      <c r="Q4748" t="s">
        <v>43</v>
      </c>
      <c r="R4748" t="s">
        <v>43</v>
      </c>
      <c r="S4748" t="s">
        <v>43</v>
      </c>
      <c r="T4748" t="s">
        <v>43</v>
      </c>
      <c r="U4748" t="s">
        <v>43</v>
      </c>
      <c r="V4748" t="s">
        <v>43</v>
      </c>
      <c r="W4748" t="s">
        <v>43</v>
      </c>
      <c r="X4748" t="s">
        <v>43</v>
      </c>
      <c r="Y4748" t="s">
        <v>43</v>
      </c>
      <c r="Z4748" t="s">
        <v>43</v>
      </c>
      <c r="AA4748" t="s">
        <v>43</v>
      </c>
      <c r="AB4748" t="s">
        <v>43</v>
      </c>
      <c r="AC4748" t="s">
        <v>43</v>
      </c>
      <c r="AD4748" t="s">
        <v>43</v>
      </c>
      <c r="AE4748" t="s">
        <v>43</v>
      </c>
      <c r="AF4748" t="s">
        <v>43</v>
      </c>
      <c r="AG4748" t="s">
        <v>43</v>
      </c>
      <c r="AH4748" t="s">
        <v>43</v>
      </c>
      <c r="AI4748" t="s">
        <v>43</v>
      </c>
      <c r="AJ4748" t="s">
        <v>43</v>
      </c>
      <c r="AK4748" t="s">
        <v>43</v>
      </c>
      <c r="AL4748" t="s">
        <v>43</v>
      </c>
      <c r="AM4748" t="s">
        <v>43</v>
      </c>
      <c r="AN4748" t="str">
        <f>HYPERLINK("https://www.google.com/maps?q=10.83224201,79.84023285","Open Location")</f>
        <v>Open Location</v>
      </c>
    </row>
    <row r="4749" spans="1:40" x14ac:dyDescent="0.3">
      <c r="A4749" s="1">
        <v>46210.449652777781</v>
      </c>
      <c r="B4749" t="s">
        <v>40</v>
      </c>
      <c r="C4749" t="s">
        <v>41</v>
      </c>
      <c r="D4749" s="1">
        <v>46210.452453703707</v>
      </c>
      <c r="E4749" t="s">
        <v>42</v>
      </c>
      <c r="F4749" t="s">
        <v>43</v>
      </c>
      <c r="G4749" t="s">
        <v>43</v>
      </c>
      <c r="H4749" t="s">
        <v>43</v>
      </c>
      <c r="I4749" t="s">
        <v>2741</v>
      </c>
      <c r="J4749" t="s">
        <v>43</v>
      </c>
      <c r="K4749" t="s">
        <v>43</v>
      </c>
      <c r="L4749" t="s">
        <v>43</v>
      </c>
      <c r="M4749" t="s">
        <v>43</v>
      </c>
      <c r="N4749" t="s">
        <v>45</v>
      </c>
      <c r="O4749" t="s">
        <v>43</v>
      </c>
      <c r="P4749" t="s">
        <v>43</v>
      </c>
      <c r="Q4749" t="s">
        <v>43</v>
      </c>
      <c r="R4749" t="s">
        <v>43</v>
      </c>
      <c r="S4749" t="s">
        <v>43</v>
      </c>
      <c r="T4749" t="s">
        <v>43</v>
      </c>
      <c r="U4749" t="s">
        <v>43</v>
      </c>
      <c r="V4749" t="s">
        <v>43</v>
      </c>
      <c r="W4749" t="s">
        <v>43</v>
      </c>
      <c r="X4749" t="s">
        <v>43</v>
      </c>
      <c r="Y4749" t="s">
        <v>43</v>
      </c>
      <c r="Z4749" t="s">
        <v>43</v>
      </c>
      <c r="AA4749" t="s">
        <v>43</v>
      </c>
      <c r="AB4749" t="s">
        <v>43</v>
      </c>
      <c r="AC4749" t="s">
        <v>43</v>
      </c>
      <c r="AD4749" t="s">
        <v>43</v>
      </c>
      <c r="AE4749" t="s">
        <v>43</v>
      </c>
      <c r="AF4749" t="s">
        <v>43</v>
      </c>
      <c r="AG4749" t="s">
        <v>43</v>
      </c>
      <c r="AH4749" t="s">
        <v>43</v>
      </c>
      <c r="AI4749" t="s">
        <v>43</v>
      </c>
      <c r="AJ4749" t="s">
        <v>43</v>
      </c>
      <c r="AK4749" t="s">
        <v>43</v>
      </c>
      <c r="AL4749" t="s">
        <v>43</v>
      </c>
      <c r="AM4749" t="s">
        <v>43</v>
      </c>
      <c r="AN4749" t="str">
        <f>HYPERLINK("https://www.google.com/maps?q=10.8322401,79.84021759","Open Location")</f>
        <v>Open Location</v>
      </c>
    </row>
    <row r="4750" spans="1:40" x14ac:dyDescent="0.3">
      <c r="A4750" s="1">
        <v>46210.449537037035</v>
      </c>
      <c r="B4750" t="s">
        <v>40</v>
      </c>
      <c r="C4750" t="s">
        <v>41</v>
      </c>
      <c r="D4750" s="1">
        <v>46210.452349537038</v>
      </c>
      <c r="E4750" t="s">
        <v>42</v>
      </c>
      <c r="F4750" t="s">
        <v>43</v>
      </c>
      <c r="G4750" t="s">
        <v>43</v>
      </c>
      <c r="H4750" t="s">
        <v>43</v>
      </c>
      <c r="I4750" t="s">
        <v>2742</v>
      </c>
      <c r="J4750" t="s">
        <v>43</v>
      </c>
      <c r="K4750" t="s">
        <v>43</v>
      </c>
      <c r="L4750" t="s">
        <v>43</v>
      </c>
      <c r="M4750" t="s">
        <v>43</v>
      </c>
      <c r="N4750" t="s">
        <v>45</v>
      </c>
      <c r="O4750" t="s">
        <v>43</v>
      </c>
      <c r="P4750" t="s">
        <v>43</v>
      </c>
      <c r="Q4750" t="s">
        <v>43</v>
      </c>
      <c r="R4750" t="s">
        <v>43</v>
      </c>
      <c r="S4750" t="s">
        <v>43</v>
      </c>
      <c r="T4750" t="s">
        <v>43</v>
      </c>
      <c r="U4750" t="s">
        <v>43</v>
      </c>
      <c r="V4750" t="s">
        <v>43</v>
      </c>
      <c r="W4750" t="s">
        <v>43</v>
      </c>
      <c r="X4750" t="s">
        <v>43</v>
      </c>
      <c r="Y4750" t="s">
        <v>43</v>
      </c>
      <c r="Z4750" t="s">
        <v>43</v>
      </c>
      <c r="AA4750" t="s">
        <v>43</v>
      </c>
      <c r="AB4750" t="s">
        <v>43</v>
      </c>
      <c r="AC4750" t="s">
        <v>43</v>
      </c>
      <c r="AD4750" t="s">
        <v>43</v>
      </c>
      <c r="AE4750" t="s">
        <v>43</v>
      </c>
      <c r="AF4750" t="s">
        <v>43</v>
      </c>
      <c r="AG4750" t="s">
        <v>43</v>
      </c>
      <c r="AH4750" t="s">
        <v>43</v>
      </c>
      <c r="AI4750" t="s">
        <v>43</v>
      </c>
      <c r="AJ4750" t="s">
        <v>43</v>
      </c>
      <c r="AK4750" t="s">
        <v>43</v>
      </c>
      <c r="AL4750" t="s">
        <v>43</v>
      </c>
      <c r="AM4750" t="s">
        <v>43</v>
      </c>
      <c r="AN4750" t="str">
        <f>HYPERLINK("https://www.google.com/maps?q=10.83223724,79.84020996","Open Location")</f>
        <v>Open Location</v>
      </c>
    </row>
    <row r="4751" spans="1:40" x14ac:dyDescent="0.3">
      <c r="A4751" s="1">
        <v>46210.449421296296</v>
      </c>
      <c r="B4751" t="s">
        <v>40</v>
      </c>
      <c r="C4751" t="s">
        <v>41</v>
      </c>
      <c r="D4751" s="1">
        <v>46210.452210648145</v>
      </c>
      <c r="E4751" t="s">
        <v>42</v>
      </c>
      <c r="F4751" t="s">
        <v>43</v>
      </c>
      <c r="G4751" t="s">
        <v>43</v>
      </c>
      <c r="H4751" t="s">
        <v>43</v>
      </c>
      <c r="I4751" t="s">
        <v>2743</v>
      </c>
      <c r="J4751" t="s">
        <v>43</v>
      </c>
      <c r="K4751" t="s">
        <v>43</v>
      </c>
      <c r="L4751" t="s">
        <v>43</v>
      </c>
      <c r="M4751" t="s">
        <v>43</v>
      </c>
      <c r="N4751" t="s">
        <v>45</v>
      </c>
      <c r="O4751" t="s">
        <v>43</v>
      </c>
      <c r="P4751" t="s">
        <v>43</v>
      </c>
      <c r="Q4751" t="s">
        <v>43</v>
      </c>
      <c r="R4751" t="s">
        <v>43</v>
      </c>
      <c r="S4751" t="s">
        <v>43</v>
      </c>
      <c r="T4751" t="s">
        <v>43</v>
      </c>
      <c r="U4751" t="s">
        <v>43</v>
      </c>
      <c r="V4751" t="s">
        <v>43</v>
      </c>
      <c r="W4751" t="s">
        <v>43</v>
      </c>
      <c r="X4751" t="s">
        <v>43</v>
      </c>
      <c r="Y4751" t="s">
        <v>43</v>
      </c>
      <c r="Z4751" t="s">
        <v>43</v>
      </c>
      <c r="AA4751" t="s">
        <v>43</v>
      </c>
      <c r="AB4751" t="s">
        <v>43</v>
      </c>
      <c r="AC4751" t="s">
        <v>43</v>
      </c>
      <c r="AD4751" t="s">
        <v>43</v>
      </c>
      <c r="AE4751" t="s">
        <v>43</v>
      </c>
      <c r="AF4751" t="s">
        <v>43</v>
      </c>
      <c r="AG4751" t="s">
        <v>43</v>
      </c>
      <c r="AH4751" t="s">
        <v>43</v>
      </c>
      <c r="AI4751" t="s">
        <v>43</v>
      </c>
      <c r="AJ4751" t="s">
        <v>43</v>
      </c>
      <c r="AK4751" t="s">
        <v>43</v>
      </c>
      <c r="AL4751" t="s">
        <v>43</v>
      </c>
      <c r="AM4751" t="s">
        <v>43</v>
      </c>
      <c r="AN4751" t="str">
        <f>HYPERLINK("https://www.google.com/maps?q=10.83223248,79.8401947","Open Location")</f>
        <v>Open Location</v>
      </c>
    </row>
    <row r="4752" spans="1:40" x14ac:dyDescent="0.3">
      <c r="A4752" s="1">
        <v>46210.449305555558</v>
      </c>
      <c r="B4752" t="s">
        <v>40</v>
      </c>
      <c r="C4752" t="s">
        <v>41</v>
      </c>
      <c r="D4752" s="1">
        <v>46210.452118055553</v>
      </c>
      <c r="E4752" t="s">
        <v>42</v>
      </c>
      <c r="F4752" t="s">
        <v>43</v>
      </c>
      <c r="G4752" t="s">
        <v>43</v>
      </c>
      <c r="H4752" t="s">
        <v>43</v>
      </c>
      <c r="I4752" t="s">
        <v>43</v>
      </c>
      <c r="J4752" t="s">
        <v>43</v>
      </c>
      <c r="K4752" t="s">
        <v>43</v>
      </c>
      <c r="L4752" t="s">
        <v>43</v>
      </c>
      <c r="M4752" t="s">
        <v>43</v>
      </c>
      <c r="N4752" t="s">
        <v>45</v>
      </c>
      <c r="O4752" t="s">
        <v>43</v>
      </c>
      <c r="P4752" t="s">
        <v>43</v>
      </c>
      <c r="Q4752" t="s">
        <v>43</v>
      </c>
      <c r="R4752" t="s">
        <v>43</v>
      </c>
      <c r="S4752" t="s">
        <v>43</v>
      </c>
      <c r="T4752" t="s">
        <v>43</v>
      </c>
      <c r="U4752" t="s">
        <v>43</v>
      </c>
      <c r="V4752" t="s">
        <v>43</v>
      </c>
      <c r="W4752" t="s">
        <v>43</v>
      </c>
      <c r="X4752" t="s">
        <v>43</v>
      </c>
      <c r="Y4752" t="s">
        <v>43</v>
      </c>
      <c r="Z4752" t="s">
        <v>43</v>
      </c>
      <c r="AA4752" t="s">
        <v>43</v>
      </c>
      <c r="AB4752" t="s">
        <v>43</v>
      </c>
      <c r="AC4752" t="s">
        <v>43</v>
      </c>
      <c r="AD4752" t="s">
        <v>43</v>
      </c>
      <c r="AE4752" t="s">
        <v>43</v>
      </c>
      <c r="AF4752" t="s">
        <v>43</v>
      </c>
      <c r="AG4752" t="s">
        <v>43</v>
      </c>
      <c r="AH4752" t="s">
        <v>43</v>
      </c>
      <c r="AI4752" t="s">
        <v>43</v>
      </c>
      <c r="AJ4752" t="s">
        <v>43</v>
      </c>
      <c r="AK4752" t="s">
        <v>43</v>
      </c>
      <c r="AL4752" t="s">
        <v>43</v>
      </c>
      <c r="AM4752" t="s">
        <v>43</v>
      </c>
      <c r="AN4752" t="s">
        <v>43</v>
      </c>
    </row>
    <row r="4753" spans="1:40" x14ac:dyDescent="0.3">
      <c r="A4753" s="1">
        <v>46210.449189814812</v>
      </c>
      <c r="B4753" t="s">
        <v>40</v>
      </c>
      <c r="C4753" t="s">
        <v>41</v>
      </c>
      <c r="D4753" s="1">
        <v>46210.452175925922</v>
      </c>
      <c r="E4753" t="s">
        <v>42</v>
      </c>
      <c r="F4753" t="s">
        <v>43</v>
      </c>
      <c r="G4753" t="s">
        <v>43</v>
      </c>
      <c r="H4753" t="s">
        <v>43</v>
      </c>
      <c r="I4753" t="s">
        <v>2744</v>
      </c>
      <c r="J4753" t="s">
        <v>43</v>
      </c>
      <c r="K4753" t="s">
        <v>43</v>
      </c>
      <c r="L4753" t="s">
        <v>43</v>
      </c>
      <c r="M4753" t="s">
        <v>43</v>
      </c>
      <c r="N4753" t="s">
        <v>45</v>
      </c>
      <c r="O4753" t="s">
        <v>43</v>
      </c>
      <c r="P4753" t="s">
        <v>43</v>
      </c>
      <c r="Q4753" t="s">
        <v>43</v>
      </c>
      <c r="R4753" t="s">
        <v>43</v>
      </c>
      <c r="S4753" t="s">
        <v>43</v>
      </c>
      <c r="T4753" t="s">
        <v>43</v>
      </c>
      <c r="U4753" t="s">
        <v>43</v>
      </c>
      <c r="V4753" t="s">
        <v>43</v>
      </c>
      <c r="W4753" t="s">
        <v>43</v>
      </c>
      <c r="X4753" t="s">
        <v>43</v>
      </c>
      <c r="Y4753" t="s">
        <v>43</v>
      </c>
      <c r="Z4753" t="s">
        <v>43</v>
      </c>
      <c r="AA4753" t="s">
        <v>43</v>
      </c>
      <c r="AB4753" t="s">
        <v>43</v>
      </c>
      <c r="AC4753" t="s">
        <v>43</v>
      </c>
      <c r="AD4753" t="s">
        <v>43</v>
      </c>
      <c r="AE4753" t="s">
        <v>43</v>
      </c>
      <c r="AF4753" t="s">
        <v>43</v>
      </c>
      <c r="AG4753" t="s">
        <v>43</v>
      </c>
      <c r="AH4753" t="s">
        <v>43</v>
      </c>
      <c r="AI4753" t="s">
        <v>43</v>
      </c>
      <c r="AJ4753" t="s">
        <v>43</v>
      </c>
      <c r="AK4753" t="s">
        <v>43</v>
      </c>
      <c r="AL4753" t="s">
        <v>43</v>
      </c>
      <c r="AM4753" t="s">
        <v>43</v>
      </c>
      <c r="AN4753" t="str">
        <f>HYPERLINK("https://www.google.com/maps?q=10.83222675,79.84018707","Open Location")</f>
        <v>Open Location</v>
      </c>
    </row>
    <row r="4754" spans="1:40" x14ac:dyDescent="0.3">
      <c r="A4754" s="1">
        <v>46210.449074074073</v>
      </c>
      <c r="B4754" t="s">
        <v>40</v>
      </c>
      <c r="C4754" t="s">
        <v>41</v>
      </c>
      <c r="D4754" s="1">
        <v>46210.451770833337</v>
      </c>
      <c r="E4754" t="s">
        <v>42</v>
      </c>
      <c r="F4754" t="s">
        <v>43</v>
      </c>
      <c r="G4754" t="s">
        <v>43</v>
      </c>
      <c r="H4754" t="s">
        <v>43</v>
      </c>
      <c r="I4754" t="s">
        <v>2745</v>
      </c>
      <c r="J4754" t="s">
        <v>43</v>
      </c>
      <c r="K4754" t="s">
        <v>43</v>
      </c>
      <c r="L4754" t="s">
        <v>43</v>
      </c>
      <c r="M4754" t="s">
        <v>43</v>
      </c>
      <c r="N4754" t="s">
        <v>45</v>
      </c>
      <c r="O4754" t="s">
        <v>43</v>
      </c>
      <c r="P4754" t="s">
        <v>43</v>
      </c>
      <c r="Q4754" t="s">
        <v>43</v>
      </c>
      <c r="R4754" t="s">
        <v>43</v>
      </c>
      <c r="S4754" t="s">
        <v>43</v>
      </c>
      <c r="T4754" t="s">
        <v>43</v>
      </c>
      <c r="U4754" t="s">
        <v>43</v>
      </c>
      <c r="V4754" t="s">
        <v>43</v>
      </c>
      <c r="W4754" t="s">
        <v>43</v>
      </c>
      <c r="X4754" t="s">
        <v>43</v>
      </c>
      <c r="Y4754" t="s">
        <v>43</v>
      </c>
      <c r="Z4754" t="s">
        <v>43</v>
      </c>
      <c r="AA4754" t="s">
        <v>43</v>
      </c>
      <c r="AB4754" t="s">
        <v>43</v>
      </c>
      <c r="AC4754" t="s">
        <v>43</v>
      </c>
      <c r="AD4754" t="s">
        <v>43</v>
      </c>
      <c r="AE4754" t="s">
        <v>43</v>
      </c>
      <c r="AF4754" t="s">
        <v>43</v>
      </c>
      <c r="AG4754" t="s">
        <v>43</v>
      </c>
      <c r="AH4754" t="s">
        <v>43</v>
      </c>
      <c r="AI4754" t="s">
        <v>43</v>
      </c>
      <c r="AJ4754" t="s">
        <v>43</v>
      </c>
      <c r="AK4754" t="s">
        <v>43</v>
      </c>
      <c r="AL4754" t="s">
        <v>43</v>
      </c>
      <c r="AM4754" t="s">
        <v>43</v>
      </c>
      <c r="AN4754" t="str">
        <f>HYPERLINK("https://www.google.com/maps?q=10.83222771,79.84018707","Open Location")</f>
        <v>Open Location</v>
      </c>
    </row>
    <row r="4755" spans="1:40" x14ac:dyDescent="0.3">
      <c r="A4755" s="1">
        <v>46210.448958333334</v>
      </c>
      <c r="B4755" t="s">
        <v>40</v>
      </c>
      <c r="C4755" t="s">
        <v>41</v>
      </c>
      <c r="D4755" s="1">
        <v>46210.451747685183</v>
      </c>
      <c r="E4755" t="s">
        <v>42</v>
      </c>
      <c r="F4755" t="s">
        <v>43</v>
      </c>
      <c r="G4755" t="s">
        <v>43</v>
      </c>
      <c r="H4755" t="s">
        <v>43</v>
      </c>
      <c r="I4755" t="s">
        <v>2746</v>
      </c>
      <c r="J4755" t="s">
        <v>43</v>
      </c>
      <c r="K4755" t="s">
        <v>43</v>
      </c>
      <c r="L4755" t="s">
        <v>43</v>
      </c>
      <c r="M4755" t="s">
        <v>43</v>
      </c>
      <c r="N4755" t="s">
        <v>45</v>
      </c>
      <c r="O4755" t="s">
        <v>43</v>
      </c>
      <c r="P4755" t="s">
        <v>43</v>
      </c>
      <c r="Q4755" t="s">
        <v>43</v>
      </c>
      <c r="R4755" t="s">
        <v>43</v>
      </c>
      <c r="S4755" t="s">
        <v>43</v>
      </c>
      <c r="T4755" t="s">
        <v>43</v>
      </c>
      <c r="U4755" t="s">
        <v>43</v>
      </c>
      <c r="V4755" t="s">
        <v>43</v>
      </c>
      <c r="W4755" t="s">
        <v>43</v>
      </c>
      <c r="X4755" t="s">
        <v>43</v>
      </c>
      <c r="Y4755" t="s">
        <v>43</v>
      </c>
      <c r="Z4755" t="s">
        <v>43</v>
      </c>
      <c r="AA4755" t="s">
        <v>43</v>
      </c>
      <c r="AB4755" t="s">
        <v>43</v>
      </c>
      <c r="AC4755" t="s">
        <v>43</v>
      </c>
      <c r="AD4755" t="s">
        <v>43</v>
      </c>
      <c r="AE4755" t="s">
        <v>43</v>
      </c>
      <c r="AF4755" t="s">
        <v>43</v>
      </c>
      <c r="AG4755" t="s">
        <v>43</v>
      </c>
      <c r="AH4755" t="s">
        <v>43</v>
      </c>
      <c r="AI4755" t="s">
        <v>43</v>
      </c>
      <c r="AJ4755" t="s">
        <v>43</v>
      </c>
      <c r="AK4755" t="s">
        <v>43</v>
      </c>
      <c r="AL4755" t="s">
        <v>43</v>
      </c>
      <c r="AM4755" t="s">
        <v>43</v>
      </c>
      <c r="AN4755" t="str">
        <f>HYPERLINK("https://www.google.com/maps?q=10.83223343,79.8401947","Open Location")</f>
        <v>Open Location</v>
      </c>
    </row>
    <row r="4756" spans="1:40" x14ac:dyDescent="0.3">
      <c r="A4756" s="1">
        <v>46210.448842592596</v>
      </c>
      <c r="B4756" t="s">
        <v>40</v>
      </c>
      <c r="C4756" t="s">
        <v>41</v>
      </c>
      <c r="D4756" s="1">
        <v>46210.451921296299</v>
      </c>
      <c r="E4756" t="s">
        <v>42</v>
      </c>
      <c r="F4756" t="s">
        <v>43</v>
      </c>
      <c r="G4756" t="s">
        <v>43</v>
      </c>
      <c r="H4756" t="s">
        <v>43</v>
      </c>
      <c r="I4756" t="s">
        <v>2741</v>
      </c>
      <c r="J4756" t="s">
        <v>43</v>
      </c>
      <c r="K4756" t="s">
        <v>43</v>
      </c>
      <c r="L4756" t="s">
        <v>43</v>
      </c>
      <c r="M4756" t="s">
        <v>43</v>
      </c>
      <c r="N4756" t="s">
        <v>45</v>
      </c>
      <c r="O4756" t="s">
        <v>43</v>
      </c>
      <c r="P4756" t="s">
        <v>43</v>
      </c>
      <c r="Q4756" t="s">
        <v>43</v>
      </c>
      <c r="R4756" t="s">
        <v>43</v>
      </c>
      <c r="S4756" t="s">
        <v>43</v>
      </c>
      <c r="T4756" t="s">
        <v>43</v>
      </c>
      <c r="U4756" t="s">
        <v>43</v>
      </c>
      <c r="V4756" t="s">
        <v>43</v>
      </c>
      <c r="W4756" t="s">
        <v>43</v>
      </c>
      <c r="X4756" t="s">
        <v>43</v>
      </c>
      <c r="Y4756" t="s">
        <v>43</v>
      </c>
      <c r="Z4756" t="s">
        <v>43</v>
      </c>
      <c r="AA4756" t="s">
        <v>43</v>
      </c>
      <c r="AB4756" t="s">
        <v>43</v>
      </c>
      <c r="AC4756" t="s">
        <v>43</v>
      </c>
      <c r="AD4756" t="s">
        <v>43</v>
      </c>
      <c r="AE4756" t="s">
        <v>43</v>
      </c>
      <c r="AF4756" t="s">
        <v>43</v>
      </c>
      <c r="AG4756" t="s">
        <v>43</v>
      </c>
      <c r="AH4756" t="s">
        <v>43</v>
      </c>
      <c r="AI4756" t="s">
        <v>43</v>
      </c>
      <c r="AJ4756" t="s">
        <v>43</v>
      </c>
      <c r="AK4756" t="s">
        <v>43</v>
      </c>
      <c r="AL4756" t="s">
        <v>43</v>
      </c>
      <c r="AM4756" t="s">
        <v>43</v>
      </c>
      <c r="AN4756" t="str">
        <f>HYPERLINK("https://www.google.com/maps?q=10.8322401,79.84021759","Open Location")</f>
        <v>Open Location</v>
      </c>
    </row>
    <row r="4757" spans="1:40" x14ac:dyDescent="0.3">
      <c r="A4757" s="1">
        <v>46210.44872685185</v>
      </c>
      <c r="B4757" t="s">
        <v>40</v>
      </c>
      <c r="C4757" t="s">
        <v>41</v>
      </c>
      <c r="D4757" s="1">
        <v>46210.451585648145</v>
      </c>
      <c r="E4757" t="s">
        <v>42</v>
      </c>
      <c r="F4757" t="s">
        <v>43</v>
      </c>
      <c r="G4757" t="s">
        <v>43</v>
      </c>
      <c r="H4757" t="s">
        <v>43</v>
      </c>
      <c r="I4757" t="s">
        <v>2676</v>
      </c>
      <c r="J4757" t="s">
        <v>43</v>
      </c>
      <c r="K4757" t="s">
        <v>43</v>
      </c>
      <c r="L4757" t="s">
        <v>43</v>
      </c>
      <c r="M4757" t="s">
        <v>43</v>
      </c>
      <c r="N4757" t="s">
        <v>45</v>
      </c>
      <c r="O4757" t="s">
        <v>43</v>
      </c>
      <c r="P4757" t="s">
        <v>43</v>
      </c>
      <c r="Q4757" t="s">
        <v>43</v>
      </c>
      <c r="R4757" t="s">
        <v>43</v>
      </c>
      <c r="S4757" t="s">
        <v>43</v>
      </c>
      <c r="T4757" t="s">
        <v>43</v>
      </c>
      <c r="U4757" t="s">
        <v>43</v>
      </c>
      <c r="V4757" t="s">
        <v>43</v>
      </c>
      <c r="W4757" t="s">
        <v>43</v>
      </c>
      <c r="X4757" t="s">
        <v>43</v>
      </c>
      <c r="Y4757" t="s">
        <v>43</v>
      </c>
      <c r="Z4757" t="s">
        <v>43</v>
      </c>
      <c r="AA4757" t="s">
        <v>43</v>
      </c>
      <c r="AB4757" t="s">
        <v>43</v>
      </c>
      <c r="AC4757" t="s">
        <v>43</v>
      </c>
      <c r="AD4757" t="s">
        <v>43</v>
      </c>
      <c r="AE4757" t="s">
        <v>43</v>
      </c>
      <c r="AF4757" t="s">
        <v>43</v>
      </c>
      <c r="AG4757" t="s">
        <v>43</v>
      </c>
      <c r="AH4757" t="s">
        <v>43</v>
      </c>
      <c r="AI4757" t="s">
        <v>43</v>
      </c>
      <c r="AJ4757" t="s">
        <v>43</v>
      </c>
      <c r="AK4757" t="s">
        <v>43</v>
      </c>
      <c r="AL4757" t="s">
        <v>43</v>
      </c>
      <c r="AM4757" t="s">
        <v>43</v>
      </c>
      <c r="AN4757" t="str">
        <f>HYPERLINK("https://www.google.com/maps?q=10.8322506,79.84022522","Open Location")</f>
        <v>Open Location</v>
      </c>
    </row>
    <row r="4758" spans="1:40" x14ac:dyDescent="0.3">
      <c r="A4758" s="1">
        <v>46210.448611111111</v>
      </c>
      <c r="B4758" t="s">
        <v>40</v>
      </c>
      <c r="C4758" t="s">
        <v>41</v>
      </c>
      <c r="D4758" s="1">
        <v>46210.451458333337</v>
      </c>
      <c r="E4758" t="s">
        <v>42</v>
      </c>
      <c r="F4758" t="s">
        <v>43</v>
      </c>
      <c r="G4758" t="s">
        <v>43</v>
      </c>
      <c r="H4758" t="s">
        <v>43</v>
      </c>
      <c r="I4758" t="s">
        <v>43</v>
      </c>
      <c r="J4758" t="s">
        <v>43</v>
      </c>
      <c r="K4758" t="s">
        <v>43</v>
      </c>
      <c r="L4758" t="s">
        <v>43</v>
      </c>
      <c r="M4758" t="s">
        <v>43</v>
      </c>
      <c r="N4758" t="s">
        <v>45</v>
      </c>
      <c r="O4758" t="s">
        <v>43</v>
      </c>
      <c r="P4758" t="s">
        <v>43</v>
      </c>
      <c r="Q4758" t="s">
        <v>43</v>
      </c>
      <c r="R4758" t="s">
        <v>43</v>
      </c>
      <c r="S4758" t="s">
        <v>43</v>
      </c>
      <c r="T4758" t="s">
        <v>43</v>
      </c>
      <c r="U4758" t="s">
        <v>43</v>
      </c>
      <c r="V4758" t="s">
        <v>43</v>
      </c>
      <c r="W4758" t="s">
        <v>43</v>
      </c>
      <c r="X4758" t="s">
        <v>43</v>
      </c>
      <c r="Y4758" t="s">
        <v>43</v>
      </c>
      <c r="Z4758" t="s">
        <v>43</v>
      </c>
      <c r="AA4758" t="s">
        <v>43</v>
      </c>
      <c r="AB4758" t="s">
        <v>43</v>
      </c>
      <c r="AC4758" t="s">
        <v>43</v>
      </c>
      <c r="AD4758" t="s">
        <v>43</v>
      </c>
      <c r="AE4758" t="s">
        <v>43</v>
      </c>
      <c r="AF4758" t="s">
        <v>43</v>
      </c>
      <c r="AG4758" t="s">
        <v>43</v>
      </c>
      <c r="AH4758" t="s">
        <v>43</v>
      </c>
      <c r="AI4758" t="s">
        <v>43</v>
      </c>
      <c r="AJ4758" t="s">
        <v>43</v>
      </c>
      <c r="AK4758" t="s">
        <v>43</v>
      </c>
      <c r="AL4758" t="s">
        <v>43</v>
      </c>
      <c r="AM4758" t="s">
        <v>43</v>
      </c>
      <c r="AN4758" t="s">
        <v>43</v>
      </c>
    </row>
    <row r="4759" spans="1:40" x14ac:dyDescent="0.3">
      <c r="A4759" s="1">
        <v>46210.448495370372</v>
      </c>
      <c r="B4759" t="s">
        <v>40</v>
      </c>
      <c r="C4759" t="s">
        <v>41</v>
      </c>
      <c r="D4759" s="1">
        <v>46210.451458333337</v>
      </c>
      <c r="E4759" t="s">
        <v>42</v>
      </c>
      <c r="F4759" t="s">
        <v>43</v>
      </c>
      <c r="G4759" t="s">
        <v>43</v>
      </c>
      <c r="H4759" t="s">
        <v>43</v>
      </c>
      <c r="I4759" t="s">
        <v>2747</v>
      </c>
      <c r="J4759" t="s">
        <v>43</v>
      </c>
      <c r="K4759" t="s">
        <v>43</v>
      </c>
      <c r="L4759" t="s">
        <v>43</v>
      </c>
      <c r="M4759" t="s">
        <v>43</v>
      </c>
      <c r="N4759" t="s">
        <v>45</v>
      </c>
      <c r="O4759" t="s">
        <v>43</v>
      </c>
      <c r="P4759" t="s">
        <v>43</v>
      </c>
      <c r="Q4759" t="s">
        <v>43</v>
      </c>
      <c r="R4759" t="s">
        <v>43</v>
      </c>
      <c r="S4759" t="s">
        <v>43</v>
      </c>
      <c r="T4759" t="s">
        <v>43</v>
      </c>
      <c r="U4759" t="s">
        <v>43</v>
      </c>
      <c r="V4759" t="s">
        <v>43</v>
      </c>
      <c r="W4759" t="s">
        <v>43</v>
      </c>
      <c r="X4759" t="s">
        <v>43</v>
      </c>
      <c r="Y4759" t="s">
        <v>43</v>
      </c>
      <c r="Z4759" t="s">
        <v>43</v>
      </c>
      <c r="AA4759" t="s">
        <v>43</v>
      </c>
      <c r="AB4759" t="s">
        <v>43</v>
      </c>
      <c r="AC4759" t="s">
        <v>43</v>
      </c>
      <c r="AD4759" t="s">
        <v>43</v>
      </c>
      <c r="AE4759" t="s">
        <v>43</v>
      </c>
      <c r="AF4759" t="s">
        <v>43</v>
      </c>
      <c r="AG4759" t="s">
        <v>43</v>
      </c>
      <c r="AH4759" t="s">
        <v>43</v>
      </c>
      <c r="AI4759" t="s">
        <v>43</v>
      </c>
      <c r="AJ4759" t="s">
        <v>43</v>
      </c>
      <c r="AK4759" t="s">
        <v>43</v>
      </c>
      <c r="AL4759" t="s">
        <v>43</v>
      </c>
      <c r="AM4759" t="s">
        <v>43</v>
      </c>
      <c r="AN4759" t="str">
        <f>HYPERLINK("https://www.google.com/maps?q=10.83224869,79.84022522","Open Location")</f>
        <v>Open Location</v>
      </c>
    </row>
    <row r="4760" spans="1:40" x14ac:dyDescent="0.3">
      <c r="A4760" s="1">
        <v>46210.448379629626</v>
      </c>
      <c r="B4760" t="s">
        <v>40</v>
      </c>
      <c r="C4760" t="s">
        <v>41</v>
      </c>
      <c r="D4760" s="1">
        <v>46210.451157407406</v>
      </c>
      <c r="E4760" t="s">
        <v>42</v>
      </c>
      <c r="F4760" t="s">
        <v>43</v>
      </c>
      <c r="G4760" t="s">
        <v>43</v>
      </c>
      <c r="H4760" t="s">
        <v>43</v>
      </c>
      <c r="I4760" t="s">
        <v>2748</v>
      </c>
      <c r="J4760" t="s">
        <v>43</v>
      </c>
      <c r="K4760" t="s">
        <v>43</v>
      </c>
      <c r="L4760" t="s">
        <v>43</v>
      </c>
      <c r="M4760" t="s">
        <v>43</v>
      </c>
      <c r="N4760" t="s">
        <v>45</v>
      </c>
      <c r="O4760" t="s">
        <v>43</v>
      </c>
      <c r="P4760" t="s">
        <v>43</v>
      </c>
      <c r="Q4760" t="s">
        <v>43</v>
      </c>
      <c r="R4760" t="s">
        <v>43</v>
      </c>
      <c r="S4760" t="s">
        <v>43</v>
      </c>
      <c r="T4760" t="s">
        <v>43</v>
      </c>
      <c r="U4760" t="s">
        <v>43</v>
      </c>
      <c r="V4760" t="s">
        <v>43</v>
      </c>
      <c r="W4760" t="s">
        <v>43</v>
      </c>
      <c r="X4760" t="s">
        <v>43</v>
      </c>
      <c r="Y4760" t="s">
        <v>43</v>
      </c>
      <c r="Z4760" t="s">
        <v>43</v>
      </c>
      <c r="AA4760" t="s">
        <v>43</v>
      </c>
      <c r="AB4760" t="s">
        <v>43</v>
      </c>
      <c r="AC4760" t="s">
        <v>43</v>
      </c>
      <c r="AD4760" t="s">
        <v>43</v>
      </c>
      <c r="AE4760" t="s">
        <v>43</v>
      </c>
      <c r="AF4760" t="s">
        <v>43</v>
      </c>
      <c r="AG4760" t="s">
        <v>43</v>
      </c>
      <c r="AH4760" t="s">
        <v>43</v>
      </c>
      <c r="AI4760" t="s">
        <v>43</v>
      </c>
      <c r="AJ4760" t="s">
        <v>43</v>
      </c>
      <c r="AK4760" t="s">
        <v>43</v>
      </c>
      <c r="AL4760" t="s">
        <v>43</v>
      </c>
      <c r="AM4760" t="s">
        <v>43</v>
      </c>
      <c r="AN4760" t="str">
        <f>HYPERLINK("https://www.google.com/maps?q=10.83224869,79.84021759","Open Location")</f>
        <v>Open Location</v>
      </c>
    </row>
    <row r="4761" spans="1:40" x14ac:dyDescent="0.3">
      <c r="A4761" s="1">
        <v>46210.448263888888</v>
      </c>
      <c r="B4761" t="s">
        <v>40</v>
      </c>
      <c r="C4761" t="s">
        <v>41</v>
      </c>
      <c r="D4761" s="1">
        <v>46210.451157407406</v>
      </c>
      <c r="E4761" t="s">
        <v>42</v>
      </c>
      <c r="F4761" t="s">
        <v>43</v>
      </c>
      <c r="G4761" t="s">
        <v>43</v>
      </c>
      <c r="H4761" t="s">
        <v>43</v>
      </c>
      <c r="I4761" t="s">
        <v>2748</v>
      </c>
      <c r="J4761" t="s">
        <v>43</v>
      </c>
      <c r="K4761" t="s">
        <v>43</v>
      </c>
      <c r="L4761" t="s">
        <v>43</v>
      </c>
      <c r="M4761" t="s">
        <v>43</v>
      </c>
      <c r="N4761" t="s">
        <v>45</v>
      </c>
      <c r="O4761" t="s">
        <v>43</v>
      </c>
      <c r="P4761" t="s">
        <v>43</v>
      </c>
      <c r="Q4761" t="s">
        <v>43</v>
      </c>
      <c r="R4761" t="s">
        <v>43</v>
      </c>
      <c r="S4761" t="s">
        <v>43</v>
      </c>
      <c r="T4761" t="s">
        <v>43</v>
      </c>
      <c r="U4761" t="s">
        <v>43</v>
      </c>
      <c r="V4761" t="s">
        <v>43</v>
      </c>
      <c r="W4761" t="s">
        <v>43</v>
      </c>
      <c r="X4761" t="s">
        <v>43</v>
      </c>
      <c r="Y4761" t="s">
        <v>43</v>
      </c>
      <c r="Z4761" t="s">
        <v>43</v>
      </c>
      <c r="AA4761" t="s">
        <v>43</v>
      </c>
      <c r="AB4761" t="s">
        <v>43</v>
      </c>
      <c r="AC4761" t="s">
        <v>43</v>
      </c>
      <c r="AD4761" t="s">
        <v>43</v>
      </c>
      <c r="AE4761" t="s">
        <v>43</v>
      </c>
      <c r="AF4761" t="s">
        <v>43</v>
      </c>
      <c r="AG4761" t="s">
        <v>43</v>
      </c>
      <c r="AH4761" t="s">
        <v>43</v>
      </c>
      <c r="AI4761" t="s">
        <v>43</v>
      </c>
      <c r="AJ4761" t="s">
        <v>43</v>
      </c>
      <c r="AK4761" t="s">
        <v>43</v>
      </c>
      <c r="AL4761" t="s">
        <v>43</v>
      </c>
      <c r="AM4761" t="s">
        <v>43</v>
      </c>
      <c r="AN4761" t="str">
        <f>HYPERLINK("https://www.google.com/maps?q=10.83224869,79.84021759","Open Location")</f>
        <v>Open Location</v>
      </c>
    </row>
    <row r="4762" spans="1:40" x14ac:dyDescent="0.3">
      <c r="A4762" s="1">
        <v>46210.448148148149</v>
      </c>
      <c r="B4762" t="s">
        <v>40</v>
      </c>
      <c r="C4762" t="s">
        <v>41</v>
      </c>
      <c r="D4762" s="1">
        <v>46210.451064814813</v>
      </c>
      <c r="E4762" t="s">
        <v>42</v>
      </c>
      <c r="F4762" t="s">
        <v>43</v>
      </c>
      <c r="G4762" t="s">
        <v>43</v>
      </c>
      <c r="H4762" t="s">
        <v>43</v>
      </c>
      <c r="I4762" t="s">
        <v>2676</v>
      </c>
      <c r="J4762" t="s">
        <v>43</v>
      </c>
      <c r="K4762" t="s">
        <v>43</v>
      </c>
      <c r="L4762" t="s">
        <v>43</v>
      </c>
      <c r="M4762" t="s">
        <v>43</v>
      </c>
      <c r="N4762" t="s">
        <v>45</v>
      </c>
      <c r="O4762" t="s">
        <v>43</v>
      </c>
      <c r="P4762" t="s">
        <v>43</v>
      </c>
      <c r="Q4762" t="s">
        <v>43</v>
      </c>
      <c r="R4762" t="s">
        <v>43</v>
      </c>
      <c r="S4762" t="s">
        <v>43</v>
      </c>
      <c r="T4762" t="s">
        <v>43</v>
      </c>
      <c r="U4762" t="s">
        <v>43</v>
      </c>
      <c r="V4762" t="s">
        <v>43</v>
      </c>
      <c r="W4762" t="s">
        <v>43</v>
      </c>
      <c r="X4762" t="s">
        <v>43</v>
      </c>
      <c r="Y4762" t="s">
        <v>43</v>
      </c>
      <c r="Z4762" t="s">
        <v>43</v>
      </c>
      <c r="AA4762" t="s">
        <v>43</v>
      </c>
      <c r="AB4762" t="s">
        <v>43</v>
      </c>
      <c r="AC4762" t="s">
        <v>43</v>
      </c>
      <c r="AD4762" t="s">
        <v>43</v>
      </c>
      <c r="AE4762" t="s">
        <v>43</v>
      </c>
      <c r="AF4762" t="s">
        <v>43</v>
      </c>
      <c r="AG4762" t="s">
        <v>43</v>
      </c>
      <c r="AH4762" t="s">
        <v>43</v>
      </c>
      <c r="AI4762" t="s">
        <v>43</v>
      </c>
      <c r="AJ4762" t="s">
        <v>43</v>
      </c>
      <c r="AK4762" t="s">
        <v>43</v>
      </c>
      <c r="AL4762" t="s">
        <v>43</v>
      </c>
      <c r="AM4762" t="s">
        <v>43</v>
      </c>
      <c r="AN4762" t="str">
        <f>HYPERLINK("https://www.google.com/maps?q=10.8322506,79.84022522","Open Location")</f>
        <v>Open Location</v>
      </c>
    </row>
    <row r="4763" spans="1:40" x14ac:dyDescent="0.3">
      <c r="A4763" s="1">
        <v>46210.44803240741</v>
      </c>
      <c r="B4763" t="s">
        <v>40</v>
      </c>
      <c r="C4763" t="s">
        <v>41</v>
      </c>
      <c r="D4763" s="1">
        <v>46210.451064814813</v>
      </c>
      <c r="E4763" t="s">
        <v>42</v>
      </c>
      <c r="F4763" t="s">
        <v>43</v>
      </c>
      <c r="G4763" t="s">
        <v>43</v>
      </c>
      <c r="H4763" t="s">
        <v>43</v>
      </c>
      <c r="I4763" t="s">
        <v>43</v>
      </c>
      <c r="J4763" t="s">
        <v>43</v>
      </c>
      <c r="K4763" t="s">
        <v>43</v>
      </c>
      <c r="L4763" t="s">
        <v>43</v>
      </c>
      <c r="M4763" t="s">
        <v>43</v>
      </c>
      <c r="N4763" t="s">
        <v>45</v>
      </c>
      <c r="O4763" t="s">
        <v>43</v>
      </c>
      <c r="P4763" t="s">
        <v>43</v>
      </c>
      <c r="Q4763" t="s">
        <v>43</v>
      </c>
      <c r="R4763" t="s">
        <v>43</v>
      </c>
      <c r="S4763" t="s">
        <v>43</v>
      </c>
      <c r="T4763" t="s">
        <v>43</v>
      </c>
      <c r="U4763" t="s">
        <v>43</v>
      </c>
      <c r="V4763" t="s">
        <v>43</v>
      </c>
      <c r="W4763" t="s">
        <v>43</v>
      </c>
      <c r="X4763" t="s">
        <v>43</v>
      </c>
      <c r="Y4763" t="s">
        <v>43</v>
      </c>
      <c r="Z4763" t="s">
        <v>43</v>
      </c>
      <c r="AA4763" t="s">
        <v>43</v>
      </c>
      <c r="AB4763" t="s">
        <v>43</v>
      </c>
      <c r="AC4763" t="s">
        <v>43</v>
      </c>
      <c r="AD4763" t="s">
        <v>43</v>
      </c>
      <c r="AE4763" t="s">
        <v>43</v>
      </c>
      <c r="AF4763" t="s">
        <v>43</v>
      </c>
      <c r="AG4763" t="s">
        <v>43</v>
      </c>
      <c r="AH4763" t="s">
        <v>43</v>
      </c>
      <c r="AI4763" t="s">
        <v>43</v>
      </c>
      <c r="AJ4763" t="s">
        <v>43</v>
      </c>
      <c r="AK4763" t="s">
        <v>43</v>
      </c>
      <c r="AL4763" t="s">
        <v>43</v>
      </c>
      <c r="AM4763" t="s">
        <v>43</v>
      </c>
      <c r="AN4763" t="s">
        <v>43</v>
      </c>
    </row>
    <row r="4764" spans="1:40" x14ac:dyDescent="0.3">
      <c r="A4764" s="1">
        <v>46210.447916666664</v>
      </c>
      <c r="B4764" t="s">
        <v>40</v>
      </c>
      <c r="C4764" t="s">
        <v>41</v>
      </c>
      <c r="D4764" s="1">
        <v>46210.450659722221</v>
      </c>
      <c r="E4764" t="s">
        <v>42</v>
      </c>
      <c r="F4764" t="s">
        <v>43</v>
      </c>
      <c r="G4764" t="s">
        <v>43</v>
      </c>
      <c r="H4764" t="s">
        <v>43</v>
      </c>
      <c r="I4764" t="s">
        <v>2749</v>
      </c>
      <c r="J4764" t="s">
        <v>43</v>
      </c>
      <c r="K4764" t="s">
        <v>43</v>
      </c>
      <c r="L4764" t="s">
        <v>43</v>
      </c>
      <c r="M4764" t="s">
        <v>43</v>
      </c>
      <c r="N4764" t="s">
        <v>45</v>
      </c>
      <c r="O4764" t="s">
        <v>43</v>
      </c>
      <c r="P4764" t="s">
        <v>43</v>
      </c>
      <c r="Q4764" t="s">
        <v>43</v>
      </c>
      <c r="R4764" t="s">
        <v>43</v>
      </c>
      <c r="S4764" t="s">
        <v>43</v>
      </c>
      <c r="T4764" t="s">
        <v>43</v>
      </c>
      <c r="U4764" t="s">
        <v>43</v>
      </c>
      <c r="V4764" t="s">
        <v>43</v>
      </c>
      <c r="W4764" t="s">
        <v>43</v>
      </c>
      <c r="X4764" t="s">
        <v>43</v>
      </c>
      <c r="Y4764" t="s">
        <v>43</v>
      </c>
      <c r="Z4764" t="s">
        <v>43</v>
      </c>
      <c r="AA4764" t="s">
        <v>43</v>
      </c>
      <c r="AB4764" t="s">
        <v>43</v>
      </c>
      <c r="AC4764" t="s">
        <v>43</v>
      </c>
      <c r="AD4764" t="s">
        <v>43</v>
      </c>
      <c r="AE4764" t="s">
        <v>43</v>
      </c>
      <c r="AF4764" t="s">
        <v>43</v>
      </c>
      <c r="AG4764" t="s">
        <v>43</v>
      </c>
      <c r="AH4764" t="s">
        <v>43</v>
      </c>
      <c r="AI4764" t="s">
        <v>43</v>
      </c>
      <c r="AJ4764" t="s">
        <v>43</v>
      </c>
      <c r="AK4764" t="s">
        <v>43</v>
      </c>
      <c r="AL4764" t="s">
        <v>43</v>
      </c>
      <c r="AM4764" t="s">
        <v>43</v>
      </c>
      <c r="AN4764" t="str">
        <f>HYPERLINK("https://www.google.com/maps?q=10.83225155,79.84021759","Open Location")</f>
        <v>Open Location</v>
      </c>
    </row>
    <row r="4765" spans="1:40" x14ac:dyDescent="0.3">
      <c r="A4765" s="1">
        <v>46210.447800925926</v>
      </c>
      <c r="B4765" t="s">
        <v>40</v>
      </c>
      <c r="C4765" t="s">
        <v>41</v>
      </c>
      <c r="D4765" s="1">
        <v>46210.450659722221</v>
      </c>
      <c r="E4765" t="s">
        <v>42</v>
      </c>
      <c r="F4765" t="s">
        <v>43</v>
      </c>
      <c r="G4765" t="s">
        <v>43</v>
      </c>
      <c r="H4765" t="s">
        <v>43</v>
      </c>
      <c r="I4765" t="s">
        <v>2749</v>
      </c>
      <c r="J4765" t="s">
        <v>43</v>
      </c>
      <c r="K4765" t="s">
        <v>43</v>
      </c>
      <c r="L4765" t="s">
        <v>43</v>
      </c>
      <c r="M4765" t="s">
        <v>43</v>
      </c>
      <c r="N4765" t="s">
        <v>45</v>
      </c>
      <c r="O4765" t="s">
        <v>43</v>
      </c>
      <c r="P4765" t="s">
        <v>43</v>
      </c>
      <c r="Q4765" t="s">
        <v>43</v>
      </c>
      <c r="R4765" t="s">
        <v>43</v>
      </c>
      <c r="S4765" t="s">
        <v>43</v>
      </c>
      <c r="T4765" t="s">
        <v>43</v>
      </c>
      <c r="U4765" t="s">
        <v>43</v>
      </c>
      <c r="V4765" t="s">
        <v>43</v>
      </c>
      <c r="W4765" t="s">
        <v>43</v>
      </c>
      <c r="X4765" t="s">
        <v>43</v>
      </c>
      <c r="Y4765" t="s">
        <v>43</v>
      </c>
      <c r="Z4765" t="s">
        <v>43</v>
      </c>
      <c r="AA4765" t="s">
        <v>43</v>
      </c>
      <c r="AB4765" t="s">
        <v>43</v>
      </c>
      <c r="AC4765" t="s">
        <v>43</v>
      </c>
      <c r="AD4765" t="s">
        <v>43</v>
      </c>
      <c r="AE4765" t="s">
        <v>43</v>
      </c>
      <c r="AF4765" t="s">
        <v>43</v>
      </c>
      <c r="AG4765" t="s">
        <v>43</v>
      </c>
      <c r="AH4765" t="s">
        <v>43</v>
      </c>
      <c r="AI4765" t="s">
        <v>43</v>
      </c>
      <c r="AJ4765" t="s">
        <v>43</v>
      </c>
      <c r="AK4765" t="s">
        <v>43</v>
      </c>
      <c r="AL4765" t="s">
        <v>43</v>
      </c>
      <c r="AM4765" t="s">
        <v>43</v>
      </c>
      <c r="AN4765" t="str">
        <f>HYPERLINK("https://www.google.com/maps?q=10.83225155,79.84021759","Open Location")</f>
        <v>Open Location</v>
      </c>
    </row>
    <row r="4766" spans="1:40" x14ac:dyDescent="0.3">
      <c r="A4766" s="1">
        <v>46210.447685185187</v>
      </c>
      <c r="B4766" t="s">
        <v>40</v>
      </c>
      <c r="C4766" t="s">
        <v>41</v>
      </c>
      <c r="D4766" s="1">
        <v>46210.450659722221</v>
      </c>
      <c r="E4766" t="s">
        <v>42</v>
      </c>
      <c r="F4766" t="s">
        <v>43</v>
      </c>
      <c r="G4766" t="s">
        <v>43</v>
      </c>
      <c r="H4766" t="s">
        <v>43</v>
      </c>
      <c r="I4766" t="s">
        <v>2750</v>
      </c>
      <c r="J4766" t="s">
        <v>43</v>
      </c>
      <c r="K4766" t="s">
        <v>43</v>
      </c>
      <c r="L4766" t="s">
        <v>43</v>
      </c>
      <c r="M4766" t="s">
        <v>43</v>
      </c>
      <c r="N4766" t="s">
        <v>45</v>
      </c>
      <c r="O4766" t="s">
        <v>43</v>
      </c>
      <c r="P4766" t="s">
        <v>43</v>
      </c>
      <c r="Q4766" t="s">
        <v>43</v>
      </c>
      <c r="R4766" t="s">
        <v>43</v>
      </c>
      <c r="S4766" t="s">
        <v>43</v>
      </c>
      <c r="T4766" t="s">
        <v>43</v>
      </c>
      <c r="U4766" t="s">
        <v>43</v>
      </c>
      <c r="V4766" t="s">
        <v>43</v>
      </c>
      <c r="W4766" t="s">
        <v>43</v>
      </c>
      <c r="X4766" t="s">
        <v>43</v>
      </c>
      <c r="Y4766" t="s">
        <v>43</v>
      </c>
      <c r="Z4766" t="s">
        <v>43</v>
      </c>
      <c r="AA4766" t="s">
        <v>43</v>
      </c>
      <c r="AB4766" t="s">
        <v>43</v>
      </c>
      <c r="AC4766" t="s">
        <v>43</v>
      </c>
      <c r="AD4766" t="s">
        <v>43</v>
      </c>
      <c r="AE4766" t="s">
        <v>43</v>
      </c>
      <c r="AF4766" t="s">
        <v>43</v>
      </c>
      <c r="AG4766" t="s">
        <v>43</v>
      </c>
      <c r="AH4766" t="s">
        <v>43</v>
      </c>
      <c r="AI4766" t="s">
        <v>43</v>
      </c>
      <c r="AJ4766" t="s">
        <v>43</v>
      </c>
      <c r="AK4766" t="s">
        <v>43</v>
      </c>
      <c r="AL4766" t="s">
        <v>43</v>
      </c>
      <c r="AM4766" t="s">
        <v>43</v>
      </c>
      <c r="AN4766" t="str">
        <f>HYPERLINK("https://www.google.com/maps?q=10.83224678,79.84021759","Open Location")</f>
        <v>Open Location</v>
      </c>
    </row>
    <row r="4767" spans="1:40" x14ac:dyDescent="0.3">
      <c r="A4767" s="1">
        <v>46210.447569444441</v>
      </c>
      <c r="B4767" t="s">
        <v>40</v>
      </c>
      <c r="C4767" t="s">
        <v>41</v>
      </c>
      <c r="D4767" s="1">
        <v>46210.450381944444</v>
      </c>
      <c r="E4767" t="s">
        <v>42</v>
      </c>
      <c r="F4767" t="s">
        <v>43</v>
      </c>
      <c r="G4767" t="s">
        <v>43</v>
      </c>
      <c r="H4767" t="s">
        <v>43</v>
      </c>
      <c r="I4767" t="s">
        <v>2751</v>
      </c>
      <c r="J4767" t="s">
        <v>43</v>
      </c>
      <c r="K4767" t="s">
        <v>43</v>
      </c>
      <c r="L4767" t="s">
        <v>43</v>
      </c>
      <c r="M4767" t="s">
        <v>43</v>
      </c>
      <c r="N4767" t="s">
        <v>45</v>
      </c>
      <c r="O4767" t="s">
        <v>43</v>
      </c>
      <c r="P4767" t="s">
        <v>43</v>
      </c>
      <c r="Q4767" t="s">
        <v>43</v>
      </c>
      <c r="R4767" t="s">
        <v>43</v>
      </c>
      <c r="S4767" t="s">
        <v>43</v>
      </c>
      <c r="T4767" t="s">
        <v>43</v>
      </c>
      <c r="U4767" t="s">
        <v>43</v>
      </c>
      <c r="V4767" t="s">
        <v>43</v>
      </c>
      <c r="W4767" t="s">
        <v>43</v>
      </c>
      <c r="X4767" t="s">
        <v>43</v>
      </c>
      <c r="Y4767" t="s">
        <v>43</v>
      </c>
      <c r="Z4767" t="s">
        <v>43</v>
      </c>
      <c r="AA4767" t="s">
        <v>43</v>
      </c>
      <c r="AB4767" t="s">
        <v>43</v>
      </c>
      <c r="AC4767" t="s">
        <v>43</v>
      </c>
      <c r="AD4767" t="s">
        <v>43</v>
      </c>
      <c r="AE4767" t="s">
        <v>43</v>
      </c>
      <c r="AF4767" t="s">
        <v>43</v>
      </c>
      <c r="AG4767" t="s">
        <v>43</v>
      </c>
      <c r="AH4767" t="s">
        <v>43</v>
      </c>
      <c r="AI4767" t="s">
        <v>43</v>
      </c>
      <c r="AJ4767" t="s">
        <v>43</v>
      </c>
      <c r="AK4767" t="s">
        <v>43</v>
      </c>
      <c r="AL4767" t="s">
        <v>43</v>
      </c>
      <c r="AM4767" t="s">
        <v>43</v>
      </c>
      <c r="AN4767" t="str">
        <f>HYPERLINK("https://www.google.com/maps?q=10.83224297,79.84020996","Open Location")</f>
        <v>Open Location</v>
      </c>
    </row>
    <row r="4768" spans="1:40" x14ac:dyDescent="0.3">
      <c r="A4768" s="1">
        <v>46210.447453703702</v>
      </c>
      <c r="B4768" t="s">
        <v>40</v>
      </c>
      <c r="C4768" t="s">
        <v>41</v>
      </c>
      <c r="D4768" s="1">
        <v>46210.450289351851</v>
      </c>
      <c r="E4768" t="s">
        <v>42</v>
      </c>
      <c r="F4768" t="s">
        <v>43</v>
      </c>
      <c r="G4768" t="s">
        <v>43</v>
      </c>
      <c r="H4768" t="s">
        <v>43</v>
      </c>
      <c r="I4768" t="s">
        <v>2752</v>
      </c>
      <c r="J4768" t="s">
        <v>43</v>
      </c>
      <c r="K4768" t="s">
        <v>43</v>
      </c>
      <c r="L4768" t="s">
        <v>43</v>
      </c>
      <c r="M4768" t="s">
        <v>43</v>
      </c>
      <c r="N4768" t="s">
        <v>45</v>
      </c>
      <c r="O4768" t="s">
        <v>43</v>
      </c>
      <c r="P4768" t="s">
        <v>43</v>
      </c>
      <c r="Q4768" t="s">
        <v>43</v>
      </c>
      <c r="R4768" t="s">
        <v>43</v>
      </c>
      <c r="S4768" t="s">
        <v>43</v>
      </c>
      <c r="T4768" t="s">
        <v>43</v>
      </c>
      <c r="U4768" t="s">
        <v>43</v>
      </c>
      <c r="V4768" t="s">
        <v>43</v>
      </c>
      <c r="W4768" t="s">
        <v>43</v>
      </c>
      <c r="X4768" t="s">
        <v>43</v>
      </c>
      <c r="Y4768" t="s">
        <v>43</v>
      </c>
      <c r="Z4768" t="s">
        <v>43</v>
      </c>
      <c r="AA4768" t="s">
        <v>43</v>
      </c>
      <c r="AB4768" t="s">
        <v>43</v>
      </c>
      <c r="AC4768" t="s">
        <v>43</v>
      </c>
      <c r="AD4768" t="s">
        <v>43</v>
      </c>
      <c r="AE4768" t="s">
        <v>43</v>
      </c>
      <c r="AF4768" t="s">
        <v>43</v>
      </c>
      <c r="AG4768" t="s">
        <v>43</v>
      </c>
      <c r="AH4768" t="s">
        <v>43</v>
      </c>
      <c r="AI4768" t="s">
        <v>43</v>
      </c>
      <c r="AJ4768" t="s">
        <v>43</v>
      </c>
      <c r="AK4768" t="s">
        <v>43</v>
      </c>
      <c r="AL4768" t="s">
        <v>43</v>
      </c>
      <c r="AM4768" t="s">
        <v>43</v>
      </c>
      <c r="AN4768" t="str">
        <f>HYPERLINK("https://www.google.com/maps?q=10.83224106,79.84020233","Open Location")</f>
        <v>Open Location</v>
      </c>
    </row>
    <row r="4769" spans="1:40" x14ac:dyDescent="0.3">
      <c r="A4769" s="1">
        <v>46210.447337962964</v>
      </c>
      <c r="B4769" t="s">
        <v>40</v>
      </c>
      <c r="C4769" t="s">
        <v>41</v>
      </c>
      <c r="D4769" s="1">
        <v>46210.450254629628</v>
      </c>
      <c r="E4769" t="s">
        <v>42</v>
      </c>
      <c r="F4769" t="s">
        <v>43</v>
      </c>
      <c r="G4769" t="s">
        <v>43</v>
      </c>
      <c r="H4769" t="s">
        <v>43</v>
      </c>
      <c r="I4769" t="s">
        <v>43</v>
      </c>
      <c r="J4769" t="s">
        <v>43</v>
      </c>
      <c r="K4769" t="s">
        <v>43</v>
      </c>
      <c r="L4769" t="s">
        <v>43</v>
      </c>
      <c r="M4769" t="s">
        <v>43</v>
      </c>
      <c r="N4769" t="s">
        <v>45</v>
      </c>
      <c r="O4769" t="s">
        <v>43</v>
      </c>
      <c r="P4769" t="s">
        <v>43</v>
      </c>
      <c r="Q4769" t="s">
        <v>43</v>
      </c>
      <c r="R4769" t="s">
        <v>43</v>
      </c>
      <c r="S4769" t="s">
        <v>43</v>
      </c>
      <c r="T4769" t="s">
        <v>43</v>
      </c>
      <c r="U4769" t="s">
        <v>43</v>
      </c>
      <c r="V4769" t="s">
        <v>43</v>
      </c>
      <c r="W4769" t="s">
        <v>43</v>
      </c>
      <c r="X4769" t="s">
        <v>43</v>
      </c>
      <c r="Y4769" t="s">
        <v>43</v>
      </c>
      <c r="Z4769" t="s">
        <v>43</v>
      </c>
      <c r="AA4769" t="s">
        <v>43</v>
      </c>
      <c r="AB4769" t="s">
        <v>43</v>
      </c>
      <c r="AC4769" t="s">
        <v>43</v>
      </c>
      <c r="AD4769" t="s">
        <v>43</v>
      </c>
      <c r="AE4769" t="s">
        <v>43</v>
      </c>
      <c r="AF4769" t="s">
        <v>43</v>
      </c>
      <c r="AG4769" t="s">
        <v>43</v>
      </c>
      <c r="AH4769" t="s">
        <v>43</v>
      </c>
      <c r="AI4769" t="s">
        <v>43</v>
      </c>
      <c r="AJ4769" t="s">
        <v>43</v>
      </c>
      <c r="AK4769" t="s">
        <v>43</v>
      </c>
      <c r="AL4769" t="s">
        <v>43</v>
      </c>
      <c r="AM4769" t="s">
        <v>43</v>
      </c>
      <c r="AN4769" t="s">
        <v>43</v>
      </c>
    </row>
    <row r="4770" spans="1:40" x14ac:dyDescent="0.3">
      <c r="A4770" s="1">
        <v>46210.447222222225</v>
      </c>
      <c r="B4770" t="s">
        <v>40</v>
      </c>
      <c r="C4770" t="s">
        <v>41</v>
      </c>
      <c r="D4770" s="1">
        <v>46210.450243055559</v>
      </c>
      <c r="E4770" t="s">
        <v>42</v>
      </c>
      <c r="F4770" t="s">
        <v>43</v>
      </c>
      <c r="G4770" t="s">
        <v>43</v>
      </c>
      <c r="H4770" t="s">
        <v>43</v>
      </c>
      <c r="I4770" t="s">
        <v>2753</v>
      </c>
      <c r="J4770" t="s">
        <v>43</v>
      </c>
      <c r="K4770" t="s">
        <v>43</v>
      </c>
      <c r="L4770" t="s">
        <v>43</v>
      </c>
      <c r="M4770" t="s">
        <v>43</v>
      </c>
      <c r="N4770" t="s">
        <v>45</v>
      </c>
      <c r="O4770" t="s">
        <v>43</v>
      </c>
      <c r="P4770" t="s">
        <v>43</v>
      </c>
      <c r="Q4770" t="s">
        <v>43</v>
      </c>
      <c r="R4770" t="s">
        <v>43</v>
      </c>
      <c r="S4770" t="s">
        <v>43</v>
      </c>
      <c r="T4770" t="s">
        <v>43</v>
      </c>
      <c r="U4770" t="s">
        <v>43</v>
      </c>
      <c r="V4770" t="s">
        <v>43</v>
      </c>
      <c r="W4770" t="s">
        <v>43</v>
      </c>
      <c r="X4770" t="s">
        <v>43</v>
      </c>
      <c r="Y4770" t="s">
        <v>43</v>
      </c>
      <c r="Z4770" t="s">
        <v>43</v>
      </c>
      <c r="AA4770" t="s">
        <v>43</v>
      </c>
      <c r="AB4770" t="s">
        <v>43</v>
      </c>
      <c r="AC4770" t="s">
        <v>43</v>
      </c>
      <c r="AD4770" t="s">
        <v>43</v>
      </c>
      <c r="AE4770" t="s">
        <v>43</v>
      </c>
      <c r="AF4770" t="s">
        <v>43</v>
      </c>
      <c r="AG4770" t="s">
        <v>43</v>
      </c>
      <c r="AH4770" t="s">
        <v>43</v>
      </c>
      <c r="AI4770" t="s">
        <v>43</v>
      </c>
      <c r="AJ4770" t="s">
        <v>43</v>
      </c>
      <c r="AK4770" t="s">
        <v>43</v>
      </c>
      <c r="AL4770" t="s">
        <v>43</v>
      </c>
      <c r="AM4770" t="s">
        <v>43</v>
      </c>
      <c r="AN4770" t="str">
        <f>HYPERLINK("https://www.google.com/maps?q=10.83223915,79.84020233","Open Location")</f>
        <v>Open Location</v>
      </c>
    </row>
    <row r="4771" spans="1:40" x14ac:dyDescent="0.3">
      <c r="A4771" s="1">
        <v>46210.447106481479</v>
      </c>
      <c r="B4771" t="s">
        <v>40</v>
      </c>
      <c r="C4771" t="s">
        <v>41</v>
      </c>
      <c r="D4771" s="1">
        <v>46210.450243055559</v>
      </c>
      <c r="E4771" t="s">
        <v>42</v>
      </c>
      <c r="F4771" t="s">
        <v>43</v>
      </c>
      <c r="G4771" t="s">
        <v>43</v>
      </c>
      <c r="H4771" t="s">
        <v>43</v>
      </c>
      <c r="I4771" t="s">
        <v>2753</v>
      </c>
      <c r="J4771" t="s">
        <v>43</v>
      </c>
      <c r="K4771" t="s">
        <v>43</v>
      </c>
      <c r="L4771" t="s">
        <v>43</v>
      </c>
      <c r="M4771" t="s">
        <v>43</v>
      </c>
      <c r="N4771" t="s">
        <v>45</v>
      </c>
      <c r="O4771" t="s">
        <v>43</v>
      </c>
      <c r="P4771" t="s">
        <v>43</v>
      </c>
      <c r="Q4771" t="s">
        <v>43</v>
      </c>
      <c r="R4771" t="s">
        <v>43</v>
      </c>
      <c r="S4771" t="s">
        <v>43</v>
      </c>
      <c r="T4771" t="s">
        <v>43</v>
      </c>
      <c r="U4771" t="s">
        <v>43</v>
      </c>
      <c r="V4771" t="s">
        <v>43</v>
      </c>
      <c r="W4771" t="s">
        <v>43</v>
      </c>
      <c r="X4771" t="s">
        <v>43</v>
      </c>
      <c r="Y4771" t="s">
        <v>43</v>
      </c>
      <c r="Z4771" t="s">
        <v>43</v>
      </c>
      <c r="AA4771" t="s">
        <v>43</v>
      </c>
      <c r="AB4771" t="s">
        <v>43</v>
      </c>
      <c r="AC4771" t="s">
        <v>43</v>
      </c>
      <c r="AD4771" t="s">
        <v>43</v>
      </c>
      <c r="AE4771" t="s">
        <v>43</v>
      </c>
      <c r="AF4771" t="s">
        <v>43</v>
      </c>
      <c r="AG4771" t="s">
        <v>43</v>
      </c>
      <c r="AH4771" t="s">
        <v>43</v>
      </c>
      <c r="AI4771" t="s">
        <v>43</v>
      </c>
      <c r="AJ4771" t="s">
        <v>43</v>
      </c>
      <c r="AK4771" t="s">
        <v>43</v>
      </c>
      <c r="AL4771" t="s">
        <v>43</v>
      </c>
      <c r="AM4771" t="s">
        <v>43</v>
      </c>
      <c r="AN4771" t="str">
        <f>HYPERLINK("https://www.google.com/maps?q=10.83223915,79.84020233","Open Location")</f>
        <v>Open Location</v>
      </c>
    </row>
    <row r="4772" spans="1:40" x14ac:dyDescent="0.3">
      <c r="A4772" s="1">
        <v>46210.44699074074</v>
      </c>
      <c r="B4772" t="s">
        <v>40</v>
      </c>
      <c r="C4772" t="s">
        <v>41</v>
      </c>
      <c r="D4772" s="1">
        <v>46210.449618055558</v>
      </c>
      <c r="E4772" t="s">
        <v>42</v>
      </c>
      <c r="F4772" t="s">
        <v>43</v>
      </c>
      <c r="G4772" t="s">
        <v>43</v>
      </c>
      <c r="H4772" t="s">
        <v>43</v>
      </c>
      <c r="I4772" t="s">
        <v>2754</v>
      </c>
      <c r="J4772" t="s">
        <v>43</v>
      </c>
      <c r="K4772" t="s">
        <v>43</v>
      </c>
      <c r="L4772" t="s">
        <v>43</v>
      </c>
      <c r="M4772" t="s">
        <v>43</v>
      </c>
      <c r="N4772" t="s">
        <v>45</v>
      </c>
      <c r="O4772" t="s">
        <v>43</v>
      </c>
      <c r="P4772" t="s">
        <v>43</v>
      </c>
      <c r="Q4772" t="s">
        <v>43</v>
      </c>
      <c r="R4772" t="s">
        <v>43</v>
      </c>
      <c r="S4772" t="s">
        <v>43</v>
      </c>
      <c r="T4772" t="s">
        <v>43</v>
      </c>
      <c r="U4772" t="s">
        <v>43</v>
      </c>
      <c r="V4772" t="s">
        <v>43</v>
      </c>
      <c r="W4772" t="s">
        <v>43</v>
      </c>
      <c r="X4772" t="s">
        <v>43</v>
      </c>
      <c r="Y4772" t="s">
        <v>43</v>
      </c>
      <c r="Z4772" t="s">
        <v>43</v>
      </c>
      <c r="AA4772" t="s">
        <v>43</v>
      </c>
      <c r="AB4772" t="s">
        <v>43</v>
      </c>
      <c r="AC4772" t="s">
        <v>43</v>
      </c>
      <c r="AD4772" t="s">
        <v>43</v>
      </c>
      <c r="AE4772" t="s">
        <v>43</v>
      </c>
      <c r="AF4772" t="s">
        <v>43</v>
      </c>
      <c r="AG4772" t="s">
        <v>43</v>
      </c>
      <c r="AH4772" t="s">
        <v>43</v>
      </c>
      <c r="AI4772" t="s">
        <v>43</v>
      </c>
      <c r="AJ4772" t="s">
        <v>43</v>
      </c>
      <c r="AK4772" t="s">
        <v>43</v>
      </c>
      <c r="AL4772" t="s">
        <v>43</v>
      </c>
      <c r="AM4772" t="s">
        <v>43</v>
      </c>
      <c r="AN4772" t="str">
        <f>HYPERLINK("https://www.google.com/maps?q=10.83223724,79.8401947","Open Location")</f>
        <v>Open Location</v>
      </c>
    </row>
    <row r="4773" spans="1:40" x14ac:dyDescent="0.3">
      <c r="A4773" s="1">
        <v>46210.446875000001</v>
      </c>
      <c r="B4773" t="s">
        <v>40</v>
      </c>
      <c r="C4773" t="s">
        <v>41</v>
      </c>
      <c r="D4773" s="1">
        <v>46210.449675925927</v>
      </c>
      <c r="E4773" t="s">
        <v>42</v>
      </c>
      <c r="F4773" t="s">
        <v>43</v>
      </c>
      <c r="G4773" t="s">
        <v>43</v>
      </c>
      <c r="H4773" t="s">
        <v>43</v>
      </c>
      <c r="I4773" t="s">
        <v>2755</v>
      </c>
      <c r="J4773" t="s">
        <v>43</v>
      </c>
      <c r="K4773" t="s">
        <v>43</v>
      </c>
      <c r="L4773" t="s">
        <v>43</v>
      </c>
      <c r="M4773" t="s">
        <v>43</v>
      </c>
      <c r="N4773" t="s">
        <v>45</v>
      </c>
      <c r="O4773" t="s">
        <v>43</v>
      </c>
      <c r="P4773" t="s">
        <v>43</v>
      </c>
      <c r="Q4773" t="s">
        <v>43</v>
      </c>
      <c r="R4773" t="s">
        <v>43</v>
      </c>
      <c r="S4773" t="s">
        <v>43</v>
      </c>
      <c r="T4773" t="s">
        <v>43</v>
      </c>
      <c r="U4773" t="s">
        <v>43</v>
      </c>
      <c r="V4773" t="s">
        <v>43</v>
      </c>
      <c r="W4773" t="s">
        <v>43</v>
      </c>
      <c r="X4773" t="s">
        <v>43</v>
      </c>
      <c r="Y4773" t="s">
        <v>43</v>
      </c>
      <c r="Z4773" t="s">
        <v>43</v>
      </c>
      <c r="AA4773" t="s">
        <v>43</v>
      </c>
      <c r="AB4773" t="s">
        <v>43</v>
      </c>
      <c r="AC4773" t="s">
        <v>43</v>
      </c>
      <c r="AD4773" t="s">
        <v>43</v>
      </c>
      <c r="AE4773" t="s">
        <v>43</v>
      </c>
      <c r="AF4773" t="s">
        <v>43</v>
      </c>
      <c r="AG4773" t="s">
        <v>43</v>
      </c>
      <c r="AH4773" t="s">
        <v>43</v>
      </c>
      <c r="AI4773" t="s">
        <v>43</v>
      </c>
      <c r="AJ4773" t="s">
        <v>43</v>
      </c>
      <c r="AK4773" t="s">
        <v>43</v>
      </c>
      <c r="AL4773" t="s">
        <v>43</v>
      </c>
      <c r="AM4773" t="s">
        <v>43</v>
      </c>
      <c r="AN4773" t="str">
        <f>HYPERLINK("https://www.google.com/maps?q=10.8322401,79.84020233","Open Location")</f>
        <v>Open Location</v>
      </c>
    </row>
    <row r="4774" spans="1:40" x14ac:dyDescent="0.3">
      <c r="A4774" s="1">
        <v>46210.446759259263</v>
      </c>
      <c r="B4774" t="s">
        <v>40</v>
      </c>
      <c r="C4774" t="s">
        <v>41</v>
      </c>
      <c r="D4774" s="1">
        <v>46210.449606481481</v>
      </c>
      <c r="E4774" t="s">
        <v>42</v>
      </c>
      <c r="F4774" t="s">
        <v>43</v>
      </c>
      <c r="G4774" t="s">
        <v>43</v>
      </c>
      <c r="H4774" t="s">
        <v>43</v>
      </c>
      <c r="I4774" t="s">
        <v>2756</v>
      </c>
      <c r="J4774" t="s">
        <v>43</v>
      </c>
      <c r="K4774" t="s">
        <v>43</v>
      </c>
      <c r="L4774" t="s">
        <v>43</v>
      </c>
      <c r="M4774" t="s">
        <v>43</v>
      </c>
      <c r="N4774" t="s">
        <v>45</v>
      </c>
      <c r="O4774" t="s">
        <v>43</v>
      </c>
      <c r="P4774" t="s">
        <v>43</v>
      </c>
      <c r="Q4774" t="s">
        <v>43</v>
      </c>
      <c r="R4774" t="s">
        <v>43</v>
      </c>
      <c r="S4774" t="s">
        <v>43</v>
      </c>
      <c r="T4774" t="s">
        <v>43</v>
      </c>
      <c r="U4774" t="s">
        <v>43</v>
      </c>
      <c r="V4774" t="s">
        <v>43</v>
      </c>
      <c r="W4774" t="s">
        <v>43</v>
      </c>
      <c r="X4774" t="s">
        <v>43</v>
      </c>
      <c r="Y4774" t="s">
        <v>43</v>
      </c>
      <c r="Z4774" t="s">
        <v>43</v>
      </c>
      <c r="AA4774" t="s">
        <v>43</v>
      </c>
      <c r="AB4774" t="s">
        <v>43</v>
      </c>
      <c r="AC4774" t="s">
        <v>43</v>
      </c>
      <c r="AD4774" t="s">
        <v>43</v>
      </c>
      <c r="AE4774" t="s">
        <v>43</v>
      </c>
      <c r="AF4774" t="s">
        <v>43</v>
      </c>
      <c r="AG4774" t="s">
        <v>43</v>
      </c>
      <c r="AH4774" t="s">
        <v>43</v>
      </c>
      <c r="AI4774" t="s">
        <v>43</v>
      </c>
      <c r="AJ4774" t="s">
        <v>43</v>
      </c>
      <c r="AK4774" t="s">
        <v>43</v>
      </c>
      <c r="AL4774" t="s">
        <v>43</v>
      </c>
      <c r="AM4774" t="s">
        <v>43</v>
      </c>
      <c r="AN4774" t="str">
        <f>HYPERLINK("https://www.google.com/maps?q=10.83224201,79.84020233","Open Location")</f>
        <v>Open Location</v>
      </c>
    </row>
    <row r="4775" spans="1:40" x14ac:dyDescent="0.3">
      <c r="A4775" s="1">
        <v>46210.446643518517</v>
      </c>
      <c r="B4775" t="s">
        <v>40</v>
      </c>
      <c r="C4775" t="s">
        <v>41</v>
      </c>
      <c r="D4775" s="1">
        <v>46210.449629629627</v>
      </c>
      <c r="E4775" t="s">
        <v>42</v>
      </c>
      <c r="F4775" t="s">
        <v>43</v>
      </c>
      <c r="G4775" t="s">
        <v>43</v>
      </c>
      <c r="H4775" t="s">
        <v>43</v>
      </c>
      <c r="I4775" t="s">
        <v>43</v>
      </c>
      <c r="J4775" t="s">
        <v>43</v>
      </c>
      <c r="K4775" t="s">
        <v>43</v>
      </c>
      <c r="L4775" t="s">
        <v>43</v>
      </c>
      <c r="M4775" t="s">
        <v>43</v>
      </c>
      <c r="N4775" t="s">
        <v>45</v>
      </c>
      <c r="O4775" t="s">
        <v>43</v>
      </c>
      <c r="P4775" t="s">
        <v>43</v>
      </c>
      <c r="Q4775" t="s">
        <v>43</v>
      </c>
      <c r="R4775" t="s">
        <v>43</v>
      </c>
      <c r="S4775" t="s">
        <v>43</v>
      </c>
      <c r="T4775" t="s">
        <v>43</v>
      </c>
      <c r="U4775" t="s">
        <v>43</v>
      </c>
      <c r="V4775" t="s">
        <v>43</v>
      </c>
      <c r="W4775" t="s">
        <v>43</v>
      </c>
      <c r="X4775" t="s">
        <v>43</v>
      </c>
      <c r="Y4775" t="s">
        <v>43</v>
      </c>
      <c r="Z4775" t="s">
        <v>43</v>
      </c>
      <c r="AA4775" t="s">
        <v>43</v>
      </c>
      <c r="AB4775" t="s">
        <v>43</v>
      </c>
      <c r="AC4775" t="s">
        <v>43</v>
      </c>
      <c r="AD4775" t="s">
        <v>43</v>
      </c>
      <c r="AE4775" t="s">
        <v>43</v>
      </c>
      <c r="AF4775" t="s">
        <v>43</v>
      </c>
      <c r="AG4775" t="s">
        <v>43</v>
      </c>
      <c r="AH4775" t="s">
        <v>43</v>
      </c>
      <c r="AI4775" t="s">
        <v>43</v>
      </c>
      <c r="AJ4775" t="s">
        <v>43</v>
      </c>
      <c r="AK4775" t="s">
        <v>43</v>
      </c>
      <c r="AL4775" t="s">
        <v>43</v>
      </c>
      <c r="AM4775" t="s">
        <v>43</v>
      </c>
      <c r="AN4775" t="s">
        <v>43</v>
      </c>
    </row>
    <row r="4776" spans="1:40" x14ac:dyDescent="0.3">
      <c r="A4776" s="1">
        <v>46210.446527777778</v>
      </c>
      <c r="B4776" t="s">
        <v>40</v>
      </c>
      <c r="C4776" t="s">
        <v>41</v>
      </c>
      <c r="D4776" s="1">
        <v>46210.449282407404</v>
      </c>
      <c r="E4776" t="s">
        <v>42</v>
      </c>
      <c r="F4776" t="s">
        <v>43</v>
      </c>
      <c r="G4776" t="s">
        <v>43</v>
      </c>
      <c r="H4776" t="s">
        <v>43</v>
      </c>
      <c r="I4776" t="s">
        <v>2757</v>
      </c>
      <c r="J4776" t="s">
        <v>43</v>
      </c>
      <c r="K4776" t="s">
        <v>43</v>
      </c>
      <c r="L4776" t="s">
        <v>43</v>
      </c>
      <c r="M4776" t="s">
        <v>43</v>
      </c>
      <c r="N4776" t="s">
        <v>45</v>
      </c>
      <c r="O4776" t="s">
        <v>43</v>
      </c>
      <c r="P4776" t="s">
        <v>43</v>
      </c>
      <c r="Q4776" t="s">
        <v>43</v>
      </c>
      <c r="R4776" t="s">
        <v>43</v>
      </c>
      <c r="S4776" t="s">
        <v>43</v>
      </c>
      <c r="T4776" t="s">
        <v>43</v>
      </c>
      <c r="U4776" t="s">
        <v>43</v>
      </c>
      <c r="V4776" t="s">
        <v>43</v>
      </c>
      <c r="W4776" t="s">
        <v>43</v>
      </c>
      <c r="X4776" t="s">
        <v>43</v>
      </c>
      <c r="Y4776" t="s">
        <v>43</v>
      </c>
      <c r="Z4776" t="s">
        <v>43</v>
      </c>
      <c r="AA4776" t="s">
        <v>43</v>
      </c>
      <c r="AB4776" t="s">
        <v>43</v>
      </c>
      <c r="AC4776" t="s">
        <v>43</v>
      </c>
      <c r="AD4776" t="s">
        <v>43</v>
      </c>
      <c r="AE4776" t="s">
        <v>43</v>
      </c>
      <c r="AF4776" t="s">
        <v>43</v>
      </c>
      <c r="AG4776" t="s">
        <v>43</v>
      </c>
      <c r="AH4776" t="s">
        <v>43</v>
      </c>
      <c r="AI4776" t="s">
        <v>43</v>
      </c>
      <c r="AJ4776" t="s">
        <v>43</v>
      </c>
      <c r="AK4776" t="s">
        <v>43</v>
      </c>
      <c r="AL4776" t="s">
        <v>43</v>
      </c>
      <c r="AM4776" t="s">
        <v>43</v>
      </c>
      <c r="AN4776" t="str">
        <f>HYPERLINK("https://www.google.com/maps?q=10.83224392,79.84020233","Open Location")</f>
        <v>Open Location</v>
      </c>
    </row>
    <row r="4777" spans="1:40" x14ac:dyDescent="0.3">
      <c r="A4777" s="1">
        <v>46210.446412037039</v>
      </c>
      <c r="B4777" t="s">
        <v>40</v>
      </c>
      <c r="C4777" t="s">
        <v>41</v>
      </c>
      <c r="D4777" s="1">
        <v>46210.449270833335</v>
      </c>
      <c r="E4777" t="s">
        <v>42</v>
      </c>
      <c r="F4777" t="s">
        <v>43</v>
      </c>
      <c r="G4777" t="s">
        <v>43</v>
      </c>
      <c r="H4777" t="s">
        <v>43</v>
      </c>
      <c r="I4777" t="s">
        <v>2758</v>
      </c>
      <c r="J4777" t="s">
        <v>43</v>
      </c>
      <c r="K4777" t="s">
        <v>43</v>
      </c>
      <c r="L4777" t="s">
        <v>43</v>
      </c>
      <c r="M4777" t="s">
        <v>43</v>
      </c>
      <c r="N4777" t="s">
        <v>45</v>
      </c>
      <c r="O4777" t="s">
        <v>43</v>
      </c>
      <c r="P4777" t="s">
        <v>43</v>
      </c>
      <c r="Q4777" t="s">
        <v>43</v>
      </c>
      <c r="R4777" t="s">
        <v>43</v>
      </c>
      <c r="S4777" t="s">
        <v>43</v>
      </c>
      <c r="T4777" t="s">
        <v>43</v>
      </c>
      <c r="U4777" t="s">
        <v>43</v>
      </c>
      <c r="V4777" t="s">
        <v>43</v>
      </c>
      <c r="W4777" t="s">
        <v>43</v>
      </c>
      <c r="X4777" t="s">
        <v>43</v>
      </c>
      <c r="Y4777" t="s">
        <v>43</v>
      </c>
      <c r="Z4777" t="s">
        <v>43</v>
      </c>
      <c r="AA4777" t="s">
        <v>43</v>
      </c>
      <c r="AB4777" t="s">
        <v>43</v>
      </c>
      <c r="AC4777" t="s">
        <v>43</v>
      </c>
      <c r="AD4777" t="s">
        <v>43</v>
      </c>
      <c r="AE4777" t="s">
        <v>43</v>
      </c>
      <c r="AF4777" t="s">
        <v>43</v>
      </c>
      <c r="AG4777" t="s">
        <v>43</v>
      </c>
      <c r="AH4777" t="s">
        <v>43</v>
      </c>
      <c r="AI4777" t="s">
        <v>43</v>
      </c>
      <c r="AJ4777" t="s">
        <v>43</v>
      </c>
      <c r="AK4777" t="s">
        <v>43</v>
      </c>
      <c r="AL4777" t="s">
        <v>43</v>
      </c>
      <c r="AM4777" t="s">
        <v>43</v>
      </c>
      <c r="AN4777" t="str">
        <f>HYPERLINK("https://www.google.com/maps?q=10.83224487,79.84020233","Open Location")</f>
        <v>Open Location</v>
      </c>
    </row>
    <row r="4778" spans="1:40" x14ac:dyDescent="0.3">
      <c r="A4778" s="1">
        <v>46210.446296296293</v>
      </c>
      <c r="B4778" t="s">
        <v>40</v>
      </c>
      <c r="C4778" t="s">
        <v>41</v>
      </c>
      <c r="D4778" s="1">
        <v>46210.44902777778</v>
      </c>
      <c r="E4778" t="s">
        <v>42</v>
      </c>
      <c r="F4778" t="s">
        <v>43</v>
      </c>
      <c r="G4778" t="s">
        <v>43</v>
      </c>
      <c r="H4778" t="s">
        <v>43</v>
      </c>
      <c r="I4778" t="s">
        <v>2678</v>
      </c>
      <c r="J4778" t="s">
        <v>43</v>
      </c>
      <c r="K4778" t="s">
        <v>43</v>
      </c>
      <c r="L4778" t="s">
        <v>43</v>
      </c>
      <c r="M4778" t="s">
        <v>43</v>
      </c>
      <c r="N4778" t="s">
        <v>45</v>
      </c>
      <c r="O4778" t="s">
        <v>43</v>
      </c>
      <c r="P4778" t="s">
        <v>43</v>
      </c>
      <c r="Q4778" t="s">
        <v>43</v>
      </c>
      <c r="R4778" t="s">
        <v>43</v>
      </c>
      <c r="S4778" t="s">
        <v>43</v>
      </c>
      <c r="T4778" t="s">
        <v>43</v>
      </c>
      <c r="U4778" t="s">
        <v>43</v>
      </c>
      <c r="V4778" t="s">
        <v>43</v>
      </c>
      <c r="W4778" t="s">
        <v>43</v>
      </c>
      <c r="X4778" t="s">
        <v>43</v>
      </c>
      <c r="Y4778" t="s">
        <v>43</v>
      </c>
      <c r="Z4778" t="s">
        <v>43</v>
      </c>
      <c r="AA4778" t="s">
        <v>43</v>
      </c>
      <c r="AB4778" t="s">
        <v>43</v>
      </c>
      <c r="AC4778" t="s">
        <v>43</v>
      </c>
      <c r="AD4778" t="s">
        <v>43</v>
      </c>
      <c r="AE4778" t="s">
        <v>43</v>
      </c>
      <c r="AF4778" t="s">
        <v>43</v>
      </c>
      <c r="AG4778" t="s">
        <v>43</v>
      </c>
      <c r="AH4778" t="s">
        <v>43</v>
      </c>
      <c r="AI4778" t="s">
        <v>43</v>
      </c>
      <c r="AJ4778" t="s">
        <v>43</v>
      </c>
      <c r="AK4778" t="s">
        <v>43</v>
      </c>
      <c r="AL4778" t="s">
        <v>43</v>
      </c>
      <c r="AM4778" t="s">
        <v>43</v>
      </c>
      <c r="AN4778" t="str">
        <f>HYPERLINK("https://www.google.com/maps?q=10.83224583,79.84020233","Open Location")</f>
        <v>Open Location</v>
      </c>
    </row>
    <row r="4779" spans="1:40" x14ac:dyDescent="0.3">
      <c r="A4779" s="1">
        <v>46210.446180555555</v>
      </c>
      <c r="B4779" t="s">
        <v>40</v>
      </c>
      <c r="C4779" t="s">
        <v>41</v>
      </c>
      <c r="D4779" s="1">
        <v>46210.449201388888</v>
      </c>
      <c r="E4779" t="s">
        <v>42</v>
      </c>
      <c r="F4779" t="s">
        <v>43</v>
      </c>
      <c r="G4779" t="s">
        <v>43</v>
      </c>
      <c r="H4779" t="s">
        <v>43</v>
      </c>
      <c r="I4779" t="s">
        <v>2759</v>
      </c>
      <c r="J4779" t="s">
        <v>43</v>
      </c>
      <c r="K4779" t="s">
        <v>43</v>
      </c>
      <c r="L4779" t="s">
        <v>43</v>
      </c>
      <c r="M4779" t="s">
        <v>43</v>
      </c>
      <c r="N4779" t="s">
        <v>45</v>
      </c>
      <c r="O4779" t="s">
        <v>43</v>
      </c>
      <c r="P4779" t="s">
        <v>43</v>
      </c>
      <c r="Q4779" t="s">
        <v>43</v>
      </c>
      <c r="R4779" t="s">
        <v>43</v>
      </c>
      <c r="S4779" t="s">
        <v>43</v>
      </c>
      <c r="T4779" t="s">
        <v>43</v>
      </c>
      <c r="U4779" t="s">
        <v>43</v>
      </c>
      <c r="V4779" t="s">
        <v>43</v>
      </c>
      <c r="W4779" t="s">
        <v>43</v>
      </c>
      <c r="X4779" t="s">
        <v>43</v>
      </c>
      <c r="Y4779" t="s">
        <v>43</v>
      </c>
      <c r="Z4779" t="s">
        <v>43</v>
      </c>
      <c r="AA4779" t="s">
        <v>43</v>
      </c>
      <c r="AB4779" t="s">
        <v>43</v>
      </c>
      <c r="AC4779" t="s">
        <v>43</v>
      </c>
      <c r="AD4779" t="s">
        <v>43</v>
      </c>
      <c r="AE4779" t="s">
        <v>43</v>
      </c>
      <c r="AF4779" t="s">
        <v>43</v>
      </c>
      <c r="AG4779" t="s">
        <v>43</v>
      </c>
      <c r="AH4779" t="s">
        <v>43</v>
      </c>
      <c r="AI4779" t="s">
        <v>43</v>
      </c>
      <c r="AJ4779" t="s">
        <v>43</v>
      </c>
      <c r="AK4779" t="s">
        <v>43</v>
      </c>
      <c r="AL4779" t="s">
        <v>43</v>
      </c>
      <c r="AM4779" t="s">
        <v>43</v>
      </c>
      <c r="AN4779" t="str">
        <f>HYPERLINK("https://www.google.com/maps?q=10.83224201,79.8401947","Open Location")</f>
        <v>Open Location</v>
      </c>
    </row>
    <row r="4780" spans="1:40" x14ac:dyDescent="0.3">
      <c r="A4780" s="1">
        <v>46210.446064814816</v>
      </c>
      <c r="B4780" t="s">
        <v>40</v>
      </c>
      <c r="C4780" t="s">
        <v>41</v>
      </c>
      <c r="D4780" s="1">
        <v>46210.448738425926</v>
      </c>
      <c r="E4780" t="s">
        <v>42</v>
      </c>
      <c r="F4780" t="s">
        <v>43</v>
      </c>
      <c r="G4780" t="s">
        <v>43</v>
      </c>
      <c r="H4780" t="s">
        <v>43</v>
      </c>
      <c r="I4780" t="s">
        <v>43</v>
      </c>
      <c r="J4780" t="s">
        <v>43</v>
      </c>
      <c r="K4780" t="s">
        <v>43</v>
      </c>
      <c r="L4780" t="s">
        <v>43</v>
      </c>
      <c r="M4780" t="s">
        <v>43</v>
      </c>
      <c r="N4780" t="s">
        <v>45</v>
      </c>
      <c r="O4780" t="s">
        <v>43</v>
      </c>
      <c r="P4780" t="s">
        <v>43</v>
      </c>
      <c r="Q4780" t="s">
        <v>43</v>
      </c>
      <c r="R4780" t="s">
        <v>43</v>
      </c>
      <c r="S4780" t="s">
        <v>43</v>
      </c>
      <c r="T4780" t="s">
        <v>43</v>
      </c>
      <c r="U4780" t="s">
        <v>43</v>
      </c>
      <c r="V4780" t="s">
        <v>43</v>
      </c>
      <c r="W4780" t="s">
        <v>43</v>
      </c>
      <c r="X4780" t="s">
        <v>43</v>
      </c>
      <c r="Y4780" t="s">
        <v>43</v>
      </c>
      <c r="Z4780" t="s">
        <v>43</v>
      </c>
      <c r="AA4780" t="s">
        <v>43</v>
      </c>
      <c r="AB4780" t="s">
        <v>43</v>
      </c>
      <c r="AC4780" t="s">
        <v>43</v>
      </c>
      <c r="AD4780" t="s">
        <v>43</v>
      </c>
      <c r="AE4780" t="s">
        <v>43</v>
      </c>
      <c r="AF4780" t="s">
        <v>43</v>
      </c>
      <c r="AG4780" t="s">
        <v>43</v>
      </c>
      <c r="AH4780" t="s">
        <v>43</v>
      </c>
      <c r="AI4780" t="s">
        <v>43</v>
      </c>
      <c r="AJ4780" t="s">
        <v>43</v>
      </c>
      <c r="AK4780" t="s">
        <v>43</v>
      </c>
      <c r="AL4780" t="s">
        <v>43</v>
      </c>
      <c r="AM4780" t="s">
        <v>43</v>
      </c>
      <c r="AN4780" t="s">
        <v>43</v>
      </c>
    </row>
    <row r="4781" spans="1:40" x14ac:dyDescent="0.3">
      <c r="A4781" s="1">
        <v>46210.445949074077</v>
      </c>
      <c r="B4781" t="s">
        <v>40</v>
      </c>
      <c r="C4781" t="s">
        <v>41</v>
      </c>
      <c r="D4781" s="1">
        <v>46210.449120370373</v>
      </c>
      <c r="E4781" t="s">
        <v>42</v>
      </c>
      <c r="F4781" t="s">
        <v>43</v>
      </c>
      <c r="G4781" t="s">
        <v>43</v>
      </c>
      <c r="H4781" t="s">
        <v>43</v>
      </c>
      <c r="I4781" t="s">
        <v>2760</v>
      </c>
      <c r="J4781" t="s">
        <v>43</v>
      </c>
      <c r="K4781" t="s">
        <v>43</v>
      </c>
      <c r="L4781" t="s">
        <v>43</v>
      </c>
      <c r="M4781" t="s">
        <v>43</v>
      </c>
      <c r="N4781" t="s">
        <v>45</v>
      </c>
      <c r="O4781" t="s">
        <v>43</v>
      </c>
      <c r="P4781" t="s">
        <v>43</v>
      </c>
      <c r="Q4781" t="s">
        <v>43</v>
      </c>
      <c r="R4781" t="s">
        <v>43</v>
      </c>
      <c r="S4781" t="s">
        <v>43</v>
      </c>
      <c r="T4781" t="s">
        <v>43</v>
      </c>
      <c r="U4781" t="s">
        <v>43</v>
      </c>
      <c r="V4781" t="s">
        <v>43</v>
      </c>
      <c r="W4781" t="s">
        <v>43</v>
      </c>
      <c r="X4781" t="s">
        <v>43</v>
      </c>
      <c r="Y4781" t="s">
        <v>43</v>
      </c>
      <c r="Z4781" t="s">
        <v>43</v>
      </c>
      <c r="AA4781" t="s">
        <v>43</v>
      </c>
      <c r="AB4781" t="s">
        <v>43</v>
      </c>
      <c r="AC4781" t="s">
        <v>43</v>
      </c>
      <c r="AD4781" t="s">
        <v>43</v>
      </c>
      <c r="AE4781" t="s">
        <v>43</v>
      </c>
      <c r="AF4781" t="s">
        <v>43</v>
      </c>
      <c r="AG4781" t="s">
        <v>43</v>
      </c>
      <c r="AH4781" t="s">
        <v>43</v>
      </c>
      <c r="AI4781" t="s">
        <v>43</v>
      </c>
      <c r="AJ4781" t="s">
        <v>43</v>
      </c>
      <c r="AK4781" t="s">
        <v>43</v>
      </c>
      <c r="AL4781" t="s">
        <v>43</v>
      </c>
      <c r="AM4781" t="s">
        <v>43</v>
      </c>
      <c r="AN4781" t="str">
        <f>HYPERLINK("https://www.google.com/maps?q=10.83224106,79.8401947","Open Location")</f>
        <v>Open Location</v>
      </c>
    </row>
    <row r="4782" spans="1:40" x14ac:dyDescent="0.3">
      <c r="A4782" s="1">
        <v>46210.445833333331</v>
      </c>
      <c r="B4782" t="s">
        <v>40</v>
      </c>
      <c r="C4782" t="s">
        <v>41</v>
      </c>
      <c r="D4782" s="1">
        <v>46210.448518518519</v>
      </c>
      <c r="E4782" t="s">
        <v>42</v>
      </c>
      <c r="F4782" t="s">
        <v>43</v>
      </c>
      <c r="G4782" t="s">
        <v>43</v>
      </c>
      <c r="H4782" t="s">
        <v>43</v>
      </c>
      <c r="I4782" t="s">
        <v>2761</v>
      </c>
      <c r="J4782" t="s">
        <v>43</v>
      </c>
      <c r="K4782" t="s">
        <v>43</v>
      </c>
      <c r="L4782" t="s">
        <v>43</v>
      </c>
      <c r="M4782" t="s">
        <v>43</v>
      </c>
      <c r="N4782" t="s">
        <v>45</v>
      </c>
      <c r="O4782" t="s">
        <v>43</v>
      </c>
      <c r="P4782" t="s">
        <v>43</v>
      </c>
      <c r="Q4782" t="s">
        <v>43</v>
      </c>
      <c r="R4782" t="s">
        <v>43</v>
      </c>
      <c r="S4782" t="s">
        <v>43</v>
      </c>
      <c r="T4782" t="s">
        <v>43</v>
      </c>
      <c r="U4782" t="s">
        <v>43</v>
      </c>
      <c r="V4782" t="s">
        <v>43</v>
      </c>
      <c r="W4782" t="s">
        <v>43</v>
      </c>
      <c r="X4782" t="s">
        <v>43</v>
      </c>
      <c r="Y4782" t="s">
        <v>43</v>
      </c>
      <c r="Z4782" t="s">
        <v>43</v>
      </c>
      <c r="AA4782" t="s">
        <v>43</v>
      </c>
      <c r="AB4782" t="s">
        <v>43</v>
      </c>
      <c r="AC4782" t="s">
        <v>43</v>
      </c>
      <c r="AD4782" t="s">
        <v>43</v>
      </c>
      <c r="AE4782" t="s">
        <v>43</v>
      </c>
      <c r="AF4782" t="s">
        <v>43</v>
      </c>
      <c r="AG4782" t="s">
        <v>43</v>
      </c>
      <c r="AH4782" t="s">
        <v>43</v>
      </c>
      <c r="AI4782" t="s">
        <v>43</v>
      </c>
      <c r="AJ4782" t="s">
        <v>43</v>
      </c>
      <c r="AK4782" t="s">
        <v>43</v>
      </c>
      <c r="AL4782" t="s">
        <v>43</v>
      </c>
      <c r="AM4782" t="s">
        <v>43</v>
      </c>
      <c r="AN4782" t="str">
        <f>HYPERLINK("https://www.google.com/maps?q=10.83224392,79.8401947","Open Location")</f>
        <v>Open Location</v>
      </c>
    </row>
    <row r="4783" spans="1:40" x14ac:dyDescent="0.3">
      <c r="A4783" s="1">
        <v>46210.445717592593</v>
      </c>
      <c r="B4783" t="s">
        <v>40</v>
      </c>
      <c r="C4783" t="s">
        <v>41</v>
      </c>
      <c r="D4783" s="1">
        <v>46210.448472222219</v>
      </c>
      <c r="E4783" t="s">
        <v>42</v>
      </c>
      <c r="F4783" t="s">
        <v>43</v>
      </c>
      <c r="G4783" t="s">
        <v>43</v>
      </c>
      <c r="H4783" t="s">
        <v>43</v>
      </c>
      <c r="I4783" t="s">
        <v>2762</v>
      </c>
      <c r="J4783" t="s">
        <v>43</v>
      </c>
      <c r="K4783" t="s">
        <v>43</v>
      </c>
      <c r="L4783" t="s">
        <v>43</v>
      </c>
      <c r="M4783" t="s">
        <v>43</v>
      </c>
      <c r="N4783" t="s">
        <v>45</v>
      </c>
      <c r="O4783" t="s">
        <v>43</v>
      </c>
      <c r="P4783" t="s">
        <v>43</v>
      </c>
      <c r="Q4783" t="s">
        <v>43</v>
      </c>
      <c r="R4783" t="s">
        <v>43</v>
      </c>
      <c r="S4783" t="s">
        <v>43</v>
      </c>
      <c r="T4783" t="s">
        <v>43</v>
      </c>
      <c r="U4783" t="s">
        <v>43</v>
      </c>
      <c r="V4783" t="s">
        <v>43</v>
      </c>
      <c r="W4783" t="s">
        <v>43</v>
      </c>
      <c r="X4783" t="s">
        <v>43</v>
      </c>
      <c r="Y4783" t="s">
        <v>43</v>
      </c>
      <c r="Z4783" t="s">
        <v>43</v>
      </c>
      <c r="AA4783" t="s">
        <v>43</v>
      </c>
      <c r="AB4783" t="s">
        <v>43</v>
      </c>
      <c r="AC4783" t="s">
        <v>43</v>
      </c>
      <c r="AD4783" t="s">
        <v>43</v>
      </c>
      <c r="AE4783" t="s">
        <v>43</v>
      </c>
      <c r="AF4783" t="s">
        <v>43</v>
      </c>
      <c r="AG4783" t="s">
        <v>43</v>
      </c>
      <c r="AH4783" t="s">
        <v>43</v>
      </c>
      <c r="AI4783" t="s">
        <v>43</v>
      </c>
      <c r="AJ4783" t="s">
        <v>43</v>
      </c>
      <c r="AK4783" t="s">
        <v>43</v>
      </c>
      <c r="AL4783" t="s">
        <v>43</v>
      </c>
      <c r="AM4783" t="s">
        <v>43</v>
      </c>
      <c r="AN4783" t="str">
        <f>HYPERLINK("https://www.google.com/maps?q=10.83224106,79.84018707","Open Location")</f>
        <v>Open Location</v>
      </c>
    </row>
    <row r="4784" spans="1:40" x14ac:dyDescent="0.3">
      <c r="A4784" s="1">
        <v>46210.445601851854</v>
      </c>
      <c r="B4784" t="s">
        <v>40</v>
      </c>
      <c r="C4784" t="s">
        <v>41</v>
      </c>
      <c r="D4784" s="1">
        <v>46210.448344907411</v>
      </c>
      <c r="E4784" t="s">
        <v>42</v>
      </c>
      <c r="F4784" t="s">
        <v>43</v>
      </c>
      <c r="G4784" t="s">
        <v>43</v>
      </c>
      <c r="H4784" t="s">
        <v>43</v>
      </c>
      <c r="I4784" t="s">
        <v>2763</v>
      </c>
      <c r="J4784" t="s">
        <v>43</v>
      </c>
      <c r="K4784" t="s">
        <v>43</v>
      </c>
      <c r="L4784" t="s">
        <v>43</v>
      </c>
      <c r="M4784" t="s">
        <v>43</v>
      </c>
      <c r="N4784" t="s">
        <v>45</v>
      </c>
      <c r="O4784" t="s">
        <v>43</v>
      </c>
      <c r="P4784" t="s">
        <v>43</v>
      </c>
      <c r="Q4784" t="s">
        <v>43</v>
      </c>
      <c r="R4784" t="s">
        <v>43</v>
      </c>
      <c r="S4784" t="s">
        <v>43</v>
      </c>
      <c r="T4784" t="s">
        <v>43</v>
      </c>
      <c r="U4784" t="s">
        <v>43</v>
      </c>
      <c r="V4784" t="s">
        <v>43</v>
      </c>
      <c r="W4784" t="s">
        <v>43</v>
      </c>
      <c r="X4784" t="s">
        <v>43</v>
      </c>
      <c r="Y4784" t="s">
        <v>43</v>
      </c>
      <c r="Z4784" t="s">
        <v>43</v>
      </c>
      <c r="AA4784" t="s">
        <v>43</v>
      </c>
      <c r="AB4784" t="s">
        <v>43</v>
      </c>
      <c r="AC4784" t="s">
        <v>43</v>
      </c>
      <c r="AD4784" t="s">
        <v>43</v>
      </c>
      <c r="AE4784" t="s">
        <v>43</v>
      </c>
      <c r="AF4784" t="s">
        <v>43</v>
      </c>
      <c r="AG4784" t="s">
        <v>43</v>
      </c>
      <c r="AH4784" t="s">
        <v>43</v>
      </c>
      <c r="AI4784" t="s">
        <v>43</v>
      </c>
      <c r="AJ4784" t="s">
        <v>43</v>
      </c>
      <c r="AK4784" t="s">
        <v>43</v>
      </c>
      <c r="AL4784" t="s">
        <v>43</v>
      </c>
      <c r="AM4784" t="s">
        <v>43</v>
      </c>
      <c r="AN4784" t="str">
        <f>HYPERLINK("https://www.google.com/maps?q=10.83224392,79.84018707","Open Location")</f>
        <v>Open Location</v>
      </c>
    </row>
    <row r="4785" spans="1:40" x14ac:dyDescent="0.3">
      <c r="A4785" s="1">
        <v>46210.445486111108</v>
      </c>
      <c r="B4785" t="s">
        <v>40</v>
      </c>
      <c r="C4785" t="s">
        <v>41</v>
      </c>
      <c r="D4785" s="1">
        <v>46210.448541666665</v>
      </c>
      <c r="E4785" t="s">
        <v>42</v>
      </c>
      <c r="F4785" t="s">
        <v>43</v>
      </c>
      <c r="G4785" t="s">
        <v>43</v>
      </c>
      <c r="H4785" t="s">
        <v>43</v>
      </c>
      <c r="I4785" t="s">
        <v>2689</v>
      </c>
      <c r="J4785" t="s">
        <v>43</v>
      </c>
      <c r="K4785" t="s">
        <v>43</v>
      </c>
      <c r="L4785" t="s">
        <v>43</v>
      </c>
      <c r="M4785" t="s">
        <v>43</v>
      </c>
      <c r="N4785" t="s">
        <v>45</v>
      </c>
      <c r="O4785" t="s">
        <v>43</v>
      </c>
      <c r="P4785" t="s">
        <v>43</v>
      </c>
      <c r="Q4785" t="s">
        <v>43</v>
      </c>
      <c r="R4785" t="s">
        <v>43</v>
      </c>
      <c r="S4785" t="s">
        <v>43</v>
      </c>
      <c r="T4785" t="s">
        <v>43</v>
      </c>
      <c r="U4785" t="s">
        <v>43</v>
      </c>
      <c r="V4785" t="s">
        <v>43</v>
      </c>
      <c r="W4785" t="s">
        <v>43</v>
      </c>
      <c r="X4785" t="s">
        <v>43</v>
      </c>
      <c r="Y4785" t="s">
        <v>43</v>
      </c>
      <c r="Z4785" t="s">
        <v>43</v>
      </c>
      <c r="AA4785" t="s">
        <v>43</v>
      </c>
      <c r="AB4785" t="s">
        <v>43</v>
      </c>
      <c r="AC4785" t="s">
        <v>43</v>
      </c>
      <c r="AD4785" t="s">
        <v>43</v>
      </c>
      <c r="AE4785" t="s">
        <v>43</v>
      </c>
      <c r="AF4785" t="s">
        <v>43</v>
      </c>
      <c r="AG4785" t="s">
        <v>43</v>
      </c>
      <c r="AH4785" t="s">
        <v>43</v>
      </c>
      <c r="AI4785" t="s">
        <v>43</v>
      </c>
      <c r="AJ4785" t="s">
        <v>43</v>
      </c>
      <c r="AK4785" t="s">
        <v>43</v>
      </c>
      <c r="AL4785" t="s">
        <v>43</v>
      </c>
      <c r="AM4785" t="s">
        <v>43</v>
      </c>
      <c r="AN4785" t="str">
        <f>HYPERLINK("https://www.google.com/maps?q=10.83224583,79.8401947","Open Location")</f>
        <v>Open Location</v>
      </c>
    </row>
    <row r="4786" spans="1:40" x14ac:dyDescent="0.3">
      <c r="A4786" s="1">
        <v>46210.445370370369</v>
      </c>
      <c r="B4786" t="s">
        <v>40</v>
      </c>
      <c r="C4786" t="s">
        <v>41</v>
      </c>
      <c r="D4786" s="1">
        <v>46210.448101851849</v>
      </c>
      <c r="E4786" t="s">
        <v>42</v>
      </c>
      <c r="F4786" t="s">
        <v>43</v>
      </c>
      <c r="G4786" t="s">
        <v>43</v>
      </c>
      <c r="H4786" t="s">
        <v>43</v>
      </c>
      <c r="I4786" t="s">
        <v>43</v>
      </c>
      <c r="J4786" t="s">
        <v>43</v>
      </c>
      <c r="K4786" t="s">
        <v>43</v>
      </c>
      <c r="L4786" t="s">
        <v>43</v>
      </c>
      <c r="M4786" t="s">
        <v>43</v>
      </c>
      <c r="N4786" t="s">
        <v>45</v>
      </c>
      <c r="O4786" t="s">
        <v>43</v>
      </c>
      <c r="P4786" t="s">
        <v>43</v>
      </c>
      <c r="Q4786" t="s">
        <v>43</v>
      </c>
      <c r="R4786" t="s">
        <v>43</v>
      </c>
      <c r="S4786" t="s">
        <v>43</v>
      </c>
      <c r="T4786" t="s">
        <v>43</v>
      </c>
      <c r="U4786" t="s">
        <v>43</v>
      </c>
      <c r="V4786" t="s">
        <v>43</v>
      </c>
      <c r="W4786" t="s">
        <v>43</v>
      </c>
      <c r="X4786" t="s">
        <v>43</v>
      </c>
      <c r="Y4786" t="s">
        <v>43</v>
      </c>
      <c r="Z4786" t="s">
        <v>43</v>
      </c>
      <c r="AA4786" t="s">
        <v>43</v>
      </c>
      <c r="AB4786" t="s">
        <v>43</v>
      </c>
      <c r="AC4786" t="s">
        <v>43</v>
      </c>
      <c r="AD4786" t="s">
        <v>43</v>
      </c>
      <c r="AE4786" t="s">
        <v>43</v>
      </c>
      <c r="AF4786" t="s">
        <v>43</v>
      </c>
      <c r="AG4786" t="s">
        <v>43</v>
      </c>
      <c r="AH4786" t="s">
        <v>43</v>
      </c>
      <c r="AI4786" t="s">
        <v>43</v>
      </c>
      <c r="AJ4786" t="s">
        <v>43</v>
      </c>
      <c r="AK4786" t="s">
        <v>43</v>
      </c>
      <c r="AL4786" t="s">
        <v>43</v>
      </c>
      <c r="AM4786" t="s">
        <v>43</v>
      </c>
      <c r="AN4786" t="s">
        <v>43</v>
      </c>
    </row>
    <row r="4787" spans="1:40" x14ac:dyDescent="0.3">
      <c r="A4787" s="1">
        <v>46210.445254629631</v>
      </c>
      <c r="B4787" t="s">
        <v>40</v>
      </c>
      <c r="C4787" t="s">
        <v>41</v>
      </c>
      <c r="D4787" s="1">
        <v>46210.448182870372</v>
      </c>
      <c r="E4787" t="s">
        <v>42</v>
      </c>
      <c r="F4787" t="s">
        <v>43</v>
      </c>
      <c r="G4787" t="s">
        <v>43</v>
      </c>
      <c r="H4787" t="s">
        <v>43</v>
      </c>
      <c r="I4787" t="s">
        <v>2764</v>
      </c>
      <c r="J4787" t="s">
        <v>43</v>
      </c>
      <c r="K4787" t="s">
        <v>43</v>
      </c>
      <c r="L4787" t="s">
        <v>43</v>
      </c>
      <c r="M4787" t="s">
        <v>43</v>
      </c>
      <c r="N4787" t="s">
        <v>45</v>
      </c>
      <c r="O4787" t="s">
        <v>43</v>
      </c>
      <c r="P4787" t="s">
        <v>43</v>
      </c>
      <c r="Q4787" t="s">
        <v>43</v>
      </c>
      <c r="R4787" t="s">
        <v>43</v>
      </c>
      <c r="S4787" t="s">
        <v>43</v>
      </c>
      <c r="T4787" t="s">
        <v>43</v>
      </c>
      <c r="U4787" t="s">
        <v>43</v>
      </c>
      <c r="V4787" t="s">
        <v>43</v>
      </c>
      <c r="W4787" t="s">
        <v>43</v>
      </c>
      <c r="X4787" t="s">
        <v>43</v>
      </c>
      <c r="Y4787" t="s">
        <v>43</v>
      </c>
      <c r="Z4787" t="s">
        <v>43</v>
      </c>
      <c r="AA4787" t="s">
        <v>43</v>
      </c>
      <c r="AB4787" t="s">
        <v>43</v>
      </c>
      <c r="AC4787" t="s">
        <v>43</v>
      </c>
      <c r="AD4787" t="s">
        <v>43</v>
      </c>
      <c r="AE4787" t="s">
        <v>43</v>
      </c>
      <c r="AF4787" t="s">
        <v>43</v>
      </c>
      <c r="AG4787" t="s">
        <v>43</v>
      </c>
      <c r="AH4787" t="s">
        <v>43</v>
      </c>
      <c r="AI4787" t="s">
        <v>43</v>
      </c>
      <c r="AJ4787" t="s">
        <v>43</v>
      </c>
      <c r="AK4787" t="s">
        <v>43</v>
      </c>
      <c r="AL4787" t="s">
        <v>43</v>
      </c>
      <c r="AM4787" t="s">
        <v>43</v>
      </c>
      <c r="AN4787" t="str">
        <f>HYPERLINK("https://www.google.com/maps?q=10.83224678,79.84018707","Open Location")</f>
        <v>Open Location</v>
      </c>
    </row>
    <row r="4788" spans="1:40" x14ac:dyDescent="0.3">
      <c r="A4788" s="1">
        <v>46210.445138888892</v>
      </c>
      <c r="B4788" t="s">
        <v>40</v>
      </c>
      <c r="C4788" t="s">
        <v>41</v>
      </c>
      <c r="D4788" s="1">
        <v>46210.448125000003</v>
      </c>
      <c r="E4788" t="s">
        <v>42</v>
      </c>
      <c r="F4788" t="s">
        <v>43</v>
      </c>
      <c r="G4788" t="s">
        <v>43</v>
      </c>
      <c r="H4788" t="s">
        <v>43</v>
      </c>
      <c r="I4788" t="s">
        <v>2765</v>
      </c>
      <c r="J4788" t="s">
        <v>43</v>
      </c>
      <c r="K4788" t="s">
        <v>43</v>
      </c>
      <c r="L4788" t="s">
        <v>43</v>
      </c>
      <c r="M4788" t="s">
        <v>43</v>
      </c>
      <c r="N4788" t="s">
        <v>45</v>
      </c>
      <c r="O4788" t="s">
        <v>43</v>
      </c>
      <c r="P4788" t="s">
        <v>43</v>
      </c>
      <c r="Q4788" t="s">
        <v>43</v>
      </c>
      <c r="R4788" t="s">
        <v>43</v>
      </c>
      <c r="S4788" t="s">
        <v>43</v>
      </c>
      <c r="T4788" t="s">
        <v>43</v>
      </c>
      <c r="U4788" t="s">
        <v>43</v>
      </c>
      <c r="V4788" t="s">
        <v>43</v>
      </c>
      <c r="W4788" t="s">
        <v>43</v>
      </c>
      <c r="X4788" t="s">
        <v>43</v>
      </c>
      <c r="Y4788" t="s">
        <v>43</v>
      </c>
      <c r="Z4788" t="s">
        <v>43</v>
      </c>
      <c r="AA4788" t="s">
        <v>43</v>
      </c>
      <c r="AB4788" t="s">
        <v>43</v>
      </c>
      <c r="AC4788" t="s">
        <v>43</v>
      </c>
      <c r="AD4788" t="s">
        <v>43</v>
      </c>
      <c r="AE4788" t="s">
        <v>43</v>
      </c>
      <c r="AF4788" t="s">
        <v>43</v>
      </c>
      <c r="AG4788" t="s">
        <v>43</v>
      </c>
      <c r="AH4788" t="s">
        <v>43</v>
      </c>
      <c r="AI4788" t="s">
        <v>43</v>
      </c>
      <c r="AJ4788" t="s">
        <v>43</v>
      </c>
      <c r="AK4788" t="s">
        <v>43</v>
      </c>
      <c r="AL4788" t="s">
        <v>43</v>
      </c>
      <c r="AM4788" t="s">
        <v>43</v>
      </c>
      <c r="AN4788" t="str">
        <f>HYPERLINK("https://www.google.com/maps?q=10.83224678,79.8401947","Open Location")</f>
        <v>Open Location</v>
      </c>
    </row>
    <row r="4789" spans="1:40" x14ac:dyDescent="0.3">
      <c r="A4789" s="1">
        <v>46210.445023148146</v>
      </c>
      <c r="B4789" t="s">
        <v>40</v>
      </c>
      <c r="C4789" t="s">
        <v>41</v>
      </c>
      <c r="D4789" s="1">
        <v>46210.447789351849</v>
      </c>
      <c r="E4789" t="s">
        <v>42</v>
      </c>
      <c r="F4789" t="s">
        <v>43</v>
      </c>
      <c r="G4789" t="s">
        <v>43</v>
      </c>
      <c r="H4789" t="s">
        <v>43</v>
      </c>
      <c r="I4789" t="s">
        <v>2766</v>
      </c>
      <c r="J4789" t="s">
        <v>43</v>
      </c>
      <c r="K4789" t="s">
        <v>43</v>
      </c>
      <c r="L4789" t="s">
        <v>43</v>
      </c>
      <c r="M4789" t="s">
        <v>43</v>
      </c>
      <c r="N4789" t="s">
        <v>45</v>
      </c>
      <c r="O4789" t="s">
        <v>43</v>
      </c>
      <c r="P4789" t="s">
        <v>43</v>
      </c>
      <c r="Q4789" t="s">
        <v>43</v>
      </c>
      <c r="R4789" t="s">
        <v>43</v>
      </c>
      <c r="S4789" t="s">
        <v>43</v>
      </c>
      <c r="T4789" t="s">
        <v>43</v>
      </c>
      <c r="U4789" t="s">
        <v>43</v>
      </c>
      <c r="V4789" t="s">
        <v>43</v>
      </c>
      <c r="W4789" t="s">
        <v>43</v>
      </c>
      <c r="X4789" t="s">
        <v>43</v>
      </c>
      <c r="Y4789" t="s">
        <v>43</v>
      </c>
      <c r="Z4789" t="s">
        <v>43</v>
      </c>
      <c r="AA4789" t="s">
        <v>43</v>
      </c>
      <c r="AB4789" t="s">
        <v>43</v>
      </c>
      <c r="AC4789" t="s">
        <v>43</v>
      </c>
      <c r="AD4789" t="s">
        <v>43</v>
      </c>
      <c r="AE4789" t="s">
        <v>43</v>
      </c>
      <c r="AF4789" t="s">
        <v>43</v>
      </c>
      <c r="AG4789" t="s">
        <v>43</v>
      </c>
      <c r="AH4789" t="s">
        <v>43</v>
      </c>
      <c r="AI4789" t="s">
        <v>43</v>
      </c>
      <c r="AJ4789" t="s">
        <v>43</v>
      </c>
      <c r="AK4789" t="s">
        <v>43</v>
      </c>
      <c r="AL4789" t="s">
        <v>43</v>
      </c>
      <c r="AM4789" t="s">
        <v>43</v>
      </c>
      <c r="AN4789" t="str">
        <f>HYPERLINK("https://www.google.com/maps?q=10.8322506,79.8401947","Open Location")</f>
        <v>Open Location</v>
      </c>
    </row>
    <row r="4790" spans="1:40" x14ac:dyDescent="0.3">
      <c r="A4790" s="1">
        <v>46210.444907407407</v>
      </c>
      <c r="B4790" t="s">
        <v>40</v>
      </c>
      <c r="C4790" t="s">
        <v>41</v>
      </c>
      <c r="D4790" s="1">
        <v>46210.447905092595</v>
      </c>
      <c r="E4790" t="s">
        <v>42</v>
      </c>
      <c r="F4790" t="s">
        <v>43</v>
      </c>
      <c r="G4790" t="s">
        <v>43</v>
      </c>
      <c r="H4790" t="s">
        <v>43</v>
      </c>
      <c r="I4790" t="s">
        <v>2767</v>
      </c>
      <c r="J4790" t="s">
        <v>43</v>
      </c>
      <c r="K4790" t="s">
        <v>43</v>
      </c>
      <c r="L4790" t="s">
        <v>43</v>
      </c>
      <c r="M4790" t="s">
        <v>43</v>
      </c>
      <c r="N4790" t="s">
        <v>45</v>
      </c>
      <c r="O4790" t="s">
        <v>43</v>
      </c>
      <c r="P4790" t="s">
        <v>43</v>
      </c>
      <c r="Q4790" t="s">
        <v>43</v>
      </c>
      <c r="R4790" t="s">
        <v>43</v>
      </c>
      <c r="S4790" t="s">
        <v>43</v>
      </c>
      <c r="T4790" t="s">
        <v>43</v>
      </c>
      <c r="U4790" t="s">
        <v>43</v>
      </c>
      <c r="V4790" t="s">
        <v>43</v>
      </c>
      <c r="W4790" t="s">
        <v>43</v>
      </c>
      <c r="X4790" t="s">
        <v>43</v>
      </c>
      <c r="Y4790" t="s">
        <v>43</v>
      </c>
      <c r="Z4790" t="s">
        <v>43</v>
      </c>
      <c r="AA4790" t="s">
        <v>43</v>
      </c>
      <c r="AB4790" t="s">
        <v>43</v>
      </c>
      <c r="AC4790" t="s">
        <v>43</v>
      </c>
      <c r="AD4790" t="s">
        <v>43</v>
      </c>
      <c r="AE4790" t="s">
        <v>43</v>
      </c>
      <c r="AF4790" t="s">
        <v>43</v>
      </c>
      <c r="AG4790" t="s">
        <v>43</v>
      </c>
      <c r="AH4790" t="s">
        <v>43</v>
      </c>
      <c r="AI4790" t="s">
        <v>43</v>
      </c>
      <c r="AJ4790" t="s">
        <v>43</v>
      </c>
      <c r="AK4790" t="s">
        <v>43</v>
      </c>
      <c r="AL4790" t="s">
        <v>43</v>
      </c>
      <c r="AM4790" t="s">
        <v>43</v>
      </c>
      <c r="AN4790" t="str">
        <f>HYPERLINK("https://www.google.com/maps?q=10.83225441,79.8401947","Open Location")</f>
        <v>Open Location</v>
      </c>
    </row>
    <row r="4791" spans="1:40" x14ac:dyDescent="0.3">
      <c r="A4791" s="1">
        <v>46210.444791666669</v>
      </c>
      <c r="B4791" t="s">
        <v>40</v>
      </c>
      <c r="C4791" t="s">
        <v>41</v>
      </c>
      <c r="D4791" s="1">
        <v>46210.447662037041</v>
      </c>
      <c r="E4791" t="s">
        <v>42</v>
      </c>
      <c r="F4791" t="s">
        <v>43</v>
      </c>
      <c r="G4791" t="s">
        <v>43</v>
      </c>
      <c r="H4791" t="s">
        <v>43</v>
      </c>
      <c r="I4791" t="s">
        <v>2768</v>
      </c>
      <c r="J4791" t="s">
        <v>43</v>
      </c>
      <c r="K4791" t="s">
        <v>43</v>
      </c>
      <c r="L4791" t="s">
        <v>43</v>
      </c>
      <c r="M4791" t="s">
        <v>43</v>
      </c>
      <c r="N4791" t="s">
        <v>45</v>
      </c>
      <c r="O4791" t="s">
        <v>43</v>
      </c>
      <c r="P4791" t="s">
        <v>43</v>
      </c>
      <c r="Q4791" t="s">
        <v>43</v>
      </c>
      <c r="R4791" t="s">
        <v>43</v>
      </c>
      <c r="S4791" t="s">
        <v>43</v>
      </c>
      <c r="T4791" t="s">
        <v>43</v>
      </c>
      <c r="U4791" t="s">
        <v>43</v>
      </c>
      <c r="V4791" t="s">
        <v>43</v>
      </c>
      <c r="W4791" t="s">
        <v>43</v>
      </c>
      <c r="X4791" t="s">
        <v>43</v>
      </c>
      <c r="Y4791" t="s">
        <v>43</v>
      </c>
      <c r="Z4791" t="s">
        <v>43</v>
      </c>
      <c r="AA4791" t="s">
        <v>43</v>
      </c>
      <c r="AB4791" t="s">
        <v>43</v>
      </c>
      <c r="AC4791" t="s">
        <v>43</v>
      </c>
      <c r="AD4791" t="s">
        <v>43</v>
      </c>
      <c r="AE4791" t="s">
        <v>43</v>
      </c>
      <c r="AF4791" t="s">
        <v>43</v>
      </c>
      <c r="AG4791" t="s">
        <v>43</v>
      </c>
      <c r="AH4791" t="s">
        <v>43</v>
      </c>
      <c r="AI4791" t="s">
        <v>43</v>
      </c>
      <c r="AJ4791" t="s">
        <v>43</v>
      </c>
      <c r="AK4791" t="s">
        <v>43</v>
      </c>
      <c r="AL4791" t="s">
        <v>43</v>
      </c>
      <c r="AM4791" t="s">
        <v>43</v>
      </c>
      <c r="AN4791" t="str">
        <f>HYPERLINK("https://www.google.com/maps?q=10.83225536,79.8401947","Open Location")</f>
        <v>Open Location</v>
      </c>
    </row>
    <row r="4792" spans="1:40" x14ac:dyDescent="0.3">
      <c r="A4792" s="1">
        <v>46210.444675925923</v>
      </c>
      <c r="B4792" t="s">
        <v>40</v>
      </c>
      <c r="C4792" t="s">
        <v>41</v>
      </c>
      <c r="D4792" s="1">
        <v>46210.447442129633</v>
      </c>
      <c r="E4792" t="s">
        <v>42</v>
      </c>
      <c r="F4792" t="s">
        <v>43</v>
      </c>
      <c r="G4792" t="s">
        <v>43</v>
      </c>
      <c r="H4792" t="s">
        <v>43</v>
      </c>
      <c r="I4792" t="s">
        <v>43</v>
      </c>
      <c r="J4792" t="s">
        <v>43</v>
      </c>
      <c r="K4792" t="s">
        <v>43</v>
      </c>
      <c r="L4792" t="s">
        <v>43</v>
      </c>
      <c r="M4792" t="s">
        <v>43</v>
      </c>
      <c r="N4792" t="s">
        <v>45</v>
      </c>
      <c r="O4792" t="s">
        <v>43</v>
      </c>
      <c r="P4792" t="s">
        <v>43</v>
      </c>
      <c r="Q4792" t="s">
        <v>43</v>
      </c>
      <c r="R4792" t="s">
        <v>43</v>
      </c>
      <c r="S4792" t="s">
        <v>43</v>
      </c>
      <c r="T4792" t="s">
        <v>43</v>
      </c>
      <c r="U4792" t="s">
        <v>43</v>
      </c>
      <c r="V4792" t="s">
        <v>43</v>
      </c>
      <c r="W4792" t="s">
        <v>43</v>
      </c>
      <c r="X4792" t="s">
        <v>43</v>
      </c>
      <c r="Y4792" t="s">
        <v>43</v>
      </c>
      <c r="Z4792" t="s">
        <v>43</v>
      </c>
      <c r="AA4792" t="s">
        <v>43</v>
      </c>
      <c r="AB4792" t="s">
        <v>43</v>
      </c>
      <c r="AC4792" t="s">
        <v>43</v>
      </c>
      <c r="AD4792" t="s">
        <v>43</v>
      </c>
      <c r="AE4792" t="s">
        <v>43</v>
      </c>
      <c r="AF4792" t="s">
        <v>43</v>
      </c>
      <c r="AG4792" t="s">
        <v>43</v>
      </c>
      <c r="AH4792" t="s">
        <v>43</v>
      </c>
      <c r="AI4792" t="s">
        <v>43</v>
      </c>
      <c r="AJ4792" t="s">
        <v>43</v>
      </c>
      <c r="AK4792" t="s">
        <v>43</v>
      </c>
      <c r="AL4792" t="s">
        <v>43</v>
      </c>
      <c r="AM4792" t="s">
        <v>43</v>
      </c>
      <c r="AN4792" t="s">
        <v>43</v>
      </c>
    </row>
    <row r="4793" spans="1:40" x14ac:dyDescent="0.3">
      <c r="A4793" s="1">
        <v>46210.444560185184</v>
      </c>
      <c r="B4793" t="s">
        <v>40</v>
      </c>
      <c r="C4793" t="s">
        <v>41</v>
      </c>
      <c r="D4793" s="1">
        <v>46210.447465277779</v>
      </c>
      <c r="E4793" t="s">
        <v>42</v>
      </c>
      <c r="F4793" t="s">
        <v>43</v>
      </c>
      <c r="G4793" t="s">
        <v>43</v>
      </c>
      <c r="H4793" t="s">
        <v>43</v>
      </c>
      <c r="I4793" t="s">
        <v>2767</v>
      </c>
      <c r="J4793" t="s">
        <v>43</v>
      </c>
      <c r="K4793" t="s">
        <v>43</v>
      </c>
      <c r="L4793" t="s">
        <v>43</v>
      </c>
      <c r="M4793" t="s">
        <v>43</v>
      </c>
      <c r="N4793" t="s">
        <v>45</v>
      </c>
      <c r="O4793" t="s">
        <v>43</v>
      </c>
      <c r="P4793" t="s">
        <v>43</v>
      </c>
      <c r="Q4793" t="s">
        <v>43</v>
      </c>
      <c r="R4793" t="s">
        <v>43</v>
      </c>
      <c r="S4793" t="s">
        <v>43</v>
      </c>
      <c r="T4793" t="s">
        <v>43</v>
      </c>
      <c r="U4793" t="s">
        <v>43</v>
      </c>
      <c r="V4793" t="s">
        <v>43</v>
      </c>
      <c r="W4793" t="s">
        <v>43</v>
      </c>
      <c r="X4793" t="s">
        <v>43</v>
      </c>
      <c r="Y4793" t="s">
        <v>43</v>
      </c>
      <c r="Z4793" t="s">
        <v>43</v>
      </c>
      <c r="AA4793" t="s">
        <v>43</v>
      </c>
      <c r="AB4793" t="s">
        <v>43</v>
      </c>
      <c r="AC4793" t="s">
        <v>43</v>
      </c>
      <c r="AD4793" t="s">
        <v>43</v>
      </c>
      <c r="AE4793" t="s">
        <v>43</v>
      </c>
      <c r="AF4793" t="s">
        <v>43</v>
      </c>
      <c r="AG4793" t="s">
        <v>43</v>
      </c>
      <c r="AH4793" t="s">
        <v>43</v>
      </c>
      <c r="AI4793" t="s">
        <v>43</v>
      </c>
      <c r="AJ4793" t="s">
        <v>43</v>
      </c>
      <c r="AK4793" t="s">
        <v>43</v>
      </c>
      <c r="AL4793" t="s">
        <v>43</v>
      </c>
      <c r="AM4793" t="s">
        <v>43</v>
      </c>
      <c r="AN4793" t="str">
        <f>HYPERLINK("https://www.google.com/maps?q=10.83225441,79.8401947","Open Location")</f>
        <v>Open Location</v>
      </c>
    </row>
    <row r="4794" spans="1:40" x14ac:dyDescent="0.3">
      <c r="A4794" s="1">
        <v>46210.444444444445</v>
      </c>
      <c r="B4794" t="s">
        <v>40</v>
      </c>
      <c r="C4794" t="s">
        <v>41</v>
      </c>
      <c r="D4794" s="1">
        <v>46210.447129629632</v>
      </c>
      <c r="E4794" t="s">
        <v>42</v>
      </c>
      <c r="F4794" t="s">
        <v>43</v>
      </c>
      <c r="G4794" t="s">
        <v>43</v>
      </c>
      <c r="H4794" t="s">
        <v>43</v>
      </c>
      <c r="I4794" t="s">
        <v>2769</v>
      </c>
      <c r="J4794" t="s">
        <v>43</v>
      </c>
      <c r="K4794" t="s">
        <v>43</v>
      </c>
      <c r="L4794" t="s">
        <v>43</v>
      </c>
      <c r="M4794" t="s">
        <v>43</v>
      </c>
      <c r="N4794" t="s">
        <v>45</v>
      </c>
      <c r="O4794" t="s">
        <v>43</v>
      </c>
      <c r="P4794" t="s">
        <v>43</v>
      </c>
      <c r="Q4794" t="s">
        <v>43</v>
      </c>
      <c r="R4794" t="s">
        <v>43</v>
      </c>
      <c r="S4794" t="s">
        <v>43</v>
      </c>
      <c r="T4794" t="s">
        <v>43</v>
      </c>
      <c r="U4794" t="s">
        <v>43</v>
      </c>
      <c r="V4794" t="s">
        <v>43</v>
      </c>
      <c r="W4794" t="s">
        <v>43</v>
      </c>
      <c r="X4794" t="s">
        <v>43</v>
      </c>
      <c r="Y4794" t="s">
        <v>43</v>
      </c>
      <c r="Z4794" t="s">
        <v>43</v>
      </c>
      <c r="AA4794" t="s">
        <v>43</v>
      </c>
      <c r="AB4794" t="s">
        <v>43</v>
      </c>
      <c r="AC4794" t="s">
        <v>43</v>
      </c>
      <c r="AD4794" t="s">
        <v>43</v>
      </c>
      <c r="AE4794" t="s">
        <v>43</v>
      </c>
      <c r="AF4794" t="s">
        <v>43</v>
      </c>
      <c r="AG4794" t="s">
        <v>43</v>
      </c>
      <c r="AH4794" t="s">
        <v>43</v>
      </c>
      <c r="AI4794" t="s">
        <v>43</v>
      </c>
      <c r="AJ4794" t="s">
        <v>43</v>
      </c>
      <c r="AK4794" t="s">
        <v>43</v>
      </c>
      <c r="AL4794" t="s">
        <v>43</v>
      </c>
      <c r="AM4794" t="s">
        <v>43</v>
      </c>
      <c r="AN4794" t="str">
        <f>HYPERLINK("https://www.google.com/maps?q=10.83225155,79.84020233","Open Location")</f>
        <v>Open Location</v>
      </c>
    </row>
    <row r="4795" spans="1:40" x14ac:dyDescent="0.3">
      <c r="A4795" s="1">
        <v>46210.444328703707</v>
      </c>
      <c r="B4795" t="s">
        <v>40</v>
      </c>
      <c r="C4795" t="s">
        <v>41</v>
      </c>
      <c r="D4795" s="1">
        <v>46210.447129629632</v>
      </c>
      <c r="E4795" t="s">
        <v>42</v>
      </c>
      <c r="F4795" t="s">
        <v>43</v>
      </c>
      <c r="G4795" t="s">
        <v>43</v>
      </c>
      <c r="H4795" t="s">
        <v>43</v>
      </c>
      <c r="I4795" t="s">
        <v>2669</v>
      </c>
      <c r="J4795" t="s">
        <v>43</v>
      </c>
      <c r="K4795" t="s">
        <v>43</v>
      </c>
      <c r="L4795" t="s">
        <v>43</v>
      </c>
      <c r="M4795" t="s">
        <v>43</v>
      </c>
      <c r="N4795" t="s">
        <v>45</v>
      </c>
      <c r="O4795" t="s">
        <v>43</v>
      </c>
      <c r="P4795" t="s">
        <v>43</v>
      </c>
      <c r="Q4795" t="s">
        <v>43</v>
      </c>
      <c r="R4795" t="s">
        <v>43</v>
      </c>
      <c r="S4795" t="s">
        <v>43</v>
      </c>
      <c r="T4795" t="s">
        <v>43</v>
      </c>
      <c r="U4795" t="s">
        <v>43</v>
      </c>
      <c r="V4795" t="s">
        <v>43</v>
      </c>
      <c r="W4795" t="s">
        <v>43</v>
      </c>
      <c r="X4795" t="s">
        <v>43</v>
      </c>
      <c r="Y4795" t="s">
        <v>43</v>
      </c>
      <c r="Z4795" t="s">
        <v>43</v>
      </c>
      <c r="AA4795" t="s">
        <v>43</v>
      </c>
      <c r="AB4795" t="s">
        <v>43</v>
      </c>
      <c r="AC4795" t="s">
        <v>43</v>
      </c>
      <c r="AD4795" t="s">
        <v>43</v>
      </c>
      <c r="AE4795" t="s">
        <v>43</v>
      </c>
      <c r="AF4795" t="s">
        <v>43</v>
      </c>
      <c r="AG4795" t="s">
        <v>43</v>
      </c>
      <c r="AH4795" t="s">
        <v>43</v>
      </c>
      <c r="AI4795" t="s">
        <v>43</v>
      </c>
      <c r="AJ4795" t="s">
        <v>43</v>
      </c>
      <c r="AK4795" t="s">
        <v>43</v>
      </c>
      <c r="AL4795" t="s">
        <v>43</v>
      </c>
      <c r="AM4795" t="s">
        <v>43</v>
      </c>
      <c r="AN4795" t="str">
        <f>HYPERLINK("https://www.google.com/maps?q=10.83224964,79.84020233","Open Location")</f>
        <v>Open Location</v>
      </c>
    </row>
    <row r="4796" spans="1:40" x14ac:dyDescent="0.3">
      <c r="A4796" s="1">
        <v>46210.444212962961</v>
      </c>
      <c r="B4796" t="s">
        <v>40</v>
      </c>
      <c r="C4796" t="s">
        <v>41</v>
      </c>
      <c r="D4796" s="1">
        <v>46210.447106481479</v>
      </c>
      <c r="E4796" t="s">
        <v>42</v>
      </c>
      <c r="F4796" t="s">
        <v>43</v>
      </c>
      <c r="G4796" t="s">
        <v>43</v>
      </c>
      <c r="H4796" t="s">
        <v>43</v>
      </c>
      <c r="I4796" t="s">
        <v>2770</v>
      </c>
      <c r="J4796" t="s">
        <v>43</v>
      </c>
      <c r="K4796" t="s">
        <v>43</v>
      </c>
      <c r="L4796" t="s">
        <v>43</v>
      </c>
      <c r="M4796" t="s">
        <v>43</v>
      </c>
      <c r="N4796" t="s">
        <v>45</v>
      </c>
      <c r="O4796" t="s">
        <v>43</v>
      </c>
      <c r="P4796" t="s">
        <v>43</v>
      </c>
      <c r="Q4796" t="s">
        <v>43</v>
      </c>
      <c r="R4796" t="s">
        <v>43</v>
      </c>
      <c r="S4796" t="s">
        <v>43</v>
      </c>
      <c r="T4796" t="s">
        <v>43</v>
      </c>
      <c r="U4796" t="s">
        <v>43</v>
      </c>
      <c r="V4796" t="s">
        <v>43</v>
      </c>
      <c r="W4796" t="s">
        <v>43</v>
      </c>
      <c r="X4796" t="s">
        <v>43</v>
      </c>
      <c r="Y4796" t="s">
        <v>43</v>
      </c>
      <c r="Z4796" t="s">
        <v>43</v>
      </c>
      <c r="AA4796" t="s">
        <v>43</v>
      </c>
      <c r="AB4796" t="s">
        <v>43</v>
      </c>
      <c r="AC4796" t="s">
        <v>43</v>
      </c>
      <c r="AD4796" t="s">
        <v>43</v>
      </c>
      <c r="AE4796" t="s">
        <v>43</v>
      </c>
      <c r="AF4796" t="s">
        <v>43</v>
      </c>
      <c r="AG4796" t="s">
        <v>43</v>
      </c>
      <c r="AH4796" t="s">
        <v>43</v>
      </c>
      <c r="AI4796" t="s">
        <v>43</v>
      </c>
      <c r="AJ4796" t="s">
        <v>43</v>
      </c>
      <c r="AK4796" t="s">
        <v>43</v>
      </c>
      <c r="AL4796" t="s">
        <v>43</v>
      </c>
      <c r="AM4796" t="s">
        <v>43</v>
      </c>
      <c r="AN4796" t="str">
        <f>HYPERLINK("https://www.google.com/maps?q=10.83225441,79.84020996","Open Location")</f>
        <v>Open Location</v>
      </c>
    </row>
    <row r="4797" spans="1:40" x14ac:dyDescent="0.3">
      <c r="A4797" s="1">
        <v>46210.444097222222</v>
      </c>
      <c r="B4797" t="s">
        <v>40</v>
      </c>
      <c r="C4797" t="s">
        <v>41</v>
      </c>
      <c r="D4797" s="1">
        <v>46210.447488425925</v>
      </c>
      <c r="E4797" t="s">
        <v>42</v>
      </c>
      <c r="F4797" t="s">
        <v>43</v>
      </c>
      <c r="G4797" t="s">
        <v>43</v>
      </c>
      <c r="H4797" t="s">
        <v>43</v>
      </c>
      <c r="I4797" t="s">
        <v>43</v>
      </c>
      <c r="J4797" t="s">
        <v>43</v>
      </c>
      <c r="K4797" t="s">
        <v>43</v>
      </c>
      <c r="L4797" t="s">
        <v>43</v>
      </c>
      <c r="M4797" t="s">
        <v>43</v>
      </c>
      <c r="N4797" t="s">
        <v>45</v>
      </c>
      <c r="O4797" t="s">
        <v>43</v>
      </c>
      <c r="P4797" t="s">
        <v>43</v>
      </c>
      <c r="Q4797" t="s">
        <v>43</v>
      </c>
      <c r="R4797" t="s">
        <v>43</v>
      </c>
      <c r="S4797" t="s">
        <v>43</v>
      </c>
      <c r="T4797" t="s">
        <v>43</v>
      </c>
      <c r="U4797" t="s">
        <v>43</v>
      </c>
      <c r="V4797" t="s">
        <v>43</v>
      </c>
      <c r="W4797" t="s">
        <v>43</v>
      </c>
      <c r="X4797" t="s">
        <v>43</v>
      </c>
      <c r="Y4797" t="s">
        <v>43</v>
      </c>
      <c r="Z4797" t="s">
        <v>43</v>
      </c>
      <c r="AA4797" t="s">
        <v>43</v>
      </c>
      <c r="AB4797" t="s">
        <v>43</v>
      </c>
      <c r="AC4797" t="s">
        <v>43</v>
      </c>
      <c r="AD4797" t="s">
        <v>43</v>
      </c>
      <c r="AE4797" t="s">
        <v>43</v>
      </c>
      <c r="AF4797" t="s">
        <v>43</v>
      </c>
      <c r="AG4797" t="s">
        <v>43</v>
      </c>
      <c r="AH4797" t="s">
        <v>43</v>
      </c>
      <c r="AI4797" t="s">
        <v>43</v>
      </c>
      <c r="AJ4797" t="s">
        <v>43</v>
      </c>
      <c r="AK4797" t="s">
        <v>43</v>
      </c>
      <c r="AL4797" t="s">
        <v>43</v>
      </c>
      <c r="AM4797" t="s">
        <v>43</v>
      </c>
      <c r="AN4797" t="s">
        <v>43</v>
      </c>
    </row>
    <row r="4798" spans="1:40" x14ac:dyDescent="0.3">
      <c r="A4798" s="1">
        <v>46210.443981481483</v>
      </c>
      <c r="B4798" t="s">
        <v>40</v>
      </c>
      <c r="C4798" t="s">
        <v>41</v>
      </c>
      <c r="D4798" s="1">
        <v>46210.446712962963</v>
      </c>
      <c r="E4798" t="s">
        <v>42</v>
      </c>
      <c r="F4798" t="s">
        <v>43</v>
      </c>
      <c r="G4798" t="s">
        <v>43</v>
      </c>
      <c r="H4798" t="s">
        <v>43</v>
      </c>
      <c r="I4798" t="s">
        <v>2698</v>
      </c>
      <c r="J4798" t="s">
        <v>43</v>
      </c>
      <c r="K4798" t="s">
        <v>43</v>
      </c>
      <c r="L4798" t="s">
        <v>43</v>
      </c>
      <c r="M4798" t="s">
        <v>43</v>
      </c>
      <c r="N4798" t="s">
        <v>45</v>
      </c>
      <c r="O4798" t="s">
        <v>43</v>
      </c>
      <c r="P4798" t="s">
        <v>43</v>
      </c>
      <c r="Q4798" t="s">
        <v>43</v>
      </c>
      <c r="R4798" t="s">
        <v>43</v>
      </c>
      <c r="S4798" t="s">
        <v>43</v>
      </c>
      <c r="T4798" t="s">
        <v>43</v>
      </c>
      <c r="U4798" t="s">
        <v>43</v>
      </c>
      <c r="V4798" t="s">
        <v>43</v>
      </c>
      <c r="W4798" t="s">
        <v>43</v>
      </c>
      <c r="X4798" t="s">
        <v>43</v>
      </c>
      <c r="Y4798" t="s">
        <v>43</v>
      </c>
      <c r="Z4798" t="s">
        <v>43</v>
      </c>
      <c r="AA4798" t="s">
        <v>43</v>
      </c>
      <c r="AB4798" t="s">
        <v>43</v>
      </c>
      <c r="AC4798" t="s">
        <v>43</v>
      </c>
      <c r="AD4798" t="s">
        <v>43</v>
      </c>
      <c r="AE4798" t="s">
        <v>43</v>
      </c>
      <c r="AF4798" t="s">
        <v>43</v>
      </c>
      <c r="AG4798" t="s">
        <v>43</v>
      </c>
      <c r="AH4798" t="s">
        <v>43</v>
      </c>
      <c r="AI4798" t="s">
        <v>43</v>
      </c>
      <c r="AJ4798" t="s">
        <v>43</v>
      </c>
      <c r="AK4798" t="s">
        <v>43</v>
      </c>
      <c r="AL4798" t="s">
        <v>43</v>
      </c>
      <c r="AM4798" t="s">
        <v>43</v>
      </c>
      <c r="AN4798" t="str">
        <f>HYPERLINK("https://www.google.com/maps?q=10.83225632,79.84020996","Open Location")</f>
        <v>Open Location</v>
      </c>
    </row>
    <row r="4799" spans="1:40" x14ac:dyDescent="0.3">
      <c r="A4799" s="1">
        <v>46210.443865740737</v>
      </c>
      <c r="B4799" t="s">
        <v>40</v>
      </c>
      <c r="C4799" t="s">
        <v>41</v>
      </c>
      <c r="D4799" s="1">
        <v>46210.446770833332</v>
      </c>
      <c r="E4799" t="s">
        <v>42</v>
      </c>
      <c r="F4799" t="s">
        <v>43</v>
      </c>
      <c r="G4799" t="s">
        <v>43</v>
      </c>
      <c r="H4799" t="s">
        <v>43</v>
      </c>
      <c r="I4799" t="s">
        <v>2771</v>
      </c>
      <c r="J4799" t="s">
        <v>43</v>
      </c>
      <c r="K4799" t="s">
        <v>43</v>
      </c>
      <c r="L4799" t="s">
        <v>43</v>
      </c>
      <c r="M4799" t="s">
        <v>43</v>
      </c>
      <c r="N4799" t="s">
        <v>45</v>
      </c>
      <c r="O4799" t="s">
        <v>43</v>
      </c>
      <c r="P4799" t="s">
        <v>43</v>
      </c>
      <c r="Q4799" t="s">
        <v>43</v>
      </c>
      <c r="R4799" t="s">
        <v>43</v>
      </c>
      <c r="S4799" t="s">
        <v>43</v>
      </c>
      <c r="T4799" t="s">
        <v>43</v>
      </c>
      <c r="U4799" t="s">
        <v>43</v>
      </c>
      <c r="V4799" t="s">
        <v>43</v>
      </c>
      <c r="W4799" t="s">
        <v>43</v>
      </c>
      <c r="X4799" t="s">
        <v>43</v>
      </c>
      <c r="Y4799" t="s">
        <v>43</v>
      </c>
      <c r="Z4799" t="s">
        <v>43</v>
      </c>
      <c r="AA4799" t="s">
        <v>43</v>
      </c>
      <c r="AB4799" t="s">
        <v>43</v>
      </c>
      <c r="AC4799" t="s">
        <v>43</v>
      </c>
      <c r="AD4799" t="s">
        <v>43</v>
      </c>
      <c r="AE4799" t="s">
        <v>43</v>
      </c>
      <c r="AF4799" t="s">
        <v>43</v>
      </c>
      <c r="AG4799" t="s">
        <v>43</v>
      </c>
      <c r="AH4799" t="s">
        <v>43</v>
      </c>
      <c r="AI4799" t="s">
        <v>43</v>
      </c>
      <c r="AJ4799" t="s">
        <v>43</v>
      </c>
      <c r="AK4799" t="s">
        <v>43</v>
      </c>
      <c r="AL4799" t="s">
        <v>43</v>
      </c>
      <c r="AM4799" t="s">
        <v>43</v>
      </c>
      <c r="AN4799" t="str">
        <f>HYPERLINK("https://www.google.com/maps?q=10.83225536,79.84020996","Open Location")</f>
        <v>Open Location</v>
      </c>
    </row>
    <row r="4800" spans="1:40" x14ac:dyDescent="0.3">
      <c r="A4800" s="1">
        <v>46210.443749999999</v>
      </c>
      <c r="B4800" t="s">
        <v>40</v>
      </c>
      <c r="C4800" t="s">
        <v>41</v>
      </c>
      <c r="D4800" s="1">
        <v>46210.446608796294</v>
      </c>
      <c r="E4800" t="s">
        <v>42</v>
      </c>
      <c r="F4800" t="s">
        <v>43</v>
      </c>
      <c r="G4800" t="s">
        <v>43</v>
      </c>
      <c r="H4800" t="s">
        <v>43</v>
      </c>
      <c r="I4800" t="s">
        <v>2772</v>
      </c>
      <c r="J4800" t="s">
        <v>43</v>
      </c>
      <c r="K4800" t="s">
        <v>43</v>
      </c>
      <c r="L4800" t="s">
        <v>43</v>
      </c>
      <c r="M4800" t="s">
        <v>43</v>
      </c>
      <c r="N4800" t="s">
        <v>45</v>
      </c>
      <c r="O4800" t="s">
        <v>43</v>
      </c>
      <c r="P4800" t="s">
        <v>43</v>
      </c>
      <c r="Q4800" t="s">
        <v>43</v>
      </c>
      <c r="R4800" t="s">
        <v>43</v>
      </c>
      <c r="S4800" t="s">
        <v>43</v>
      </c>
      <c r="T4800" t="s">
        <v>43</v>
      </c>
      <c r="U4800" t="s">
        <v>43</v>
      </c>
      <c r="V4800" t="s">
        <v>43</v>
      </c>
      <c r="W4800" t="s">
        <v>43</v>
      </c>
      <c r="X4800" t="s">
        <v>43</v>
      </c>
      <c r="Y4800" t="s">
        <v>43</v>
      </c>
      <c r="Z4800" t="s">
        <v>43</v>
      </c>
      <c r="AA4800" t="s">
        <v>43</v>
      </c>
      <c r="AB4800" t="s">
        <v>43</v>
      </c>
      <c r="AC4800" t="s">
        <v>43</v>
      </c>
      <c r="AD4800" t="s">
        <v>43</v>
      </c>
      <c r="AE4800" t="s">
        <v>43</v>
      </c>
      <c r="AF4800" t="s">
        <v>43</v>
      </c>
      <c r="AG4800" t="s">
        <v>43</v>
      </c>
      <c r="AH4800" t="s">
        <v>43</v>
      </c>
      <c r="AI4800" t="s">
        <v>43</v>
      </c>
      <c r="AJ4800" t="s">
        <v>43</v>
      </c>
      <c r="AK4800" t="s">
        <v>43</v>
      </c>
      <c r="AL4800" t="s">
        <v>43</v>
      </c>
      <c r="AM4800" t="s">
        <v>43</v>
      </c>
      <c r="AN4800" t="str">
        <f>HYPERLINK("https://www.google.com/maps?q=10.83225727,79.84020996","Open Location")</f>
        <v>Open Location</v>
      </c>
    </row>
    <row r="4801" spans="1:40" x14ac:dyDescent="0.3">
      <c r="A4801" s="1">
        <v>46210.44363425926</v>
      </c>
      <c r="B4801" t="s">
        <v>40</v>
      </c>
      <c r="C4801" t="s">
        <v>41</v>
      </c>
      <c r="D4801" s="1">
        <v>46210.446539351855</v>
      </c>
      <c r="E4801" t="s">
        <v>42</v>
      </c>
      <c r="F4801" t="s">
        <v>43</v>
      </c>
      <c r="G4801" t="s">
        <v>43</v>
      </c>
      <c r="H4801" t="s">
        <v>43</v>
      </c>
      <c r="I4801" t="s">
        <v>2773</v>
      </c>
      <c r="J4801" t="s">
        <v>43</v>
      </c>
      <c r="K4801" t="s">
        <v>43</v>
      </c>
      <c r="L4801" t="s">
        <v>43</v>
      </c>
      <c r="M4801" t="s">
        <v>43</v>
      </c>
      <c r="N4801" t="s">
        <v>45</v>
      </c>
      <c r="O4801" t="s">
        <v>43</v>
      </c>
      <c r="P4801" t="s">
        <v>43</v>
      </c>
      <c r="Q4801" t="s">
        <v>43</v>
      </c>
      <c r="R4801" t="s">
        <v>43</v>
      </c>
      <c r="S4801" t="s">
        <v>43</v>
      </c>
      <c r="T4801" t="s">
        <v>43</v>
      </c>
      <c r="U4801" t="s">
        <v>43</v>
      </c>
      <c r="V4801" t="s">
        <v>43</v>
      </c>
      <c r="W4801" t="s">
        <v>43</v>
      </c>
      <c r="X4801" t="s">
        <v>43</v>
      </c>
      <c r="Y4801" t="s">
        <v>43</v>
      </c>
      <c r="Z4801" t="s">
        <v>43</v>
      </c>
      <c r="AA4801" t="s">
        <v>43</v>
      </c>
      <c r="AB4801" t="s">
        <v>43</v>
      </c>
      <c r="AC4801" t="s">
        <v>43</v>
      </c>
      <c r="AD4801" t="s">
        <v>43</v>
      </c>
      <c r="AE4801" t="s">
        <v>43</v>
      </c>
      <c r="AF4801" t="s">
        <v>43</v>
      </c>
      <c r="AG4801" t="s">
        <v>43</v>
      </c>
      <c r="AH4801" t="s">
        <v>43</v>
      </c>
      <c r="AI4801" t="s">
        <v>43</v>
      </c>
      <c r="AJ4801" t="s">
        <v>43</v>
      </c>
      <c r="AK4801" t="s">
        <v>43</v>
      </c>
      <c r="AL4801" t="s">
        <v>43</v>
      </c>
      <c r="AM4801" t="s">
        <v>43</v>
      </c>
      <c r="AN4801" t="str">
        <f>HYPERLINK("https://www.google.com/maps?q=10.83225346,79.84020996","Open Location")</f>
        <v>Open Location</v>
      </c>
    </row>
    <row r="4802" spans="1:40" x14ac:dyDescent="0.3">
      <c r="A4802" s="1">
        <v>46210.443518518521</v>
      </c>
      <c r="B4802" t="s">
        <v>40</v>
      </c>
      <c r="C4802" t="s">
        <v>41</v>
      </c>
      <c r="D4802" s="1">
        <v>46210.446655092594</v>
      </c>
      <c r="E4802" t="s">
        <v>42</v>
      </c>
      <c r="F4802" t="s">
        <v>43</v>
      </c>
      <c r="G4802" t="s">
        <v>43</v>
      </c>
      <c r="H4802" t="s">
        <v>43</v>
      </c>
      <c r="I4802" t="s">
        <v>2670</v>
      </c>
      <c r="J4802" t="s">
        <v>43</v>
      </c>
      <c r="K4802" t="s">
        <v>43</v>
      </c>
      <c r="L4802" t="s">
        <v>43</v>
      </c>
      <c r="M4802" t="s">
        <v>43</v>
      </c>
      <c r="N4802" t="s">
        <v>45</v>
      </c>
      <c r="O4802" t="s">
        <v>43</v>
      </c>
      <c r="P4802" t="s">
        <v>43</v>
      </c>
      <c r="Q4802" t="s">
        <v>43</v>
      </c>
      <c r="R4802" t="s">
        <v>43</v>
      </c>
      <c r="S4802" t="s">
        <v>43</v>
      </c>
      <c r="T4802" t="s">
        <v>43</v>
      </c>
      <c r="U4802" t="s">
        <v>43</v>
      </c>
      <c r="V4802" t="s">
        <v>43</v>
      </c>
      <c r="W4802" t="s">
        <v>43</v>
      </c>
      <c r="X4802" t="s">
        <v>43</v>
      </c>
      <c r="Y4802" t="s">
        <v>43</v>
      </c>
      <c r="Z4802" t="s">
        <v>43</v>
      </c>
      <c r="AA4802" t="s">
        <v>43</v>
      </c>
      <c r="AB4802" t="s">
        <v>43</v>
      </c>
      <c r="AC4802" t="s">
        <v>43</v>
      </c>
      <c r="AD4802" t="s">
        <v>43</v>
      </c>
      <c r="AE4802" t="s">
        <v>43</v>
      </c>
      <c r="AF4802" t="s">
        <v>43</v>
      </c>
      <c r="AG4802" t="s">
        <v>43</v>
      </c>
      <c r="AH4802" t="s">
        <v>43</v>
      </c>
      <c r="AI4802" t="s">
        <v>43</v>
      </c>
      <c r="AJ4802" t="s">
        <v>43</v>
      </c>
      <c r="AK4802" t="s">
        <v>43</v>
      </c>
      <c r="AL4802" t="s">
        <v>43</v>
      </c>
      <c r="AM4802" t="s">
        <v>43</v>
      </c>
      <c r="AN4802" t="str">
        <f>HYPERLINK("https://www.google.com/maps?q=10.83225441,79.84021759","Open Location")</f>
        <v>Open Location</v>
      </c>
    </row>
    <row r="4803" spans="1:40" x14ac:dyDescent="0.3">
      <c r="A4803" s="1">
        <v>46210.443402777775</v>
      </c>
      <c r="B4803" t="s">
        <v>40</v>
      </c>
      <c r="C4803" t="s">
        <v>41</v>
      </c>
      <c r="D4803" s="1">
        <v>46210.446377314816</v>
      </c>
      <c r="E4803" t="s">
        <v>42</v>
      </c>
      <c r="F4803" t="s">
        <v>43</v>
      </c>
      <c r="G4803" t="s">
        <v>43</v>
      </c>
      <c r="H4803" t="s">
        <v>43</v>
      </c>
      <c r="I4803" t="s">
        <v>43</v>
      </c>
      <c r="J4803" t="s">
        <v>43</v>
      </c>
      <c r="K4803" t="s">
        <v>43</v>
      </c>
      <c r="L4803" t="s">
        <v>43</v>
      </c>
      <c r="M4803" t="s">
        <v>43</v>
      </c>
      <c r="N4803" t="s">
        <v>45</v>
      </c>
      <c r="O4803" t="s">
        <v>43</v>
      </c>
      <c r="P4803" t="s">
        <v>43</v>
      </c>
      <c r="Q4803" t="s">
        <v>43</v>
      </c>
      <c r="R4803" t="s">
        <v>43</v>
      </c>
      <c r="S4803" t="s">
        <v>43</v>
      </c>
      <c r="T4803" t="s">
        <v>43</v>
      </c>
      <c r="U4803" t="s">
        <v>43</v>
      </c>
      <c r="V4803" t="s">
        <v>43</v>
      </c>
      <c r="W4803" t="s">
        <v>43</v>
      </c>
      <c r="X4803" t="s">
        <v>43</v>
      </c>
      <c r="Y4803" t="s">
        <v>43</v>
      </c>
      <c r="Z4803" t="s">
        <v>43</v>
      </c>
      <c r="AA4803" t="s">
        <v>43</v>
      </c>
      <c r="AB4803" t="s">
        <v>43</v>
      </c>
      <c r="AC4803" t="s">
        <v>43</v>
      </c>
      <c r="AD4803" t="s">
        <v>43</v>
      </c>
      <c r="AE4803" t="s">
        <v>43</v>
      </c>
      <c r="AF4803" t="s">
        <v>43</v>
      </c>
      <c r="AG4803" t="s">
        <v>43</v>
      </c>
      <c r="AH4803" t="s">
        <v>43</v>
      </c>
      <c r="AI4803" t="s">
        <v>43</v>
      </c>
      <c r="AJ4803" t="s">
        <v>43</v>
      </c>
      <c r="AK4803" t="s">
        <v>43</v>
      </c>
      <c r="AL4803" t="s">
        <v>43</v>
      </c>
      <c r="AM4803" t="s">
        <v>43</v>
      </c>
      <c r="AN4803" t="s">
        <v>43</v>
      </c>
    </row>
    <row r="4804" spans="1:40" x14ac:dyDescent="0.3">
      <c r="A4804" s="1">
        <v>46210.443287037036</v>
      </c>
      <c r="B4804" t="s">
        <v>40</v>
      </c>
      <c r="C4804" t="s">
        <v>41</v>
      </c>
      <c r="D4804" s="1">
        <v>46210.446099537039</v>
      </c>
      <c r="E4804" t="s">
        <v>42</v>
      </c>
      <c r="F4804" t="s">
        <v>43</v>
      </c>
      <c r="G4804" t="s">
        <v>43</v>
      </c>
      <c r="H4804" t="s">
        <v>43</v>
      </c>
      <c r="I4804" t="s">
        <v>2774</v>
      </c>
      <c r="J4804" t="s">
        <v>43</v>
      </c>
      <c r="K4804" t="s">
        <v>43</v>
      </c>
      <c r="L4804" t="s">
        <v>43</v>
      </c>
      <c r="M4804" t="s">
        <v>43</v>
      </c>
      <c r="N4804" t="s">
        <v>45</v>
      </c>
      <c r="O4804" t="s">
        <v>43</v>
      </c>
      <c r="P4804" t="s">
        <v>43</v>
      </c>
      <c r="Q4804" t="s">
        <v>43</v>
      </c>
      <c r="R4804" t="s">
        <v>43</v>
      </c>
      <c r="S4804" t="s">
        <v>43</v>
      </c>
      <c r="T4804" t="s">
        <v>43</v>
      </c>
      <c r="U4804" t="s">
        <v>43</v>
      </c>
      <c r="V4804" t="s">
        <v>43</v>
      </c>
      <c r="W4804" t="s">
        <v>43</v>
      </c>
      <c r="X4804" t="s">
        <v>43</v>
      </c>
      <c r="Y4804" t="s">
        <v>43</v>
      </c>
      <c r="Z4804" t="s">
        <v>43</v>
      </c>
      <c r="AA4804" t="s">
        <v>43</v>
      </c>
      <c r="AB4804" t="s">
        <v>43</v>
      </c>
      <c r="AC4804" t="s">
        <v>43</v>
      </c>
      <c r="AD4804" t="s">
        <v>43</v>
      </c>
      <c r="AE4804" t="s">
        <v>43</v>
      </c>
      <c r="AF4804" t="s">
        <v>43</v>
      </c>
      <c r="AG4804" t="s">
        <v>43</v>
      </c>
      <c r="AH4804" t="s">
        <v>43</v>
      </c>
      <c r="AI4804" t="s">
        <v>43</v>
      </c>
      <c r="AJ4804" t="s">
        <v>43</v>
      </c>
      <c r="AK4804" t="s">
        <v>43</v>
      </c>
      <c r="AL4804" t="s">
        <v>43</v>
      </c>
      <c r="AM4804" t="s">
        <v>43</v>
      </c>
      <c r="AN4804" t="str">
        <f>HYPERLINK("https://www.google.com/maps?q=10.83225155,79.84022522","Open Location")</f>
        <v>Open Location</v>
      </c>
    </row>
    <row r="4805" spans="1:40" x14ac:dyDescent="0.3">
      <c r="A4805" s="1">
        <v>46210.443171296298</v>
      </c>
      <c r="B4805" t="s">
        <v>40</v>
      </c>
      <c r="C4805" t="s">
        <v>41</v>
      </c>
      <c r="D4805" s="1">
        <v>46210.446099537039</v>
      </c>
      <c r="E4805" t="s">
        <v>42</v>
      </c>
      <c r="F4805" t="s">
        <v>43</v>
      </c>
      <c r="G4805" t="s">
        <v>43</v>
      </c>
      <c r="H4805" t="s">
        <v>43</v>
      </c>
      <c r="I4805" t="s">
        <v>2676</v>
      </c>
      <c r="J4805" t="s">
        <v>43</v>
      </c>
      <c r="K4805" t="s">
        <v>43</v>
      </c>
      <c r="L4805" t="s">
        <v>43</v>
      </c>
      <c r="M4805" t="s">
        <v>43</v>
      </c>
      <c r="N4805" t="s">
        <v>45</v>
      </c>
      <c r="O4805" t="s">
        <v>43</v>
      </c>
      <c r="P4805" t="s">
        <v>43</v>
      </c>
      <c r="Q4805" t="s">
        <v>43</v>
      </c>
      <c r="R4805" t="s">
        <v>43</v>
      </c>
      <c r="S4805" t="s">
        <v>43</v>
      </c>
      <c r="T4805" t="s">
        <v>43</v>
      </c>
      <c r="U4805" t="s">
        <v>43</v>
      </c>
      <c r="V4805" t="s">
        <v>43</v>
      </c>
      <c r="W4805" t="s">
        <v>43</v>
      </c>
      <c r="X4805" t="s">
        <v>43</v>
      </c>
      <c r="Y4805" t="s">
        <v>43</v>
      </c>
      <c r="Z4805" t="s">
        <v>43</v>
      </c>
      <c r="AA4805" t="s">
        <v>43</v>
      </c>
      <c r="AB4805" t="s">
        <v>43</v>
      </c>
      <c r="AC4805" t="s">
        <v>43</v>
      </c>
      <c r="AD4805" t="s">
        <v>43</v>
      </c>
      <c r="AE4805" t="s">
        <v>43</v>
      </c>
      <c r="AF4805" t="s">
        <v>43</v>
      </c>
      <c r="AG4805" t="s">
        <v>43</v>
      </c>
      <c r="AH4805" t="s">
        <v>43</v>
      </c>
      <c r="AI4805" t="s">
        <v>43</v>
      </c>
      <c r="AJ4805" t="s">
        <v>43</v>
      </c>
      <c r="AK4805" t="s">
        <v>43</v>
      </c>
      <c r="AL4805" t="s">
        <v>43</v>
      </c>
      <c r="AM4805" t="s">
        <v>43</v>
      </c>
      <c r="AN4805" t="str">
        <f>HYPERLINK("https://www.google.com/maps?q=10.8322506,79.84022522","Open Location")</f>
        <v>Open Location</v>
      </c>
    </row>
    <row r="4806" spans="1:40" x14ac:dyDescent="0.3">
      <c r="A4806" s="1">
        <v>46210.443055555559</v>
      </c>
      <c r="B4806" t="s">
        <v>40</v>
      </c>
      <c r="C4806" t="s">
        <v>41</v>
      </c>
      <c r="D4806" s="1">
        <v>46210.445902777778</v>
      </c>
      <c r="E4806" t="s">
        <v>42</v>
      </c>
      <c r="F4806" t="s">
        <v>43</v>
      </c>
      <c r="G4806" t="s">
        <v>43</v>
      </c>
      <c r="H4806" t="s">
        <v>43</v>
      </c>
      <c r="I4806" t="s">
        <v>2697</v>
      </c>
      <c r="J4806" t="s">
        <v>43</v>
      </c>
      <c r="K4806" t="s">
        <v>43</v>
      </c>
      <c r="L4806" t="s">
        <v>43</v>
      </c>
      <c r="M4806" t="s">
        <v>43</v>
      </c>
      <c r="N4806" t="s">
        <v>45</v>
      </c>
      <c r="O4806" t="s">
        <v>43</v>
      </c>
      <c r="P4806" t="s">
        <v>43</v>
      </c>
      <c r="Q4806" t="s">
        <v>43</v>
      </c>
      <c r="R4806" t="s">
        <v>43</v>
      </c>
      <c r="S4806" t="s">
        <v>43</v>
      </c>
      <c r="T4806" t="s">
        <v>43</v>
      </c>
      <c r="U4806" t="s">
        <v>43</v>
      </c>
      <c r="V4806" t="s">
        <v>43</v>
      </c>
      <c r="W4806" t="s">
        <v>43</v>
      </c>
      <c r="X4806" t="s">
        <v>43</v>
      </c>
      <c r="Y4806" t="s">
        <v>43</v>
      </c>
      <c r="Z4806" t="s">
        <v>43</v>
      </c>
      <c r="AA4806" t="s">
        <v>43</v>
      </c>
      <c r="AB4806" t="s">
        <v>43</v>
      </c>
      <c r="AC4806" t="s">
        <v>43</v>
      </c>
      <c r="AD4806" t="s">
        <v>43</v>
      </c>
      <c r="AE4806" t="s">
        <v>43</v>
      </c>
      <c r="AF4806" t="s">
        <v>43</v>
      </c>
      <c r="AG4806" t="s">
        <v>43</v>
      </c>
      <c r="AH4806" t="s">
        <v>43</v>
      </c>
      <c r="AI4806" t="s">
        <v>43</v>
      </c>
      <c r="AJ4806" t="s">
        <v>43</v>
      </c>
      <c r="AK4806" t="s">
        <v>43</v>
      </c>
      <c r="AL4806" t="s">
        <v>43</v>
      </c>
      <c r="AM4806" t="s">
        <v>43</v>
      </c>
      <c r="AN4806" t="str">
        <f>HYPERLINK("https://www.google.com/maps?q=10.83225632,79.84022522","Open Location")</f>
        <v>Open Location</v>
      </c>
    </row>
    <row r="4807" spans="1:40" x14ac:dyDescent="0.3">
      <c r="A4807" s="1">
        <v>46210.442939814813</v>
      </c>
      <c r="B4807" t="s">
        <v>40</v>
      </c>
      <c r="C4807" t="s">
        <v>41</v>
      </c>
      <c r="D4807" s="1">
        <v>46210.446018518516</v>
      </c>
      <c r="E4807" t="s">
        <v>42</v>
      </c>
      <c r="F4807" t="s">
        <v>43</v>
      </c>
      <c r="G4807" t="s">
        <v>43</v>
      </c>
      <c r="H4807" t="s">
        <v>43</v>
      </c>
      <c r="I4807" t="s">
        <v>2775</v>
      </c>
      <c r="J4807" t="s">
        <v>43</v>
      </c>
      <c r="K4807" t="s">
        <v>43</v>
      </c>
      <c r="L4807" t="s">
        <v>43</v>
      </c>
      <c r="M4807" t="s">
        <v>43</v>
      </c>
      <c r="N4807" t="s">
        <v>45</v>
      </c>
      <c r="O4807" t="s">
        <v>43</v>
      </c>
      <c r="P4807" t="s">
        <v>43</v>
      </c>
      <c r="Q4807" t="s">
        <v>43</v>
      </c>
      <c r="R4807" t="s">
        <v>43</v>
      </c>
      <c r="S4807" t="s">
        <v>43</v>
      </c>
      <c r="T4807" t="s">
        <v>43</v>
      </c>
      <c r="U4807" t="s">
        <v>43</v>
      </c>
      <c r="V4807" t="s">
        <v>43</v>
      </c>
      <c r="W4807" t="s">
        <v>43</v>
      </c>
      <c r="X4807" t="s">
        <v>43</v>
      </c>
      <c r="Y4807" t="s">
        <v>43</v>
      </c>
      <c r="Z4807" t="s">
        <v>43</v>
      </c>
      <c r="AA4807" t="s">
        <v>43</v>
      </c>
      <c r="AB4807" t="s">
        <v>43</v>
      </c>
      <c r="AC4807" t="s">
        <v>43</v>
      </c>
      <c r="AD4807" t="s">
        <v>43</v>
      </c>
      <c r="AE4807" t="s">
        <v>43</v>
      </c>
      <c r="AF4807" t="s">
        <v>43</v>
      </c>
      <c r="AG4807" t="s">
        <v>43</v>
      </c>
      <c r="AH4807" t="s">
        <v>43</v>
      </c>
      <c r="AI4807" t="s">
        <v>43</v>
      </c>
      <c r="AJ4807" t="s">
        <v>43</v>
      </c>
      <c r="AK4807" t="s">
        <v>43</v>
      </c>
      <c r="AL4807" t="s">
        <v>43</v>
      </c>
      <c r="AM4807" t="s">
        <v>43</v>
      </c>
      <c r="AN4807" t="str">
        <f>HYPERLINK("https://www.google.com/maps?q=10.83225536,79.84023285","Open Location")</f>
        <v>Open Location</v>
      </c>
    </row>
    <row r="4808" spans="1:40" x14ac:dyDescent="0.3">
      <c r="A4808" s="1">
        <v>46210.442824074074</v>
      </c>
      <c r="B4808" t="s">
        <v>40</v>
      </c>
      <c r="C4808" t="s">
        <v>41</v>
      </c>
      <c r="D4808" s="1">
        <v>46210.445555555554</v>
      </c>
      <c r="E4808" t="s">
        <v>42</v>
      </c>
      <c r="F4808" t="s">
        <v>43</v>
      </c>
      <c r="G4808" t="s">
        <v>43</v>
      </c>
      <c r="H4808" t="s">
        <v>43</v>
      </c>
      <c r="I4808" t="s">
        <v>2776</v>
      </c>
      <c r="J4808" t="s">
        <v>43</v>
      </c>
      <c r="K4808" t="s">
        <v>43</v>
      </c>
      <c r="L4808" t="s">
        <v>43</v>
      </c>
      <c r="M4808" t="s">
        <v>43</v>
      </c>
      <c r="N4808" t="s">
        <v>45</v>
      </c>
      <c r="O4808" t="s">
        <v>43</v>
      </c>
      <c r="P4808" t="s">
        <v>43</v>
      </c>
      <c r="Q4808" t="s">
        <v>43</v>
      </c>
      <c r="R4808" t="s">
        <v>43</v>
      </c>
      <c r="S4808" t="s">
        <v>43</v>
      </c>
      <c r="T4808" t="s">
        <v>43</v>
      </c>
      <c r="U4808" t="s">
        <v>43</v>
      </c>
      <c r="V4808" t="s">
        <v>43</v>
      </c>
      <c r="W4808" t="s">
        <v>43</v>
      </c>
      <c r="X4808" t="s">
        <v>43</v>
      </c>
      <c r="Y4808" t="s">
        <v>43</v>
      </c>
      <c r="Z4808" t="s">
        <v>43</v>
      </c>
      <c r="AA4808" t="s">
        <v>43</v>
      </c>
      <c r="AB4808" t="s">
        <v>43</v>
      </c>
      <c r="AC4808" t="s">
        <v>43</v>
      </c>
      <c r="AD4808" t="s">
        <v>43</v>
      </c>
      <c r="AE4808" t="s">
        <v>43</v>
      </c>
      <c r="AF4808" t="s">
        <v>43</v>
      </c>
      <c r="AG4808" t="s">
        <v>43</v>
      </c>
      <c r="AH4808" t="s">
        <v>43</v>
      </c>
      <c r="AI4808" t="s">
        <v>43</v>
      </c>
      <c r="AJ4808" t="s">
        <v>43</v>
      </c>
      <c r="AK4808" t="s">
        <v>43</v>
      </c>
      <c r="AL4808" t="s">
        <v>43</v>
      </c>
      <c r="AM4808" t="s">
        <v>43</v>
      </c>
      <c r="AN4808" t="str">
        <f>HYPERLINK("https://www.google.com/maps?q=10.83225918,79.84024811","Open Location")</f>
        <v>Open Location</v>
      </c>
    </row>
    <row r="4809" spans="1:40" x14ac:dyDescent="0.3">
      <c r="A4809" s="1">
        <v>46210.442708333336</v>
      </c>
      <c r="B4809" t="s">
        <v>40</v>
      </c>
      <c r="C4809" t="s">
        <v>41</v>
      </c>
      <c r="D4809" s="1">
        <v>46210.445671296293</v>
      </c>
      <c r="E4809" t="s">
        <v>42</v>
      </c>
      <c r="F4809" t="s">
        <v>43</v>
      </c>
      <c r="G4809" t="s">
        <v>43</v>
      </c>
      <c r="H4809" t="s">
        <v>43</v>
      </c>
      <c r="I4809" t="s">
        <v>43</v>
      </c>
      <c r="J4809" t="s">
        <v>43</v>
      </c>
      <c r="K4809" t="s">
        <v>43</v>
      </c>
      <c r="L4809" t="s">
        <v>43</v>
      </c>
      <c r="M4809" t="s">
        <v>43</v>
      </c>
      <c r="N4809" t="s">
        <v>45</v>
      </c>
      <c r="O4809" t="s">
        <v>43</v>
      </c>
      <c r="P4809" t="s">
        <v>43</v>
      </c>
      <c r="Q4809" t="s">
        <v>43</v>
      </c>
      <c r="R4809" t="s">
        <v>43</v>
      </c>
      <c r="S4809" t="s">
        <v>43</v>
      </c>
      <c r="T4809" t="s">
        <v>43</v>
      </c>
      <c r="U4809" t="s">
        <v>43</v>
      </c>
      <c r="V4809" t="s">
        <v>43</v>
      </c>
      <c r="W4809" t="s">
        <v>43</v>
      </c>
      <c r="X4809" t="s">
        <v>43</v>
      </c>
      <c r="Y4809" t="s">
        <v>43</v>
      </c>
      <c r="Z4809" t="s">
        <v>43</v>
      </c>
      <c r="AA4809" t="s">
        <v>43</v>
      </c>
      <c r="AB4809" t="s">
        <v>43</v>
      </c>
      <c r="AC4809" t="s">
        <v>43</v>
      </c>
      <c r="AD4809" t="s">
        <v>43</v>
      </c>
      <c r="AE4809" t="s">
        <v>43</v>
      </c>
      <c r="AF4809" t="s">
        <v>43</v>
      </c>
      <c r="AG4809" t="s">
        <v>43</v>
      </c>
      <c r="AH4809" t="s">
        <v>43</v>
      </c>
      <c r="AI4809" t="s">
        <v>43</v>
      </c>
      <c r="AJ4809" t="s">
        <v>43</v>
      </c>
      <c r="AK4809" t="s">
        <v>43</v>
      </c>
      <c r="AL4809" t="s">
        <v>43</v>
      </c>
      <c r="AM4809" t="s">
        <v>43</v>
      </c>
      <c r="AN4809" t="s">
        <v>43</v>
      </c>
    </row>
    <row r="4810" spans="1:40" x14ac:dyDescent="0.3">
      <c r="A4810" s="1">
        <v>46210.44259259259</v>
      </c>
      <c r="B4810" t="s">
        <v>40</v>
      </c>
      <c r="C4810" t="s">
        <v>41</v>
      </c>
      <c r="D4810" s="1">
        <v>46210.445335648146</v>
      </c>
      <c r="E4810" t="s">
        <v>42</v>
      </c>
      <c r="F4810" t="s">
        <v>43</v>
      </c>
      <c r="G4810" t="s">
        <v>43</v>
      </c>
      <c r="H4810" t="s">
        <v>43</v>
      </c>
      <c r="I4810" t="s">
        <v>2777</v>
      </c>
      <c r="J4810" t="s">
        <v>43</v>
      </c>
      <c r="K4810" t="s">
        <v>43</v>
      </c>
      <c r="L4810" t="s">
        <v>43</v>
      </c>
      <c r="M4810" t="s">
        <v>43</v>
      </c>
      <c r="N4810" t="s">
        <v>45</v>
      </c>
      <c r="O4810" t="s">
        <v>43</v>
      </c>
      <c r="P4810" t="s">
        <v>43</v>
      </c>
      <c r="Q4810" t="s">
        <v>43</v>
      </c>
      <c r="R4810" t="s">
        <v>43</v>
      </c>
      <c r="S4810" t="s">
        <v>43</v>
      </c>
      <c r="T4810" t="s">
        <v>43</v>
      </c>
      <c r="U4810" t="s">
        <v>43</v>
      </c>
      <c r="V4810" t="s">
        <v>43</v>
      </c>
      <c r="W4810" t="s">
        <v>43</v>
      </c>
      <c r="X4810" t="s">
        <v>43</v>
      </c>
      <c r="Y4810" t="s">
        <v>43</v>
      </c>
      <c r="Z4810" t="s">
        <v>43</v>
      </c>
      <c r="AA4810" t="s">
        <v>43</v>
      </c>
      <c r="AB4810" t="s">
        <v>43</v>
      </c>
      <c r="AC4810" t="s">
        <v>43</v>
      </c>
      <c r="AD4810" t="s">
        <v>43</v>
      </c>
      <c r="AE4810" t="s">
        <v>43</v>
      </c>
      <c r="AF4810" t="s">
        <v>43</v>
      </c>
      <c r="AG4810" t="s">
        <v>43</v>
      </c>
      <c r="AH4810" t="s">
        <v>43</v>
      </c>
      <c r="AI4810" t="s">
        <v>43</v>
      </c>
      <c r="AJ4810" t="s">
        <v>43</v>
      </c>
      <c r="AK4810" t="s">
        <v>43</v>
      </c>
      <c r="AL4810" t="s">
        <v>43</v>
      </c>
      <c r="AM4810" t="s">
        <v>43</v>
      </c>
      <c r="AN4810" t="str">
        <f>HYPERLINK("https://www.google.com/maps?q=10.83225822,79.84024811","Open Location")</f>
        <v>Open Location</v>
      </c>
    </row>
    <row r="4811" spans="1:40" x14ac:dyDescent="0.3">
      <c r="A4811" s="1">
        <v>46210.442476851851</v>
      </c>
      <c r="B4811" t="s">
        <v>40</v>
      </c>
      <c r="C4811" t="s">
        <v>41</v>
      </c>
      <c r="D4811" s="1">
        <v>46210.445486111108</v>
      </c>
      <c r="E4811" t="s">
        <v>42</v>
      </c>
      <c r="F4811" t="s">
        <v>43</v>
      </c>
      <c r="G4811" t="s">
        <v>43</v>
      </c>
      <c r="H4811" t="s">
        <v>43</v>
      </c>
      <c r="I4811" t="s">
        <v>2778</v>
      </c>
      <c r="J4811" t="s">
        <v>43</v>
      </c>
      <c r="K4811" t="s">
        <v>43</v>
      </c>
      <c r="L4811" t="s">
        <v>43</v>
      </c>
      <c r="M4811" t="s">
        <v>43</v>
      </c>
      <c r="N4811" t="s">
        <v>45</v>
      </c>
      <c r="O4811" t="s">
        <v>43</v>
      </c>
      <c r="P4811" t="s">
        <v>43</v>
      </c>
      <c r="Q4811" t="s">
        <v>43</v>
      </c>
      <c r="R4811" t="s">
        <v>43</v>
      </c>
      <c r="S4811" t="s">
        <v>43</v>
      </c>
      <c r="T4811" t="s">
        <v>43</v>
      </c>
      <c r="U4811" t="s">
        <v>43</v>
      </c>
      <c r="V4811" t="s">
        <v>43</v>
      </c>
      <c r="W4811" t="s">
        <v>43</v>
      </c>
      <c r="X4811" t="s">
        <v>43</v>
      </c>
      <c r="Y4811" t="s">
        <v>43</v>
      </c>
      <c r="Z4811" t="s">
        <v>43</v>
      </c>
      <c r="AA4811" t="s">
        <v>43</v>
      </c>
      <c r="AB4811" t="s">
        <v>43</v>
      </c>
      <c r="AC4811" t="s">
        <v>43</v>
      </c>
      <c r="AD4811" t="s">
        <v>43</v>
      </c>
      <c r="AE4811" t="s">
        <v>43</v>
      </c>
      <c r="AF4811" t="s">
        <v>43</v>
      </c>
      <c r="AG4811" t="s">
        <v>43</v>
      </c>
      <c r="AH4811" t="s">
        <v>43</v>
      </c>
      <c r="AI4811" t="s">
        <v>43</v>
      </c>
      <c r="AJ4811" t="s">
        <v>43</v>
      </c>
      <c r="AK4811" t="s">
        <v>43</v>
      </c>
      <c r="AL4811" t="s">
        <v>43</v>
      </c>
      <c r="AM4811" t="s">
        <v>43</v>
      </c>
      <c r="AN4811" t="str">
        <f>HYPERLINK("https://www.google.com/maps?q=10.83225441,79.84024048","Open Location")</f>
        <v>Open Location</v>
      </c>
    </row>
    <row r="4812" spans="1:40" x14ac:dyDescent="0.3">
      <c r="A4812" s="1">
        <v>46210.442361111112</v>
      </c>
      <c r="B4812" t="s">
        <v>40</v>
      </c>
      <c r="C4812" t="s">
        <v>41</v>
      </c>
      <c r="D4812" s="1">
        <v>46210.445208333331</v>
      </c>
      <c r="E4812" t="s">
        <v>42</v>
      </c>
      <c r="F4812" t="s">
        <v>43</v>
      </c>
      <c r="G4812" t="s">
        <v>43</v>
      </c>
      <c r="H4812" t="s">
        <v>43</v>
      </c>
      <c r="I4812" t="s">
        <v>2779</v>
      </c>
      <c r="J4812" t="s">
        <v>43</v>
      </c>
      <c r="K4812" t="s">
        <v>43</v>
      </c>
      <c r="L4812" t="s">
        <v>43</v>
      </c>
      <c r="M4812" t="s">
        <v>43</v>
      </c>
      <c r="N4812" t="s">
        <v>45</v>
      </c>
      <c r="O4812" t="s">
        <v>43</v>
      </c>
      <c r="P4812" t="s">
        <v>43</v>
      </c>
      <c r="Q4812" t="s">
        <v>43</v>
      </c>
      <c r="R4812" t="s">
        <v>43</v>
      </c>
      <c r="S4812" t="s">
        <v>43</v>
      </c>
      <c r="T4812" t="s">
        <v>43</v>
      </c>
      <c r="U4812" t="s">
        <v>43</v>
      </c>
      <c r="V4812" t="s">
        <v>43</v>
      </c>
      <c r="W4812" t="s">
        <v>43</v>
      </c>
      <c r="X4812" t="s">
        <v>43</v>
      </c>
      <c r="Y4812" t="s">
        <v>43</v>
      </c>
      <c r="Z4812" t="s">
        <v>43</v>
      </c>
      <c r="AA4812" t="s">
        <v>43</v>
      </c>
      <c r="AB4812" t="s">
        <v>43</v>
      </c>
      <c r="AC4812" t="s">
        <v>43</v>
      </c>
      <c r="AD4812" t="s">
        <v>43</v>
      </c>
      <c r="AE4812" t="s">
        <v>43</v>
      </c>
      <c r="AF4812" t="s">
        <v>43</v>
      </c>
      <c r="AG4812" t="s">
        <v>43</v>
      </c>
      <c r="AH4812" t="s">
        <v>43</v>
      </c>
      <c r="AI4812" t="s">
        <v>43</v>
      </c>
      <c r="AJ4812" t="s">
        <v>43</v>
      </c>
      <c r="AK4812" t="s">
        <v>43</v>
      </c>
      <c r="AL4812" t="s">
        <v>43</v>
      </c>
      <c r="AM4812" t="s">
        <v>43</v>
      </c>
      <c r="AN4812" t="str">
        <f>HYPERLINK("https://www.google.com/maps?q=10.83225727,79.84024048","Open Location")</f>
        <v>Open Location</v>
      </c>
    </row>
    <row r="4813" spans="1:40" x14ac:dyDescent="0.3">
      <c r="A4813" s="1">
        <v>46210.442245370374</v>
      </c>
      <c r="B4813" t="s">
        <v>40</v>
      </c>
      <c r="C4813" t="s">
        <v>41</v>
      </c>
      <c r="D4813" s="1">
        <v>46210.445324074077</v>
      </c>
      <c r="E4813" t="s">
        <v>42</v>
      </c>
      <c r="F4813" t="s">
        <v>43</v>
      </c>
      <c r="G4813" t="s">
        <v>43</v>
      </c>
      <c r="H4813" t="s">
        <v>43</v>
      </c>
      <c r="I4813" t="s">
        <v>2780</v>
      </c>
      <c r="J4813" t="s">
        <v>43</v>
      </c>
      <c r="K4813" t="s">
        <v>43</v>
      </c>
      <c r="L4813" t="s">
        <v>43</v>
      </c>
      <c r="M4813" t="s">
        <v>43</v>
      </c>
      <c r="N4813" t="s">
        <v>45</v>
      </c>
      <c r="O4813" t="s">
        <v>43</v>
      </c>
      <c r="P4813" t="s">
        <v>43</v>
      </c>
      <c r="Q4813" t="s">
        <v>43</v>
      </c>
      <c r="R4813" t="s">
        <v>43</v>
      </c>
      <c r="S4813" t="s">
        <v>43</v>
      </c>
      <c r="T4813" t="s">
        <v>43</v>
      </c>
      <c r="U4813" t="s">
        <v>43</v>
      </c>
      <c r="V4813" t="s">
        <v>43</v>
      </c>
      <c r="W4813" t="s">
        <v>43</v>
      </c>
      <c r="X4813" t="s">
        <v>43</v>
      </c>
      <c r="Y4813" t="s">
        <v>43</v>
      </c>
      <c r="Z4813" t="s">
        <v>43</v>
      </c>
      <c r="AA4813" t="s">
        <v>43</v>
      </c>
      <c r="AB4813" t="s">
        <v>43</v>
      </c>
      <c r="AC4813" t="s">
        <v>43</v>
      </c>
      <c r="AD4813" t="s">
        <v>43</v>
      </c>
      <c r="AE4813" t="s">
        <v>43</v>
      </c>
      <c r="AF4813" t="s">
        <v>43</v>
      </c>
      <c r="AG4813" t="s">
        <v>43</v>
      </c>
      <c r="AH4813" t="s">
        <v>43</v>
      </c>
      <c r="AI4813" t="s">
        <v>43</v>
      </c>
      <c r="AJ4813" t="s">
        <v>43</v>
      </c>
      <c r="AK4813" t="s">
        <v>43</v>
      </c>
      <c r="AL4813" t="s">
        <v>43</v>
      </c>
      <c r="AM4813" t="s">
        <v>43</v>
      </c>
      <c r="AN4813" t="str">
        <f>HYPERLINK("https://www.google.com/maps?q=10.83225822,79.84024048","Open Location")</f>
        <v>Open Location</v>
      </c>
    </row>
    <row r="4814" spans="1:40" x14ac:dyDescent="0.3">
      <c r="A4814" s="1">
        <v>46210.442129629628</v>
      </c>
      <c r="B4814" t="s">
        <v>40</v>
      </c>
      <c r="C4814" t="s">
        <v>41</v>
      </c>
      <c r="D4814" s="1">
        <v>46210.444861111115</v>
      </c>
      <c r="E4814" t="s">
        <v>42</v>
      </c>
      <c r="F4814" t="s">
        <v>43</v>
      </c>
      <c r="G4814" t="s">
        <v>43</v>
      </c>
      <c r="H4814" t="s">
        <v>43</v>
      </c>
      <c r="I4814" t="s">
        <v>2777</v>
      </c>
      <c r="J4814" t="s">
        <v>43</v>
      </c>
      <c r="K4814" t="s">
        <v>43</v>
      </c>
      <c r="L4814" t="s">
        <v>43</v>
      </c>
      <c r="M4814" t="s">
        <v>43</v>
      </c>
      <c r="N4814" t="s">
        <v>45</v>
      </c>
      <c r="O4814" t="s">
        <v>43</v>
      </c>
      <c r="P4814" t="s">
        <v>43</v>
      </c>
      <c r="Q4814" t="s">
        <v>43</v>
      </c>
      <c r="R4814" t="s">
        <v>43</v>
      </c>
      <c r="S4814" t="s">
        <v>43</v>
      </c>
      <c r="T4814" t="s">
        <v>43</v>
      </c>
      <c r="U4814" t="s">
        <v>43</v>
      </c>
      <c r="V4814" t="s">
        <v>43</v>
      </c>
      <c r="W4814" t="s">
        <v>43</v>
      </c>
      <c r="X4814" t="s">
        <v>43</v>
      </c>
      <c r="Y4814" t="s">
        <v>43</v>
      </c>
      <c r="Z4814" t="s">
        <v>43</v>
      </c>
      <c r="AA4814" t="s">
        <v>43</v>
      </c>
      <c r="AB4814" t="s">
        <v>43</v>
      </c>
      <c r="AC4814" t="s">
        <v>43</v>
      </c>
      <c r="AD4814" t="s">
        <v>43</v>
      </c>
      <c r="AE4814" t="s">
        <v>43</v>
      </c>
      <c r="AF4814" t="s">
        <v>43</v>
      </c>
      <c r="AG4814" t="s">
        <v>43</v>
      </c>
      <c r="AH4814" t="s">
        <v>43</v>
      </c>
      <c r="AI4814" t="s">
        <v>43</v>
      </c>
      <c r="AJ4814" t="s">
        <v>43</v>
      </c>
      <c r="AK4814" t="s">
        <v>43</v>
      </c>
      <c r="AL4814" t="s">
        <v>43</v>
      </c>
      <c r="AM4814" t="s">
        <v>43</v>
      </c>
      <c r="AN4814" t="str">
        <f>HYPERLINK("https://www.google.com/maps?q=10.83225822,79.84024811","Open Location")</f>
        <v>Open Location</v>
      </c>
    </row>
    <row r="4815" spans="1:40" x14ac:dyDescent="0.3">
      <c r="A4815" s="1">
        <v>46210.442013888889</v>
      </c>
      <c r="B4815" t="s">
        <v>40</v>
      </c>
      <c r="C4815" t="s">
        <v>41</v>
      </c>
      <c r="D4815" s="1">
        <v>46210.444895833331</v>
      </c>
      <c r="E4815" t="s">
        <v>42</v>
      </c>
      <c r="F4815" t="s">
        <v>43</v>
      </c>
      <c r="G4815" t="s">
        <v>43</v>
      </c>
      <c r="H4815" t="s">
        <v>43</v>
      </c>
      <c r="I4815" t="s">
        <v>43</v>
      </c>
      <c r="J4815" t="s">
        <v>43</v>
      </c>
      <c r="K4815" t="s">
        <v>43</v>
      </c>
      <c r="L4815" t="s">
        <v>43</v>
      </c>
      <c r="M4815" t="s">
        <v>43</v>
      </c>
      <c r="N4815" t="s">
        <v>45</v>
      </c>
      <c r="O4815" t="s">
        <v>43</v>
      </c>
      <c r="P4815" t="s">
        <v>43</v>
      </c>
      <c r="Q4815" t="s">
        <v>43</v>
      </c>
      <c r="R4815" t="s">
        <v>43</v>
      </c>
      <c r="S4815" t="s">
        <v>43</v>
      </c>
      <c r="T4815" t="s">
        <v>43</v>
      </c>
      <c r="U4815" t="s">
        <v>43</v>
      </c>
      <c r="V4815" t="s">
        <v>43</v>
      </c>
      <c r="W4815" t="s">
        <v>43</v>
      </c>
      <c r="X4815" t="s">
        <v>43</v>
      </c>
      <c r="Y4815" t="s">
        <v>43</v>
      </c>
      <c r="Z4815" t="s">
        <v>43</v>
      </c>
      <c r="AA4815" t="s">
        <v>43</v>
      </c>
      <c r="AB4815" t="s">
        <v>43</v>
      </c>
      <c r="AC4815" t="s">
        <v>43</v>
      </c>
      <c r="AD4815" t="s">
        <v>43</v>
      </c>
      <c r="AE4815" t="s">
        <v>43</v>
      </c>
      <c r="AF4815" t="s">
        <v>43</v>
      </c>
      <c r="AG4815" t="s">
        <v>43</v>
      </c>
      <c r="AH4815" t="s">
        <v>43</v>
      </c>
      <c r="AI4815" t="s">
        <v>43</v>
      </c>
      <c r="AJ4815" t="s">
        <v>43</v>
      </c>
      <c r="AK4815" t="s">
        <v>43</v>
      </c>
      <c r="AL4815" t="s">
        <v>43</v>
      </c>
      <c r="AM4815" t="s">
        <v>43</v>
      </c>
      <c r="AN4815" t="s">
        <v>43</v>
      </c>
    </row>
    <row r="4816" spans="1:40" x14ac:dyDescent="0.3">
      <c r="A4816" s="1">
        <v>46210.44189814815</v>
      </c>
      <c r="B4816" t="s">
        <v>40</v>
      </c>
      <c r="C4816" t="s">
        <v>41</v>
      </c>
      <c r="D4816" s="1">
        <v>46210.444606481484</v>
      </c>
      <c r="E4816" t="s">
        <v>42</v>
      </c>
      <c r="F4816" t="s">
        <v>43</v>
      </c>
      <c r="G4816" t="s">
        <v>43</v>
      </c>
      <c r="H4816" t="s">
        <v>43</v>
      </c>
      <c r="I4816" t="s">
        <v>2781</v>
      </c>
      <c r="J4816" t="s">
        <v>43</v>
      </c>
      <c r="K4816" t="s">
        <v>43</v>
      </c>
      <c r="L4816" t="s">
        <v>43</v>
      </c>
      <c r="M4816" t="s">
        <v>43</v>
      </c>
      <c r="N4816" t="s">
        <v>45</v>
      </c>
      <c r="O4816" t="s">
        <v>43</v>
      </c>
      <c r="P4816" t="s">
        <v>43</v>
      </c>
      <c r="Q4816" t="s">
        <v>43</v>
      </c>
      <c r="R4816" t="s">
        <v>43</v>
      </c>
      <c r="S4816" t="s">
        <v>43</v>
      </c>
      <c r="T4816" t="s">
        <v>43</v>
      </c>
      <c r="U4816" t="s">
        <v>43</v>
      </c>
      <c r="V4816" t="s">
        <v>43</v>
      </c>
      <c r="W4816" t="s">
        <v>43</v>
      </c>
      <c r="X4816" t="s">
        <v>43</v>
      </c>
      <c r="Y4816" t="s">
        <v>43</v>
      </c>
      <c r="Z4816" t="s">
        <v>43</v>
      </c>
      <c r="AA4816" t="s">
        <v>43</v>
      </c>
      <c r="AB4816" t="s">
        <v>43</v>
      </c>
      <c r="AC4816" t="s">
        <v>43</v>
      </c>
      <c r="AD4816" t="s">
        <v>43</v>
      </c>
      <c r="AE4816" t="s">
        <v>43</v>
      </c>
      <c r="AF4816" t="s">
        <v>43</v>
      </c>
      <c r="AG4816" t="s">
        <v>43</v>
      </c>
      <c r="AH4816" t="s">
        <v>43</v>
      </c>
      <c r="AI4816" t="s">
        <v>43</v>
      </c>
      <c r="AJ4816" t="s">
        <v>43</v>
      </c>
      <c r="AK4816" t="s">
        <v>43</v>
      </c>
      <c r="AL4816" t="s">
        <v>43</v>
      </c>
      <c r="AM4816" t="s">
        <v>43</v>
      </c>
      <c r="AN4816" t="str">
        <f>HYPERLINK("https://www.google.com/maps?q=10.83225918,79.84025574","Open Location")</f>
        <v>Open Location</v>
      </c>
    </row>
    <row r="4817" spans="1:40" x14ac:dyDescent="0.3">
      <c r="A4817" s="1">
        <v>46210.441782407404</v>
      </c>
      <c r="B4817" t="s">
        <v>40</v>
      </c>
      <c r="C4817" t="s">
        <v>41</v>
      </c>
      <c r="D4817" s="1">
        <v>46210.444884259261</v>
      </c>
      <c r="E4817" t="s">
        <v>42</v>
      </c>
      <c r="F4817" t="s">
        <v>43</v>
      </c>
      <c r="G4817" t="s">
        <v>43</v>
      </c>
      <c r="H4817" t="s">
        <v>43</v>
      </c>
      <c r="I4817" t="s">
        <v>2781</v>
      </c>
      <c r="J4817" t="s">
        <v>43</v>
      </c>
      <c r="K4817" t="s">
        <v>43</v>
      </c>
      <c r="L4817" t="s">
        <v>43</v>
      </c>
      <c r="M4817" t="s">
        <v>43</v>
      </c>
      <c r="N4817" t="s">
        <v>45</v>
      </c>
      <c r="O4817" t="s">
        <v>43</v>
      </c>
      <c r="P4817" t="s">
        <v>43</v>
      </c>
      <c r="Q4817" t="s">
        <v>43</v>
      </c>
      <c r="R4817" t="s">
        <v>43</v>
      </c>
      <c r="S4817" t="s">
        <v>43</v>
      </c>
      <c r="T4817" t="s">
        <v>43</v>
      </c>
      <c r="U4817" t="s">
        <v>43</v>
      </c>
      <c r="V4817" t="s">
        <v>43</v>
      </c>
      <c r="W4817" t="s">
        <v>43</v>
      </c>
      <c r="X4817" t="s">
        <v>43</v>
      </c>
      <c r="Y4817" t="s">
        <v>43</v>
      </c>
      <c r="Z4817" t="s">
        <v>43</v>
      </c>
      <c r="AA4817" t="s">
        <v>43</v>
      </c>
      <c r="AB4817" t="s">
        <v>43</v>
      </c>
      <c r="AC4817" t="s">
        <v>43</v>
      </c>
      <c r="AD4817" t="s">
        <v>43</v>
      </c>
      <c r="AE4817" t="s">
        <v>43</v>
      </c>
      <c r="AF4817" t="s">
        <v>43</v>
      </c>
      <c r="AG4817" t="s">
        <v>43</v>
      </c>
      <c r="AH4817" t="s">
        <v>43</v>
      </c>
      <c r="AI4817" t="s">
        <v>43</v>
      </c>
      <c r="AJ4817" t="s">
        <v>43</v>
      </c>
      <c r="AK4817" t="s">
        <v>43</v>
      </c>
      <c r="AL4817" t="s">
        <v>43</v>
      </c>
      <c r="AM4817" t="s">
        <v>43</v>
      </c>
      <c r="AN4817" t="str">
        <f>HYPERLINK("https://www.google.com/maps?q=10.83225918,79.84025574","Open Location")</f>
        <v>Open Location</v>
      </c>
    </row>
    <row r="4818" spans="1:40" x14ac:dyDescent="0.3">
      <c r="A4818" s="1">
        <v>46210.441666666666</v>
      </c>
      <c r="B4818" t="s">
        <v>40</v>
      </c>
      <c r="C4818" t="s">
        <v>41</v>
      </c>
      <c r="D4818" s="1">
        <v>46210.444606481484</v>
      </c>
      <c r="E4818" t="s">
        <v>42</v>
      </c>
      <c r="F4818" t="s">
        <v>43</v>
      </c>
      <c r="G4818" t="s">
        <v>43</v>
      </c>
      <c r="H4818" t="s">
        <v>43</v>
      </c>
      <c r="I4818" t="s">
        <v>2782</v>
      </c>
      <c r="J4818" t="s">
        <v>43</v>
      </c>
      <c r="K4818" t="s">
        <v>43</v>
      </c>
      <c r="L4818" t="s">
        <v>43</v>
      </c>
      <c r="M4818" t="s">
        <v>43</v>
      </c>
      <c r="N4818" t="s">
        <v>45</v>
      </c>
      <c r="O4818" t="s">
        <v>43</v>
      </c>
      <c r="P4818" t="s">
        <v>43</v>
      </c>
      <c r="Q4818" t="s">
        <v>43</v>
      </c>
      <c r="R4818" t="s">
        <v>43</v>
      </c>
      <c r="S4818" t="s">
        <v>43</v>
      </c>
      <c r="T4818" t="s">
        <v>43</v>
      </c>
      <c r="U4818" t="s">
        <v>43</v>
      </c>
      <c r="V4818" t="s">
        <v>43</v>
      </c>
      <c r="W4818" t="s">
        <v>43</v>
      </c>
      <c r="X4818" t="s">
        <v>43</v>
      </c>
      <c r="Y4818" t="s">
        <v>43</v>
      </c>
      <c r="Z4818" t="s">
        <v>43</v>
      </c>
      <c r="AA4818" t="s">
        <v>43</v>
      </c>
      <c r="AB4818" t="s">
        <v>43</v>
      </c>
      <c r="AC4818" t="s">
        <v>43</v>
      </c>
      <c r="AD4818" t="s">
        <v>43</v>
      </c>
      <c r="AE4818" t="s">
        <v>43</v>
      </c>
      <c r="AF4818" t="s">
        <v>43</v>
      </c>
      <c r="AG4818" t="s">
        <v>43</v>
      </c>
      <c r="AH4818" t="s">
        <v>43</v>
      </c>
      <c r="AI4818" t="s">
        <v>43</v>
      </c>
      <c r="AJ4818" t="s">
        <v>43</v>
      </c>
      <c r="AK4818" t="s">
        <v>43</v>
      </c>
      <c r="AL4818" t="s">
        <v>43</v>
      </c>
      <c r="AM4818" t="s">
        <v>43</v>
      </c>
      <c r="AN4818" t="str">
        <f>HYPERLINK("https://www.google.com/maps?q=10.83226109,79.84025574","Open Location")</f>
        <v>Open Location</v>
      </c>
    </row>
    <row r="4819" spans="1:40" x14ac:dyDescent="0.3">
      <c r="A4819" s="1">
        <v>46210.441550925927</v>
      </c>
      <c r="B4819" t="s">
        <v>40</v>
      </c>
      <c r="C4819" t="s">
        <v>41</v>
      </c>
      <c r="D4819" s="1">
        <v>46210.44458333333</v>
      </c>
      <c r="E4819" t="s">
        <v>42</v>
      </c>
      <c r="F4819" t="s">
        <v>43</v>
      </c>
      <c r="G4819" t="s">
        <v>43</v>
      </c>
      <c r="H4819" t="s">
        <v>43</v>
      </c>
      <c r="I4819" t="s">
        <v>2783</v>
      </c>
      <c r="J4819" t="s">
        <v>43</v>
      </c>
      <c r="K4819" t="s">
        <v>43</v>
      </c>
      <c r="L4819" t="s">
        <v>43</v>
      </c>
      <c r="M4819" t="s">
        <v>43</v>
      </c>
      <c r="N4819" t="s">
        <v>45</v>
      </c>
      <c r="O4819" t="s">
        <v>43</v>
      </c>
      <c r="P4819" t="s">
        <v>43</v>
      </c>
      <c r="Q4819" t="s">
        <v>43</v>
      </c>
      <c r="R4819" t="s">
        <v>43</v>
      </c>
      <c r="S4819" t="s">
        <v>43</v>
      </c>
      <c r="T4819" t="s">
        <v>43</v>
      </c>
      <c r="U4819" t="s">
        <v>43</v>
      </c>
      <c r="V4819" t="s">
        <v>43</v>
      </c>
      <c r="W4819" t="s">
        <v>43</v>
      </c>
      <c r="X4819" t="s">
        <v>43</v>
      </c>
      <c r="Y4819" t="s">
        <v>43</v>
      </c>
      <c r="Z4819" t="s">
        <v>43</v>
      </c>
      <c r="AA4819" t="s">
        <v>43</v>
      </c>
      <c r="AB4819" t="s">
        <v>43</v>
      </c>
      <c r="AC4819" t="s">
        <v>43</v>
      </c>
      <c r="AD4819" t="s">
        <v>43</v>
      </c>
      <c r="AE4819" t="s">
        <v>43</v>
      </c>
      <c r="AF4819" t="s">
        <v>43</v>
      </c>
      <c r="AG4819" t="s">
        <v>43</v>
      </c>
      <c r="AH4819" t="s">
        <v>43</v>
      </c>
      <c r="AI4819" t="s">
        <v>43</v>
      </c>
      <c r="AJ4819" t="s">
        <v>43</v>
      </c>
      <c r="AK4819" t="s">
        <v>43</v>
      </c>
      <c r="AL4819" t="s">
        <v>43</v>
      </c>
      <c r="AM4819" t="s">
        <v>43</v>
      </c>
      <c r="AN4819" t="str">
        <f>HYPERLINK("https://www.google.com/maps?q=10.83226204,79.84025574","Open Location")</f>
        <v>Open Location</v>
      </c>
    </row>
    <row r="4820" spans="1:40" x14ac:dyDescent="0.3">
      <c r="A4820" s="1">
        <v>46210.441435185188</v>
      </c>
      <c r="B4820" t="s">
        <v>40</v>
      </c>
      <c r="C4820" t="s">
        <v>41</v>
      </c>
      <c r="D4820" s="1">
        <v>46210.44425925926</v>
      </c>
      <c r="E4820" t="s">
        <v>42</v>
      </c>
      <c r="F4820" t="s">
        <v>43</v>
      </c>
      <c r="G4820" t="s">
        <v>43</v>
      </c>
      <c r="H4820" t="s">
        <v>43</v>
      </c>
      <c r="I4820" t="s">
        <v>43</v>
      </c>
      <c r="J4820" t="s">
        <v>43</v>
      </c>
      <c r="K4820" t="s">
        <v>43</v>
      </c>
      <c r="L4820" t="s">
        <v>43</v>
      </c>
      <c r="M4820" t="s">
        <v>43</v>
      </c>
      <c r="N4820" t="s">
        <v>45</v>
      </c>
      <c r="O4820" t="s">
        <v>43</v>
      </c>
      <c r="P4820" t="s">
        <v>43</v>
      </c>
      <c r="Q4820" t="s">
        <v>43</v>
      </c>
      <c r="R4820" t="s">
        <v>43</v>
      </c>
      <c r="S4820" t="s">
        <v>43</v>
      </c>
      <c r="T4820" t="s">
        <v>43</v>
      </c>
      <c r="U4820" t="s">
        <v>43</v>
      </c>
      <c r="V4820" t="s">
        <v>43</v>
      </c>
      <c r="W4820" t="s">
        <v>43</v>
      </c>
      <c r="X4820" t="s">
        <v>43</v>
      </c>
      <c r="Y4820" t="s">
        <v>43</v>
      </c>
      <c r="Z4820" t="s">
        <v>43</v>
      </c>
      <c r="AA4820" t="s">
        <v>43</v>
      </c>
      <c r="AB4820" t="s">
        <v>43</v>
      </c>
      <c r="AC4820" t="s">
        <v>43</v>
      </c>
      <c r="AD4820" t="s">
        <v>43</v>
      </c>
      <c r="AE4820" t="s">
        <v>43</v>
      </c>
      <c r="AF4820" t="s">
        <v>43</v>
      </c>
      <c r="AG4820" t="s">
        <v>43</v>
      </c>
      <c r="AH4820" t="s">
        <v>43</v>
      </c>
      <c r="AI4820" t="s">
        <v>43</v>
      </c>
      <c r="AJ4820" t="s">
        <v>43</v>
      </c>
      <c r="AK4820" t="s">
        <v>43</v>
      </c>
      <c r="AL4820" t="s">
        <v>43</v>
      </c>
      <c r="AM4820" t="s">
        <v>43</v>
      </c>
      <c r="AN4820" t="s">
        <v>43</v>
      </c>
    </row>
    <row r="4821" spans="1:40" x14ac:dyDescent="0.3">
      <c r="A4821" s="1">
        <v>46210.441319444442</v>
      </c>
      <c r="B4821" t="s">
        <v>40</v>
      </c>
      <c r="C4821" t="s">
        <v>41</v>
      </c>
      <c r="D4821" s="1">
        <v>46210.444201388891</v>
      </c>
      <c r="E4821" t="s">
        <v>42</v>
      </c>
      <c r="F4821" t="s">
        <v>43</v>
      </c>
      <c r="G4821" t="s">
        <v>43</v>
      </c>
      <c r="H4821" t="s">
        <v>43</v>
      </c>
      <c r="I4821" t="s">
        <v>2784</v>
      </c>
      <c r="J4821" t="s">
        <v>43</v>
      </c>
      <c r="K4821" t="s">
        <v>43</v>
      </c>
      <c r="L4821" t="s">
        <v>43</v>
      </c>
      <c r="M4821" t="s">
        <v>43</v>
      </c>
      <c r="N4821" t="s">
        <v>45</v>
      </c>
      <c r="O4821" t="s">
        <v>43</v>
      </c>
      <c r="P4821" t="s">
        <v>43</v>
      </c>
      <c r="Q4821" t="s">
        <v>43</v>
      </c>
      <c r="R4821" t="s">
        <v>43</v>
      </c>
      <c r="S4821" t="s">
        <v>43</v>
      </c>
      <c r="T4821" t="s">
        <v>43</v>
      </c>
      <c r="U4821" t="s">
        <v>43</v>
      </c>
      <c r="V4821" t="s">
        <v>43</v>
      </c>
      <c r="W4821" t="s">
        <v>43</v>
      </c>
      <c r="X4821" t="s">
        <v>43</v>
      </c>
      <c r="Y4821" t="s">
        <v>43</v>
      </c>
      <c r="Z4821" t="s">
        <v>43</v>
      </c>
      <c r="AA4821" t="s">
        <v>43</v>
      </c>
      <c r="AB4821" t="s">
        <v>43</v>
      </c>
      <c r="AC4821" t="s">
        <v>43</v>
      </c>
      <c r="AD4821" t="s">
        <v>43</v>
      </c>
      <c r="AE4821" t="s">
        <v>43</v>
      </c>
      <c r="AF4821" t="s">
        <v>43</v>
      </c>
      <c r="AG4821" t="s">
        <v>43</v>
      </c>
      <c r="AH4821" t="s">
        <v>43</v>
      </c>
      <c r="AI4821" t="s">
        <v>43</v>
      </c>
      <c r="AJ4821" t="s">
        <v>43</v>
      </c>
      <c r="AK4821" t="s">
        <v>43</v>
      </c>
      <c r="AL4821" t="s">
        <v>43</v>
      </c>
      <c r="AM4821" t="s">
        <v>43</v>
      </c>
      <c r="AN4821" t="str">
        <f>HYPERLINK("https://www.google.com/maps?q=10.83226109,79.84024811","Open Location")</f>
        <v>Open Location</v>
      </c>
    </row>
    <row r="4822" spans="1:40" x14ac:dyDescent="0.3">
      <c r="A4822" s="1">
        <v>46210.441203703704</v>
      </c>
      <c r="B4822" t="s">
        <v>40</v>
      </c>
      <c r="C4822" t="s">
        <v>41</v>
      </c>
      <c r="D4822" s="1">
        <v>46210.443877314814</v>
      </c>
      <c r="E4822" t="s">
        <v>42</v>
      </c>
      <c r="F4822" t="s">
        <v>43</v>
      </c>
      <c r="G4822" t="s">
        <v>43</v>
      </c>
      <c r="H4822" t="s">
        <v>43</v>
      </c>
      <c r="I4822" t="s">
        <v>2777</v>
      </c>
      <c r="J4822" t="s">
        <v>43</v>
      </c>
      <c r="K4822" t="s">
        <v>43</v>
      </c>
      <c r="L4822" t="s">
        <v>43</v>
      </c>
      <c r="M4822" t="s">
        <v>43</v>
      </c>
      <c r="N4822" t="s">
        <v>45</v>
      </c>
      <c r="O4822" t="s">
        <v>43</v>
      </c>
      <c r="P4822" t="s">
        <v>43</v>
      </c>
      <c r="Q4822" t="s">
        <v>43</v>
      </c>
      <c r="R4822" t="s">
        <v>43</v>
      </c>
      <c r="S4822" t="s">
        <v>43</v>
      </c>
      <c r="T4822" t="s">
        <v>43</v>
      </c>
      <c r="U4822" t="s">
        <v>43</v>
      </c>
      <c r="V4822" t="s">
        <v>43</v>
      </c>
      <c r="W4822" t="s">
        <v>43</v>
      </c>
      <c r="X4822" t="s">
        <v>43</v>
      </c>
      <c r="Y4822" t="s">
        <v>43</v>
      </c>
      <c r="Z4822" t="s">
        <v>43</v>
      </c>
      <c r="AA4822" t="s">
        <v>43</v>
      </c>
      <c r="AB4822" t="s">
        <v>43</v>
      </c>
      <c r="AC4822" t="s">
        <v>43</v>
      </c>
      <c r="AD4822" t="s">
        <v>43</v>
      </c>
      <c r="AE4822" t="s">
        <v>43</v>
      </c>
      <c r="AF4822" t="s">
        <v>43</v>
      </c>
      <c r="AG4822" t="s">
        <v>43</v>
      </c>
      <c r="AH4822" t="s">
        <v>43</v>
      </c>
      <c r="AI4822" t="s">
        <v>43</v>
      </c>
      <c r="AJ4822" t="s">
        <v>43</v>
      </c>
      <c r="AK4822" t="s">
        <v>43</v>
      </c>
      <c r="AL4822" t="s">
        <v>43</v>
      </c>
      <c r="AM4822" t="s">
        <v>43</v>
      </c>
      <c r="AN4822" t="str">
        <f>HYPERLINK("https://www.google.com/maps?q=10.83225822,79.84024811","Open Location")</f>
        <v>Open Location</v>
      </c>
    </row>
    <row r="4823" spans="1:40" x14ac:dyDescent="0.3">
      <c r="A4823" s="1">
        <v>46210.441087962965</v>
      </c>
      <c r="B4823" t="s">
        <v>40</v>
      </c>
      <c r="C4823" t="s">
        <v>41</v>
      </c>
      <c r="D4823" s="1">
        <v>46210.444097222222</v>
      </c>
      <c r="E4823" t="s">
        <v>42</v>
      </c>
      <c r="F4823" t="s">
        <v>43</v>
      </c>
      <c r="G4823" t="s">
        <v>43</v>
      </c>
      <c r="H4823" t="s">
        <v>43</v>
      </c>
      <c r="I4823" t="s">
        <v>2779</v>
      </c>
      <c r="J4823" t="s">
        <v>43</v>
      </c>
      <c r="K4823" t="s">
        <v>43</v>
      </c>
      <c r="L4823" t="s">
        <v>43</v>
      </c>
      <c r="M4823" t="s">
        <v>43</v>
      </c>
      <c r="N4823" t="s">
        <v>45</v>
      </c>
      <c r="O4823" t="s">
        <v>43</v>
      </c>
      <c r="P4823" t="s">
        <v>43</v>
      </c>
      <c r="Q4823" t="s">
        <v>43</v>
      </c>
      <c r="R4823" t="s">
        <v>43</v>
      </c>
      <c r="S4823" t="s">
        <v>43</v>
      </c>
      <c r="T4823" t="s">
        <v>43</v>
      </c>
      <c r="U4823" t="s">
        <v>43</v>
      </c>
      <c r="V4823" t="s">
        <v>43</v>
      </c>
      <c r="W4823" t="s">
        <v>43</v>
      </c>
      <c r="X4823" t="s">
        <v>43</v>
      </c>
      <c r="Y4823" t="s">
        <v>43</v>
      </c>
      <c r="Z4823" t="s">
        <v>43</v>
      </c>
      <c r="AA4823" t="s">
        <v>43</v>
      </c>
      <c r="AB4823" t="s">
        <v>43</v>
      </c>
      <c r="AC4823" t="s">
        <v>43</v>
      </c>
      <c r="AD4823" t="s">
        <v>43</v>
      </c>
      <c r="AE4823" t="s">
        <v>43</v>
      </c>
      <c r="AF4823" t="s">
        <v>43</v>
      </c>
      <c r="AG4823" t="s">
        <v>43</v>
      </c>
      <c r="AH4823" t="s">
        <v>43</v>
      </c>
      <c r="AI4823" t="s">
        <v>43</v>
      </c>
      <c r="AJ4823" t="s">
        <v>43</v>
      </c>
      <c r="AK4823" t="s">
        <v>43</v>
      </c>
      <c r="AL4823" t="s">
        <v>43</v>
      </c>
      <c r="AM4823" t="s">
        <v>43</v>
      </c>
      <c r="AN4823" t="str">
        <f>HYPERLINK("https://www.google.com/maps?q=10.83225727,79.84024048","Open Location")</f>
        <v>Open Location</v>
      </c>
    </row>
    <row r="4824" spans="1:40" x14ac:dyDescent="0.3">
      <c r="A4824" s="1">
        <v>46210.440972222219</v>
      </c>
      <c r="B4824" t="s">
        <v>40</v>
      </c>
      <c r="C4824" t="s">
        <v>41</v>
      </c>
      <c r="D4824" s="1">
        <v>46210.443796296298</v>
      </c>
      <c r="E4824" t="s">
        <v>42</v>
      </c>
      <c r="F4824" t="s">
        <v>43</v>
      </c>
      <c r="G4824" t="s">
        <v>43</v>
      </c>
      <c r="H4824" t="s">
        <v>43</v>
      </c>
      <c r="I4824" t="s">
        <v>2696</v>
      </c>
      <c r="J4824" t="s">
        <v>43</v>
      </c>
      <c r="K4824" t="s">
        <v>43</v>
      </c>
      <c r="L4824" t="s">
        <v>43</v>
      </c>
      <c r="M4824" t="s">
        <v>43</v>
      </c>
      <c r="N4824" t="s">
        <v>45</v>
      </c>
      <c r="O4824" t="s">
        <v>43</v>
      </c>
      <c r="P4824" t="s">
        <v>43</v>
      </c>
      <c r="Q4824" t="s">
        <v>43</v>
      </c>
      <c r="R4824" t="s">
        <v>43</v>
      </c>
      <c r="S4824" t="s">
        <v>43</v>
      </c>
      <c r="T4824" t="s">
        <v>43</v>
      </c>
      <c r="U4824" t="s">
        <v>43</v>
      </c>
      <c r="V4824" t="s">
        <v>43</v>
      </c>
      <c r="W4824" t="s">
        <v>43</v>
      </c>
      <c r="X4824" t="s">
        <v>43</v>
      </c>
      <c r="Y4824" t="s">
        <v>43</v>
      </c>
      <c r="Z4824" t="s">
        <v>43</v>
      </c>
      <c r="AA4824" t="s">
        <v>43</v>
      </c>
      <c r="AB4824" t="s">
        <v>43</v>
      </c>
      <c r="AC4824" t="s">
        <v>43</v>
      </c>
      <c r="AD4824" t="s">
        <v>43</v>
      </c>
      <c r="AE4824" t="s">
        <v>43</v>
      </c>
      <c r="AF4824" t="s">
        <v>43</v>
      </c>
      <c r="AG4824" t="s">
        <v>43</v>
      </c>
      <c r="AH4824" t="s">
        <v>43</v>
      </c>
      <c r="AI4824" t="s">
        <v>43</v>
      </c>
      <c r="AJ4824" t="s">
        <v>43</v>
      </c>
      <c r="AK4824" t="s">
        <v>43</v>
      </c>
      <c r="AL4824" t="s">
        <v>43</v>
      </c>
      <c r="AM4824" t="s">
        <v>43</v>
      </c>
      <c r="AN4824" t="str">
        <f>HYPERLINK("https://www.google.com/maps?q=10.83225536,79.84022522","Open Location")</f>
        <v>Open Location</v>
      </c>
    </row>
    <row r="4825" spans="1:40" x14ac:dyDescent="0.3">
      <c r="A4825" s="1">
        <v>46210.44085648148</v>
      </c>
      <c r="B4825" t="s">
        <v>40</v>
      </c>
      <c r="C4825" t="s">
        <v>41</v>
      </c>
      <c r="D4825" s="1">
        <v>46210.443668981483</v>
      </c>
      <c r="E4825" t="s">
        <v>42</v>
      </c>
      <c r="F4825" t="s">
        <v>43</v>
      </c>
      <c r="G4825" t="s">
        <v>43</v>
      </c>
      <c r="H4825" t="s">
        <v>43</v>
      </c>
      <c r="I4825" t="s">
        <v>2697</v>
      </c>
      <c r="J4825" t="s">
        <v>43</v>
      </c>
      <c r="K4825" t="s">
        <v>43</v>
      </c>
      <c r="L4825" t="s">
        <v>43</v>
      </c>
      <c r="M4825" t="s">
        <v>43</v>
      </c>
      <c r="N4825" t="s">
        <v>45</v>
      </c>
      <c r="O4825" t="s">
        <v>43</v>
      </c>
      <c r="P4825" t="s">
        <v>43</v>
      </c>
      <c r="Q4825" t="s">
        <v>43</v>
      </c>
      <c r="R4825" t="s">
        <v>43</v>
      </c>
      <c r="S4825" t="s">
        <v>43</v>
      </c>
      <c r="T4825" t="s">
        <v>43</v>
      </c>
      <c r="U4825" t="s">
        <v>43</v>
      </c>
      <c r="V4825" t="s">
        <v>43</v>
      </c>
      <c r="W4825" t="s">
        <v>43</v>
      </c>
      <c r="X4825" t="s">
        <v>43</v>
      </c>
      <c r="Y4825" t="s">
        <v>43</v>
      </c>
      <c r="Z4825" t="s">
        <v>43</v>
      </c>
      <c r="AA4825" t="s">
        <v>43</v>
      </c>
      <c r="AB4825" t="s">
        <v>43</v>
      </c>
      <c r="AC4825" t="s">
        <v>43</v>
      </c>
      <c r="AD4825" t="s">
        <v>43</v>
      </c>
      <c r="AE4825" t="s">
        <v>43</v>
      </c>
      <c r="AF4825" t="s">
        <v>43</v>
      </c>
      <c r="AG4825" t="s">
        <v>43</v>
      </c>
      <c r="AH4825" t="s">
        <v>43</v>
      </c>
      <c r="AI4825" t="s">
        <v>43</v>
      </c>
      <c r="AJ4825" t="s">
        <v>43</v>
      </c>
      <c r="AK4825" t="s">
        <v>43</v>
      </c>
      <c r="AL4825" t="s">
        <v>43</v>
      </c>
      <c r="AM4825" t="s">
        <v>43</v>
      </c>
      <c r="AN4825" t="str">
        <f>HYPERLINK("https://www.google.com/maps?q=10.83225632,79.84022522","Open Location")</f>
        <v>Open Location</v>
      </c>
    </row>
    <row r="4826" spans="1:40" x14ac:dyDescent="0.3">
      <c r="A4826" s="1">
        <v>46210.440740740742</v>
      </c>
      <c r="B4826" t="s">
        <v>40</v>
      </c>
      <c r="C4826" t="s">
        <v>41</v>
      </c>
      <c r="D4826" s="1">
        <v>46210.443796296298</v>
      </c>
      <c r="E4826" t="s">
        <v>42</v>
      </c>
      <c r="F4826" t="s">
        <v>43</v>
      </c>
      <c r="G4826" t="s">
        <v>43</v>
      </c>
      <c r="H4826" t="s">
        <v>43</v>
      </c>
      <c r="I4826" t="s">
        <v>43</v>
      </c>
      <c r="J4826" t="s">
        <v>43</v>
      </c>
      <c r="K4826" t="s">
        <v>43</v>
      </c>
      <c r="L4826" t="s">
        <v>43</v>
      </c>
      <c r="M4826" t="s">
        <v>43</v>
      </c>
      <c r="N4826" t="s">
        <v>45</v>
      </c>
      <c r="O4826" t="s">
        <v>43</v>
      </c>
      <c r="P4826" t="s">
        <v>43</v>
      </c>
      <c r="Q4826" t="s">
        <v>43</v>
      </c>
      <c r="R4826" t="s">
        <v>43</v>
      </c>
      <c r="S4826" t="s">
        <v>43</v>
      </c>
      <c r="T4826" t="s">
        <v>43</v>
      </c>
      <c r="U4826" t="s">
        <v>43</v>
      </c>
      <c r="V4826" t="s">
        <v>43</v>
      </c>
      <c r="W4826" t="s">
        <v>43</v>
      </c>
      <c r="X4826" t="s">
        <v>43</v>
      </c>
      <c r="Y4826" t="s">
        <v>43</v>
      </c>
      <c r="Z4826" t="s">
        <v>43</v>
      </c>
      <c r="AA4826" t="s">
        <v>43</v>
      </c>
      <c r="AB4826" t="s">
        <v>43</v>
      </c>
      <c r="AC4826" t="s">
        <v>43</v>
      </c>
      <c r="AD4826" t="s">
        <v>43</v>
      </c>
      <c r="AE4826" t="s">
        <v>43</v>
      </c>
      <c r="AF4826" t="s">
        <v>43</v>
      </c>
      <c r="AG4826" t="s">
        <v>43</v>
      </c>
      <c r="AH4826" t="s">
        <v>43</v>
      </c>
      <c r="AI4826" t="s">
        <v>43</v>
      </c>
      <c r="AJ4826" t="s">
        <v>43</v>
      </c>
      <c r="AK4826" t="s">
        <v>43</v>
      </c>
      <c r="AL4826" t="s">
        <v>43</v>
      </c>
      <c r="AM4826" t="s">
        <v>43</v>
      </c>
      <c r="AN4826" t="s">
        <v>43</v>
      </c>
    </row>
    <row r="4827" spans="1:40" x14ac:dyDescent="0.3">
      <c r="A4827" s="1">
        <v>46210.440625000003</v>
      </c>
      <c r="B4827" t="s">
        <v>40</v>
      </c>
      <c r="C4827" t="s">
        <v>41</v>
      </c>
      <c r="D4827" s="1">
        <v>46210.443831018521</v>
      </c>
      <c r="E4827" t="s">
        <v>42</v>
      </c>
      <c r="F4827" t="s">
        <v>43</v>
      </c>
      <c r="G4827" t="s">
        <v>43</v>
      </c>
      <c r="H4827" t="s">
        <v>43</v>
      </c>
      <c r="I4827" t="s">
        <v>2695</v>
      </c>
      <c r="J4827" t="s">
        <v>43</v>
      </c>
      <c r="K4827" t="s">
        <v>43</v>
      </c>
      <c r="L4827" t="s">
        <v>43</v>
      </c>
      <c r="M4827" t="s">
        <v>43</v>
      </c>
      <c r="N4827" t="s">
        <v>45</v>
      </c>
      <c r="O4827" t="s">
        <v>43</v>
      </c>
      <c r="P4827" t="s">
        <v>43</v>
      </c>
      <c r="Q4827" t="s">
        <v>43</v>
      </c>
      <c r="R4827" t="s">
        <v>43</v>
      </c>
      <c r="S4827" t="s">
        <v>43</v>
      </c>
      <c r="T4827" t="s">
        <v>43</v>
      </c>
      <c r="U4827" t="s">
        <v>43</v>
      </c>
      <c r="V4827" t="s">
        <v>43</v>
      </c>
      <c r="W4827" t="s">
        <v>43</v>
      </c>
      <c r="X4827" t="s">
        <v>43</v>
      </c>
      <c r="Y4827" t="s">
        <v>43</v>
      </c>
      <c r="Z4827" t="s">
        <v>43</v>
      </c>
      <c r="AA4827" t="s">
        <v>43</v>
      </c>
      <c r="AB4827" t="s">
        <v>43</v>
      </c>
      <c r="AC4827" t="s">
        <v>43</v>
      </c>
      <c r="AD4827" t="s">
        <v>43</v>
      </c>
      <c r="AE4827" t="s">
        <v>43</v>
      </c>
      <c r="AF4827" t="s">
        <v>43</v>
      </c>
      <c r="AG4827" t="s">
        <v>43</v>
      </c>
      <c r="AH4827" t="s">
        <v>43</v>
      </c>
      <c r="AI4827" t="s">
        <v>43</v>
      </c>
      <c r="AJ4827" t="s">
        <v>43</v>
      </c>
      <c r="AK4827" t="s">
        <v>43</v>
      </c>
      <c r="AL4827" t="s">
        <v>43</v>
      </c>
      <c r="AM4827" t="s">
        <v>43</v>
      </c>
      <c r="AN4827" t="str">
        <f>HYPERLINK("https://www.google.com/maps?q=10.83225346,79.84022522","Open Location")</f>
        <v>Open Location</v>
      </c>
    </row>
    <row r="4828" spans="1:40" x14ac:dyDescent="0.3">
      <c r="A4828" s="1">
        <v>46210.440509259257</v>
      </c>
      <c r="B4828" t="s">
        <v>40</v>
      </c>
      <c r="C4828" t="s">
        <v>41</v>
      </c>
      <c r="D4828" s="1">
        <v>46210.443495370368</v>
      </c>
      <c r="E4828" t="s">
        <v>42</v>
      </c>
      <c r="F4828" t="s">
        <v>43</v>
      </c>
      <c r="G4828" t="s">
        <v>43</v>
      </c>
      <c r="H4828" t="s">
        <v>43</v>
      </c>
      <c r="I4828" t="s">
        <v>2785</v>
      </c>
      <c r="J4828" t="s">
        <v>43</v>
      </c>
      <c r="K4828" t="s">
        <v>43</v>
      </c>
      <c r="L4828" t="s">
        <v>43</v>
      </c>
      <c r="M4828" t="s">
        <v>43</v>
      </c>
      <c r="N4828" t="s">
        <v>45</v>
      </c>
      <c r="O4828" t="s">
        <v>43</v>
      </c>
      <c r="P4828" t="s">
        <v>43</v>
      </c>
      <c r="Q4828" t="s">
        <v>43</v>
      </c>
      <c r="R4828" t="s">
        <v>43</v>
      </c>
      <c r="S4828" t="s">
        <v>43</v>
      </c>
      <c r="T4828" t="s">
        <v>43</v>
      </c>
      <c r="U4828" t="s">
        <v>43</v>
      </c>
      <c r="V4828" t="s">
        <v>43</v>
      </c>
      <c r="W4828" t="s">
        <v>43</v>
      </c>
      <c r="X4828" t="s">
        <v>43</v>
      </c>
      <c r="Y4828" t="s">
        <v>43</v>
      </c>
      <c r="Z4828" t="s">
        <v>43</v>
      </c>
      <c r="AA4828" t="s">
        <v>43</v>
      </c>
      <c r="AB4828" t="s">
        <v>43</v>
      </c>
      <c r="AC4828" t="s">
        <v>43</v>
      </c>
      <c r="AD4828" t="s">
        <v>43</v>
      </c>
      <c r="AE4828" t="s">
        <v>43</v>
      </c>
      <c r="AF4828" t="s">
        <v>43</v>
      </c>
      <c r="AG4828" t="s">
        <v>43</v>
      </c>
      <c r="AH4828" t="s">
        <v>43</v>
      </c>
      <c r="AI4828" t="s">
        <v>43</v>
      </c>
      <c r="AJ4828" t="s">
        <v>43</v>
      </c>
      <c r="AK4828" t="s">
        <v>43</v>
      </c>
      <c r="AL4828" t="s">
        <v>43</v>
      </c>
      <c r="AM4828" t="s">
        <v>43</v>
      </c>
      <c r="AN4828" t="str">
        <f>HYPERLINK("https://www.google.com/maps?q=10.83224964,79.84022522","Open Location")</f>
        <v>Open Location</v>
      </c>
    </row>
    <row r="4829" spans="1:40" x14ac:dyDescent="0.3">
      <c r="A4829" s="1">
        <v>46210.440393518518</v>
      </c>
      <c r="B4829" t="s">
        <v>40</v>
      </c>
      <c r="C4829" t="s">
        <v>41</v>
      </c>
      <c r="D4829" s="1">
        <v>46210.44332175926</v>
      </c>
      <c r="E4829" t="s">
        <v>42</v>
      </c>
      <c r="F4829" t="s">
        <v>43</v>
      </c>
      <c r="G4829" t="s">
        <v>43</v>
      </c>
      <c r="H4829" t="s">
        <v>43</v>
      </c>
      <c r="I4829" t="s">
        <v>2695</v>
      </c>
      <c r="J4829" t="s">
        <v>43</v>
      </c>
      <c r="K4829" t="s">
        <v>43</v>
      </c>
      <c r="L4829" t="s">
        <v>43</v>
      </c>
      <c r="M4829" t="s">
        <v>43</v>
      </c>
      <c r="N4829" t="s">
        <v>45</v>
      </c>
      <c r="O4829" t="s">
        <v>43</v>
      </c>
      <c r="P4829" t="s">
        <v>43</v>
      </c>
      <c r="Q4829" t="s">
        <v>43</v>
      </c>
      <c r="R4829" t="s">
        <v>43</v>
      </c>
      <c r="S4829" t="s">
        <v>43</v>
      </c>
      <c r="T4829" t="s">
        <v>43</v>
      </c>
      <c r="U4829" t="s">
        <v>43</v>
      </c>
      <c r="V4829" t="s">
        <v>43</v>
      </c>
      <c r="W4829" t="s">
        <v>43</v>
      </c>
      <c r="X4829" t="s">
        <v>43</v>
      </c>
      <c r="Y4829" t="s">
        <v>43</v>
      </c>
      <c r="Z4829" t="s">
        <v>43</v>
      </c>
      <c r="AA4829" t="s">
        <v>43</v>
      </c>
      <c r="AB4829" t="s">
        <v>43</v>
      </c>
      <c r="AC4829" t="s">
        <v>43</v>
      </c>
      <c r="AD4829" t="s">
        <v>43</v>
      </c>
      <c r="AE4829" t="s">
        <v>43</v>
      </c>
      <c r="AF4829" t="s">
        <v>43</v>
      </c>
      <c r="AG4829" t="s">
        <v>43</v>
      </c>
      <c r="AH4829" t="s">
        <v>43</v>
      </c>
      <c r="AI4829" t="s">
        <v>43</v>
      </c>
      <c r="AJ4829" t="s">
        <v>43</v>
      </c>
      <c r="AK4829" t="s">
        <v>43</v>
      </c>
      <c r="AL4829" t="s">
        <v>43</v>
      </c>
      <c r="AM4829" t="s">
        <v>43</v>
      </c>
      <c r="AN4829" t="str">
        <f>HYPERLINK("https://www.google.com/maps?q=10.83225346,79.84022522","Open Location")</f>
        <v>Open Location</v>
      </c>
    </row>
    <row r="4830" spans="1:40" x14ac:dyDescent="0.3">
      <c r="A4830" s="1">
        <v>46210.44027777778</v>
      </c>
      <c r="B4830" t="s">
        <v>40</v>
      </c>
      <c r="C4830" t="s">
        <v>41</v>
      </c>
      <c r="D4830" s="1">
        <v>46210.443055555559</v>
      </c>
      <c r="E4830" t="s">
        <v>42</v>
      </c>
      <c r="F4830" t="s">
        <v>43</v>
      </c>
      <c r="G4830" t="s">
        <v>43</v>
      </c>
      <c r="H4830" t="s">
        <v>43</v>
      </c>
      <c r="I4830" t="s">
        <v>2695</v>
      </c>
      <c r="J4830" t="s">
        <v>43</v>
      </c>
      <c r="K4830" t="s">
        <v>43</v>
      </c>
      <c r="L4830" t="s">
        <v>43</v>
      </c>
      <c r="M4830" t="s">
        <v>43</v>
      </c>
      <c r="N4830" t="s">
        <v>45</v>
      </c>
      <c r="O4830" t="s">
        <v>43</v>
      </c>
      <c r="P4830" t="s">
        <v>43</v>
      </c>
      <c r="Q4830" t="s">
        <v>43</v>
      </c>
      <c r="R4830" t="s">
        <v>43</v>
      </c>
      <c r="S4830" t="s">
        <v>43</v>
      </c>
      <c r="T4830" t="s">
        <v>43</v>
      </c>
      <c r="U4830" t="s">
        <v>43</v>
      </c>
      <c r="V4830" t="s">
        <v>43</v>
      </c>
      <c r="W4830" t="s">
        <v>43</v>
      </c>
      <c r="X4830" t="s">
        <v>43</v>
      </c>
      <c r="Y4830" t="s">
        <v>43</v>
      </c>
      <c r="Z4830" t="s">
        <v>43</v>
      </c>
      <c r="AA4830" t="s">
        <v>43</v>
      </c>
      <c r="AB4830" t="s">
        <v>43</v>
      </c>
      <c r="AC4830" t="s">
        <v>43</v>
      </c>
      <c r="AD4830" t="s">
        <v>43</v>
      </c>
      <c r="AE4830" t="s">
        <v>43</v>
      </c>
      <c r="AF4830" t="s">
        <v>43</v>
      </c>
      <c r="AG4830" t="s">
        <v>43</v>
      </c>
      <c r="AH4830" t="s">
        <v>43</v>
      </c>
      <c r="AI4830" t="s">
        <v>43</v>
      </c>
      <c r="AJ4830" t="s">
        <v>43</v>
      </c>
      <c r="AK4830" t="s">
        <v>43</v>
      </c>
      <c r="AL4830" t="s">
        <v>43</v>
      </c>
      <c r="AM4830" t="s">
        <v>43</v>
      </c>
      <c r="AN4830" t="str">
        <f>HYPERLINK("https://www.google.com/maps?q=10.83225346,79.84022522","Open Location")</f>
        <v>Open Location</v>
      </c>
    </row>
    <row r="4831" spans="1:40" x14ac:dyDescent="0.3">
      <c r="A4831" s="1">
        <v>46210.440162037034</v>
      </c>
      <c r="B4831" t="s">
        <v>40</v>
      </c>
      <c r="C4831" t="s">
        <v>41</v>
      </c>
      <c r="D4831" s="1">
        <v>46210.443043981482</v>
      </c>
      <c r="E4831" t="s">
        <v>42</v>
      </c>
      <c r="F4831" t="s">
        <v>43</v>
      </c>
      <c r="G4831" t="s">
        <v>43</v>
      </c>
      <c r="H4831" t="s">
        <v>43</v>
      </c>
      <c r="I4831" t="s">
        <v>43</v>
      </c>
      <c r="J4831" t="s">
        <v>43</v>
      </c>
      <c r="K4831" t="s">
        <v>43</v>
      </c>
      <c r="L4831" t="s">
        <v>43</v>
      </c>
      <c r="M4831" t="s">
        <v>43</v>
      </c>
      <c r="N4831" t="s">
        <v>45</v>
      </c>
      <c r="O4831" t="s">
        <v>43</v>
      </c>
      <c r="P4831" t="s">
        <v>43</v>
      </c>
      <c r="Q4831" t="s">
        <v>43</v>
      </c>
      <c r="R4831" t="s">
        <v>43</v>
      </c>
      <c r="S4831" t="s">
        <v>43</v>
      </c>
      <c r="T4831" t="s">
        <v>43</v>
      </c>
      <c r="U4831" t="s">
        <v>43</v>
      </c>
      <c r="V4831" t="s">
        <v>43</v>
      </c>
      <c r="W4831" t="s">
        <v>43</v>
      </c>
      <c r="X4831" t="s">
        <v>43</v>
      </c>
      <c r="Y4831" t="s">
        <v>43</v>
      </c>
      <c r="Z4831" t="s">
        <v>43</v>
      </c>
      <c r="AA4831" t="s">
        <v>43</v>
      </c>
      <c r="AB4831" t="s">
        <v>43</v>
      </c>
      <c r="AC4831" t="s">
        <v>43</v>
      </c>
      <c r="AD4831" t="s">
        <v>43</v>
      </c>
      <c r="AE4831" t="s">
        <v>43</v>
      </c>
      <c r="AF4831" t="s">
        <v>43</v>
      </c>
      <c r="AG4831" t="s">
        <v>43</v>
      </c>
      <c r="AH4831" t="s">
        <v>43</v>
      </c>
      <c r="AI4831" t="s">
        <v>43</v>
      </c>
      <c r="AJ4831" t="s">
        <v>43</v>
      </c>
      <c r="AK4831" t="s">
        <v>43</v>
      </c>
      <c r="AL4831" t="s">
        <v>43</v>
      </c>
      <c r="AM4831" t="s">
        <v>43</v>
      </c>
      <c r="AN4831" t="s">
        <v>43</v>
      </c>
    </row>
    <row r="4832" spans="1:40" x14ac:dyDescent="0.3">
      <c r="A4832" s="1">
        <v>46210.440046296295</v>
      </c>
      <c r="B4832" t="s">
        <v>40</v>
      </c>
      <c r="C4832" t="s">
        <v>41</v>
      </c>
      <c r="D4832" s="1">
        <v>46210.442696759259</v>
      </c>
      <c r="E4832" t="s">
        <v>42</v>
      </c>
      <c r="F4832" t="s">
        <v>43</v>
      </c>
      <c r="G4832" t="s">
        <v>43</v>
      </c>
      <c r="H4832" t="s">
        <v>43</v>
      </c>
      <c r="I4832" t="s">
        <v>2786</v>
      </c>
      <c r="J4832" t="s">
        <v>43</v>
      </c>
      <c r="K4832" t="s">
        <v>43</v>
      </c>
      <c r="L4832" t="s">
        <v>43</v>
      </c>
      <c r="M4832" t="s">
        <v>43</v>
      </c>
      <c r="N4832" t="s">
        <v>45</v>
      </c>
      <c r="O4832" t="s">
        <v>43</v>
      </c>
      <c r="P4832" t="s">
        <v>43</v>
      </c>
      <c r="Q4832" t="s">
        <v>43</v>
      </c>
      <c r="R4832" t="s">
        <v>43</v>
      </c>
      <c r="S4832" t="s">
        <v>43</v>
      </c>
      <c r="T4832" t="s">
        <v>43</v>
      </c>
      <c r="U4832" t="s">
        <v>43</v>
      </c>
      <c r="V4832" t="s">
        <v>43</v>
      </c>
      <c r="W4832" t="s">
        <v>43</v>
      </c>
      <c r="X4832" t="s">
        <v>43</v>
      </c>
      <c r="Y4832" t="s">
        <v>43</v>
      </c>
      <c r="Z4832" t="s">
        <v>43</v>
      </c>
      <c r="AA4832" t="s">
        <v>43</v>
      </c>
      <c r="AB4832" t="s">
        <v>43</v>
      </c>
      <c r="AC4832" t="s">
        <v>43</v>
      </c>
      <c r="AD4832" t="s">
        <v>43</v>
      </c>
      <c r="AE4832" t="s">
        <v>43</v>
      </c>
      <c r="AF4832" t="s">
        <v>43</v>
      </c>
      <c r="AG4832" t="s">
        <v>43</v>
      </c>
      <c r="AH4832" t="s">
        <v>43</v>
      </c>
      <c r="AI4832" t="s">
        <v>43</v>
      </c>
      <c r="AJ4832" t="s">
        <v>43</v>
      </c>
      <c r="AK4832" t="s">
        <v>43</v>
      </c>
      <c r="AL4832" t="s">
        <v>43</v>
      </c>
      <c r="AM4832" t="s">
        <v>43</v>
      </c>
      <c r="AN4832" t="str">
        <f>HYPERLINK("https://www.google.com/maps?q=10.83225441,79.84023285","Open Location")</f>
        <v>Open Location</v>
      </c>
    </row>
    <row r="4833" spans="1:40" x14ac:dyDescent="0.3">
      <c r="A4833" s="1">
        <v>46210.439930555556</v>
      </c>
      <c r="B4833" t="s">
        <v>40</v>
      </c>
      <c r="C4833" t="s">
        <v>41</v>
      </c>
      <c r="D4833" s="1">
        <v>46210.44295138889</v>
      </c>
      <c r="E4833" t="s">
        <v>42</v>
      </c>
      <c r="F4833" t="s">
        <v>43</v>
      </c>
      <c r="G4833" t="s">
        <v>43</v>
      </c>
      <c r="H4833" t="s">
        <v>43</v>
      </c>
      <c r="I4833" t="s">
        <v>2787</v>
      </c>
      <c r="J4833" t="s">
        <v>43</v>
      </c>
      <c r="K4833" t="s">
        <v>43</v>
      </c>
      <c r="L4833" t="s">
        <v>43</v>
      </c>
      <c r="M4833" t="s">
        <v>43</v>
      </c>
      <c r="N4833" t="s">
        <v>45</v>
      </c>
      <c r="O4833" t="s">
        <v>43</v>
      </c>
      <c r="P4833" t="s">
        <v>43</v>
      </c>
      <c r="Q4833" t="s">
        <v>43</v>
      </c>
      <c r="R4833" t="s">
        <v>43</v>
      </c>
      <c r="S4833" t="s">
        <v>43</v>
      </c>
      <c r="T4833" t="s">
        <v>43</v>
      </c>
      <c r="U4833" t="s">
        <v>43</v>
      </c>
      <c r="V4833" t="s">
        <v>43</v>
      </c>
      <c r="W4833" t="s">
        <v>43</v>
      </c>
      <c r="X4833" t="s">
        <v>43</v>
      </c>
      <c r="Y4833" t="s">
        <v>43</v>
      </c>
      <c r="Z4833" t="s">
        <v>43</v>
      </c>
      <c r="AA4833" t="s">
        <v>43</v>
      </c>
      <c r="AB4833" t="s">
        <v>43</v>
      </c>
      <c r="AC4833" t="s">
        <v>43</v>
      </c>
      <c r="AD4833" t="s">
        <v>43</v>
      </c>
      <c r="AE4833" t="s">
        <v>43</v>
      </c>
      <c r="AF4833" t="s">
        <v>43</v>
      </c>
      <c r="AG4833" t="s">
        <v>43</v>
      </c>
      <c r="AH4833" t="s">
        <v>43</v>
      </c>
      <c r="AI4833" t="s">
        <v>43</v>
      </c>
      <c r="AJ4833" t="s">
        <v>43</v>
      </c>
      <c r="AK4833" t="s">
        <v>43</v>
      </c>
      <c r="AL4833" t="s">
        <v>43</v>
      </c>
      <c r="AM4833" t="s">
        <v>43</v>
      </c>
      <c r="AN4833" t="str">
        <f>HYPERLINK("https://www.google.com/maps?q=10.83224869,79.84023285","Open Location")</f>
        <v>Open Location</v>
      </c>
    </row>
    <row r="4834" spans="1:40" x14ac:dyDescent="0.3">
      <c r="A4834" s="1">
        <v>46210.439814814818</v>
      </c>
      <c r="B4834" t="s">
        <v>40</v>
      </c>
      <c r="C4834" t="s">
        <v>41</v>
      </c>
      <c r="D4834" s="1">
        <v>46210.442604166667</v>
      </c>
      <c r="E4834" t="s">
        <v>42</v>
      </c>
      <c r="F4834" t="s">
        <v>43</v>
      </c>
      <c r="G4834" t="s">
        <v>43</v>
      </c>
      <c r="H4834" t="s">
        <v>43</v>
      </c>
      <c r="I4834" t="s">
        <v>2788</v>
      </c>
      <c r="J4834" t="s">
        <v>43</v>
      </c>
      <c r="K4834" t="s">
        <v>43</v>
      </c>
      <c r="L4834" t="s">
        <v>43</v>
      </c>
      <c r="M4834" t="s">
        <v>43</v>
      </c>
      <c r="N4834" t="s">
        <v>45</v>
      </c>
      <c r="O4834" t="s">
        <v>43</v>
      </c>
      <c r="P4834" t="s">
        <v>43</v>
      </c>
      <c r="Q4834" t="s">
        <v>43</v>
      </c>
      <c r="R4834" t="s">
        <v>43</v>
      </c>
      <c r="S4834" t="s">
        <v>43</v>
      </c>
      <c r="T4834" t="s">
        <v>43</v>
      </c>
      <c r="U4834" t="s">
        <v>43</v>
      </c>
      <c r="V4834" t="s">
        <v>43</v>
      </c>
      <c r="W4834" t="s">
        <v>43</v>
      </c>
      <c r="X4834" t="s">
        <v>43</v>
      </c>
      <c r="Y4834" t="s">
        <v>43</v>
      </c>
      <c r="Z4834" t="s">
        <v>43</v>
      </c>
      <c r="AA4834" t="s">
        <v>43</v>
      </c>
      <c r="AB4834" t="s">
        <v>43</v>
      </c>
      <c r="AC4834" t="s">
        <v>43</v>
      </c>
      <c r="AD4834" t="s">
        <v>43</v>
      </c>
      <c r="AE4834" t="s">
        <v>43</v>
      </c>
      <c r="AF4834" t="s">
        <v>43</v>
      </c>
      <c r="AG4834" t="s">
        <v>43</v>
      </c>
      <c r="AH4834" t="s">
        <v>43</v>
      </c>
      <c r="AI4834" t="s">
        <v>43</v>
      </c>
      <c r="AJ4834" t="s">
        <v>43</v>
      </c>
      <c r="AK4834" t="s">
        <v>43</v>
      </c>
      <c r="AL4834" t="s">
        <v>43</v>
      </c>
      <c r="AM4834" t="s">
        <v>43</v>
      </c>
      <c r="AN4834" t="str">
        <f>HYPERLINK("https://www.google.com/maps?q=10.83225155,79.84023285","Open Location")</f>
        <v>Open Location</v>
      </c>
    </row>
    <row r="4835" spans="1:40" x14ac:dyDescent="0.3">
      <c r="A4835" s="1">
        <v>46210.439699074072</v>
      </c>
      <c r="B4835" t="s">
        <v>40</v>
      </c>
      <c r="C4835" t="s">
        <v>41</v>
      </c>
      <c r="D4835" s="1">
        <v>46210.44259259259</v>
      </c>
      <c r="E4835" t="s">
        <v>42</v>
      </c>
      <c r="F4835" t="s">
        <v>43</v>
      </c>
      <c r="G4835" t="s">
        <v>43</v>
      </c>
      <c r="H4835" t="s">
        <v>43</v>
      </c>
      <c r="I4835" t="s">
        <v>2789</v>
      </c>
      <c r="J4835" t="s">
        <v>43</v>
      </c>
      <c r="K4835" t="s">
        <v>43</v>
      </c>
      <c r="L4835" t="s">
        <v>43</v>
      </c>
      <c r="M4835" t="s">
        <v>43</v>
      </c>
      <c r="N4835" t="s">
        <v>45</v>
      </c>
      <c r="O4835" t="s">
        <v>43</v>
      </c>
      <c r="P4835" t="s">
        <v>43</v>
      </c>
      <c r="Q4835" t="s">
        <v>43</v>
      </c>
      <c r="R4835" t="s">
        <v>43</v>
      </c>
      <c r="S4835" t="s">
        <v>43</v>
      </c>
      <c r="T4835" t="s">
        <v>43</v>
      </c>
      <c r="U4835" t="s">
        <v>43</v>
      </c>
      <c r="V4835" t="s">
        <v>43</v>
      </c>
      <c r="W4835" t="s">
        <v>43</v>
      </c>
      <c r="X4835" t="s">
        <v>43</v>
      </c>
      <c r="Y4835" t="s">
        <v>43</v>
      </c>
      <c r="Z4835" t="s">
        <v>43</v>
      </c>
      <c r="AA4835" t="s">
        <v>43</v>
      </c>
      <c r="AB4835" t="s">
        <v>43</v>
      </c>
      <c r="AC4835" t="s">
        <v>43</v>
      </c>
      <c r="AD4835" t="s">
        <v>43</v>
      </c>
      <c r="AE4835" t="s">
        <v>43</v>
      </c>
      <c r="AF4835" t="s">
        <v>43</v>
      </c>
      <c r="AG4835" t="s">
        <v>43</v>
      </c>
      <c r="AH4835" t="s">
        <v>43</v>
      </c>
      <c r="AI4835" t="s">
        <v>43</v>
      </c>
      <c r="AJ4835" t="s">
        <v>43</v>
      </c>
      <c r="AK4835" t="s">
        <v>43</v>
      </c>
      <c r="AL4835" t="s">
        <v>43</v>
      </c>
      <c r="AM4835" t="s">
        <v>43</v>
      </c>
      <c r="AN4835" t="str">
        <f>HYPERLINK("https://www.google.com/maps?q=10.83225727,79.84023285","Open Location")</f>
        <v>Open Location</v>
      </c>
    </row>
    <row r="4836" spans="1:40" x14ac:dyDescent="0.3">
      <c r="A4836" s="1">
        <v>46210.439583333333</v>
      </c>
      <c r="B4836" t="s">
        <v>40</v>
      </c>
      <c r="C4836" t="s">
        <v>41</v>
      </c>
      <c r="D4836" s="1">
        <v>46210.442361111112</v>
      </c>
      <c r="E4836" t="s">
        <v>42</v>
      </c>
      <c r="F4836" t="s">
        <v>43</v>
      </c>
      <c r="G4836" t="s">
        <v>43</v>
      </c>
      <c r="H4836" t="s">
        <v>43</v>
      </c>
      <c r="I4836" t="s">
        <v>2790</v>
      </c>
      <c r="J4836" t="s">
        <v>43</v>
      </c>
      <c r="K4836" t="s">
        <v>43</v>
      </c>
      <c r="L4836" t="s">
        <v>43</v>
      </c>
      <c r="M4836" t="s">
        <v>43</v>
      </c>
      <c r="N4836" t="s">
        <v>45</v>
      </c>
      <c r="O4836" t="s">
        <v>43</v>
      </c>
      <c r="P4836" t="s">
        <v>43</v>
      </c>
      <c r="Q4836" t="s">
        <v>43</v>
      </c>
      <c r="R4836" t="s">
        <v>43</v>
      </c>
      <c r="S4836" t="s">
        <v>43</v>
      </c>
      <c r="T4836" t="s">
        <v>43</v>
      </c>
      <c r="U4836" t="s">
        <v>43</v>
      </c>
      <c r="V4836" t="s">
        <v>43</v>
      </c>
      <c r="W4836" t="s">
        <v>43</v>
      </c>
      <c r="X4836" t="s">
        <v>43</v>
      </c>
      <c r="Y4836" t="s">
        <v>43</v>
      </c>
      <c r="Z4836" t="s">
        <v>43</v>
      </c>
      <c r="AA4836" t="s">
        <v>43</v>
      </c>
      <c r="AB4836" t="s">
        <v>43</v>
      </c>
      <c r="AC4836" t="s">
        <v>43</v>
      </c>
      <c r="AD4836" t="s">
        <v>43</v>
      </c>
      <c r="AE4836" t="s">
        <v>43</v>
      </c>
      <c r="AF4836" t="s">
        <v>43</v>
      </c>
      <c r="AG4836" t="s">
        <v>43</v>
      </c>
      <c r="AH4836" t="s">
        <v>43</v>
      </c>
      <c r="AI4836" t="s">
        <v>43</v>
      </c>
      <c r="AJ4836" t="s">
        <v>43</v>
      </c>
      <c r="AK4836" t="s">
        <v>43</v>
      </c>
      <c r="AL4836" t="s">
        <v>43</v>
      </c>
      <c r="AM4836" t="s">
        <v>43</v>
      </c>
      <c r="AN4836" t="str">
        <f>HYPERLINK("https://www.google.com/maps?q=10.8322649,79.84022522","Open Location")</f>
        <v>Open Location</v>
      </c>
    </row>
    <row r="4837" spans="1:40" x14ac:dyDescent="0.3">
      <c r="A4837" s="1">
        <v>46210.439467592594</v>
      </c>
      <c r="B4837" t="s">
        <v>40</v>
      </c>
      <c r="C4837" t="s">
        <v>41</v>
      </c>
      <c r="D4837" s="1">
        <v>46210.442604166667</v>
      </c>
      <c r="E4837" t="s">
        <v>42</v>
      </c>
      <c r="F4837" t="s">
        <v>43</v>
      </c>
      <c r="G4837" t="s">
        <v>43</v>
      </c>
      <c r="H4837" t="s">
        <v>43</v>
      </c>
      <c r="I4837" t="s">
        <v>43</v>
      </c>
      <c r="J4837" t="s">
        <v>43</v>
      </c>
      <c r="K4837" t="s">
        <v>43</v>
      </c>
      <c r="L4837" t="s">
        <v>43</v>
      </c>
      <c r="M4837" t="s">
        <v>43</v>
      </c>
      <c r="N4837" t="s">
        <v>45</v>
      </c>
      <c r="O4837" t="s">
        <v>43</v>
      </c>
      <c r="P4837" t="s">
        <v>43</v>
      </c>
      <c r="Q4837" t="s">
        <v>43</v>
      </c>
      <c r="R4837" t="s">
        <v>43</v>
      </c>
      <c r="S4837" t="s">
        <v>43</v>
      </c>
      <c r="T4837" t="s">
        <v>43</v>
      </c>
      <c r="U4837" t="s">
        <v>43</v>
      </c>
      <c r="V4837" t="s">
        <v>43</v>
      </c>
      <c r="W4837" t="s">
        <v>43</v>
      </c>
      <c r="X4837" t="s">
        <v>43</v>
      </c>
      <c r="Y4837" t="s">
        <v>43</v>
      </c>
      <c r="Z4837" t="s">
        <v>43</v>
      </c>
      <c r="AA4837" t="s">
        <v>43</v>
      </c>
      <c r="AB4837" t="s">
        <v>43</v>
      </c>
      <c r="AC4837" t="s">
        <v>43</v>
      </c>
      <c r="AD4837" t="s">
        <v>43</v>
      </c>
      <c r="AE4837" t="s">
        <v>43</v>
      </c>
      <c r="AF4837" t="s">
        <v>43</v>
      </c>
      <c r="AG4837" t="s">
        <v>43</v>
      </c>
      <c r="AH4837" t="s">
        <v>43</v>
      </c>
      <c r="AI4837" t="s">
        <v>43</v>
      </c>
      <c r="AJ4837" t="s">
        <v>43</v>
      </c>
      <c r="AK4837" t="s">
        <v>43</v>
      </c>
      <c r="AL4837" t="s">
        <v>43</v>
      </c>
      <c r="AM4837" t="s">
        <v>43</v>
      </c>
      <c r="AN4837" t="s">
        <v>43</v>
      </c>
    </row>
    <row r="4838" spans="1:40" x14ac:dyDescent="0.3">
      <c r="A4838" s="1">
        <v>46210.439351851855</v>
      </c>
      <c r="B4838" t="s">
        <v>40</v>
      </c>
      <c r="C4838" t="s">
        <v>41</v>
      </c>
      <c r="D4838" s="1">
        <v>46210.442395833335</v>
      </c>
      <c r="E4838" t="s">
        <v>42</v>
      </c>
      <c r="F4838" t="s">
        <v>43</v>
      </c>
      <c r="G4838" t="s">
        <v>43</v>
      </c>
      <c r="H4838" t="s">
        <v>43</v>
      </c>
      <c r="I4838" t="s">
        <v>2791</v>
      </c>
      <c r="J4838" t="s">
        <v>43</v>
      </c>
      <c r="K4838" t="s">
        <v>43</v>
      </c>
      <c r="L4838" t="s">
        <v>43</v>
      </c>
      <c r="M4838" t="s">
        <v>43</v>
      </c>
      <c r="N4838" t="s">
        <v>45</v>
      </c>
      <c r="O4838" t="s">
        <v>43</v>
      </c>
      <c r="P4838" t="s">
        <v>43</v>
      </c>
      <c r="Q4838" t="s">
        <v>43</v>
      </c>
      <c r="R4838" t="s">
        <v>43</v>
      </c>
      <c r="S4838" t="s">
        <v>43</v>
      </c>
      <c r="T4838" t="s">
        <v>43</v>
      </c>
      <c r="U4838" t="s">
        <v>43</v>
      </c>
      <c r="V4838" t="s">
        <v>43</v>
      </c>
      <c r="W4838" t="s">
        <v>43</v>
      </c>
      <c r="X4838" t="s">
        <v>43</v>
      </c>
      <c r="Y4838" t="s">
        <v>43</v>
      </c>
      <c r="Z4838" t="s">
        <v>43</v>
      </c>
      <c r="AA4838" t="s">
        <v>43</v>
      </c>
      <c r="AB4838" t="s">
        <v>43</v>
      </c>
      <c r="AC4838" t="s">
        <v>43</v>
      </c>
      <c r="AD4838" t="s">
        <v>43</v>
      </c>
      <c r="AE4838" t="s">
        <v>43</v>
      </c>
      <c r="AF4838" t="s">
        <v>43</v>
      </c>
      <c r="AG4838" t="s">
        <v>43</v>
      </c>
      <c r="AH4838" t="s">
        <v>43</v>
      </c>
      <c r="AI4838" t="s">
        <v>43</v>
      </c>
      <c r="AJ4838" t="s">
        <v>43</v>
      </c>
      <c r="AK4838" t="s">
        <v>43</v>
      </c>
      <c r="AL4838" t="s">
        <v>43</v>
      </c>
      <c r="AM4838" t="s">
        <v>43</v>
      </c>
      <c r="AN4838" t="str">
        <f>HYPERLINK("https://www.google.com/maps?q=10.83226585,79.84022522","Open Location")</f>
        <v>Open Location</v>
      </c>
    </row>
    <row r="4839" spans="1:40" x14ac:dyDescent="0.3">
      <c r="A4839" s="1">
        <v>46210.439236111109</v>
      </c>
      <c r="B4839" t="s">
        <v>40</v>
      </c>
      <c r="C4839" t="s">
        <v>41</v>
      </c>
      <c r="D4839" s="1">
        <v>46210.442199074074</v>
      </c>
      <c r="E4839" t="s">
        <v>42</v>
      </c>
      <c r="F4839" t="s">
        <v>43</v>
      </c>
      <c r="G4839" t="s">
        <v>43</v>
      </c>
      <c r="H4839" t="s">
        <v>43</v>
      </c>
      <c r="I4839" t="s">
        <v>2792</v>
      </c>
      <c r="J4839" t="s">
        <v>43</v>
      </c>
      <c r="K4839" t="s">
        <v>43</v>
      </c>
      <c r="L4839" t="s">
        <v>43</v>
      </c>
      <c r="M4839" t="s">
        <v>43</v>
      </c>
      <c r="N4839" t="s">
        <v>45</v>
      </c>
      <c r="O4839" t="s">
        <v>43</v>
      </c>
      <c r="P4839" t="s">
        <v>43</v>
      </c>
      <c r="Q4839" t="s">
        <v>43</v>
      </c>
      <c r="R4839" t="s">
        <v>43</v>
      </c>
      <c r="S4839" t="s">
        <v>43</v>
      </c>
      <c r="T4839" t="s">
        <v>43</v>
      </c>
      <c r="U4839" t="s">
        <v>43</v>
      </c>
      <c r="V4839" t="s">
        <v>43</v>
      </c>
      <c r="W4839" t="s">
        <v>43</v>
      </c>
      <c r="X4839" t="s">
        <v>43</v>
      </c>
      <c r="Y4839" t="s">
        <v>43</v>
      </c>
      <c r="Z4839" t="s">
        <v>43</v>
      </c>
      <c r="AA4839" t="s">
        <v>43</v>
      </c>
      <c r="AB4839" t="s">
        <v>43</v>
      </c>
      <c r="AC4839" t="s">
        <v>43</v>
      </c>
      <c r="AD4839" t="s">
        <v>43</v>
      </c>
      <c r="AE4839" t="s">
        <v>43</v>
      </c>
      <c r="AF4839" t="s">
        <v>43</v>
      </c>
      <c r="AG4839" t="s">
        <v>43</v>
      </c>
      <c r="AH4839" t="s">
        <v>43</v>
      </c>
      <c r="AI4839" t="s">
        <v>43</v>
      </c>
      <c r="AJ4839" t="s">
        <v>43</v>
      </c>
      <c r="AK4839" t="s">
        <v>43</v>
      </c>
      <c r="AL4839" t="s">
        <v>43</v>
      </c>
      <c r="AM4839" t="s">
        <v>43</v>
      </c>
      <c r="AN4839" t="str">
        <f>HYPERLINK("https://www.google.com/maps?q=10.83226681,79.84022522","Open Location")</f>
        <v>Open Location</v>
      </c>
    </row>
    <row r="4840" spans="1:40" x14ac:dyDescent="0.3">
      <c r="A4840" s="1">
        <v>46210.439120370371</v>
      </c>
      <c r="B4840" t="s">
        <v>40</v>
      </c>
      <c r="C4840" t="s">
        <v>41</v>
      </c>
      <c r="D4840" s="1">
        <v>46210.442199074074</v>
      </c>
      <c r="E4840" t="s">
        <v>42</v>
      </c>
      <c r="F4840" t="s">
        <v>43</v>
      </c>
      <c r="G4840" t="s">
        <v>43</v>
      </c>
      <c r="H4840" t="s">
        <v>43</v>
      </c>
      <c r="I4840" t="s">
        <v>2793</v>
      </c>
      <c r="J4840" t="s">
        <v>43</v>
      </c>
      <c r="K4840" t="s">
        <v>43</v>
      </c>
      <c r="L4840" t="s">
        <v>43</v>
      </c>
      <c r="M4840" t="s">
        <v>43</v>
      </c>
      <c r="N4840" t="s">
        <v>45</v>
      </c>
      <c r="O4840" t="s">
        <v>43</v>
      </c>
      <c r="P4840" t="s">
        <v>43</v>
      </c>
      <c r="Q4840" t="s">
        <v>43</v>
      </c>
      <c r="R4840" t="s">
        <v>43</v>
      </c>
      <c r="S4840" t="s">
        <v>43</v>
      </c>
      <c r="T4840" t="s">
        <v>43</v>
      </c>
      <c r="U4840" t="s">
        <v>43</v>
      </c>
      <c r="V4840" t="s">
        <v>43</v>
      </c>
      <c r="W4840" t="s">
        <v>43</v>
      </c>
      <c r="X4840" t="s">
        <v>43</v>
      </c>
      <c r="Y4840" t="s">
        <v>43</v>
      </c>
      <c r="Z4840" t="s">
        <v>43</v>
      </c>
      <c r="AA4840" t="s">
        <v>43</v>
      </c>
      <c r="AB4840" t="s">
        <v>43</v>
      </c>
      <c r="AC4840" t="s">
        <v>43</v>
      </c>
      <c r="AD4840" t="s">
        <v>43</v>
      </c>
      <c r="AE4840" t="s">
        <v>43</v>
      </c>
      <c r="AF4840" t="s">
        <v>43</v>
      </c>
      <c r="AG4840" t="s">
        <v>43</v>
      </c>
      <c r="AH4840" t="s">
        <v>43</v>
      </c>
      <c r="AI4840" t="s">
        <v>43</v>
      </c>
      <c r="AJ4840" t="s">
        <v>43</v>
      </c>
      <c r="AK4840" t="s">
        <v>43</v>
      </c>
      <c r="AL4840" t="s">
        <v>43</v>
      </c>
      <c r="AM4840" t="s">
        <v>43</v>
      </c>
      <c r="AN4840" t="str">
        <f>HYPERLINK("https://www.google.com/maps?q=10.83226585,79.84023285","Open Location")</f>
        <v>Open Location</v>
      </c>
    </row>
    <row r="4841" spans="1:40" x14ac:dyDescent="0.3">
      <c r="A4841" s="1">
        <v>46210.439004629632</v>
      </c>
      <c r="B4841" t="s">
        <v>40</v>
      </c>
      <c r="C4841" t="s">
        <v>41</v>
      </c>
      <c r="D4841" s="1">
        <v>46210.44226851852</v>
      </c>
      <c r="E4841" t="s">
        <v>42</v>
      </c>
      <c r="F4841" t="s">
        <v>43</v>
      </c>
      <c r="G4841" t="s">
        <v>43</v>
      </c>
      <c r="H4841" t="s">
        <v>43</v>
      </c>
      <c r="I4841" t="s">
        <v>2794</v>
      </c>
      <c r="J4841" t="s">
        <v>43</v>
      </c>
      <c r="K4841" t="s">
        <v>43</v>
      </c>
      <c r="L4841" t="s">
        <v>43</v>
      </c>
      <c r="M4841" t="s">
        <v>43</v>
      </c>
      <c r="N4841" t="s">
        <v>45</v>
      </c>
      <c r="O4841" t="s">
        <v>43</v>
      </c>
      <c r="P4841" t="s">
        <v>43</v>
      </c>
      <c r="Q4841" t="s">
        <v>43</v>
      </c>
      <c r="R4841" t="s">
        <v>43</v>
      </c>
      <c r="S4841" t="s">
        <v>43</v>
      </c>
      <c r="T4841" t="s">
        <v>43</v>
      </c>
      <c r="U4841" t="s">
        <v>43</v>
      </c>
      <c r="V4841" t="s">
        <v>43</v>
      </c>
      <c r="W4841" t="s">
        <v>43</v>
      </c>
      <c r="X4841" t="s">
        <v>43</v>
      </c>
      <c r="Y4841" t="s">
        <v>43</v>
      </c>
      <c r="Z4841" t="s">
        <v>43</v>
      </c>
      <c r="AA4841" t="s">
        <v>43</v>
      </c>
      <c r="AB4841" t="s">
        <v>43</v>
      </c>
      <c r="AC4841" t="s">
        <v>43</v>
      </c>
      <c r="AD4841" t="s">
        <v>43</v>
      </c>
      <c r="AE4841" t="s">
        <v>43</v>
      </c>
      <c r="AF4841" t="s">
        <v>43</v>
      </c>
      <c r="AG4841" t="s">
        <v>43</v>
      </c>
      <c r="AH4841" t="s">
        <v>43</v>
      </c>
      <c r="AI4841" t="s">
        <v>43</v>
      </c>
      <c r="AJ4841" t="s">
        <v>43</v>
      </c>
      <c r="AK4841" t="s">
        <v>43</v>
      </c>
      <c r="AL4841" t="s">
        <v>43</v>
      </c>
      <c r="AM4841" t="s">
        <v>43</v>
      </c>
      <c r="AN4841" t="str">
        <f>HYPERLINK("https://www.google.com/maps?q=10.83225918,79.84023285","Open Location")</f>
        <v>Open Location</v>
      </c>
    </row>
    <row r="4842" spans="1:40" x14ac:dyDescent="0.3">
      <c r="A4842" s="1">
        <v>46210.438888888886</v>
      </c>
      <c r="B4842" t="s">
        <v>40</v>
      </c>
      <c r="C4842" t="s">
        <v>41</v>
      </c>
      <c r="D4842" s="1">
        <v>46210.441712962966</v>
      </c>
      <c r="E4842" t="s">
        <v>42</v>
      </c>
      <c r="F4842" t="s">
        <v>43</v>
      </c>
      <c r="G4842" t="s">
        <v>43</v>
      </c>
      <c r="H4842" t="s">
        <v>43</v>
      </c>
      <c r="I4842" t="s">
        <v>2785</v>
      </c>
      <c r="J4842" t="s">
        <v>43</v>
      </c>
      <c r="K4842" t="s">
        <v>43</v>
      </c>
      <c r="L4842" t="s">
        <v>43</v>
      </c>
      <c r="M4842" t="s">
        <v>43</v>
      </c>
      <c r="N4842" t="s">
        <v>45</v>
      </c>
      <c r="O4842" t="s">
        <v>43</v>
      </c>
      <c r="P4842" t="s">
        <v>43</v>
      </c>
      <c r="Q4842" t="s">
        <v>43</v>
      </c>
      <c r="R4842" t="s">
        <v>43</v>
      </c>
      <c r="S4842" t="s">
        <v>43</v>
      </c>
      <c r="T4842" t="s">
        <v>43</v>
      </c>
      <c r="U4842" t="s">
        <v>43</v>
      </c>
      <c r="V4842" t="s">
        <v>43</v>
      </c>
      <c r="W4842" t="s">
        <v>43</v>
      </c>
      <c r="X4842" t="s">
        <v>43</v>
      </c>
      <c r="Y4842" t="s">
        <v>43</v>
      </c>
      <c r="Z4842" t="s">
        <v>43</v>
      </c>
      <c r="AA4842" t="s">
        <v>43</v>
      </c>
      <c r="AB4842" t="s">
        <v>43</v>
      </c>
      <c r="AC4842" t="s">
        <v>43</v>
      </c>
      <c r="AD4842" t="s">
        <v>43</v>
      </c>
      <c r="AE4842" t="s">
        <v>43</v>
      </c>
      <c r="AF4842" t="s">
        <v>43</v>
      </c>
      <c r="AG4842" t="s">
        <v>43</v>
      </c>
      <c r="AH4842" t="s">
        <v>43</v>
      </c>
      <c r="AI4842" t="s">
        <v>43</v>
      </c>
      <c r="AJ4842" t="s">
        <v>43</v>
      </c>
      <c r="AK4842" t="s">
        <v>43</v>
      </c>
      <c r="AL4842" t="s">
        <v>43</v>
      </c>
      <c r="AM4842" t="s">
        <v>43</v>
      </c>
      <c r="AN4842" t="str">
        <f>HYPERLINK("https://www.google.com/maps?q=10.83224964,79.84022522","Open Location")</f>
        <v>Open Location</v>
      </c>
    </row>
    <row r="4843" spans="1:40" x14ac:dyDescent="0.3">
      <c r="A4843" s="1">
        <v>46210.438773148147</v>
      </c>
      <c r="B4843" t="s">
        <v>40</v>
      </c>
      <c r="C4843" t="s">
        <v>41</v>
      </c>
      <c r="D4843" s="1">
        <v>46210.441805555558</v>
      </c>
      <c r="E4843" t="s">
        <v>42</v>
      </c>
      <c r="F4843" t="s">
        <v>43</v>
      </c>
      <c r="G4843" t="s">
        <v>43</v>
      </c>
      <c r="H4843" t="s">
        <v>43</v>
      </c>
      <c r="I4843" t="s">
        <v>43</v>
      </c>
      <c r="J4843" t="s">
        <v>43</v>
      </c>
      <c r="K4843" t="s">
        <v>43</v>
      </c>
      <c r="L4843" t="s">
        <v>43</v>
      </c>
      <c r="M4843" t="s">
        <v>43</v>
      </c>
      <c r="N4843" t="s">
        <v>45</v>
      </c>
      <c r="O4843" t="s">
        <v>43</v>
      </c>
      <c r="P4843" t="s">
        <v>43</v>
      </c>
      <c r="Q4843" t="s">
        <v>43</v>
      </c>
      <c r="R4843" t="s">
        <v>43</v>
      </c>
      <c r="S4843" t="s">
        <v>43</v>
      </c>
      <c r="T4843" t="s">
        <v>43</v>
      </c>
      <c r="U4843" t="s">
        <v>43</v>
      </c>
      <c r="V4843" t="s">
        <v>43</v>
      </c>
      <c r="W4843" t="s">
        <v>43</v>
      </c>
      <c r="X4843" t="s">
        <v>43</v>
      </c>
      <c r="Y4843" t="s">
        <v>43</v>
      </c>
      <c r="Z4843" t="s">
        <v>43</v>
      </c>
      <c r="AA4843" t="s">
        <v>43</v>
      </c>
      <c r="AB4843" t="s">
        <v>43</v>
      </c>
      <c r="AC4843" t="s">
        <v>43</v>
      </c>
      <c r="AD4843" t="s">
        <v>43</v>
      </c>
      <c r="AE4843" t="s">
        <v>43</v>
      </c>
      <c r="AF4843" t="s">
        <v>43</v>
      </c>
      <c r="AG4843" t="s">
        <v>43</v>
      </c>
      <c r="AH4843" t="s">
        <v>43</v>
      </c>
      <c r="AI4843" t="s">
        <v>43</v>
      </c>
      <c r="AJ4843" t="s">
        <v>43</v>
      </c>
      <c r="AK4843" t="s">
        <v>43</v>
      </c>
      <c r="AL4843" t="s">
        <v>43</v>
      </c>
      <c r="AM4843" t="s">
        <v>43</v>
      </c>
      <c r="AN4843" t="s">
        <v>43</v>
      </c>
    </row>
    <row r="4844" spans="1:40" x14ac:dyDescent="0.3">
      <c r="A4844" s="1">
        <v>46210.438657407409</v>
      </c>
      <c r="B4844" t="s">
        <v>40</v>
      </c>
      <c r="C4844" t="s">
        <v>41</v>
      </c>
      <c r="D4844" s="1">
        <v>46210.441319444442</v>
      </c>
      <c r="E4844" t="s">
        <v>42</v>
      </c>
      <c r="F4844" t="s">
        <v>43</v>
      </c>
      <c r="G4844" t="s">
        <v>43</v>
      </c>
      <c r="H4844" t="s">
        <v>43</v>
      </c>
      <c r="I4844" t="s">
        <v>2795</v>
      </c>
      <c r="J4844" t="s">
        <v>43</v>
      </c>
      <c r="K4844" t="s">
        <v>43</v>
      </c>
      <c r="L4844" t="s">
        <v>43</v>
      </c>
      <c r="M4844" t="s">
        <v>43</v>
      </c>
      <c r="N4844" t="s">
        <v>45</v>
      </c>
      <c r="O4844" t="s">
        <v>43</v>
      </c>
      <c r="P4844" t="s">
        <v>43</v>
      </c>
      <c r="Q4844" t="s">
        <v>43</v>
      </c>
      <c r="R4844" t="s">
        <v>43</v>
      </c>
      <c r="S4844" t="s">
        <v>43</v>
      </c>
      <c r="T4844" t="s">
        <v>43</v>
      </c>
      <c r="U4844" t="s">
        <v>43</v>
      </c>
      <c r="V4844" t="s">
        <v>43</v>
      </c>
      <c r="W4844" t="s">
        <v>43</v>
      </c>
      <c r="X4844" t="s">
        <v>43</v>
      </c>
      <c r="Y4844" t="s">
        <v>43</v>
      </c>
      <c r="Z4844" t="s">
        <v>43</v>
      </c>
      <c r="AA4844" t="s">
        <v>43</v>
      </c>
      <c r="AB4844" t="s">
        <v>43</v>
      </c>
      <c r="AC4844" t="s">
        <v>43</v>
      </c>
      <c r="AD4844" t="s">
        <v>43</v>
      </c>
      <c r="AE4844" t="s">
        <v>43</v>
      </c>
      <c r="AF4844" t="s">
        <v>43</v>
      </c>
      <c r="AG4844" t="s">
        <v>43</v>
      </c>
      <c r="AH4844" t="s">
        <v>43</v>
      </c>
      <c r="AI4844" t="s">
        <v>43</v>
      </c>
      <c r="AJ4844" t="s">
        <v>43</v>
      </c>
      <c r="AK4844" t="s">
        <v>43</v>
      </c>
      <c r="AL4844" t="s">
        <v>43</v>
      </c>
      <c r="AM4844" t="s">
        <v>43</v>
      </c>
      <c r="AN4844" t="str">
        <f>HYPERLINK("https://www.google.com/maps?q=10.83224773,79.84023285","Open Location")</f>
        <v>Open Location</v>
      </c>
    </row>
    <row r="4845" spans="1:40" x14ac:dyDescent="0.3">
      <c r="A4845" s="1">
        <v>46210.43854166667</v>
      </c>
      <c r="B4845" t="s">
        <v>40</v>
      </c>
      <c r="C4845" t="s">
        <v>41</v>
      </c>
      <c r="D4845" s="1">
        <v>46210.441354166665</v>
      </c>
      <c r="E4845" t="s">
        <v>42</v>
      </c>
      <c r="F4845" t="s">
        <v>43</v>
      </c>
      <c r="G4845" t="s">
        <v>43</v>
      </c>
      <c r="H4845" t="s">
        <v>43</v>
      </c>
      <c r="I4845" t="s">
        <v>2786</v>
      </c>
      <c r="J4845" t="s">
        <v>43</v>
      </c>
      <c r="K4845" t="s">
        <v>43</v>
      </c>
      <c r="L4845" t="s">
        <v>43</v>
      </c>
      <c r="M4845" t="s">
        <v>43</v>
      </c>
      <c r="N4845" t="s">
        <v>45</v>
      </c>
      <c r="O4845" t="s">
        <v>43</v>
      </c>
      <c r="P4845" t="s">
        <v>43</v>
      </c>
      <c r="Q4845" t="s">
        <v>43</v>
      </c>
      <c r="R4845" t="s">
        <v>43</v>
      </c>
      <c r="S4845" t="s">
        <v>43</v>
      </c>
      <c r="T4845" t="s">
        <v>43</v>
      </c>
      <c r="U4845" t="s">
        <v>43</v>
      </c>
      <c r="V4845" t="s">
        <v>43</v>
      </c>
      <c r="W4845" t="s">
        <v>43</v>
      </c>
      <c r="X4845" t="s">
        <v>43</v>
      </c>
      <c r="Y4845" t="s">
        <v>43</v>
      </c>
      <c r="Z4845" t="s">
        <v>43</v>
      </c>
      <c r="AA4845" t="s">
        <v>43</v>
      </c>
      <c r="AB4845" t="s">
        <v>43</v>
      </c>
      <c r="AC4845" t="s">
        <v>43</v>
      </c>
      <c r="AD4845" t="s">
        <v>43</v>
      </c>
      <c r="AE4845" t="s">
        <v>43</v>
      </c>
      <c r="AF4845" t="s">
        <v>43</v>
      </c>
      <c r="AG4845" t="s">
        <v>43</v>
      </c>
      <c r="AH4845" t="s">
        <v>43</v>
      </c>
      <c r="AI4845" t="s">
        <v>43</v>
      </c>
      <c r="AJ4845" t="s">
        <v>43</v>
      </c>
      <c r="AK4845" t="s">
        <v>43</v>
      </c>
      <c r="AL4845" t="s">
        <v>43</v>
      </c>
      <c r="AM4845" t="s">
        <v>43</v>
      </c>
      <c r="AN4845" t="str">
        <f>HYPERLINK("https://www.google.com/maps?q=10.83225441,79.84023285","Open Location")</f>
        <v>Open Location</v>
      </c>
    </row>
    <row r="4846" spans="1:40" x14ac:dyDescent="0.3">
      <c r="A4846" s="1">
        <v>46210.438425925924</v>
      </c>
      <c r="B4846" t="s">
        <v>40</v>
      </c>
      <c r="C4846" t="s">
        <v>41</v>
      </c>
      <c r="D4846" s="1">
        <v>46210.441261574073</v>
      </c>
      <c r="E4846" t="s">
        <v>42</v>
      </c>
      <c r="F4846" t="s">
        <v>43</v>
      </c>
      <c r="G4846" t="s">
        <v>43</v>
      </c>
      <c r="H4846" t="s">
        <v>43</v>
      </c>
      <c r="I4846" t="s">
        <v>2796</v>
      </c>
      <c r="J4846" t="s">
        <v>43</v>
      </c>
      <c r="K4846" t="s">
        <v>43</v>
      </c>
      <c r="L4846" t="s">
        <v>43</v>
      </c>
      <c r="M4846" t="s">
        <v>43</v>
      </c>
      <c r="N4846" t="s">
        <v>45</v>
      </c>
      <c r="O4846" t="s">
        <v>43</v>
      </c>
      <c r="P4846" t="s">
        <v>43</v>
      </c>
      <c r="Q4846" t="s">
        <v>43</v>
      </c>
      <c r="R4846" t="s">
        <v>43</v>
      </c>
      <c r="S4846" t="s">
        <v>43</v>
      </c>
      <c r="T4846" t="s">
        <v>43</v>
      </c>
      <c r="U4846" t="s">
        <v>43</v>
      </c>
      <c r="V4846" t="s">
        <v>43</v>
      </c>
      <c r="W4846" t="s">
        <v>43</v>
      </c>
      <c r="X4846" t="s">
        <v>43</v>
      </c>
      <c r="Y4846" t="s">
        <v>43</v>
      </c>
      <c r="Z4846" t="s">
        <v>43</v>
      </c>
      <c r="AA4846" t="s">
        <v>43</v>
      </c>
      <c r="AB4846" t="s">
        <v>43</v>
      </c>
      <c r="AC4846" t="s">
        <v>43</v>
      </c>
      <c r="AD4846" t="s">
        <v>43</v>
      </c>
      <c r="AE4846" t="s">
        <v>43</v>
      </c>
      <c r="AF4846" t="s">
        <v>43</v>
      </c>
      <c r="AG4846" t="s">
        <v>43</v>
      </c>
      <c r="AH4846" t="s">
        <v>43</v>
      </c>
      <c r="AI4846" t="s">
        <v>43</v>
      </c>
      <c r="AJ4846" t="s">
        <v>43</v>
      </c>
      <c r="AK4846" t="s">
        <v>43</v>
      </c>
      <c r="AL4846" t="s">
        <v>43</v>
      </c>
      <c r="AM4846" t="s">
        <v>43</v>
      </c>
      <c r="AN4846" t="str">
        <f>HYPERLINK("https://www.google.com/maps?q=10.83225918,79.84024048","Open Location")</f>
        <v>Open Location</v>
      </c>
    </row>
    <row r="4847" spans="1:40" x14ac:dyDescent="0.3">
      <c r="A4847" s="1">
        <v>46210.438310185185</v>
      </c>
      <c r="B4847" t="s">
        <v>40</v>
      </c>
      <c r="C4847" t="s">
        <v>41</v>
      </c>
      <c r="D4847" s="1">
        <v>46210.441192129627</v>
      </c>
      <c r="E4847" t="s">
        <v>42</v>
      </c>
      <c r="F4847" t="s">
        <v>43</v>
      </c>
      <c r="G4847" t="s">
        <v>43</v>
      </c>
      <c r="H4847" t="s">
        <v>43</v>
      </c>
      <c r="I4847" t="s">
        <v>2797</v>
      </c>
      <c r="J4847" t="s">
        <v>43</v>
      </c>
      <c r="K4847" t="s">
        <v>43</v>
      </c>
      <c r="L4847" t="s">
        <v>43</v>
      </c>
      <c r="M4847" t="s">
        <v>43</v>
      </c>
      <c r="N4847" t="s">
        <v>45</v>
      </c>
      <c r="O4847" t="s">
        <v>43</v>
      </c>
      <c r="P4847" t="s">
        <v>43</v>
      </c>
      <c r="Q4847" t="s">
        <v>43</v>
      </c>
      <c r="R4847" t="s">
        <v>43</v>
      </c>
      <c r="S4847" t="s">
        <v>43</v>
      </c>
      <c r="T4847" t="s">
        <v>43</v>
      </c>
      <c r="U4847" t="s">
        <v>43</v>
      </c>
      <c r="V4847" t="s">
        <v>43</v>
      </c>
      <c r="W4847" t="s">
        <v>43</v>
      </c>
      <c r="X4847" t="s">
        <v>43</v>
      </c>
      <c r="Y4847" t="s">
        <v>43</v>
      </c>
      <c r="Z4847" t="s">
        <v>43</v>
      </c>
      <c r="AA4847" t="s">
        <v>43</v>
      </c>
      <c r="AB4847" t="s">
        <v>43</v>
      </c>
      <c r="AC4847" t="s">
        <v>43</v>
      </c>
      <c r="AD4847" t="s">
        <v>43</v>
      </c>
      <c r="AE4847" t="s">
        <v>43</v>
      </c>
      <c r="AF4847" t="s">
        <v>43</v>
      </c>
      <c r="AG4847" t="s">
        <v>43</v>
      </c>
      <c r="AH4847" t="s">
        <v>43</v>
      </c>
      <c r="AI4847" t="s">
        <v>43</v>
      </c>
      <c r="AJ4847" t="s">
        <v>43</v>
      </c>
      <c r="AK4847" t="s">
        <v>43</v>
      </c>
      <c r="AL4847" t="s">
        <v>43</v>
      </c>
      <c r="AM4847" t="s">
        <v>43</v>
      </c>
      <c r="AN4847" t="str">
        <f>HYPERLINK("https://www.google.com/maps?q=10.83226109,79.84024048","Open Location")</f>
        <v>Open Location</v>
      </c>
    </row>
    <row r="4848" spans="1:40" x14ac:dyDescent="0.3">
      <c r="A4848" s="1">
        <v>46210.438194444447</v>
      </c>
      <c r="B4848" t="s">
        <v>40</v>
      </c>
      <c r="C4848" t="s">
        <v>41</v>
      </c>
      <c r="D4848" s="1">
        <v>46210.440983796296</v>
      </c>
      <c r="E4848" t="s">
        <v>42</v>
      </c>
      <c r="F4848" t="s">
        <v>43</v>
      </c>
      <c r="G4848" t="s">
        <v>43</v>
      </c>
      <c r="H4848" t="s">
        <v>43</v>
      </c>
      <c r="I4848" t="s">
        <v>2798</v>
      </c>
      <c r="J4848" t="s">
        <v>43</v>
      </c>
      <c r="K4848" t="s">
        <v>43</v>
      </c>
      <c r="L4848" t="s">
        <v>43</v>
      </c>
      <c r="M4848" t="s">
        <v>43</v>
      </c>
      <c r="N4848" t="s">
        <v>45</v>
      </c>
      <c r="O4848" t="s">
        <v>43</v>
      </c>
      <c r="P4848" t="s">
        <v>43</v>
      </c>
      <c r="Q4848" t="s">
        <v>43</v>
      </c>
      <c r="R4848" t="s">
        <v>43</v>
      </c>
      <c r="S4848" t="s">
        <v>43</v>
      </c>
      <c r="T4848" t="s">
        <v>43</v>
      </c>
      <c r="U4848" t="s">
        <v>43</v>
      </c>
      <c r="V4848" t="s">
        <v>43</v>
      </c>
      <c r="W4848" t="s">
        <v>43</v>
      </c>
      <c r="X4848" t="s">
        <v>43</v>
      </c>
      <c r="Y4848" t="s">
        <v>43</v>
      </c>
      <c r="Z4848" t="s">
        <v>43</v>
      </c>
      <c r="AA4848" t="s">
        <v>43</v>
      </c>
      <c r="AB4848" t="s">
        <v>43</v>
      </c>
      <c r="AC4848" t="s">
        <v>43</v>
      </c>
      <c r="AD4848" t="s">
        <v>43</v>
      </c>
      <c r="AE4848" t="s">
        <v>43</v>
      </c>
      <c r="AF4848" t="s">
        <v>43</v>
      </c>
      <c r="AG4848" t="s">
        <v>43</v>
      </c>
      <c r="AH4848" t="s">
        <v>43</v>
      </c>
      <c r="AI4848" t="s">
        <v>43</v>
      </c>
      <c r="AJ4848" t="s">
        <v>43</v>
      </c>
      <c r="AK4848" t="s">
        <v>43</v>
      </c>
      <c r="AL4848" t="s">
        <v>43</v>
      </c>
      <c r="AM4848" t="s">
        <v>43</v>
      </c>
      <c r="AN4848" t="str">
        <f>HYPERLINK("https://www.google.com/maps?q=10.83226013,79.84024811","Open Location")</f>
        <v>Open Location</v>
      </c>
    </row>
    <row r="4849" spans="1:40" x14ac:dyDescent="0.3">
      <c r="A4849" s="1">
        <v>46210.438078703701</v>
      </c>
      <c r="B4849" t="s">
        <v>40</v>
      </c>
      <c r="C4849" t="s">
        <v>41</v>
      </c>
      <c r="D4849" s="1">
        <v>46210.440983796296</v>
      </c>
      <c r="E4849" t="s">
        <v>42</v>
      </c>
      <c r="F4849" t="s">
        <v>43</v>
      </c>
      <c r="G4849" t="s">
        <v>43</v>
      </c>
      <c r="H4849" t="s">
        <v>43</v>
      </c>
      <c r="I4849" t="s">
        <v>43</v>
      </c>
      <c r="J4849" t="s">
        <v>43</v>
      </c>
      <c r="K4849" t="s">
        <v>43</v>
      </c>
      <c r="L4849" t="s">
        <v>43</v>
      </c>
      <c r="M4849" t="s">
        <v>43</v>
      </c>
      <c r="N4849" t="s">
        <v>45</v>
      </c>
      <c r="O4849" t="s">
        <v>43</v>
      </c>
      <c r="P4849" t="s">
        <v>43</v>
      </c>
      <c r="Q4849" t="s">
        <v>43</v>
      </c>
      <c r="R4849" t="s">
        <v>43</v>
      </c>
      <c r="S4849" t="s">
        <v>43</v>
      </c>
      <c r="T4849" t="s">
        <v>43</v>
      </c>
      <c r="U4849" t="s">
        <v>43</v>
      </c>
      <c r="V4849" t="s">
        <v>43</v>
      </c>
      <c r="W4849" t="s">
        <v>43</v>
      </c>
      <c r="X4849" t="s">
        <v>43</v>
      </c>
      <c r="Y4849" t="s">
        <v>43</v>
      </c>
      <c r="Z4849" t="s">
        <v>43</v>
      </c>
      <c r="AA4849" t="s">
        <v>43</v>
      </c>
      <c r="AB4849" t="s">
        <v>43</v>
      </c>
      <c r="AC4849" t="s">
        <v>43</v>
      </c>
      <c r="AD4849" t="s">
        <v>43</v>
      </c>
      <c r="AE4849" t="s">
        <v>43</v>
      </c>
      <c r="AF4849" t="s">
        <v>43</v>
      </c>
      <c r="AG4849" t="s">
        <v>43</v>
      </c>
      <c r="AH4849" t="s">
        <v>43</v>
      </c>
      <c r="AI4849" t="s">
        <v>43</v>
      </c>
      <c r="AJ4849" t="s">
        <v>43</v>
      </c>
      <c r="AK4849" t="s">
        <v>43</v>
      </c>
      <c r="AL4849" t="s">
        <v>43</v>
      </c>
      <c r="AM4849" t="s">
        <v>43</v>
      </c>
      <c r="AN4849" t="s">
        <v>43</v>
      </c>
    </row>
    <row r="4850" spans="1:40" x14ac:dyDescent="0.3">
      <c r="A4850" s="1">
        <v>46210.437962962962</v>
      </c>
      <c r="B4850" t="s">
        <v>40</v>
      </c>
      <c r="C4850" t="s">
        <v>41</v>
      </c>
      <c r="D4850" s="1">
        <v>46210.44091435185</v>
      </c>
      <c r="E4850" t="s">
        <v>42</v>
      </c>
      <c r="F4850" t="s">
        <v>43</v>
      </c>
      <c r="G4850" t="s">
        <v>43</v>
      </c>
      <c r="H4850" t="s">
        <v>43</v>
      </c>
      <c r="I4850" t="s">
        <v>2799</v>
      </c>
      <c r="J4850" t="s">
        <v>43</v>
      </c>
      <c r="K4850" t="s">
        <v>43</v>
      </c>
      <c r="L4850" t="s">
        <v>43</v>
      </c>
      <c r="M4850" t="s">
        <v>43</v>
      </c>
      <c r="N4850" t="s">
        <v>45</v>
      </c>
      <c r="O4850" t="s">
        <v>43</v>
      </c>
      <c r="P4850" t="s">
        <v>43</v>
      </c>
      <c r="Q4850" t="s">
        <v>43</v>
      </c>
      <c r="R4850" t="s">
        <v>43</v>
      </c>
      <c r="S4850" t="s">
        <v>43</v>
      </c>
      <c r="T4850" t="s">
        <v>43</v>
      </c>
      <c r="U4850" t="s">
        <v>43</v>
      </c>
      <c r="V4850" t="s">
        <v>43</v>
      </c>
      <c r="W4850" t="s">
        <v>43</v>
      </c>
      <c r="X4850" t="s">
        <v>43</v>
      </c>
      <c r="Y4850" t="s">
        <v>43</v>
      </c>
      <c r="Z4850" t="s">
        <v>43</v>
      </c>
      <c r="AA4850" t="s">
        <v>43</v>
      </c>
      <c r="AB4850" t="s">
        <v>43</v>
      </c>
      <c r="AC4850" t="s">
        <v>43</v>
      </c>
      <c r="AD4850" t="s">
        <v>43</v>
      </c>
      <c r="AE4850" t="s">
        <v>43</v>
      </c>
      <c r="AF4850" t="s">
        <v>43</v>
      </c>
      <c r="AG4850" t="s">
        <v>43</v>
      </c>
      <c r="AH4850" t="s">
        <v>43</v>
      </c>
      <c r="AI4850" t="s">
        <v>43</v>
      </c>
      <c r="AJ4850" t="s">
        <v>43</v>
      </c>
      <c r="AK4850" t="s">
        <v>43</v>
      </c>
      <c r="AL4850" t="s">
        <v>43</v>
      </c>
      <c r="AM4850" t="s">
        <v>43</v>
      </c>
      <c r="AN4850" t="str">
        <f>HYPERLINK("https://www.google.com/maps?q=10.83226204,79.84024811","Open Location")</f>
        <v>Open Location</v>
      </c>
    </row>
    <row r="4851" spans="1:40" x14ac:dyDescent="0.3">
      <c r="A4851" s="1">
        <v>46210.437847222223</v>
      </c>
      <c r="B4851" t="s">
        <v>40</v>
      </c>
      <c r="C4851" t="s">
        <v>41</v>
      </c>
      <c r="D4851" s="1">
        <v>46210.44091435185</v>
      </c>
      <c r="E4851" t="s">
        <v>42</v>
      </c>
      <c r="F4851" t="s">
        <v>43</v>
      </c>
      <c r="G4851" t="s">
        <v>43</v>
      </c>
      <c r="H4851" t="s">
        <v>43</v>
      </c>
      <c r="I4851" t="s">
        <v>2800</v>
      </c>
      <c r="J4851" t="s">
        <v>43</v>
      </c>
      <c r="K4851" t="s">
        <v>43</v>
      </c>
      <c r="L4851" t="s">
        <v>43</v>
      </c>
      <c r="M4851" t="s">
        <v>43</v>
      </c>
      <c r="N4851" t="s">
        <v>45</v>
      </c>
      <c r="O4851" t="s">
        <v>43</v>
      </c>
      <c r="P4851" t="s">
        <v>43</v>
      </c>
      <c r="Q4851" t="s">
        <v>43</v>
      </c>
      <c r="R4851" t="s">
        <v>43</v>
      </c>
      <c r="S4851" t="s">
        <v>43</v>
      </c>
      <c r="T4851" t="s">
        <v>43</v>
      </c>
      <c r="U4851" t="s">
        <v>43</v>
      </c>
      <c r="V4851" t="s">
        <v>43</v>
      </c>
      <c r="W4851" t="s">
        <v>43</v>
      </c>
      <c r="X4851" t="s">
        <v>43</v>
      </c>
      <c r="Y4851" t="s">
        <v>43</v>
      </c>
      <c r="Z4851" t="s">
        <v>43</v>
      </c>
      <c r="AA4851" t="s">
        <v>43</v>
      </c>
      <c r="AB4851" t="s">
        <v>43</v>
      </c>
      <c r="AC4851" t="s">
        <v>43</v>
      </c>
      <c r="AD4851" t="s">
        <v>43</v>
      </c>
      <c r="AE4851" t="s">
        <v>43</v>
      </c>
      <c r="AF4851" t="s">
        <v>43</v>
      </c>
      <c r="AG4851" t="s">
        <v>43</v>
      </c>
      <c r="AH4851" t="s">
        <v>43</v>
      </c>
      <c r="AI4851" t="s">
        <v>43</v>
      </c>
      <c r="AJ4851" t="s">
        <v>43</v>
      </c>
      <c r="AK4851" t="s">
        <v>43</v>
      </c>
      <c r="AL4851" t="s">
        <v>43</v>
      </c>
      <c r="AM4851" t="s">
        <v>43</v>
      </c>
      <c r="AN4851" t="str">
        <f>HYPERLINK("https://www.google.com/maps?q=10.83226299,79.84025574","Open Location")</f>
        <v>Open Location</v>
      </c>
    </row>
    <row r="4852" spans="1:40" x14ac:dyDescent="0.3">
      <c r="A4852" s="1">
        <v>46210.437731481485</v>
      </c>
      <c r="B4852" t="s">
        <v>40</v>
      </c>
      <c r="C4852" t="s">
        <v>41</v>
      </c>
      <c r="D4852" s="1">
        <v>46210.440532407411</v>
      </c>
      <c r="E4852" t="s">
        <v>42</v>
      </c>
      <c r="F4852" t="s">
        <v>43</v>
      </c>
      <c r="G4852" t="s">
        <v>43</v>
      </c>
      <c r="H4852" t="s">
        <v>43</v>
      </c>
      <c r="I4852" t="s">
        <v>2801</v>
      </c>
      <c r="J4852" t="s">
        <v>43</v>
      </c>
      <c r="K4852" t="s">
        <v>43</v>
      </c>
      <c r="L4852" t="s">
        <v>43</v>
      </c>
      <c r="M4852" t="s">
        <v>43</v>
      </c>
      <c r="N4852" t="s">
        <v>45</v>
      </c>
      <c r="O4852" t="s">
        <v>43</v>
      </c>
      <c r="P4852" t="s">
        <v>43</v>
      </c>
      <c r="Q4852" t="s">
        <v>43</v>
      </c>
      <c r="R4852" t="s">
        <v>43</v>
      </c>
      <c r="S4852" t="s">
        <v>43</v>
      </c>
      <c r="T4852" t="s">
        <v>43</v>
      </c>
      <c r="U4852" t="s">
        <v>43</v>
      </c>
      <c r="V4852" t="s">
        <v>43</v>
      </c>
      <c r="W4852" t="s">
        <v>43</v>
      </c>
      <c r="X4852" t="s">
        <v>43</v>
      </c>
      <c r="Y4852" t="s">
        <v>43</v>
      </c>
      <c r="Z4852" t="s">
        <v>43</v>
      </c>
      <c r="AA4852" t="s">
        <v>43</v>
      </c>
      <c r="AB4852" t="s">
        <v>43</v>
      </c>
      <c r="AC4852" t="s">
        <v>43</v>
      </c>
      <c r="AD4852" t="s">
        <v>43</v>
      </c>
      <c r="AE4852" t="s">
        <v>43</v>
      </c>
      <c r="AF4852" t="s">
        <v>43</v>
      </c>
      <c r="AG4852" t="s">
        <v>43</v>
      </c>
      <c r="AH4852" t="s">
        <v>43</v>
      </c>
      <c r="AI4852" t="s">
        <v>43</v>
      </c>
      <c r="AJ4852" t="s">
        <v>43</v>
      </c>
      <c r="AK4852" t="s">
        <v>43</v>
      </c>
      <c r="AL4852" t="s">
        <v>43</v>
      </c>
      <c r="AM4852" t="s">
        <v>43</v>
      </c>
      <c r="AN4852" t="str">
        <f>HYPERLINK("https://www.google.com/maps?q=10.83226395,79.84025574","Open Location")</f>
        <v>Open Location</v>
      </c>
    </row>
    <row r="4853" spans="1:40" x14ac:dyDescent="0.3">
      <c r="A4853" s="1">
        <v>46210.437615740739</v>
      </c>
      <c r="B4853" t="s">
        <v>40</v>
      </c>
      <c r="C4853" t="s">
        <v>41</v>
      </c>
      <c r="D4853" s="1">
        <v>46210.44054398148</v>
      </c>
      <c r="E4853" t="s">
        <v>42</v>
      </c>
      <c r="F4853" t="s">
        <v>43</v>
      </c>
      <c r="G4853" t="s">
        <v>43</v>
      </c>
      <c r="H4853" t="s">
        <v>43</v>
      </c>
      <c r="I4853" t="s">
        <v>2722</v>
      </c>
      <c r="J4853" t="s">
        <v>43</v>
      </c>
      <c r="K4853" t="s">
        <v>43</v>
      </c>
      <c r="L4853" t="s">
        <v>43</v>
      </c>
      <c r="M4853" t="s">
        <v>43</v>
      </c>
      <c r="N4853" t="s">
        <v>45</v>
      </c>
      <c r="O4853" t="s">
        <v>43</v>
      </c>
      <c r="P4853" t="s">
        <v>43</v>
      </c>
      <c r="Q4853" t="s">
        <v>43</v>
      </c>
      <c r="R4853" t="s">
        <v>43</v>
      </c>
      <c r="S4853" t="s">
        <v>43</v>
      </c>
      <c r="T4853" t="s">
        <v>43</v>
      </c>
      <c r="U4853" t="s">
        <v>43</v>
      </c>
      <c r="V4853" t="s">
        <v>43</v>
      </c>
      <c r="W4853" t="s">
        <v>43</v>
      </c>
      <c r="X4853" t="s">
        <v>43</v>
      </c>
      <c r="Y4853" t="s">
        <v>43</v>
      </c>
      <c r="Z4853" t="s">
        <v>43</v>
      </c>
      <c r="AA4853" t="s">
        <v>43</v>
      </c>
      <c r="AB4853" t="s">
        <v>43</v>
      </c>
      <c r="AC4853" t="s">
        <v>43</v>
      </c>
      <c r="AD4853" t="s">
        <v>43</v>
      </c>
      <c r="AE4853" t="s">
        <v>43</v>
      </c>
      <c r="AF4853" t="s">
        <v>43</v>
      </c>
      <c r="AG4853" t="s">
        <v>43</v>
      </c>
      <c r="AH4853" t="s">
        <v>43</v>
      </c>
      <c r="AI4853" t="s">
        <v>43</v>
      </c>
      <c r="AJ4853" t="s">
        <v>43</v>
      </c>
      <c r="AK4853" t="s">
        <v>43</v>
      </c>
      <c r="AL4853" t="s">
        <v>43</v>
      </c>
      <c r="AM4853" t="s">
        <v>43</v>
      </c>
      <c r="AN4853" t="str">
        <f>HYPERLINK("https://www.google.com/maps?q=10.8322649,79.84024811","Open Location")</f>
        <v>Open Location</v>
      </c>
    </row>
    <row r="4854" spans="1:40" x14ac:dyDescent="0.3">
      <c r="A4854" s="1">
        <v>46210.4375</v>
      </c>
      <c r="B4854" t="s">
        <v>40</v>
      </c>
      <c r="C4854" t="s">
        <v>41</v>
      </c>
      <c r="D4854" s="1">
        <v>46210.440509259257</v>
      </c>
      <c r="E4854" t="s">
        <v>42</v>
      </c>
      <c r="F4854" t="s">
        <v>43</v>
      </c>
      <c r="G4854" t="s">
        <v>43</v>
      </c>
      <c r="H4854" t="s">
        <v>43</v>
      </c>
      <c r="I4854" t="s">
        <v>43</v>
      </c>
      <c r="J4854" t="s">
        <v>43</v>
      </c>
      <c r="K4854" t="s">
        <v>43</v>
      </c>
      <c r="L4854" t="s">
        <v>43</v>
      </c>
      <c r="M4854" t="s">
        <v>43</v>
      </c>
      <c r="N4854" t="s">
        <v>45</v>
      </c>
      <c r="O4854" t="s">
        <v>43</v>
      </c>
      <c r="P4854" t="s">
        <v>43</v>
      </c>
      <c r="Q4854" t="s">
        <v>43</v>
      </c>
      <c r="R4854" t="s">
        <v>43</v>
      </c>
      <c r="S4854" t="s">
        <v>43</v>
      </c>
      <c r="T4854" t="s">
        <v>43</v>
      </c>
      <c r="U4854" t="s">
        <v>43</v>
      </c>
      <c r="V4854" t="s">
        <v>43</v>
      </c>
      <c r="W4854" t="s">
        <v>43</v>
      </c>
      <c r="X4854" t="s">
        <v>43</v>
      </c>
      <c r="Y4854" t="s">
        <v>43</v>
      </c>
      <c r="Z4854" t="s">
        <v>43</v>
      </c>
      <c r="AA4854" t="s">
        <v>43</v>
      </c>
      <c r="AB4854" t="s">
        <v>43</v>
      </c>
      <c r="AC4854" t="s">
        <v>43</v>
      </c>
      <c r="AD4854" t="s">
        <v>43</v>
      </c>
      <c r="AE4854" t="s">
        <v>43</v>
      </c>
      <c r="AF4854" t="s">
        <v>43</v>
      </c>
      <c r="AG4854" t="s">
        <v>43</v>
      </c>
      <c r="AH4854" t="s">
        <v>43</v>
      </c>
      <c r="AI4854" t="s">
        <v>43</v>
      </c>
      <c r="AJ4854" t="s">
        <v>43</v>
      </c>
      <c r="AK4854" t="s">
        <v>43</v>
      </c>
      <c r="AL4854" t="s">
        <v>43</v>
      </c>
      <c r="AM4854" t="s">
        <v>43</v>
      </c>
      <c r="AN4854" t="s">
        <v>43</v>
      </c>
    </row>
    <row r="4855" spans="1:40" x14ac:dyDescent="0.3">
      <c r="A4855" s="1">
        <v>46210.437384259261</v>
      </c>
      <c r="B4855" t="s">
        <v>40</v>
      </c>
      <c r="C4855" t="s">
        <v>41</v>
      </c>
      <c r="D4855" s="1">
        <v>46210.44023148148</v>
      </c>
      <c r="E4855" t="s">
        <v>42</v>
      </c>
      <c r="F4855" t="s">
        <v>43</v>
      </c>
      <c r="G4855" t="s">
        <v>43</v>
      </c>
      <c r="H4855" t="s">
        <v>43</v>
      </c>
      <c r="I4855" t="s">
        <v>2777</v>
      </c>
      <c r="J4855" t="s">
        <v>43</v>
      </c>
      <c r="K4855" t="s">
        <v>43</v>
      </c>
      <c r="L4855" t="s">
        <v>43</v>
      </c>
      <c r="M4855" t="s">
        <v>43</v>
      </c>
      <c r="N4855" t="s">
        <v>45</v>
      </c>
      <c r="O4855" t="s">
        <v>43</v>
      </c>
      <c r="P4855" t="s">
        <v>43</v>
      </c>
      <c r="Q4855" t="s">
        <v>43</v>
      </c>
      <c r="R4855" t="s">
        <v>43</v>
      </c>
      <c r="S4855" t="s">
        <v>43</v>
      </c>
      <c r="T4855" t="s">
        <v>43</v>
      </c>
      <c r="U4855" t="s">
        <v>43</v>
      </c>
      <c r="V4855" t="s">
        <v>43</v>
      </c>
      <c r="W4855" t="s">
        <v>43</v>
      </c>
      <c r="X4855" t="s">
        <v>43</v>
      </c>
      <c r="Y4855" t="s">
        <v>43</v>
      </c>
      <c r="Z4855" t="s">
        <v>43</v>
      </c>
      <c r="AA4855" t="s">
        <v>43</v>
      </c>
      <c r="AB4855" t="s">
        <v>43</v>
      </c>
      <c r="AC4855" t="s">
        <v>43</v>
      </c>
      <c r="AD4855" t="s">
        <v>43</v>
      </c>
      <c r="AE4855" t="s">
        <v>43</v>
      </c>
      <c r="AF4855" t="s">
        <v>43</v>
      </c>
      <c r="AG4855" t="s">
        <v>43</v>
      </c>
      <c r="AH4855" t="s">
        <v>43</v>
      </c>
      <c r="AI4855" t="s">
        <v>43</v>
      </c>
      <c r="AJ4855" t="s">
        <v>43</v>
      </c>
      <c r="AK4855" t="s">
        <v>43</v>
      </c>
      <c r="AL4855" t="s">
        <v>43</v>
      </c>
      <c r="AM4855" t="s">
        <v>43</v>
      </c>
      <c r="AN4855" t="str">
        <f>HYPERLINK("https://www.google.com/maps?q=10.83225822,79.84024811","Open Location")</f>
        <v>Open Location</v>
      </c>
    </row>
    <row r="4856" spans="1:40" x14ac:dyDescent="0.3">
      <c r="A4856" s="1">
        <v>46210.437268518515</v>
      </c>
      <c r="B4856" t="s">
        <v>40</v>
      </c>
      <c r="C4856" t="s">
        <v>41</v>
      </c>
      <c r="D4856" s="1">
        <v>46210.440127314818</v>
      </c>
      <c r="E4856" t="s">
        <v>42</v>
      </c>
      <c r="F4856" t="s">
        <v>43</v>
      </c>
      <c r="G4856" t="s">
        <v>43</v>
      </c>
      <c r="H4856" t="s">
        <v>43</v>
      </c>
      <c r="I4856" t="s">
        <v>2802</v>
      </c>
      <c r="J4856" t="s">
        <v>43</v>
      </c>
      <c r="K4856" t="s">
        <v>43</v>
      </c>
      <c r="L4856" t="s">
        <v>43</v>
      </c>
      <c r="M4856" t="s">
        <v>43</v>
      </c>
      <c r="N4856" t="s">
        <v>45</v>
      </c>
      <c r="O4856" t="s">
        <v>43</v>
      </c>
      <c r="P4856" t="s">
        <v>43</v>
      </c>
      <c r="Q4856" t="s">
        <v>43</v>
      </c>
      <c r="R4856" t="s">
        <v>43</v>
      </c>
      <c r="S4856" t="s">
        <v>43</v>
      </c>
      <c r="T4856" t="s">
        <v>43</v>
      </c>
      <c r="U4856" t="s">
        <v>43</v>
      </c>
      <c r="V4856" t="s">
        <v>43</v>
      </c>
      <c r="W4856" t="s">
        <v>43</v>
      </c>
      <c r="X4856" t="s">
        <v>43</v>
      </c>
      <c r="Y4856" t="s">
        <v>43</v>
      </c>
      <c r="Z4856" t="s">
        <v>43</v>
      </c>
      <c r="AA4856" t="s">
        <v>43</v>
      </c>
      <c r="AB4856" t="s">
        <v>43</v>
      </c>
      <c r="AC4856" t="s">
        <v>43</v>
      </c>
      <c r="AD4856" t="s">
        <v>43</v>
      </c>
      <c r="AE4856" t="s">
        <v>43</v>
      </c>
      <c r="AF4856" t="s">
        <v>43</v>
      </c>
      <c r="AG4856" t="s">
        <v>43</v>
      </c>
      <c r="AH4856" t="s">
        <v>43</v>
      </c>
      <c r="AI4856" t="s">
        <v>43</v>
      </c>
      <c r="AJ4856" t="s">
        <v>43</v>
      </c>
      <c r="AK4856" t="s">
        <v>43</v>
      </c>
      <c r="AL4856" t="s">
        <v>43</v>
      </c>
      <c r="AM4856" t="s">
        <v>43</v>
      </c>
      <c r="AN4856" t="str">
        <f>HYPERLINK("https://www.google.com/maps?q=10.83225536,79.84024811","Open Location")</f>
        <v>Open Location</v>
      </c>
    </row>
    <row r="4857" spans="1:40" x14ac:dyDescent="0.3">
      <c r="A4857" s="1">
        <v>46210.437152777777</v>
      </c>
      <c r="B4857" t="s">
        <v>40</v>
      </c>
      <c r="C4857" t="s">
        <v>41</v>
      </c>
      <c r="D4857" s="1">
        <v>46210.440185185187</v>
      </c>
      <c r="E4857" t="s">
        <v>42</v>
      </c>
      <c r="F4857" t="s">
        <v>43</v>
      </c>
      <c r="G4857" t="s">
        <v>43</v>
      </c>
      <c r="H4857" t="s">
        <v>43</v>
      </c>
      <c r="I4857" t="s">
        <v>2803</v>
      </c>
      <c r="J4857" t="s">
        <v>43</v>
      </c>
      <c r="K4857" t="s">
        <v>43</v>
      </c>
      <c r="L4857" t="s">
        <v>43</v>
      </c>
      <c r="M4857" t="s">
        <v>43</v>
      </c>
      <c r="N4857" t="s">
        <v>45</v>
      </c>
      <c r="O4857" t="s">
        <v>43</v>
      </c>
      <c r="P4857" t="s">
        <v>43</v>
      </c>
      <c r="Q4857" t="s">
        <v>43</v>
      </c>
      <c r="R4857" t="s">
        <v>43</v>
      </c>
      <c r="S4857" t="s">
        <v>43</v>
      </c>
      <c r="T4857" t="s">
        <v>43</v>
      </c>
      <c r="U4857" t="s">
        <v>43</v>
      </c>
      <c r="V4857" t="s">
        <v>43</v>
      </c>
      <c r="W4857" t="s">
        <v>43</v>
      </c>
      <c r="X4857" t="s">
        <v>43</v>
      </c>
      <c r="Y4857" t="s">
        <v>43</v>
      </c>
      <c r="Z4857" t="s">
        <v>43</v>
      </c>
      <c r="AA4857" t="s">
        <v>43</v>
      </c>
      <c r="AB4857" t="s">
        <v>43</v>
      </c>
      <c r="AC4857" t="s">
        <v>43</v>
      </c>
      <c r="AD4857" t="s">
        <v>43</v>
      </c>
      <c r="AE4857" t="s">
        <v>43</v>
      </c>
      <c r="AF4857" t="s">
        <v>43</v>
      </c>
      <c r="AG4857" t="s">
        <v>43</v>
      </c>
      <c r="AH4857" t="s">
        <v>43</v>
      </c>
      <c r="AI4857" t="s">
        <v>43</v>
      </c>
      <c r="AJ4857" t="s">
        <v>43</v>
      </c>
      <c r="AK4857" t="s">
        <v>43</v>
      </c>
      <c r="AL4857" t="s">
        <v>43</v>
      </c>
      <c r="AM4857" t="s">
        <v>43</v>
      </c>
      <c r="AN4857" t="str">
        <f>HYPERLINK("https://www.google.com/maps?q=10.8322506,79.84024811","Open Location")</f>
        <v>Open Location</v>
      </c>
    </row>
    <row r="4858" spans="1:40" x14ac:dyDescent="0.3">
      <c r="A4858" s="1">
        <v>46210.437037037038</v>
      </c>
      <c r="B4858" t="s">
        <v>40</v>
      </c>
      <c r="C4858" t="s">
        <v>41</v>
      </c>
      <c r="D4858" s="1">
        <v>46210.439884259256</v>
      </c>
      <c r="E4858" t="s">
        <v>42</v>
      </c>
      <c r="F4858" t="s">
        <v>43</v>
      </c>
      <c r="G4858" t="s">
        <v>43</v>
      </c>
      <c r="H4858" t="s">
        <v>43</v>
      </c>
      <c r="I4858" t="s">
        <v>2802</v>
      </c>
      <c r="J4858" t="s">
        <v>43</v>
      </c>
      <c r="K4858" t="s">
        <v>43</v>
      </c>
      <c r="L4858" t="s">
        <v>43</v>
      </c>
      <c r="M4858" t="s">
        <v>43</v>
      </c>
      <c r="N4858" t="s">
        <v>45</v>
      </c>
      <c r="O4858" t="s">
        <v>43</v>
      </c>
      <c r="P4858" t="s">
        <v>43</v>
      </c>
      <c r="Q4858" t="s">
        <v>43</v>
      </c>
      <c r="R4858" t="s">
        <v>43</v>
      </c>
      <c r="S4858" t="s">
        <v>43</v>
      </c>
      <c r="T4858" t="s">
        <v>43</v>
      </c>
      <c r="U4858" t="s">
        <v>43</v>
      </c>
      <c r="V4858" t="s">
        <v>43</v>
      </c>
      <c r="W4858" t="s">
        <v>43</v>
      </c>
      <c r="X4858" t="s">
        <v>43</v>
      </c>
      <c r="Y4858" t="s">
        <v>43</v>
      </c>
      <c r="Z4858" t="s">
        <v>43</v>
      </c>
      <c r="AA4858" t="s">
        <v>43</v>
      </c>
      <c r="AB4858" t="s">
        <v>43</v>
      </c>
      <c r="AC4858" t="s">
        <v>43</v>
      </c>
      <c r="AD4858" t="s">
        <v>43</v>
      </c>
      <c r="AE4858" t="s">
        <v>43</v>
      </c>
      <c r="AF4858" t="s">
        <v>43</v>
      </c>
      <c r="AG4858" t="s">
        <v>43</v>
      </c>
      <c r="AH4858" t="s">
        <v>43</v>
      </c>
      <c r="AI4858" t="s">
        <v>43</v>
      </c>
      <c r="AJ4858" t="s">
        <v>43</v>
      </c>
      <c r="AK4858" t="s">
        <v>43</v>
      </c>
      <c r="AL4858" t="s">
        <v>43</v>
      </c>
      <c r="AM4858" t="s">
        <v>43</v>
      </c>
      <c r="AN4858" t="str">
        <f>HYPERLINK("https://www.google.com/maps?q=10.83225536,79.84024811","Open Location")</f>
        <v>Open Location</v>
      </c>
    </row>
    <row r="4859" spans="1:40" x14ac:dyDescent="0.3">
      <c r="A4859" s="1">
        <v>46210.436921296299</v>
      </c>
      <c r="B4859" t="s">
        <v>40</v>
      </c>
      <c r="C4859" t="s">
        <v>41</v>
      </c>
      <c r="D4859" s="1">
        <v>46210.439884259256</v>
      </c>
      <c r="E4859" t="s">
        <v>42</v>
      </c>
      <c r="F4859" t="s">
        <v>43</v>
      </c>
      <c r="G4859" t="s">
        <v>43</v>
      </c>
      <c r="H4859" t="s">
        <v>43</v>
      </c>
      <c r="I4859" t="s">
        <v>2798</v>
      </c>
      <c r="J4859" t="s">
        <v>43</v>
      </c>
      <c r="K4859" t="s">
        <v>43</v>
      </c>
      <c r="L4859" t="s">
        <v>43</v>
      </c>
      <c r="M4859" t="s">
        <v>43</v>
      </c>
      <c r="N4859" t="s">
        <v>45</v>
      </c>
      <c r="O4859" t="s">
        <v>43</v>
      </c>
      <c r="P4859" t="s">
        <v>43</v>
      </c>
      <c r="Q4859" t="s">
        <v>43</v>
      </c>
      <c r="R4859" t="s">
        <v>43</v>
      </c>
      <c r="S4859" t="s">
        <v>43</v>
      </c>
      <c r="T4859" t="s">
        <v>43</v>
      </c>
      <c r="U4859" t="s">
        <v>43</v>
      </c>
      <c r="V4859" t="s">
        <v>43</v>
      </c>
      <c r="W4859" t="s">
        <v>43</v>
      </c>
      <c r="X4859" t="s">
        <v>43</v>
      </c>
      <c r="Y4859" t="s">
        <v>43</v>
      </c>
      <c r="Z4859" t="s">
        <v>43</v>
      </c>
      <c r="AA4859" t="s">
        <v>43</v>
      </c>
      <c r="AB4859" t="s">
        <v>43</v>
      </c>
      <c r="AC4859" t="s">
        <v>43</v>
      </c>
      <c r="AD4859" t="s">
        <v>43</v>
      </c>
      <c r="AE4859" t="s">
        <v>43</v>
      </c>
      <c r="AF4859" t="s">
        <v>43</v>
      </c>
      <c r="AG4859" t="s">
        <v>43</v>
      </c>
      <c r="AH4859" t="s">
        <v>43</v>
      </c>
      <c r="AI4859" t="s">
        <v>43</v>
      </c>
      <c r="AJ4859" t="s">
        <v>43</v>
      </c>
      <c r="AK4859" t="s">
        <v>43</v>
      </c>
      <c r="AL4859" t="s">
        <v>43</v>
      </c>
      <c r="AM4859" t="s">
        <v>43</v>
      </c>
      <c r="AN4859" t="str">
        <f>HYPERLINK("https://www.google.com/maps?q=10.83226013,79.84024811","Open Location")</f>
        <v>Open Location</v>
      </c>
    </row>
    <row r="4860" spans="1:40" x14ac:dyDescent="0.3">
      <c r="A4860" s="1">
        <v>46210.436805555553</v>
      </c>
      <c r="B4860" t="s">
        <v>40</v>
      </c>
      <c r="C4860" t="s">
        <v>41</v>
      </c>
      <c r="D4860" s="1">
        <v>46210.439722222225</v>
      </c>
      <c r="E4860" t="s">
        <v>42</v>
      </c>
      <c r="F4860" t="s">
        <v>43</v>
      </c>
      <c r="G4860" t="s">
        <v>43</v>
      </c>
      <c r="H4860" t="s">
        <v>43</v>
      </c>
      <c r="I4860" t="s">
        <v>43</v>
      </c>
      <c r="J4860" t="s">
        <v>43</v>
      </c>
      <c r="K4860" t="s">
        <v>43</v>
      </c>
      <c r="L4860" t="s">
        <v>43</v>
      </c>
      <c r="M4860" t="s">
        <v>43</v>
      </c>
      <c r="N4860" t="s">
        <v>45</v>
      </c>
      <c r="O4860" t="s">
        <v>43</v>
      </c>
      <c r="P4860" t="s">
        <v>43</v>
      </c>
      <c r="Q4860" t="s">
        <v>43</v>
      </c>
      <c r="R4860" t="s">
        <v>43</v>
      </c>
      <c r="S4860" t="s">
        <v>43</v>
      </c>
      <c r="T4860" t="s">
        <v>43</v>
      </c>
      <c r="U4860" t="s">
        <v>43</v>
      </c>
      <c r="V4860" t="s">
        <v>43</v>
      </c>
      <c r="W4860" t="s">
        <v>43</v>
      </c>
      <c r="X4860" t="s">
        <v>43</v>
      </c>
      <c r="Y4860" t="s">
        <v>43</v>
      </c>
      <c r="Z4860" t="s">
        <v>43</v>
      </c>
      <c r="AA4860" t="s">
        <v>43</v>
      </c>
      <c r="AB4860" t="s">
        <v>43</v>
      </c>
      <c r="AC4860" t="s">
        <v>43</v>
      </c>
      <c r="AD4860" t="s">
        <v>43</v>
      </c>
      <c r="AE4860" t="s">
        <v>43</v>
      </c>
      <c r="AF4860" t="s">
        <v>43</v>
      </c>
      <c r="AG4860" t="s">
        <v>43</v>
      </c>
      <c r="AH4860" t="s">
        <v>43</v>
      </c>
      <c r="AI4860" t="s">
        <v>43</v>
      </c>
      <c r="AJ4860" t="s">
        <v>43</v>
      </c>
      <c r="AK4860" t="s">
        <v>43</v>
      </c>
      <c r="AL4860" t="s">
        <v>43</v>
      </c>
      <c r="AM4860" t="s">
        <v>43</v>
      </c>
      <c r="AN4860" t="s">
        <v>43</v>
      </c>
    </row>
    <row r="4861" spans="1:40" x14ac:dyDescent="0.3">
      <c r="A4861" s="1">
        <v>46210.436689814815</v>
      </c>
      <c r="B4861" t="s">
        <v>40</v>
      </c>
      <c r="C4861" t="s">
        <v>41</v>
      </c>
      <c r="D4861" s="1">
        <v>46210.439664351848</v>
      </c>
      <c r="E4861" t="s">
        <v>42</v>
      </c>
      <c r="F4861" t="s">
        <v>43</v>
      </c>
      <c r="G4861" t="s">
        <v>43</v>
      </c>
      <c r="H4861" t="s">
        <v>43</v>
      </c>
      <c r="I4861" t="s">
        <v>2804</v>
      </c>
      <c r="J4861" t="s">
        <v>43</v>
      </c>
      <c r="K4861" t="s">
        <v>43</v>
      </c>
      <c r="L4861" t="s">
        <v>43</v>
      </c>
      <c r="M4861" t="s">
        <v>43</v>
      </c>
      <c r="N4861" t="s">
        <v>45</v>
      </c>
      <c r="O4861" t="s">
        <v>43</v>
      </c>
      <c r="P4861" t="s">
        <v>43</v>
      </c>
      <c r="Q4861" t="s">
        <v>43</v>
      </c>
      <c r="R4861" t="s">
        <v>43</v>
      </c>
      <c r="S4861" t="s">
        <v>43</v>
      </c>
      <c r="T4861" t="s">
        <v>43</v>
      </c>
      <c r="U4861" t="s">
        <v>43</v>
      </c>
      <c r="V4861" t="s">
        <v>43</v>
      </c>
      <c r="W4861" t="s">
        <v>43</v>
      </c>
      <c r="X4861" t="s">
        <v>43</v>
      </c>
      <c r="Y4861" t="s">
        <v>43</v>
      </c>
      <c r="Z4861" t="s">
        <v>43</v>
      </c>
      <c r="AA4861" t="s">
        <v>43</v>
      </c>
      <c r="AB4861" t="s">
        <v>43</v>
      </c>
      <c r="AC4861" t="s">
        <v>43</v>
      </c>
      <c r="AD4861" t="s">
        <v>43</v>
      </c>
      <c r="AE4861" t="s">
        <v>43</v>
      </c>
      <c r="AF4861" t="s">
        <v>43</v>
      </c>
      <c r="AG4861" t="s">
        <v>43</v>
      </c>
      <c r="AH4861" t="s">
        <v>43</v>
      </c>
      <c r="AI4861" t="s">
        <v>43</v>
      </c>
      <c r="AJ4861" t="s">
        <v>43</v>
      </c>
      <c r="AK4861" t="s">
        <v>43</v>
      </c>
      <c r="AL4861" t="s">
        <v>43</v>
      </c>
      <c r="AM4861" t="s">
        <v>43</v>
      </c>
      <c r="AN4861" t="str">
        <f>HYPERLINK("https://www.google.com/maps?q=10.83225727,79.84025574","Open Location")</f>
        <v>Open Location</v>
      </c>
    </row>
    <row r="4862" spans="1:40" x14ac:dyDescent="0.3">
      <c r="A4862" s="1">
        <v>46210.436574074076</v>
      </c>
      <c r="B4862" t="s">
        <v>40</v>
      </c>
      <c r="C4862" t="s">
        <v>41</v>
      </c>
      <c r="D4862" s="1">
        <v>46210.43922453704</v>
      </c>
      <c r="E4862" t="s">
        <v>42</v>
      </c>
      <c r="F4862" t="s">
        <v>43</v>
      </c>
      <c r="G4862" t="s">
        <v>43</v>
      </c>
      <c r="H4862" t="s">
        <v>43</v>
      </c>
      <c r="I4862" t="s">
        <v>2805</v>
      </c>
      <c r="J4862" t="s">
        <v>43</v>
      </c>
      <c r="K4862" t="s">
        <v>43</v>
      </c>
      <c r="L4862" t="s">
        <v>43</v>
      </c>
      <c r="M4862" t="s">
        <v>43</v>
      </c>
      <c r="N4862" t="s">
        <v>45</v>
      </c>
      <c r="O4862" t="s">
        <v>43</v>
      </c>
      <c r="P4862" t="s">
        <v>43</v>
      </c>
      <c r="Q4862" t="s">
        <v>43</v>
      </c>
      <c r="R4862" t="s">
        <v>43</v>
      </c>
      <c r="S4862" t="s">
        <v>43</v>
      </c>
      <c r="T4862" t="s">
        <v>43</v>
      </c>
      <c r="U4862" t="s">
        <v>43</v>
      </c>
      <c r="V4862" t="s">
        <v>43</v>
      </c>
      <c r="W4862" t="s">
        <v>43</v>
      </c>
      <c r="X4862" t="s">
        <v>43</v>
      </c>
      <c r="Y4862" t="s">
        <v>43</v>
      </c>
      <c r="Z4862" t="s">
        <v>43</v>
      </c>
      <c r="AA4862" t="s">
        <v>43</v>
      </c>
      <c r="AB4862" t="s">
        <v>43</v>
      </c>
      <c r="AC4862" t="s">
        <v>43</v>
      </c>
      <c r="AD4862" t="s">
        <v>43</v>
      </c>
      <c r="AE4862" t="s">
        <v>43</v>
      </c>
      <c r="AF4862" t="s">
        <v>43</v>
      </c>
      <c r="AG4862" t="s">
        <v>43</v>
      </c>
      <c r="AH4862" t="s">
        <v>43</v>
      </c>
      <c r="AI4862" t="s">
        <v>43</v>
      </c>
      <c r="AJ4862" t="s">
        <v>43</v>
      </c>
      <c r="AK4862" t="s">
        <v>43</v>
      </c>
      <c r="AL4862" t="s">
        <v>43</v>
      </c>
      <c r="AM4862" t="s">
        <v>43</v>
      </c>
      <c r="AN4862" t="str">
        <f>HYPERLINK("https://www.google.com/maps?q=10.83225727,79.84024811","Open Location")</f>
        <v>Open Location</v>
      </c>
    </row>
    <row r="4863" spans="1:40" x14ac:dyDescent="0.3">
      <c r="A4863" s="1">
        <v>46210.43645833333</v>
      </c>
      <c r="B4863" t="s">
        <v>40</v>
      </c>
      <c r="C4863" t="s">
        <v>41</v>
      </c>
      <c r="D4863" s="1">
        <v>46210.439201388886</v>
      </c>
      <c r="E4863" t="s">
        <v>42</v>
      </c>
      <c r="F4863" t="s">
        <v>43</v>
      </c>
      <c r="G4863" t="s">
        <v>43</v>
      </c>
      <c r="H4863" t="s">
        <v>43</v>
      </c>
      <c r="I4863" t="s">
        <v>2806</v>
      </c>
      <c r="J4863" t="s">
        <v>43</v>
      </c>
      <c r="K4863" t="s">
        <v>43</v>
      </c>
      <c r="L4863" t="s">
        <v>43</v>
      </c>
      <c r="M4863" t="s">
        <v>43</v>
      </c>
      <c r="N4863" t="s">
        <v>45</v>
      </c>
      <c r="O4863" t="s">
        <v>43</v>
      </c>
      <c r="P4863" t="s">
        <v>43</v>
      </c>
      <c r="Q4863" t="s">
        <v>43</v>
      </c>
      <c r="R4863" t="s">
        <v>43</v>
      </c>
      <c r="S4863" t="s">
        <v>43</v>
      </c>
      <c r="T4863" t="s">
        <v>43</v>
      </c>
      <c r="U4863" t="s">
        <v>43</v>
      </c>
      <c r="V4863" t="s">
        <v>43</v>
      </c>
      <c r="W4863" t="s">
        <v>43</v>
      </c>
      <c r="X4863" t="s">
        <v>43</v>
      </c>
      <c r="Y4863" t="s">
        <v>43</v>
      </c>
      <c r="Z4863" t="s">
        <v>43</v>
      </c>
      <c r="AA4863" t="s">
        <v>43</v>
      </c>
      <c r="AB4863" t="s">
        <v>43</v>
      </c>
      <c r="AC4863" t="s">
        <v>43</v>
      </c>
      <c r="AD4863" t="s">
        <v>43</v>
      </c>
      <c r="AE4863" t="s">
        <v>43</v>
      </c>
      <c r="AF4863" t="s">
        <v>43</v>
      </c>
      <c r="AG4863" t="s">
        <v>43</v>
      </c>
      <c r="AH4863" t="s">
        <v>43</v>
      </c>
      <c r="AI4863" t="s">
        <v>43</v>
      </c>
      <c r="AJ4863" t="s">
        <v>43</v>
      </c>
      <c r="AK4863" t="s">
        <v>43</v>
      </c>
      <c r="AL4863" t="s">
        <v>43</v>
      </c>
      <c r="AM4863" t="s">
        <v>43</v>
      </c>
      <c r="AN4863" t="str">
        <f>HYPERLINK("https://www.google.com/maps?q=10.83225346,79.84024811","Open Location")</f>
        <v>Open Location</v>
      </c>
    </row>
    <row r="4864" spans="1:40" x14ac:dyDescent="0.3">
      <c r="A4864" s="1">
        <v>46210.436342592591</v>
      </c>
      <c r="B4864" t="s">
        <v>40</v>
      </c>
      <c r="C4864" t="s">
        <v>41</v>
      </c>
      <c r="D4864" s="1">
        <v>46210.439212962963</v>
      </c>
      <c r="E4864" t="s">
        <v>42</v>
      </c>
      <c r="F4864" t="s">
        <v>43</v>
      </c>
      <c r="G4864" t="s">
        <v>43</v>
      </c>
      <c r="H4864" t="s">
        <v>43</v>
      </c>
      <c r="I4864" t="s">
        <v>2778</v>
      </c>
      <c r="J4864" t="s">
        <v>43</v>
      </c>
      <c r="K4864" t="s">
        <v>43</v>
      </c>
      <c r="L4864" t="s">
        <v>43</v>
      </c>
      <c r="M4864" t="s">
        <v>43</v>
      </c>
      <c r="N4864" t="s">
        <v>45</v>
      </c>
      <c r="O4864" t="s">
        <v>43</v>
      </c>
      <c r="P4864" t="s">
        <v>43</v>
      </c>
      <c r="Q4864" t="s">
        <v>43</v>
      </c>
      <c r="R4864" t="s">
        <v>43</v>
      </c>
      <c r="S4864" t="s">
        <v>43</v>
      </c>
      <c r="T4864" t="s">
        <v>43</v>
      </c>
      <c r="U4864" t="s">
        <v>43</v>
      </c>
      <c r="V4864" t="s">
        <v>43</v>
      </c>
      <c r="W4864" t="s">
        <v>43</v>
      </c>
      <c r="X4864" t="s">
        <v>43</v>
      </c>
      <c r="Y4864" t="s">
        <v>43</v>
      </c>
      <c r="Z4864" t="s">
        <v>43</v>
      </c>
      <c r="AA4864" t="s">
        <v>43</v>
      </c>
      <c r="AB4864" t="s">
        <v>43</v>
      </c>
      <c r="AC4864" t="s">
        <v>43</v>
      </c>
      <c r="AD4864" t="s">
        <v>43</v>
      </c>
      <c r="AE4864" t="s">
        <v>43</v>
      </c>
      <c r="AF4864" t="s">
        <v>43</v>
      </c>
      <c r="AG4864" t="s">
        <v>43</v>
      </c>
      <c r="AH4864" t="s">
        <v>43</v>
      </c>
      <c r="AI4864" t="s">
        <v>43</v>
      </c>
      <c r="AJ4864" t="s">
        <v>43</v>
      </c>
      <c r="AK4864" t="s">
        <v>43</v>
      </c>
      <c r="AL4864" t="s">
        <v>43</v>
      </c>
      <c r="AM4864" t="s">
        <v>43</v>
      </c>
      <c r="AN4864" t="str">
        <f>HYPERLINK("https://www.google.com/maps?q=10.83225441,79.84024048","Open Location")</f>
        <v>Open Location</v>
      </c>
    </row>
    <row r="4865" spans="1:40" x14ac:dyDescent="0.3">
      <c r="A4865" s="1">
        <v>46210.436226851853</v>
      </c>
      <c r="B4865" t="s">
        <v>40</v>
      </c>
      <c r="C4865" t="s">
        <v>41</v>
      </c>
      <c r="D4865" s="1">
        <v>46210.43922453704</v>
      </c>
      <c r="E4865" t="s">
        <v>42</v>
      </c>
      <c r="F4865" t="s">
        <v>43</v>
      </c>
      <c r="G4865" t="s">
        <v>43</v>
      </c>
      <c r="H4865" t="s">
        <v>43</v>
      </c>
      <c r="I4865" t="s">
        <v>43</v>
      </c>
      <c r="J4865" t="s">
        <v>43</v>
      </c>
      <c r="K4865" t="s">
        <v>43</v>
      </c>
      <c r="L4865" t="s">
        <v>43</v>
      </c>
      <c r="M4865" t="s">
        <v>43</v>
      </c>
      <c r="N4865" t="s">
        <v>45</v>
      </c>
      <c r="O4865" t="s">
        <v>43</v>
      </c>
      <c r="P4865" t="s">
        <v>43</v>
      </c>
      <c r="Q4865" t="s">
        <v>43</v>
      </c>
      <c r="R4865" t="s">
        <v>43</v>
      </c>
      <c r="S4865" t="s">
        <v>43</v>
      </c>
      <c r="T4865" t="s">
        <v>43</v>
      </c>
      <c r="U4865" t="s">
        <v>43</v>
      </c>
      <c r="V4865" t="s">
        <v>43</v>
      </c>
      <c r="W4865" t="s">
        <v>43</v>
      </c>
      <c r="X4865" t="s">
        <v>43</v>
      </c>
      <c r="Y4865" t="s">
        <v>43</v>
      </c>
      <c r="Z4865" t="s">
        <v>43</v>
      </c>
      <c r="AA4865" t="s">
        <v>43</v>
      </c>
      <c r="AB4865" t="s">
        <v>43</v>
      </c>
      <c r="AC4865" t="s">
        <v>43</v>
      </c>
      <c r="AD4865" t="s">
        <v>43</v>
      </c>
      <c r="AE4865" t="s">
        <v>43</v>
      </c>
      <c r="AF4865" t="s">
        <v>43</v>
      </c>
      <c r="AG4865" t="s">
        <v>43</v>
      </c>
      <c r="AH4865" t="s">
        <v>43</v>
      </c>
      <c r="AI4865" t="s">
        <v>43</v>
      </c>
      <c r="AJ4865" t="s">
        <v>43</v>
      </c>
      <c r="AK4865" t="s">
        <v>43</v>
      </c>
      <c r="AL4865" t="s">
        <v>43</v>
      </c>
      <c r="AM4865" t="s">
        <v>43</v>
      </c>
      <c r="AN4865" t="s">
        <v>43</v>
      </c>
    </row>
    <row r="4866" spans="1:40" x14ac:dyDescent="0.3">
      <c r="A4866" s="1">
        <v>46210.436111111114</v>
      </c>
      <c r="B4866" t="s">
        <v>40</v>
      </c>
      <c r="C4866" t="s">
        <v>41</v>
      </c>
      <c r="D4866" s="1">
        <v>46210.438819444447</v>
      </c>
      <c r="E4866" t="s">
        <v>42</v>
      </c>
      <c r="F4866" t="s">
        <v>43</v>
      </c>
      <c r="G4866" t="s">
        <v>43</v>
      </c>
      <c r="H4866" t="s">
        <v>43</v>
      </c>
      <c r="I4866" t="s">
        <v>2807</v>
      </c>
      <c r="J4866" t="s">
        <v>43</v>
      </c>
      <c r="K4866" t="s">
        <v>43</v>
      </c>
      <c r="L4866" t="s">
        <v>43</v>
      </c>
      <c r="M4866" t="s">
        <v>43</v>
      </c>
      <c r="N4866" t="s">
        <v>45</v>
      </c>
      <c r="O4866" t="s">
        <v>43</v>
      </c>
      <c r="P4866" t="s">
        <v>43</v>
      </c>
      <c r="Q4866" t="s">
        <v>43</v>
      </c>
      <c r="R4866" t="s">
        <v>43</v>
      </c>
      <c r="S4866" t="s">
        <v>43</v>
      </c>
      <c r="T4866" t="s">
        <v>43</v>
      </c>
      <c r="U4866" t="s">
        <v>43</v>
      </c>
      <c r="V4866" t="s">
        <v>43</v>
      </c>
      <c r="W4866" t="s">
        <v>43</v>
      </c>
      <c r="X4866" t="s">
        <v>43</v>
      </c>
      <c r="Y4866" t="s">
        <v>43</v>
      </c>
      <c r="Z4866" t="s">
        <v>43</v>
      </c>
      <c r="AA4866" t="s">
        <v>43</v>
      </c>
      <c r="AB4866" t="s">
        <v>43</v>
      </c>
      <c r="AC4866" t="s">
        <v>43</v>
      </c>
      <c r="AD4866" t="s">
        <v>43</v>
      </c>
      <c r="AE4866" t="s">
        <v>43</v>
      </c>
      <c r="AF4866" t="s">
        <v>43</v>
      </c>
      <c r="AG4866" t="s">
        <v>43</v>
      </c>
      <c r="AH4866" t="s">
        <v>43</v>
      </c>
      <c r="AI4866" t="s">
        <v>43</v>
      </c>
      <c r="AJ4866" t="s">
        <v>43</v>
      </c>
      <c r="AK4866" t="s">
        <v>43</v>
      </c>
      <c r="AL4866" t="s">
        <v>43</v>
      </c>
      <c r="AM4866" t="s">
        <v>43</v>
      </c>
      <c r="AN4866" t="str">
        <f>HYPERLINK("https://www.google.com/maps?q=10.83225632,79.84024048","Open Location")</f>
        <v>Open Location</v>
      </c>
    </row>
    <row r="4867" spans="1:40" x14ac:dyDescent="0.3">
      <c r="A4867" s="1">
        <v>46210.435995370368</v>
      </c>
      <c r="B4867" t="s">
        <v>40</v>
      </c>
      <c r="C4867" t="s">
        <v>41</v>
      </c>
      <c r="D4867" s="1">
        <v>46210.438819444447</v>
      </c>
      <c r="E4867" t="s">
        <v>42</v>
      </c>
      <c r="F4867" t="s">
        <v>43</v>
      </c>
      <c r="G4867" t="s">
        <v>43</v>
      </c>
      <c r="H4867" t="s">
        <v>43</v>
      </c>
      <c r="I4867" t="s">
        <v>2808</v>
      </c>
      <c r="J4867" t="s">
        <v>43</v>
      </c>
      <c r="K4867" t="s">
        <v>43</v>
      </c>
      <c r="L4867" t="s">
        <v>43</v>
      </c>
      <c r="M4867" t="s">
        <v>43</v>
      </c>
      <c r="N4867" t="s">
        <v>45</v>
      </c>
      <c r="O4867" t="s">
        <v>43</v>
      </c>
      <c r="P4867" t="s">
        <v>43</v>
      </c>
      <c r="Q4867" t="s">
        <v>43</v>
      </c>
      <c r="R4867" t="s">
        <v>43</v>
      </c>
      <c r="S4867" t="s">
        <v>43</v>
      </c>
      <c r="T4867" t="s">
        <v>43</v>
      </c>
      <c r="U4867" t="s">
        <v>43</v>
      </c>
      <c r="V4867" t="s">
        <v>43</v>
      </c>
      <c r="W4867" t="s">
        <v>43</v>
      </c>
      <c r="X4867" t="s">
        <v>43</v>
      </c>
      <c r="Y4867" t="s">
        <v>43</v>
      </c>
      <c r="Z4867" t="s">
        <v>43</v>
      </c>
      <c r="AA4867" t="s">
        <v>43</v>
      </c>
      <c r="AB4867" t="s">
        <v>43</v>
      </c>
      <c r="AC4867" t="s">
        <v>43</v>
      </c>
      <c r="AD4867" t="s">
        <v>43</v>
      </c>
      <c r="AE4867" t="s">
        <v>43</v>
      </c>
      <c r="AF4867" t="s">
        <v>43</v>
      </c>
      <c r="AG4867" t="s">
        <v>43</v>
      </c>
      <c r="AH4867" t="s">
        <v>43</v>
      </c>
      <c r="AI4867" t="s">
        <v>43</v>
      </c>
      <c r="AJ4867" t="s">
        <v>43</v>
      </c>
      <c r="AK4867" t="s">
        <v>43</v>
      </c>
      <c r="AL4867" t="s">
        <v>43</v>
      </c>
      <c r="AM4867" t="s">
        <v>43</v>
      </c>
      <c r="AN4867" t="str">
        <f>HYPERLINK("https://www.google.com/maps?q=10.83225536,79.84024048","Open Location")</f>
        <v>Open Location</v>
      </c>
    </row>
    <row r="4868" spans="1:40" x14ac:dyDescent="0.3">
      <c r="A4868" s="1">
        <v>46210.435879629629</v>
      </c>
      <c r="B4868" t="s">
        <v>40</v>
      </c>
      <c r="C4868" t="s">
        <v>41</v>
      </c>
      <c r="D4868" s="1">
        <v>46210.438738425924</v>
      </c>
      <c r="E4868" t="s">
        <v>42</v>
      </c>
      <c r="F4868" t="s">
        <v>43</v>
      </c>
      <c r="G4868" t="s">
        <v>43</v>
      </c>
      <c r="H4868" t="s">
        <v>43</v>
      </c>
      <c r="I4868" t="s">
        <v>2809</v>
      </c>
      <c r="J4868" t="s">
        <v>43</v>
      </c>
      <c r="K4868" t="s">
        <v>43</v>
      </c>
      <c r="L4868" t="s">
        <v>43</v>
      </c>
      <c r="M4868" t="s">
        <v>43</v>
      </c>
      <c r="N4868" t="s">
        <v>45</v>
      </c>
      <c r="O4868" t="s">
        <v>43</v>
      </c>
      <c r="P4868" t="s">
        <v>43</v>
      </c>
      <c r="Q4868" t="s">
        <v>43</v>
      </c>
      <c r="R4868" t="s">
        <v>43</v>
      </c>
      <c r="S4868" t="s">
        <v>43</v>
      </c>
      <c r="T4868" t="s">
        <v>43</v>
      </c>
      <c r="U4868" t="s">
        <v>43</v>
      </c>
      <c r="V4868" t="s">
        <v>43</v>
      </c>
      <c r="W4868" t="s">
        <v>43</v>
      </c>
      <c r="X4868" t="s">
        <v>43</v>
      </c>
      <c r="Y4868" t="s">
        <v>43</v>
      </c>
      <c r="Z4868" t="s">
        <v>43</v>
      </c>
      <c r="AA4868" t="s">
        <v>43</v>
      </c>
      <c r="AB4868" t="s">
        <v>43</v>
      </c>
      <c r="AC4868" t="s">
        <v>43</v>
      </c>
      <c r="AD4868" t="s">
        <v>43</v>
      </c>
      <c r="AE4868" t="s">
        <v>43</v>
      </c>
      <c r="AF4868" t="s">
        <v>43</v>
      </c>
      <c r="AG4868" t="s">
        <v>43</v>
      </c>
      <c r="AH4868" t="s">
        <v>43</v>
      </c>
      <c r="AI4868" t="s">
        <v>43</v>
      </c>
      <c r="AJ4868" t="s">
        <v>43</v>
      </c>
      <c r="AK4868" t="s">
        <v>43</v>
      </c>
      <c r="AL4868" t="s">
        <v>43</v>
      </c>
      <c r="AM4868" t="s">
        <v>43</v>
      </c>
      <c r="AN4868" t="str">
        <f>HYPERLINK("https://www.google.com/maps?q=10.83225155,79.84024048","Open Location")</f>
        <v>Open Location</v>
      </c>
    </row>
    <row r="4869" spans="1:40" x14ac:dyDescent="0.3">
      <c r="A4869" s="1">
        <v>46210.435763888891</v>
      </c>
      <c r="B4869" t="s">
        <v>40</v>
      </c>
      <c r="C4869" t="s">
        <v>41</v>
      </c>
      <c r="D4869" s="1">
        <v>46210.438854166663</v>
      </c>
      <c r="E4869" t="s">
        <v>42</v>
      </c>
      <c r="F4869" t="s">
        <v>43</v>
      </c>
      <c r="G4869" t="s">
        <v>43</v>
      </c>
      <c r="H4869" t="s">
        <v>43</v>
      </c>
      <c r="I4869" t="s">
        <v>2810</v>
      </c>
      <c r="J4869" t="s">
        <v>43</v>
      </c>
      <c r="K4869" t="s">
        <v>43</v>
      </c>
      <c r="L4869" t="s">
        <v>43</v>
      </c>
      <c r="M4869" t="s">
        <v>43</v>
      </c>
      <c r="N4869" t="s">
        <v>45</v>
      </c>
      <c r="O4869" t="s">
        <v>43</v>
      </c>
      <c r="P4869" t="s">
        <v>43</v>
      </c>
      <c r="Q4869" t="s">
        <v>43</v>
      </c>
      <c r="R4869" t="s">
        <v>43</v>
      </c>
      <c r="S4869" t="s">
        <v>43</v>
      </c>
      <c r="T4869" t="s">
        <v>43</v>
      </c>
      <c r="U4869" t="s">
        <v>43</v>
      </c>
      <c r="V4869" t="s">
        <v>43</v>
      </c>
      <c r="W4869" t="s">
        <v>43</v>
      </c>
      <c r="X4869" t="s">
        <v>43</v>
      </c>
      <c r="Y4869" t="s">
        <v>43</v>
      </c>
      <c r="Z4869" t="s">
        <v>43</v>
      </c>
      <c r="AA4869" t="s">
        <v>43</v>
      </c>
      <c r="AB4869" t="s">
        <v>43</v>
      </c>
      <c r="AC4869" t="s">
        <v>43</v>
      </c>
      <c r="AD4869" t="s">
        <v>43</v>
      </c>
      <c r="AE4869" t="s">
        <v>43</v>
      </c>
      <c r="AF4869" t="s">
        <v>43</v>
      </c>
      <c r="AG4869" t="s">
        <v>43</v>
      </c>
      <c r="AH4869" t="s">
        <v>43</v>
      </c>
      <c r="AI4869" t="s">
        <v>43</v>
      </c>
      <c r="AJ4869" t="s">
        <v>43</v>
      </c>
      <c r="AK4869" t="s">
        <v>43</v>
      </c>
      <c r="AL4869" t="s">
        <v>43</v>
      </c>
      <c r="AM4869" t="s">
        <v>43</v>
      </c>
      <c r="AN4869" t="str">
        <f>HYPERLINK("https://www.google.com/maps?q=10.8322506,79.84024048","Open Location")</f>
        <v>Open Location</v>
      </c>
    </row>
    <row r="4870" spans="1:40" x14ac:dyDescent="0.3">
      <c r="A4870" s="1">
        <v>46210.435648148145</v>
      </c>
      <c r="B4870" t="s">
        <v>40</v>
      </c>
      <c r="C4870" t="s">
        <v>41</v>
      </c>
      <c r="D4870" s="1">
        <v>46210.438321759262</v>
      </c>
      <c r="E4870" t="s">
        <v>42</v>
      </c>
      <c r="F4870" t="s">
        <v>43</v>
      </c>
      <c r="G4870" t="s">
        <v>43</v>
      </c>
      <c r="H4870" t="s">
        <v>43</v>
      </c>
      <c r="I4870" t="s">
        <v>2810</v>
      </c>
      <c r="J4870" t="s">
        <v>43</v>
      </c>
      <c r="K4870" t="s">
        <v>43</v>
      </c>
      <c r="L4870" t="s">
        <v>43</v>
      </c>
      <c r="M4870" t="s">
        <v>43</v>
      </c>
      <c r="N4870" t="s">
        <v>45</v>
      </c>
      <c r="O4870" t="s">
        <v>43</v>
      </c>
      <c r="P4870" t="s">
        <v>43</v>
      </c>
      <c r="Q4870" t="s">
        <v>43</v>
      </c>
      <c r="R4870" t="s">
        <v>43</v>
      </c>
      <c r="S4870" t="s">
        <v>43</v>
      </c>
      <c r="T4870" t="s">
        <v>43</v>
      </c>
      <c r="U4870" t="s">
        <v>43</v>
      </c>
      <c r="V4870" t="s">
        <v>43</v>
      </c>
      <c r="W4870" t="s">
        <v>43</v>
      </c>
      <c r="X4870" t="s">
        <v>43</v>
      </c>
      <c r="Y4870" t="s">
        <v>43</v>
      </c>
      <c r="Z4870" t="s">
        <v>43</v>
      </c>
      <c r="AA4870" t="s">
        <v>43</v>
      </c>
      <c r="AB4870" t="s">
        <v>43</v>
      </c>
      <c r="AC4870" t="s">
        <v>43</v>
      </c>
      <c r="AD4870" t="s">
        <v>43</v>
      </c>
      <c r="AE4870" t="s">
        <v>43</v>
      </c>
      <c r="AF4870" t="s">
        <v>43</v>
      </c>
      <c r="AG4870" t="s">
        <v>43</v>
      </c>
      <c r="AH4870" t="s">
        <v>43</v>
      </c>
      <c r="AI4870" t="s">
        <v>43</v>
      </c>
      <c r="AJ4870" t="s">
        <v>43</v>
      </c>
      <c r="AK4870" t="s">
        <v>43</v>
      </c>
      <c r="AL4870" t="s">
        <v>43</v>
      </c>
      <c r="AM4870" t="s">
        <v>43</v>
      </c>
      <c r="AN4870" t="str">
        <f>HYPERLINK("https://www.google.com/maps?q=10.8322506,79.84024048","Open Location")</f>
        <v>Open Location</v>
      </c>
    </row>
    <row r="4871" spans="1:40" x14ac:dyDescent="0.3">
      <c r="A4871" s="1">
        <v>46210.435532407406</v>
      </c>
      <c r="B4871" t="s">
        <v>40</v>
      </c>
      <c r="C4871" t="s">
        <v>41</v>
      </c>
      <c r="D4871" s="1">
        <v>46210.438425925924</v>
      </c>
      <c r="E4871" t="s">
        <v>42</v>
      </c>
      <c r="F4871" t="s">
        <v>43</v>
      </c>
      <c r="G4871" t="s">
        <v>43</v>
      </c>
      <c r="H4871" t="s">
        <v>43</v>
      </c>
      <c r="I4871" t="s">
        <v>43</v>
      </c>
      <c r="J4871" t="s">
        <v>43</v>
      </c>
      <c r="K4871" t="s">
        <v>43</v>
      </c>
      <c r="L4871" t="s">
        <v>43</v>
      </c>
      <c r="M4871" t="s">
        <v>43</v>
      </c>
      <c r="N4871" t="s">
        <v>45</v>
      </c>
      <c r="O4871" t="s">
        <v>43</v>
      </c>
      <c r="P4871" t="s">
        <v>43</v>
      </c>
      <c r="Q4871" t="s">
        <v>43</v>
      </c>
      <c r="R4871" t="s">
        <v>43</v>
      </c>
      <c r="S4871" t="s">
        <v>43</v>
      </c>
      <c r="T4871" t="s">
        <v>43</v>
      </c>
      <c r="U4871" t="s">
        <v>43</v>
      </c>
      <c r="V4871" t="s">
        <v>43</v>
      </c>
      <c r="W4871" t="s">
        <v>43</v>
      </c>
      <c r="X4871" t="s">
        <v>43</v>
      </c>
      <c r="Y4871" t="s">
        <v>43</v>
      </c>
      <c r="Z4871" t="s">
        <v>43</v>
      </c>
      <c r="AA4871" t="s">
        <v>43</v>
      </c>
      <c r="AB4871" t="s">
        <v>43</v>
      </c>
      <c r="AC4871" t="s">
        <v>43</v>
      </c>
      <c r="AD4871" t="s">
        <v>43</v>
      </c>
      <c r="AE4871" t="s">
        <v>43</v>
      </c>
      <c r="AF4871" t="s">
        <v>43</v>
      </c>
      <c r="AG4871" t="s">
        <v>43</v>
      </c>
      <c r="AH4871" t="s">
        <v>43</v>
      </c>
      <c r="AI4871" t="s">
        <v>43</v>
      </c>
      <c r="AJ4871" t="s">
        <v>43</v>
      </c>
      <c r="AK4871" t="s">
        <v>43</v>
      </c>
      <c r="AL4871" t="s">
        <v>43</v>
      </c>
      <c r="AM4871" t="s">
        <v>43</v>
      </c>
      <c r="AN4871" t="s">
        <v>43</v>
      </c>
    </row>
    <row r="4872" spans="1:40" x14ac:dyDescent="0.3">
      <c r="A4872" s="1">
        <v>46210.435416666667</v>
      </c>
      <c r="B4872" t="s">
        <v>40</v>
      </c>
      <c r="C4872" t="s">
        <v>41</v>
      </c>
      <c r="D4872" s="1">
        <v>46210.438113425924</v>
      </c>
      <c r="E4872" t="s">
        <v>42</v>
      </c>
      <c r="F4872" t="s">
        <v>43</v>
      </c>
      <c r="G4872" t="s">
        <v>43</v>
      </c>
      <c r="H4872" t="s">
        <v>43</v>
      </c>
      <c r="I4872" t="s">
        <v>2795</v>
      </c>
      <c r="J4872" t="s">
        <v>43</v>
      </c>
      <c r="K4872" t="s">
        <v>43</v>
      </c>
      <c r="L4872" t="s">
        <v>43</v>
      </c>
      <c r="M4872" t="s">
        <v>43</v>
      </c>
      <c r="N4872" t="s">
        <v>45</v>
      </c>
      <c r="O4872" t="s">
        <v>43</v>
      </c>
      <c r="P4872" t="s">
        <v>43</v>
      </c>
      <c r="Q4872" t="s">
        <v>43</v>
      </c>
      <c r="R4872" t="s">
        <v>43</v>
      </c>
      <c r="S4872" t="s">
        <v>43</v>
      </c>
      <c r="T4872" t="s">
        <v>43</v>
      </c>
      <c r="U4872" t="s">
        <v>43</v>
      </c>
      <c r="V4872" t="s">
        <v>43</v>
      </c>
      <c r="W4872" t="s">
        <v>43</v>
      </c>
      <c r="X4872" t="s">
        <v>43</v>
      </c>
      <c r="Y4872" t="s">
        <v>43</v>
      </c>
      <c r="Z4872" t="s">
        <v>43</v>
      </c>
      <c r="AA4872" t="s">
        <v>43</v>
      </c>
      <c r="AB4872" t="s">
        <v>43</v>
      </c>
      <c r="AC4872" t="s">
        <v>43</v>
      </c>
      <c r="AD4872" t="s">
        <v>43</v>
      </c>
      <c r="AE4872" t="s">
        <v>43</v>
      </c>
      <c r="AF4872" t="s">
        <v>43</v>
      </c>
      <c r="AG4872" t="s">
        <v>43</v>
      </c>
      <c r="AH4872" t="s">
        <v>43</v>
      </c>
      <c r="AI4872" t="s">
        <v>43</v>
      </c>
      <c r="AJ4872" t="s">
        <v>43</v>
      </c>
      <c r="AK4872" t="s">
        <v>43</v>
      </c>
      <c r="AL4872" t="s">
        <v>43</v>
      </c>
      <c r="AM4872" t="s">
        <v>43</v>
      </c>
      <c r="AN4872" t="str">
        <f>HYPERLINK("https://www.google.com/maps?q=10.83224773,79.84023285","Open Location")</f>
        <v>Open Location</v>
      </c>
    </row>
    <row r="4873" spans="1:40" x14ac:dyDescent="0.3">
      <c r="A4873" s="1">
        <v>46210.435300925928</v>
      </c>
      <c r="B4873" t="s">
        <v>40</v>
      </c>
      <c r="C4873" t="s">
        <v>41</v>
      </c>
      <c r="D4873" s="1">
        <v>46210.438356481478</v>
      </c>
      <c r="E4873" t="s">
        <v>42</v>
      </c>
      <c r="F4873" t="s">
        <v>43</v>
      </c>
      <c r="G4873" t="s">
        <v>43</v>
      </c>
      <c r="H4873" t="s">
        <v>43</v>
      </c>
      <c r="I4873" t="s">
        <v>2811</v>
      </c>
      <c r="J4873" t="s">
        <v>43</v>
      </c>
      <c r="K4873" t="s">
        <v>43</v>
      </c>
      <c r="L4873" t="s">
        <v>43</v>
      </c>
      <c r="M4873" t="s">
        <v>43</v>
      </c>
      <c r="N4873" t="s">
        <v>45</v>
      </c>
      <c r="O4873" t="s">
        <v>43</v>
      </c>
      <c r="P4873" t="s">
        <v>43</v>
      </c>
      <c r="Q4873" t="s">
        <v>43</v>
      </c>
      <c r="R4873" t="s">
        <v>43</v>
      </c>
      <c r="S4873" t="s">
        <v>43</v>
      </c>
      <c r="T4873" t="s">
        <v>43</v>
      </c>
      <c r="U4873" t="s">
        <v>43</v>
      </c>
      <c r="V4873" t="s">
        <v>43</v>
      </c>
      <c r="W4873" t="s">
        <v>43</v>
      </c>
      <c r="X4873" t="s">
        <v>43</v>
      </c>
      <c r="Y4873" t="s">
        <v>43</v>
      </c>
      <c r="Z4873" t="s">
        <v>43</v>
      </c>
      <c r="AA4873" t="s">
        <v>43</v>
      </c>
      <c r="AB4873" t="s">
        <v>43</v>
      </c>
      <c r="AC4873" t="s">
        <v>43</v>
      </c>
      <c r="AD4873" t="s">
        <v>43</v>
      </c>
      <c r="AE4873" t="s">
        <v>43</v>
      </c>
      <c r="AF4873" t="s">
        <v>43</v>
      </c>
      <c r="AG4873" t="s">
        <v>43</v>
      </c>
      <c r="AH4873" t="s">
        <v>43</v>
      </c>
      <c r="AI4873" t="s">
        <v>43</v>
      </c>
      <c r="AJ4873" t="s">
        <v>43</v>
      </c>
      <c r="AK4873" t="s">
        <v>43</v>
      </c>
      <c r="AL4873" t="s">
        <v>43</v>
      </c>
      <c r="AM4873" t="s">
        <v>43</v>
      </c>
      <c r="AN4873" t="str">
        <f>HYPERLINK("https://www.google.com/maps?q=10.83224678,79.84022522","Open Location")</f>
        <v>Open Location</v>
      </c>
    </row>
    <row r="4874" spans="1:40" x14ac:dyDescent="0.3">
      <c r="A4874" s="1">
        <v>46210.435185185182</v>
      </c>
      <c r="B4874" t="s">
        <v>40</v>
      </c>
      <c r="C4874" t="s">
        <v>41</v>
      </c>
      <c r="D4874" s="1">
        <v>46210.438113425924</v>
      </c>
      <c r="E4874" t="s">
        <v>42</v>
      </c>
      <c r="F4874" t="s">
        <v>43</v>
      </c>
      <c r="G4874" t="s">
        <v>43</v>
      </c>
      <c r="H4874" t="s">
        <v>43</v>
      </c>
      <c r="I4874" t="s">
        <v>2812</v>
      </c>
      <c r="J4874" t="s">
        <v>43</v>
      </c>
      <c r="K4874" t="s">
        <v>43</v>
      </c>
      <c r="L4874" t="s">
        <v>43</v>
      </c>
      <c r="M4874" t="s">
        <v>43</v>
      </c>
      <c r="N4874" t="s">
        <v>45</v>
      </c>
      <c r="O4874" t="s">
        <v>43</v>
      </c>
      <c r="P4874" t="s">
        <v>43</v>
      </c>
      <c r="Q4874" t="s">
        <v>43</v>
      </c>
      <c r="R4874" t="s">
        <v>43</v>
      </c>
      <c r="S4874" t="s">
        <v>43</v>
      </c>
      <c r="T4874" t="s">
        <v>43</v>
      </c>
      <c r="U4874" t="s">
        <v>43</v>
      </c>
      <c r="V4874" t="s">
        <v>43</v>
      </c>
      <c r="W4874" t="s">
        <v>43</v>
      </c>
      <c r="X4874" t="s">
        <v>43</v>
      </c>
      <c r="Y4874" t="s">
        <v>43</v>
      </c>
      <c r="Z4874" t="s">
        <v>43</v>
      </c>
      <c r="AA4874" t="s">
        <v>43</v>
      </c>
      <c r="AB4874" t="s">
        <v>43</v>
      </c>
      <c r="AC4874" t="s">
        <v>43</v>
      </c>
      <c r="AD4874" t="s">
        <v>43</v>
      </c>
      <c r="AE4874" t="s">
        <v>43</v>
      </c>
      <c r="AF4874" t="s">
        <v>43</v>
      </c>
      <c r="AG4874" t="s">
        <v>43</v>
      </c>
      <c r="AH4874" t="s">
        <v>43</v>
      </c>
      <c r="AI4874" t="s">
        <v>43</v>
      </c>
      <c r="AJ4874" t="s">
        <v>43</v>
      </c>
      <c r="AK4874" t="s">
        <v>43</v>
      </c>
      <c r="AL4874" t="s">
        <v>43</v>
      </c>
      <c r="AM4874" t="s">
        <v>43</v>
      </c>
      <c r="AN4874" t="str">
        <f>HYPERLINK("https://www.google.com/maps?q=10.83224487,79.84022522","Open Location")</f>
        <v>Open Location</v>
      </c>
    </row>
    <row r="4875" spans="1:40" x14ac:dyDescent="0.3">
      <c r="A4875" s="1">
        <v>46210.435069444444</v>
      </c>
      <c r="B4875" t="s">
        <v>40</v>
      </c>
      <c r="C4875" t="s">
        <v>41</v>
      </c>
      <c r="D4875" s="1">
        <v>46210.438113425924</v>
      </c>
      <c r="E4875" t="s">
        <v>42</v>
      </c>
      <c r="F4875" t="s">
        <v>43</v>
      </c>
      <c r="G4875" t="s">
        <v>43</v>
      </c>
      <c r="H4875" t="s">
        <v>43</v>
      </c>
      <c r="I4875" t="s">
        <v>2813</v>
      </c>
      <c r="J4875" t="s">
        <v>43</v>
      </c>
      <c r="K4875" t="s">
        <v>43</v>
      </c>
      <c r="L4875" t="s">
        <v>43</v>
      </c>
      <c r="M4875" t="s">
        <v>43</v>
      </c>
      <c r="N4875" t="s">
        <v>45</v>
      </c>
      <c r="O4875" t="s">
        <v>43</v>
      </c>
      <c r="P4875" t="s">
        <v>43</v>
      </c>
      <c r="Q4875" t="s">
        <v>43</v>
      </c>
      <c r="R4875" t="s">
        <v>43</v>
      </c>
      <c r="S4875" t="s">
        <v>43</v>
      </c>
      <c r="T4875" t="s">
        <v>43</v>
      </c>
      <c r="U4875" t="s">
        <v>43</v>
      </c>
      <c r="V4875" t="s">
        <v>43</v>
      </c>
      <c r="W4875" t="s">
        <v>43</v>
      </c>
      <c r="X4875" t="s">
        <v>43</v>
      </c>
      <c r="Y4875" t="s">
        <v>43</v>
      </c>
      <c r="Z4875" t="s">
        <v>43</v>
      </c>
      <c r="AA4875" t="s">
        <v>43</v>
      </c>
      <c r="AB4875" t="s">
        <v>43</v>
      </c>
      <c r="AC4875" t="s">
        <v>43</v>
      </c>
      <c r="AD4875" t="s">
        <v>43</v>
      </c>
      <c r="AE4875" t="s">
        <v>43</v>
      </c>
      <c r="AF4875" t="s">
        <v>43</v>
      </c>
      <c r="AG4875" t="s">
        <v>43</v>
      </c>
      <c r="AH4875" t="s">
        <v>43</v>
      </c>
      <c r="AI4875" t="s">
        <v>43</v>
      </c>
      <c r="AJ4875" t="s">
        <v>43</v>
      </c>
      <c r="AK4875" t="s">
        <v>43</v>
      </c>
      <c r="AL4875" t="s">
        <v>43</v>
      </c>
      <c r="AM4875" t="s">
        <v>43</v>
      </c>
      <c r="AN4875" t="str">
        <f>HYPERLINK("https://www.google.com/maps?q=10.83224297,79.84022522","Open Location")</f>
        <v>Open Location</v>
      </c>
    </row>
    <row r="4876" spans="1:40" x14ac:dyDescent="0.3">
      <c r="A4876" s="1">
        <v>46210.434953703705</v>
      </c>
      <c r="B4876" t="s">
        <v>40</v>
      </c>
      <c r="C4876" t="s">
        <v>41</v>
      </c>
      <c r="D4876" s="1">
        <v>46210.438020833331</v>
      </c>
      <c r="E4876" t="s">
        <v>42</v>
      </c>
      <c r="F4876" t="s">
        <v>43</v>
      </c>
      <c r="G4876" t="s">
        <v>43</v>
      </c>
      <c r="H4876" t="s">
        <v>43</v>
      </c>
      <c r="I4876" t="s">
        <v>2740</v>
      </c>
      <c r="J4876" t="s">
        <v>43</v>
      </c>
      <c r="K4876" t="s">
        <v>43</v>
      </c>
      <c r="L4876" t="s">
        <v>43</v>
      </c>
      <c r="M4876" t="s">
        <v>43</v>
      </c>
      <c r="N4876" t="s">
        <v>45</v>
      </c>
      <c r="O4876" t="s">
        <v>43</v>
      </c>
      <c r="P4876" t="s">
        <v>43</v>
      </c>
      <c r="Q4876" t="s">
        <v>43</v>
      </c>
      <c r="R4876" t="s">
        <v>43</v>
      </c>
      <c r="S4876" t="s">
        <v>43</v>
      </c>
      <c r="T4876" t="s">
        <v>43</v>
      </c>
      <c r="U4876" t="s">
        <v>43</v>
      </c>
      <c r="V4876" t="s">
        <v>43</v>
      </c>
      <c r="W4876" t="s">
        <v>43</v>
      </c>
      <c r="X4876" t="s">
        <v>43</v>
      </c>
      <c r="Y4876" t="s">
        <v>43</v>
      </c>
      <c r="Z4876" t="s">
        <v>43</v>
      </c>
      <c r="AA4876" t="s">
        <v>43</v>
      </c>
      <c r="AB4876" t="s">
        <v>43</v>
      </c>
      <c r="AC4876" t="s">
        <v>43</v>
      </c>
      <c r="AD4876" t="s">
        <v>43</v>
      </c>
      <c r="AE4876" t="s">
        <v>43</v>
      </c>
      <c r="AF4876" t="s">
        <v>43</v>
      </c>
      <c r="AG4876" t="s">
        <v>43</v>
      </c>
      <c r="AH4876" t="s">
        <v>43</v>
      </c>
      <c r="AI4876" t="s">
        <v>43</v>
      </c>
      <c r="AJ4876" t="s">
        <v>43</v>
      </c>
      <c r="AK4876" t="s">
        <v>43</v>
      </c>
      <c r="AL4876" t="s">
        <v>43</v>
      </c>
      <c r="AM4876" t="s">
        <v>43</v>
      </c>
      <c r="AN4876" t="str">
        <f>HYPERLINK("https://www.google.com/maps?q=10.83224201,79.84023285","Open Location")</f>
        <v>Open Location</v>
      </c>
    </row>
    <row r="4877" spans="1:40" x14ac:dyDescent="0.3">
      <c r="A4877" s="1">
        <v>46210.434837962966</v>
      </c>
      <c r="B4877" t="s">
        <v>40</v>
      </c>
      <c r="C4877" t="s">
        <v>41</v>
      </c>
      <c r="D4877" s="1">
        <v>46210.437916666669</v>
      </c>
      <c r="E4877" t="s">
        <v>42</v>
      </c>
      <c r="F4877" t="s">
        <v>43</v>
      </c>
      <c r="G4877" t="s">
        <v>43</v>
      </c>
      <c r="H4877" t="s">
        <v>43</v>
      </c>
      <c r="I4877" t="s">
        <v>43</v>
      </c>
      <c r="J4877" t="s">
        <v>43</v>
      </c>
      <c r="K4877" t="s">
        <v>43</v>
      </c>
      <c r="L4877" t="s">
        <v>43</v>
      </c>
      <c r="M4877" t="s">
        <v>43</v>
      </c>
      <c r="N4877" t="s">
        <v>45</v>
      </c>
      <c r="O4877" t="s">
        <v>43</v>
      </c>
      <c r="P4877" t="s">
        <v>43</v>
      </c>
      <c r="Q4877" t="s">
        <v>43</v>
      </c>
      <c r="R4877" t="s">
        <v>43</v>
      </c>
      <c r="S4877" t="s">
        <v>43</v>
      </c>
      <c r="T4877" t="s">
        <v>43</v>
      </c>
      <c r="U4877" t="s">
        <v>43</v>
      </c>
      <c r="V4877" t="s">
        <v>43</v>
      </c>
      <c r="W4877" t="s">
        <v>43</v>
      </c>
      <c r="X4877" t="s">
        <v>43</v>
      </c>
      <c r="Y4877" t="s">
        <v>43</v>
      </c>
      <c r="Z4877" t="s">
        <v>43</v>
      </c>
      <c r="AA4877" t="s">
        <v>43</v>
      </c>
      <c r="AB4877" t="s">
        <v>43</v>
      </c>
      <c r="AC4877" t="s">
        <v>43</v>
      </c>
      <c r="AD4877" t="s">
        <v>43</v>
      </c>
      <c r="AE4877" t="s">
        <v>43</v>
      </c>
      <c r="AF4877" t="s">
        <v>43</v>
      </c>
      <c r="AG4877" t="s">
        <v>43</v>
      </c>
      <c r="AH4877" t="s">
        <v>43</v>
      </c>
      <c r="AI4877" t="s">
        <v>43</v>
      </c>
      <c r="AJ4877" t="s">
        <v>43</v>
      </c>
      <c r="AK4877" t="s">
        <v>43</v>
      </c>
      <c r="AL4877" t="s">
        <v>43</v>
      </c>
      <c r="AM4877" t="s">
        <v>43</v>
      </c>
      <c r="AN4877" t="s">
        <v>43</v>
      </c>
    </row>
    <row r="4878" spans="1:40" x14ac:dyDescent="0.3">
      <c r="A4878" s="1">
        <v>46210.43472222222</v>
      </c>
      <c r="B4878" t="s">
        <v>40</v>
      </c>
      <c r="C4878" t="s">
        <v>41</v>
      </c>
      <c r="D4878" s="1">
        <v>46210.437361111108</v>
      </c>
      <c r="E4878" t="s">
        <v>42</v>
      </c>
      <c r="F4878" t="s">
        <v>43</v>
      </c>
      <c r="G4878" t="s">
        <v>43</v>
      </c>
      <c r="H4878" t="s">
        <v>43</v>
      </c>
      <c r="I4878" t="s">
        <v>2814</v>
      </c>
      <c r="J4878" t="s">
        <v>43</v>
      </c>
      <c r="K4878" t="s">
        <v>43</v>
      </c>
      <c r="L4878" t="s">
        <v>43</v>
      </c>
      <c r="M4878" t="s">
        <v>43</v>
      </c>
      <c r="N4878" t="s">
        <v>45</v>
      </c>
      <c r="O4878" t="s">
        <v>43</v>
      </c>
      <c r="P4878" t="s">
        <v>43</v>
      </c>
      <c r="Q4878" t="s">
        <v>43</v>
      </c>
      <c r="R4878" t="s">
        <v>43</v>
      </c>
      <c r="S4878" t="s">
        <v>43</v>
      </c>
      <c r="T4878" t="s">
        <v>43</v>
      </c>
      <c r="U4878" t="s">
        <v>43</v>
      </c>
      <c r="V4878" t="s">
        <v>43</v>
      </c>
      <c r="W4878" t="s">
        <v>43</v>
      </c>
      <c r="X4878" t="s">
        <v>43</v>
      </c>
      <c r="Y4878" t="s">
        <v>43</v>
      </c>
      <c r="Z4878" t="s">
        <v>43</v>
      </c>
      <c r="AA4878" t="s">
        <v>43</v>
      </c>
      <c r="AB4878" t="s">
        <v>43</v>
      </c>
      <c r="AC4878" t="s">
        <v>43</v>
      </c>
      <c r="AD4878" t="s">
        <v>43</v>
      </c>
      <c r="AE4878" t="s">
        <v>43</v>
      </c>
      <c r="AF4878" t="s">
        <v>43</v>
      </c>
      <c r="AG4878" t="s">
        <v>43</v>
      </c>
      <c r="AH4878" t="s">
        <v>43</v>
      </c>
      <c r="AI4878" t="s">
        <v>43</v>
      </c>
      <c r="AJ4878" t="s">
        <v>43</v>
      </c>
      <c r="AK4878" t="s">
        <v>43</v>
      </c>
      <c r="AL4878" t="s">
        <v>43</v>
      </c>
      <c r="AM4878" t="s">
        <v>43</v>
      </c>
      <c r="AN4878" t="str">
        <f>HYPERLINK("https://www.google.com/maps?q=10.83224392,79.84022522","Open Location")</f>
        <v>Open Location</v>
      </c>
    </row>
    <row r="4879" spans="1:40" x14ac:dyDescent="0.3">
      <c r="A4879" s="1">
        <v>46210.434606481482</v>
      </c>
      <c r="B4879" t="s">
        <v>40</v>
      </c>
      <c r="C4879" t="s">
        <v>41</v>
      </c>
      <c r="D4879" s="1">
        <v>46210.437361111108</v>
      </c>
      <c r="E4879" t="s">
        <v>42</v>
      </c>
      <c r="F4879" t="s">
        <v>43</v>
      </c>
      <c r="G4879" t="s">
        <v>43</v>
      </c>
      <c r="H4879" t="s">
        <v>43</v>
      </c>
      <c r="I4879" t="s">
        <v>2814</v>
      </c>
      <c r="J4879" t="s">
        <v>43</v>
      </c>
      <c r="K4879" t="s">
        <v>43</v>
      </c>
      <c r="L4879" t="s">
        <v>43</v>
      </c>
      <c r="M4879" t="s">
        <v>43</v>
      </c>
      <c r="N4879" t="s">
        <v>45</v>
      </c>
      <c r="O4879" t="s">
        <v>43</v>
      </c>
      <c r="P4879" t="s">
        <v>43</v>
      </c>
      <c r="Q4879" t="s">
        <v>43</v>
      </c>
      <c r="R4879" t="s">
        <v>43</v>
      </c>
      <c r="S4879" t="s">
        <v>43</v>
      </c>
      <c r="T4879" t="s">
        <v>43</v>
      </c>
      <c r="U4879" t="s">
        <v>43</v>
      </c>
      <c r="V4879" t="s">
        <v>43</v>
      </c>
      <c r="W4879" t="s">
        <v>43</v>
      </c>
      <c r="X4879" t="s">
        <v>43</v>
      </c>
      <c r="Y4879" t="s">
        <v>43</v>
      </c>
      <c r="Z4879" t="s">
        <v>43</v>
      </c>
      <c r="AA4879" t="s">
        <v>43</v>
      </c>
      <c r="AB4879" t="s">
        <v>43</v>
      </c>
      <c r="AC4879" t="s">
        <v>43</v>
      </c>
      <c r="AD4879" t="s">
        <v>43</v>
      </c>
      <c r="AE4879" t="s">
        <v>43</v>
      </c>
      <c r="AF4879" t="s">
        <v>43</v>
      </c>
      <c r="AG4879" t="s">
        <v>43</v>
      </c>
      <c r="AH4879" t="s">
        <v>43</v>
      </c>
      <c r="AI4879" t="s">
        <v>43</v>
      </c>
      <c r="AJ4879" t="s">
        <v>43</v>
      </c>
      <c r="AK4879" t="s">
        <v>43</v>
      </c>
      <c r="AL4879" t="s">
        <v>43</v>
      </c>
      <c r="AM4879" t="s">
        <v>43</v>
      </c>
      <c r="AN4879" t="str">
        <f>HYPERLINK("https://www.google.com/maps?q=10.83224392,79.84022522","Open Location")</f>
        <v>Open Location</v>
      </c>
    </row>
    <row r="4880" spans="1:40" x14ac:dyDescent="0.3">
      <c r="A4880" s="1">
        <v>46210.434490740743</v>
      </c>
      <c r="B4880" t="s">
        <v>40</v>
      </c>
      <c r="C4880" t="s">
        <v>41</v>
      </c>
      <c r="D4880" s="1">
        <v>46210.437569444446</v>
      </c>
      <c r="E4880" t="s">
        <v>42</v>
      </c>
      <c r="F4880" t="s">
        <v>43</v>
      </c>
      <c r="G4880" t="s">
        <v>43</v>
      </c>
      <c r="H4880" t="s">
        <v>43</v>
      </c>
      <c r="I4880" t="s">
        <v>2785</v>
      </c>
      <c r="J4880" t="s">
        <v>43</v>
      </c>
      <c r="K4880" t="s">
        <v>43</v>
      </c>
      <c r="L4880" t="s">
        <v>43</v>
      </c>
      <c r="M4880" t="s">
        <v>43</v>
      </c>
      <c r="N4880" t="s">
        <v>45</v>
      </c>
      <c r="O4880" t="s">
        <v>43</v>
      </c>
      <c r="P4880" t="s">
        <v>43</v>
      </c>
      <c r="Q4880" t="s">
        <v>43</v>
      </c>
      <c r="R4880" t="s">
        <v>43</v>
      </c>
      <c r="S4880" t="s">
        <v>43</v>
      </c>
      <c r="T4880" t="s">
        <v>43</v>
      </c>
      <c r="U4880" t="s">
        <v>43</v>
      </c>
      <c r="V4880" t="s">
        <v>43</v>
      </c>
      <c r="W4880" t="s">
        <v>43</v>
      </c>
      <c r="X4880" t="s">
        <v>43</v>
      </c>
      <c r="Y4880" t="s">
        <v>43</v>
      </c>
      <c r="Z4880" t="s">
        <v>43</v>
      </c>
      <c r="AA4880" t="s">
        <v>43</v>
      </c>
      <c r="AB4880" t="s">
        <v>43</v>
      </c>
      <c r="AC4880" t="s">
        <v>43</v>
      </c>
      <c r="AD4880" t="s">
        <v>43</v>
      </c>
      <c r="AE4880" t="s">
        <v>43</v>
      </c>
      <c r="AF4880" t="s">
        <v>43</v>
      </c>
      <c r="AG4880" t="s">
        <v>43</v>
      </c>
      <c r="AH4880" t="s">
        <v>43</v>
      </c>
      <c r="AI4880" t="s">
        <v>43</v>
      </c>
      <c r="AJ4880" t="s">
        <v>43</v>
      </c>
      <c r="AK4880" t="s">
        <v>43</v>
      </c>
      <c r="AL4880" t="s">
        <v>43</v>
      </c>
      <c r="AM4880" t="s">
        <v>43</v>
      </c>
      <c r="AN4880" t="str">
        <f>HYPERLINK("https://www.google.com/maps?q=10.83224964,79.84022522","Open Location")</f>
        <v>Open Location</v>
      </c>
    </row>
    <row r="4881" spans="1:40" x14ac:dyDescent="0.3">
      <c r="A4881" s="1">
        <v>46210.434374999997</v>
      </c>
      <c r="B4881" t="s">
        <v>40</v>
      </c>
      <c r="C4881" t="s">
        <v>41</v>
      </c>
      <c r="D4881" s="1">
        <v>46210.437361111108</v>
      </c>
      <c r="E4881" t="s">
        <v>42</v>
      </c>
      <c r="F4881" t="s">
        <v>43</v>
      </c>
      <c r="G4881" t="s">
        <v>43</v>
      </c>
      <c r="H4881" t="s">
        <v>43</v>
      </c>
      <c r="I4881" t="s">
        <v>2676</v>
      </c>
      <c r="J4881" t="s">
        <v>43</v>
      </c>
      <c r="K4881" t="s">
        <v>43</v>
      </c>
      <c r="L4881" t="s">
        <v>43</v>
      </c>
      <c r="M4881" t="s">
        <v>43</v>
      </c>
      <c r="N4881" t="s">
        <v>45</v>
      </c>
      <c r="O4881" t="s">
        <v>43</v>
      </c>
      <c r="P4881" t="s">
        <v>43</v>
      </c>
      <c r="Q4881" t="s">
        <v>43</v>
      </c>
      <c r="R4881" t="s">
        <v>43</v>
      </c>
      <c r="S4881" t="s">
        <v>43</v>
      </c>
      <c r="T4881" t="s">
        <v>43</v>
      </c>
      <c r="U4881" t="s">
        <v>43</v>
      </c>
      <c r="V4881" t="s">
        <v>43</v>
      </c>
      <c r="W4881" t="s">
        <v>43</v>
      </c>
      <c r="X4881" t="s">
        <v>43</v>
      </c>
      <c r="Y4881" t="s">
        <v>43</v>
      </c>
      <c r="Z4881" t="s">
        <v>43</v>
      </c>
      <c r="AA4881" t="s">
        <v>43</v>
      </c>
      <c r="AB4881" t="s">
        <v>43</v>
      </c>
      <c r="AC4881" t="s">
        <v>43</v>
      </c>
      <c r="AD4881" t="s">
        <v>43</v>
      </c>
      <c r="AE4881" t="s">
        <v>43</v>
      </c>
      <c r="AF4881" t="s">
        <v>43</v>
      </c>
      <c r="AG4881" t="s">
        <v>43</v>
      </c>
      <c r="AH4881" t="s">
        <v>43</v>
      </c>
      <c r="AI4881" t="s">
        <v>43</v>
      </c>
      <c r="AJ4881" t="s">
        <v>43</v>
      </c>
      <c r="AK4881" t="s">
        <v>43</v>
      </c>
      <c r="AL4881" t="s">
        <v>43</v>
      </c>
      <c r="AM4881" t="s">
        <v>43</v>
      </c>
      <c r="AN4881" t="str">
        <f>HYPERLINK("https://www.google.com/maps?q=10.8322506,79.84022522","Open Location")</f>
        <v>Open Location</v>
      </c>
    </row>
    <row r="4882" spans="1:40" x14ac:dyDescent="0.3">
      <c r="A4882" s="1">
        <v>46210.434259259258</v>
      </c>
      <c r="B4882" t="s">
        <v>40</v>
      </c>
      <c r="C4882" t="s">
        <v>41</v>
      </c>
      <c r="D4882" s="1">
        <v>46210.437002314815</v>
      </c>
      <c r="E4882" t="s">
        <v>42</v>
      </c>
      <c r="F4882" t="s">
        <v>43</v>
      </c>
      <c r="G4882" t="s">
        <v>43</v>
      </c>
      <c r="H4882" t="s">
        <v>43</v>
      </c>
      <c r="I4882" t="s">
        <v>2788</v>
      </c>
      <c r="J4882" t="s">
        <v>43</v>
      </c>
      <c r="K4882" t="s">
        <v>43</v>
      </c>
      <c r="L4882" t="s">
        <v>43</v>
      </c>
      <c r="M4882" t="s">
        <v>43</v>
      </c>
      <c r="N4882" t="s">
        <v>45</v>
      </c>
      <c r="O4882" t="s">
        <v>43</v>
      </c>
      <c r="P4882" t="s">
        <v>43</v>
      </c>
      <c r="Q4882" t="s">
        <v>43</v>
      </c>
      <c r="R4882" t="s">
        <v>43</v>
      </c>
      <c r="S4882" t="s">
        <v>43</v>
      </c>
      <c r="T4882" t="s">
        <v>43</v>
      </c>
      <c r="U4882" t="s">
        <v>43</v>
      </c>
      <c r="V4882" t="s">
        <v>43</v>
      </c>
      <c r="W4882" t="s">
        <v>43</v>
      </c>
      <c r="X4882" t="s">
        <v>43</v>
      </c>
      <c r="Y4882" t="s">
        <v>43</v>
      </c>
      <c r="Z4882" t="s">
        <v>43</v>
      </c>
      <c r="AA4882" t="s">
        <v>43</v>
      </c>
      <c r="AB4882" t="s">
        <v>43</v>
      </c>
      <c r="AC4882" t="s">
        <v>43</v>
      </c>
      <c r="AD4882" t="s">
        <v>43</v>
      </c>
      <c r="AE4882" t="s">
        <v>43</v>
      </c>
      <c r="AF4882" t="s">
        <v>43</v>
      </c>
      <c r="AG4882" t="s">
        <v>43</v>
      </c>
      <c r="AH4882" t="s">
        <v>43</v>
      </c>
      <c r="AI4882" t="s">
        <v>43</v>
      </c>
      <c r="AJ4882" t="s">
        <v>43</v>
      </c>
      <c r="AK4882" t="s">
        <v>43</v>
      </c>
      <c r="AL4882" t="s">
        <v>43</v>
      </c>
      <c r="AM4882" t="s">
        <v>43</v>
      </c>
      <c r="AN4882" t="str">
        <f>HYPERLINK("https://www.google.com/maps?q=10.83225155,79.84023285","Open Location")</f>
        <v>Open Location</v>
      </c>
    </row>
    <row r="4883" spans="1:40" x14ac:dyDescent="0.3">
      <c r="A4883" s="1">
        <v>46210.43414351852</v>
      </c>
      <c r="B4883" t="s">
        <v>40</v>
      </c>
      <c r="C4883" t="s">
        <v>41</v>
      </c>
      <c r="D4883" s="1">
        <v>46210.437118055554</v>
      </c>
      <c r="E4883" t="s">
        <v>42</v>
      </c>
      <c r="F4883" t="s">
        <v>43</v>
      </c>
      <c r="G4883" t="s">
        <v>43</v>
      </c>
      <c r="H4883" t="s">
        <v>43</v>
      </c>
      <c r="I4883" t="s">
        <v>43</v>
      </c>
      <c r="J4883" t="s">
        <v>43</v>
      </c>
      <c r="K4883" t="s">
        <v>43</v>
      </c>
      <c r="L4883" t="s">
        <v>43</v>
      </c>
      <c r="M4883" t="s">
        <v>43</v>
      </c>
      <c r="N4883" t="s">
        <v>45</v>
      </c>
      <c r="O4883" t="s">
        <v>43</v>
      </c>
      <c r="P4883" t="s">
        <v>43</v>
      </c>
      <c r="Q4883" t="s">
        <v>43</v>
      </c>
      <c r="R4883" t="s">
        <v>43</v>
      </c>
      <c r="S4883" t="s">
        <v>43</v>
      </c>
      <c r="T4883" t="s">
        <v>43</v>
      </c>
      <c r="U4883" t="s">
        <v>43</v>
      </c>
      <c r="V4883" t="s">
        <v>43</v>
      </c>
      <c r="W4883" t="s">
        <v>43</v>
      </c>
      <c r="X4883" t="s">
        <v>43</v>
      </c>
      <c r="Y4883" t="s">
        <v>43</v>
      </c>
      <c r="Z4883" t="s">
        <v>43</v>
      </c>
      <c r="AA4883" t="s">
        <v>43</v>
      </c>
      <c r="AB4883" t="s">
        <v>43</v>
      </c>
      <c r="AC4883" t="s">
        <v>43</v>
      </c>
      <c r="AD4883" t="s">
        <v>43</v>
      </c>
      <c r="AE4883" t="s">
        <v>43</v>
      </c>
      <c r="AF4883" t="s">
        <v>43</v>
      </c>
      <c r="AG4883" t="s">
        <v>43</v>
      </c>
      <c r="AH4883" t="s">
        <v>43</v>
      </c>
      <c r="AI4883" t="s">
        <v>43</v>
      </c>
      <c r="AJ4883" t="s">
        <v>43</v>
      </c>
      <c r="AK4883" t="s">
        <v>43</v>
      </c>
      <c r="AL4883" t="s">
        <v>43</v>
      </c>
      <c r="AM4883" t="s">
        <v>43</v>
      </c>
      <c r="AN4883" t="s">
        <v>43</v>
      </c>
    </row>
    <row r="4884" spans="1:40" x14ac:dyDescent="0.3">
      <c r="A4884" s="1">
        <v>46210.434027777781</v>
      </c>
      <c r="B4884" t="s">
        <v>40</v>
      </c>
      <c r="C4884" t="s">
        <v>41</v>
      </c>
      <c r="D4884" s="1">
        <v>46210.436678240738</v>
      </c>
      <c r="E4884" t="s">
        <v>42</v>
      </c>
      <c r="F4884" t="s">
        <v>43</v>
      </c>
      <c r="G4884" t="s">
        <v>43</v>
      </c>
      <c r="H4884" t="s">
        <v>43</v>
      </c>
      <c r="I4884" t="s">
        <v>2815</v>
      </c>
      <c r="J4884" t="s">
        <v>43</v>
      </c>
      <c r="K4884" t="s">
        <v>43</v>
      </c>
      <c r="L4884" t="s">
        <v>43</v>
      </c>
      <c r="M4884" t="s">
        <v>43</v>
      </c>
      <c r="N4884" t="s">
        <v>45</v>
      </c>
      <c r="O4884" t="s">
        <v>43</v>
      </c>
      <c r="P4884" t="s">
        <v>43</v>
      </c>
      <c r="Q4884" t="s">
        <v>43</v>
      </c>
      <c r="R4884" t="s">
        <v>43</v>
      </c>
      <c r="S4884" t="s">
        <v>43</v>
      </c>
      <c r="T4884" t="s">
        <v>43</v>
      </c>
      <c r="U4884" t="s">
        <v>43</v>
      </c>
      <c r="V4884" t="s">
        <v>43</v>
      </c>
      <c r="W4884" t="s">
        <v>43</v>
      </c>
      <c r="X4884" t="s">
        <v>43</v>
      </c>
      <c r="Y4884" t="s">
        <v>43</v>
      </c>
      <c r="Z4884" t="s">
        <v>43</v>
      </c>
      <c r="AA4884" t="s">
        <v>43</v>
      </c>
      <c r="AB4884" t="s">
        <v>43</v>
      </c>
      <c r="AC4884" t="s">
        <v>43</v>
      </c>
      <c r="AD4884" t="s">
        <v>43</v>
      </c>
      <c r="AE4884" t="s">
        <v>43</v>
      </c>
      <c r="AF4884" t="s">
        <v>43</v>
      </c>
      <c r="AG4884" t="s">
        <v>43</v>
      </c>
      <c r="AH4884" t="s">
        <v>43</v>
      </c>
      <c r="AI4884" t="s">
        <v>43</v>
      </c>
      <c r="AJ4884" t="s">
        <v>43</v>
      </c>
      <c r="AK4884" t="s">
        <v>43</v>
      </c>
      <c r="AL4884" t="s">
        <v>43</v>
      </c>
      <c r="AM4884" t="s">
        <v>43</v>
      </c>
      <c r="AN4884" t="str">
        <f>HYPERLINK("https://www.google.com/maps?q=10.83224964,79.84023285","Open Location")</f>
        <v>Open Location</v>
      </c>
    </row>
    <row r="4885" spans="1:40" x14ac:dyDescent="0.3">
      <c r="A4885" s="1">
        <v>46210.433912037035</v>
      </c>
      <c r="B4885" t="s">
        <v>40</v>
      </c>
      <c r="C4885" t="s">
        <v>41</v>
      </c>
      <c r="D4885" s="1">
        <v>46210.437002314815</v>
      </c>
      <c r="E4885" t="s">
        <v>42</v>
      </c>
      <c r="F4885" t="s">
        <v>43</v>
      </c>
      <c r="G4885" t="s">
        <v>43</v>
      </c>
      <c r="H4885" t="s">
        <v>43</v>
      </c>
      <c r="I4885" t="s">
        <v>2816</v>
      </c>
      <c r="J4885" t="s">
        <v>43</v>
      </c>
      <c r="K4885" t="s">
        <v>43</v>
      </c>
      <c r="L4885" t="s">
        <v>43</v>
      </c>
      <c r="M4885" t="s">
        <v>43</v>
      </c>
      <c r="N4885" t="s">
        <v>45</v>
      </c>
      <c r="O4885" t="s">
        <v>43</v>
      </c>
      <c r="P4885" t="s">
        <v>43</v>
      </c>
      <c r="Q4885" t="s">
        <v>43</v>
      </c>
      <c r="R4885" t="s">
        <v>43</v>
      </c>
      <c r="S4885" t="s">
        <v>43</v>
      </c>
      <c r="T4885" t="s">
        <v>43</v>
      </c>
      <c r="U4885" t="s">
        <v>43</v>
      </c>
      <c r="V4885" t="s">
        <v>43</v>
      </c>
      <c r="W4885" t="s">
        <v>43</v>
      </c>
      <c r="X4885" t="s">
        <v>43</v>
      </c>
      <c r="Y4885" t="s">
        <v>43</v>
      </c>
      <c r="Z4885" t="s">
        <v>43</v>
      </c>
      <c r="AA4885" t="s">
        <v>43</v>
      </c>
      <c r="AB4885" t="s">
        <v>43</v>
      </c>
      <c r="AC4885" t="s">
        <v>43</v>
      </c>
      <c r="AD4885" t="s">
        <v>43</v>
      </c>
      <c r="AE4885" t="s">
        <v>43</v>
      </c>
      <c r="AF4885" t="s">
        <v>43</v>
      </c>
      <c r="AG4885" t="s">
        <v>43</v>
      </c>
      <c r="AH4885" t="s">
        <v>43</v>
      </c>
      <c r="AI4885" t="s">
        <v>43</v>
      </c>
      <c r="AJ4885" t="s">
        <v>43</v>
      </c>
      <c r="AK4885" t="s">
        <v>43</v>
      </c>
      <c r="AL4885" t="s">
        <v>43</v>
      </c>
      <c r="AM4885" t="s">
        <v>43</v>
      </c>
      <c r="AN4885" t="str">
        <f>HYPERLINK("https://www.google.com/maps?q=10.8322506,79.84023285","Open Location")</f>
        <v>Open Location</v>
      </c>
    </row>
    <row r="4886" spans="1:40" x14ac:dyDescent="0.3">
      <c r="A4886" s="1">
        <v>46210.433796296296</v>
      </c>
      <c r="B4886" t="s">
        <v>40</v>
      </c>
      <c r="C4886" t="s">
        <v>41</v>
      </c>
      <c r="D4886" s="1">
        <v>46210.436678240738</v>
      </c>
      <c r="E4886" t="s">
        <v>42</v>
      </c>
      <c r="F4886" t="s">
        <v>43</v>
      </c>
      <c r="G4886" t="s">
        <v>43</v>
      </c>
      <c r="H4886" t="s">
        <v>43</v>
      </c>
      <c r="I4886" t="s">
        <v>2788</v>
      </c>
      <c r="J4886" t="s">
        <v>43</v>
      </c>
      <c r="K4886" t="s">
        <v>43</v>
      </c>
      <c r="L4886" t="s">
        <v>43</v>
      </c>
      <c r="M4886" t="s">
        <v>43</v>
      </c>
      <c r="N4886" t="s">
        <v>45</v>
      </c>
      <c r="O4886" t="s">
        <v>43</v>
      </c>
      <c r="P4886" t="s">
        <v>43</v>
      </c>
      <c r="Q4886" t="s">
        <v>43</v>
      </c>
      <c r="R4886" t="s">
        <v>43</v>
      </c>
      <c r="S4886" t="s">
        <v>43</v>
      </c>
      <c r="T4886" t="s">
        <v>43</v>
      </c>
      <c r="U4886" t="s">
        <v>43</v>
      </c>
      <c r="V4886" t="s">
        <v>43</v>
      </c>
      <c r="W4886" t="s">
        <v>43</v>
      </c>
      <c r="X4886" t="s">
        <v>43</v>
      </c>
      <c r="Y4886" t="s">
        <v>43</v>
      </c>
      <c r="Z4886" t="s">
        <v>43</v>
      </c>
      <c r="AA4886" t="s">
        <v>43</v>
      </c>
      <c r="AB4886" t="s">
        <v>43</v>
      </c>
      <c r="AC4886" t="s">
        <v>43</v>
      </c>
      <c r="AD4886" t="s">
        <v>43</v>
      </c>
      <c r="AE4886" t="s">
        <v>43</v>
      </c>
      <c r="AF4886" t="s">
        <v>43</v>
      </c>
      <c r="AG4886" t="s">
        <v>43</v>
      </c>
      <c r="AH4886" t="s">
        <v>43</v>
      </c>
      <c r="AI4886" t="s">
        <v>43</v>
      </c>
      <c r="AJ4886" t="s">
        <v>43</v>
      </c>
      <c r="AK4886" t="s">
        <v>43</v>
      </c>
      <c r="AL4886" t="s">
        <v>43</v>
      </c>
      <c r="AM4886" t="s">
        <v>43</v>
      </c>
      <c r="AN4886" t="str">
        <f>HYPERLINK("https://www.google.com/maps?q=10.83225155,79.84023285","Open Location")</f>
        <v>Open Location</v>
      </c>
    </row>
    <row r="4887" spans="1:40" x14ac:dyDescent="0.3">
      <c r="A4887" s="1">
        <v>46210.433680555558</v>
      </c>
      <c r="B4887" t="s">
        <v>40</v>
      </c>
      <c r="C4887" t="s">
        <v>41</v>
      </c>
      <c r="D4887" s="1">
        <v>46210.436562499999</v>
      </c>
      <c r="E4887" t="s">
        <v>42</v>
      </c>
      <c r="F4887" t="s">
        <v>43</v>
      </c>
      <c r="G4887" t="s">
        <v>43</v>
      </c>
      <c r="H4887" t="s">
        <v>43</v>
      </c>
      <c r="I4887" t="s">
        <v>2695</v>
      </c>
      <c r="J4887" t="s">
        <v>43</v>
      </c>
      <c r="K4887" t="s">
        <v>43</v>
      </c>
      <c r="L4887" t="s">
        <v>43</v>
      </c>
      <c r="M4887" t="s">
        <v>43</v>
      </c>
      <c r="N4887" t="s">
        <v>45</v>
      </c>
      <c r="O4887" t="s">
        <v>43</v>
      </c>
      <c r="P4887" t="s">
        <v>43</v>
      </c>
      <c r="Q4887" t="s">
        <v>43</v>
      </c>
      <c r="R4887" t="s">
        <v>43</v>
      </c>
      <c r="S4887" t="s">
        <v>43</v>
      </c>
      <c r="T4887" t="s">
        <v>43</v>
      </c>
      <c r="U4887" t="s">
        <v>43</v>
      </c>
      <c r="V4887" t="s">
        <v>43</v>
      </c>
      <c r="W4887" t="s">
        <v>43</v>
      </c>
      <c r="X4887" t="s">
        <v>43</v>
      </c>
      <c r="Y4887" t="s">
        <v>43</v>
      </c>
      <c r="Z4887" t="s">
        <v>43</v>
      </c>
      <c r="AA4887" t="s">
        <v>43</v>
      </c>
      <c r="AB4887" t="s">
        <v>43</v>
      </c>
      <c r="AC4887" t="s">
        <v>43</v>
      </c>
      <c r="AD4887" t="s">
        <v>43</v>
      </c>
      <c r="AE4887" t="s">
        <v>43</v>
      </c>
      <c r="AF4887" t="s">
        <v>43</v>
      </c>
      <c r="AG4887" t="s">
        <v>43</v>
      </c>
      <c r="AH4887" t="s">
        <v>43</v>
      </c>
      <c r="AI4887" t="s">
        <v>43</v>
      </c>
      <c r="AJ4887" t="s">
        <v>43</v>
      </c>
      <c r="AK4887" t="s">
        <v>43</v>
      </c>
      <c r="AL4887" t="s">
        <v>43</v>
      </c>
      <c r="AM4887" t="s">
        <v>43</v>
      </c>
      <c r="AN4887" t="str">
        <f>HYPERLINK("https://www.google.com/maps?q=10.83225346,79.84022522","Open Location")</f>
        <v>Open Location</v>
      </c>
    </row>
    <row r="4888" spans="1:40" x14ac:dyDescent="0.3">
      <c r="A4888" s="1">
        <v>46210.433564814812</v>
      </c>
      <c r="B4888" t="s">
        <v>40</v>
      </c>
      <c r="C4888" t="s">
        <v>41</v>
      </c>
      <c r="D4888" s="1">
        <v>46210.436678240738</v>
      </c>
      <c r="E4888" t="s">
        <v>42</v>
      </c>
      <c r="F4888" t="s">
        <v>43</v>
      </c>
      <c r="G4888" t="s">
        <v>43</v>
      </c>
      <c r="H4888" t="s">
        <v>43</v>
      </c>
      <c r="I4888" t="s">
        <v>43</v>
      </c>
      <c r="J4888" t="s">
        <v>43</v>
      </c>
      <c r="K4888" t="s">
        <v>43</v>
      </c>
      <c r="L4888" t="s">
        <v>43</v>
      </c>
      <c r="M4888" t="s">
        <v>43</v>
      </c>
      <c r="N4888" t="s">
        <v>45</v>
      </c>
      <c r="O4888" t="s">
        <v>43</v>
      </c>
      <c r="P4888" t="s">
        <v>43</v>
      </c>
      <c r="Q4888" t="s">
        <v>43</v>
      </c>
      <c r="R4888" t="s">
        <v>43</v>
      </c>
      <c r="S4888" t="s">
        <v>43</v>
      </c>
      <c r="T4888" t="s">
        <v>43</v>
      </c>
      <c r="U4888" t="s">
        <v>43</v>
      </c>
      <c r="V4888" t="s">
        <v>43</v>
      </c>
      <c r="W4888" t="s">
        <v>43</v>
      </c>
      <c r="X4888" t="s">
        <v>43</v>
      </c>
      <c r="Y4888" t="s">
        <v>43</v>
      </c>
      <c r="Z4888" t="s">
        <v>43</v>
      </c>
      <c r="AA4888" t="s">
        <v>43</v>
      </c>
      <c r="AB4888" t="s">
        <v>43</v>
      </c>
      <c r="AC4888" t="s">
        <v>43</v>
      </c>
      <c r="AD4888" t="s">
        <v>43</v>
      </c>
      <c r="AE4888" t="s">
        <v>43</v>
      </c>
      <c r="AF4888" t="s">
        <v>43</v>
      </c>
      <c r="AG4888" t="s">
        <v>43</v>
      </c>
      <c r="AH4888" t="s">
        <v>43</v>
      </c>
      <c r="AI4888" t="s">
        <v>43</v>
      </c>
      <c r="AJ4888" t="s">
        <v>43</v>
      </c>
      <c r="AK4888" t="s">
        <v>43</v>
      </c>
      <c r="AL4888" t="s">
        <v>43</v>
      </c>
      <c r="AM4888" t="s">
        <v>43</v>
      </c>
      <c r="AN4888" t="s">
        <v>43</v>
      </c>
    </row>
    <row r="4889" spans="1:40" x14ac:dyDescent="0.3">
      <c r="A4889" s="1">
        <v>46210.433449074073</v>
      </c>
      <c r="B4889" t="s">
        <v>40</v>
      </c>
      <c r="C4889" t="s">
        <v>41</v>
      </c>
      <c r="D4889" s="1">
        <v>46210.436331018522</v>
      </c>
      <c r="E4889" t="s">
        <v>42</v>
      </c>
      <c r="F4889" t="s">
        <v>43</v>
      </c>
      <c r="G4889" t="s">
        <v>43</v>
      </c>
      <c r="H4889" t="s">
        <v>43</v>
      </c>
      <c r="I4889" t="s">
        <v>2774</v>
      </c>
      <c r="J4889" t="s">
        <v>43</v>
      </c>
      <c r="K4889" t="s">
        <v>43</v>
      </c>
      <c r="L4889" t="s">
        <v>43</v>
      </c>
      <c r="M4889" t="s">
        <v>43</v>
      </c>
      <c r="N4889" t="s">
        <v>45</v>
      </c>
      <c r="O4889" t="s">
        <v>43</v>
      </c>
      <c r="P4889" t="s">
        <v>43</v>
      </c>
      <c r="Q4889" t="s">
        <v>43</v>
      </c>
      <c r="R4889" t="s">
        <v>43</v>
      </c>
      <c r="S4889" t="s">
        <v>43</v>
      </c>
      <c r="T4889" t="s">
        <v>43</v>
      </c>
      <c r="U4889" t="s">
        <v>43</v>
      </c>
      <c r="V4889" t="s">
        <v>43</v>
      </c>
      <c r="W4889" t="s">
        <v>43</v>
      </c>
      <c r="X4889" t="s">
        <v>43</v>
      </c>
      <c r="Y4889" t="s">
        <v>43</v>
      </c>
      <c r="Z4889" t="s">
        <v>43</v>
      </c>
      <c r="AA4889" t="s">
        <v>43</v>
      </c>
      <c r="AB4889" t="s">
        <v>43</v>
      </c>
      <c r="AC4889" t="s">
        <v>43</v>
      </c>
      <c r="AD4889" t="s">
        <v>43</v>
      </c>
      <c r="AE4889" t="s">
        <v>43</v>
      </c>
      <c r="AF4889" t="s">
        <v>43</v>
      </c>
      <c r="AG4889" t="s">
        <v>43</v>
      </c>
      <c r="AH4889" t="s">
        <v>43</v>
      </c>
      <c r="AI4889" t="s">
        <v>43</v>
      </c>
      <c r="AJ4889" t="s">
        <v>43</v>
      </c>
      <c r="AK4889" t="s">
        <v>43</v>
      </c>
      <c r="AL4889" t="s">
        <v>43</v>
      </c>
      <c r="AM4889" t="s">
        <v>43</v>
      </c>
      <c r="AN4889" t="str">
        <f>HYPERLINK("https://www.google.com/maps?q=10.83225155,79.84022522","Open Location")</f>
        <v>Open Location</v>
      </c>
    </row>
    <row r="4890" spans="1:40" x14ac:dyDescent="0.3">
      <c r="A4890" s="1">
        <v>46210.433333333334</v>
      </c>
      <c r="B4890" t="s">
        <v>40</v>
      </c>
      <c r="C4890" t="s">
        <v>41</v>
      </c>
      <c r="D4890" s="1">
        <v>46210.436215277776</v>
      </c>
      <c r="E4890" t="s">
        <v>42</v>
      </c>
      <c r="F4890" t="s">
        <v>43</v>
      </c>
      <c r="G4890" t="s">
        <v>43</v>
      </c>
      <c r="H4890" t="s">
        <v>43</v>
      </c>
      <c r="I4890" t="s">
        <v>2817</v>
      </c>
      <c r="J4890" t="s">
        <v>43</v>
      </c>
      <c r="K4890" t="s">
        <v>43</v>
      </c>
      <c r="L4890" t="s">
        <v>43</v>
      </c>
      <c r="M4890" t="s">
        <v>43</v>
      </c>
      <c r="N4890" t="s">
        <v>45</v>
      </c>
      <c r="O4890" t="s">
        <v>43</v>
      </c>
      <c r="P4890" t="s">
        <v>43</v>
      </c>
      <c r="Q4890" t="s">
        <v>43</v>
      </c>
      <c r="R4890" t="s">
        <v>43</v>
      </c>
      <c r="S4890" t="s">
        <v>43</v>
      </c>
      <c r="T4890" t="s">
        <v>43</v>
      </c>
      <c r="U4890" t="s">
        <v>43</v>
      </c>
      <c r="V4890" t="s">
        <v>43</v>
      </c>
      <c r="W4890" t="s">
        <v>43</v>
      </c>
      <c r="X4890" t="s">
        <v>43</v>
      </c>
      <c r="Y4890" t="s">
        <v>43</v>
      </c>
      <c r="Z4890" t="s">
        <v>43</v>
      </c>
      <c r="AA4890" t="s">
        <v>43</v>
      </c>
      <c r="AB4890" t="s">
        <v>43</v>
      </c>
      <c r="AC4890" t="s">
        <v>43</v>
      </c>
      <c r="AD4890" t="s">
        <v>43</v>
      </c>
      <c r="AE4890" t="s">
        <v>43</v>
      </c>
      <c r="AF4890" t="s">
        <v>43</v>
      </c>
      <c r="AG4890" t="s">
        <v>43</v>
      </c>
      <c r="AH4890" t="s">
        <v>43</v>
      </c>
      <c r="AI4890" t="s">
        <v>43</v>
      </c>
      <c r="AJ4890" t="s">
        <v>43</v>
      </c>
      <c r="AK4890" t="s">
        <v>43</v>
      </c>
      <c r="AL4890" t="s">
        <v>43</v>
      </c>
      <c r="AM4890" t="s">
        <v>43</v>
      </c>
      <c r="AN4890" t="str">
        <f>HYPERLINK("https://www.google.com/maps?q=10.83224583,79.84021759","Open Location")</f>
        <v>Open Location</v>
      </c>
    </row>
    <row r="4891" spans="1:40" x14ac:dyDescent="0.3">
      <c r="A4891" s="1">
        <v>46210.433217592596</v>
      </c>
      <c r="B4891" t="s">
        <v>40</v>
      </c>
      <c r="C4891" t="s">
        <v>41</v>
      </c>
      <c r="D4891" s="1">
        <v>46210.436157407406</v>
      </c>
      <c r="E4891" t="s">
        <v>42</v>
      </c>
      <c r="F4891" t="s">
        <v>43</v>
      </c>
      <c r="G4891" t="s">
        <v>43</v>
      </c>
      <c r="H4891" t="s">
        <v>43</v>
      </c>
      <c r="I4891" t="s">
        <v>2817</v>
      </c>
      <c r="J4891" t="s">
        <v>43</v>
      </c>
      <c r="K4891" t="s">
        <v>43</v>
      </c>
      <c r="L4891" t="s">
        <v>43</v>
      </c>
      <c r="M4891" t="s">
        <v>43</v>
      </c>
      <c r="N4891" t="s">
        <v>45</v>
      </c>
      <c r="O4891" t="s">
        <v>43</v>
      </c>
      <c r="P4891" t="s">
        <v>43</v>
      </c>
      <c r="Q4891" t="s">
        <v>43</v>
      </c>
      <c r="R4891" t="s">
        <v>43</v>
      </c>
      <c r="S4891" t="s">
        <v>43</v>
      </c>
      <c r="T4891" t="s">
        <v>43</v>
      </c>
      <c r="U4891" t="s">
        <v>43</v>
      </c>
      <c r="V4891" t="s">
        <v>43</v>
      </c>
      <c r="W4891" t="s">
        <v>43</v>
      </c>
      <c r="X4891" t="s">
        <v>43</v>
      </c>
      <c r="Y4891" t="s">
        <v>43</v>
      </c>
      <c r="Z4891" t="s">
        <v>43</v>
      </c>
      <c r="AA4891" t="s">
        <v>43</v>
      </c>
      <c r="AB4891" t="s">
        <v>43</v>
      </c>
      <c r="AC4891" t="s">
        <v>43</v>
      </c>
      <c r="AD4891" t="s">
        <v>43</v>
      </c>
      <c r="AE4891" t="s">
        <v>43</v>
      </c>
      <c r="AF4891" t="s">
        <v>43</v>
      </c>
      <c r="AG4891" t="s">
        <v>43</v>
      </c>
      <c r="AH4891" t="s">
        <v>43</v>
      </c>
      <c r="AI4891" t="s">
        <v>43</v>
      </c>
      <c r="AJ4891" t="s">
        <v>43</v>
      </c>
      <c r="AK4891" t="s">
        <v>43</v>
      </c>
      <c r="AL4891" t="s">
        <v>43</v>
      </c>
      <c r="AM4891" t="s">
        <v>43</v>
      </c>
      <c r="AN4891" t="str">
        <f>HYPERLINK("https://www.google.com/maps?q=10.83224583,79.84021759","Open Location")</f>
        <v>Open Location</v>
      </c>
    </row>
    <row r="4892" spans="1:40" x14ac:dyDescent="0.3">
      <c r="A4892" s="1">
        <v>46210.43310185185</v>
      </c>
      <c r="B4892" t="s">
        <v>40</v>
      </c>
      <c r="C4892" t="s">
        <v>41</v>
      </c>
      <c r="D4892" s="1">
        <v>46210.435914351852</v>
      </c>
      <c r="E4892" t="s">
        <v>42</v>
      </c>
      <c r="F4892" t="s">
        <v>43</v>
      </c>
      <c r="G4892" t="s">
        <v>43</v>
      </c>
      <c r="H4892" t="s">
        <v>43</v>
      </c>
      <c r="I4892" t="s">
        <v>2818</v>
      </c>
      <c r="J4892" t="s">
        <v>43</v>
      </c>
      <c r="K4892" t="s">
        <v>43</v>
      </c>
      <c r="L4892" t="s">
        <v>43</v>
      </c>
      <c r="M4892" t="s">
        <v>43</v>
      </c>
      <c r="N4892" t="s">
        <v>45</v>
      </c>
      <c r="O4892" t="s">
        <v>43</v>
      </c>
      <c r="P4892" t="s">
        <v>43</v>
      </c>
      <c r="Q4892" t="s">
        <v>43</v>
      </c>
      <c r="R4892" t="s">
        <v>43</v>
      </c>
      <c r="S4892" t="s">
        <v>43</v>
      </c>
      <c r="T4892" t="s">
        <v>43</v>
      </c>
      <c r="U4892" t="s">
        <v>43</v>
      </c>
      <c r="V4892" t="s">
        <v>43</v>
      </c>
      <c r="W4892" t="s">
        <v>43</v>
      </c>
      <c r="X4892" t="s">
        <v>43</v>
      </c>
      <c r="Y4892" t="s">
        <v>43</v>
      </c>
      <c r="Z4892" t="s">
        <v>43</v>
      </c>
      <c r="AA4892" t="s">
        <v>43</v>
      </c>
      <c r="AB4892" t="s">
        <v>43</v>
      </c>
      <c r="AC4892" t="s">
        <v>43</v>
      </c>
      <c r="AD4892" t="s">
        <v>43</v>
      </c>
      <c r="AE4892" t="s">
        <v>43</v>
      </c>
      <c r="AF4892" t="s">
        <v>43</v>
      </c>
      <c r="AG4892" t="s">
        <v>43</v>
      </c>
      <c r="AH4892" t="s">
        <v>43</v>
      </c>
      <c r="AI4892" t="s">
        <v>43</v>
      </c>
      <c r="AJ4892" t="s">
        <v>43</v>
      </c>
      <c r="AK4892" t="s">
        <v>43</v>
      </c>
      <c r="AL4892" t="s">
        <v>43</v>
      </c>
      <c r="AM4892" t="s">
        <v>43</v>
      </c>
      <c r="AN4892" t="str">
        <f>HYPERLINK("https://www.google.com/maps?q=10.83224773,79.84022522","Open Location")</f>
        <v>Open Location</v>
      </c>
    </row>
    <row r="4893" spans="1:40" x14ac:dyDescent="0.3">
      <c r="A4893" s="1">
        <v>46210.432986111111</v>
      </c>
      <c r="B4893" t="s">
        <v>40</v>
      </c>
      <c r="C4893" t="s">
        <v>41</v>
      </c>
      <c r="D4893" s="1">
        <v>46210.435960648145</v>
      </c>
      <c r="E4893" t="s">
        <v>42</v>
      </c>
      <c r="F4893" t="s">
        <v>43</v>
      </c>
      <c r="G4893" t="s">
        <v>43</v>
      </c>
      <c r="H4893" t="s">
        <v>43</v>
      </c>
      <c r="I4893" t="s">
        <v>2819</v>
      </c>
      <c r="J4893" t="s">
        <v>43</v>
      </c>
      <c r="K4893" t="s">
        <v>43</v>
      </c>
      <c r="L4893" t="s">
        <v>43</v>
      </c>
      <c r="M4893" t="s">
        <v>43</v>
      </c>
      <c r="N4893" t="s">
        <v>45</v>
      </c>
      <c r="O4893" t="s">
        <v>43</v>
      </c>
      <c r="P4893" t="s">
        <v>43</v>
      </c>
      <c r="Q4893" t="s">
        <v>43</v>
      </c>
      <c r="R4893" t="s">
        <v>43</v>
      </c>
      <c r="S4893" t="s">
        <v>43</v>
      </c>
      <c r="T4893" t="s">
        <v>43</v>
      </c>
      <c r="U4893" t="s">
        <v>43</v>
      </c>
      <c r="V4893" t="s">
        <v>43</v>
      </c>
      <c r="W4893" t="s">
        <v>43</v>
      </c>
      <c r="X4893" t="s">
        <v>43</v>
      </c>
      <c r="Y4893" t="s">
        <v>43</v>
      </c>
      <c r="Z4893" t="s">
        <v>43</v>
      </c>
      <c r="AA4893" t="s">
        <v>43</v>
      </c>
      <c r="AB4893" t="s">
        <v>43</v>
      </c>
      <c r="AC4893" t="s">
        <v>43</v>
      </c>
      <c r="AD4893" t="s">
        <v>43</v>
      </c>
      <c r="AE4893" t="s">
        <v>43</v>
      </c>
      <c r="AF4893" t="s">
        <v>43</v>
      </c>
      <c r="AG4893" t="s">
        <v>43</v>
      </c>
      <c r="AH4893" t="s">
        <v>43</v>
      </c>
      <c r="AI4893" t="s">
        <v>43</v>
      </c>
      <c r="AJ4893" t="s">
        <v>43</v>
      </c>
      <c r="AK4893" t="s">
        <v>43</v>
      </c>
      <c r="AL4893" t="s">
        <v>43</v>
      </c>
      <c r="AM4893" t="s">
        <v>43</v>
      </c>
      <c r="AN4893" t="str">
        <f>HYPERLINK("https://www.google.com/maps?q=10.83224964,79.84021759","Open Location")</f>
        <v>Open Location</v>
      </c>
    </row>
    <row r="4894" spans="1:40" x14ac:dyDescent="0.3">
      <c r="A4894" s="1">
        <v>46210.432870370372</v>
      </c>
      <c r="B4894" t="s">
        <v>40</v>
      </c>
      <c r="C4894" t="s">
        <v>41</v>
      </c>
      <c r="D4894" s="1">
        <v>46210.435578703706</v>
      </c>
      <c r="E4894" t="s">
        <v>42</v>
      </c>
      <c r="F4894" t="s">
        <v>43</v>
      </c>
      <c r="G4894" t="s">
        <v>43</v>
      </c>
      <c r="H4894" t="s">
        <v>43</v>
      </c>
      <c r="I4894" t="s">
        <v>43</v>
      </c>
      <c r="J4894" t="s">
        <v>43</v>
      </c>
      <c r="K4894" t="s">
        <v>43</v>
      </c>
      <c r="L4894" t="s">
        <v>43</v>
      </c>
      <c r="M4894" t="s">
        <v>43</v>
      </c>
      <c r="N4894" t="s">
        <v>45</v>
      </c>
      <c r="O4894" t="s">
        <v>43</v>
      </c>
      <c r="P4894" t="s">
        <v>43</v>
      </c>
      <c r="Q4894" t="s">
        <v>43</v>
      </c>
      <c r="R4894" t="s">
        <v>43</v>
      </c>
      <c r="S4894" t="s">
        <v>43</v>
      </c>
      <c r="T4894" t="s">
        <v>43</v>
      </c>
      <c r="U4894" t="s">
        <v>43</v>
      </c>
      <c r="V4894" t="s">
        <v>43</v>
      </c>
      <c r="W4894" t="s">
        <v>43</v>
      </c>
      <c r="X4894" t="s">
        <v>43</v>
      </c>
      <c r="Y4894" t="s">
        <v>43</v>
      </c>
      <c r="Z4894" t="s">
        <v>43</v>
      </c>
      <c r="AA4894" t="s">
        <v>43</v>
      </c>
      <c r="AB4894" t="s">
        <v>43</v>
      </c>
      <c r="AC4894" t="s">
        <v>43</v>
      </c>
      <c r="AD4894" t="s">
        <v>43</v>
      </c>
      <c r="AE4894" t="s">
        <v>43</v>
      </c>
      <c r="AF4894" t="s">
        <v>43</v>
      </c>
      <c r="AG4894" t="s">
        <v>43</v>
      </c>
      <c r="AH4894" t="s">
        <v>43</v>
      </c>
      <c r="AI4894" t="s">
        <v>43</v>
      </c>
      <c r="AJ4894" t="s">
        <v>43</v>
      </c>
      <c r="AK4894" t="s">
        <v>43</v>
      </c>
      <c r="AL4894" t="s">
        <v>43</v>
      </c>
      <c r="AM4894" t="s">
        <v>43</v>
      </c>
      <c r="AN4894" t="s">
        <v>43</v>
      </c>
    </row>
    <row r="4895" spans="1:40" x14ac:dyDescent="0.3">
      <c r="A4895" s="1">
        <v>46210.432754629626</v>
      </c>
      <c r="B4895" t="s">
        <v>40</v>
      </c>
      <c r="C4895" t="s">
        <v>41</v>
      </c>
      <c r="D4895" s="1">
        <v>46210.435555555552</v>
      </c>
      <c r="E4895" t="s">
        <v>42</v>
      </c>
      <c r="F4895" t="s">
        <v>43</v>
      </c>
      <c r="G4895" t="s">
        <v>43</v>
      </c>
      <c r="H4895" t="s">
        <v>43</v>
      </c>
      <c r="I4895" t="s">
        <v>2819</v>
      </c>
      <c r="J4895" t="s">
        <v>43</v>
      </c>
      <c r="K4895" t="s">
        <v>43</v>
      </c>
      <c r="L4895" t="s">
        <v>43</v>
      </c>
      <c r="M4895" t="s">
        <v>43</v>
      </c>
      <c r="N4895" t="s">
        <v>45</v>
      </c>
      <c r="O4895" t="s">
        <v>43</v>
      </c>
      <c r="P4895" t="s">
        <v>43</v>
      </c>
      <c r="Q4895" t="s">
        <v>43</v>
      </c>
      <c r="R4895" t="s">
        <v>43</v>
      </c>
      <c r="S4895" t="s">
        <v>43</v>
      </c>
      <c r="T4895" t="s">
        <v>43</v>
      </c>
      <c r="U4895" t="s">
        <v>43</v>
      </c>
      <c r="V4895" t="s">
        <v>43</v>
      </c>
      <c r="W4895" t="s">
        <v>43</v>
      </c>
      <c r="X4895" t="s">
        <v>43</v>
      </c>
      <c r="Y4895" t="s">
        <v>43</v>
      </c>
      <c r="Z4895" t="s">
        <v>43</v>
      </c>
      <c r="AA4895" t="s">
        <v>43</v>
      </c>
      <c r="AB4895" t="s">
        <v>43</v>
      </c>
      <c r="AC4895" t="s">
        <v>43</v>
      </c>
      <c r="AD4895" t="s">
        <v>43</v>
      </c>
      <c r="AE4895" t="s">
        <v>43</v>
      </c>
      <c r="AF4895" t="s">
        <v>43</v>
      </c>
      <c r="AG4895" t="s">
        <v>43</v>
      </c>
      <c r="AH4895" t="s">
        <v>43</v>
      </c>
      <c r="AI4895" t="s">
        <v>43</v>
      </c>
      <c r="AJ4895" t="s">
        <v>43</v>
      </c>
      <c r="AK4895" t="s">
        <v>43</v>
      </c>
      <c r="AL4895" t="s">
        <v>43</v>
      </c>
      <c r="AM4895" t="s">
        <v>43</v>
      </c>
      <c r="AN4895" t="str">
        <f>HYPERLINK("https://www.google.com/maps?q=10.83224964,79.84021759","Open Location")</f>
        <v>Open Location</v>
      </c>
    </row>
    <row r="4896" spans="1:40" x14ac:dyDescent="0.3">
      <c r="A4896" s="1">
        <v>46210.432638888888</v>
      </c>
      <c r="B4896" t="s">
        <v>40</v>
      </c>
      <c r="C4896" t="s">
        <v>41</v>
      </c>
      <c r="D4896" s="1">
        <v>46210.435393518521</v>
      </c>
      <c r="E4896" t="s">
        <v>42</v>
      </c>
      <c r="F4896" t="s">
        <v>43</v>
      </c>
      <c r="G4896" t="s">
        <v>43</v>
      </c>
      <c r="H4896" t="s">
        <v>43</v>
      </c>
      <c r="I4896" t="s">
        <v>2699</v>
      </c>
      <c r="J4896" t="s">
        <v>43</v>
      </c>
      <c r="K4896" t="s">
        <v>43</v>
      </c>
      <c r="L4896" t="s">
        <v>43</v>
      </c>
      <c r="M4896" t="s">
        <v>43</v>
      </c>
      <c r="N4896" t="s">
        <v>45</v>
      </c>
      <c r="O4896" t="s">
        <v>43</v>
      </c>
      <c r="P4896" t="s">
        <v>43</v>
      </c>
      <c r="Q4896" t="s">
        <v>43</v>
      </c>
      <c r="R4896" t="s">
        <v>43</v>
      </c>
      <c r="S4896" t="s">
        <v>43</v>
      </c>
      <c r="T4896" t="s">
        <v>43</v>
      </c>
      <c r="U4896" t="s">
        <v>43</v>
      </c>
      <c r="V4896" t="s">
        <v>43</v>
      </c>
      <c r="W4896" t="s">
        <v>43</v>
      </c>
      <c r="X4896" t="s">
        <v>43</v>
      </c>
      <c r="Y4896" t="s">
        <v>43</v>
      </c>
      <c r="Z4896" t="s">
        <v>43</v>
      </c>
      <c r="AA4896" t="s">
        <v>43</v>
      </c>
      <c r="AB4896" t="s">
        <v>43</v>
      </c>
      <c r="AC4896" t="s">
        <v>43</v>
      </c>
      <c r="AD4896" t="s">
        <v>43</v>
      </c>
      <c r="AE4896" t="s">
        <v>43</v>
      </c>
      <c r="AF4896" t="s">
        <v>43</v>
      </c>
      <c r="AG4896" t="s">
        <v>43</v>
      </c>
      <c r="AH4896" t="s">
        <v>43</v>
      </c>
      <c r="AI4896" t="s">
        <v>43</v>
      </c>
      <c r="AJ4896" t="s">
        <v>43</v>
      </c>
      <c r="AK4896" t="s">
        <v>43</v>
      </c>
      <c r="AL4896" t="s">
        <v>43</v>
      </c>
      <c r="AM4896" t="s">
        <v>43</v>
      </c>
      <c r="AN4896" t="str">
        <f>HYPERLINK("https://www.google.com/maps?q=10.83224964,79.84020996","Open Location")</f>
        <v>Open Location</v>
      </c>
    </row>
    <row r="4897" spans="1:40" x14ac:dyDescent="0.3">
      <c r="A4897" s="1">
        <v>46210.432523148149</v>
      </c>
      <c r="B4897" t="s">
        <v>40</v>
      </c>
      <c r="C4897" t="s">
        <v>41</v>
      </c>
      <c r="D4897" s="1">
        <v>46210.435393518521</v>
      </c>
      <c r="E4897" t="s">
        <v>42</v>
      </c>
      <c r="F4897" t="s">
        <v>43</v>
      </c>
      <c r="G4897" t="s">
        <v>43</v>
      </c>
      <c r="H4897" t="s">
        <v>43</v>
      </c>
      <c r="I4897" t="s">
        <v>2820</v>
      </c>
      <c r="J4897" t="s">
        <v>43</v>
      </c>
      <c r="K4897" t="s">
        <v>43</v>
      </c>
      <c r="L4897" t="s">
        <v>43</v>
      </c>
      <c r="M4897" t="s">
        <v>43</v>
      </c>
      <c r="N4897" t="s">
        <v>45</v>
      </c>
      <c r="O4897" t="s">
        <v>43</v>
      </c>
      <c r="P4897" t="s">
        <v>43</v>
      </c>
      <c r="Q4897" t="s">
        <v>43</v>
      </c>
      <c r="R4897" t="s">
        <v>43</v>
      </c>
      <c r="S4897" t="s">
        <v>43</v>
      </c>
      <c r="T4897" t="s">
        <v>43</v>
      </c>
      <c r="U4897" t="s">
        <v>43</v>
      </c>
      <c r="V4897" t="s">
        <v>43</v>
      </c>
      <c r="W4897" t="s">
        <v>43</v>
      </c>
      <c r="X4897" t="s">
        <v>43</v>
      </c>
      <c r="Y4897" t="s">
        <v>43</v>
      </c>
      <c r="Z4897" t="s">
        <v>43</v>
      </c>
      <c r="AA4897" t="s">
        <v>43</v>
      </c>
      <c r="AB4897" t="s">
        <v>43</v>
      </c>
      <c r="AC4897" t="s">
        <v>43</v>
      </c>
      <c r="AD4897" t="s">
        <v>43</v>
      </c>
      <c r="AE4897" t="s">
        <v>43</v>
      </c>
      <c r="AF4897" t="s">
        <v>43</v>
      </c>
      <c r="AG4897" t="s">
        <v>43</v>
      </c>
      <c r="AH4897" t="s">
        <v>43</v>
      </c>
      <c r="AI4897" t="s">
        <v>43</v>
      </c>
      <c r="AJ4897" t="s">
        <v>43</v>
      </c>
      <c r="AK4897" t="s">
        <v>43</v>
      </c>
      <c r="AL4897" t="s">
        <v>43</v>
      </c>
      <c r="AM4897" t="s">
        <v>43</v>
      </c>
      <c r="AN4897" t="str">
        <f>HYPERLINK("https://www.google.com/maps?q=10.8322506,79.84020996","Open Location")</f>
        <v>Open Location</v>
      </c>
    </row>
    <row r="4898" spans="1:40" x14ac:dyDescent="0.3">
      <c r="A4898" s="1">
        <v>46210.43240740741</v>
      </c>
      <c r="B4898" t="s">
        <v>40</v>
      </c>
      <c r="C4898" t="s">
        <v>41</v>
      </c>
      <c r="D4898" s="1">
        <v>46210.435115740744</v>
      </c>
      <c r="E4898" t="s">
        <v>42</v>
      </c>
      <c r="F4898" t="s">
        <v>43</v>
      </c>
      <c r="G4898" t="s">
        <v>43</v>
      </c>
      <c r="H4898" t="s">
        <v>43</v>
      </c>
      <c r="I4898" t="s">
        <v>2821</v>
      </c>
      <c r="J4898" t="s">
        <v>43</v>
      </c>
      <c r="K4898" t="s">
        <v>43</v>
      </c>
      <c r="L4898" t="s">
        <v>43</v>
      </c>
      <c r="M4898" t="s">
        <v>43</v>
      </c>
      <c r="N4898" t="s">
        <v>45</v>
      </c>
      <c r="O4898" t="s">
        <v>43</v>
      </c>
      <c r="P4898" t="s">
        <v>43</v>
      </c>
      <c r="Q4898" t="s">
        <v>43</v>
      </c>
      <c r="R4898" t="s">
        <v>43</v>
      </c>
      <c r="S4898" t="s">
        <v>43</v>
      </c>
      <c r="T4898" t="s">
        <v>43</v>
      </c>
      <c r="U4898" t="s">
        <v>43</v>
      </c>
      <c r="V4898" t="s">
        <v>43</v>
      </c>
      <c r="W4898" t="s">
        <v>43</v>
      </c>
      <c r="X4898" t="s">
        <v>43</v>
      </c>
      <c r="Y4898" t="s">
        <v>43</v>
      </c>
      <c r="Z4898" t="s">
        <v>43</v>
      </c>
      <c r="AA4898" t="s">
        <v>43</v>
      </c>
      <c r="AB4898" t="s">
        <v>43</v>
      </c>
      <c r="AC4898" t="s">
        <v>43</v>
      </c>
      <c r="AD4898" t="s">
        <v>43</v>
      </c>
      <c r="AE4898" t="s">
        <v>43</v>
      </c>
      <c r="AF4898" t="s">
        <v>43</v>
      </c>
      <c r="AG4898" t="s">
        <v>43</v>
      </c>
      <c r="AH4898" t="s">
        <v>43</v>
      </c>
      <c r="AI4898" t="s">
        <v>43</v>
      </c>
      <c r="AJ4898" t="s">
        <v>43</v>
      </c>
      <c r="AK4898" t="s">
        <v>43</v>
      </c>
      <c r="AL4898" t="s">
        <v>43</v>
      </c>
      <c r="AM4898" t="s">
        <v>43</v>
      </c>
      <c r="AN4898" t="str">
        <f>HYPERLINK("https://www.google.com/maps?q=10.83224773,79.84020996","Open Location")</f>
        <v>Open Location</v>
      </c>
    </row>
    <row r="4899" spans="1:40" x14ac:dyDescent="0.3">
      <c r="A4899" s="1">
        <v>46210.432291666664</v>
      </c>
      <c r="B4899" t="s">
        <v>40</v>
      </c>
      <c r="C4899" t="s">
        <v>41</v>
      </c>
      <c r="D4899" s="1">
        <v>46210.435243055559</v>
      </c>
      <c r="E4899" t="s">
        <v>42</v>
      </c>
      <c r="F4899" t="s">
        <v>43</v>
      </c>
      <c r="G4899" t="s">
        <v>43</v>
      </c>
      <c r="H4899" t="s">
        <v>43</v>
      </c>
      <c r="I4899" t="s">
        <v>2693</v>
      </c>
      <c r="J4899" t="s">
        <v>43</v>
      </c>
      <c r="K4899" t="s">
        <v>43</v>
      </c>
      <c r="L4899" t="s">
        <v>43</v>
      </c>
      <c r="M4899" t="s">
        <v>43</v>
      </c>
      <c r="N4899" t="s">
        <v>45</v>
      </c>
      <c r="O4899" t="s">
        <v>43</v>
      </c>
      <c r="P4899" t="s">
        <v>43</v>
      </c>
      <c r="Q4899" t="s">
        <v>43</v>
      </c>
      <c r="R4899" t="s">
        <v>43</v>
      </c>
      <c r="S4899" t="s">
        <v>43</v>
      </c>
      <c r="T4899" t="s">
        <v>43</v>
      </c>
      <c r="U4899" t="s">
        <v>43</v>
      </c>
      <c r="V4899" t="s">
        <v>43</v>
      </c>
      <c r="W4899" t="s">
        <v>43</v>
      </c>
      <c r="X4899" t="s">
        <v>43</v>
      </c>
      <c r="Y4899" t="s">
        <v>43</v>
      </c>
      <c r="Z4899" t="s">
        <v>43</v>
      </c>
      <c r="AA4899" t="s">
        <v>43</v>
      </c>
      <c r="AB4899" t="s">
        <v>43</v>
      </c>
      <c r="AC4899" t="s">
        <v>43</v>
      </c>
      <c r="AD4899" t="s">
        <v>43</v>
      </c>
      <c r="AE4899" t="s">
        <v>43</v>
      </c>
      <c r="AF4899" t="s">
        <v>43</v>
      </c>
      <c r="AG4899" t="s">
        <v>43</v>
      </c>
      <c r="AH4899" t="s">
        <v>43</v>
      </c>
      <c r="AI4899" t="s">
        <v>43</v>
      </c>
      <c r="AJ4899" t="s">
        <v>43</v>
      </c>
      <c r="AK4899" t="s">
        <v>43</v>
      </c>
      <c r="AL4899" t="s">
        <v>43</v>
      </c>
      <c r="AM4899" t="s">
        <v>43</v>
      </c>
      <c r="AN4899" t="str">
        <f>HYPERLINK("https://www.google.com/maps?q=10.83224678,79.84020996","Open Location")</f>
        <v>Open Location</v>
      </c>
    </row>
    <row r="4900" spans="1:40" x14ac:dyDescent="0.3">
      <c r="A4900" s="1">
        <v>46210.432175925926</v>
      </c>
      <c r="B4900" t="s">
        <v>40</v>
      </c>
      <c r="C4900" t="s">
        <v>41</v>
      </c>
      <c r="D4900" s="1">
        <v>46210.434861111113</v>
      </c>
      <c r="E4900" t="s">
        <v>42</v>
      </c>
      <c r="F4900" t="s">
        <v>43</v>
      </c>
      <c r="G4900" t="s">
        <v>43</v>
      </c>
      <c r="H4900" t="s">
        <v>43</v>
      </c>
      <c r="I4900" t="s">
        <v>43</v>
      </c>
      <c r="J4900" t="s">
        <v>43</v>
      </c>
      <c r="K4900" t="s">
        <v>43</v>
      </c>
      <c r="L4900" t="s">
        <v>43</v>
      </c>
      <c r="M4900" t="s">
        <v>43</v>
      </c>
      <c r="N4900" t="s">
        <v>45</v>
      </c>
      <c r="O4900" t="s">
        <v>43</v>
      </c>
      <c r="P4900" t="s">
        <v>43</v>
      </c>
      <c r="Q4900" t="s">
        <v>43</v>
      </c>
      <c r="R4900" t="s">
        <v>43</v>
      </c>
      <c r="S4900" t="s">
        <v>43</v>
      </c>
      <c r="T4900" t="s">
        <v>43</v>
      </c>
      <c r="U4900" t="s">
        <v>43</v>
      </c>
      <c r="V4900" t="s">
        <v>43</v>
      </c>
      <c r="W4900" t="s">
        <v>43</v>
      </c>
      <c r="X4900" t="s">
        <v>43</v>
      </c>
      <c r="Y4900" t="s">
        <v>43</v>
      </c>
      <c r="Z4900" t="s">
        <v>43</v>
      </c>
      <c r="AA4900" t="s">
        <v>43</v>
      </c>
      <c r="AB4900" t="s">
        <v>43</v>
      </c>
      <c r="AC4900" t="s">
        <v>43</v>
      </c>
      <c r="AD4900" t="s">
        <v>43</v>
      </c>
      <c r="AE4900" t="s">
        <v>43</v>
      </c>
      <c r="AF4900" t="s">
        <v>43</v>
      </c>
      <c r="AG4900" t="s">
        <v>43</v>
      </c>
      <c r="AH4900" t="s">
        <v>43</v>
      </c>
      <c r="AI4900" t="s">
        <v>43</v>
      </c>
      <c r="AJ4900" t="s">
        <v>43</v>
      </c>
      <c r="AK4900" t="s">
        <v>43</v>
      </c>
      <c r="AL4900" t="s">
        <v>43</v>
      </c>
      <c r="AM4900" t="s">
        <v>43</v>
      </c>
      <c r="AN4900" t="s">
        <v>43</v>
      </c>
    </row>
    <row r="4901" spans="1:40" x14ac:dyDescent="0.3">
      <c r="A4901" s="1">
        <v>46210.432060185187</v>
      </c>
      <c r="B4901" t="s">
        <v>40</v>
      </c>
      <c r="C4901" t="s">
        <v>41</v>
      </c>
      <c r="D4901" s="1">
        <v>46210.434861111113</v>
      </c>
      <c r="E4901" t="s">
        <v>42</v>
      </c>
      <c r="F4901" t="s">
        <v>43</v>
      </c>
      <c r="G4901" t="s">
        <v>43</v>
      </c>
      <c r="H4901" t="s">
        <v>43</v>
      </c>
      <c r="I4901" t="s">
        <v>2822</v>
      </c>
      <c r="J4901" t="s">
        <v>43</v>
      </c>
      <c r="K4901" t="s">
        <v>43</v>
      </c>
      <c r="L4901" t="s">
        <v>43</v>
      </c>
      <c r="M4901" t="s">
        <v>43</v>
      </c>
      <c r="N4901" t="s">
        <v>45</v>
      </c>
      <c r="O4901" t="s">
        <v>43</v>
      </c>
      <c r="P4901" t="s">
        <v>43</v>
      </c>
      <c r="Q4901" t="s">
        <v>43</v>
      </c>
      <c r="R4901" t="s">
        <v>43</v>
      </c>
      <c r="S4901" t="s">
        <v>43</v>
      </c>
      <c r="T4901" t="s">
        <v>43</v>
      </c>
      <c r="U4901" t="s">
        <v>43</v>
      </c>
      <c r="V4901" t="s">
        <v>43</v>
      </c>
      <c r="W4901" t="s">
        <v>43</v>
      </c>
      <c r="X4901" t="s">
        <v>43</v>
      </c>
      <c r="Y4901" t="s">
        <v>43</v>
      </c>
      <c r="Z4901" t="s">
        <v>43</v>
      </c>
      <c r="AA4901" t="s">
        <v>43</v>
      </c>
      <c r="AB4901" t="s">
        <v>43</v>
      </c>
      <c r="AC4901" t="s">
        <v>43</v>
      </c>
      <c r="AD4901" t="s">
        <v>43</v>
      </c>
      <c r="AE4901" t="s">
        <v>43</v>
      </c>
      <c r="AF4901" t="s">
        <v>43</v>
      </c>
      <c r="AG4901" t="s">
        <v>43</v>
      </c>
      <c r="AH4901" t="s">
        <v>43</v>
      </c>
      <c r="AI4901" t="s">
        <v>43</v>
      </c>
      <c r="AJ4901" t="s">
        <v>43</v>
      </c>
      <c r="AK4901" t="s">
        <v>43</v>
      </c>
      <c r="AL4901" t="s">
        <v>43</v>
      </c>
      <c r="AM4901" t="s">
        <v>43</v>
      </c>
      <c r="AN4901" t="str">
        <f>HYPERLINK("https://www.google.com/maps?q=10.83224869,79.84020996","Open Location")</f>
        <v>Open Location</v>
      </c>
    </row>
    <row r="4902" spans="1:40" x14ac:dyDescent="0.3">
      <c r="A4902" s="1">
        <v>46210.431944444441</v>
      </c>
      <c r="B4902" t="s">
        <v>40</v>
      </c>
      <c r="C4902" t="s">
        <v>41</v>
      </c>
      <c r="D4902" s="1">
        <v>46210.434745370374</v>
      </c>
      <c r="E4902" t="s">
        <v>42</v>
      </c>
      <c r="F4902" t="s">
        <v>43</v>
      </c>
      <c r="G4902" t="s">
        <v>43</v>
      </c>
      <c r="H4902" t="s">
        <v>43</v>
      </c>
      <c r="I4902" t="s">
        <v>2821</v>
      </c>
      <c r="J4902" t="s">
        <v>43</v>
      </c>
      <c r="K4902" t="s">
        <v>43</v>
      </c>
      <c r="L4902" t="s">
        <v>43</v>
      </c>
      <c r="M4902" t="s">
        <v>43</v>
      </c>
      <c r="N4902" t="s">
        <v>45</v>
      </c>
      <c r="O4902" t="s">
        <v>43</v>
      </c>
      <c r="P4902" t="s">
        <v>43</v>
      </c>
      <c r="Q4902" t="s">
        <v>43</v>
      </c>
      <c r="R4902" t="s">
        <v>43</v>
      </c>
      <c r="S4902" t="s">
        <v>43</v>
      </c>
      <c r="T4902" t="s">
        <v>43</v>
      </c>
      <c r="U4902" t="s">
        <v>43</v>
      </c>
      <c r="V4902" t="s">
        <v>43</v>
      </c>
      <c r="W4902" t="s">
        <v>43</v>
      </c>
      <c r="X4902" t="s">
        <v>43</v>
      </c>
      <c r="Y4902" t="s">
        <v>43</v>
      </c>
      <c r="Z4902" t="s">
        <v>43</v>
      </c>
      <c r="AA4902" t="s">
        <v>43</v>
      </c>
      <c r="AB4902" t="s">
        <v>43</v>
      </c>
      <c r="AC4902" t="s">
        <v>43</v>
      </c>
      <c r="AD4902" t="s">
        <v>43</v>
      </c>
      <c r="AE4902" t="s">
        <v>43</v>
      </c>
      <c r="AF4902" t="s">
        <v>43</v>
      </c>
      <c r="AG4902" t="s">
        <v>43</v>
      </c>
      <c r="AH4902" t="s">
        <v>43</v>
      </c>
      <c r="AI4902" t="s">
        <v>43</v>
      </c>
      <c r="AJ4902" t="s">
        <v>43</v>
      </c>
      <c r="AK4902" t="s">
        <v>43</v>
      </c>
      <c r="AL4902" t="s">
        <v>43</v>
      </c>
      <c r="AM4902" t="s">
        <v>43</v>
      </c>
      <c r="AN4902" t="str">
        <f>HYPERLINK("https://www.google.com/maps?q=10.83224773,79.84020996","Open Location")</f>
        <v>Open Location</v>
      </c>
    </row>
    <row r="4903" spans="1:40" x14ac:dyDescent="0.3">
      <c r="A4903" s="1">
        <v>46210.431828703702</v>
      </c>
      <c r="B4903" t="s">
        <v>40</v>
      </c>
      <c r="C4903" t="s">
        <v>41</v>
      </c>
      <c r="D4903" s="1">
        <v>46210.434803240743</v>
      </c>
      <c r="E4903" t="s">
        <v>42</v>
      </c>
      <c r="F4903" t="s">
        <v>43</v>
      </c>
      <c r="G4903" t="s">
        <v>43</v>
      </c>
      <c r="H4903" t="s">
        <v>43</v>
      </c>
      <c r="I4903" t="s">
        <v>2692</v>
      </c>
      <c r="J4903" t="s">
        <v>43</v>
      </c>
      <c r="K4903" t="s">
        <v>43</v>
      </c>
      <c r="L4903" t="s">
        <v>43</v>
      </c>
      <c r="M4903" t="s">
        <v>43</v>
      </c>
      <c r="N4903" t="s">
        <v>45</v>
      </c>
      <c r="O4903" t="s">
        <v>43</v>
      </c>
      <c r="P4903" t="s">
        <v>43</v>
      </c>
      <c r="Q4903" t="s">
        <v>43</v>
      </c>
      <c r="R4903" t="s">
        <v>43</v>
      </c>
      <c r="S4903" t="s">
        <v>43</v>
      </c>
      <c r="T4903" t="s">
        <v>43</v>
      </c>
      <c r="U4903" t="s">
        <v>43</v>
      </c>
      <c r="V4903" t="s">
        <v>43</v>
      </c>
      <c r="W4903" t="s">
        <v>43</v>
      </c>
      <c r="X4903" t="s">
        <v>43</v>
      </c>
      <c r="Y4903" t="s">
        <v>43</v>
      </c>
      <c r="Z4903" t="s">
        <v>43</v>
      </c>
      <c r="AA4903" t="s">
        <v>43</v>
      </c>
      <c r="AB4903" t="s">
        <v>43</v>
      </c>
      <c r="AC4903" t="s">
        <v>43</v>
      </c>
      <c r="AD4903" t="s">
        <v>43</v>
      </c>
      <c r="AE4903" t="s">
        <v>43</v>
      </c>
      <c r="AF4903" t="s">
        <v>43</v>
      </c>
      <c r="AG4903" t="s">
        <v>43</v>
      </c>
      <c r="AH4903" t="s">
        <v>43</v>
      </c>
      <c r="AI4903" t="s">
        <v>43</v>
      </c>
      <c r="AJ4903" t="s">
        <v>43</v>
      </c>
      <c r="AK4903" t="s">
        <v>43</v>
      </c>
      <c r="AL4903" t="s">
        <v>43</v>
      </c>
      <c r="AM4903" t="s">
        <v>43</v>
      </c>
      <c r="AN4903" t="str">
        <f>HYPERLINK("https://www.google.com/maps?q=10.83224869,79.84020233","Open Location")</f>
        <v>Open Location</v>
      </c>
    </row>
    <row r="4904" spans="1:40" x14ac:dyDescent="0.3">
      <c r="A4904" s="1">
        <v>46210.431712962964</v>
      </c>
      <c r="B4904" t="s">
        <v>40</v>
      </c>
      <c r="C4904" t="s">
        <v>41</v>
      </c>
      <c r="D4904" s="1">
        <v>46210.43440972222</v>
      </c>
      <c r="E4904" t="s">
        <v>42</v>
      </c>
      <c r="F4904" t="s">
        <v>43</v>
      </c>
      <c r="G4904" t="s">
        <v>43</v>
      </c>
      <c r="H4904" t="s">
        <v>43</v>
      </c>
      <c r="I4904" t="s">
        <v>2699</v>
      </c>
      <c r="J4904" t="s">
        <v>43</v>
      </c>
      <c r="K4904" t="s">
        <v>43</v>
      </c>
      <c r="L4904" t="s">
        <v>43</v>
      </c>
      <c r="M4904" t="s">
        <v>43</v>
      </c>
      <c r="N4904" t="s">
        <v>45</v>
      </c>
      <c r="O4904" t="s">
        <v>43</v>
      </c>
      <c r="P4904" t="s">
        <v>43</v>
      </c>
      <c r="Q4904" t="s">
        <v>43</v>
      </c>
      <c r="R4904" t="s">
        <v>43</v>
      </c>
      <c r="S4904" t="s">
        <v>43</v>
      </c>
      <c r="T4904" t="s">
        <v>43</v>
      </c>
      <c r="U4904" t="s">
        <v>43</v>
      </c>
      <c r="V4904" t="s">
        <v>43</v>
      </c>
      <c r="W4904" t="s">
        <v>43</v>
      </c>
      <c r="X4904" t="s">
        <v>43</v>
      </c>
      <c r="Y4904" t="s">
        <v>43</v>
      </c>
      <c r="Z4904" t="s">
        <v>43</v>
      </c>
      <c r="AA4904" t="s">
        <v>43</v>
      </c>
      <c r="AB4904" t="s">
        <v>43</v>
      </c>
      <c r="AC4904" t="s">
        <v>43</v>
      </c>
      <c r="AD4904" t="s">
        <v>43</v>
      </c>
      <c r="AE4904" t="s">
        <v>43</v>
      </c>
      <c r="AF4904" t="s">
        <v>43</v>
      </c>
      <c r="AG4904" t="s">
        <v>43</v>
      </c>
      <c r="AH4904" t="s">
        <v>43</v>
      </c>
      <c r="AI4904" t="s">
        <v>43</v>
      </c>
      <c r="AJ4904" t="s">
        <v>43</v>
      </c>
      <c r="AK4904" t="s">
        <v>43</v>
      </c>
      <c r="AL4904" t="s">
        <v>43</v>
      </c>
      <c r="AM4904" t="s">
        <v>43</v>
      </c>
      <c r="AN4904" t="str">
        <f>HYPERLINK("https://www.google.com/maps?q=10.83224964,79.84020996","Open Location")</f>
        <v>Open Location</v>
      </c>
    </row>
    <row r="4905" spans="1:40" x14ac:dyDescent="0.3">
      <c r="A4905" s="1">
        <v>46210.431597222225</v>
      </c>
      <c r="B4905" t="s">
        <v>40</v>
      </c>
      <c r="C4905" t="s">
        <v>41</v>
      </c>
      <c r="D4905" s="1">
        <v>46210.43440972222</v>
      </c>
      <c r="E4905" t="s">
        <v>42</v>
      </c>
      <c r="F4905" t="s">
        <v>43</v>
      </c>
      <c r="G4905" t="s">
        <v>43</v>
      </c>
      <c r="H4905" t="s">
        <v>43</v>
      </c>
      <c r="I4905" t="s">
        <v>43</v>
      </c>
      <c r="J4905" t="s">
        <v>43</v>
      </c>
      <c r="K4905" t="s">
        <v>43</v>
      </c>
      <c r="L4905" t="s">
        <v>43</v>
      </c>
      <c r="M4905" t="s">
        <v>43</v>
      </c>
      <c r="N4905" t="s">
        <v>45</v>
      </c>
      <c r="O4905" t="s">
        <v>43</v>
      </c>
      <c r="P4905" t="s">
        <v>43</v>
      </c>
      <c r="Q4905" t="s">
        <v>43</v>
      </c>
      <c r="R4905" t="s">
        <v>43</v>
      </c>
      <c r="S4905" t="s">
        <v>43</v>
      </c>
      <c r="T4905" t="s">
        <v>43</v>
      </c>
      <c r="U4905" t="s">
        <v>43</v>
      </c>
      <c r="V4905" t="s">
        <v>43</v>
      </c>
      <c r="W4905" t="s">
        <v>43</v>
      </c>
      <c r="X4905" t="s">
        <v>43</v>
      </c>
      <c r="Y4905" t="s">
        <v>43</v>
      </c>
      <c r="Z4905" t="s">
        <v>43</v>
      </c>
      <c r="AA4905" t="s">
        <v>43</v>
      </c>
      <c r="AB4905" t="s">
        <v>43</v>
      </c>
      <c r="AC4905" t="s">
        <v>43</v>
      </c>
      <c r="AD4905" t="s">
        <v>43</v>
      </c>
      <c r="AE4905" t="s">
        <v>43</v>
      </c>
      <c r="AF4905" t="s">
        <v>43</v>
      </c>
      <c r="AG4905" t="s">
        <v>43</v>
      </c>
      <c r="AH4905" t="s">
        <v>43</v>
      </c>
      <c r="AI4905" t="s">
        <v>43</v>
      </c>
      <c r="AJ4905" t="s">
        <v>43</v>
      </c>
      <c r="AK4905" t="s">
        <v>43</v>
      </c>
      <c r="AL4905" t="s">
        <v>43</v>
      </c>
      <c r="AM4905" t="s">
        <v>43</v>
      </c>
      <c r="AN4905" t="s">
        <v>43</v>
      </c>
    </row>
    <row r="4906" spans="1:40" x14ac:dyDescent="0.3">
      <c r="A4906" s="1">
        <v>46210.431481481479</v>
      </c>
      <c r="B4906" t="s">
        <v>40</v>
      </c>
      <c r="C4906" t="s">
        <v>41</v>
      </c>
      <c r="D4906" s="1">
        <v>46210.434201388889</v>
      </c>
      <c r="E4906" t="s">
        <v>42</v>
      </c>
      <c r="F4906" t="s">
        <v>43</v>
      </c>
      <c r="G4906" t="s">
        <v>43</v>
      </c>
      <c r="H4906" t="s">
        <v>43</v>
      </c>
      <c r="I4906" t="s">
        <v>2823</v>
      </c>
      <c r="J4906" t="s">
        <v>43</v>
      </c>
      <c r="K4906" t="s">
        <v>43</v>
      </c>
      <c r="L4906" t="s">
        <v>43</v>
      </c>
      <c r="M4906" t="s">
        <v>43</v>
      </c>
      <c r="N4906" t="s">
        <v>45</v>
      </c>
      <c r="O4906" t="s">
        <v>43</v>
      </c>
      <c r="P4906" t="s">
        <v>43</v>
      </c>
      <c r="Q4906" t="s">
        <v>43</v>
      </c>
      <c r="R4906" t="s">
        <v>43</v>
      </c>
      <c r="S4906" t="s">
        <v>43</v>
      </c>
      <c r="T4906" t="s">
        <v>43</v>
      </c>
      <c r="U4906" t="s">
        <v>43</v>
      </c>
      <c r="V4906" t="s">
        <v>43</v>
      </c>
      <c r="W4906" t="s">
        <v>43</v>
      </c>
      <c r="X4906" t="s">
        <v>43</v>
      </c>
      <c r="Y4906" t="s">
        <v>43</v>
      </c>
      <c r="Z4906" t="s">
        <v>43</v>
      </c>
      <c r="AA4906" t="s">
        <v>43</v>
      </c>
      <c r="AB4906" t="s">
        <v>43</v>
      </c>
      <c r="AC4906" t="s">
        <v>43</v>
      </c>
      <c r="AD4906" t="s">
        <v>43</v>
      </c>
      <c r="AE4906" t="s">
        <v>43</v>
      </c>
      <c r="AF4906" t="s">
        <v>43</v>
      </c>
      <c r="AG4906" t="s">
        <v>43</v>
      </c>
      <c r="AH4906" t="s">
        <v>43</v>
      </c>
      <c r="AI4906" t="s">
        <v>43</v>
      </c>
      <c r="AJ4906" t="s">
        <v>43</v>
      </c>
      <c r="AK4906" t="s">
        <v>43</v>
      </c>
      <c r="AL4906" t="s">
        <v>43</v>
      </c>
      <c r="AM4906" t="s">
        <v>43</v>
      </c>
      <c r="AN4906" t="str">
        <f>HYPERLINK("https://www.google.com/maps?q=10.8322506,79.84021759","Open Location")</f>
        <v>Open Location</v>
      </c>
    </row>
    <row r="4907" spans="1:40" x14ac:dyDescent="0.3">
      <c r="A4907" s="1">
        <v>46210.43136574074</v>
      </c>
      <c r="B4907" t="s">
        <v>40</v>
      </c>
      <c r="C4907" t="s">
        <v>41</v>
      </c>
      <c r="D4907" s="1">
        <v>46210.434270833335</v>
      </c>
      <c r="E4907" t="s">
        <v>42</v>
      </c>
      <c r="F4907" t="s">
        <v>43</v>
      </c>
      <c r="G4907" t="s">
        <v>43</v>
      </c>
      <c r="H4907" t="s">
        <v>43</v>
      </c>
      <c r="I4907" t="s">
        <v>2690</v>
      </c>
      <c r="J4907" t="s">
        <v>43</v>
      </c>
      <c r="K4907" t="s">
        <v>43</v>
      </c>
      <c r="L4907" t="s">
        <v>43</v>
      </c>
      <c r="M4907" t="s">
        <v>43</v>
      </c>
      <c r="N4907" t="s">
        <v>45</v>
      </c>
      <c r="O4907" t="s">
        <v>43</v>
      </c>
      <c r="P4907" t="s">
        <v>43</v>
      </c>
      <c r="Q4907" t="s">
        <v>43</v>
      </c>
      <c r="R4907" t="s">
        <v>43</v>
      </c>
      <c r="S4907" t="s">
        <v>43</v>
      </c>
      <c r="T4907" t="s">
        <v>43</v>
      </c>
      <c r="U4907" t="s">
        <v>43</v>
      </c>
      <c r="V4907" t="s">
        <v>43</v>
      </c>
      <c r="W4907" t="s">
        <v>43</v>
      </c>
      <c r="X4907" t="s">
        <v>43</v>
      </c>
      <c r="Y4907" t="s">
        <v>43</v>
      </c>
      <c r="Z4907" t="s">
        <v>43</v>
      </c>
      <c r="AA4907" t="s">
        <v>43</v>
      </c>
      <c r="AB4907" t="s">
        <v>43</v>
      </c>
      <c r="AC4907" t="s">
        <v>43</v>
      </c>
      <c r="AD4907" t="s">
        <v>43</v>
      </c>
      <c r="AE4907" t="s">
        <v>43</v>
      </c>
      <c r="AF4907" t="s">
        <v>43</v>
      </c>
      <c r="AG4907" t="s">
        <v>43</v>
      </c>
      <c r="AH4907" t="s">
        <v>43</v>
      </c>
      <c r="AI4907" t="s">
        <v>43</v>
      </c>
      <c r="AJ4907" t="s">
        <v>43</v>
      </c>
      <c r="AK4907" t="s">
        <v>43</v>
      </c>
      <c r="AL4907" t="s">
        <v>43</v>
      </c>
      <c r="AM4907" t="s">
        <v>43</v>
      </c>
      <c r="AN4907" t="str">
        <f>HYPERLINK("https://www.google.com/maps?q=10.83225155,79.84020996","Open Location")</f>
        <v>Open Location</v>
      </c>
    </row>
    <row r="4908" spans="1:40" x14ac:dyDescent="0.3">
      <c r="A4908" s="1">
        <v>46210.431250000001</v>
      </c>
      <c r="B4908" t="s">
        <v>40</v>
      </c>
      <c r="C4908" t="s">
        <v>41</v>
      </c>
      <c r="D4908" s="1">
        <v>46210.433993055558</v>
      </c>
      <c r="E4908" t="s">
        <v>42</v>
      </c>
      <c r="F4908" t="s">
        <v>43</v>
      </c>
      <c r="G4908" t="s">
        <v>43</v>
      </c>
      <c r="H4908" t="s">
        <v>43</v>
      </c>
      <c r="I4908" t="s">
        <v>2824</v>
      </c>
      <c r="J4908" t="s">
        <v>43</v>
      </c>
      <c r="K4908" t="s">
        <v>43</v>
      </c>
      <c r="L4908" t="s">
        <v>43</v>
      </c>
      <c r="M4908" t="s">
        <v>43</v>
      </c>
      <c r="N4908" t="s">
        <v>45</v>
      </c>
      <c r="O4908" t="s">
        <v>43</v>
      </c>
      <c r="P4908" t="s">
        <v>43</v>
      </c>
      <c r="Q4908" t="s">
        <v>43</v>
      </c>
      <c r="R4908" t="s">
        <v>43</v>
      </c>
      <c r="S4908" t="s">
        <v>43</v>
      </c>
      <c r="T4908" t="s">
        <v>43</v>
      </c>
      <c r="U4908" t="s">
        <v>43</v>
      </c>
      <c r="V4908" t="s">
        <v>43</v>
      </c>
      <c r="W4908" t="s">
        <v>43</v>
      </c>
      <c r="X4908" t="s">
        <v>43</v>
      </c>
      <c r="Y4908" t="s">
        <v>43</v>
      </c>
      <c r="Z4908" t="s">
        <v>43</v>
      </c>
      <c r="AA4908" t="s">
        <v>43</v>
      </c>
      <c r="AB4908" t="s">
        <v>43</v>
      </c>
      <c r="AC4908" t="s">
        <v>43</v>
      </c>
      <c r="AD4908" t="s">
        <v>43</v>
      </c>
      <c r="AE4908" t="s">
        <v>43</v>
      </c>
      <c r="AF4908" t="s">
        <v>43</v>
      </c>
      <c r="AG4908" t="s">
        <v>43</v>
      </c>
      <c r="AH4908" t="s">
        <v>43</v>
      </c>
      <c r="AI4908" t="s">
        <v>43</v>
      </c>
      <c r="AJ4908" t="s">
        <v>43</v>
      </c>
      <c r="AK4908" t="s">
        <v>43</v>
      </c>
      <c r="AL4908" t="s">
        <v>43</v>
      </c>
      <c r="AM4908" t="s">
        <v>43</v>
      </c>
      <c r="AN4908" t="str">
        <f>HYPERLINK("https://www.google.com/maps?q=10.83225727,79.84020233","Open Location")</f>
        <v>Open Location</v>
      </c>
    </row>
    <row r="4909" spans="1:40" x14ac:dyDescent="0.3">
      <c r="A4909" s="1">
        <v>46210.431134259263</v>
      </c>
      <c r="B4909" t="s">
        <v>40</v>
      </c>
      <c r="C4909" t="s">
        <v>41</v>
      </c>
      <c r="D4909" s="1">
        <v>46210.434166666666</v>
      </c>
      <c r="E4909" t="s">
        <v>42</v>
      </c>
      <c r="F4909" t="s">
        <v>43</v>
      </c>
      <c r="G4909" t="s">
        <v>43</v>
      </c>
      <c r="H4909" t="s">
        <v>43</v>
      </c>
      <c r="I4909" t="s">
        <v>2825</v>
      </c>
      <c r="J4909" t="s">
        <v>43</v>
      </c>
      <c r="K4909" t="s">
        <v>43</v>
      </c>
      <c r="L4909" t="s">
        <v>43</v>
      </c>
      <c r="M4909" t="s">
        <v>43</v>
      </c>
      <c r="N4909" t="s">
        <v>45</v>
      </c>
      <c r="O4909" t="s">
        <v>43</v>
      </c>
      <c r="P4909" t="s">
        <v>43</v>
      </c>
      <c r="Q4909" t="s">
        <v>43</v>
      </c>
      <c r="R4909" t="s">
        <v>43</v>
      </c>
      <c r="S4909" t="s">
        <v>43</v>
      </c>
      <c r="T4909" t="s">
        <v>43</v>
      </c>
      <c r="U4909" t="s">
        <v>43</v>
      </c>
      <c r="V4909" t="s">
        <v>43</v>
      </c>
      <c r="W4909" t="s">
        <v>43</v>
      </c>
      <c r="X4909" t="s">
        <v>43</v>
      </c>
      <c r="Y4909" t="s">
        <v>43</v>
      </c>
      <c r="Z4909" t="s">
        <v>43</v>
      </c>
      <c r="AA4909" t="s">
        <v>43</v>
      </c>
      <c r="AB4909" t="s">
        <v>43</v>
      </c>
      <c r="AC4909" t="s">
        <v>43</v>
      </c>
      <c r="AD4909" t="s">
        <v>43</v>
      </c>
      <c r="AE4909" t="s">
        <v>43</v>
      </c>
      <c r="AF4909" t="s">
        <v>43</v>
      </c>
      <c r="AG4909" t="s">
        <v>43</v>
      </c>
      <c r="AH4909" t="s">
        <v>43</v>
      </c>
      <c r="AI4909" t="s">
        <v>43</v>
      </c>
      <c r="AJ4909" t="s">
        <v>43</v>
      </c>
      <c r="AK4909" t="s">
        <v>43</v>
      </c>
      <c r="AL4909" t="s">
        <v>43</v>
      </c>
      <c r="AM4909" t="s">
        <v>43</v>
      </c>
      <c r="AN4909" t="str">
        <f>HYPERLINK("https://www.google.com/maps?q=10.83225918,79.84020996","Open Location")</f>
        <v>Open Location</v>
      </c>
    </row>
    <row r="4910" spans="1:40" x14ac:dyDescent="0.3">
      <c r="A4910" s="1">
        <v>46210.431018518517</v>
      </c>
      <c r="B4910" t="s">
        <v>40</v>
      </c>
      <c r="C4910" t="s">
        <v>41</v>
      </c>
      <c r="D4910" s="1">
        <v>46210.434166666666</v>
      </c>
      <c r="E4910" t="s">
        <v>42</v>
      </c>
      <c r="F4910" t="s">
        <v>43</v>
      </c>
      <c r="G4910" t="s">
        <v>43</v>
      </c>
      <c r="H4910" t="s">
        <v>43</v>
      </c>
      <c r="I4910" t="s">
        <v>2702</v>
      </c>
      <c r="J4910" t="s">
        <v>43</v>
      </c>
      <c r="K4910" t="s">
        <v>43</v>
      </c>
      <c r="L4910" t="s">
        <v>43</v>
      </c>
      <c r="M4910" t="s">
        <v>43</v>
      </c>
      <c r="N4910" t="s">
        <v>45</v>
      </c>
      <c r="O4910" t="s">
        <v>43</v>
      </c>
      <c r="P4910" t="s">
        <v>43</v>
      </c>
      <c r="Q4910" t="s">
        <v>43</v>
      </c>
      <c r="R4910" t="s">
        <v>43</v>
      </c>
      <c r="S4910" t="s">
        <v>43</v>
      </c>
      <c r="T4910" t="s">
        <v>43</v>
      </c>
      <c r="U4910" t="s">
        <v>43</v>
      </c>
      <c r="V4910" t="s">
        <v>43</v>
      </c>
      <c r="W4910" t="s">
        <v>43</v>
      </c>
      <c r="X4910" t="s">
        <v>43</v>
      </c>
      <c r="Y4910" t="s">
        <v>43</v>
      </c>
      <c r="Z4910" t="s">
        <v>43</v>
      </c>
      <c r="AA4910" t="s">
        <v>43</v>
      </c>
      <c r="AB4910" t="s">
        <v>43</v>
      </c>
      <c r="AC4910" t="s">
        <v>43</v>
      </c>
      <c r="AD4910" t="s">
        <v>43</v>
      </c>
      <c r="AE4910" t="s">
        <v>43</v>
      </c>
      <c r="AF4910" t="s">
        <v>43</v>
      </c>
      <c r="AG4910" t="s">
        <v>43</v>
      </c>
      <c r="AH4910" t="s">
        <v>43</v>
      </c>
      <c r="AI4910" t="s">
        <v>43</v>
      </c>
      <c r="AJ4910" t="s">
        <v>43</v>
      </c>
      <c r="AK4910" t="s">
        <v>43</v>
      </c>
      <c r="AL4910" t="s">
        <v>43</v>
      </c>
      <c r="AM4910" t="s">
        <v>43</v>
      </c>
      <c r="AN4910" t="str">
        <f>HYPERLINK("https://www.google.com/maps?q=10.83225822,79.84020233","Open Location")</f>
        <v>Open Location</v>
      </c>
    </row>
    <row r="4911" spans="1:40" x14ac:dyDescent="0.3">
      <c r="A4911" s="1">
        <v>46210.430902777778</v>
      </c>
      <c r="B4911" t="s">
        <v>40</v>
      </c>
      <c r="C4911" t="s">
        <v>41</v>
      </c>
      <c r="D4911" s="1">
        <v>46210.433993055558</v>
      </c>
      <c r="E4911" t="s">
        <v>42</v>
      </c>
      <c r="F4911" t="s">
        <v>43</v>
      </c>
      <c r="G4911" t="s">
        <v>43</v>
      </c>
      <c r="H4911" t="s">
        <v>43</v>
      </c>
      <c r="I4911" t="s">
        <v>43</v>
      </c>
      <c r="J4911" t="s">
        <v>43</v>
      </c>
      <c r="K4911" t="s">
        <v>43</v>
      </c>
      <c r="L4911" t="s">
        <v>43</v>
      </c>
      <c r="M4911" t="s">
        <v>43</v>
      </c>
      <c r="N4911" t="s">
        <v>45</v>
      </c>
      <c r="O4911" t="s">
        <v>43</v>
      </c>
      <c r="P4911" t="s">
        <v>43</v>
      </c>
      <c r="Q4911" t="s">
        <v>43</v>
      </c>
      <c r="R4911" t="s">
        <v>43</v>
      </c>
      <c r="S4911" t="s">
        <v>43</v>
      </c>
      <c r="T4911" t="s">
        <v>43</v>
      </c>
      <c r="U4911" t="s">
        <v>43</v>
      </c>
      <c r="V4911" t="s">
        <v>43</v>
      </c>
      <c r="W4911" t="s">
        <v>43</v>
      </c>
      <c r="X4911" t="s">
        <v>43</v>
      </c>
      <c r="Y4911" t="s">
        <v>43</v>
      </c>
      <c r="Z4911" t="s">
        <v>43</v>
      </c>
      <c r="AA4911" t="s">
        <v>43</v>
      </c>
      <c r="AB4911" t="s">
        <v>43</v>
      </c>
      <c r="AC4911" t="s">
        <v>43</v>
      </c>
      <c r="AD4911" t="s">
        <v>43</v>
      </c>
      <c r="AE4911" t="s">
        <v>43</v>
      </c>
      <c r="AF4911" t="s">
        <v>43</v>
      </c>
      <c r="AG4911" t="s">
        <v>43</v>
      </c>
      <c r="AH4911" t="s">
        <v>43</v>
      </c>
      <c r="AI4911" t="s">
        <v>43</v>
      </c>
      <c r="AJ4911" t="s">
        <v>43</v>
      </c>
      <c r="AK4911" t="s">
        <v>43</v>
      </c>
      <c r="AL4911" t="s">
        <v>43</v>
      </c>
      <c r="AM4911" t="s">
        <v>43</v>
      </c>
      <c r="AN4911" t="s">
        <v>43</v>
      </c>
    </row>
    <row r="4912" spans="1:40" x14ac:dyDescent="0.3">
      <c r="A4912" s="1">
        <v>46210.430787037039</v>
      </c>
      <c r="B4912" t="s">
        <v>40</v>
      </c>
      <c r="C4912" t="s">
        <v>41</v>
      </c>
      <c r="D4912" s="1">
        <v>46210.433425925927</v>
      </c>
      <c r="E4912" t="s">
        <v>42</v>
      </c>
      <c r="F4912" t="s">
        <v>43</v>
      </c>
      <c r="G4912" t="s">
        <v>43</v>
      </c>
      <c r="H4912" t="s">
        <v>43</v>
      </c>
      <c r="I4912" t="s">
        <v>2824</v>
      </c>
      <c r="J4912" t="s">
        <v>43</v>
      </c>
      <c r="K4912" t="s">
        <v>43</v>
      </c>
      <c r="L4912" t="s">
        <v>43</v>
      </c>
      <c r="M4912" t="s">
        <v>43</v>
      </c>
      <c r="N4912" t="s">
        <v>45</v>
      </c>
      <c r="O4912" t="s">
        <v>43</v>
      </c>
      <c r="P4912" t="s">
        <v>43</v>
      </c>
      <c r="Q4912" t="s">
        <v>43</v>
      </c>
      <c r="R4912" t="s">
        <v>43</v>
      </c>
      <c r="S4912" t="s">
        <v>43</v>
      </c>
      <c r="T4912" t="s">
        <v>43</v>
      </c>
      <c r="U4912" t="s">
        <v>43</v>
      </c>
      <c r="V4912" t="s">
        <v>43</v>
      </c>
      <c r="W4912" t="s">
        <v>43</v>
      </c>
      <c r="X4912" t="s">
        <v>43</v>
      </c>
      <c r="Y4912" t="s">
        <v>43</v>
      </c>
      <c r="Z4912" t="s">
        <v>43</v>
      </c>
      <c r="AA4912" t="s">
        <v>43</v>
      </c>
      <c r="AB4912" t="s">
        <v>43</v>
      </c>
      <c r="AC4912" t="s">
        <v>43</v>
      </c>
      <c r="AD4912" t="s">
        <v>43</v>
      </c>
      <c r="AE4912" t="s">
        <v>43</v>
      </c>
      <c r="AF4912" t="s">
        <v>43</v>
      </c>
      <c r="AG4912" t="s">
        <v>43</v>
      </c>
      <c r="AH4912" t="s">
        <v>43</v>
      </c>
      <c r="AI4912" t="s">
        <v>43</v>
      </c>
      <c r="AJ4912" t="s">
        <v>43</v>
      </c>
      <c r="AK4912" t="s">
        <v>43</v>
      </c>
      <c r="AL4912" t="s">
        <v>43</v>
      </c>
      <c r="AM4912" t="s">
        <v>43</v>
      </c>
      <c r="AN4912" t="str">
        <f>HYPERLINK("https://www.google.com/maps?q=10.83225727,79.84020233","Open Location")</f>
        <v>Open Location</v>
      </c>
    </row>
    <row r="4913" spans="1:40" x14ac:dyDescent="0.3">
      <c r="A4913" s="1">
        <v>46210.430671296293</v>
      </c>
      <c r="B4913" t="s">
        <v>40</v>
      </c>
      <c r="C4913" t="s">
        <v>41</v>
      </c>
      <c r="D4913" s="1">
        <v>46210.43341435185</v>
      </c>
      <c r="E4913" t="s">
        <v>42</v>
      </c>
      <c r="F4913" t="s">
        <v>43</v>
      </c>
      <c r="G4913" t="s">
        <v>43</v>
      </c>
      <c r="H4913" t="s">
        <v>43</v>
      </c>
      <c r="I4913" t="s">
        <v>2702</v>
      </c>
      <c r="J4913" t="s">
        <v>43</v>
      </c>
      <c r="K4913" t="s">
        <v>43</v>
      </c>
      <c r="L4913" t="s">
        <v>43</v>
      </c>
      <c r="M4913" t="s">
        <v>43</v>
      </c>
      <c r="N4913" t="s">
        <v>45</v>
      </c>
      <c r="O4913" t="s">
        <v>43</v>
      </c>
      <c r="P4913" t="s">
        <v>43</v>
      </c>
      <c r="Q4913" t="s">
        <v>43</v>
      </c>
      <c r="R4913" t="s">
        <v>43</v>
      </c>
      <c r="S4913" t="s">
        <v>43</v>
      </c>
      <c r="T4913" t="s">
        <v>43</v>
      </c>
      <c r="U4913" t="s">
        <v>43</v>
      </c>
      <c r="V4913" t="s">
        <v>43</v>
      </c>
      <c r="W4913" t="s">
        <v>43</v>
      </c>
      <c r="X4913" t="s">
        <v>43</v>
      </c>
      <c r="Y4913" t="s">
        <v>43</v>
      </c>
      <c r="Z4913" t="s">
        <v>43</v>
      </c>
      <c r="AA4913" t="s">
        <v>43</v>
      </c>
      <c r="AB4913" t="s">
        <v>43</v>
      </c>
      <c r="AC4913" t="s">
        <v>43</v>
      </c>
      <c r="AD4913" t="s">
        <v>43</v>
      </c>
      <c r="AE4913" t="s">
        <v>43</v>
      </c>
      <c r="AF4913" t="s">
        <v>43</v>
      </c>
      <c r="AG4913" t="s">
        <v>43</v>
      </c>
      <c r="AH4913" t="s">
        <v>43</v>
      </c>
      <c r="AI4913" t="s">
        <v>43</v>
      </c>
      <c r="AJ4913" t="s">
        <v>43</v>
      </c>
      <c r="AK4913" t="s">
        <v>43</v>
      </c>
      <c r="AL4913" t="s">
        <v>43</v>
      </c>
      <c r="AM4913" t="s">
        <v>43</v>
      </c>
      <c r="AN4913" t="str">
        <f>HYPERLINK("https://www.google.com/maps?q=10.83225822,79.84020233","Open Location")</f>
        <v>Open Location</v>
      </c>
    </row>
    <row r="4914" spans="1:40" x14ac:dyDescent="0.3">
      <c r="A4914" s="1">
        <v>46210.430555555555</v>
      </c>
      <c r="B4914" t="s">
        <v>40</v>
      </c>
      <c r="C4914" t="s">
        <v>41</v>
      </c>
      <c r="D4914" s="1">
        <v>46210.433437500003</v>
      </c>
      <c r="E4914" t="s">
        <v>42</v>
      </c>
      <c r="F4914" t="s">
        <v>43</v>
      </c>
      <c r="G4914" t="s">
        <v>43</v>
      </c>
      <c r="H4914" t="s">
        <v>43</v>
      </c>
      <c r="I4914" t="s">
        <v>2826</v>
      </c>
      <c r="J4914" t="s">
        <v>43</v>
      </c>
      <c r="K4914" t="s">
        <v>43</v>
      </c>
      <c r="L4914" t="s">
        <v>43</v>
      </c>
      <c r="M4914" t="s">
        <v>43</v>
      </c>
      <c r="N4914" t="s">
        <v>45</v>
      </c>
      <c r="O4914" t="s">
        <v>43</v>
      </c>
      <c r="P4914" t="s">
        <v>43</v>
      </c>
      <c r="Q4914" t="s">
        <v>43</v>
      </c>
      <c r="R4914" t="s">
        <v>43</v>
      </c>
      <c r="S4914" t="s">
        <v>43</v>
      </c>
      <c r="T4914" t="s">
        <v>43</v>
      </c>
      <c r="U4914" t="s">
        <v>43</v>
      </c>
      <c r="V4914" t="s">
        <v>43</v>
      </c>
      <c r="W4914" t="s">
        <v>43</v>
      </c>
      <c r="X4914" t="s">
        <v>43</v>
      </c>
      <c r="Y4914" t="s">
        <v>43</v>
      </c>
      <c r="Z4914" t="s">
        <v>43</v>
      </c>
      <c r="AA4914" t="s">
        <v>43</v>
      </c>
      <c r="AB4914" t="s">
        <v>43</v>
      </c>
      <c r="AC4914" t="s">
        <v>43</v>
      </c>
      <c r="AD4914" t="s">
        <v>43</v>
      </c>
      <c r="AE4914" t="s">
        <v>43</v>
      </c>
      <c r="AF4914" t="s">
        <v>43</v>
      </c>
      <c r="AG4914" t="s">
        <v>43</v>
      </c>
      <c r="AH4914" t="s">
        <v>43</v>
      </c>
      <c r="AI4914" t="s">
        <v>43</v>
      </c>
      <c r="AJ4914" t="s">
        <v>43</v>
      </c>
      <c r="AK4914" t="s">
        <v>43</v>
      </c>
      <c r="AL4914" t="s">
        <v>43</v>
      </c>
      <c r="AM4914" t="s">
        <v>43</v>
      </c>
      <c r="AN4914" t="str">
        <f>HYPERLINK("https://www.google.com/maps?q=10.83225918,79.84020233","Open Location")</f>
        <v>Open Location</v>
      </c>
    </row>
    <row r="4915" spans="1:40" x14ac:dyDescent="0.3">
      <c r="A4915" s="1">
        <v>46210.430439814816</v>
      </c>
      <c r="B4915" t="s">
        <v>40</v>
      </c>
      <c r="C4915" t="s">
        <v>41</v>
      </c>
      <c r="D4915" s="1">
        <v>46210.43341435185</v>
      </c>
      <c r="E4915" t="s">
        <v>42</v>
      </c>
      <c r="F4915" t="s">
        <v>43</v>
      </c>
      <c r="G4915" t="s">
        <v>43</v>
      </c>
      <c r="H4915" t="s">
        <v>43</v>
      </c>
      <c r="I4915" t="s">
        <v>2826</v>
      </c>
      <c r="J4915" t="s">
        <v>43</v>
      </c>
      <c r="K4915" t="s">
        <v>43</v>
      </c>
      <c r="L4915" t="s">
        <v>43</v>
      </c>
      <c r="M4915" t="s">
        <v>43</v>
      </c>
      <c r="N4915" t="s">
        <v>45</v>
      </c>
      <c r="O4915" t="s">
        <v>43</v>
      </c>
      <c r="P4915" t="s">
        <v>43</v>
      </c>
      <c r="Q4915" t="s">
        <v>43</v>
      </c>
      <c r="R4915" t="s">
        <v>43</v>
      </c>
      <c r="S4915" t="s">
        <v>43</v>
      </c>
      <c r="T4915" t="s">
        <v>43</v>
      </c>
      <c r="U4915" t="s">
        <v>43</v>
      </c>
      <c r="V4915" t="s">
        <v>43</v>
      </c>
      <c r="W4915" t="s">
        <v>43</v>
      </c>
      <c r="X4915" t="s">
        <v>43</v>
      </c>
      <c r="Y4915" t="s">
        <v>43</v>
      </c>
      <c r="Z4915" t="s">
        <v>43</v>
      </c>
      <c r="AA4915" t="s">
        <v>43</v>
      </c>
      <c r="AB4915" t="s">
        <v>43</v>
      </c>
      <c r="AC4915" t="s">
        <v>43</v>
      </c>
      <c r="AD4915" t="s">
        <v>43</v>
      </c>
      <c r="AE4915" t="s">
        <v>43</v>
      </c>
      <c r="AF4915" t="s">
        <v>43</v>
      </c>
      <c r="AG4915" t="s">
        <v>43</v>
      </c>
      <c r="AH4915" t="s">
        <v>43</v>
      </c>
      <c r="AI4915" t="s">
        <v>43</v>
      </c>
      <c r="AJ4915" t="s">
        <v>43</v>
      </c>
      <c r="AK4915" t="s">
        <v>43</v>
      </c>
      <c r="AL4915" t="s">
        <v>43</v>
      </c>
      <c r="AM4915" t="s">
        <v>43</v>
      </c>
      <c r="AN4915" t="str">
        <f>HYPERLINK("https://www.google.com/maps?q=10.83225918,79.84020233","Open Location")</f>
        <v>Open Location</v>
      </c>
    </row>
    <row r="4916" spans="1:40" x14ac:dyDescent="0.3">
      <c r="A4916" s="1">
        <v>46210.430324074077</v>
      </c>
      <c r="B4916" t="s">
        <v>40</v>
      </c>
      <c r="C4916" t="s">
        <v>41</v>
      </c>
      <c r="D4916" s="1">
        <v>46210.433078703703</v>
      </c>
      <c r="E4916" t="s">
        <v>42</v>
      </c>
      <c r="F4916" t="s">
        <v>43</v>
      </c>
      <c r="G4916" t="s">
        <v>43</v>
      </c>
      <c r="H4916" t="s">
        <v>43</v>
      </c>
      <c r="I4916" t="s">
        <v>2827</v>
      </c>
      <c r="J4916" t="s">
        <v>43</v>
      </c>
      <c r="K4916" t="s">
        <v>43</v>
      </c>
      <c r="L4916" t="s">
        <v>43</v>
      </c>
      <c r="M4916" t="s">
        <v>43</v>
      </c>
      <c r="N4916" t="s">
        <v>45</v>
      </c>
      <c r="O4916" t="s">
        <v>43</v>
      </c>
      <c r="P4916" t="s">
        <v>43</v>
      </c>
      <c r="Q4916" t="s">
        <v>43</v>
      </c>
      <c r="R4916" t="s">
        <v>43</v>
      </c>
      <c r="S4916" t="s">
        <v>43</v>
      </c>
      <c r="T4916" t="s">
        <v>43</v>
      </c>
      <c r="U4916" t="s">
        <v>43</v>
      </c>
      <c r="V4916" t="s">
        <v>43</v>
      </c>
      <c r="W4916" t="s">
        <v>43</v>
      </c>
      <c r="X4916" t="s">
        <v>43</v>
      </c>
      <c r="Y4916" t="s">
        <v>43</v>
      </c>
      <c r="Z4916" t="s">
        <v>43</v>
      </c>
      <c r="AA4916" t="s">
        <v>43</v>
      </c>
      <c r="AB4916" t="s">
        <v>43</v>
      </c>
      <c r="AC4916" t="s">
        <v>43</v>
      </c>
      <c r="AD4916" t="s">
        <v>43</v>
      </c>
      <c r="AE4916" t="s">
        <v>43</v>
      </c>
      <c r="AF4916" t="s">
        <v>43</v>
      </c>
      <c r="AG4916" t="s">
        <v>43</v>
      </c>
      <c r="AH4916" t="s">
        <v>43</v>
      </c>
      <c r="AI4916" t="s">
        <v>43</v>
      </c>
      <c r="AJ4916" t="s">
        <v>43</v>
      </c>
      <c r="AK4916" t="s">
        <v>43</v>
      </c>
      <c r="AL4916" t="s">
        <v>43</v>
      </c>
      <c r="AM4916" t="s">
        <v>43</v>
      </c>
      <c r="AN4916" t="str">
        <f>HYPERLINK("https://www.google.com/maps?q=10.83226109,79.8401947","Open Location")</f>
        <v>Open Location</v>
      </c>
    </row>
    <row r="4917" spans="1:40" x14ac:dyDescent="0.3">
      <c r="A4917" s="1">
        <v>46210.430208333331</v>
      </c>
      <c r="B4917" t="s">
        <v>40</v>
      </c>
      <c r="C4917" t="s">
        <v>41</v>
      </c>
      <c r="D4917" s="1">
        <v>46210.43304398148</v>
      </c>
      <c r="E4917" t="s">
        <v>42</v>
      </c>
      <c r="F4917" t="s">
        <v>43</v>
      </c>
      <c r="G4917" t="s">
        <v>43</v>
      </c>
      <c r="H4917" t="s">
        <v>43</v>
      </c>
      <c r="I4917" t="s">
        <v>43</v>
      </c>
      <c r="J4917" t="s">
        <v>43</v>
      </c>
      <c r="K4917" t="s">
        <v>43</v>
      </c>
      <c r="L4917" t="s">
        <v>43</v>
      </c>
      <c r="M4917" t="s">
        <v>43</v>
      </c>
      <c r="N4917" t="s">
        <v>45</v>
      </c>
      <c r="O4917" t="s">
        <v>43</v>
      </c>
      <c r="P4917" t="s">
        <v>43</v>
      </c>
      <c r="Q4917" t="s">
        <v>43</v>
      </c>
      <c r="R4917" t="s">
        <v>43</v>
      </c>
      <c r="S4917" t="s">
        <v>43</v>
      </c>
      <c r="T4917" t="s">
        <v>43</v>
      </c>
      <c r="U4917" t="s">
        <v>43</v>
      </c>
      <c r="V4917" t="s">
        <v>43</v>
      </c>
      <c r="W4917" t="s">
        <v>43</v>
      </c>
      <c r="X4917" t="s">
        <v>43</v>
      </c>
      <c r="Y4917" t="s">
        <v>43</v>
      </c>
      <c r="Z4917" t="s">
        <v>43</v>
      </c>
      <c r="AA4917" t="s">
        <v>43</v>
      </c>
      <c r="AB4917" t="s">
        <v>43</v>
      </c>
      <c r="AC4917" t="s">
        <v>43</v>
      </c>
      <c r="AD4917" t="s">
        <v>43</v>
      </c>
      <c r="AE4917" t="s">
        <v>43</v>
      </c>
      <c r="AF4917" t="s">
        <v>43</v>
      </c>
      <c r="AG4917" t="s">
        <v>43</v>
      </c>
      <c r="AH4917" t="s">
        <v>43</v>
      </c>
      <c r="AI4917" t="s">
        <v>43</v>
      </c>
      <c r="AJ4917" t="s">
        <v>43</v>
      </c>
      <c r="AK4917" t="s">
        <v>43</v>
      </c>
      <c r="AL4917" t="s">
        <v>43</v>
      </c>
      <c r="AM4917" t="s">
        <v>43</v>
      </c>
      <c r="AN4917" t="s">
        <v>43</v>
      </c>
    </row>
    <row r="4918" spans="1:40" x14ac:dyDescent="0.3">
      <c r="A4918" s="1">
        <v>46210.430092592593</v>
      </c>
      <c r="B4918" t="s">
        <v>40</v>
      </c>
      <c r="C4918" t="s">
        <v>41</v>
      </c>
      <c r="D4918" s="1">
        <v>46210.433263888888</v>
      </c>
      <c r="E4918" t="s">
        <v>42</v>
      </c>
      <c r="F4918" t="s">
        <v>43</v>
      </c>
      <c r="G4918" t="s">
        <v>43</v>
      </c>
      <c r="H4918" t="s">
        <v>43</v>
      </c>
      <c r="I4918" t="s">
        <v>2828</v>
      </c>
      <c r="J4918" t="s">
        <v>43</v>
      </c>
      <c r="K4918" t="s">
        <v>43</v>
      </c>
      <c r="L4918" t="s">
        <v>43</v>
      </c>
      <c r="M4918" t="s">
        <v>43</v>
      </c>
      <c r="N4918" t="s">
        <v>45</v>
      </c>
      <c r="O4918" t="s">
        <v>43</v>
      </c>
      <c r="P4918" t="s">
        <v>43</v>
      </c>
      <c r="Q4918" t="s">
        <v>43</v>
      </c>
      <c r="R4918" t="s">
        <v>43</v>
      </c>
      <c r="S4918" t="s">
        <v>43</v>
      </c>
      <c r="T4918" t="s">
        <v>43</v>
      </c>
      <c r="U4918" t="s">
        <v>43</v>
      </c>
      <c r="V4918" t="s">
        <v>43</v>
      </c>
      <c r="W4918" t="s">
        <v>43</v>
      </c>
      <c r="X4918" t="s">
        <v>43</v>
      </c>
      <c r="Y4918" t="s">
        <v>43</v>
      </c>
      <c r="Z4918" t="s">
        <v>43</v>
      </c>
      <c r="AA4918" t="s">
        <v>43</v>
      </c>
      <c r="AB4918" t="s">
        <v>43</v>
      </c>
      <c r="AC4918" t="s">
        <v>43</v>
      </c>
      <c r="AD4918" t="s">
        <v>43</v>
      </c>
      <c r="AE4918" t="s">
        <v>43</v>
      </c>
      <c r="AF4918" t="s">
        <v>43</v>
      </c>
      <c r="AG4918" t="s">
        <v>43</v>
      </c>
      <c r="AH4918" t="s">
        <v>43</v>
      </c>
      <c r="AI4918" t="s">
        <v>43</v>
      </c>
      <c r="AJ4918" t="s">
        <v>43</v>
      </c>
      <c r="AK4918" t="s">
        <v>43</v>
      </c>
      <c r="AL4918" t="s">
        <v>43</v>
      </c>
      <c r="AM4918" t="s">
        <v>43</v>
      </c>
      <c r="AN4918" t="str">
        <f>HYPERLINK("https://www.google.com/maps?q=10.83225918,79.8401947","Open Location")</f>
        <v>Open Location</v>
      </c>
    </row>
    <row r="4919" spans="1:40" x14ac:dyDescent="0.3">
      <c r="A4919" s="1">
        <v>46210.429976851854</v>
      </c>
      <c r="B4919" t="s">
        <v>40</v>
      </c>
      <c r="C4919" t="s">
        <v>41</v>
      </c>
      <c r="D4919" s="1">
        <v>46210.433055555557</v>
      </c>
      <c r="E4919" t="s">
        <v>42</v>
      </c>
      <c r="F4919" t="s">
        <v>43</v>
      </c>
      <c r="G4919" t="s">
        <v>43</v>
      </c>
      <c r="H4919" t="s">
        <v>43</v>
      </c>
      <c r="I4919" t="s">
        <v>2767</v>
      </c>
      <c r="J4919" t="s">
        <v>43</v>
      </c>
      <c r="K4919" t="s">
        <v>43</v>
      </c>
      <c r="L4919" t="s">
        <v>43</v>
      </c>
      <c r="M4919" t="s">
        <v>43</v>
      </c>
      <c r="N4919" t="s">
        <v>45</v>
      </c>
      <c r="O4919" t="s">
        <v>43</v>
      </c>
      <c r="P4919" t="s">
        <v>43</v>
      </c>
      <c r="Q4919" t="s">
        <v>43</v>
      </c>
      <c r="R4919" t="s">
        <v>43</v>
      </c>
      <c r="S4919" t="s">
        <v>43</v>
      </c>
      <c r="T4919" t="s">
        <v>43</v>
      </c>
      <c r="U4919" t="s">
        <v>43</v>
      </c>
      <c r="V4919" t="s">
        <v>43</v>
      </c>
      <c r="W4919" t="s">
        <v>43</v>
      </c>
      <c r="X4919" t="s">
        <v>43</v>
      </c>
      <c r="Y4919" t="s">
        <v>43</v>
      </c>
      <c r="Z4919" t="s">
        <v>43</v>
      </c>
      <c r="AA4919" t="s">
        <v>43</v>
      </c>
      <c r="AB4919" t="s">
        <v>43</v>
      </c>
      <c r="AC4919" t="s">
        <v>43</v>
      </c>
      <c r="AD4919" t="s">
        <v>43</v>
      </c>
      <c r="AE4919" t="s">
        <v>43</v>
      </c>
      <c r="AF4919" t="s">
        <v>43</v>
      </c>
      <c r="AG4919" t="s">
        <v>43</v>
      </c>
      <c r="AH4919" t="s">
        <v>43</v>
      </c>
      <c r="AI4919" t="s">
        <v>43</v>
      </c>
      <c r="AJ4919" t="s">
        <v>43</v>
      </c>
      <c r="AK4919" t="s">
        <v>43</v>
      </c>
      <c r="AL4919" t="s">
        <v>43</v>
      </c>
      <c r="AM4919" t="s">
        <v>43</v>
      </c>
      <c r="AN4919" t="str">
        <f>HYPERLINK("https://www.google.com/maps?q=10.83225441,79.8401947","Open Location")</f>
        <v>Open Location</v>
      </c>
    </row>
    <row r="4920" spans="1:40" x14ac:dyDescent="0.3">
      <c r="A4920" s="1">
        <v>46210.429861111108</v>
      </c>
      <c r="B4920" t="s">
        <v>40</v>
      </c>
      <c r="C4920" t="s">
        <v>41</v>
      </c>
      <c r="D4920" s="1">
        <v>46210.432500000003</v>
      </c>
      <c r="E4920" t="s">
        <v>42</v>
      </c>
      <c r="F4920" t="s">
        <v>43</v>
      </c>
      <c r="G4920" t="s">
        <v>43</v>
      </c>
      <c r="H4920" t="s">
        <v>43</v>
      </c>
      <c r="I4920" t="s">
        <v>2829</v>
      </c>
      <c r="J4920" t="s">
        <v>43</v>
      </c>
      <c r="K4920" t="s">
        <v>43</v>
      </c>
      <c r="L4920" t="s">
        <v>43</v>
      </c>
      <c r="M4920" t="s">
        <v>43</v>
      </c>
      <c r="N4920" t="s">
        <v>45</v>
      </c>
      <c r="O4920" t="s">
        <v>43</v>
      </c>
      <c r="P4920" t="s">
        <v>43</v>
      </c>
      <c r="Q4920" t="s">
        <v>43</v>
      </c>
      <c r="R4920" t="s">
        <v>43</v>
      </c>
      <c r="S4920" t="s">
        <v>43</v>
      </c>
      <c r="T4920" t="s">
        <v>43</v>
      </c>
      <c r="U4920" t="s">
        <v>43</v>
      </c>
      <c r="V4920" t="s">
        <v>43</v>
      </c>
      <c r="W4920" t="s">
        <v>43</v>
      </c>
      <c r="X4920" t="s">
        <v>43</v>
      </c>
      <c r="Y4920" t="s">
        <v>43</v>
      </c>
      <c r="Z4920" t="s">
        <v>43</v>
      </c>
      <c r="AA4920" t="s">
        <v>43</v>
      </c>
      <c r="AB4920" t="s">
        <v>43</v>
      </c>
      <c r="AC4920" t="s">
        <v>43</v>
      </c>
      <c r="AD4920" t="s">
        <v>43</v>
      </c>
      <c r="AE4920" t="s">
        <v>43</v>
      </c>
      <c r="AF4920" t="s">
        <v>43</v>
      </c>
      <c r="AG4920" t="s">
        <v>43</v>
      </c>
      <c r="AH4920" t="s">
        <v>43</v>
      </c>
      <c r="AI4920" t="s">
        <v>43</v>
      </c>
      <c r="AJ4920" t="s">
        <v>43</v>
      </c>
      <c r="AK4920" t="s">
        <v>43</v>
      </c>
      <c r="AL4920" t="s">
        <v>43</v>
      </c>
      <c r="AM4920" t="s">
        <v>43</v>
      </c>
      <c r="AN4920" t="str">
        <f>HYPERLINK("https://www.google.com/maps?q=10.83225632,79.8401947","Open Location")</f>
        <v>Open Location</v>
      </c>
    </row>
    <row r="4921" spans="1:40" x14ac:dyDescent="0.3">
      <c r="A4921" s="1">
        <v>46210.429745370369</v>
      </c>
      <c r="B4921" t="s">
        <v>40</v>
      </c>
      <c r="C4921" t="s">
        <v>41</v>
      </c>
      <c r="D4921" s="1">
        <v>46210.432800925926</v>
      </c>
      <c r="E4921" t="s">
        <v>42</v>
      </c>
      <c r="F4921" t="s">
        <v>43</v>
      </c>
      <c r="G4921" t="s">
        <v>43</v>
      </c>
      <c r="H4921" t="s">
        <v>43</v>
      </c>
      <c r="I4921" t="s">
        <v>2826</v>
      </c>
      <c r="J4921" t="s">
        <v>43</v>
      </c>
      <c r="K4921" t="s">
        <v>43</v>
      </c>
      <c r="L4921" t="s">
        <v>43</v>
      </c>
      <c r="M4921" t="s">
        <v>43</v>
      </c>
      <c r="N4921" t="s">
        <v>45</v>
      </c>
      <c r="O4921" t="s">
        <v>43</v>
      </c>
      <c r="P4921" t="s">
        <v>43</v>
      </c>
      <c r="Q4921" t="s">
        <v>43</v>
      </c>
      <c r="R4921" t="s">
        <v>43</v>
      </c>
      <c r="S4921" t="s">
        <v>43</v>
      </c>
      <c r="T4921" t="s">
        <v>43</v>
      </c>
      <c r="U4921" t="s">
        <v>43</v>
      </c>
      <c r="V4921" t="s">
        <v>43</v>
      </c>
      <c r="W4921" t="s">
        <v>43</v>
      </c>
      <c r="X4921" t="s">
        <v>43</v>
      </c>
      <c r="Y4921" t="s">
        <v>43</v>
      </c>
      <c r="Z4921" t="s">
        <v>43</v>
      </c>
      <c r="AA4921" t="s">
        <v>43</v>
      </c>
      <c r="AB4921" t="s">
        <v>43</v>
      </c>
      <c r="AC4921" t="s">
        <v>43</v>
      </c>
      <c r="AD4921" t="s">
        <v>43</v>
      </c>
      <c r="AE4921" t="s">
        <v>43</v>
      </c>
      <c r="AF4921" t="s">
        <v>43</v>
      </c>
      <c r="AG4921" t="s">
        <v>43</v>
      </c>
      <c r="AH4921" t="s">
        <v>43</v>
      </c>
      <c r="AI4921" t="s">
        <v>43</v>
      </c>
      <c r="AJ4921" t="s">
        <v>43</v>
      </c>
      <c r="AK4921" t="s">
        <v>43</v>
      </c>
      <c r="AL4921" t="s">
        <v>43</v>
      </c>
      <c r="AM4921" t="s">
        <v>43</v>
      </c>
      <c r="AN4921" t="str">
        <f>HYPERLINK("https://www.google.com/maps?q=10.83225918,79.84020233","Open Location")</f>
        <v>Open Location</v>
      </c>
    </row>
    <row r="4922" spans="1:40" x14ac:dyDescent="0.3">
      <c r="A4922" s="1">
        <v>46210.429629629631</v>
      </c>
      <c r="B4922" t="s">
        <v>40</v>
      </c>
      <c r="C4922" t="s">
        <v>41</v>
      </c>
      <c r="D4922" s="1">
        <v>46210.43240740741</v>
      </c>
      <c r="E4922" t="s">
        <v>42</v>
      </c>
      <c r="F4922" t="s">
        <v>43</v>
      </c>
      <c r="G4922" t="s">
        <v>43</v>
      </c>
      <c r="H4922" t="s">
        <v>43</v>
      </c>
      <c r="I4922" t="s">
        <v>43</v>
      </c>
      <c r="J4922" t="s">
        <v>43</v>
      </c>
      <c r="K4922" t="s">
        <v>43</v>
      </c>
      <c r="L4922" t="s">
        <v>43</v>
      </c>
      <c r="M4922" t="s">
        <v>43</v>
      </c>
      <c r="N4922" t="s">
        <v>45</v>
      </c>
      <c r="O4922" t="s">
        <v>43</v>
      </c>
      <c r="P4922" t="s">
        <v>43</v>
      </c>
      <c r="Q4922" t="s">
        <v>43</v>
      </c>
      <c r="R4922" t="s">
        <v>43</v>
      </c>
      <c r="S4922" t="s">
        <v>43</v>
      </c>
      <c r="T4922" t="s">
        <v>43</v>
      </c>
      <c r="U4922" t="s">
        <v>43</v>
      </c>
      <c r="V4922" t="s">
        <v>43</v>
      </c>
      <c r="W4922" t="s">
        <v>43</v>
      </c>
      <c r="X4922" t="s">
        <v>43</v>
      </c>
      <c r="Y4922" t="s">
        <v>43</v>
      </c>
      <c r="Z4922" t="s">
        <v>43</v>
      </c>
      <c r="AA4922" t="s">
        <v>43</v>
      </c>
      <c r="AB4922" t="s">
        <v>43</v>
      </c>
      <c r="AC4922" t="s">
        <v>43</v>
      </c>
      <c r="AD4922" t="s">
        <v>43</v>
      </c>
      <c r="AE4922" t="s">
        <v>43</v>
      </c>
      <c r="AF4922" t="s">
        <v>43</v>
      </c>
      <c r="AG4922" t="s">
        <v>43</v>
      </c>
      <c r="AH4922" t="s">
        <v>43</v>
      </c>
      <c r="AI4922" t="s">
        <v>43</v>
      </c>
      <c r="AJ4922" t="s">
        <v>43</v>
      </c>
      <c r="AK4922" t="s">
        <v>43</v>
      </c>
      <c r="AL4922" t="s">
        <v>43</v>
      </c>
      <c r="AM4922" t="s">
        <v>43</v>
      </c>
      <c r="AN4922" t="s">
        <v>43</v>
      </c>
    </row>
    <row r="4923" spans="1:40" x14ac:dyDescent="0.3">
      <c r="A4923" s="1">
        <v>46210.429513888892</v>
      </c>
      <c r="B4923" t="s">
        <v>40</v>
      </c>
      <c r="C4923" t="s">
        <v>41</v>
      </c>
      <c r="D4923" s="1">
        <v>46210.432500000003</v>
      </c>
      <c r="E4923" t="s">
        <v>42</v>
      </c>
      <c r="F4923" t="s">
        <v>43</v>
      </c>
      <c r="G4923" t="s">
        <v>43</v>
      </c>
      <c r="H4923" t="s">
        <v>43</v>
      </c>
      <c r="I4923" t="s">
        <v>2830</v>
      </c>
      <c r="J4923" t="s">
        <v>43</v>
      </c>
      <c r="K4923" t="s">
        <v>43</v>
      </c>
      <c r="L4923" t="s">
        <v>43</v>
      </c>
      <c r="M4923" t="s">
        <v>43</v>
      </c>
      <c r="N4923" t="s">
        <v>45</v>
      </c>
      <c r="O4923" t="s">
        <v>43</v>
      </c>
      <c r="P4923" t="s">
        <v>43</v>
      </c>
      <c r="Q4923" t="s">
        <v>43</v>
      </c>
      <c r="R4923" t="s">
        <v>43</v>
      </c>
      <c r="S4923" t="s">
        <v>43</v>
      </c>
      <c r="T4923" t="s">
        <v>43</v>
      </c>
      <c r="U4923" t="s">
        <v>43</v>
      </c>
      <c r="V4923" t="s">
        <v>43</v>
      </c>
      <c r="W4923" t="s">
        <v>43</v>
      </c>
      <c r="X4923" t="s">
        <v>43</v>
      </c>
      <c r="Y4923" t="s">
        <v>43</v>
      </c>
      <c r="Z4923" t="s">
        <v>43</v>
      </c>
      <c r="AA4923" t="s">
        <v>43</v>
      </c>
      <c r="AB4923" t="s">
        <v>43</v>
      </c>
      <c r="AC4923" t="s">
        <v>43</v>
      </c>
      <c r="AD4923" t="s">
        <v>43</v>
      </c>
      <c r="AE4923" t="s">
        <v>43</v>
      </c>
      <c r="AF4923" t="s">
        <v>43</v>
      </c>
      <c r="AG4923" t="s">
        <v>43</v>
      </c>
      <c r="AH4923" t="s">
        <v>43</v>
      </c>
      <c r="AI4923" t="s">
        <v>43</v>
      </c>
      <c r="AJ4923" t="s">
        <v>43</v>
      </c>
      <c r="AK4923" t="s">
        <v>43</v>
      </c>
      <c r="AL4923" t="s">
        <v>43</v>
      </c>
      <c r="AM4923" t="s">
        <v>43</v>
      </c>
      <c r="AN4923" t="str">
        <f>HYPERLINK("https://www.google.com/maps?q=10.83226299,79.84020996","Open Location")</f>
        <v>Open Location</v>
      </c>
    </row>
    <row r="4924" spans="1:40" x14ac:dyDescent="0.3">
      <c r="A4924" s="1">
        <v>46210.429398148146</v>
      </c>
      <c r="B4924" t="s">
        <v>40</v>
      </c>
      <c r="C4924" t="s">
        <v>41</v>
      </c>
      <c r="D4924" s="1">
        <v>46210.432256944441</v>
      </c>
      <c r="E4924" t="s">
        <v>42</v>
      </c>
      <c r="F4924" t="s">
        <v>43</v>
      </c>
      <c r="G4924" t="s">
        <v>43</v>
      </c>
      <c r="H4924" t="s">
        <v>43</v>
      </c>
      <c r="I4924" t="s">
        <v>2831</v>
      </c>
      <c r="J4924" t="s">
        <v>43</v>
      </c>
      <c r="K4924" t="s">
        <v>43</v>
      </c>
      <c r="L4924" t="s">
        <v>43</v>
      </c>
      <c r="M4924" t="s">
        <v>43</v>
      </c>
      <c r="N4924" t="s">
        <v>45</v>
      </c>
      <c r="O4924" t="s">
        <v>43</v>
      </c>
      <c r="P4924" t="s">
        <v>43</v>
      </c>
      <c r="Q4924" t="s">
        <v>43</v>
      </c>
      <c r="R4924" t="s">
        <v>43</v>
      </c>
      <c r="S4924" t="s">
        <v>43</v>
      </c>
      <c r="T4924" t="s">
        <v>43</v>
      </c>
      <c r="U4924" t="s">
        <v>43</v>
      </c>
      <c r="V4924" t="s">
        <v>43</v>
      </c>
      <c r="W4924" t="s">
        <v>43</v>
      </c>
      <c r="X4924" t="s">
        <v>43</v>
      </c>
      <c r="Y4924" t="s">
        <v>43</v>
      </c>
      <c r="Z4924" t="s">
        <v>43</v>
      </c>
      <c r="AA4924" t="s">
        <v>43</v>
      </c>
      <c r="AB4924" t="s">
        <v>43</v>
      </c>
      <c r="AC4924" t="s">
        <v>43</v>
      </c>
      <c r="AD4924" t="s">
        <v>43</v>
      </c>
      <c r="AE4924" t="s">
        <v>43</v>
      </c>
      <c r="AF4924" t="s">
        <v>43</v>
      </c>
      <c r="AG4924" t="s">
        <v>43</v>
      </c>
      <c r="AH4924" t="s">
        <v>43</v>
      </c>
      <c r="AI4924" t="s">
        <v>43</v>
      </c>
      <c r="AJ4924" t="s">
        <v>43</v>
      </c>
      <c r="AK4924" t="s">
        <v>43</v>
      </c>
      <c r="AL4924" t="s">
        <v>43</v>
      </c>
      <c r="AM4924" t="s">
        <v>43</v>
      </c>
      <c r="AN4924" t="str">
        <f>HYPERLINK("https://www.google.com/maps?q=10.83226776,79.84020233","Open Location")</f>
        <v>Open Location</v>
      </c>
    </row>
    <row r="4925" spans="1:40" x14ac:dyDescent="0.3">
      <c r="A4925" s="1">
        <v>46210.429282407407</v>
      </c>
      <c r="B4925" t="s">
        <v>40</v>
      </c>
      <c r="C4925" t="s">
        <v>41</v>
      </c>
      <c r="D4925" s="1">
        <v>46210.432256944441</v>
      </c>
      <c r="E4925" t="s">
        <v>42</v>
      </c>
      <c r="F4925" t="s">
        <v>43</v>
      </c>
      <c r="G4925" t="s">
        <v>43</v>
      </c>
      <c r="H4925" t="s">
        <v>43</v>
      </c>
      <c r="I4925" t="s">
        <v>2831</v>
      </c>
      <c r="J4925" t="s">
        <v>43</v>
      </c>
      <c r="K4925" t="s">
        <v>43</v>
      </c>
      <c r="L4925" t="s">
        <v>43</v>
      </c>
      <c r="M4925" t="s">
        <v>43</v>
      </c>
      <c r="N4925" t="s">
        <v>45</v>
      </c>
      <c r="O4925" t="s">
        <v>43</v>
      </c>
      <c r="P4925" t="s">
        <v>43</v>
      </c>
      <c r="Q4925" t="s">
        <v>43</v>
      </c>
      <c r="R4925" t="s">
        <v>43</v>
      </c>
      <c r="S4925" t="s">
        <v>43</v>
      </c>
      <c r="T4925" t="s">
        <v>43</v>
      </c>
      <c r="U4925" t="s">
        <v>43</v>
      </c>
      <c r="V4925" t="s">
        <v>43</v>
      </c>
      <c r="W4925" t="s">
        <v>43</v>
      </c>
      <c r="X4925" t="s">
        <v>43</v>
      </c>
      <c r="Y4925" t="s">
        <v>43</v>
      </c>
      <c r="Z4925" t="s">
        <v>43</v>
      </c>
      <c r="AA4925" t="s">
        <v>43</v>
      </c>
      <c r="AB4925" t="s">
        <v>43</v>
      </c>
      <c r="AC4925" t="s">
        <v>43</v>
      </c>
      <c r="AD4925" t="s">
        <v>43</v>
      </c>
      <c r="AE4925" t="s">
        <v>43</v>
      </c>
      <c r="AF4925" t="s">
        <v>43</v>
      </c>
      <c r="AG4925" t="s">
        <v>43</v>
      </c>
      <c r="AH4925" t="s">
        <v>43</v>
      </c>
      <c r="AI4925" t="s">
        <v>43</v>
      </c>
      <c r="AJ4925" t="s">
        <v>43</v>
      </c>
      <c r="AK4925" t="s">
        <v>43</v>
      </c>
      <c r="AL4925" t="s">
        <v>43</v>
      </c>
      <c r="AM4925" t="s">
        <v>43</v>
      </c>
      <c r="AN4925" t="str">
        <f>HYPERLINK("https://www.google.com/maps?q=10.83226776,79.84020233","Open Location")</f>
        <v>Open Location</v>
      </c>
    </row>
    <row r="4926" spans="1:40" x14ac:dyDescent="0.3">
      <c r="A4926" s="1">
        <v>46210.429166666669</v>
      </c>
      <c r="B4926" t="s">
        <v>40</v>
      </c>
      <c r="C4926" t="s">
        <v>41</v>
      </c>
      <c r="D4926" s="1">
        <v>46210.431898148148</v>
      </c>
      <c r="E4926" t="s">
        <v>42</v>
      </c>
      <c r="F4926" t="s">
        <v>43</v>
      </c>
      <c r="G4926" t="s">
        <v>43</v>
      </c>
      <c r="H4926" t="s">
        <v>43</v>
      </c>
      <c r="I4926" t="s">
        <v>2832</v>
      </c>
      <c r="J4926" t="s">
        <v>43</v>
      </c>
      <c r="K4926" t="s">
        <v>43</v>
      </c>
      <c r="L4926" t="s">
        <v>43</v>
      </c>
      <c r="M4926" t="s">
        <v>43</v>
      </c>
      <c r="N4926" t="s">
        <v>45</v>
      </c>
      <c r="O4926" t="s">
        <v>43</v>
      </c>
      <c r="P4926" t="s">
        <v>43</v>
      </c>
      <c r="Q4926" t="s">
        <v>43</v>
      </c>
      <c r="R4926" t="s">
        <v>43</v>
      </c>
      <c r="S4926" t="s">
        <v>43</v>
      </c>
      <c r="T4926" t="s">
        <v>43</v>
      </c>
      <c r="U4926" t="s">
        <v>43</v>
      </c>
      <c r="V4926" t="s">
        <v>43</v>
      </c>
      <c r="W4926" t="s">
        <v>43</v>
      </c>
      <c r="X4926" t="s">
        <v>43</v>
      </c>
      <c r="Y4926" t="s">
        <v>43</v>
      </c>
      <c r="Z4926" t="s">
        <v>43</v>
      </c>
      <c r="AA4926" t="s">
        <v>43</v>
      </c>
      <c r="AB4926" t="s">
        <v>43</v>
      </c>
      <c r="AC4926" t="s">
        <v>43</v>
      </c>
      <c r="AD4926" t="s">
        <v>43</v>
      </c>
      <c r="AE4926" t="s">
        <v>43</v>
      </c>
      <c r="AF4926" t="s">
        <v>43</v>
      </c>
      <c r="AG4926" t="s">
        <v>43</v>
      </c>
      <c r="AH4926" t="s">
        <v>43</v>
      </c>
      <c r="AI4926" t="s">
        <v>43</v>
      </c>
      <c r="AJ4926" t="s">
        <v>43</v>
      </c>
      <c r="AK4926" t="s">
        <v>43</v>
      </c>
      <c r="AL4926" t="s">
        <v>43</v>
      </c>
      <c r="AM4926" t="s">
        <v>43</v>
      </c>
      <c r="AN4926" t="str">
        <f>HYPERLINK("https://www.google.com/maps?q=10.83226776,79.8401947","Open Location")</f>
        <v>Open Location</v>
      </c>
    </row>
    <row r="4927" spans="1:40" x14ac:dyDescent="0.3">
      <c r="A4927" s="1">
        <v>46210.429050925923</v>
      </c>
      <c r="B4927" t="s">
        <v>40</v>
      </c>
      <c r="C4927" t="s">
        <v>41</v>
      </c>
      <c r="D4927" s="1">
        <v>46210.431898148148</v>
      </c>
      <c r="E4927" t="s">
        <v>42</v>
      </c>
      <c r="F4927" t="s">
        <v>43</v>
      </c>
      <c r="G4927" t="s">
        <v>43</v>
      </c>
      <c r="H4927" t="s">
        <v>43</v>
      </c>
      <c r="I4927" t="s">
        <v>2833</v>
      </c>
      <c r="J4927" t="s">
        <v>43</v>
      </c>
      <c r="K4927" t="s">
        <v>43</v>
      </c>
      <c r="L4927" t="s">
        <v>43</v>
      </c>
      <c r="M4927" t="s">
        <v>43</v>
      </c>
      <c r="N4927" t="s">
        <v>45</v>
      </c>
      <c r="O4927" t="s">
        <v>43</v>
      </c>
      <c r="P4927" t="s">
        <v>43</v>
      </c>
      <c r="Q4927" t="s">
        <v>43</v>
      </c>
      <c r="R4927" t="s">
        <v>43</v>
      </c>
      <c r="S4927" t="s">
        <v>43</v>
      </c>
      <c r="T4927" t="s">
        <v>43</v>
      </c>
      <c r="U4927" t="s">
        <v>43</v>
      </c>
      <c r="V4927" t="s">
        <v>43</v>
      </c>
      <c r="W4927" t="s">
        <v>43</v>
      </c>
      <c r="X4927" t="s">
        <v>43</v>
      </c>
      <c r="Y4927" t="s">
        <v>43</v>
      </c>
      <c r="Z4927" t="s">
        <v>43</v>
      </c>
      <c r="AA4927" t="s">
        <v>43</v>
      </c>
      <c r="AB4927" t="s">
        <v>43</v>
      </c>
      <c r="AC4927" t="s">
        <v>43</v>
      </c>
      <c r="AD4927" t="s">
        <v>43</v>
      </c>
      <c r="AE4927" t="s">
        <v>43</v>
      </c>
      <c r="AF4927" t="s">
        <v>43</v>
      </c>
      <c r="AG4927" t="s">
        <v>43</v>
      </c>
      <c r="AH4927" t="s">
        <v>43</v>
      </c>
      <c r="AI4927" t="s">
        <v>43</v>
      </c>
      <c r="AJ4927" t="s">
        <v>43</v>
      </c>
      <c r="AK4927" t="s">
        <v>43</v>
      </c>
      <c r="AL4927" t="s">
        <v>43</v>
      </c>
      <c r="AM4927" t="s">
        <v>43</v>
      </c>
      <c r="AN4927" t="str">
        <f>HYPERLINK("https://www.google.com/maps?q=10.83226299,79.8401947","Open Location")</f>
        <v>Open Location</v>
      </c>
    </row>
    <row r="4928" spans="1:40" x14ac:dyDescent="0.3">
      <c r="A4928" s="1">
        <v>46210.428935185184</v>
      </c>
      <c r="B4928" t="s">
        <v>40</v>
      </c>
      <c r="C4928" t="s">
        <v>41</v>
      </c>
      <c r="D4928" s="1">
        <v>46210.431770833333</v>
      </c>
      <c r="E4928" t="s">
        <v>42</v>
      </c>
      <c r="F4928" t="s">
        <v>43</v>
      </c>
      <c r="G4928" t="s">
        <v>43</v>
      </c>
      <c r="H4928" t="s">
        <v>43</v>
      </c>
      <c r="I4928" t="s">
        <v>43</v>
      </c>
      <c r="J4928" t="s">
        <v>43</v>
      </c>
      <c r="K4928" t="s">
        <v>43</v>
      </c>
      <c r="L4928" t="s">
        <v>43</v>
      </c>
      <c r="M4928" t="s">
        <v>43</v>
      </c>
      <c r="N4928" t="s">
        <v>45</v>
      </c>
      <c r="O4928" t="s">
        <v>43</v>
      </c>
      <c r="P4928" t="s">
        <v>43</v>
      </c>
      <c r="Q4928" t="s">
        <v>43</v>
      </c>
      <c r="R4928" t="s">
        <v>43</v>
      </c>
      <c r="S4928" t="s">
        <v>43</v>
      </c>
      <c r="T4928" t="s">
        <v>43</v>
      </c>
      <c r="U4928" t="s">
        <v>43</v>
      </c>
      <c r="V4928" t="s">
        <v>43</v>
      </c>
      <c r="W4928" t="s">
        <v>43</v>
      </c>
      <c r="X4928" t="s">
        <v>43</v>
      </c>
      <c r="Y4928" t="s">
        <v>43</v>
      </c>
      <c r="Z4928" t="s">
        <v>43</v>
      </c>
      <c r="AA4928" t="s">
        <v>43</v>
      </c>
      <c r="AB4928" t="s">
        <v>43</v>
      </c>
      <c r="AC4928" t="s">
        <v>43</v>
      </c>
      <c r="AD4928" t="s">
        <v>43</v>
      </c>
      <c r="AE4928" t="s">
        <v>43</v>
      </c>
      <c r="AF4928" t="s">
        <v>43</v>
      </c>
      <c r="AG4928" t="s">
        <v>43</v>
      </c>
      <c r="AH4928" t="s">
        <v>43</v>
      </c>
      <c r="AI4928" t="s">
        <v>43</v>
      </c>
      <c r="AJ4928" t="s">
        <v>43</v>
      </c>
      <c r="AK4928" t="s">
        <v>43</v>
      </c>
      <c r="AL4928" t="s">
        <v>43</v>
      </c>
      <c r="AM4928" t="s">
        <v>43</v>
      </c>
      <c r="AN4928" t="s">
        <v>43</v>
      </c>
    </row>
    <row r="4929" spans="1:40" x14ac:dyDescent="0.3">
      <c r="A4929" s="1">
        <v>46210.428819444445</v>
      </c>
      <c r="B4929" t="s">
        <v>40</v>
      </c>
      <c r="C4929" t="s">
        <v>41</v>
      </c>
      <c r="D4929" s="1">
        <v>46210.431770833333</v>
      </c>
      <c r="E4929" t="s">
        <v>42</v>
      </c>
      <c r="F4929" t="s">
        <v>43</v>
      </c>
      <c r="G4929" t="s">
        <v>43</v>
      </c>
      <c r="H4929" t="s">
        <v>43</v>
      </c>
      <c r="I4929" t="s">
        <v>2833</v>
      </c>
      <c r="J4929" t="s">
        <v>43</v>
      </c>
      <c r="K4929" t="s">
        <v>43</v>
      </c>
      <c r="L4929" t="s">
        <v>43</v>
      </c>
      <c r="M4929" t="s">
        <v>43</v>
      </c>
      <c r="N4929" t="s">
        <v>45</v>
      </c>
      <c r="O4929" t="s">
        <v>43</v>
      </c>
      <c r="P4929" t="s">
        <v>43</v>
      </c>
      <c r="Q4929" t="s">
        <v>43</v>
      </c>
      <c r="R4929" t="s">
        <v>43</v>
      </c>
      <c r="S4929" t="s">
        <v>43</v>
      </c>
      <c r="T4929" t="s">
        <v>43</v>
      </c>
      <c r="U4929" t="s">
        <v>43</v>
      </c>
      <c r="V4929" t="s">
        <v>43</v>
      </c>
      <c r="W4929" t="s">
        <v>43</v>
      </c>
      <c r="X4929" t="s">
        <v>43</v>
      </c>
      <c r="Y4929" t="s">
        <v>43</v>
      </c>
      <c r="Z4929" t="s">
        <v>43</v>
      </c>
      <c r="AA4929" t="s">
        <v>43</v>
      </c>
      <c r="AB4929" t="s">
        <v>43</v>
      </c>
      <c r="AC4929" t="s">
        <v>43</v>
      </c>
      <c r="AD4929" t="s">
        <v>43</v>
      </c>
      <c r="AE4929" t="s">
        <v>43</v>
      </c>
      <c r="AF4929" t="s">
        <v>43</v>
      </c>
      <c r="AG4929" t="s">
        <v>43</v>
      </c>
      <c r="AH4929" t="s">
        <v>43</v>
      </c>
      <c r="AI4929" t="s">
        <v>43</v>
      </c>
      <c r="AJ4929" t="s">
        <v>43</v>
      </c>
      <c r="AK4929" t="s">
        <v>43</v>
      </c>
      <c r="AL4929" t="s">
        <v>43</v>
      </c>
      <c r="AM4929" t="s">
        <v>43</v>
      </c>
      <c r="AN4929" t="str">
        <f>HYPERLINK("https://www.google.com/maps?q=10.83226299,79.8401947","Open Location")</f>
        <v>Open Location</v>
      </c>
    </row>
    <row r="4930" spans="1:40" x14ac:dyDescent="0.3">
      <c r="A4930" s="1">
        <v>46210.428703703707</v>
      </c>
      <c r="B4930" t="s">
        <v>40</v>
      </c>
      <c r="C4930" t="s">
        <v>41</v>
      </c>
      <c r="D4930" s="1">
        <v>46210.431585648148</v>
      </c>
      <c r="E4930" t="s">
        <v>42</v>
      </c>
      <c r="F4930" t="s">
        <v>43</v>
      </c>
      <c r="G4930" t="s">
        <v>43</v>
      </c>
      <c r="H4930" t="s">
        <v>43</v>
      </c>
      <c r="I4930" t="s">
        <v>2834</v>
      </c>
      <c r="J4930" t="s">
        <v>43</v>
      </c>
      <c r="K4930" t="s">
        <v>43</v>
      </c>
      <c r="L4930" t="s">
        <v>43</v>
      </c>
      <c r="M4930" t="s">
        <v>43</v>
      </c>
      <c r="N4930" t="s">
        <v>45</v>
      </c>
      <c r="O4930" t="s">
        <v>43</v>
      </c>
      <c r="P4930" t="s">
        <v>43</v>
      </c>
      <c r="Q4930" t="s">
        <v>43</v>
      </c>
      <c r="R4930" t="s">
        <v>43</v>
      </c>
      <c r="S4930" t="s">
        <v>43</v>
      </c>
      <c r="T4930" t="s">
        <v>43</v>
      </c>
      <c r="U4930" t="s">
        <v>43</v>
      </c>
      <c r="V4930" t="s">
        <v>43</v>
      </c>
      <c r="W4930" t="s">
        <v>43</v>
      </c>
      <c r="X4930" t="s">
        <v>43</v>
      </c>
      <c r="Y4930" t="s">
        <v>43</v>
      </c>
      <c r="Z4930" t="s">
        <v>43</v>
      </c>
      <c r="AA4930" t="s">
        <v>43</v>
      </c>
      <c r="AB4930" t="s">
        <v>43</v>
      </c>
      <c r="AC4930" t="s">
        <v>43</v>
      </c>
      <c r="AD4930" t="s">
        <v>43</v>
      </c>
      <c r="AE4930" t="s">
        <v>43</v>
      </c>
      <c r="AF4930" t="s">
        <v>43</v>
      </c>
      <c r="AG4930" t="s">
        <v>43</v>
      </c>
      <c r="AH4930" t="s">
        <v>43</v>
      </c>
      <c r="AI4930" t="s">
        <v>43</v>
      </c>
      <c r="AJ4930" t="s">
        <v>43</v>
      </c>
      <c r="AK4930" t="s">
        <v>43</v>
      </c>
      <c r="AL4930" t="s">
        <v>43</v>
      </c>
      <c r="AM4930" t="s">
        <v>43</v>
      </c>
      <c r="AN4930" t="str">
        <f>HYPERLINK("https://www.google.com/maps?q=10.83226204,79.84020233","Open Location")</f>
        <v>Open Location</v>
      </c>
    </row>
    <row r="4931" spans="1:40" x14ac:dyDescent="0.3">
      <c r="A4931" s="1">
        <v>46210.428587962961</v>
      </c>
      <c r="B4931" t="s">
        <v>40</v>
      </c>
      <c r="C4931" t="s">
        <v>41</v>
      </c>
      <c r="D4931" s="1">
        <v>46210.431400462963</v>
      </c>
      <c r="E4931" t="s">
        <v>42</v>
      </c>
      <c r="F4931" t="s">
        <v>43</v>
      </c>
      <c r="G4931" t="s">
        <v>43</v>
      </c>
      <c r="H4931" t="s">
        <v>43</v>
      </c>
      <c r="I4931" t="s">
        <v>2835</v>
      </c>
      <c r="J4931" t="s">
        <v>43</v>
      </c>
      <c r="K4931" t="s">
        <v>43</v>
      </c>
      <c r="L4931" t="s">
        <v>43</v>
      </c>
      <c r="M4931" t="s">
        <v>43</v>
      </c>
      <c r="N4931" t="s">
        <v>45</v>
      </c>
      <c r="O4931" t="s">
        <v>43</v>
      </c>
      <c r="P4931" t="s">
        <v>43</v>
      </c>
      <c r="Q4931" t="s">
        <v>43</v>
      </c>
      <c r="R4931" t="s">
        <v>43</v>
      </c>
      <c r="S4931" t="s">
        <v>43</v>
      </c>
      <c r="T4931" t="s">
        <v>43</v>
      </c>
      <c r="U4931" t="s">
        <v>43</v>
      </c>
      <c r="V4931" t="s">
        <v>43</v>
      </c>
      <c r="W4931" t="s">
        <v>43</v>
      </c>
      <c r="X4931" t="s">
        <v>43</v>
      </c>
      <c r="Y4931" t="s">
        <v>43</v>
      </c>
      <c r="Z4931" t="s">
        <v>43</v>
      </c>
      <c r="AA4931" t="s">
        <v>43</v>
      </c>
      <c r="AB4931" t="s">
        <v>43</v>
      </c>
      <c r="AC4931" t="s">
        <v>43</v>
      </c>
      <c r="AD4931" t="s">
        <v>43</v>
      </c>
      <c r="AE4931" t="s">
        <v>43</v>
      </c>
      <c r="AF4931" t="s">
        <v>43</v>
      </c>
      <c r="AG4931" t="s">
        <v>43</v>
      </c>
      <c r="AH4931" t="s">
        <v>43</v>
      </c>
      <c r="AI4931" t="s">
        <v>43</v>
      </c>
      <c r="AJ4931" t="s">
        <v>43</v>
      </c>
      <c r="AK4931" t="s">
        <v>43</v>
      </c>
      <c r="AL4931" t="s">
        <v>43</v>
      </c>
      <c r="AM4931" t="s">
        <v>43</v>
      </c>
      <c r="AN4931" t="str">
        <f>HYPERLINK("https://www.google.com/maps?q=10.83225822,79.84020996","Open Location")</f>
        <v>Open Location</v>
      </c>
    </row>
    <row r="4932" spans="1:40" x14ac:dyDescent="0.3">
      <c r="A4932" s="1">
        <v>46210.428472222222</v>
      </c>
      <c r="B4932" t="s">
        <v>40</v>
      </c>
      <c r="C4932" t="s">
        <v>41</v>
      </c>
      <c r="D4932" s="1">
        <v>46210.431157407409</v>
      </c>
      <c r="E4932" t="s">
        <v>42</v>
      </c>
      <c r="F4932" t="s">
        <v>43</v>
      </c>
      <c r="G4932" t="s">
        <v>43</v>
      </c>
      <c r="H4932" t="s">
        <v>43</v>
      </c>
      <c r="I4932" t="s">
        <v>2698</v>
      </c>
      <c r="J4932" t="s">
        <v>43</v>
      </c>
      <c r="K4932" t="s">
        <v>43</v>
      </c>
      <c r="L4932" t="s">
        <v>43</v>
      </c>
      <c r="M4932" t="s">
        <v>43</v>
      </c>
      <c r="N4932" t="s">
        <v>45</v>
      </c>
      <c r="O4932" t="s">
        <v>43</v>
      </c>
      <c r="P4932" t="s">
        <v>43</v>
      </c>
      <c r="Q4932" t="s">
        <v>43</v>
      </c>
      <c r="R4932" t="s">
        <v>43</v>
      </c>
      <c r="S4932" t="s">
        <v>43</v>
      </c>
      <c r="T4932" t="s">
        <v>43</v>
      </c>
      <c r="U4932" t="s">
        <v>43</v>
      </c>
      <c r="V4932" t="s">
        <v>43</v>
      </c>
      <c r="W4932" t="s">
        <v>43</v>
      </c>
      <c r="X4932" t="s">
        <v>43</v>
      </c>
      <c r="Y4932" t="s">
        <v>43</v>
      </c>
      <c r="Z4932" t="s">
        <v>43</v>
      </c>
      <c r="AA4932" t="s">
        <v>43</v>
      </c>
      <c r="AB4932" t="s">
        <v>43</v>
      </c>
      <c r="AC4932" t="s">
        <v>43</v>
      </c>
      <c r="AD4932" t="s">
        <v>43</v>
      </c>
      <c r="AE4932" t="s">
        <v>43</v>
      </c>
      <c r="AF4932" t="s">
        <v>43</v>
      </c>
      <c r="AG4932" t="s">
        <v>43</v>
      </c>
      <c r="AH4932" t="s">
        <v>43</v>
      </c>
      <c r="AI4932" t="s">
        <v>43</v>
      </c>
      <c r="AJ4932" t="s">
        <v>43</v>
      </c>
      <c r="AK4932" t="s">
        <v>43</v>
      </c>
      <c r="AL4932" t="s">
        <v>43</v>
      </c>
      <c r="AM4932" t="s">
        <v>43</v>
      </c>
      <c r="AN4932" t="str">
        <f>HYPERLINK("https://www.google.com/maps?q=10.83225632,79.84020996","Open Location")</f>
        <v>Open Location</v>
      </c>
    </row>
    <row r="4933" spans="1:40" x14ac:dyDescent="0.3">
      <c r="A4933" s="1">
        <v>46210.428356481483</v>
      </c>
      <c r="B4933" t="s">
        <v>40</v>
      </c>
      <c r="C4933" t="s">
        <v>41</v>
      </c>
      <c r="D4933" s="1">
        <v>46210.431215277778</v>
      </c>
      <c r="E4933" t="s">
        <v>42</v>
      </c>
      <c r="F4933" t="s">
        <v>43</v>
      </c>
      <c r="G4933" t="s">
        <v>43</v>
      </c>
      <c r="H4933" t="s">
        <v>43</v>
      </c>
      <c r="I4933" t="s">
        <v>2696</v>
      </c>
      <c r="J4933" t="s">
        <v>43</v>
      </c>
      <c r="K4933" t="s">
        <v>43</v>
      </c>
      <c r="L4933" t="s">
        <v>43</v>
      </c>
      <c r="M4933" t="s">
        <v>43</v>
      </c>
      <c r="N4933" t="s">
        <v>45</v>
      </c>
      <c r="O4933" t="s">
        <v>43</v>
      </c>
      <c r="P4933" t="s">
        <v>43</v>
      </c>
      <c r="Q4933" t="s">
        <v>43</v>
      </c>
      <c r="R4933" t="s">
        <v>43</v>
      </c>
      <c r="S4933" t="s">
        <v>43</v>
      </c>
      <c r="T4933" t="s">
        <v>43</v>
      </c>
      <c r="U4933" t="s">
        <v>43</v>
      </c>
      <c r="V4933" t="s">
        <v>43</v>
      </c>
      <c r="W4933" t="s">
        <v>43</v>
      </c>
      <c r="X4933" t="s">
        <v>43</v>
      </c>
      <c r="Y4933" t="s">
        <v>43</v>
      </c>
      <c r="Z4933" t="s">
        <v>43</v>
      </c>
      <c r="AA4933" t="s">
        <v>43</v>
      </c>
      <c r="AB4933" t="s">
        <v>43</v>
      </c>
      <c r="AC4933" t="s">
        <v>43</v>
      </c>
      <c r="AD4933" t="s">
        <v>43</v>
      </c>
      <c r="AE4933" t="s">
        <v>43</v>
      </c>
      <c r="AF4933" t="s">
        <v>43</v>
      </c>
      <c r="AG4933" t="s">
        <v>43</v>
      </c>
      <c r="AH4933" t="s">
        <v>43</v>
      </c>
      <c r="AI4933" t="s">
        <v>43</v>
      </c>
      <c r="AJ4933" t="s">
        <v>43</v>
      </c>
      <c r="AK4933" t="s">
        <v>43</v>
      </c>
      <c r="AL4933" t="s">
        <v>43</v>
      </c>
      <c r="AM4933" t="s">
        <v>43</v>
      </c>
      <c r="AN4933" t="str">
        <f>HYPERLINK("https://www.google.com/maps?q=10.83225536,79.84022522","Open Location")</f>
        <v>Open Location</v>
      </c>
    </row>
    <row r="4934" spans="1:40" x14ac:dyDescent="0.3">
      <c r="A4934" s="1">
        <v>46210.428240740737</v>
      </c>
      <c r="B4934" t="s">
        <v>40</v>
      </c>
      <c r="C4934" t="s">
        <v>41</v>
      </c>
      <c r="D4934" s="1">
        <v>46210.43105324074</v>
      </c>
      <c r="E4934" t="s">
        <v>42</v>
      </c>
      <c r="F4934" t="s">
        <v>43</v>
      </c>
      <c r="G4934" t="s">
        <v>43</v>
      </c>
      <c r="H4934" t="s">
        <v>43</v>
      </c>
      <c r="I4934" t="s">
        <v>43</v>
      </c>
      <c r="J4934" t="s">
        <v>43</v>
      </c>
      <c r="K4934" t="s">
        <v>43</v>
      </c>
      <c r="L4934" t="s">
        <v>43</v>
      </c>
      <c r="M4934" t="s">
        <v>43</v>
      </c>
      <c r="N4934" t="s">
        <v>45</v>
      </c>
      <c r="O4934" t="s">
        <v>43</v>
      </c>
      <c r="P4934" t="s">
        <v>43</v>
      </c>
      <c r="Q4934" t="s">
        <v>43</v>
      </c>
      <c r="R4934" t="s">
        <v>43</v>
      </c>
      <c r="S4934" t="s">
        <v>43</v>
      </c>
      <c r="T4934" t="s">
        <v>43</v>
      </c>
      <c r="U4934" t="s">
        <v>43</v>
      </c>
      <c r="V4934" t="s">
        <v>43</v>
      </c>
      <c r="W4934" t="s">
        <v>43</v>
      </c>
      <c r="X4934" t="s">
        <v>43</v>
      </c>
      <c r="Y4934" t="s">
        <v>43</v>
      </c>
      <c r="Z4934" t="s">
        <v>43</v>
      </c>
      <c r="AA4934" t="s">
        <v>43</v>
      </c>
      <c r="AB4934" t="s">
        <v>43</v>
      </c>
      <c r="AC4934" t="s">
        <v>43</v>
      </c>
      <c r="AD4934" t="s">
        <v>43</v>
      </c>
      <c r="AE4934" t="s">
        <v>43</v>
      </c>
      <c r="AF4934" t="s">
        <v>43</v>
      </c>
      <c r="AG4934" t="s">
        <v>43</v>
      </c>
      <c r="AH4934" t="s">
        <v>43</v>
      </c>
      <c r="AI4934" t="s">
        <v>43</v>
      </c>
      <c r="AJ4934" t="s">
        <v>43</v>
      </c>
      <c r="AK4934" t="s">
        <v>43</v>
      </c>
      <c r="AL4934" t="s">
        <v>43</v>
      </c>
      <c r="AM4934" t="s">
        <v>43</v>
      </c>
      <c r="AN4934" t="s">
        <v>43</v>
      </c>
    </row>
    <row r="4935" spans="1:40" x14ac:dyDescent="0.3">
      <c r="A4935" s="1">
        <v>46210.428124999999</v>
      </c>
      <c r="B4935" t="s">
        <v>40</v>
      </c>
      <c r="C4935" t="s">
        <v>41</v>
      </c>
      <c r="D4935" s="1">
        <v>46210.430972222224</v>
      </c>
      <c r="E4935" t="s">
        <v>42</v>
      </c>
      <c r="F4935" t="s">
        <v>43</v>
      </c>
      <c r="G4935" t="s">
        <v>43</v>
      </c>
      <c r="H4935" t="s">
        <v>43</v>
      </c>
      <c r="I4935" t="s">
        <v>2671</v>
      </c>
      <c r="J4935" t="s">
        <v>43</v>
      </c>
      <c r="K4935" t="s">
        <v>43</v>
      </c>
      <c r="L4935" t="s">
        <v>43</v>
      </c>
      <c r="M4935" t="s">
        <v>43</v>
      </c>
      <c r="N4935" t="s">
        <v>45</v>
      </c>
      <c r="O4935" t="s">
        <v>43</v>
      </c>
      <c r="P4935" t="s">
        <v>43</v>
      </c>
      <c r="Q4935" t="s">
        <v>43</v>
      </c>
      <c r="R4935" t="s">
        <v>43</v>
      </c>
      <c r="S4935" t="s">
        <v>43</v>
      </c>
      <c r="T4935" t="s">
        <v>43</v>
      </c>
      <c r="U4935" t="s">
        <v>43</v>
      </c>
      <c r="V4935" t="s">
        <v>43</v>
      </c>
      <c r="W4935" t="s">
        <v>43</v>
      </c>
      <c r="X4935" t="s">
        <v>43</v>
      </c>
      <c r="Y4935" t="s">
        <v>43</v>
      </c>
      <c r="Z4935" t="s">
        <v>43</v>
      </c>
      <c r="AA4935" t="s">
        <v>43</v>
      </c>
      <c r="AB4935" t="s">
        <v>43</v>
      </c>
      <c r="AC4935" t="s">
        <v>43</v>
      </c>
      <c r="AD4935" t="s">
        <v>43</v>
      </c>
      <c r="AE4935" t="s">
        <v>43</v>
      </c>
      <c r="AF4935" t="s">
        <v>43</v>
      </c>
      <c r="AG4935" t="s">
        <v>43</v>
      </c>
      <c r="AH4935" t="s">
        <v>43</v>
      </c>
      <c r="AI4935" t="s">
        <v>43</v>
      </c>
      <c r="AJ4935" t="s">
        <v>43</v>
      </c>
      <c r="AK4935" t="s">
        <v>43</v>
      </c>
      <c r="AL4935" t="s">
        <v>43</v>
      </c>
      <c r="AM4935" t="s">
        <v>43</v>
      </c>
      <c r="AN4935" t="str">
        <f>HYPERLINK("https://www.google.com/maps?q=10.83225727,79.84022522","Open Location")</f>
        <v>Open Location</v>
      </c>
    </row>
    <row r="4936" spans="1:40" x14ac:dyDescent="0.3">
      <c r="A4936" s="1">
        <v>46210.42800925926</v>
      </c>
      <c r="B4936" t="s">
        <v>40</v>
      </c>
      <c r="C4936" t="s">
        <v>41</v>
      </c>
      <c r="D4936" s="1">
        <v>46210.430833333332</v>
      </c>
      <c r="E4936" t="s">
        <v>42</v>
      </c>
      <c r="F4936" t="s">
        <v>43</v>
      </c>
      <c r="G4936" t="s">
        <v>43</v>
      </c>
      <c r="H4936" t="s">
        <v>43</v>
      </c>
      <c r="I4936" t="s">
        <v>2696</v>
      </c>
      <c r="J4936" t="s">
        <v>43</v>
      </c>
      <c r="K4936" t="s">
        <v>43</v>
      </c>
      <c r="L4936" t="s">
        <v>43</v>
      </c>
      <c r="M4936" t="s">
        <v>43</v>
      </c>
      <c r="N4936" t="s">
        <v>45</v>
      </c>
      <c r="O4936" t="s">
        <v>43</v>
      </c>
      <c r="P4936" t="s">
        <v>43</v>
      </c>
      <c r="Q4936" t="s">
        <v>43</v>
      </c>
      <c r="R4936" t="s">
        <v>43</v>
      </c>
      <c r="S4936" t="s">
        <v>43</v>
      </c>
      <c r="T4936" t="s">
        <v>43</v>
      </c>
      <c r="U4936" t="s">
        <v>43</v>
      </c>
      <c r="V4936" t="s">
        <v>43</v>
      </c>
      <c r="W4936" t="s">
        <v>43</v>
      </c>
      <c r="X4936" t="s">
        <v>43</v>
      </c>
      <c r="Y4936" t="s">
        <v>43</v>
      </c>
      <c r="Z4936" t="s">
        <v>43</v>
      </c>
      <c r="AA4936" t="s">
        <v>43</v>
      </c>
      <c r="AB4936" t="s">
        <v>43</v>
      </c>
      <c r="AC4936" t="s">
        <v>43</v>
      </c>
      <c r="AD4936" t="s">
        <v>43</v>
      </c>
      <c r="AE4936" t="s">
        <v>43</v>
      </c>
      <c r="AF4936" t="s">
        <v>43</v>
      </c>
      <c r="AG4936" t="s">
        <v>43</v>
      </c>
      <c r="AH4936" t="s">
        <v>43</v>
      </c>
      <c r="AI4936" t="s">
        <v>43</v>
      </c>
      <c r="AJ4936" t="s">
        <v>43</v>
      </c>
      <c r="AK4936" t="s">
        <v>43</v>
      </c>
      <c r="AL4936" t="s">
        <v>43</v>
      </c>
      <c r="AM4936" t="s">
        <v>43</v>
      </c>
      <c r="AN4936" t="str">
        <f>HYPERLINK("https://www.google.com/maps?q=10.83225536,79.84022522","Open Location")</f>
        <v>Open Location</v>
      </c>
    </row>
    <row r="4937" spans="1:40" x14ac:dyDescent="0.3">
      <c r="A4937" s="1">
        <v>46210.427893518521</v>
      </c>
      <c r="B4937" t="s">
        <v>40</v>
      </c>
      <c r="C4937" t="s">
        <v>41</v>
      </c>
      <c r="D4937" s="1">
        <v>46210.430891203701</v>
      </c>
      <c r="E4937" t="s">
        <v>42</v>
      </c>
      <c r="F4937" t="s">
        <v>43</v>
      </c>
      <c r="G4937" t="s">
        <v>43</v>
      </c>
      <c r="H4937" t="s">
        <v>43</v>
      </c>
      <c r="I4937" t="s">
        <v>2836</v>
      </c>
      <c r="J4937" t="s">
        <v>43</v>
      </c>
      <c r="K4937" t="s">
        <v>43</v>
      </c>
      <c r="L4937" t="s">
        <v>43</v>
      </c>
      <c r="M4937" t="s">
        <v>43</v>
      </c>
      <c r="N4937" t="s">
        <v>45</v>
      </c>
      <c r="O4937" t="s">
        <v>43</v>
      </c>
      <c r="P4937" t="s">
        <v>43</v>
      </c>
      <c r="Q4937" t="s">
        <v>43</v>
      </c>
      <c r="R4937" t="s">
        <v>43</v>
      </c>
      <c r="S4937" t="s">
        <v>43</v>
      </c>
      <c r="T4937" t="s">
        <v>43</v>
      </c>
      <c r="U4937" t="s">
        <v>43</v>
      </c>
      <c r="V4937" t="s">
        <v>43</v>
      </c>
      <c r="W4937" t="s">
        <v>43</v>
      </c>
      <c r="X4937" t="s">
        <v>43</v>
      </c>
      <c r="Y4937" t="s">
        <v>43</v>
      </c>
      <c r="Z4937" t="s">
        <v>43</v>
      </c>
      <c r="AA4937" t="s">
        <v>43</v>
      </c>
      <c r="AB4937" t="s">
        <v>43</v>
      </c>
      <c r="AC4937" t="s">
        <v>43</v>
      </c>
      <c r="AD4937" t="s">
        <v>43</v>
      </c>
      <c r="AE4937" t="s">
        <v>43</v>
      </c>
      <c r="AF4937" t="s">
        <v>43</v>
      </c>
      <c r="AG4937" t="s">
        <v>43</v>
      </c>
      <c r="AH4937" t="s">
        <v>43</v>
      </c>
      <c r="AI4937" t="s">
        <v>43</v>
      </c>
      <c r="AJ4937" t="s">
        <v>43</v>
      </c>
      <c r="AK4937" t="s">
        <v>43</v>
      </c>
      <c r="AL4937" t="s">
        <v>43</v>
      </c>
      <c r="AM4937" t="s">
        <v>43</v>
      </c>
      <c r="AN4937" t="str">
        <f>HYPERLINK("https://www.google.com/maps?q=10.83225822,79.84022522","Open Location")</f>
        <v>Open Location</v>
      </c>
    </row>
    <row r="4938" spans="1:40" x14ac:dyDescent="0.3">
      <c r="A4938" s="1">
        <v>46210.427777777775</v>
      </c>
      <c r="B4938" t="s">
        <v>40</v>
      </c>
      <c r="C4938" t="s">
        <v>41</v>
      </c>
      <c r="D4938" s="1">
        <v>46210.430509259262</v>
      </c>
      <c r="E4938" t="s">
        <v>42</v>
      </c>
      <c r="F4938" t="s">
        <v>43</v>
      </c>
      <c r="G4938" t="s">
        <v>43</v>
      </c>
      <c r="H4938" t="s">
        <v>43</v>
      </c>
      <c r="I4938" t="s">
        <v>2837</v>
      </c>
      <c r="J4938" t="s">
        <v>43</v>
      </c>
      <c r="K4938" t="s">
        <v>43</v>
      </c>
      <c r="L4938" t="s">
        <v>43</v>
      </c>
      <c r="M4938" t="s">
        <v>43</v>
      </c>
      <c r="N4938" t="s">
        <v>45</v>
      </c>
      <c r="O4938" t="s">
        <v>43</v>
      </c>
      <c r="P4938" t="s">
        <v>43</v>
      </c>
      <c r="Q4938" t="s">
        <v>43</v>
      </c>
      <c r="R4938" t="s">
        <v>43</v>
      </c>
      <c r="S4938" t="s">
        <v>43</v>
      </c>
      <c r="T4938" t="s">
        <v>43</v>
      </c>
      <c r="U4938" t="s">
        <v>43</v>
      </c>
      <c r="V4938" t="s">
        <v>43</v>
      </c>
      <c r="W4938" t="s">
        <v>43</v>
      </c>
      <c r="X4938" t="s">
        <v>43</v>
      </c>
      <c r="Y4938" t="s">
        <v>43</v>
      </c>
      <c r="Z4938" t="s">
        <v>43</v>
      </c>
      <c r="AA4938" t="s">
        <v>43</v>
      </c>
      <c r="AB4938" t="s">
        <v>43</v>
      </c>
      <c r="AC4938" t="s">
        <v>43</v>
      </c>
      <c r="AD4938" t="s">
        <v>43</v>
      </c>
      <c r="AE4938" t="s">
        <v>43</v>
      </c>
      <c r="AF4938" t="s">
        <v>43</v>
      </c>
      <c r="AG4938" t="s">
        <v>43</v>
      </c>
      <c r="AH4938" t="s">
        <v>43</v>
      </c>
      <c r="AI4938" t="s">
        <v>43</v>
      </c>
      <c r="AJ4938" t="s">
        <v>43</v>
      </c>
      <c r="AK4938" t="s">
        <v>43</v>
      </c>
      <c r="AL4938" t="s">
        <v>43</v>
      </c>
      <c r="AM4938" t="s">
        <v>43</v>
      </c>
      <c r="AN4938" t="str">
        <f>HYPERLINK("https://www.google.com/maps?q=10.83226013,79.84022522","Open Location")</f>
        <v>Open Location</v>
      </c>
    </row>
    <row r="4939" spans="1:40" x14ac:dyDescent="0.3">
      <c r="A4939" s="1">
        <v>46210.427662037036</v>
      </c>
      <c r="B4939" t="s">
        <v>40</v>
      </c>
      <c r="C4939" t="s">
        <v>41</v>
      </c>
      <c r="D4939" s="1">
        <v>46210.430532407408</v>
      </c>
      <c r="E4939" t="s">
        <v>42</v>
      </c>
      <c r="F4939" t="s">
        <v>43</v>
      </c>
      <c r="G4939" t="s">
        <v>43</v>
      </c>
      <c r="H4939" t="s">
        <v>43</v>
      </c>
      <c r="I4939" t="s">
        <v>43</v>
      </c>
      <c r="J4939" t="s">
        <v>43</v>
      </c>
      <c r="K4939" t="s">
        <v>43</v>
      </c>
      <c r="L4939" t="s">
        <v>43</v>
      </c>
      <c r="M4939" t="s">
        <v>43</v>
      </c>
      <c r="N4939" t="s">
        <v>45</v>
      </c>
      <c r="O4939" t="s">
        <v>43</v>
      </c>
      <c r="P4939" t="s">
        <v>43</v>
      </c>
      <c r="Q4939" t="s">
        <v>43</v>
      </c>
      <c r="R4939" t="s">
        <v>43</v>
      </c>
      <c r="S4939" t="s">
        <v>43</v>
      </c>
      <c r="T4939" t="s">
        <v>43</v>
      </c>
      <c r="U4939" t="s">
        <v>43</v>
      </c>
      <c r="V4939" t="s">
        <v>43</v>
      </c>
      <c r="W4939" t="s">
        <v>43</v>
      </c>
      <c r="X4939" t="s">
        <v>43</v>
      </c>
      <c r="Y4939" t="s">
        <v>43</v>
      </c>
      <c r="Z4939" t="s">
        <v>43</v>
      </c>
      <c r="AA4939" t="s">
        <v>43</v>
      </c>
      <c r="AB4939" t="s">
        <v>43</v>
      </c>
      <c r="AC4939" t="s">
        <v>43</v>
      </c>
      <c r="AD4939" t="s">
        <v>43</v>
      </c>
      <c r="AE4939" t="s">
        <v>43</v>
      </c>
      <c r="AF4939" t="s">
        <v>43</v>
      </c>
      <c r="AG4939" t="s">
        <v>43</v>
      </c>
      <c r="AH4939" t="s">
        <v>43</v>
      </c>
      <c r="AI4939" t="s">
        <v>43</v>
      </c>
      <c r="AJ4939" t="s">
        <v>43</v>
      </c>
      <c r="AK4939" t="s">
        <v>43</v>
      </c>
      <c r="AL4939" t="s">
        <v>43</v>
      </c>
      <c r="AM4939" t="s">
        <v>43</v>
      </c>
      <c r="AN4939" t="s">
        <v>43</v>
      </c>
    </row>
    <row r="4940" spans="1:40" x14ac:dyDescent="0.3">
      <c r="A4940" s="1">
        <v>46210.427546296298</v>
      </c>
      <c r="B4940" t="s">
        <v>40</v>
      </c>
      <c r="C4940" t="s">
        <v>41</v>
      </c>
      <c r="D4940" s="1">
        <v>46210.430509259262</v>
      </c>
      <c r="E4940" t="s">
        <v>42</v>
      </c>
      <c r="F4940" t="s">
        <v>43</v>
      </c>
      <c r="G4940" t="s">
        <v>43</v>
      </c>
      <c r="H4940" t="s">
        <v>43</v>
      </c>
      <c r="I4940" t="s">
        <v>2838</v>
      </c>
      <c r="J4940" t="s">
        <v>43</v>
      </c>
      <c r="K4940" t="s">
        <v>43</v>
      </c>
      <c r="L4940" t="s">
        <v>43</v>
      </c>
      <c r="M4940" t="s">
        <v>43</v>
      </c>
      <c r="N4940" t="s">
        <v>45</v>
      </c>
      <c r="O4940" t="s">
        <v>43</v>
      </c>
      <c r="P4940" t="s">
        <v>43</v>
      </c>
      <c r="Q4940" t="s">
        <v>43</v>
      </c>
      <c r="R4940" t="s">
        <v>43</v>
      </c>
      <c r="S4940" t="s">
        <v>43</v>
      </c>
      <c r="T4940" t="s">
        <v>43</v>
      </c>
      <c r="U4940" t="s">
        <v>43</v>
      </c>
      <c r="V4940" t="s">
        <v>43</v>
      </c>
      <c r="W4940" t="s">
        <v>43</v>
      </c>
      <c r="X4940" t="s">
        <v>43</v>
      </c>
      <c r="Y4940" t="s">
        <v>43</v>
      </c>
      <c r="Z4940" t="s">
        <v>43</v>
      </c>
      <c r="AA4940" t="s">
        <v>43</v>
      </c>
      <c r="AB4940" t="s">
        <v>43</v>
      </c>
      <c r="AC4940" t="s">
        <v>43</v>
      </c>
      <c r="AD4940" t="s">
        <v>43</v>
      </c>
      <c r="AE4940" t="s">
        <v>43</v>
      </c>
      <c r="AF4940" t="s">
        <v>43</v>
      </c>
      <c r="AG4940" t="s">
        <v>43</v>
      </c>
      <c r="AH4940" t="s">
        <v>43</v>
      </c>
      <c r="AI4940" t="s">
        <v>43</v>
      </c>
      <c r="AJ4940" t="s">
        <v>43</v>
      </c>
      <c r="AK4940" t="s">
        <v>43</v>
      </c>
      <c r="AL4940" t="s">
        <v>43</v>
      </c>
      <c r="AM4940" t="s">
        <v>43</v>
      </c>
      <c r="AN4940" t="str">
        <f>HYPERLINK("https://www.google.com/maps?q=10.83226109,79.84022522","Open Location")</f>
        <v>Open Location</v>
      </c>
    </row>
    <row r="4941" spans="1:40" x14ac:dyDescent="0.3">
      <c r="A4941" s="1">
        <v>46210.427430555559</v>
      </c>
      <c r="B4941" t="s">
        <v>40</v>
      </c>
      <c r="C4941" t="s">
        <v>41</v>
      </c>
      <c r="D4941" s="1">
        <v>46210.430439814816</v>
      </c>
      <c r="E4941" t="s">
        <v>42</v>
      </c>
      <c r="F4941" t="s">
        <v>43</v>
      </c>
      <c r="G4941" t="s">
        <v>43</v>
      </c>
      <c r="H4941" t="s">
        <v>43</v>
      </c>
      <c r="I4941" t="s">
        <v>2839</v>
      </c>
      <c r="J4941" t="s">
        <v>43</v>
      </c>
      <c r="K4941" t="s">
        <v>43</v>
      </c>
      <c r="L4941" t="s">
        <v>43</v>
      </c>
      <c r="M4941" t="s">
        <v>43</v>
      </c>
      <c r="N4941" t="s">
        <v>45</v>
      </c>
      <c r="O4941" t="s">
        <v>43</v>
      </c>
      <c r="P4941" t="s">
        <v>43</v>
      </c>
      <c r="Q4941" t="s">
        <v>43</v>
      </c>
      <c r="R4941" t="s">
        <v>43</v>
      </c>
      <c r="S4941" t="s">
        <v>43</v>
      </c>
      <c r="T4941" t="s">
        <v>43</v>
      </c>
      <c r="U4941" t="s">
        <v>43</v>
      </c>
      <c r="V4941" t="s">
        <v>43</v>
      </c>
      <c r="W4941" t="s">
        <v>43</v>
      </c>
      <c r="X4941" t="s">
        <v>43</v>
      </c>
      <c r="Y4941" t="s">
        <v>43</v>
      </c>
      <c r="Z4941" t="s">
        <v>43</v>
      </c>
      <c r="AA4941" t="s">
        <v>43</v>
      </c>
      <c r="AB4941" t="s">
        <v>43</v>
      </c>
      <c r="AC4941" t="s">
        <v>43</v>
      </c>
      <c r="AD4941" t="s">
        <v>43</v>
      </c>
      <c r="AE4941" t="s">
        <v>43</v>
      </c>
      <c r="AF4941" t="s">
        <v>43</v>
      </c>
      <c r="AG4941" t="s">
        <v>43</v>
      </c>
      <c r="AH4941" t="s">
        <v>43</v>
      </c>
      <c r="AI4941" t="s">
        <v>43</v>
      </c>
      <c r="AJ4941" t="s">
        <v>43</v>
      </c>
      <c r="AK4941" t="s">
        <v>43</v>
      </c>
      <c r="AL4941" t="s">
        <v>43</v>
      </c>
      <c r="AM4941" t="s">
        <v>43</v>
      </c>
      <c r="AN4941" t="str">
        <f>HYPERLINK("https://www.google.com/maps?q=10.83226204,79.84022522","Open Location")</f>
        <v>Open Location</v>
      </c>
    </row>
    <row r="4942" spans="1:40" x14ac:dyDescent="0.3">
      <c r="A4942" s="1">
        <v>46210.427314814813</v>
      </c>
      <c r="B4942" t="s">
        <v>40</v>
      </c>
      <c r="C4942" t="s">
        <v>41</v>
      </c>
      <c r="D4942" s="1">
        <v>46210.430150462962</v>
      </c>
      <c r="E4942" t="s">
        <v>42</v>
      </c>
      <c r="F4942" t="s">
        <v>43</v>
      </c>
      <c r="G4942" t="s">
        <v>43</v>
      </c>
      <c r="H4942" t="s">
        <v>43</v>
      </c>
      <c r="I4942" t="s">
        <v>2838</v>
      </c>
      <c r="J4942" t="s">
        <v>43</v>
      </c>
      <c r="K4942" t="s">
        <v>43</v>
      </c>
      <c r="L4942" t="s">
        <v>43</v>
      </c>
      <c r="M4942" t="s">
        <v>43</v>
      </c>
      <c r="N4942" t="s">
        <v>45</v>
      </c>
      <c r="O4942" t="s">
        <v>43</v>
      </c>
      <c r="P4942" t="s">
        <v>43</v>
      </c>
      <c r="Q4942" t="s">
        <v>43</v>
      </c>
      <c r="R4942" t="s">
        <v>43</v>
      </c>
      <c r="S4942" t="s">
        <v>43</v>
      </c>
      <c r="T4942" t="s">
        <v>43</v>
      </c>
      <c r="U4942" t="s">
        <v>43</v>
      </c>
      <c r="V4942" t="s">
        <v>43</v>
      </c>
      <c r="W4942" t="s">
        <v>43</v>
      </c>
      <c r="X4942" t="s">
        <v>43</v>
      </c>
      <c r="Y4942" t="s">
        <v>43</v>
      </c>
      <c r="Z4942" t="s">
        <v>43</v>
      </c>
      <c r="AA4942" t="s">
        <v>43</v>
      </c>
      <c r="AB4942" t="s">
        <v>43</v>
      </c>
      <c r="AC4942" t="s">
        <v>43</v>
      </c>
      <c r="AD4942" t="s">
        <v>43</v>
      </c>
      <c r="AE4942" t="s">
        <v>43</v>
      </c>
      <c r="AF4942" t="s">
        <v>43</v>
      </c>
      <c r="AG4942" t="s">
        <v>43</v>
      </c>
      <c r="AH4942" t="s">
        <v>43</v>
      </c>
      <c r="AI4942" t="s">
        <v>43</v>
      </c>
      <c r="AJ4942" t="s">
        <v>43</v>
      </c>
      <c r="AK4942" t="s">
        <v>43</v>
      </c>
      <c r="AL4942" t="s">
        <v>43</v>
      </c>
      <c r="AM4942" t="s">
        <v>43</v>
      </c>
      <c r="AN4942" t="str">
        <f>HYPERLINK("https://www.google.com/maps?q=10.83226109,79.84022522","Open Location")</f>
        <v>Open Location</v>
      </c>
    </row>
    <row r="4943" spans="1:40" x14ac:dyDescent="0.3">
      <c r="A4943" s="1">
        <v>46210.427199074074</v>
      </c>
      <c r="B4943" t="s">
        <v>40</v>
      </c>
      <c r="C4943" t="s">
        <v>41</v>
      </c>
      <c r="D4943" s="1">
        <v>46210.430150462962</v>
      </c>
      <c r="E4943" t="s">
        <v>42</v>
      </c>
      <c r="F4943" t="s">
        <v>43</v>
      </c>
      <c r="G4943" t="s">
        <v>43</v>
      </c>
      <c r="H4943" t="s">
        <v>43</v>
      </c>
      <c r="I4943" t="s">
        <v>2837</v>
      </c>
      <c r="J4943" t="s">
        <v>43</v>
      </c>
      <c r="K4943" t="s">
        <v>43</v>
      </c>
      <c r="L4943" t="s">
        <v>43</v>
      </c>
      <c r="M4943" t="s">
        <v>43</v>
      </c>
      <c r="N4943" t="s">
        <v>45</v>
      </c>
      <c r="O4943" t="s">
        <v>43</v>
      </c>
      <c r="P4943" t="s">
        <v>43</v>
      </c>
      <c r="Q4943" t="s">
        <v>43</v>
      </c>
      <c r="R4943" t="s">
        <v>43</v>
      </c>
      <c r="S4943" t="s">
        <v>43</v>
      </c>
      <c r="T4943" t="s">
        <v>43</v>
      </c>
      <c r="U4943" t="s">
        <v>43</v>
      </c>
      <c r="V4943" t="s">
        <v>43</v>
      </c>
      <c r="W4943" t="s">
        <v>43</v>
      </c>
      <c r="X4943" t="s">
        <v>43</v>
      </c>
      <c r="Y4943" t="s">
        <v>43</v>
      </c>
      <c r="Z4943" t="s">
        <v>43</v>
      </c>
      <c r="AA4943" t="s">
        <v>43</v>
      </c>
      <c r="AB4943" t="s">
        <v>43</v>
      </c>
      <c r="AC4943" t="s">
        <v>43</v>
      </c>
      <c r="AD4943" t="s">
        <v>43</v>
      </c>
      <c r="AE4943" t="s">
        <v>43</v>
      </c>
      <c r="AF4943" t="s">
        <v>43</v>
      </c>
      <c r="AG4943" t="s">
        <v>43</v>
      </c>
      <c r="AH4943" t="s">
        <v>43</v>
      </c>
      <c r="AI4943" t="s">
        <v>43</v>
      </c>
      <c r="AJ4943" t="s">
        <v>43</v>
      </c>
      <c r="AK4943" t="s">
        <v>43</v>
      </c>
      <c r="AL4943" t="s">
        <v>43</v>
      </c>
      <c r="AM4943" t="s">
        <v>43</v>
      </c>
      <c r="AN4943" t="str">
        <f>HYPERLINK("https://www.google.com/maps?q=10.83226013,79.84022522","Open Location")</f>
        <v>Open Location</v>
      </c>
    </row>
    <row r="4944" spans="1:40" x14ac:dyDescent="0.3">
      <c r="A4944" s="1">
        <v>46210.427083333336</v>
      </c>
      <c r="B4944" t="s">
        <v>40</v>
      </c>
      <c r="C4944" t="s">
        <v>41</v>
      </c>
      <c r="D4944" s="1">
        <v>46210.430081018516</v>
      </c>
      <c r="E4944" t="s">
        <v>42</v>
      </c>
      <c r="F4944" t="s">
        <v>43</v>
      </c>
      <c r="G4944" t="s">
        <v>43</v>
      </c>
      <c r="H4944" t="s">
        <v>43</v>
      </c>
      <c r="I4944" t="s">
        <v>2840</v>
      </c>
      <c r="J4944" t="s">
        <v>43</v>
      </c>
      <c r="K4944" t="s">
        <v>43</v>
      </c>
      <c r="L4944" t="s">
        <v>43</v>
      </c>
      <c r="M4944" t="s">
        <v>43</v>
      </c>
      <c r="N4944" t="s">
        <v>45</v>
      </c>
      <c r="O4944" t="s">
        <v>43</v>
      </c>
      <c r="P4944" t="s">
        <v>43</v>
      </c>
      <c r="Q4944" t="s">
        <v>43</v>
      </c>
      <c r="R4944" t="s">
        <v>43</v>
      </c>
      <c r="S4944" t="s">
        <v>43</v>
      </c>
      <c r="T4944" t="s">
        <v>43</v>
      </c>
      <c r="U4944" t="s">
        <v>43</v>
      </c>
      <c r="V4944" t="s">
        <v>43</v>
      </c>
      <c r="W4944" t="s">
        <v>43</v>
      </c>
      <c r="X4944" t="s">
        <v>43</v>
      </c>
      <c r="Y4944" t="s">
        <v>43</v>
      </c>
      <c r="Z4944" t="s">
        <v>43</v>
      </c>
      <c r="AA4944" t="s">
        <v>43</v>
      </c>
      <c r="AB4944" t="s">
        <v>43</v>
      </c>
      <c r="AC4944" t="s">
        <v>43</v>
      </c>
      <c r="AD4944" t="s">
        <v>43</v>
      </c>
      <c r="AE4944" t="s">
        <v>43</v>
      </c>
      <c r="AF4944" t="s">
        <v>43</v>
      </c>
      <c r="AG4944" t="s">
        <v>43</v>
      </c>
      <c r="AH4944" t="s">
        <v>43</v>
      </c>
      <c r="AI4944" t="s">
        <v>43</v>
      </c>
      <c r="AJ4944" t="s">
        <v>43</v>
      </c>
      <c r="AK4944" t="s">
        <v>43</v>
      </c>
      <c r="AL4944" t="s">
        <v>43</v>
      </c>
      <c r="AM4944" t="s">
        <v>43</v>
      </c>
      <c r="AN4944" t="str">
        <f>HYPERLINK("https://www.google.com/maps?q=10.83225822,79.84021759","Open Location")</f>
        <v>Open Location</v>
      </c>
    </row>
    <row r="4945" spans="1:40" x14ac:dyDescent="0.3">
      <c r="A4945" s="1">
        <v>46210.42696759259</v>
      </c>
      <c r="B4945" t="s">
        <v>40</v>
      </c>
      <c r="C4945" t="s">
        <v>41</v>
      </c>
      <c r="D4945" s="1">
        <v>46210.429861111108</v>
      </c>
      <c r="E4945" t="s">
        <v>42</v>
      </c>
      <c r="F4945" t="s">
        <v>43</v>
      </c>
      <c r="G4945" t="s">
        <v>43</v>
      </c>
      <c r="H4945" t="s">
        <v>43</v>
      </c>
      <c r="I4945" t="s">
        <v>43</v>
      </c>
      <c r="J4945" t="s">
        <v>43</v>
      </c>
      <c r="K4945" t="s">
        <v>43</v>
      </c>
      <c r="L4945" t="s">
        <v>43</v>
      </c>
      <c r="M4945" t="s">
        <v>43</v>
      </c>
      <c r="N4945" t="s">
        <v>45</v>
      </c>
      <c r="O4945" t="s">
        <v>43</v>
      </c>
      <c r="P4945" t="s">
        <v>43</v>
      </c>
      <c r="Q4945" t="s">
        <v>43</v>
      </c>
      <c r="R4945" t="s">
        <v>43</v>
      </c>
      <c r="S4945" t="s">
        <v>43</v>
      </c>
      <c r="T4945" t="s">
        <v>43</v>
      </c>
      <c r="U4945" t="s">
        <v>43</v>
      </c>
      <c r="V4945" t="s">
        <v>43</v>
      </c>
      <c r="W4945" t="s">
        <v>43</v>
      </c>
      <c r="X4945" t="s">
        <v>43</v>
      </c>
      <c r="Y4945" t="s">
        <v>43</v>
      </c>
      <c r="Z4945" t="s">
        <v>43</v>
      </c>
      <c r="AA4945" t="s">
        <v>43</v>
      </c>
      <c r="AB4945" t="s">
        <v>43</v>
      </c>
      <c r="AC4945" t="s">
        <v>43</v>
      </c>
      <c r="AD4945" t="s">
        <v>43</v>
      </c>
      <c r="AE4945" t="s">
        <v>43</v>
      </c>
      <c r="AF4945" t="s">
        <v>43</v>
      </c>
      <c r="AG4945" t="s">
        <v>43</v>
      </c>
      <c r="AH4945" t="s">
        <v>43</v>
      </c>
      <c r="AI4945" t="s">
        <v>43</v>
      </c>
      <c r="AJ4945" t="s">
        <v>43</v>
      </c>
      <c r="AK4945" t="s">
        <v>43</v>
      </c>
      <c r="AL4945" t="s">
        <v>43</v>
      </c>
      <c r="AM4945" t="s">
        <v>43</v>
      </c>
      <c r="AN4945" t="s">
        <v>43</v>
      </c>
    </row>
    <row r="4946" spans="1:40" x14ac:dyDescent="0.3">
      <c r="A4946" s="1">
        <v>46210.426851851851</v>
      </c>
      <c r="B4946" t="s">
        <v>40</v>
      </c>
      <c r="C4946" t="s">
        <v>41</v>
      </c>
      <c r="D4946" s="1">
        <v>46210.429803240739</v>
      </c>
      <c r="E4946" t="s">
        <v>42</v>
      </c>
      <c r="F4946" t="s">
        <v>43</v>
      </c>
      <c r="G4946" t="s">
        <v>43</v>
      </c>
      <c r="H4946" t="s">
        <v>43</v>
      </c>
      <c r="I4946" t="s">
        <v>2841</v>
      </c>
      <c r="J4946" t="s">
        <v>43</v>
      </c>
      <c r="K4946" t="s">
        <v>43</v>
      </c>
      <c r="L4946" t="s">
        <v>43</v>
      </c>
      <c r="M4946" t="s">
        <v>43</v>
      </c>
      <c r="N4946" t="s">
        <v>45</v>
      </c>
      <c r="O4946" t="s">
        <v>43</v>
      </c>
      <c r="P4946" t="s">
        <v>43</v>
      </c>
      <c r="Q4946" t="s">
        <v>43</v>
      </c>
      <c r="R4946" t="s">
        <v>43</v>
      </c>
      <c r="S4946" t="s">
        <v>43</v>
      </c>
      <c r="T4946" t="s">
        <v>43</v>
      </c>
      <c r="U4946" t="s">
        <v>43</v>
      </c>
      <c r="V4946" t="s">
        <v>43</v>
      </c>
      <c r="W4946" t="s">
        <v>43</v>
      </c>
      <c r="X4946" t="s">
        <v>43</v>
      </c>
      <c r="Y4946" t="s">
        <v>43</v>
      </c>
      <c r="Z4946" t="s">
        <v>43</v>
      </c>
      <c r="AA4946" t="s">
        <v>43</v>
      </c>
      <c r="AB4946" t="s">
        <v>43</v>
      </c>
      <c r="AC4946" t="s">
        <v>43</v>
      </c>
      <c r="AD4946" t="s">
        <v>43</v>
      </c>
      <c r="AE4946" t="s">
        <v>43</v>
      </c>
      <c r="AF4946" t="s">
        <v>43</v>
      </c>
      <c r="AG4946" t="s">
        <v>43</v>
      </c>
      <c r="AH4946" t="s">
        <v>43</v>
      </c>
      <c r="AI4946" t="s">
        <v>43</v>
      </c>
      <c r="AJ4946" t="s">
        <v>43</v>
      </c>
      <c r="AK4946" t="s">
        <v>43</v>
      </c>
      <c r="AL4946" t="s">
        <v>43</v>
      </c>
      <c r="AM4946" t="s">
        <v>43</v>
      </c>
      <c r="AN4946" t="str">
        <f>HYPERLINK("https://www.google.com/maps?q=10.83225536,79.84021759","Open Location")</f>
        <v>Open Location</v>
      </c>
    </row>
    <row r="4947" spans="1:40" x14ac:dyDescent="0.3">
      <c r="A4947" s="1">
        <v>46210.426736111112</v>
      </c>
      <c r="B4947" t="s">
        <v>40</v>
      </c>
      <c r="C4947" t="s">
        <v>41</v>
      </c>
      <c r="D4947" s="1">
        <v>46210.429629629631</v>
      </c>
      <c r="E4947" t="s">
        <v>42</v>
      </c>
      <c r="F4947" t="s">
        <v>43</v>
      </c>
      <c r="G4947" t="s">
        <v>43</v>
      </c>
      <c r="H4947" t="s">
        <v>43</v>
      </c>
      <c r="I4947" t="s">
        <v>2675</v>
      </c>
      <c r="J4947" t="s">
        <v>43</v>
      </c>
      <c r="K4947" t="s">
        <v>43</v>
      </c>
      <c r="L4947" t="s">
        <v>43</v>
      </c>
      <c r="M4947" t="s">
        <v>43</v>
      </c>
      <c r="N4947" t="s">
        <v>45</v>
      </c>
      <c r="O4947" t="s">
        <v>43</v>
      </c>
      <c r="P4947" t="s">
        <v>43</v>
      </c>
      <c r="Q4947" t="s">
        <v>43</v>
      </c>
      <c r="R4947" t="s">
        <v>43</v>
      </c>
      <c r="S4947" t="s">
        <v>43</v>
      </c>
      <c r="T4947" t="s">
        <v>43</v>
      </c>
      <c r="U4947" t="s">
        <v>43</v>
      </c>
      <c r="V4947" t="s">
        <v>43</v>
      </c>
      <c r="W4947" t="s">
        <v>43</v>
      </c>
      <c r="X4947" t="s">
        <v>43</v>
      </c>
      <c r="Y4947" t="s">
        <v>43</v>
      </c>
      <c r="Z4947" t="s">
        <v>43</v>
      </c>
      <c r="AA4947" t="s">
        <v>43</v>
      </c>
      <c r="AB4947" t="s">
        <v>43</v>
      </c>
      <c r="AC4947" t="s">
        <v>43</v>
      </c>
      <c r="AD4947" t="s">
        <v>43</v>
      </c>
      <c r="AE4947" t="s">
        <v>43</v>
      </c>
      <c r="AF4947" t="s">
        <v>43</v>
      </c>
      <c r="AG4947" t="s">
        <v>43</v>
      </c>
      <c r="AH4947" t="s">
        <v>43</v>
      </c>
      <c r="AI4947" t="s">
        <v>43</v>
      </c>
      <c r="AJ4947" t="s">
        <v>43</v>
      </c>
      <c r="AK4947" t="s">
        <v>43</v>
      </c>
      <c r="AL4947" t="s">
        <v>43</v>
      </c>
      <c r="AM4947" t="s">
        <v>43</v>
      </c>
      <c r="AN4947" t="str">
        <f>HYPERLINK("https://www.google.com/maps?q=10.83225632,79.84021759","Open Location")</f>
        <v>Open Location</v>
      </c>
    </row>
    <row r="4948" spans="1:40" x14ac:dyDescent="0.3">
      <c r="A4948" s="1">
        <v>46210.426620370374</v>
      </c>
      <c r="B4948" t="s">
        <v>40</v>
      </c>
      <c r="C4948" t="s">
        <v>41</v>
      </c>
      <c r="D4948" s="1">
        <v>46210.429444444446</v>
      </c>
      <c r="E4948" t="s">
        <v>42</v>
      </c>
      <c r="F4948" t="s">
        <v>43</v>
      </c>
      <c r="G4948" t="s">
        <v>43</v>
      </c>
      <c r="H4948" t="s">
        <v>43</v>
      </c>
      <c r="I4948" t="s">
        <v>2842</v>
      </c>
      <c r="J4948" t="s">
        <v>43</v>
      </c>
      <c r="K4948" t="s">
        <v>43</v>
      </c>
      <c r="L4948" t="s">
        <v>43</v>
      </c>
      <c r="M4948" t="s">
        <v>43</v>
      </c>
      <c r="N4948" t="s">
        <v>45</v>
      </c>
      <c r="O4948" t="s">
        <v>43</v>
      </c>
      <c r="P4948" t="s">
        <v>43</v>
      </c>
      <c r="Q4948" t="s">
        <v>43</v>
      </c>
      <c r="R4948" t="s">
        <v>43</v>
      </c>
      <c r="S4948" t="s">
        <v>43</v>
      </c>
      <c r="T4948" t="s">
        <v>43</v>
      </c>
      <c r="U4948" t="s">
        <v>43</v>
      </c>
      <c r="V4948" t="s">
        <v>43</v>
      </c>
      <c r="W4948" t="s">
        <v>43</v>
      </c>
      <c r="X4948" t="s">
        <v>43</v>
      </c>
      <c r="Y4948" t="s">
        <v>43</v>
      </c>
      <c r="Z4948" t="s">
        <v>43</v>
      </c>
      <c r="AA4948" t="s">
        <v>43</v>
      </c>
      <c r="AB4948" t="s">
        <v>43</v>
      </c>
      <c r="AC4948" t="s">
        <v>43</v>
      </c>
      <c r="AD4948" t="s">
        <v>43</v>
      </c>
      <c r="AE4948" t="s">
        <v>43</v>
      </c>
      <c r="AF4948" t="s">
        <v>43</v>
      </c>
      <c r="AG4948" t="s">
        <v>43</v>
      </c>
      <c r="AH4948" t="s">
        <v>43</v>
      </c>
      <c r="AI4948" t="s">
        <v>43</v>
      </c>
      <c r="AJ4948" t="s">
        <v>43</v>
      </c>
      <c r="AK4948" t="s">
        <v>43</v>
      </c>
      <c r="AL4948" t="s">
        <v>43</v>
      </c>
      <c r="AM4948" t="s">
        <v>43</v>
      </c>
      <c r="AN4948" t="str">
        <f>HYPERLINK("https://www.google.com/maps?q=10.83225441,79.84022522","Open Location")</f>
        <v>Open Location</v>
      </c>
    </row>
    <row r="4949" spans="1:40" x14ac:dyDescent="0.3">
      <c r="A4949" s="1">
        <v>46210.426504629628</v>
      </c>
      <c r="B4949" t="s">
        <v>40</v>
      </c>
      <c r="C4949" t="s">
        <v>41</v>
      </c>
      <c r="D4949" s="1">
        <v>46210.429456018515</v>
      </c>
      <c r="E4949" t="s">
        <v>42</v>
      </c>
      <c r="F4949" t="s">
        <v>43</v>
      </c>
      <c r="G4949" t="s">
        <v>43</v>
      </c>
      <c r="H4949" t="s">
        <v>43</v>
      </c>
      <c r="I4949" t="s">
        <v>2774</v>
      </c>
      <c r="J4949" t="s">
        <v>43</v>
      </c>
      <c r="K4949" t="s">
        <v>43</v>
      </c>
      <c r="L4949" t="s">
        <v>43</v>
      </c>
      <c r="M4949" t="s">
        <v>43</v>
      </c>
      <c r="N4949" t="s">
        <v>45</v>
      </c>
      <c r="O4949" t="s">
        <v>43</v>
      </c>
      <c r="P4949" t="s">
        <v>43</v>
      </c>
      <c r="Q4949" t="s">
        <v>43</v>
      </c>
      <c r="R4949" t="s">
        <v>43</v>
      </c>
      <c r="S4949" t="s">
        <v>43</v>
      </c>
      <c r="T4949" t="s">
        <v>43</v>
      </c>
      <c r="U4949" t="s">
        <v>43</v>
      </c>
      <c r="V4949" t="s">
        <v>43</v>
      </c>
      <c r="W4949" t="s">
        <v>43</v>
      </c>
      <c r="X4949" t="s">
        <v>43</v>
      </c>
      <c r="Y4949" t="s">
        <v>43</v>
      </c>
      <c r="Z4949" t="s">
        <v>43</v>
      </c>
      <c r="AA4949" t="s">
        <v>43</v>
      </c>
      <c r="AB4949" t="s">
        <v>43</v>
      </c>
      <c r="AC4949" t="s">
        <v>43</v>
      </c>
      <c r="AD4949" t="s">
        <v>43</v>
      </c>
      <c r="AE4949" t="s">
        <v>43</v>
      </c>
      <c r="AF4949" t="s">
        <v>43</v>
      </c>
      <c r="AG4949" t="s">
        <v>43</v>
      </c>
      <c r="AH4949" t="s">
        <v>43</v>
      </c>
      <c r="AI4949" t="s">
        <v>43</v>
      </c>
      <c r="AJ4949" t="s">
        <v>43</v>
      </c>
      <c r="AK4949" t="s">
        <v>43</v>
      </c>
      <c r="AL4949" t="s">
        <v>43</v>
      </c>
      <c r="AM4949" t="s">
        <v>43</v>
      </c>
      <c r="AN4949" t="str">
        <f>HYPERLINK("https://www.google.com/maps?q=10.83225155,79.84022522","Open Location")</f>
        <v>Open Location</v>
      </c>
    </row>
    <row r="4950" spans="1:40" x14ac:dyDescent="0.3">
      <c r="A4950" s="1">
        <v>46210.426388888889</v>
      </c>
      <c r="B4950" t="s">
        <v>40</v>
      </c>
      <c r="C4950" t="s">
        <v>41</v>
      </c>
      <c r="D4950" s="1">
        <v>46210.429085648146</v>
      </c>
      <c r="E4950" t="s">
        <v>42</v>
      </c>
      <c r="F4950" t="s">
        <v>43</v>
      </c>
      <c r="G4950" t="s">
        <v>43</v>
      </c>
      <c r="H4950" t="s">
        <v>43</v>
      </c>
      <c r="I4950" t="s">
        <v>2676</v>
      </c>
      <c r="J4950" t="s">
        <v>43</v>
      </c>
      <c r="K4950" t="s">
        <v>43</v>
      </c>
      <c r="L4950" t="s">
        <v>43</v>
      </c>
      <c r="M4950" t="s">
        <v>43</v>
      </c>
      <c r="N4950" t="s">
        <v>45</v>
      </c>
      <c r="O4950" t="s">
        <v>43</v>
      </c>
      <c r="P4950" t="s">
        <v>43</v>
      </c>
      <c r="Q4950" t="s">
        <v>43</v>
      </c>
      <c r="R4950" t="s">
        <v>43</v>
      </c>
      <c r="S4950" t="s">
        <v>43</v>
      </c>
      <c r="T4950" t="s">
        <v>43</v>
      </c>
      <c r="U4950" t="s">
        <v>43</v>
      </c>
      <c r="V4950" t="s">
        <v>43</v>
      </c>
      <c r="W4950" t="s">
        <v>43</v>
      </c>
      <c r="X4950" t="s">
        <v>43</v>
      </c>
      <c r="Y4950" t="s">
        <v>43</v>
      </c>
      <c r="Z4950" t="s">
        <v>43</v>
      </c>
      <c r="AA4950" t="s">
        <v>43</v>
      </c>
      <c r="AB4950" t="s">
        <v>43</v>
      </c>
      <c r="AC4950" t="s">
        <v>43</v>
      </c>
      <c r="AD4950" t="s">
        <v>43</v>
      </c>
      <c r="AE4950" t="s">
        <v>43</v>
      </c>
      <c r="AF4950" t="s">
        <v>43</v>
      </c>
      <c r="AG4950" t="s">
        <v>43</v>
      </c>
      <c r="AH4950" t="s">
        <v>43</v>
      </c>
      <c r="AI4950" t="s">
        <v>43</v>
      </c>
      <c r="AJ4950" t="s">
        <v>43</v>
      </c>
      <c r="AK4950" t="s">
        <v>43</v>
      </c>
      <c r="AL4950" t="s">
        <v>43</v>
      </c>
      <c r="AM4950" t="s">
        <v>43</v>
      </c>
      <c r="AN4950" t="str">
        <f>HYPERLINK("https://www.google.com/maps?q=10.8322506,79.84022522","Open Location")</f>
        <v>Open Location</v>
      </c>
    </row>
    <row r="4951" spans="1:40" x14ac:dyDescent="0.3">
      <c r="A4951" s="1">
        <v>46210.42627314815</v>
      </c>
      <c r="B4951" t="s">
        <v>40</v>
      </c>
      <c r="C4951" t="s">
        <v>41</v>
      </c>
      <c r="D4951" s="1">
        <v>46210.429074074076</v>
      </c>
      <c r="E4951" t="s">
        <v>42</v>
      </c>
      <c r="F4951" t="s">
        <v>43</v>
      </c>
      <c r="G4951" t="s">
        <v>43</v>
      </c>
      <c r="H4951" t="s">
        <v>43</v>
      </c>
      <c r="I4951" t="s">
        <v>43</v>
      </c>
      <c r="J4951" t="s">
        <v>43</v>
      </c>
      <c r="K4951" t="s">
        <v>43</v>
      </c>
      <c r="L4951" t="s">
        <v>43</v>
      </c>
      <c r="M4951" t="s">
        <v>43</v>
      </c>
      <c r="N4951" t="s">
        <v>45</v>
      </c>
      <c r="O4951" t="s">
        <v>43</v>
      </c>
      <c r="P4951" t="s">
        <v>43</v>
      </c>
      <c r="Q4951" t="s">
        <v>43</v>
      </c>
      <c r="R4951" t="s">
        <v>43</v>
      </c>
      <c r="S4951" t="s">
        <v>43</v>
      </c>
      <c r="T4951" t="s">
        <v>43</v>
      </c>
      <c r="U4951" t="s">
        <v>43</v>
      </c>
      <c r="V4951" t="s">
        <v>43</v>
      </c>
      <c r="W4951" t="s">
        <v>43</v>
      </c>
      <c r="X4951" t="s">
        <v>43</v>
      </c>
      <c r="Y4951" t="s">
        <v>43</v>
      </c>
      <c r="Z4951" t="s">
        <v>43</v>
      </c>
      <c r="AA4951" t="s">
        <v>43</v>
      </c>
      <c r="AB4951" t="s">
        <v>43</v>
      </c>
      <c r="AC4951" t="s">
        <v>43</v>
      </c>
      <c r="AD4951" t="s">
        <v>43</v>
      </c>
      <c r="AE4951" t="s">
        <v>43</v>
      </c>
      <c r="AF4951" t="s">
        <v>43</v>
      </c>
      <c r="AG4951" t="s">
        <v>43</v>
      </c>
      <c r="AH4951" t="s">
        <v>43</v>
      </c>
      <c r="AI4951" t="s">
        <v>43</v>
      </c>
      <c r="AJ4951" t="s">
        <v>43</v>
      </c>
      <c r="AK4951" t="s">
        <v>43</v>
      </c>
      <c r="AL4951" t="s">
        <v>43</v>
      </c>
      <c r="AM4951" t="s">
        <v>43</v>
      </c>
      <c r="AN4951" t="s">
        <v>43</v>
      </c>
    </row>
    <row r="4952" spans="1:40" x14ac:dyDescent="0.3">
      <c r="A4952" s="1">
        <v>46210.426157407404</v>
      </c>
      <c r="B4952" t="s">
        <v>40</v>
      </c>
      <c r="C4952" t="s">
        <v>41</v>
      </c>
      <c r="D4952" s="1">
        <v>46210.428877314815</v>
      </c>
      <c r="E4952" t="s">
        <v>42</v>
      </c>
      <c r="F4952" t="s">
        <v>43</v>
      </c>
      <c r="G4952" t="s">
        <v>43</v>
      </c>
      <c r="H4952" t="s">
        <v>43</v>
      </c>
      <c r="I4952" t="s">
        <v>2842</v>
      </c>
      <c r="J4952" t="s">
        <v>43</v>
      </c>
      <c r="K4952" t="s">
        <v>43</v>
      </c>
      <c r="L4952" t="s">
        <v>43</v>
      </c>
      <c r="M4952" t="s">
        <v>43</v>
      </c>
      <c r="N4952" t="s">
        <v>45</v>
      </c>
      <c r="O4952" t="s">
        <v>43</v>
      </c>
      <c r="P4952" t="s">
        <v>43</v>
      </c>
      <c r="Q4952" t="s">
        <v>43</v>
      </c>
      <c r="R4952" t="s">
        <v>43</v>
      </c>
      <c r="S4952" t="s">
        <v>43</v>
      </c>
      <c r="T4952" t="s">
        <v>43</v>
      </c>
      <c r="U4952" t="s">
        <v>43</v>
      </c>
      <c r="V4952" t="s">
        <v>43</v>
      </c>
      <c r="W4952" t="s">
        <v>43</v>
      </c>
      <c r="X4952" t="s">
        <v>43</v>
      </c>
      <c r="Y4952" t="s">
        <v>43</v>
      </c>
      <c r="Z4952" t="s">
        <v>43</v>
      </c>
      <c r="AA4952" t="s">
        <v>43</v>
      </c>
      <c r="AB4952" t="s">
        <v>43</v>
      </c>
      <c r="AC4952" t="s">
        <v>43</v>
      </c>
      <c r="AD4952" t="s">
        <v>43</v>
      </c>
      <c r="AE4952" t="s">
        <v>43</v>
      </c>
      <c r="AF4952" t="s">
        <v>43</v>
      </c>
      <c r="AG4952" t="s">
        <v>43</v>
      </c>
      <c r="AH4952" t="s">
        <v>43</v>
      </c>
      <c r="AI4952" t="s">
        <v>43</v>
      </c>
      <c r="AJ4952" t="s">
        <v>43</v>
      </c>
      <c r="AK4952" t="s">
        <v>43</v>
      </c>
      <c r="AL4952" t="s">
        <v>43</v>
      </c>
      <c r="AM4952" t="s">
        <v>43</v>
      </c>
      <c r="AN4952" t="str">
        <f>HYPERLINK("https://www.google.com/maps?q=10.83225441,79.84022522","Open Location")</f>
        <v>Open Location</v>
      </c>
    </row>
    <row r="4953" spans="1:40" x14ac:dyDescent="0.3">
      <c r="A4953" s="1">
        <v>46210.426041666666</v>
      </c>
      <c r="B4953" t="s">
        <v>40</v>
      </c>
      <c r="C4953" t="s">
        <v>41</v>
      </c>
      <c r="D4953" s="1">
        <v>46210.428807870368</v>
      </c>
      <c r="E4953" t="s">
        <v>42</v>
      </c>
      <c r="F4953" t="s">
        <v>43</v>
      </c>
      <c r="G4953" t="s">
        <v>43</v>
      </c>
      <c r="H4953" t="s">
        <v>43</v>
      </c>
      <c r="I4953" t="s">
        <v>2843</v>
      </c>
      <c r="J4953" t="s">
        <v>43</v>
      </c>
      <c r="K4953" t="s">
        <v>43</v>
      </c>
      <c r="L4953" t="s">
        <v>43</v>
      </c>
      <c r="M4953" t="s">
        <v>43</v>
      </c>
      <c r="N4953" t="s">
        <v>45</v>
      </c>
      <c r="O4953" t="s">
        <v>43</v>
      </c>
      <c r="P4953" t="s">
        <v>43</v>
      </c>
      <c r="Q4953" t="s">
        <v>43</v>
      </c>
      <c r="R4953" t="s">
        <v>43</v>
      </c>
      <c r="S4953" t="s">
        <v>43</v>
      </c>
      <c r="T4953" t="s">
        <v>43</v>
      </c>
      <c r="U4953" t="s">
        <v>43</v>
      </c>
      <c r="V4953" t="s">
        <v>43</v>
      </c>
      <c r="W4953" t="s">
        <v>43</v>
      </c>
      <c r="X4953" t="s">
        <v>43</v>
      </c>
      <c r="Y4953" t="s">
        <v>43</v>
      </c>
      <c r="Z4953" t="s">
        <v>43</v>
      </c>
      <c r="AA4953" t="s">
        <v>43</v>
      </c>
      <c r="AB4953" t="s">
        <v>43</v>
      </c>
      <c r="AC4953" t="s">
        <v>43</v>
      </c>
      <c r="AD4953" t="s">
        <v>43</v>
      </c>
      <c r="AE4953" t="s">
        <v>43</v>
      </c>
      <c r="AF4953" t="s">
        <v>43</v>
      </c>
      <c r="AG4953" t="s">
        <v>43</v>
      </c>
      <c r="AH4953" t="s">
        <v>43</v>
      </c>
      <c r="AI4953" t="s">
        <v>43</v>
      </c>
      <c r="AJ4953" t="s">
        <v>43</v>
      </c>
      <c r="AK4953" t="s">
        <v>43</v>
      </c>
      <c r="AL4953" t="s">
        <v>43</v>
      </c>
      <c r="AM4953" t="s">
        <v>43</v>
      </c>
      <c r="AN4953" t="str">
        <f>HYPERLINK("https://www.google.com/maps?q=10.83225822,79.84023285","Open Location")</f>
        <v>Open Location</v>
      </c>
    </row>
    <row r="4954" spans="1:40" x14ac:dyDescent="0.3">
      <c r="A4954" s="1">
        <v>46210.425925925927</v>
      </c>
      <c r="B4954" t="s">
        <v>40</v>
      </c>
      <c r="C4954" t="s">
        <v>41</v>
      </c>
      <c r="D4954" s="1">
        <v>46210.428657407407</v>
      </c>
      <c r="E4954" t="s">
        <v>42</v>
      </c>
      <c r="F4954" t="s">
        <v>43</v>
      </c>
      <c r="G4954" t="s">
        <v>43</v>
      </c>
      <c r="H4954" t="s">
        <v>43</v>
      </c>
      <c r="I4954" t="s">
        <v>2796</v>
      </c>
      <c r="J4954" t="s">
        <v>43</v>
      </c>
      <c r="K4954" t="s">
        <v>43</v>
      </c>
      <c r="L4954" t="s">
        <v>43</v>
      </c>
      <c r="M4954" t="s">
        <v>43</v>
      </c>
      <c r="N4954" t="s">
        <v>45</v>
      </c>
      <c r="O4954" t="s">
        <v>43</v>
      </c>
      <c r="P4954" t="s">
        <v>43</v>
      </c>
      <c r="Q4954" t="s">
        <v>43</v>
      </c>
      <c r="R4954" t="s">
        <v>43</v>
      </c>
      <c r="S4954" t="s">
        <v>43</v>
      </c>
      <c r="T4954" t="s">
        <v>43</v>
      </c>
      <c r="U4954" t="s">
        <v>43</v>
      </c>
      <c r="V4954" t="s">
        <v>43</v>
      </c>
      <c r="W4954" t="s">
        <v>43</v>
      </c>
      <c r="X4954" t="s">
        <v>43</v>
      </c>
      <c r="Y4954" t="s">
        <v>43</v>
      </c>
      <c r="Z4954" t="s">
        <v>43</v>
      </c>
      <c r="AA4954" t="s">
        <v>43</v>
      </c>
      <c r="AB4954" t="s">
        <v>43</v>
      </c>
      <c r="AC4954" t="s">
        <v>43</v>
      </c>
      <c r="AD4954" t="s">
        <v>43</v>
      </c>
      <c r="AE4954" t="s">
        <v>43</v>
      </c>
      <c r="AF4954" t="s">
        <v>43</v>
      </c>
      <c r="AG4954" t="s">
        <v>43</v>
      </c>
      <c r="AH4954" t="s">
        <v>43</v>
      </c>
      <c r="AI4954" t="s">
        <v>43</v>
      </c>
      <c r="AJ4954" t="s">
        <v>43</v>
      </c>
      <c r="AK4954" t="s">
        <v>43</v>
      </c>
      <c r="AL4954" t="s">
        <v>43</v>
      </c>
      <c r="AM4954" t="s">
        <v>43</v>
      </c>
      <c r="AN4954" t="str">
        <f>HYPERLINK("https://www.google.com/maps?q=10.83225918,79.84024048","Open Location")</f>
        <v>Open Location</v>
      </c>
    </row>
    <row r="4955" spans="1:40" x14ac:dyDescent="0.3">
      <c r="A4955" s="1">
        <v>46210.425810185188</v>
      </c>
      <c r="B4955" t="s">
        <v>40</v>
      </c>
      <c r="C4955" t="s">
        <v>41</v>
      </c>
      <c r="D4955" s="1">
        <v>46210.428599537037</v>
      </c>
      <c r="E4955" t="s">
        <v>42</v>
      </c>
      <c r="F4955" t="s">
        <v>43</v>
      </c>
      <c r="G4955" t="s">
        <v>43</v>
      </c>
      <c r="H4955" t="s">
        <v>43</v>
      </c>
      <c r="I4955" t="s">
        <v>2789</v>
      </c>
      <c r="J4955" t="s">
        <v>43</v>
      </c>
      <c r="K4955" t="s">
        <v>43</v>
      </c>
      <c r="L4955" t="s">
        <v>43</v>
      </c>
      <c r="M4955" t="s">
        <v>43</v>
      </c>
      <c r="N4955" t="s">
        <v>45</v>
      </c>
      <c r="O4955" t="s">
        <v>43</v>
      </c>
      <c r="P4955" t="s">
        <v>43</v>
      </c>
      <c r="Q4955" t="s">
        <v>43</v>
      </c>
      <c r="R4955" t="s">
        <v>43</v>
      </c>
      <c r="S4955" t="s">
        <v>43</v>
      </c>
      <c r="T4955" t="s">
        <v>43</v>
      </c>
      <c r="U4955" t="s">
        <v>43</v>
      </c>
      <c r="V4955" t="s">
        <v>43</v>
      </c>
      <c r="W4955" t="s">
        <v>43</v>
      </c>
      <c r="X4955" t="s">
        <v>43</v>
      </c>
      <c r="Y4955" t="s">
        <v>43</v>
      </c>
      <c r="Z4955" t="s">
        <v>43</v>
      </c>
      <c r="AA4955" t="s">
        <v>43</v>
      </c>
      <c r="AB4955" t="s">
        <v>43</v>
      </c>
      <c r="AC4955" t="s">
        <v>43</v>
      </c>
      <c r="AD4955" t="s">
        <v>43</v>
      </c>
      <c r="AE4955" t="s">
        <v>43</v>
      </c>
      <c r="AF4955" t="s">
        <v>43</v>
      </c>
      <c r="AG4955" t="s">
        <v>43</v>
      </c>
      <c r="AH4955" t="s">
        <v>43</v>
      </c>
      <c r="AI4955" t="s">
        <v>43</v>
      </c>
      <c r="AJ4955" t="s">
        <v>43</v>
      </c>
      <c r="AK4955" t="s">
        <v>43</v>
      </c>
      <c r="AL4955" t="s">
        <v>43</v>
      </c>
      <c r="AM4955" t="s">
        <v>43</v>
      </c>
      <c r="AN4955" t="str">
        <f>HYPERLINK("https://www.google.com/maps?q=10.83225727,79.84023285","Open Location")</f>
        <v>Open Location</v>
      </c>
    </row>
    <row r="4956" spans="1:40" x14ac:dyDescent="0.3">
      <c r="A4956" s="1">
        <v>46210.425694444442</v>
      </c>
      <c r="B4956" t="s">
        <v>40</v>
      </c>
      <c r="C4956" t="s">
        <v>41</v>
      </c>
      <c r="D4956" s="1">
        <v>46210.428599537037</v>
      </c>
      <c r="E4956" t="s">
        <v>42</v>
      </c>
      <c r="F4956" t="s">
        <v>43</v>
      </c>
      <c r="G4956" t="s">
        <v>43</v>
      </c>
      <c r="H4956" t="s">
        <v>43</v>
      </c>
      <c r="I4956" t="s">
        <v>43</v>
      </c>
      <c r="J4956" t="s">
        <v>43</v>
      </c>
      <c r="K4956" t="s">
        <v>43</v>
      </c>
      <c r="L4956" t="s">
        <v>43</v>
      </c>
      <c r="M4956" t="s">
        <v>43</v>
      </c>
      <c r="N4956" t="s">
        <v>45</v>
      </c>
      <c r="O4956" t="s">
        <v>43</v>
      </c>
      <c r="P4956" t="s">
        <v>43</v>
      </c>
      <c r="Q4956" t="s">
        <v>43</v>
      </c>
      <c r="R4956" t="s">
        <v>43</v>
      </c>
      <c r="S4956" t="s">
        <v>43</v>
      </c>
      <c r="T4956" t="s">
        <v>43</v>
      </c>
      <c r="U4956" t="s">
        <v>43</v>
      </c>
      <c r="V4956" t="s">
        <v>43</v>
      </c>
      <c r="W4956" t="s">
        <v>43</v>
      </c>
      <c r="X4956" t="s">
        <v>43</v>
      </c>
      <c r="Y4956" t="s">
        <v>43</v>
      </c>
      <c r="Z4956" t="s">
        <v>43</v>
      </c>
      <c r="AA4956" t="s">
        <v>43</v>
      </c>
      <c r="AB4956" t="s">
        <v>43</v>
      </c>
      <c r="AC4956" t="s">
        <v>43</v>
      </c>
      <c r="AD4956" t="s">
        <v>43</v>
      </c>
      <c r="AE4956" t="s">
        <v>43</v>
      </c>
      <c r="AF4956" t="s">
        <v>43</v>
      </c>
      <c r="AG4956" t="s">
        <v>43</v>
      </c>
      <c r="AH4956" t="s">
        <v>43</v>
      </c>
      <c r="AI4956" t="s">
        <v>43</v>
      </c>
      <c r="AJ4956" t="s">
        <v>43</v>
      </c>
      <c r="AK4956" t="s">
        <v>43</v>
      </c>
      <c r="AL4956" t="s">
        <v>43</v>
      </c>
      <c r="AM4956" t="s">
        <v>43</v>
      </c>
      <c r="AN4956" t="s">
        <v>43</v>
      </c>
    </row>
    <row r="4957" spans="1:40" x14ac:dyDescent="0.3">
      <c r="A4957" s="1">
        <v>46210.425578703704</v>
      </c>
      <c r="B4957" t="s">
        <v>40</v>
      </c>
      <c r="C4957" t="s">
        <v>41</v>
      </c>
      <c r="D4957" s="1">
        <v>46210.428657407407</v>
      </c>
      <c r="E4957" t="s">
        <v>42</v>
      </c>
      <c r="F4957" t="s">
        <v>43</v>
      </c>
      <c r="G4957" t="s">
        <v>43</v>
      </c>
      <c r="H4957" t="s">
        <v>43</v>
      </c>
      <c r="I4957" t="s">
        <v>2788</v>
      </c>
      <c r="J4957" t="s">
        <v>43</v>
      </c>
      <c r="K4957" t="s">
        <v>43</v>
      </c>
      <c r="L4957" t="s">
        <v>43</v>
      </c>
      <c r="M4957" t="s">
        <v>43</v>
      </c>
      <c r="N4957" t="s">
        <v>45</v>
      </c>
      <c r="O4957" t="s">
        <v>43</v>
      </c>
      <c r="P4957" t="s">
        <v>43</v>
      </c>
      <c r="Q4957" t="s">
        <v>43</v>
      </c>
      <c r="R4957" t="s">
        <v>43</v>
      </c>
      <c r="S4957" t="s">
        <v>43</v>
      </c>
      <c r="T4957" t="s">
        <v>43</v>
      </c>
      <c r="U4957" t="s">
        <v>43</v>
      </c>
      <c r="V4957" t="s">
        <v>43</v>
      </c>
      <c r="W4957" t="s">
        <v>43</v>
      </c>
      <c r="X4957" t="s">
        <v>43</v>
      </c>
      <c r="Y4957" t="s">
        <v>43</v>
      </c>
      <c r="Z4957" t="s">
        <v>43</v>
      </c>
      <c r="AA4957" t="s">
        <v>43</v>
      </c>
      <c r="AB4957" t="s">
        <v>43</v>
      </c>
      <c r="AC4957" t="s">
        <v>43</v>
      </c>
      <c r="AD4957" t="s">
        <v>43</v>
      </c>
      <c r="AE4957" t="s">
        <v>43</v>
      </c>
      <c r="AF4957" t="s">
        <v>43</v>
      </c>
      <c r="AG4957" t="s">
        <v>43</v>
      </c>
      <c r="AH4957" t="s">
        <v>43</v>
      </c>
      <c r="AI4957" t="s">
        <v>43</v>
      </c>
      <c r="AJ4957" t="s">
        <v>43</v>
      </c>
      <c r="AK4957" t="s">
        <v>43</v>
      </c>
      <c r="AL4957" t="s">
        <v>43</v>
      </c>
      <c r="AM4957" t="s">
        <v>43</v>
      </c>
      <c r="AN4957" t="str">
        <f>HYPERLINK("https://www.google.com/maps?q=10.83225155,79.84023285","Open Location")</f>
        <v>Open Location</v>
      </c>
    </row>
    <row r="4958" spans="1:40" x14ac:dyDescent="0.3">
      <c r="A4958" s="1">
        <v>46210.425462962965</v>
      </c>
      <c r="B4958" t="s">
        <v>40</v>
      </c>
      <c r="C4958" t="s">
        <v>41</v>
      </c>
      <c r="D4958" s="1">
        <v>46210.428657407407</v>
      </c>
      <c r="E4958" t="s">
        <v>42</v>
      </c>
      <c r="F4958" t="s">
        <v>43</v>
      </c>
      <c r="G4958" t="s">
        <v>43</v>
      </c>
      <c r="H4958" t="s">
        <v>43</v>
      </c>
      <c r="I4958" t="s">
        <v>2844</v>
      </c>
      <c r="J4958" t="s">
        <v>43</v>
      </c>
      <c r="K4958" t="s">
        <v>43</v>
      </c>
      <c r="L4958" t="s">
        <v>43</v>
      </c>
      <c r="M4958" t="s">
        <v>43</v>
      </c>
      <c r="N4958" t="s">
        <v>45</v>
      </c>
      <c r="O4958" t="s">
        <v>43</v>
      </c>
      <c r="P4958" t="s">
        <v>43</v>
      </c>
      <c r="Q4958" t="s">
        <v>43</v>
      </c>
      <c r="R4958" t="s">
        <v>43</v>
      </c>
      <c r="S4958" t="s">
        <v>43</v>
      </c>
      <c r="T4958" t="s">
        <v>43</v>
      </c>
      <c r="U4958" t="s">
        <v>43</v>
      </c>
      <c r="V4958" t="s">
        <v>43</v>
      </c>
      <c r="W4958" t="s">
        <v>43</v>
      </c>
      <c r="X4958" t="s">
        <v>43</v>
      </c>
      <c r="Y4958" t="s">
        <v>43</v>
      </c>
      <c r="Z4958" t="s">
        <v>43</v>
      </c>
      <c r="AA4958" t="s">
        <v>43</v>
      </c>
      <c r="AB4958" t="s">
        <v>43</v>
      </c>
      <c r="AC4958" t="s">
        <v>43</v>
      </c>
      <c r="AD4958" t="s">
        <v>43</v>
      </c>
      <c r="AE4958" t="s">
        <v>43</v>
      </c>
      <c r="AF4958" t="s">
        <v>43</v>
      </c>
      <c r="AG4958" t="s">
        <v>43</v>
      </c>
      <c r="AH4958" t="s">
        <v>43</v>
      </c>
      <c r="AI4958" t="s">
        <v>43</v>
      </c>
      <c r="AJ4958" t="s">
        <v>43</v>
      </c>
      <c r="AK4958" t="s">
        <v>43</v>
      </c>
      <c r="AL4958" t="s">
        <v>43</v>
      </c>
      <c r="AM4958" t="s">
        <v>43</v>
      </c>
      <c r="AN4958" t="str">
        <f>HYPERLINK("https://www.google.com/maps?q=10.83224869,79.84024048","Open Location")</f>
        <v>Open Location</v>
      </c>
    </row>
    <row r="4959" spans="1:40" x14ac:dyDescent="0.3">
      <c r="A4959" s="1">
        <v>46210.425347222219</v>
      </c>
      <c r="B4959" t="s">
        <v>40</v>
      </c>
      <c r="C4959" t="s">
        <v>41</v>
      </c>
      <c r="D4959" s="1">
        <v>46210.428229166668</v>
      </c>
      <c r="E4959" t="s">
        <v>42</v>
      </c>
      <c r="F4959" t="s">
        <v>43</v>
      </c>
      <c r="G4959" t="s">
        <v>43</v>
      </c>
      <c r="H4959" t="s">
        <v>43</v>
      </c>
      <c r="I4959" t="s">
        <v>2845</v>
      </c>
      <c r="J4959" t="s">
        <v>43</v>
      </c>
      <c r="K4959" t="s">
        <v>43</v>
      </c>
      <c r="L4959" t="s">
        <v>43</v>
      </c>
      <c r="M4959" t="s">
        <v>43</v>
      </c>
      <c r="N4959" t="s">
        <v>45</v>
      </c>
      <c r="O4959" t="s">
        <v>43</v>
      </c>
      <c r="P4959" t="s">
        <v>43</v>
      </c>
      <c r="Q4959" t="s">
        <v>43</v>
      </c>
      <c r="R4959" t="s">
        <v>43</v>
      </c>
      <c r="S4959" t="s">
        <v>43</v>
      </c>
      <c r="T4959" t="s">
        <v>43</v>
      </c>
      <c r="U4959" t="s">
        <v>43</v>
      </c>
      <c r="V4959" t="s">
        <v>43</v>
      </c>
      <c r="W4959" t="s">
        <v>43</v>
      </c>
      <c r="X4959" t="s">
        <v>43</v>
      </c>
      <c r="Y4959" t="s">
        <v>43</v>
      </c>
      <c r="Z4959" t="s">
        <v>43</v>
      </c>
      <c r="AA4959" t="s">
        <v>43</v>
      </c>
      <c r="AB4959" t="s">
        <v>43</v>
      </c>
      <c r="AC4959" t="s">
        <v>43</v>
      </c>
      <c r="AD4959" t="s">
        <v>43</v>
      </c>
      <c r="AE4959" t="s">
        <v>43</v>
      </c>
      <c r="AF4959" t="s">
        <v>43</v>
      </c>
      <c r="AG4959" t="s">
        <v>43</v>
      </c>
      <c r="AH4959" t="s">
        <v>43</v>
      </c>
      <c r="AI4959" t="s">
        <v>43</v>
      </c>
      <c r="AJ4959" t="s">
        <v>43</v>
      </c>
      <c r="AK4959" t="s">
        <v>43</v>
      </c>
      <c r="AL4959" t="s">
        <v>43</v>
      </c>
      <c r="AM4959" t="s">
        <v>43</v>
      </c>
      <c r="AN4959" t="str">
        <f>HYPERLINK("https://www.google.com/maps?q=10.83224583,79.84024048","Open Location")</f>
        <v>Open Location</v>
      </c>
    </row>
    <row r="4960" spans="1:40" x14ac:dyDescent="0.3">
      <c r="A4960" s="1">
        <v>46210.42523148148</v>
      </c>
      <c r="B4960" t="s">
        <v>40</v>
      </c>
      <c r="C4960" t="s">
        <v>41</v>
      </c>
      <c r="D4960" s="1">
        <v>46210.428356481483</v>
      </c>
      <c r="E4960" t="s">
        <v>42</v>
      </c>
      <c r="F4960" t="s">
        <v>43</v>
      </c>
      <c r="G4960" t="s">
        <v>43</v>
      </c>
      <c r="H4960" t="s">
        <v>43</v>
      </c>
      <c r="I4960" t="s">
        <v>2846</v>
      </c>
      <c r="J4960" t="s">
        <v>43</v>
      </c>
      <c r="K4960" t="s">
        <v>43</v>
      </c>
      <c r="L4960" t="s">
        <v>43</v>
      </c>
      <c r="M4960" t="s">
        <v>43</v>
      </c>
      <c r="N4960" t="s">
        <v>45</v>
      </c>
      <c r="O4960" t="s">
        <v>43</v>
      </c>
      <c r="P4960" t="s">
        <v>43</v>
      </c>
      <c r="Q4960" t="s">
        <v>43</v>
      </c>
      <c r="R4960" t="s">
        <v>43</v>
      </c>
      <c r="S4960" t="s">
        <v>43</v>
      </c>
      <c r="T4960" t="s">
        <v>43</v>
      </c>
      <c r="U4960" t="s">
        <v>43</v>
      </c>
      <c r="V4960" t="s">
        <v>43</v>
      </c>
      <c r="W4960" t="s">
        <v>43</v>
      </c>
      <c r="X4960" t="s">
        <v>43</v>
      </c>
      <c r="Y4960" t="s">
        <v>43</v>
      </c>
      <c r="Z4960" t="s">
        <v>43</v>
      </c>
      <c r="AA4960" t="s">
        <v>43</v>
      </c>
      <c r="AB4960" t="s">
        <v>43</v>
      </c>
      <c r="AC4960" t="s">
        <v>43</v>
      </c>
      <c r="AD4960" t="s">
        <v>43</v>
      </c>
      <c r="AE4960" t="s">
        <v>43</v>
      </c>
      <c r="AF4960" t="s">
        <v>43</v>
      </c>
      <c r="AG4960" t="s">
        <v>43</v>
      </c>
      <c r="AH4960" t="s">
        <v>43</v>
      </c>
      <c r="AI4960" t="s">
        <v>43</v>
      </c>
      <c r="AJ4960" t="s">
        <v>43</v>
      </c>
      <c r="AK4960" t="s">
        <v>43</v>
      </c>
      <c r="AL4960" t="s">
        <v>43</v>
      </c>
      <c r="AM4960" t="s">
        <v>43</v>
      </c>
      <c r="AN4960" t="str">
        <f>HYPERLINK("https://www.google.com/maps?q=10.83224487,79.84024811","Open Location")</f>
        <v>Open Location</v>
      </c>
    </row>
    <row r="4961" spans="1:40" x14ac:dyDescent="0.3">
      <c r="A4961" s="1">
        <v>46210.425115740742</v>
      </c>
      <c r="B4961" t="s">
        <v>40</v>
      </c>
      <c r="C4961" t="s">
        <v>41</v>
      </c>
      <c r="D4961" s="1">
        <v>46210.428171296298</v>
      </c>
      <c r="E4961" t="s">
        <v>42</v>
      </c>
      <c r="F4961" t="s">
        <v>43</v>
      </c>
      <c r="G4961" t="s">
        <v>43</v>
      </c>
      <c r="H4961" t="s">
        <v>43</v>
      </c>
      <c r="I4961" t="s">
        <v>2846</v>
      </c>
      <c r="J4961" t="s">
        <v>43</v>
      </c>
      <c r="K4961" t="s">
        <v>43</v>
      </c>
      <c r="L4961" t="s">
        <v>43</v>
      </c>
      <c r="M4961" t="s">
        <v>43</v>
      </c>
      <c r="N4961" t="s">
        <v>45</v>
      </c>
      <c r="O4961" t="s">
        <v>43</v>
      </c>
      <c r="P4961" t="s">
        <v>43</v>
      </c>
      <c r="Q4961" t="s">
        <v>43</v>
      </c>
      <c r="R4961" t="s">
        <v>43</v>
      </c>
      <c r="S4961" t="s">
        <v>43</v>
      </c>
      <c r="T4961" t="s">
        <v>43</v>
      </c>
      <c r="U4961" t="s">
        <v>43</v>
      </c>
      <c r="V4961" t="s">
        <v>43</v>
      </c>
      <c r="W4961" t="s">
        <v>43</v>
      </c>
      <c r="X4961" t="s">
        <v>43</v>
      </c>
      <c r="Y4961" t="s">
        <v>43</v>
      </c>
      <c r="Z4961" t="s">
        <v>43</v>
      </c>
      <c r="AA4961" t="s">
        <v>43</v>
      </c>
      <c r="AB4961" t="s">
        <v>43</v>
      </c>
      <c r="AC4961" t="s">
        <v>43</v>
      </c>
      <c r="AD4961" t="s">
        <v>43</v>
      </c>
      <c r="AE4961" t="s">
        <v>43</v>
      </c>
      <c r="AF4961" t="s">
        <v>43</v>
      </c>
      <c r="AG4961" t="s">
        <v>43</v>
      </c>
      <c r="AH4961" t="s">
        <v>43</v>
      </c>
      <c r="AI4961" t="s">
        <v>43</v>
      </c>
      <c r="AJ4961" t="s">
        <v>43</v>
      </c>
      <c r="AK4961" t="s">
        <v>43</v>
      </c>
      <c r="AL4961" t="s">
        <v>43</v>
      </c>
      <c r="AM4961" t="s">
        <v>43</v>
      </c>
      <c r="AN4961" t="str">
        <f>HYPERLINK("https://www.google.com/maps?q=10.83224487,79.84024811","Open Location")</f>
        <v>Open Location</v>
      </c>
    </row>
    <row r="4962" spans="1:40" x14ac:dyDescent="0.3">
      <c r="A4962" s="1">
        <v>46210.425000000003</v>
      </c>
      <c r="B4962" t="s">
        <v>40</v>
      </c>
      <c r="C4962" t="s">
        <v>41</v>
      </c>
      <c r="D4962" s="1">
        <v>46210.427766203706</v>
      </c>
      <c r="E4962" t="s">
        <v>42</v>
      </c>
      <c r="F4962" t="s">
        <v>43</v>
      </c>
      <c r="G4962" t="s">
        <v>43</v>
      </c>
      <c r="H4962" t="s">
        <v>43</v>
      </c>
      <c r="I4962" t="s">
        <v>43</v>
      </c>
      <c r="J4962" t="s">
        <v>43</v>
      </c>
      <c r="K4962" t="s">
        <v>43</v>
      </c>
      <c r="L4962" t="s">
        <v>43</v>
      </c>
      <c r="M4962" t="s">
        <v>43</v>
      </c>
      <c r="N4962" t="s">
        <v>45</v>
      </c>
      <c r="O4962" t="s">
        <v>43</v>
      </c>
      <c r="P4962" t="s">
        <v>43</v>
      </c>
      <c r="Q4962" t="s">
        <v>43</v>
      </c>
      <c r="R4962" t="s">
        <v>43</v>
      </c>
      <c r="S4962" t="s">
        <v>43</v>
      </c>
      <c r="T4962" t="s">
        <v>43</v>
      </c>
      <c r="U4962" t="s">
        <v>43</v>
      </c>
      <c r="V4962" t="s">
        <v>43</v>
      </c>
      <c r="W4962" t="s">
        <v>43</v>
      </c>
      <c r="X4962" t="s">
        <v>43</v>
      </c>
      <c r="Y4962" t="s">
        <v>43</v>
      </c>
      <c r="Z4962" t="s">
        <v>43</v>
      </c>
      <c r="AA4962" t="s">
        <v>43</v>
      </c>
      <c r="AB4962" t="s">
        <v>43</v>
      </c>
      <c r="AC4962" t="s">
        <v>43</v>
      </c>
      <c r="AD4962" t="s">
        <v>43</v>
      </c>
      <c r="AE4962" t="s">
        <v>43</v>
      </c>
      <c r="AF4962" t="s">
        <v>43</v>
      </c>
      <c r="AG4962" t="s">
        <v>43</v>
      </c>
      <c r="AH4962" t="s">
        <v>43</v>
      </c>
      <c r="AI4962" t="s">
        <v>43</v>
      </c>
      <c r="AJ4962" t="s">
        <v>43</v>
      </c>
      <c r="AK4962" t="s">
        <v>43</v>
      </c>
      <c r="AL4962" t="s">
        <v>43</v>
      </c>
      <c r="AM4962" t="s">
        <v>43</v>
      </c>
      <c r="AN4962" t="s">
        <v>43</v>
      </c>
    </row>
    <row r="4963" spans="1:40" x14ac:dyDescent="0.3">
      <c r="A4963" s="1">
        <v>46210.424884259257</v>
      </c>
      <c r="B4963" t="s">
        <v>40</v>
      </c>
      <c r="C4963" t="s">
        <v>41</v>
      </c>
      <c r="D4963" s="1">
        <v>46210.427673611113</v>
      </c>
      <c r="E4963" t="s">
        <v>42</v>
      </c>
      <c r="F4963" t="s">
        <v>43</v>
      </c>
      <c r="G4963" t="s">
        <v>43</v>
      </c>
      <c r="H4963" t="s">
        <v>43</v>
      </c>
      <c r="I4963" t="s">
        <v>2847</v>
      </c>
      <c r="J4963" t="s">
        <v>43</v>
      </c>
      <c r="K4963" t="s">
        <v>43</v>
      </c>
      <c r="L4963" t="s">
        <v>43</v>
      </c>
      <c r="M4963" t="s">
        <v>43</v>
      </c>
      <c r="N4963" t="s">
        <v>45</v>
      </c>
      <c r="O4963" t="s">
        <v>43</v>
      </c>
      <c r="P4963" t="s">
        <v>43</v>
      </c>
      <c r="Q4963" t="s">
        <v>43</v>
      </c>
      <c r="R4963" t="s">
        <v>43</v>
      </c>
      <c r="S4963" t="s">
        <v>43</v>
      </c>
      <c r="T4963" t="s">
        <v>43</v>
      </c>
      <c r="U4963" t="s">
        <v>43</v>
      </c>
      <c r="V4963" t="s">
        <v>43</v>
      </c>
      <c r="W4963" t="s">
        <v>43</v>
      </c>
      <c r="X4963" t="s">
        <v>43</v>
      </c>
      <c r="Y4963" t="s">
        <v>43</v>
      </c>
      <c r="Z4963" t="s">
        <v>43</v>
      </c>
      <c r="AA4963" t="s">
        <v>43</v>
      </c>
      <c r="AB4963" t="s">
        <v>43</v>
      </c>
      <c r="AC4963" t="s">
        <v>43</v>
      </c>
      <c r="AD4963" t="s">
        <v>43</v>
      </c>
      <c r="AE4963" t="s">
        <v>43</v>
      </c>
      <c r="AF4963" t="s">
        <v>43</v>
      </c>
      <c r="AG4963" t="s">
        <v>43</v>
      </c>
      <c r="AH4963" t="s">
        <v>43</v>
      </c>
      <c r="AI4963" t="s">
        <v>43</v>
      </c>
      <c r="AJ4963" t="s">
        <v>43</v>
      </c>
      <c r="AK4963" t="s">
        <v>43</v>
      </c>
      <c r="AL4963" t="s">
        <v>43</v>
      </c>
      <c r="AM4963" t="s">
        <v>43</v>
      </c>
      <c r="AN4963" t="str">
        <f>HYPERLINK("https://www.google.com/maps?q=10.83224297,79.84024811","Open Location")</f>
        <v>Open Location</v>
      </c>
    </row>
    <row r="4964" spans="1:40" x14ac:dyDescent="0.3">
      <c r="A4964" s="1">
        <v>46210.424768518518</v>
      </c>
      <c r="B4964" t="s">
        <v>40</v>
      </c>
      <c r="C4964" t="s">
        <v>41</v>
      </c>
      <c r="D4964" s="1">
        <v>46210.427777777775</v>
      </c>
      <c r="E4964" t="s">
        <v>42</v>
      </c>
      <c r="F4964" t="s">
        <v>43</v>
      </c>
      <c r="G4964" t="s">
        <v>43</v>
      </c>
      <c r="H4964" t="s">
        <v>43</v>
      </c>
      <c r="I4964" t="s">
        <v>2848</v>
      </c>
      <c r="J4964" t="s">
        <v>43</v>
      </c>
      <c r="K4964" t="s">
        <v>43</v>
      </c>
      <c r="L4964" t="s">
        <v>43</v>
      </c>
      <c r="M4964" t="s">
        <v>43</v>
      </c>
      <c r="N4964" t="s">
        <v>45</v>
      </c>
      <c r="O4964" t="s">
        <v>43</v>
      </c>
      <c r="P4964" t="s">
        <v>43</v>
      </c>
      <c r="Q4964" t="s">
        <v>43</v>
      </c>
      <c r="R4964" t="s">
        <v>43</v>
      </c>
      <c r="S4964" t="s">
        <v>43</v>
      </c>
      <c r="T4964" t="s">
        <v>43</v>
      </c>
      <c r="U4964" t="s">
        <v>43</v>
      </c>
      <c r="V4964" t="s">
        <v>43</v>
      </c>
      <c r="W4964" t="s">
        <v>43</v>
      </c>
      <c r="X4964" t="s">
        <v>43</v>
      </c>
      <c r="Y4964" t="s">
        <v>43</v>
      </c>
      <c r="Z4964" t="s">
        <v>43</v>
      </c>
      <c r="AA4964" t="s">
        <v>43</v>
      </c>
      <c r="AB4964" t="s">
        <v>43</v>
      </c>
      <c r="AC4964" t="s">
        <v>43</v>
      </c>
      <c r="AD4964" t="s">
        <v>43</v>
      </c>
      <c r="AE4964" t="s">
        <v>43</v>
      </c>
      <c r="AF4964" t="s">
        <v>43</v>
      </c>
      <c r="AG4964" t="s">
        <v>43</v>
      </c>
      <c r="AH4964" t="s">
        <v>43</v>
      </c>
      <c r="AI4964" t="s">
        <v>43</v>
      </c>
      <c r="AJ4964" t="s">
        <v>43</v>
      </c>
      <c r="AK4964" t="s">
        <v>43</v>
      </c>
      <c r="AL4964" t="s">
        <v>43</v>
      </c>
      <c r="AM4964" t="s">
        <v>43</v>
      </c>
      <c r="AN4964" t="str">
        <f>HYPERLINK("https://www.google.com/maps?q=10.83223724,79.84024048","Open Location")</f>
        <v>Open Location</v>
      </c>
    </row>
    <row r="4965" spans="1:40" x14ac:dyDescent="0.3">
      <c r="A4965" s="1">
        <v>46210.42465277778</v>
      </c>
      <c r="B4965" t="s">
        <v>40</v>
      </c>
      <c r="C4965" t="s">
        <v>41</v>
      </c>
      <c r="D4965" s="1">
        <v>46210.427824074075</v>
      </c>
      <c r="E4965" t="s">
        <v>42</v>
      </c>
      <c r="F4965" t="s">
        <v>43</v>
      </c>
      <c r="G4965" t="s">
        <v>43</v>
      </c>
      <c r="H4965" t="s">
        <v>43</v>
      </c>
      <c r="I4965" t="s">
        <v>43</v>
      </c>
      <c r="J4965" t="s">
        <v>43</v>
      </c>
      <c r="K4965" t="s">
        <v>43</v>
      </c>
      <c r="L4965" t="s">
        <v>43</v>
      </c>
      <c r="M4965" t="s">
        <v>43</v>
      </c>
      <c r="N4965" t="s">
        <v>45</v>
      </c>
      <c r="O4965" t="s">
        <v>43</v>
      </c>
      <c r="P4965" t="s">
        <v>43</v>
      </c>
      <c r="Q4965" t="s">
        <v>43</v>
      </c>
      <c r="R4965" t="s">
        <v>43</v>
      </c>
      <c r="S4965" t="s">
        <v>43</v>
      </c>
      <c r="T4965" t="s">
        <v>43</v>
      </c>
      <c r="U4965" t="s">
        <v>43</v>
      </c>
      <c r="V4965" t="s">
        <v>43</v>
      </c>
      <c r="W4965" t="s">
        <v>43</v>
      </c>
      <c r="X4965" t="s">
        <v>43</v>
      </c>
      <c r="Y4965" t="s">
        <v>43</v>
      </c>
      <c r="Z4965" t="s">
        <v>43</v>
      </c>
      <c r="AA4965" t="s">
        <v>43</v>
      </c>
      <c r="AB4965" t="s">
        <v>43</v>
      </c>
      <c r="AC4965" t="s">
        <v>43</v>
      </c>
      <c r="AD4965" t="s">
        <v>43</v>
      </c>
      <c r="AE4965" t="s">
        <v>43</v>
      </c>
      <c r="AF4965" t="s">
        <v>43</v>
      </c>
      <c r="AG4965" t="s">
        <v>43</v>
      </c>
      <c r="AH4965" t="s">
        <v>43</v>
      </c>
      <c r="AI4965" t="s">
        <v>43</v>
      </c>
      <c r="AJ4965" t="s">
        <v>43</v>
      </c>
      <c r="AK4965" t="s">
        <v>43</v>
      </c>
      <c r="AL4965" t="s">
        <v>43</v>
      </c>
      <c r="AM4965" t="s">
        <v>43</v>
      </c>
      <c r="AN4965" t="s">
        <v>43</v>
      </c>
    </row>
    <row r="4966" spans="1:40" x14ac:dyDescent="0.3">
      <c r="A4966" s="1">
        <v>46210.424537037034</v>
      </c>
      <c r="B4966" t="s">
        <v>40</v>
      </c>
      <c r="C4966" t="s">
        <v>41</v>
      </c>
      <c r="D4966" s="1">
        <v>46210.427303240744</v>
      </c>
      <c r="E4966" t="s">
        <v>42</v>
      </c>
      <c r="F4966" t="s">
        <v>43</v>
      </c>
      <c r="G4966" t="s">
        <v>43</v>
      </c>
      <c r="H4966" t="s">
        <v>43</v>
      </c>
      <c r="I4966" t="s">
        <v>2849</v>
      </c>
      <c r="J4966" t="s">
        <v>43</v>
      </c>
      <c r="K4966" t="s">
        <v>43</v>
      </c>
      <c r="L4966" t="s">
        <v>43</v>
      </c>
      <c r="M4966" t="s">
        <v>43</v>
      </c>
      <c r="N4966" t="s">
        <v>45</v>
      </c>
      <c r="O4966" t="s">
        <v>43</v>
      </c>
      <c r="P4966" t="s">
        <v>43</v>
      </c>
      <c r="Q4966" t="s">
        <v>43</v>
      </c>
      <c r="R4966" t="s">
        <v>43</v>
      </c>
      <c r="S4966" t="s">
        <v>43</v>
      </c>
      <c r="T4966" t="s">
        <v>43</v>
      </c>
      <c r="U4966" t="s">
        <v>43</v>
      </c>
      <c r="V4966" t="s">
        <v>43</v>
      </c>
      <c r="W4966" t="s">
        <v>43</v>
      </c>
      <c r="X4966" t="s">
        <v>43</v>
      </c>
      <c r="Y4966" t="s">
        <v>43</v>
      </c>
      <c r="Z4966" t="s">
        <v>43</v>
      </c>
      <c r="AA4966" t="s">
        <v>43</v>
      </c>
      <c r="AB4966" t="s">
        <v>43</v>
      </c>
      <c r="AC4966" t="s">
        <v>43</v>
      </c>
      <c r="AD4966" t="s">
        <v>43</v>
      </c>
      <c r="AE4966" t="s">
        <v>43</v>
      </c>
      <c r="AF4966" t="s">
        <v>43</v>
      </c>
      <c r="AG4966" t="s">
        <v>43</v>
      </c>
      <c r="AH4966" t="s">
        <v>43</v>
      </c>
      <c r="AI4966" t="s">
        <v>43</v>
      </c>
      <c r="AJ4966" t="s">
        <v>43</v>
      </c>
      <c r="AK4966" t="s">
        <v>43</v>
      </c>
      <c r="AL4966" t="s">
        <v>43</v>
      </c>
      <c r="AM4966" t="s">
        <v>43</v>
      </c>
      <c r="AN4966" t="str">
        <f>HYPERLINK("https://www.google.com/maps?q=10.8322382,79.84024048","Open Location")</f>
        <v>Open Location</v>
      </c>
    </row>
    <row r="4967" spans="1:40" x14ac:dyDescent="0.3">
      <c r="A4967" s="1">
        <v>46210.424421296295</v>
      </c>
      <c r="B4967" t="s">
        <v>40</v>
      </c>
      <c r="C4967" t="s">
        <v>41</v>
      </c>
      <c r="D4967" s="1">
        <v>46210.427268518521</v>
      </c>
      <c r="E4967" t="s">
        <v>42</v>
      </c>
      <c r="F4967" t="s">
        <v>43</v>
      </c>
      <c r="G4967" t="s">
        <v>43</v>
      </c>
      <c r="H4967" t="s">
        <v>43</v>
      </c>
      <c r="I4967" t="s">
        <v>43</v>
      </c>
      <c r="J4967" t="s">
        <v>43</v>
      </c>
      <c r="K4967" t="s">
        <v>43</v>
      </c>
      <c r="L4967" t="s">
        <v>43</v>
      </c>
      <c r="M4967" t="s">
        <v>43</v>
      </c>
      <c r="N4967" t="s">
        <v>45</v>
      </c>
      <c r="O4967" t="s">
        <v>43</v>
      </c>
      <c r="P4967" t="s">
        <v>43</v>
      </c>
      <c r="Q4967" t="s">
        <v>43</v>
      </c>
      <c r="R4967" t="s">
        <v>43</v>
      </c>
      <c r="S4967" t="s">
        <v>43</v>
      </c>
      <c r="T4967" t="s">
        <v>43</v>
      </c>
      <c r="U4967" t="s">
        <v>43</v>
      </c>
      <c r="V4967" t="s">
        <v>43</v>
      </c>
      <c r="W4967" t="s">
        <v>43</v>
      </c>
      <c r="X4967" t="s">
        <v>43</v>
      </c>
      <c r="Y4967" t="s">
        <v>43</v>
      </c>
      <c r="Z4967" t="s">
        <v>43</v>
      </c>
      <c r="AA4967" t="s">
        <v>43</v>
      </c>
      <c r="AB4967" t="s">
        <v>43</v>
      </c>
      <c r="AC4967" t="s">
        <v>43</v>
      </c>
      <c r="AD4967" t="s">
        <v>43</v>
      </c>
      <c r="AE4967" t="s">
        <v>43</v>
      </c>
      <c r="AF4967" t="s">
        <v>43</v>
      </c>
      <c r="AG4967" t="s">
        <v>43</v>
      </c>
      <c r="AH4967" t="s">
        <v>43</v>
      </c>
      <c r="AI4967" t="s">
        <v>43</v>
      </c>
      <c r="AJ4967" t="s">
        <v>43</v>
      </c>
      <c r="AK4967" t="s">
        <v>43</v>
      </c>
      <c r="AL4967" t="s">
        <v>43</v>
      </c>
      <c r="AM4967" t="s">
        <v>43</v>
      </c>
      <c r="AN4967" t="s">
        <v>43</v>
      </c>
    </row>
    <row r="4968" spans="1:40" x14ac:dyDescent="0.3">
      <c r="A4968" s="1">
        <v>46210.424305555556</v>
      </c>
      <c r="B4968" t="s">
        <v>40</v>
      </c>
      <c r="C4968" t="s">
        <v>41</v>
      </c>
      <c r="D4968" s="1">
        <v>46210.426979166667</v>
      </c>
      <c r="E4968" t="s">
        <v>42</v>
      </c>
      <c r="F4968" t="s">
        <v>43</v>
      </c>
      <c r="G4968" t="s">
        <v>43</v>
      </c>
      <c r="H4968" t="s">
        <v>43</v>
      </c>
      <c r="I4968" t="s">
        <v>43</v>
      </c>
      <c r="J4968" t="s">
        <v>43</v>
      </c>
      <c r="K4968" t="s">
        <v>43</v>
      </c>
      <c r="L4968" t="s">
        <v>43</v>
      </c>
      <c r="M4968" t="s">
        <v>43</v>
      </c>
      <c r="N4968" t="s">
        <v>45</v>
      </c>
      <c r="O4968" t="s">
        <v>43</v>
      </c>
      <c r="P4968" t="s">
        <v>43</v>
      </c>
      <c r="Q4968" t="s">
        <v>43</v>
      </c>
      <c r="R4968" t="s">
        <v>43</v>
      </c>
      <c r="S4968" t="s">
        <v>43</v>
      </c>
      <c r="T4968" t="s">
        <v>43</v>
      </c>
      <c r="U4968" t="s">
        <v>43</v>
      </c>
      <c r="V4968" t="s">
        <v>43</v>
      </c>
      <c r="W4968" t="s">
        <v>43</v>
      </c>
      <c r="X4968" t="s">
        <v>43</v>
      </c>
      <c r="Y4968" t="s">
        <v>43</v>
      </c>
      <c r="Z4968" t="s">
        <v>43</v>
      </c>
      <c r="AA4968" t="s">
        <v>43</v>
      </c>
      <c r="AB4968" t="s">
        <v>43</v>
      </c>
      <c r="AC4968" t="s">
        <v>43</v>
      </c>
      <c r="AD4968" t="s">
        <v>43</v>
      </c>
      <c r="AE4968" t="s">
        <v>43</v>
      </c>
      <c r="AF4968" t="s">
        <v>43</v>
      </c>
      <c r="AG4968" t="s">
        <v>43</v>
      </c>
      <c r="AH4968" t="s">
        <v>43</v>
      </c>
      <c r="AI4968" t="s">
        <v>43</v>
      </c>
      <c r="AJ4968" t="s">
        <v>43</v>
      </c>
      <c r="AK4968" t="s">
        <v>43</v>
      </c>
      <c r="AL4968" t="s">
        <v>43</v>
      </c>
      <c r="AM4968" t="s">
        <v>43</v>
      </c>
      <c r="AN4968" t="s">
        <v>43</v>
      </c>
    </row>
    <row r="4969" spans="1:40" x14ac:dyDescent="0.3">
      <c r="A4969" s="1">
        <v>46210.424189814818</v>
      </c>
      <c r="B4969" t="s">
        <v>40</v>
      </c>
      <c r="C4969" t="s">
        <v>41</v>
      </c>
      <c r="D4969" s="1">
        <v>46210.42701388889</v>
      </c>
      <c r="E4969" t="s">
        <v>42</v>
      </c>
      <c r="F4969" t="s">
        <v>43</v>
      </c>
      <c r="G4969" t="s">
        <v>43</v>
      </c>
      <c r="H4969" t="s">
        <v>43</v>
      </c>
      <c r="I4969" t="s">
        <v>2850</v>
      </c>
      <c r="J4969" t="s">
        <v>43</v>
      </c>
      <c r="K4969" t="s">
        <v>43</v>
      </c>
      <c r="L4969" t="s">
        <v>43</v>
      </c>
      <c r="M4969" t="s">
        <v>43</v>
      </c>
      <c r="N4969" t="s">
        <v>45</v>
      </c>
      <c r="O4969" t="s">
        <v>43</v>
      </c>
      <c r="P4969" t="s">
        <v>43</v>
      </c>
      <c r="Q4969" t="s">
        <v>43</v>
      </c>
      <c r="R4969" t="s">
        <v>43</v>
      </c>
      <c r="S4969" t="s">
        <v>43</v>
      </c>
      <c r="T4969" t="s">
        <v>43</v>
      </c>
      <c r="U4969" t="s">
        <v>43</v>
      </c>
      <c r="V4969" t="s">
        <v>43</v>
      </c>
      <c r="W4969" t="s">
        <v>43</v>
      </c>
      <c r="X4969" t="s">
        <v>43</v>
      </c>
      <c r="Y4969" t="s">
        <v>43</v>
      </c>
      <c r="Z4969" t="s">
        <v>43</v>
      </c>
      <c r="AA4969" t="s">
        <v>43</v>
      </c>
      <c r="AB4969" t="s">
        <v>43</v>
      </c>
      <c r="AC4969" t="s">
        <v>43</v>
      </c>
      <c r="AD4969" t="s">
        <v>43</v>
      </c>
      <c r="AE4969" t="s">
        <v>43</v>
      </c>
      <c r="AF4969" t="s">
        <v>43</v>
      </c>
      <c r="AG4969" t="s">
        <v>43</v>
      </c>
      <c r="AH4969" t="s">
        <v>43</v>
      </c>
      <c r="AI4969" t="s">
        <v>43</v>
      </c>
      <c r="AJ4969" t="s">
        <v>43</v>
      </c>
      <c r="AK4969" t="s">
        <v>43</v>
      </c>
      <c r="AL4969" t="s">
        <v>43</v>
      </c>
      <c r="AM4969" t="s">
        <v>43</v>
      </c>
      <c r="AN4969" t="str">
        <f>HYPERLINK("https://www.google.com/maps?q=10.83223438,79.84025574","Open Location")</f>
        <v>Open Location</v>
      </c>
    </row>
    <row r="4970" spans="1:40" x14ac:dyDescent="0.3">
      <c r="A4970" s="1">
        <v>46210.424074074072</v>
      </c>
      <c r="B4970" t="s">
        <v>40</v>
      </c>
      <c r="C4970" t="s">
        <v>41</v>
      </c>
      <c r="D4970" s="1">
        <v>46210.426979166667</v>
      </c>
      <c r="E4970" t="s">
        <v>42</v>
      </c>
      <c r="F4970" t="s">
        <v>43</v>
      </c>
      <c r="G4970" t="s">
        <v>43</v>
      </c>
      <c r="H4970" t="s">
        <v>43</v>
      </c>
      <c r="I4970" t="s">
        <v>2851</v>
      </c>
      <c r="J4970" t="s">
        <v>43</v>
      </c>
      <c r="K4970" t="s">
        <v>43</v>
      </c>
      <c r="L4970" t="s">
        <v>43</v>
      </c>
      <c r="M4970" t="s">
        <v>43</v>
      </c>
      <c r="N4970" t="s">
        <v>45</v>
      </c>
      <c r="O4970" t="s">
        <v>43</v>
      </c>
      <c r="P4970" t="s">
        <v>43</v>
      </c>
      <c r="Q4970" t="s">
        <v>43</v>
      </c>
      <c r="R4970" t="s">
        <v>43</v>
      </c>
      <c r="S4970" t="s">
        <v>43</v>
      </c>
      <c r="T4970" t="s">
        <v>43</v>
      </c>
      <c r="U4970" t="s">
        <v>43</v>
      </c>
      <c r="V4970" t="s">
        <v>43</v>
      </c>
      <c r="W4970" t="s">
        <v>43</v>
      </c>
      <c r="X4970" t="s">
        <v>43</v>
      </c>
      <c r="Y4970" t="s">
        <v>43</v>
      </c>
      <c r="Z4970" t="s">
        <v>43</v>
      </c>
      <c r="AA4970" t="s">
        <v>43</v>
      </c>
      <c r="AB4970" t="s">
        <v>43</v>
      </c>
      <c r="AC4970" t="s">
        <v>43</v>
      </c>
      <c r="AD4970" t="s">
        <v>43</v>
      </c>
      <c r="AE4970" t="s">
        <v>43</v>
      </c>
      <c r="AF4970" t="s">
        <v>43</v>
      </c>
      <c r="AG4970" t="s">
        <v>43</v>
      </c>
      <c r="AH4970" t="s">
        <v>43</v>
      </c>
      <c r="AI4970" t="s">
        <v>43</v>
      </c>
      <c r="AJ4970" t="s">
        <v>43</v>
      </c>
      <c r="AK4970" t="s">
        <v>43</v>
      </c>
      <c r="AL4970" t="s">
        <v>43</v>
      </c>
      <c r="AM4970" t="s">
        <v>43</v>
      </c>
      <c r="AN4970" t="str">
        <f>HYPERLINK("https://www.google.com/maps?q=10.83223629,79.84025574","Open Location")</f>
        <v>Open Location</v>
      </c>
    </row>
    <row r="4971" spans="1:40" x14ac:dyDescent="0.3">
      <c r="A4971" s="1">
        <v>46210.423958333333</v>
      </c>
      <c r="B4971" t="s">
        <v>40</v>
      </c>
      <c r="C4971" t="s">
        <v>41</v>
      </c>
      <c r="D4971" s="1">
        <v>46210.42690972222</v>
      </c>
      <c r="E4971" t="s">
        <v>42</v>
      </c>
      <c r="F4971" t="s">
        <v>43</v>
      </c>
      <c r="G4971" t="s">
        <v>43</v>
      </c>
      <c r="H4971" t="s">
        <v>43</v>
      </c>
      <c r="I4971" t="s">
        <v>2852</v>
      </c>
      <c r="J4971" t="s">
        <v>43</v>
      </c>
      <c r="K4971" t="s">
        <v>43</v>
      </c>
      <c r="L4971" t="s">
        <v>43</v>
      </c>
      <c r="M4971" t="s">
        <v>43</v>
      </c>
      <c r="N4971" t="s">
        <v>45</v>
      </c>
      <c r="O4971" t="s">
        <v>43</v>
      </c>
      <c r="P4971" t="s">
        <v>43</v>
      </c>
      <c r="Q4971" t="s">
        <v>43</v>
      </c>
      <c r="R4971" t="s">
        <v>43</v>
      </c>
      <c r="S4971" t="s">
        <v>43</v>
      </c>
      <c r="T4971" t="s">
        <v>43</v>
      </c>
      <c r="U4971" t="s">
        <v>43</v>
      </c>
      <c r="V4971" t="s">
        <v>43</v>
      </c>
      <c r="W4971" t="s">
        <v>43</v>
      </c>
      <c r="X4971" t="s">
        <v>43</v>
      </c>
      <c r="Y4971" t="s">
        <v>43</v>
      </c>
      <c r="Z4971" t="s">
        <v>43</v>
      </c>
      <c r="AA4971" t="s">
        <v>43</v>
      </c>
      <c r="AB4971" t="s">
        <v>43</v>
      </c>
      <c r="AC4971" t="s">
        <v>43</v>
      </c>
      <c r="AD4971" t="s">
        <v>43</v>
      </c>
      <c r="AE4971" t="s">
        <v>43</v>
      </c>
      <c r="AF4971" t="s">
        <v>43</v>
      </c>
      <c r="AG4971" t="s">
        <v>43</v>
      </c>
      <c r="AH4971" t="s">
        <v>43</v>
      </c>
      <c r="AI4971" t="s">
        <v>43</v>
      </c>
      <c r="AJ4971" t="s">
        <v>43</v>
      </c>
      <c r="AK4971" t="s">
        <v>43</v>
      </c>
      <c r="AL4971" t="s">
        <v>43</v>
      </c>
      <c r="AM4971" t="s">
        <v>43</v>
      </c>
      <c r="AN4971" t="str">
        <f>HYPERLINK("https://www.google.com/maps?q=10.83224106,79.84025574","Open Location")</f>
        <v>Open Location</v>
      </c>
    </row>
    <row r="4972" spans="1:40" x14ac:dyDescent="0.3">
      <c r="A4972" s="1">
        <v>46210.423842592594</v>
      </c>
      <c r="B4972" t="s">
        <v>40</v>
      </c>
      <c r="C4972" t="s">
        <v>41</v>
      </c>
      <c r="D4972" s="1">
        <v>46210.426736111112</v>
      </c>
      <c r="E4972" t="s">
        <v>42</v>
      </c>
      <c r="F4972" t="s">
        <v>43</v>
      </c>
      <c r="G4972" t="s">
        <v>43</v>
      </c>
      <c r="H4972" t="s">
        <v>43</v>
      </c>
      <c r="I4972" t="s">
        <v>2853</v>
      </c>
      <c r="J4972" t="s">
        <v>43</v>
      </c>
      <c r="K4972" t="s">
        <v>43</v>
      </c>
      <c r="L4972" t="s">
        <v>43</v>
      </c>
      <c r="M4972" t="s">
        <v>43</v>
      </c>
      <c r="N4972" t="s">
        <v>45</v>
      </c>
      <c r="O4972" t="s">
        <v>43</v>
      </c>
      <c r="P4972" t="s">
        <v>43</v>
      </c>
      <c r="Q4972" t="s">
        <v>43</v>
      </c>
      <c r="R4972" t="s">
        <v>43</v>
      </c>
      <c r="S4972" t="s">
        <v>43</v>
      </c>
      <c r="T4972" t="s">
        <v>43</v>
      </c>
      <c r="U4972" t="s">
        <v>43</v>
      </c>
      <c r="V4972" t="s">
        <v>43</v>
      </c>
      <c r="W4972" t="s">
        <v>43</v>
      </c>
      <c r="X4972" t="s">
        <v>43</v>
      </c>
      <c r="Y4972" t="s">
        <v>43</v>
      </c>
      <c r="Z4972" t="s">
        <v>43</v>
      </c>
      <c r="AA4972" t="s">
        <v>43</v>
      </c>
      <c r="AB4972" t="s">
        <v>43</v>
      </c>
      <c r="AC4972" t="s">
        <v>43</v>
      </c>
      <c r="AD4972" t="s">
        <v>43</v>
      </c>
      <c r="AE4972" t="s">
        <v>43</v>
      </c>
      <c r="AF4972" t="s">
        <v>43</v>
      </c>
      <c r="AG4972" t="s">
        <v>43</v>
      </c>
      <c r="AH4972" t="s">
        <v>43</v>
      </c>
      <c r="AI4972" t="s">
        <v>43</v>
      </c>
      <c r="AJ4972" t="s">
        <v>43</v>
      </c>
      <c r="AK4972" t="s">
        <v>43</v>
      </c>
      <c r="AL4972" t="s">
        <v>43</v>
      </c>
      <c r="AM4972" t="s">
        <v>43</v>
      </c>
      <c r="AN4972" t="str">
        <f>HYPERLINK("https://www.google.com/maps?q=10.83224583,79.84025574","Open Location")</f>
        <v>Open Location</v>
      </c>
    </row>
    <row r="4973" spans="1:40" x14ac:dyDescent="0.3">
      <c r="A4973" s="1">
        <v>46210.423726851855</v>
      </c>
      <c r="B4973" t="s">
        <v>40</v>
      </c>
      <c r="C4973" t="s">
        <v>41</v>
      </c>
      <c r="D4973" s="1">
        <v>46210.426539351851</v>
      </c>
      <c r="E4973" t="s">
        <v>42</v>
      </c>
      <c r="F4973" t="s">
        <v>43</v>
      </c>
      <c r="G4973" t="s">
        <v>43</v>
      </c>
      <c r="H4973" t="s">
        <v>43</v>
      </c>
      <c r="I4973" t="s">
        <v>43</v>
      </c>
      <c r="J4973" t="s">
        <v>43</v>
      </c>
      <c r="K4973" t="s">
        <v>43</v>
      </c>
      <c r="L4973" t="s">
        <v>43</v>
      </c>
      <c r="M4973" t="s">
        <v>43</v>
      </c>
      <c r="N4973" t="s">
        <v>45</v>
      </c>
      <c r="O4973" t="s">
        <v>43</v>
      </c>
      <c r="P4973" t="s">
        <v>43</v>
      </c>
      <c r="Q4973" t="s">
        <v>43</v>
      </c>
      <c r="R4973" t="s">
        <v>43</v>
      </c>
      <c r="S4973" t="s">
        <v>43</v>
      </c>
      <c r="T4973" t="s">
        <v>43</v>
      </c>
      <c r="U4973" t="s">
        <v>43</v>
      </c>
      <c r="V4973" t="s">
        <v>43</v>
      </c>
      <c r="W4973" t="s">
        <v>43</v>
      </c>
      <c r="X4973" t="s">
        <v>43</v>
      </c>
      <c r="Y4973" t="s">
        <v>43</v>
      </c>
      <c r="Z4973" t="s">
        <v>43</v>
      </c>
      <c r="AA4973" t="s">
        <v>43</v>
      </c>
      <c r="AB4973" t="s">
        <v>43</v>
      </c>
      <c r="AC4973" t="s">
        <v>43</v>
      </c>
      <c r="AD4973" t="s">
        <v>43</v>
      </c>
      <c r="AE4973" t="s">
        <v>43</v>
      </c>
      <c r="AF4973" t="s">
        <v>43</v>
      </c>
      <c r="AG4973" t="s">
        <v>43</v>
      </c>
      <c r="AH4973" t="s">
        <v>43</v>
      </c>
      <c r="AI4973" t="s">
        <v>43</v>
      </c>
      <c r="AJ4973" t="s">
        <v>43</v>
      </c>
      <c r="AK4973" t="s">
        <v>43</v>
      </c>
      <c r="AL4973" t="s">
        <v>43</v>
      </c>
      <c r="AM4973" t="s">
        <v>43</v>
      </c>
      <c r="AN4973" t="s">
        <v>43</v>
      </c>
    </row>
    <row r="4974" spans="1:40" x14ac:dyDescent="0.3">
      <c r="A4974" s="1">
        <v>46210.423611111109</v>
      </c>
      <c r="B4974" t="s">
        <v>40</v>
      </c>
      <c r="C4974" t="s">
        <v>41</v>
      </c>
      <c r="D4974" s="1">
        <v>46210.42633101852</v>
      </c>
      <c r="E4974" t="s">
        <v>42</v>
      </c>
      <c r="F4974" t="s">
        <v>43</v>
      </c>
      <c r="G4974" t="s">
        <v>43</v>
      </c>
      <c r="H4974" t="s">
        <v>43</v>
      </c>
      <c r="I4974" t="s">
        <v>2854</v>
      </c>
      <c r="J4974" t="s">
        <v>43</v>
      </c>
      <c r="K4974" t="s">
        <v>43</v>
      </c>
      <c r="L4974" t="s">
        <v>43</v>
      </c>
      <c r="M4974" t="s">
        <v>43</v>
      </c>
      <c r="N4974" t="s">
        <v>45</v>
      </c>
      <c r="O4974" t="s">
        <v>43</v>
      </c>
      <c r="P4974" t="s">
        <v>43</v>
      </c>
      <c r="Q4974" t="s">
        <v>43</v>
      </c>
      <c r="R4974" t="s">
        <v>43</v>
      </c>
      <c r="S4974" t="s">
        <v>43</v>
      </c>
      <c r="T4974" t="s">
        <v>43</v>
      </c>
      <c r="U4974" t="s">
        <v>43</v>
      </c>
      <c r="V4974" t="s">
        <v>43</v>
      </c>
      <c r="W4974" t="s">
        <v>43</v>
      </c>
      <c r="X4974" t="s">
        <v>43</v>
      </c>
      <c r="Y4974" t="s">
        <v>43</v>
      </c>
      <c r="Z4974" t="s">
        <v>43</v>
      </c>
      <c r="AA4974" t="s">
        <v>43</v>
      </c>
      <c r="AB4974" t="s">
        <v>43</v>
      </c>
      <c r="AC4974" t="s">
        <v>43</v>
      </c>
      <c r="AD4974" t="s">
        <v>43</v>
      </c>
      <c r="AE4974" t="s">
        <v>43</v>
      </c>
      <c r="AF4974" t="s">
        <v>43</v>
      </c>
      <c r="AG4974" t="s">
        <v>43</v>
      </c>
      <c r="AH4974" t="s">
        <v>43</v>
      </c>
      <c r="AI4974" t="s">
        <v>43</v>
      </c>
      <c r="AJ4974" t="s">
        <v>43</v>
      </c>
      <c r="AK4974" t="s">
        <v>43</v>
      </c>
      <c r="AL4974" t="s">
        <v>43</v>
      </c>
      <c r="AM4974" t="s">
        <v>43</v>
      </c>
      <c r="AN4974" t="str">
        <f>HYPERLINK("https://www.google.com/maps?q=10.83224678,79.84025574","Open Location")</f>
        <v>Open Location</v>
      </c>
    </row>
    <row r="4975" spans="1:40" x14ac:dyDescent="0.3">
      <c r="A4975" s="1">
        <v>46210.423495370371</v>
      </c>
      <c r="B4975" t="s">
        <v>40</v>
      </c>
      <c r="C4975" t="s">
        <v>41</v>
      </c>
      <c r="D4975" s="1">
        <v>46210.426365740743</v>
      </c>
      <c r="E4975" t="s">
        <v>42</v>
      </c>
      <c r="F4975" t="s">
        <v>43</v>
      </c>
      <c r="G4975" t="s">
        <v>43</v>
      </c>
      <c r="H4975" t="s">
        <v>43</v>
      </c>
      <c r="I4975" t="s">
        <v>2853</v>
      </c>
      <c r="J4975" t="s">
        <v>43</v>
      </c>
      <c r="K4975" t="s">
        <v>43</v>
      </c>
      <c r="L4975" t="s">
        <v>43</v>
      </c>
      <c r="M4975" t="s">
        <v>43</v>
      </c>
      <c r="N4975" t="s">
        <v>45</v>
      </c>
      <c r="O4975" t="s">
        <v>43</v>
      </c>
      <c r="P4975" t="s">
        <v>43</v>
      </c>
      <c r="Q4975" t="s">
        <v>43</v>
      </c>
      <c r="R4975" t="s">
        <v>43</v>
      </c>
      <c r="S4975" t="s">
        <v>43</v>
      </c>
      <c r="T4975" t="s">
        <v>43</v>
      </c>
      <c r="U4975" t="s">
        <v>43</v>
      </c>
      <c r="V4975" t="s">
        <v>43</v>
      </c>
      <c r="W4975" t="s">
        <v>43</v>
      </c>
      <c r="X4975" t="s">
        <v>43</v>
      </c>
      <c r="Y4975" t="s">
        <v>43</v>
      </c>
      <c r="Z4975" t="s">
        <v>43</v>
      </c>
      <c r="AA4975" t="s">
        <v>43</v>
      </c>
      <c r="AB4975" t="s">
        <v>43</v>
      </c>
      <c r="AC4975" t="s">
        <v>43</v>
      </c>
      <c r="AD4975" t="s">
        <v>43</v>
      </c>
      <c r="AE4975" t="s">
        <v>43</v>
      </c>
      <c r="AF4975" t="s">
        <v>43</v>
      </c>
      <c r="AG4975" t="s">
        <v>43</v>
      </c>
      <c r="AH4975" t="s">
        <v>43</v>
      </c>
      <c r="AI4975" t="s">
        <v>43</v>
      </c>
      <c r="AJ4975" t="s">
        <v>43</v>
      </c>
      <c r="AK4975" t="s">
        <v>43</v>
      </c>
      <c r="AL4975" t="s">
        <v>43</v>
      </c>
      <c r="AM4975" t="s">
        <v>43</v>
      </c>
      <c r="AN4975" t="str">
        <f>HYPERLINK("https://www.google.com/maps?q=10.83224583,79.84025574","Open Location")</f>
        <v>Open Location</v>
      </c>
    </row>
    <row r="4976" spans="1:40" x14ac:dyDescent="0.3">
      <c r="A4976" s="1">
        <v>46210.423379629632</v>
      </c>
      <c r="B4976" t="s">
        <v>40</v>
      </c>
      <c r="C4976" t="s">
        <v>41</v>
      </c>
      <c r="D4976" s="1">
        <v>46210.426354166666</v>
      </c>
      <c r="E4976" t="s">
        <v>42</v>
      </c>
      <c r="F4976" t="s">
        <v>43</v>
      </c>
      <c r="G4976" t="s">
        <v>43</v>
      </c>
      <c r="H4976" t="s">
        <v>43</v>
      </c>
      <c r="I4976" t="s">
        <v>2855</v>
      </c>
      <c r="J4976" t="s">
        <v>43</v>
      </c>
      <c r="K4976" t="s">
        <v>43</v>
      </c>
      <c r="L4976" t="s">
        <v>43</v>
      </c>
      <c r="M4976" t="s">
        <v>43</v>
      </c>
      <c r="N4976" t="s">
        <v>45</v>
      </c>
      <c r="O4976" t="s">
        <v>43</v>
      </c>
      <c r="P4976" t="s">
        <v>43</v>
      </c>
      <c r="Q4976" t="s">
        <v>43</v>
      </c>
      <c r="R4976" t="s">
        <v>43</v>
      </c>
      <c r="S4976" t="s">
        <v>43</v>
      </c>
      <c r="T4976" t="s">
        <v>43</v>
      </c>
      <c r="U4976" t="s">
        <v>43</v>
      </c>
      <c r="V4976" t="s">
        <v>43</v>
      </c>
      <c r="W4976" t="s">
        <v>43</v>
      </c>
      <c r="X4976" t="s">
        <v>43</v>
      </c>
      <c r="Y4976" t="s">
        <v>43</v>
      </c>
      <c r="Z4976" t="s">
        <v>43</v>
      </c>
      <c r="AA4976" t="s">
        <v>43</v>
      </c>
      <c r="AB4976" t="s">
        <v>43</v>
      </c>
      <c r="AC4976" t="s">
        <v>43</v>
      </c>
      <c r="AD4976" t="s">
        <v>43</v>
      </c>
      <c r="AE4976" t="s">
        <v>43</v>
      </c>
      <c r="AF4976" t="s">
        <v>43</v>
      </c>
      <c r="AG4976" t="s">
        <v>43</v>
      </c>
      <c r="AH4976" t="s">
        <v>43</v>
      </c>
      <c r="AI4976" t="s">
        <v>43</v>
      </c>
      <c r="AJ4976" t="s">
        <v>43</v>
      </c>
      <c r="AK4976" t="s">
        <v>43</v>
      </c>
      <c r="AL4976" t="s">
        <v>43</v>
      </c>
      <c r="AM4976" t="s">
        <v>43</v>
      </c>
      <c r="AN4976" t="str">
        <f>HYPERLINK("https://www.google.com/maps?q=10.83224869,79.840271","Open Location")</f>
        <v>Open Location</v>
      </c>
    </row>
    <row r="4977" spans="1:40" x14ac:dyDescent="0.3">
      <c r="A4977" s="1">
        <v>46210.423263888886</v>
      </c>
      <c r="B4977" t="s">
        <v>40</v>
      </c>
      <c r="C4977" t="s">
        <v>41</v>
      </c>
      <c r="D4977" s="1">
        <v>46210.426099537035</v>
      </c>
      <c r="E4977" t="s">
        <v>42</v>
      </c>
      <c r="F4977" t="s">
        <v>43</v>
      </c>
      <c r="G4977" t="s">
        <v>43</v>
      </c>
      <c r="H4977" t="s">
        <v>43</v>
      </c>
      <c r="I4977" t="s">
        <v>2856</v>
      </c>
      <c r="J4977" t="s">
        <v>43</v>
      </c>
      <c r="K4977" t="s">
        <v>43</v>
      </c>
      <c r="L4977" t="s">
        <v>43</v>
      </c>
      <c r="M4977" t="s">
        <v>43</v>
      </c>
      <c r="N4977" t="s">
        <v>45</v>
      </c>
      <c r="O4977" t="s">
        <v>43</v>
      </c>
      <c r="P4977" t="s">
        <v>43</v>
      </c>
      <c r="Q4977" t="s">
        <v>43</v>
      </c>
      <c r="R4977" t="s">
        <v>43</v>
      </c>
      <c r="S4977" t="s">
        <v>43</v>
      </c>
      <c r="T4977" t="s">
        <v>43</v>
      </c>
      <c r="U4977" t="s">
        <v>43</v>
      </c>
      <c r="V4977" t="s">
        <v>43</v>
      </c>
      <c r="W4977" t="s">
        <v>43</v>
      </c>
      <c r="X4977" t="s">
        <v>43</v>
      </c>
      <c r="Y4977" t="s">
        <v>43</v>
      </c>
      <c r="Z4977" t="s">
        <v>43</v>
      </c>
      <c r="AA4977" t="s">
        <v>43</v>
      </c>
      <c r="AB4977" t="s">
        <v>43</v>
      </c>
      <c r="AC4977" t="s">
        <v>43</v>
      </c>
      <c r="AD4977" t="s">
        <v>43</v>
      </c>
      <c r="AE4977" t="s">
        <v>43</v>
      </c>
      <c r="AF4977" t="s">
        <v>43</v>
      </c>
      <c r="AG4977" t="s">
        <v>43</v>
      </c>
      <c r="AH4977" t="s">
        <v>43</v>
      </c>
      <c r="AI4977" t="s">
        <v>43</v>
      </c>
      <c r="AJ4977" t="s">
        <v>43</v>
      </c>
      <c r="AK4977" t="s">
        <v>43</v>
      </c>
      <c r="AL4977" t="s">
        <v>43</v>
      </c>
      <c r="AM4977" t="s">
        <v>43</v>
      </c>
      <c r="AN4977" t="str">
        <f>HYPERLINK("https://www.google.com/maps?q=10.83225441,79.840271","Open Location")</f>
        <v>Open Location</v>
      </c>
    </row>
    <row r="4978" spans="1:40" x14ac:dyDescent="0.3">
      <c r="A4978" s="1">
        <v>46210.423148148147</v>
      </c>
      <c r="B4978" t="s">
        <v>40</v>
      </c>
      <c r="C4978" t="s">
        <v>41</v>
      </c>
      <c r="D4978" s="1">
        <v>46210.425844907404</v>
      </c>
      <c r="E4978" t="s">
        <v>42</v>
      </c>
      <c r="F4978" t="s">
        <v>43</v>
      </c>
      <c r="G4978" t="s">
        <v>43</v>
      </c>
      <c r="H4978" t="s">
        <v>43</v>
      </c>
      <c r="I4978" t="s">
        <v>2857</v>
      </c>
      <c r="J4978" t="s">
        <v>43</v>
      </c>
      <c r="K4978" t="s">
        <v>43</v>
      </c>
      <c r="L4978" t="s">
        <v>43</v>
      </c>
      <c r="M4978" t="s">
        <v>43</v>
      </c>
      <c r="N4978" t="s">
        <v>45</v>
      </c>
      <c r="O4978" t="s">
        <v>43</v>
      </c>
      <c r="P4978" t="s">
        <v>43</v>
      </c>
      <c r="Q4978" t="s">
        <v>43</v>
      </c>
      <c r="R4978" t="s">
        <v>43</v>
      </c>
      <c r="S4978" t="s">
        <v>43</v>
      </c>
      <c r="T4978" t="s">
        <v>43</v>
      </c>
      <c r="U4978" t="s">
        <v>43</v>
      </c>
      <c r="V4978" t="s">
        <v>43</v>
      </c>
      <c r="W4978" t="s">
        <v>43</v>
      </c>
      <c r="X4978" t="s">
        <v>43</v>
      </c>
      <c r="Y4978" t="s">
        <v>43</v>
      </c>
      <c r="Z4978" t="s">
        <v>43</v>
      </c>
      <c r="AA4978" t="s">
        <v>43</v>
      </c>
      <c r="AB4978" t="s">
        <v>43</v>
      </c>
      <c r="AC4978" t="s">
        <v>43</v>
      </c>
      <c r="AD4978" t="s">
        <v>43</v>
      </c>
      <c r="AE4978" t="s">
        <v>43</v>
      </c>
      <c r="AF4978" t="s">
        <v>43</v>
      </c>
      <c r="AG4978" t="s">
        <v>43</v>
      </c>
      <c r="AH4978" t="s">
        <v>43</v>
      </c>
      <c r="AI4978" t="s">
        <v>43</v>
      </c>
      <c r="AJ4978" t="s">
        <v>43</v>
      </c>
      <c r="AK4978" t="s">
        <v>43</v>
      </c>
      <c r="AL4978" t="s">
        <v>43</v>
      </c>
      <c r="AM4978" t="s">
        <v>43</v>
      </c>
      <c r="AN4978" t="str">
        <f>HYPERLINK("https://www.google.com/maps?q=10.8322506,79.840271","Open Location")</f>
        <v>Open Location</v>
      </c>
    </row>
    <row r="4979" spans="1:40" x14ac:dyDescent="0.3">
      <c r="A4979" s="1">
        <v>46210.423032407409</v>
      </c>
      <c r="B4979" t="s">
        <v>40</v>
      </c>
      <c r="C4979" t="s">
        <v>41</v>
      </c>
      <c r="D4979" s="1">
        <v>46210.425856481481</v>
      </c>
      <c r="E4979" t="s">
        <v>42</v>
      </c>
      <c r="F4979" t="s">
        <v>43</v>
      </c>
      <c r="G4979" t="s">
        <v>43</v>
      </c>
      <c r="H4979" t="s">
        <v>43</v>
      </c>
      <c r="I4979" t="s">
        <v>43</v>
      </c>
      <c r="J4979" t="s">
        <v>43</v>
      </c>
      <c r="K4979" t="s">
        <v>43</v>
      </c>
      <c r="L4979" t="s">
        <v>43</v>
      </c>
      <c r="M4979" t="s">
        <v>43</v>
      </c>
      <c r="N4979" t="s">
        <v>45</v>
      </c>
      <c r="O4979" t="s">
        <v>43</v>
      </c>
      <c r="P4979" t="s">
        <v>43</v>
      </c>
      <c r="Q4979" t="s">
        <v>43</v>
      </c>
      <c r="R4979" t="s">
        <v>43</v>
      </c>
      <c r="S4979" t="s">
        <v>43</v>
      </c>
      <c r="T4979" t="s">
        <v>43</v>
      </c>
      <c r="U4979" t="s">
        <v>43</v>
      </c>
      <c r="V4979" t="s">
        <v>43</v>
      </c>
      <c r="W4979" t="s">
        <v>43</v>
      </c>
      <c r="X4979" t="s">
        <v>43</v>
      </c>
      <c r="Y4979" t="s">
        <v>43</v>
      </c>
      <c r="Z4979" t="s">
        <v>43</v>
      </c>
      <c r="AA4979" t="s">
        <v>43</v>
      </c>
      <c r="AB4979" t="s">
        <v>43</v>
      </c>
      <c r="AC4979" t="s">
        <v>43</v>
      </c>
      <c r="AD4979" t="s">
        <v>43</v>
      </c>
      <c r="AE4979" t="s">
        <v>43</v>
      </c>
      <c r="AF4979" t="s">
        <v>43</v>
      </c>
      <c r="AG4979" t="s">
        <v>43</v>
      </c>
      <c r="AH4979" t="s">
        <v>43</v>
      </c>
      <c r="AI4979" t="s">
        <v>43</v>
      </c>
      <c r="AJ4979" t="s">
        <v>43</v>
      </c>
      <c r="AK4979" t="s">
        <v>43</v>
      </c>
      <c r="AL4979" t="s">
        <v>43</v>
      </c>
      <c r="AM4979" t="s">
        <v>43</v>
      </c>
      <c r="AN4979" t="s">
        <v>43</v>
      </c>
    </row>
    <row r="4980" spans="1:40" x14ac:dyDescent="0.3">
      <c r="A4980" s="1">
        <v>46210.42291666667</v>
      </c>
      <c r="B4980" t="s">
        <v>40</v>
      </c>
      <c r="C4980" t="s">
        <v>41</v>
      </c>
      <c r="D4980" s="1">
        <v>46210.425856481481</v>
      </c>
      <c r="E4980" t="s">
        <v>42</v>
      </c>
      <c r="F4980" t="s">
        <v>43</v>
      </c>
      <c r="G4980" t="s">
        <v>43</v>
      </c>
      <c r="H4980" t="s">
        <v>43</v>
      </c>
      <c r="I4980" t="s">
        <v>2858</v>
      </c>
      <c r="J4980" t="s">
        <v>43</v>
      </c>
      <c r="K4980" t="s">
        <v>43</v>
      </c>
      <c r="L4980" t="s">
        <v>43</v>
      </c>
      <c r="M4980" t="s">
        <v>43</v>
      </c>
      <c r="N4980" t="s">
        <v>45</v>
      </c>
      <c r="O4980" t="s">
        <v>43</v>
      </c>
      <c r="P4980" t="s">
        <v>43</v>
      </c>
      <c r="Q4980" t="s">
        <v>43</v>
      </c>
      <c r="R4980" t="s">
        <v>43</v>
      </c>
      <c r="S4980" t="s">
        <v>43</v>
      </c>
      <c r="T4980" t="s">
        <v>43</v>
      </c>
      <c r="U4980" t="s">
        <v>43</v>
      </c>
      <c r="V4980" t="s">
        <v>43</v>
      </c>
      <c r="W4980" t="s">
        <v>43</v>
      </c>
      <c r="X4980" t="s">
        <v>43</v>
      </c>
      <c r="Y4980" t="s">
        <v>43</v>
      </c>
      <c r="Z4980" t="s">
        <v>43</v>
      </c>
      <c r="AA4980" t="s">
        <v>43</v>
      </c>
      <c r="AB4980" t="s">
        <v>43</v>
      </c>
      <c r="AC4980" t="s">
        <v>43</v>
      </c>
      <c r="AD4980" t="s">
        <v>43</v>
      </c>
      <c r="AE4980" t="s">
        <v>43</v>
      </c>
      <c r="AF4980" t="s">
        <v>43</v>
      </c>
      <c r="AG4980" t="s">
        <v>43</v>
      </c>
      <c r="AH4980" t="s">
        <v>43</v>
      </c>
      <c r="AI4980" t="s">
        <v>43</v>
      </c>
      <c r="AJ4980" t="s">
        <v>43</v>
      </c>
      <c r="AK4980" t="s">
        <v>43</v>
      </c>
      <c r="AL4980" t="s">
        <v>43</v>
      </c>
      <c r="AM4980" t="s">
        <v>43</v>
      </c>
      <c r="AN4980" t="str">
        <f>HYPERLINK("https://www.google.com/maps?q=10.83225155,79.84026337","Open Location")</f>
        <v>Open Location</v>
      </c>
    </row>
    <row r="4981" spans="1:40" x14ac:dyDescent="0.3">
      <c r="A4981" s="1">
        <v>46210.422800925924</v>
      </c>
      <c r="B4981" t="s">
        <v>40</v>
      </c>
      <c r="C4981" t="s">
        <v>41</v>
      </c>
      <c r="D4981" s="1">
        <v>46210.42559027778</v>
      </c>
      <c r="E4981" t="s">
        <v>42</v>
      </c>
      <c r="F4981" t="s">
        <v>43</v>
      </c>
      <c r="G4981" t="s">
        <v>43</v>
      </c>
      <c r="H4981" t="s">
        <v>43</v>
      </c>
      <c r="I4981" t="s">
        <v>2859</v>
      </c>
      <c r="J4981" t="s">
        <v>43</v>
      </c>
      <c r="K4981" t="s">
        <v>43</v>
      </c>
      <c r="L4981" t="s">
        <v>43</v>
      </c>
      <c r="M4981" t="s">
        <v>43</v>
      </c>
      <c r="N4981" t="s">
        <v>45</v>
      </c>
      <c r="O4981" t="s">
        <v>43</v>
      </c>
      <c r="P4981" t="s">
        <v>43</v>
      </c>
      <c r="Q4981" t="s">
        <v>43</v>
      </c>
      <c r="R4981" t="s">
        <v>43</v>
      </c>
      <c r="S4981" t="s">
        <v>43</v>
      </c>
      <c r="T4981" t="s">
        <v>43</v>
      </c>
      <c r="U4981" t="s">
        <v>43</v>
      </c>
      <c r="V4981" t="s">
        <v>43</v>
      </c>
      <c r="W4981" t="s">
        <v>43</v>
      </c>
      <c r="X4981" t="s">
        <v>43</v>
      </c>
      <c r="Y4981" t="s">
        <v>43</v>
      </c>
      <c r="Z4981" t="s">
        <v>43</v>
      </c>
      <c r="AA4981" t="s">
        <v>43</v>
      </c>
      <c r="AB4981" t="s">
        <v>43</v>
      </c>
      <c r="AC4981" t="s">
        <v>43</v>
      </c>
      <c r="AD4981" t="s">
        <v>43</v>
      </c>
      <c r="AE4981" t="s">
        <v>43</v>
      </c>
      <c r="AF4981" t="s">
        <v>43</v>
      </c>
      <c r="AG4981" t="s">
        <v>43</v>
      </c>
      <c r="AH4981" t="s">
        <v>43</v>
      </c>
      <c r="AI4981" t="s">
        <v>43</v>
      </c>
      <c r="AJ4981" t="s">
        <v>43</v>
      </c>
      <c r="AK4981" t="s">
        <v>43</v>
      </c>
      <c r="AL4981" t="s">
        <v>43</v>
      </c>
      <c r="AM4981" t="s">
        <v>43</v>
      </c>
      <c r="AN4981" t="str">
        <f>HYPERLINK("https://www.google.com/maps?q=10.83224773,79.84026337","Open Location")</f>
        <v>Open Location</v>
      </c>
    </row>
    <row r="4982" spans="1:40" x14ac:dyDescent="0.3">
      <c r="A4982" s="1">
        <v>46210.422685185185</v>
      </c>
      <c r="B4982" t="s">
        <v>40</v>
      </c>
      <c r="C4982" t="s">
        <v>41</v>
      </c>
      <c r="D4982" s="1">
        <v>46210.425451388888</v>
      </c>
      <c r="E4982" t="s">
        <v>42</v>
      </c>
      <c r="F4982" t="s">
        <v>43</v>
      </c>
      <c r="G4982" t="s">
        <v>43</v>
      </c>
      <c r="H4982" t="s">
        <v>43</v>
      </c>
      <c r="I4982" t="s">
        <v>2860</v>
      </c>
      <c r="J4982" t="s">
        <v>43</v>
      </c>
      <c r="K4982" t="s">
        <v>43</v>
      </c>
      <c r="L4982" t="s">
        <v>43</v>
      </c>
      <c r="M4982" t="s">
        <v>43</v>
      </c>
      <c r="N4982" t="s">
        <v>45</v>
      </c>
      <c r="O4982" t="s">
        <v>43</v>
      </c>
      <c r="P4982" t="s">
        <v>43</v>
      </c>
      <c r="Q4982" t="s">
        <v>43</v>
      </c>
      <c r="R4982" t="s">
        <v>43</v>
      </c>
      <c r="S4982" t="s">
        <v>43</v>
      </c>
      <c r="T4982" t="s">
        <v>43</v>
      </c>
      <c r="U4982" t="s">
        <v>43</v>
      </c>
      <c r="V4982" t="s">
        <v>43</v>
      </c>
      <c r="W4982" t="s">
        <v>43</v>
      </c>
      <c r="X4982" t="s">
        <v>43</v>
      </c>
      <c r="Y4982" t="s">
        <v>43</v>
      </c>
      <c r="Z4982" t="s">
        <v>43</v>
      </c>
      <c r="AA4982" t="s">
        <v>43</v>
      </c>
      <c r="AB4982" t="s">
        <v>43</v>
      </c>
      <c r="AC4982" t="s">
        <v>43</v>
      </c>
      <c r="AD4982" t="s">
        <v>43</v>
      </c>
      <c r="AE4982" t="s">
        <v>43</v>
      </c>
      <c r="AF4982" t="s">
        <v>43</v>
      </c>
      <c r="AG4982" t="s">
        <v>43</v>
      </c>
      <c r="AH4982" t="s">
        <v>43</v>
      </c>
      <c r="AI4982" t="s">
        <v>43</v>
      </c>
      <c r="AJ4982" t="s">
        <v>43</v>
      </c>
      <c r="AK4982" t="s">
        <v>43</v>
      </c>
      <c r="AL4982" t="s">
        <v>43</v>
      </c>
      <c r="AM4982" t="s">
        <v>43</v>
      </c>
      <c r="AN4982" t="str">
        <f>HYPERLINK("https://www.google.com/maps?q=10.83224583,79.84026337","Open Location")</f>
        <v>Open Location</v>
      </c>
    </row>
    <row r="4983" spans="1:40" x14ac:dyDescent="0.3">
      <c r="A4983" s="1">
        <v>46210.422569444447</v>
      </c>
      <c r="B4983" t="s">
        <v>40</v>
      </c>
      <c r="C4983" t="s">
        <v>41</v>
      </c>
      <c r="D4983" s="1">
        <v>46210.425324074073</v>
      </c>
      <c r="E4983" t="s">
        <v>42</v>
      </c>
      <c r="F4983" t="s">
        <v>43</v>
      </c>
      <c r="G4983" t="s">
        <v>43</v>
      </c>
      <c r="H4983" t="s">
        <v>43</v>
      </c>
      <c r="I4983" t="s">
        <v>2861</v>
      </c>
      <c r="J4983" t="s">
        <v>43</v>
      </c>
      <c r="K4983" t="s">
        <v>43</v>
      </c>
      <c r="L4983" t="s">
        <v>43</v>
      </c>
      <c r="M4983" t="s">
        <v>43</v>
      </c>
      <c r="N4983" t="s">
        <v>45</v>
      </c>
      <c r="O4983" t="s">
        <v>43</v>
      </c>
      <c r="P4983" t="s">
        <v>43</v>
      </c>
      <c r="Q4983" t="s">
        <v>43</v>
      </c>
      <c r="R4983" t="s">
        <v>43</v>
      </c>
      <c r="S4983" t="s">
        <v>43</v>
      </c>
      <c r="T4983" t="s">
        <v>43</v>
      </c>
      <c r="U4983" t="s">
        <v>43</v>
      </c>
      <c r="V4983" t="s">
        <v>43</v>
      </c>
      <c r="W4983" t="s">
        <v>43</v>
      </c>
      <c r="X4983" t="s">
        <v>43</v>
      </c>
      <c r="Y4983" t="s">
        <v>43</v>
      </c>
      <c r="Z4983" t="s">
        <v>43</v>
      </c>
      <c r="AA4983" t="s">
        <v>43</v>
      </c>
      <c r="AB4983" t="s">
        <v>43</v>
      </c>
      <c r="AC4983" t="s">
        <v>43</v>
      </c>
      <c r="AD4983" t="s">
        <v>43</v>
      </c>
      <c r="AE4983" t="s">
        <v>43</v>
      </c>
      <c r="AF4983" t="s">
        <v>43</v>
      </c>
      <c r="AG4983" t="s">
        <v>43</v>
      </c>
      <c r="AH4983" t="s">
        <v>43</v>
      </c>
      <c r="AI4983" t="s">
        <v>43</v>
      </c>
      <c r="AJ4983" t="s">
        <v>43</v>
      </c>
      <c r="AK4983" t="s">
        <v>43</v>
      </c>
      <c r="AL4983" t="s">
        <v>43</v>
      </c>
      <c r="AM4983" t="s">
        <v>43</v>
      </c>
      <c r="AN4983" t="str">
        <f>HYPERLINK("https://www.google.com/maps?q=10.83224583,79.84024811","Open Location")</f>
        <v>Open Location</v>
      </c>
    </row>
    <row r="4984" spans="1:40" x14ac:dyDescent="0.3">
      <c r="A4984" s="1">
        <v>46210.422453703701</v>
      </c>
      <c r="B4984" t="s">
        <v>40</v>
      </c>
      <c r="C4984" t="s">
        <v>41</v>
      </c>
      <c r="D4984" s="1">
        <v>46210.425381944442</v>
      </c>
      <c r="E4984" t="s">
        <v>42</v>
      </c>
      <c r="F4984" t="s">
        <v>43</v>
      </c>
      <c r="G4984" t="s">
        <v>43</v>
      </c>
      <c r="H4984" t="s">
        <v>43</v>
      </c>
      <c r="I4984" t="s">
        <v>2862</v>
      </c>
      <c r="J4984" t="s">
        <v>43</v>
      </c>
      <c r="K4984" t="s">
        <v>43</v>
      </c>
      <c r="L4984" t="s">
        <v>43</v>
      </c>
      <c r="M4984" t="s">
        <v>43</v>
      </c>
      <c r="N4984" t="s">
        <v>45</v>
      </c>
      <c r="O4984" t="s">
        <v>43</v>
      </c>
      <c r="P4984" t="s">
        <v>43</v>
      </c>
      <c r="Q4984" t="s">
        <v>43</v>
      </c>
      <c r="R4984" t="s">
        <v>43</v>
      </c>
      <c r="S4984" t="s">
        <v>43</v>
      </c>
      <c r="T4984" t="s">
        <v>43</v>
      </c>
      <c r="U4984" t="s">
        <v>43</v>
      </c>
      <c r="V4984" t="s">
        <v>43</v>
      </c>
      <c r="W4984" t="s">
        <v>43</v>
      </c>
      <c r="X4984" t="s">
        <v>43</v>
      </c>
      <c r="Y4984" t="s">
        <v>43</v>
      </c>
      <c r="Z4984" t="s">
        <v>43</v>
      </c>
      <c r="AA4984" t="s">
        <v>43</v>
      </c>
      <c r="AB4984" t="s">
        <v>43</v>
      </c>
      <c r="AC4984" t="s">
        <v>43</v>
      </c>
      <c r="AD4984" t="s">
        <v>43</v>
      </c>
      <c r="AE4984" t="s">
        <v>43</v>
      </c>
      <c r="AF4984" t="s">
        <v>43</v>
      </c>
      <c r="AG4984" t="s">
        <v>43</v>
      </c>
      <c r="AH4984" t="s">
        <v>43</v>
      </c>
      <c r="AI4984" t="s">
        <v>43</v>
      </c>
      <c r="AJ4984" t="s">
        <v>43</v>
      </c>
      <c r="AK4984" t="s">
        <v>43</v>
      </c>
      <c r="AL4984" t="s">
        <v>43</v>
      </c>
      <c r="AM4984" t="s">
        <v>43</v>
      </c>
      <c r="AN4984" t="str">
        <f>HYPERLINK("https://www.google.com/maps?q=10.83224392,79.84024048","Open Location")</f>
        <v>Open Location</v>
      </c>
    </row>
    <row r="4985" spans="1:40" x14ac:dyDescent="0.3">
      <c r="A4985" s="1">
        <v>46210.422337962962</v>
      </c>
      <c r="B4985" t="s">
        <v>40</v>
      </c>
      <c r="C4985" t="s">
        <v>41</v>
      </c>
      <c r="D4985" s="1">
        <v>46210.425300925926</v>
      </c>
      <c r="E4985" t="s">
        <v>42</v>
      </c>
      <c r="F4985" t="s">
        <v>43</v>
      </c>
      <c r="G4985" t="s">
        <v>43</v>
      </c>
      <c r="H4985" t="s">
        <v>43</v>
      </c>
      <c r="I4985" t="s">
        <v>43</v>
      </c>
      <c r="J4985" t="s">
        <v>43</v>
      </c>
      <c r="K4985" t="s">
        <v>43</v>
      </c>
      <c r="L4985" t="s">
        <v>43</v>
      </c>
      <c r="M4985" t="s">
        <v>43</v>
      </c>
      <c r="N4985" t="s">
        <v>45</v>
      </c>
      <c r="O4985" t="s">
        <v>43</v>
      </c>
      <c r="P4985" t="s">
        <v>43</v>
      </c>
      <c r="Q4985" t="s">
        <v>43</v>
      </c>
      <c r="R4985" t="s">
        <v>43</v>
      </c>
      <c r="S4985" t="s">
        <v>43</v>
      </c>
      <c r="T4985" t="s">
        <v>43</v>
      </c>
      <c r="U4985" t="s">
        <v>43</v>
      </c>
      <c r="V4985" t="s">
        <v>43</v>
      </c>
      <c r="W4985" t="s">
        <v>43</v>
      </c>
      <c r="X4985" t="s">
        <v>43</v>
      </c>
      <c r="Y4985" t="s">
        <v>43</v>
      </c>
      <c r="Z4985" t="s">
        <v>43</v>
      </c>
      <c r="AA4985" t="s">
        <v>43</v>
      </c>
      <c r="AB4985" t="s">
        <v>43</v>
      </c>
      <c r="AC4985" t="s">
        <v>43</v>
      </c>
      <c r="AD4985" t="s">
        <v>43</v>
      </c>
      <c r="AE4985" t="s">
        <v>43</v>
      </c>
      <c r="AF4985" t="s">
        <v>43</v>
      </c>
      <c r="AG4985" t="s">
        <v>43</v>
      </c>
      <c r="AH4985" t="s">
        <v>43</v>
      </c>
      <c r="AI4985" t="s">
        <v>43</v>
      </c>
      <c r="AJ4985" t="s">
        <v>43</v>
      </c>
      <c r="AK4985" t="s">
        <v>43</v>
      </c>
      <c r="AL4985" t="s">
        <v>43</v>
      </c>
      <c r="AM4985" t="s">
        <v>43</v>
      </c>
      <c r="AN4985" t="s">
        <v>43</v>
      </c>
    </row>
    <row r="4986" spans="1:40" x14ac:dyDescent="0.3">
      <c r="A4986" s="1">
        <v>46210.422222222223</v>
      </c>
      <c r="B4986" t="s">
        <v>40</v>
      </c>
      <c r="C4986" t="s">
        <v>41</v>
      </c>
      <c r="D4986" s="1">
        <v>46210.424976851849</v>
      </c>
      <c r="E4986" t="s">
        <v>42</v>
      </c>
      <c r="F4986" t="s">
        <v>43</v>
      </c>
      <c r="G4986" t="s">
        <v>43</v>
      </c>
      <c r="H4986" t="s">
        <v>43</v>
      </c>
      <c r="I4986" t="s">
        <v>2863</v>
      </c>
      <c r="J4986" t="s">
        <v>43</v>
      </c>
      <c r="K4986" t="s">
        <v>43</v>
      </c>
      <c r="L4986" t="s">
        <v>43</v>
      </c>
      <c r="M4986" t="s">
        <v>43</v>
      </c>
      <c r="N4986" t="s">
        <v>45</v>
      </c>
      <c r="O4986" t="s">
        <v>43</v>
      </c>
      <c r="P4986" t="s">
        <v>43</v>
      </c>
      <c r="Q4986" t="s">
        <v>43</v>
      </c>
      <c r="R4986" t="s">
        <v>43</v>
      </c>
      <c r="S4986" t="s">
        <v>43</v>
      </c>
      <c r="T4986" t="s">
        <v>43</v>
      </c>
      <c r="U4986" t="s">
        <v>43</v>
      </c>
      <c r="V4986" t="s">
        <v>43</v>
      </c>
      <c r="W4986" t="s">
        <v>43</v>
      </c>
      <c r="X4986" t="s">
        <v>43</v>
      </c>
      <c r="Y4986" t="s">
        <v>43</v>
      </c>
      <c r="Z4986" t="s">
        <v>43</v>
      </c>
      <c r="AA4986" t="s">
        <v>43</v>
      </c>
      <c r="AB4986" t="s">
        <v>43</v>
      </c>
      <c r="AC4986" t="s">
        <v>43</v>
      </c>
      <c r="AD4986" t="s">
        <v>43</v>
      </c>
      <c r="AE4986" t="s">
        <v>43</v>
      </c>
      <c r="AF4986" t="s">
        <v>43</v>
      </c>
      <c r="AG4986" t="s">
        <v>43</v>
      </c>
      <c r="AH4986" t="s">
        <v>43</v>
      </c>
      <c r="AI4986" t="s">
        <v>43</v>
      </c>
      <c r="AJ4986" t="s">
        <v>43</v>
      </c>
      <c r="AK4986" t="s">
        <v>43</v>
      </c>
      <c r="AL4986" t="s">
        <v>43</v>
      </c>
      <c r="AM4986" t="s">
        <v>43</v>
      </c>
      <c r="AN4986" t="str">
        <f>HYPERLINK("https://www.google.com/maps?q=10.83224201,79.84024811","Open Location")</f>
        <v>Open Location</v>
      </c>
    </row>
    <row r="4987" spans="1:40" x14ac:dyDescent="0.3">
      <c r="A4987" s="1">
        <v>46210.422106481485</v>
      </c>
      <c r="B4987" t="s">
        <v>40</v>
      </c>
      <c r="C4987" t="s">
        <v>41</v>
      </c>
      <c r="D4987" s="1">
        <v>46210.42496527778</v>
      </c>
      <c r="E4987" t="s">
        <v>42</v>
      </c>
      <c r="F4987" t="s">
        <v>43</v>
      </c>
      <c r="G4987" t="s">
        <v>43</v>
      </c>
      <c r="H4987" t="s">
        <v>43</v>
      </c>
      <c r="I4987" t="s">
        <v>2846</v>
      </c>
      <c r="J4987" t="s">
        <v>43</v>
      </c>
      <c r="K4987" t="s">
        <v>43</v>
      </c>
      <c r="L4987" t="s">
        <v>43</v>
      </c>
      <c r="M4987" t="s">
        <v>43</v>
      </c>
      <c r="N4987" t="s">
        <v>45</v>
      </c>
      <c r="O4987" t="s">
        <v>43</v>
      </c>
      <c r="P4987" t="s">
        <v>43</v>
      </c>
      <c r="Q4987" t="s">
        <v>43</v>
      </c>
      <c r="R4987" t="s">
        <v>43</v>
      </c>
      <c r="S4987" t="s">
        <v>43</v>
      </c>
      <c r="T4987" t="s">
        <v>43</v>
      </c>
      <c r="U4987" t="s">
        <v>43</v>
      </c>
      <c r="V4987" t="s">
        <v>43</v>
      </c>
      <c r="W4987" t="s">
        <v>43</v>
      </c>
      <c r="X4987" t="s">
        <v>43</v>
      </c>
      <c r="Y4987" t="s">
        <v>43</v>
      </c>
      <c r="Z4987" t="s">
        <v>43</v>
      </c>
      <c r="AA4987" t="s">
        <v>43</v>
      </c>
      <c r="AB4987" t="s">
        <v>43</v>
      </c>
      <c r="AC4987" t="s">
        <v>43</v>
      </c>
      <c r="AD4987" t="s">
        <v>43</v>
      </c>
      <c r="AE4987" t="s">
        <v>43</v>
      </c>
      <c r="AF4987" t="s">
        <v>43</v>
      </c>
      <c r="AG4987" t="s">
        <v>43</v>
      </c>
      <c r="AH4987" t="s">
        <v>43</v>
      </c>
      <c r="AI4987" t="s">
        <v>43</v>
      </c>
      <c r="AJ4987" t="s">
        <v>43</v>
      </c>
      <c r="AK4987" t="s">
        <v>43</v>
      </c>
      <c r="AL4987" t="s">
        <v>43</v>
      </c>
      <c r="AM4987" t="s">
        <v>43</v>
      </c>
      <c r="AN4987" t="str">
        <f>HYPERLINK("https://www.google.com/maps?q=10.83224487,79.84024811","Open Location")</f>
        <v>Open Location</v>
      </c>
    </row>
    <row r="4988" spans="1:40" x14ac:dyDescent="0.3">
      <c r="A4988" s="1">
        <v>46210.421990740739</v>
      </c>
      <c r="B4988" t="s">
        <v>40</v>
      </c>
      <c r="C4988" t="s">
        <v>41</v>
      </c>
      <c r="D4988" s="1">
        <v>46210.424861111111</v>
      </c>
      <c r="E4988" t="s">
        <v>42</v>
      </c>
      <c r="F4988" t="s">
        <v>43</v>
      </c>
      <c r="G4988" t="s">
        <v>43</v>
      </c>
      <c r="H4988" t="s">
        <v>43</v>
      </c>
      <c r="I4988" t="s">
        <v>2864</v>
      </c>
      <c r="J4988" t="s">
        <v>43</v>
      </c>
      <c r="K4988" t="s">
        <v>43</v>
      </c>
      <c r="L4988" t="s">
        <v>43</v>
      </c>
      <c r="M4988" t="s">
        <v>43</v>
      </c>
      <c r="N4988" t="s">
        <v>45</v>
      </c>
      <c r="O4988" t="s">
        <v>43</v>
      </c>
      <c r="P4988" t="s">
        <v>43</v>
      </c>
      <c r="Q4988" t="s">
        <v>43</v>
      </c>
      <c r="R4988" t="s">
        <v>43</v>
      </c>
      <c r="S4988" t="s">
        <v>43</v>
      </c>
      <c r="T4988" t="s">
        <v>43</v>
      </c>
      <c r="U4988" t="s">
        <v>43</v>
      </c>
      <c r="V4988" t="s">
        <v>43</v>
      </c>
      <c r="W4988" t="s">
        <v>43</v>
      </c>
      <c r="X4988" t="s">
        <v>43</v>
      </c>
      <c r="Y4988" t="s">
        <v>43</v>
      </c>
      <c r="Z4988" t="s">
        <v>43</v>
      </c>
      <c r="AA4988" t="s">
        <v>43</v>
      </c>
      <c r="AB4988" t="s">
        <v>43</v>
      </c>
      <c r="AC4988" t="s">
        <v>43</v>
      </c>
      <c r="AD4988" t="s">
        <v>43</v>
      </c>
      <c r="AE4988" t="s">
        <v>43</v>
      </c>
      <c r="AF4988" t="s">
        <v>43</v>
      </c>
      <c r="AG4988" t="s">
        <v>43</v>
      </c>
      <c r="AH4988" t="s">
        <v>43</v>
      </c>
      <c r="AI4988" t="s">
        <v>43</v>
      </c>
      <c r="AJ4988" t="s">
        <v>43</v>
      </c>
      <c r="AK4988" t="s">
        <v>43</v>
      </c>
      <c r="AL4988" t="s">
        <v>43</v>
      </c>
      <c r="AM4988" t="s">
        <v>43</v>
      </c>
      <c r="AN4988" t="str">
        <f>HYPERLINK("https://www.google.com/maps?q=10.83224678,79.84024048","Open Location")</f>
        <v>Open Location</v>
      </c>
    </row>
    <row r="4989" spans="1:40" x14ac:dyDescent="0.3">
      <c r="A4989" s="1">
        <v>46210.421875</v>
      </c>
      <c r="B4989" t="s">
        <v>40</v>
      </c>
      <c r="C4989" t="s">
        <v>41</v>
      </c>
      <c r="D4989" s="1">
        <v>46210.425092592595</v>
      </c>
      <c r="E4989" t="s">
        <v>42</v>
      </c>
      <c r="F4989" t="s">
        <v>43</v>
      </c>
      <c r="G4989" t="s">
        <v>43</v>
      </c>
      <c r="H4989" t="s">
        <v>43</v>
      </c>
      <c r="I4989" t="s">
        <v>2865</v>
      </c>
      <c r="J4989" t="s">
        <v>43</v>
      </c>
      <c r="K4989" t="s">
        <v>43</v>
      </c>
      <c r="L4989" t="s">
        <v>43</v>
      </c>
      <c r="M4989" t="s">
        <v>43</v>
      </c>
      <c r="N4989" t="s">
        <v>45</v>
      </c>
      <c r="O4989" t="s">
        <v>43</v>
      </c>
      <c r="P4989" t="s">
        <v>43</v>
      </c>
      <c r="Q4989" t="s">
        <v>43</v>
      </c>
      <c r="R4989" t="s">
        <v>43</v>
      </c>
      <c r="S4989" t="s">
        <v>43</v>
      </c>
      <c r="T4989" t="s">
        <v>43</v>
      </c>
      <c r="U4989" t="s">
        <v>43</v>
      </c>
      <c r="V4989" t="s">
        <v>43</v>
      </c>
      <c r="W4989" t="s">
        <v>43</v>
      </c>
      <c r="X4989" t="s">
        <v>43</v>
      </c>
      <c r="Y4989" t="s">
        <v>43</v>
      </c>
      <c r="Z4989" t="s">
        <v>43</v>
      </c>
      <c r="AA4989" t="s">
        <v>43</v>
      </c>
      <c r="AB4989" t="s">
        <v>43</v>
      </c>
      <c r="AC4989" t="s">
        <v>43</v>
      </c>
      <c r="AD4989" t="s">
        <v>43</v>
      </c>
      <c r="AE4989" t="s">
        <v>43</v>
      </c>
      <c r="AF4989" t="s">
        <v>43</v>
      </c>
      <c r="AG4989" t="s">
        <v>43</v>
      </c>
      <c r="AH4989" t="s">
        <v>43</v>
      </c>
      <c r="AI4989" t="s">
        <v>43</v>
      </c>
      <c r="AJ4989" t="s">
        <v>43</v>
      </c>
      <c r="AK4989" t="s">
        <v>43</v>
      </c>
      <c r="AL4989" t="s">
        <v>43</v>
      </c>
      <c r="AM4989" t="s">
        <v>43</v>
      </c>
      <c r="AN4989" t="str">
        <f>HYPERLINK("https://www.google.com/maps?q=10.83225346,79.84024048","Open Location")</f>
        <v>Open Location</v>
      </c>
    </row>
    <row r="4990" spans="1:40" x14ac:dyDescent="0.3">
      <c r="A4990" s="1">
        <v>46210.421759259261</v>
      </c>
      <c r="B4990" t="s">
        <v>40</v>
      </c>
      <c r="C4990" t="s">
        <v>41</v>
      </c>
      <c r="D4990" s="1">
        <v>46210.424467592595</v>
      </c>
      <c r="E4990" t="s">
        <v>42</v>
      </c>
      <c r="F4990" t="s">
        <v>43</v>
      </c>
      <c r="G4990" t="s">
        <v>43</v>
      </c>
      <c r="H4990" t="s">
        <v>43</v>
      </c>
      <c r="I4990" t="s">
        <v>43</v>
      </c>
      <c r="J4990" t="s">
        <v>43</v>
      </c>
      <c r="K4990" t="s">
        <v>43</v>
      </c>
      <c r="L4990" t="s">
        <v>43</v>
      </c>
      <c r="M4990" t="s">
        <v>43</v>
      </c>
      <c r="N4990" t="s">
        <v>45</v>
      </c>
      <c r="O4990" t="s">
        <v>43</v>
      </c>
      <c r="P4990" t="s">
        <v>43</v>
      </c>
      <c r="Q4990" t="s">
        <v>43</v>
      </c>
      <c r="R4990" t="s">
        <v>43</v>
      </c>
      <c r="S4990" t="s">
        <v>43</v>
      </c>
      <c r="T4990" t="s">
        <v>43</v>
      </c>
      <c r="U4990" t="s">
        <v>43</v>
      </c>
      <c r="V4990" t="s">
        <v>43</v>
      </c>
      <c r="W4990" t="s">
        <v>43</v>
      </c>
      <c r="X4990" t="s">
        <v>43</v>
      </c>
      <c r="Y4990" t="s">
        <v>43</v>
      </c>
      <c r="Z4990" t="s">
        <v>43</v>
      </c>
      <c r="AA4990" t="s">
        <v>43</v>
      </c>
      <c r="AB4990" t="s">
        <v>43</v>
      </c>
      <c r="AC4990" t="s">
        <v>43</v>
      </c>
      <c r="AD4990" t="s">
        <v>43</v>
      </c>
      <c r="AE4990" t="s">
        <v>43</v>
      </c>
      <c r="AF4990" t="s">
        <v>43</v>
      </c>
      <c r="AG4990" t="s">
        <v>43</v>
      </c>
      <c r="AH4990" t="s">
        <v>43</v>
      </c>
      <c r="AI4990" t="s">
        <v>43</v>
      </c>
      <c r="AJ4990" t="s">
        <v>43</v>
      </c>
      <c r="AK4990" t="s">
        <v>43</v>
      </c>
      <c r="AL4990" t="s">
        <v>43</v>
      </c>
      <c r="AM4990" t="s">
        <v>43</v>
      </c>
      <c r="AN4990" t="s">
        <v>43</v>
      </c>
    </row>
    <row r="4991" spans="1:40" x14ac:dyDescent="0.3">
      <c r="A4991" s="1">
        <v>46210.421643518515</v>
      </c>
      <c r="B4991" t="s">
        <v>40</v>
      </c>
      <c r="C4991" t="s">
        <v>41</v>
      </c>
      <c r="D4991" s="1">
        <v>46210.424363425926</v>
      </c>
      <c r="E4991" t="s">
        <v>42</v>
      </c>
      <c r="F4991" t="s">
        <v>43</v>
      </c>
      <c r="G4991" t="s">
        <v>43</v>
      </c>
      <c r="H4991" t="s">
        <v>43</v>
      </c>
      <c r="I4991" t="s">
        <v>2808</v>
      </c>
      <c r="J4991" t="s">
        <v>43</v>
      </c>
      <c r="K4991" t="s">
        <v>43</v>
      </c>
      <c r="L4991" t="s">
        <v>43</v>
      </c>
      <c r="M4991" t="s">
        <v>43</v>
      </c>
      <c r="N4991" t="s">
        <v>45</v>
      </c>
      <c r="O4991" t="s">
        <v>43</v>
      </c>
      <c r="P4991" t="s">
        <v>43</v>
      </c>
      <c r="Q4991" t="s">
        <v>43</v>
      </c>
      <c r="R4991" t="s">
        <v>43</v>
      </c>
      <c r="S4991" t="s">
        <v>43</v>
      </c>
      <c r="T4991" t="s">
        <v>43</v>
      </c>
      <c r="U4991" t="s">
        <v>43</v>
      </c>
      <c r="V4991" t="s">
        <v>43</v>
      </c>
      <c r="W4991" t="s">
        <v>43</v>
      </c>
      <c r="X4991" t="s">
        <v>43</v>
      </c>
      <c r="Y4991" t="s">
        <v>43</v>
      </c>
      <c r="Z4991" t="s">
        <v>43</v>
      </c>
      <c r="AA4991" t="s">
        <v>43</v>
      </c>
      <c r="AB4991" t="s">
        <v>43</v>
      </c>
      <c r="AC4991" t="s">
        <v>43</v>
      </c>
      <c r="AD4991" t="s">
        <v>43</v>
      </c>
      <c r="AE4991" t="s">
        <v>43</v>
      </c>
      <c r="AF4991" t="s">
        <v>43</v>
      </c>
      <c r="AG4991" t="s">
        <v>43</v>
      </c>
      <c r="AH4991" t="s">
        <v>43</v>
      </c>
      <c r="AI4991" t="s">
        <v>43</v>
      </c>
      <c r="AJ4991" t="s">
        <v>43</v>
      </c>
      <c r="AK4991" t="s">
        <v>43</v>
      </c>
      <c r="AL4991" t="s">
        <v>43</v>
      </c>
      <c r="AM4991" t="s">
        <v>43</v>
      </c>
      <c r="AN4991" t="str">
        <f>HYPERLINK("https://www.google.com/maps?q=10.83225536,79.84024048","Open Location")</f>
        <v>Open Location</v>
      </c>
    </row>
    <row r="4992" spans="1:40" x14ac:dyDescent="0.3">
      <c r="A4992" s="1">
        <v>46210.421527777777</v>
      </c>
      <c r="B4992" t="s">
        <v>40</v>
      </c>
      <c r="C4992" t="s">
        <v>41</v>
      </c>
      <c r="D4992" s="1">
        <v>46210.424155092594</v>
      </c>
      <c r="E4992" t="s">
        <v>42</v>
      </c>
      <c r="F4992" t="s">
        <v>43</v>
      </c>
      <c r="G4992" t="s">
        <v>43</v>
      </c>
      <c r="H4992" t="s">
        <v>43</v>
      </c>
      <c r="I4992" t="s">
        <v>2808</v>
      </c>
      <c r="J4992" t="s">
        <v>43</v>
      </c>
      <c r="K4992" t="s">
        <v>43</v>
      </c>
      <c r="L4992" t="s">
        <v>43</v>
      </c>
      <c r="M4992" t="s">
        <v>43</v>
      </c>
      <c r="N4992" t="s">
        <v>45</v>
      </c>
      <c r="O4992" t="s">
        <v>43</v>
      </c>
      <c r="P4992" t="s">
        <v>43</v>
      </c>
      <c r="Q4992" t="s">
        <v>43</v>
      </c>
      <c r="R4992" t="s">
        <v>43</v>
      </c>
      <c r="S4992" t="s">
        <v>43</v>
      </c>
      <c r="T4992" t="s">
        <v>43</v>
      </c>
      <c r="U4992" t="s">
        <v>43</v>
      </c>
      <c r="V4992" t="s">
        <v>43</v>
      </c>
      <c r="W4992" t="s">
        <v>43</v>
      </c>
      <c r="X4992" t="s">
        <v>43</v>
      </c>
      <c r="Y4992" t="s">
        <v>43</v>
      </c>
      <c r="Z4992" t="s">
        <v>43</v>
      </c>
      <c r="AA4992" t="s">
        <v>43</v>
      </c>
      <c r="AB4992" t="s">
        <v>43</v>
      </c>
      <c r="AC4992" t="s">
        <v>43</v>
      </c>
      <c r="AD4992" t="s">
        <v>43</v>
      </c>
      <c r="AE4992" t="s">
        <v>43</v>
      </c>
      <c r="AF4992" t="s">
        <v>43</v>
      </c>
      <c r="AG4992" t="s">
        <v>43</v>
      </c>
      <c r="AH4992" t="s">
        <v>43</v>
      </c>
      <c r="AI4992" t="s">
        <v>43</v>
      </c>
      <c r="AJ4992" t="s">
        <v>43</v>
      </c>
      <c r="AK4992" t="s">
        <v>43</v>
      </c>
      <c r="AL4992" t="s">
        <v>43</v>
      </c>
      <c r="AM4992" t="s">
        <v>43</v>
      </c>
      <c r="AN4992" t="str">
        <f>HYPERLINK("https://www.google.com/maps?q=10.83225536,79.84024048","Open Location")</f>
        <v>Open Location</v>
      </c>
    </row>
    <row r="4993" spans="1:40" x14ac:dyDescent="0.3">
      <c r="A4993" s="1">
        <v>46210.421412037038</v>
      </c>
      <c r="B4993" t="s">
        <v>40</v>
      </c>
      <c r="C4993" t="s">
        <v>41</v>
      </c>
      <c r="D4993" s="1">
        <v>46210.424143518518</v>
      </c>
      <c r="E4993" t="s">
        <v>42</v>
      </c>
      <c r="F4993" t="s">
        <v>43</v>
      </c>
      <c r="G4993" t="s">
        <v>43</v>
      </c>
      <c r="H4993" t="s">
        <v>43</v>
      </c>
      <c r="I4993" t="s">
        <v>2784</v>
      </c>
      <c r="J4993" t="s">
        <v>43</v>
      </c>
      <c r="K4993" t="s">
        <v>43</v>
      </c>
      <c r="L4993" t="s">
        <v>43</v>
      </c>
      <c r="M4993" t="s">
        <v>43</v>
      </c>
      <c r="N4993" t="s">
        <v>45</v>
      </c>
      <c r="O4993" t="s">
        <v>43</v>
      </c>
      <c r="P4993" t="s">
        <v>43</v>
      </c>
      <c r="Q4993" t="s">
        <v>43</v>
      </c>
      <c r="R4993" t="s">
        <v>43</v>
      </c>
      <c r="S4993" t="s">
        <v>43</v>
      </c>
      <c r="T4993" t="s">
        <v>43</v>
      </c>
      <c r="U4993" t="s">
        <v>43</v>
      </c>
      <c r="V4993" t="s">
        <v>43</v>
      </c>
      <c r="W4993" t="s">
        <v>43</v>
      </c>
      <c r="X4993" t="s">
        <v>43</v>
      </c>
      <c r="Y4993" t="s">
        <v>43</v>
      </c>
      <c r="Z4993" t="s">
        <v>43</v>
      </c>
      <c r="AA4993" t="s">
        <v>43</v>
      </c>
      <c r="AB4993" t="s">
        <v>43</v>
      </c>
      <c r="AC4993" t="s">
        <v>43</v>
      </c>
      <c r="AD4993" t="s">
        <v>43</v>
      </c>
      <c r="AE4993" t="s">
        <v>43</v>
      </c>
      <c r="AF4993" t="s">
        <v>43</v>
      </c>
      <c r="AG4993" t="s">
        <v>43</v>
      </c>
      <c r="AH4993" t="s">
        <v>43</v>
      </c>
      <c r="AI4993" t="s">
        <v>43</v>
      </c>
      <c r="AJ4993" t="s">
        <v>43</v>
      </c>
      <c r="AK4993" t="s">
        <v>43</v>
      </c>
      <c r="AL4993" t="s">
        <v>43</v>
      </c>
      <c r="AM4993" t="s">
        <v>43</v>
      </c>
      <c r="AN4993" t="str">
        <f>HYPERLINK("https://www.google.com/maps?q=10.83226109,79.84024811","Open Location")</f>
        <v>Open Location</v>
      </c>
    </row>
    <row r="4994" spans="1:40" x14ac:dyDescent="0.3">
      <c r="A4994" s="1">
        <v>46210.421296296299</v>
      </c>
      <c r="B4994" t="s">
        <v>40</v>
      </c>
      <c r="C4994" t="s">
        <v>41</v>
      </c>
      <c r="D4994" s="1">
        <v>46210.424097222225</v>
      </c>
      <c r="E4994" t="s">
        <v>42</v>
      </c>
      <c r="F4994" t="s">
        <v>43</v>
      </c>
      <c r="G4994" t="s">
        <v>43</v>
      </c>
      <c r="H4994" t="s">
        <v>43</v>
      </c>
      <c r="I4994" t="s">
        <v>2866</v>
      </c>
      <c r="J4994" t="s">
        <v>43</v>
      </c>
      <c r="K4994" t="s">
        <v>43</v>
      </c>
      <c r="L4994" t="s">
        <v>43</v>
      </c>
      <c r="M4994" t="s">
        <v>43</v>
      </c>
      <c r="N4994" t="s">
        <v>45</v>
      </c>
      <c r="O4994" t="s">
        <v>43</v>
      </c>
      <c r="P4994" t="s">
        <v>43</v>
      </c>
      <c r="Q4994" t="s">
        <v>43</v>
      </c>
      <c r="R4994" t="s">
        <v>43</v>
      </c>
      <c r="S4994" t="s">
        <v>43</v>
      </c>
      <c r="T4994" t="s">
        <v>43</v>
      </c>
      <c r="U4994" t="s">
        <v>43</v>
      </c>
      <c r="V4994" t="s">
        <v>43</v>
      </c>
      <c r="W4994" t="s">
        <v>43</v>
      </c>
      <c r="X4994" t="s">
        <v>43</v>
      </c>
      <c r="Y4994" t="s">
        <v>43</v>
      </c>
      <c r="Z4994" t="s">
        <v>43</v>
      </c>
      <c r="AA4994" t="s">
        <v>43</v>
      </c>
      <c r="AB4994" t="s">
        <v>43</v>
      </c>
      <c r="AC4994" t="s">
        <v>43</v>
      </c>
      <c r="AD4994" t="s">
        <v>43</v>
      </c>
      <c r="AE4994" t="s">
        <v>43</v>
      </c>
      <c r="AF4994" t="s">
        <v>43</v>
      </c>
      <c r="AG4994" t="s">
        <v>43</v>
      </c>
      <c r="AH4994" t="s">
        <v>43</v>
      </c>
      <c r="AI4994" t="s">
        <v>43</v>
      </c>
      <c r="AJ4994" t="s">
        <v>43</v>
      </c>
      <c r="AK4994" t="s">
        <v>43</v>
      </c>
      <c r="AL4994" t="s">
        <v>43</v>
      </c>
      <c r="AM4994" t="s">
        <v>43</v>
      </c>
      <c r="AN4994" t="str">
        <f>HYPERLINK("https://www.google.com/maps?q=10.83226585,79.84024811","Open Location")</f>
        <v>Open Location</v>
      </c>
    </row>
    <row r="4995" spans="1:40" x14ac:dyDescent="0.3">
      <c r="A4995" s="1">
        <v>46210.421180555553</v>
      </c>
      <c r="B4995" t="s">
        <v>40</v>
      </c>
      <c r="C4995" t="s">
        <v>41</v>
      </c>
      <c r="D4995" s="1">
        <v>46210.424004629633</v>
      </c>
      <c r="E4995" t="s">
        <v>42</v>
      </c>
      <c r="F4995" t="s">
        <v>43</v>
      </c>
      <c r="G4995" t="s">
        <v>43</v>
      </c>
      <c r="H4995" t="s">
        <v>43</v>
      </c>
      <c r="I4995" t="s">
        <v>2867</v>
      </c>
      <c r="J4995" t="s">
        <v>43</v>
      </c>
      <c r="K4995" t="s">
        <v>43</v>
      </c>
      <c r="L4995" t="s">
        <v>43</v>
      </c>
      <c r="M4995" t="s">
        <v>43</v>
      </c>
      <c r="N4995" t="s">
        <v>45</v>
      </c>
      <c r="O4995" t="s">
        <v>43</v>
      </c>
      <c r="P4995" t="s">
        <v>43</v>
      </c>
      <c r="Q4995" t="s">
        <v>43</v>
      </c>
      <c r="R4995" t="s">
        <v>43</v>
      </c>
      <c r="S4995" t="s">
        <v>43</v>
      </c>
      <c r="T4995" t="s">
        <v>43</v>
      </c>
      <c r="U4995" t="s">
        <v>43</v>
      </c>
      <c r="V4995" t="s">
        <v>43</v>
      </c>
      <c r="W4995" t="s">
        <v>43</v>
      </c>
      <c r="X4995" t="s">
        <v>43</v>
      </c>
      <c r="Y4995" t="s">
        <v>43</v>
      </c>
      <c r="Z4995" t="s">
        <v>43</v>
      </c>
      <c r="AA4995" t="s">
        <v>43</v>
      </c>
      <c r="AB4995" t="s">
        <v>43</v>
      </c>
      <c r="AC4995" t="s">
        <v>43</v>
      </c>
      <c r="AD4995" t="s">
        <v>43</v>
      </c>
      <c r="AE4995" t="s">
        <v>43</v>
      </c>
      <c r="AF4995" t="s">
        <v>43</v>
      </c>
      <c r="AG4995" t="s">
        <v>43</v>
      </c>
      <c r="AH4995" t="s">
        <v>43</v>
      </c>
      <c r="AI4995" t="s">
        <v>43</v>
      </c>
      <c r="AJ4995" t="s">
        <v>43</v>
      </c>
      <c r="AK4995" t="s">
        <v>43</v>
      </c>
      <c r="AL4995" t="s">
        <v>43</v>
      </c>
      <c r="AM4995" t="s">
        <v>43</v>
      </c>
      <c r="AN4995" t="str">
        <f>HYPERLINK("https://www.google.com/maps?q=10.83227634,79.84025574","Open Location")</f>
        <v>Open Location</v>
      </c>
    </row>
    <row r="4996" spans="1:40" x14ac:dyDescent="0.3">
      <c r="A4996" s="1">
        <v>46210.421064814815</v>
      </c>
      <c r="B4996" t="s">
        <v>40</v>
      </c>
      <c r="C4996" t="s">
        <v>41</v>
      </c>
      <c r="D4996" s="1">
        <v>46210.423807870371</v>
      </c>
      <c r="E4996" t="s">
        <v>42</v>
      </c>
      <c r="F4996" t="s">
        <v>43</v>
      </c>
      <c r="G4996" t="s">
        <v>43</v>
      </c>
      <c r="H4996" t="s">
        <v>43</v>
      </c>
      <c r="I4996" t="s">
        <v>43</v>
      </c>
      <c r="J4996" t="s">
        <v>43</v>
      </c>
      <c r="K4996" t="s">
        <v>43</v>
      </c>
      <c r="L4996" t="s">
        <v>43</v>
      </c>
      <c r="M4996" t="s">
        <v>43</v>
      </c>
      <c r="N4996" t="s">
        <v>45</v>
      </c>
      <c r="O4996" t="s">
        <v>43</v>
      </c>
      <c r="P4996" t="s">
        <v>43</v>
      </c>
      <c r="Q4996" t="s">
        <v>43</v>
      </c>
      <c r="R4996" t="s">
        <v>43</v>
      </c>
      <c r="S4996" t="s">
        <v>43</v>
      </c>
      <c r="T4996" t="s">
        <v>43</v>
      </c>
      <c r="U4996" t="s">
        <v>43</v>
      </c>
      <c r="V4996" t="s">
        <v>43</v>
      </c>
      <c r="W4996" t="s">
        <v>43</v>
      </c>
      <c r="X4996" t="s">
        <v>43</v>
      </c>
      <c r="Y4996" t="s">
        <v>43</v>
      </c>
      <c r="Z4996" t="s">
        <v>43</v>
      </c>
      <c r="AA4996" t="s">
        <v>43</v>
      </c>
      <c r="AB4996" t="s">
        <v>43</v>
      </c>
      <c r="AC4996" t="s">
        <v>43</v>
      </c>
      <c r="AD4996" t="s">
        <v>43</v>
      </c>
      <c r="AE4996" t="s">
        <v>43</v>
      </c>
      <c r="AF4996" t="s">
        <v>43</v>
      </c>
      <c r="AG4996" t="s">
        <v>43</v>
      </c>
      <c r="AH4996" t="s">
        <v>43</v>
      </c>
      <c r="AI4996" t="s">
        <v>43</v>
      </c>
      <c r="AJ4996" t="s">
        <v>43</v>
      </c>
      <c r="AK4996" t="s">
        <v>43</v>
      </c>
      <c r="AL4996" t="s">
        <v>43</v>
      </c>
      <c r="AM4996" t="s">
        <v>43</v>
      </c>
      <c r="AN4996" t="s">
        <v>43</v>
      </c>
    </row>
    <row r="4997" spans="1:40" x14ac:dyDescent="0.3">
      <c r="A4997" s="1">
        <v>46210.420949074076</v>
      </c>
      <c r="B4997" t="s">
        <v>40</v>
      </c>
      <c r="C4997" t="s">
        <v>41</v>
      </c>
      <c r="D4997" s="1">
        <v>46210.424143518518</v>
      </c>
      <c r="E4997" t="s">
        <v>42</v>
      </c>
      <c r="F4997" t="s">
        <v>43</v>
      </c>
      <c r="G4997" t="s">
        <v>43</v>
      </c>
      <c r="H4997" t="s">
        <v>43</v>
      </c>
      <c r="I4997" t="s">
        <v>2868</v>
      </c>
      <c r="J4997" t="s">
        <v>43</v>
      </c>
      <c r="K4997" t="s">
        <v>43</v>
      </c>
      <c r="L4997" t="s">
        <v>43</v>
      </c>
      <c r="M4997" t="s">
        <v>43</v>
      </c>
      <c r="N4997" t="s">
        <v>45</v>
      </c>
      <c r="O4997" t="s">
        <v>43</v>
      </c>
      <c r="P4997" t="s">
        <v>43</v>
      </c>
      <c r="Q4997" t="s">
        <v>43</v>
      </c>
      <c r="R4997" t="s">
        <v>43</v>
      </c>
      <c r="S4997" t="s">
        <v>43</v>
      </c>
      <c r="T4997" t="s">
        <v>43</v>
      </c>
      <c r="U4997" t="s">
        <v>43</v>
      </c>
      <c r="V4997" t="s">
        <v>43</v>
      </c>
      <c r="W4997" t="s">
        <v>43</v>
      </c>
      <c r="X4997" t="s">
        <v>43</v>
      </c>
      <c r="Y4997" t="s">
        <v>43</v>
      </c>
      <c r="Z4997" t="s">
        <v>43</v>
      </c>
      <c r="AA4997" t="s">
        <v>43</v>
      </c>
      <c r="AB4997" t="s">
        <v>43</v>
      </c>
      <c r="AC4997" t="s">
        <v>43</v>
      </c>
      <c r="AD4997" t="s">
        <v>43</v>
      </c>
      <c r="AE4997" t="s">
        <v>43</v>
      </c>
      <c r="AF4997" t="s">
        <v>43</v>
      </c>
      <c r="AG4997" t="s">
        <v>43</v>
      </c>
      <c r="AH4997" t="s">
        <v>43</v>
      </c>
      <c r="AI4997" t="s">
        <v>43</v>
      </c>
      <c r="AJ4997" t="s">
        <v>43</v>
      </c>
      <c r="AK4997" t="s">
        <v>43</v>
      </c>
      <c r="AL4997" t="s">
        <v>43</v>
      </c>
      <c r="AM4997" t="s">
        <v>43</v>
      </c>
      <c r="AN4997" t="str">
        <f>HYPERLINK("https://www.google.com/maps?q=10.83228683,79.84025574","Open Location")</f>
        <v>Open Location</v>
      </c>
    </row>
    <row r="4998" spans="1:40" x14ac:dyDescent="0.3">
      <c r="A4998" s="1">
        <v>46210.42083333333</v>
      </c>
      <c r="B4998" t="s">
        <v>40</v>
      </c>
      <c r="C4998" t="s">
        <v>41</v>
      </c>
      <c r="D4998" s="1">
        <v>46210.423807870371</v>
      </c>
      <c r="E4998" t="s">
        <v>42</v>
      </c>
      <c r="F4998" t="s">
        <v>43</v>
      </c>
      <c r="G4998" t="s">
        <v>43</v>
      </c>
      <c r="H4998" t="s">
        <v>43</v>
      </c>
      <c r="I4998" t="s">
        <v>2869</v>
      </c>
      <c r="J4998" t="s">
        <v>43</v>
      </c>
      <c r="K4998" t="s">
        <v>43</v>
      </c>
      <c r="L4998" t="s">
        <v>43</v>
      </c>
      <c r="M4998" t="s">
        <v>43</v>
      </c>
      <c r="N4998" t="s">
        <v>45</v>
      </c>
      <c r="O4998" t="s">
        <v>43</v>
      </c>
      <c r="P4998" t="s">
        <v>43</v>
      </c>
      <c r="Q4998" t="s">
        <v>43</v>
      </c>
      <c r="R4998" t="s">
        <v>43</v>
      </c>
      <c r="S4998" t="s">
        <v>43</v>
      </c>
      <c r="T4998" t="s">
        <v>43</v>
      </c>
      <c r="U4998" t="s">
        <v>43</v>
      </c>
      <c r="V4998" t="s">
        <v>43</v>
      </c>
      <c r="W4998" t="s">
        <v>43</v>
      </c>
      <c r="X4998" t="s">
        <v>43</v>
      </c>
      <c r="Y4998" t="s">
        <v>43</v>
      </c>
      <c r="Z4998" t="s">
        <v>43</v>
      </c>
      <c r="AA4998" t="s">
        <v>43</v>
      </c>
      <c r="AB4998" t="s">
        <v>43</v>
      </c>
      <c r="AC4998" t="s">
        <v>43</v>
      </c>
      <c r="AD4998" t="s">
        <v>43</v>
      </c>
      <c r="AE4998" t="s">
        <v>43</v>
      </c>
      <c r="AF4998" t="s">
        <v>43</v>
      </c>
      <c r="AG4998" t="s">
        <v>43</v>
      </c>
      <c r="AH4998" t="s">
        <v>43</v>
      </c>
      <c r="AI4998" t="s">
        <v>43</v>
      </c>
      <c r="AJ4998" t="s">
        <v>43</v>
      </c>
      <c r="AK4998" t="s">
        <v>43</v>
      </c>
      <c r="AL4998" t="s">
        <v>43</v>
      </c>
      <c r="AM4998" t="s">
        <v>43</v>
      </c>
      <c r="AN4998" t="str">
        <f>HYPERLINK("https://www.google.com/maps?q=10.83228493,79.84024811","Open Location")</f>
        <v>Open Location</v>
      </c>
    </row>
    <row r="4999" spans="1:40" x14ac:dyDescent="0.3">
      <c r="A4999" s="1">
        <v>46210.420717592591</v>
      </c>
      <c r="B4999" t="s">
        <v>40</v>
      </c>
      <c r="C4999" t="s">
        <v>41</v>
      </c>
      <c r="D4999" s="1">
        <v>46210.423645833333</v>
      </c>
      <c r="E4999" t="s">
        <v>42</v>
      </c>
      <c r="F4999" t="s">
        <v>43</v>
      </c>
      <c r="G4999" t="s">
        <v>43</v>
      </c>
      <c r="H4999" t="s">
        <v>43</v>
      </c>
      <c r="I4999" t="s">
        <v>2870</v>
      </c>
      <c r="J4999" t="s">
        <v>43</v>
      </c>
      <c r="K4999" t="s">
        <v>43</v>
      </c>
      <c r="L4999" t="s">
        <v>43</v>
      </c>
      <c r="M4999" t="s">
        <v>43</v>
      </c>
      <c r="N4999" t="s">
        <v>45</v>
      </c>
      <c r="O4999" t="s">
        <v>43</v>
      </c>
      <c r="P4999" t="s">
        <v>43</v>
      </c>
      <c r="Q4999" t="s">
        <v>43</v>
      </c>
      <c r="R4999" t="s">
        <v>43</v>
      </c>
      <c r="S4999" t="s">
        <v>43</v>
      </c>
      <c r="T4999" t="s">
        <v>43</v>
      </c>
      <c r="U4999" t="s">
        <v>43</v>
      </c>
      <c r="V4999" t="s">
        <v>43</v>
      </c>
      <c r="W4999" t="s">
        <v>43</v>
      </c>
      <c r="X4999" t="s">
        <v>43</v>
      </c>
      <c r="Y4999" t="s">
        <v>43</v>
      </c>
      <c r="Z4999" t="s">
        <v>43</v>
      </c>
      <c r="AA4999" t="s">
        <v>43</v>
      </c>
      <c r="AB4999" t="s">
        <v>43</v>
      </c>
      <c r="AC4999" t="s">
        <v>43</v>
      </c>
      <c r="AD4999" t="s">
        <v>43</v>
      </c>
      <c r="AE4999" t="s">
        <v>43</v>
      </c>
      <c r="AF4999" t="s">
        <v>43</v>
      </c>
      <c r="AG4999" t="s">
        <v>43</v>
      </c>
      <c r="AH4999" t="s">
        <v>43</v>
      </c>
      <c r="AI4999" t="s">
        <v>43</v>
      </c>
      <c r="AJ4999" t="s">
        <v>43</v>
      </c>
      <c r="AK4999" t="s">
        <v>43</v>
      </c>
      <c r="AL4999" t="s">
        <v>43</v>
      </c>
      <c r="AM4999" t="s">
        <v>43</v>
      </c>
      <c r="AN4999" t="str">
        <f>HYPERLINK("https://www.google.com/maps?q=10.83228493,79.84026337","Open Location")</f>
        <v>Open Location</v>
      </c>
    </row>
    <row r="5000" spans="1:40" x14ac:dyDescent="0.3">
      <c r="A5000" s="1">
        <v>46210.420601851853</v>
      </c>
      <c r="B5000" t="s">
        <v>40</v>
      </c>
      <c r="C5000" t="s">
        <v>41</v>
      </c>
      <c r="D5000" s="1">
        <v>46210.423379629632</v>
      </c>
      <c r="E5000" t="s">
        <v>42</v>
      </c>
      <c r="F5000" t="s">
        <v>43</v>
      </c>
      <c r="G5000" t="s">
        <v>43</v>
      </c>
      <c r="H5000" t="s">
        <v>43</v>
      </c>
      <c r="I5000" t="s">
        <v>2871</v>
      </c>
      <c r="J5000" t="s">
        <v>43</v>
      </c>
      <c r="K5000" t="s">
        <v>43</v>
      </c>
      <c r="L5000" t="s">
        <v>43</v>
      </c>
      <c r="M5000" t="s">
        <v>43</v>
      </c>
      <c r="N5000" t="s">
        <v>45</v>
      </c>
      <c r="O5000" t="s">
        <v>43</v>
      </c>
      <c r="P5000" t="s">
        <v>43</v>
      </c>
      <c r="Q5000" t="s">
        <v>43</v>
      </c>
      <c r="R5000" t="s">
        <v>43</v>
      </c>
      <c r="S5000" t="s">
        <v>43</v>
      </c>
      <c r="T5000" t="s">
        <v>43</v>
      </c>
      <c r="U5000" t="s">
        <v>43</v>
      </c>
      <c r="V5000" t="s">
        <v>43</v>
      </c>
      <c r="W5000" t="s">
        <v>43</v>
      </c>
      <c r="X5000" t="s">
        <v>43</v>
      </c>
      <c r="Y5000" t="s">
        <v>43</v>
      </c>
      <c r="Z5000" t="s">
        <v>43</v>
      </c>
      <c r="AA5000" t="s">
        <v>43</v>
      </c>
      <c r="AB5000" t="s">
        <v>43</v>
      </c>
      <c r="AC5000" t="s">
        <v>43</v>
      </c>
      <c r="AD5000" t="s">
        <v>43</v>
      </c>
      <c r="AE5000" t="s">
        <v>43</v>
      </c>
      <c r="AF5000" t="s">
        <v>43</v>
      </c>
      <c r="AG5000" t="s">
        <v>43</v>
      </c>
      <c r="AH5000" t="s">
        <v>43</v>
      </c>
      <c r="AI5000" t="s">
        <v>43</v>
      </c>
      <c r="AJ5000" t="s">
        <v>43</v>
      </c>
      <c r="AK5000" t="s">
        <v>43</v>
      </c>
      <c r="AL5000" t="s">
        <v>43</v>
      </c>
      <c r="AM5000" t="s">
        <v>43</v>
      </c>
      <c r="AN5000" t="str">
        <f>HYPERLINK("https://www.google.com/maps?q=10.83228397,79.840271","Open Location")</f>
        <v>Open Location</v>
      </c>
    </row>
    <row r="5001" spans="1:40" x14ac:dyDescent="0.3">
      <c r="A5001" s="1">
        <v>46210.420486111114</v>
      </c>
      <c r="B5001" t="s">
        <v>40</v>
      </c>
      <c r="C5001" t="s">
        <v>41</v>
      </c>
      <c r="D5001" s="1">
        <v>46210.423645833333</v>
      </c>
      <c r="E5001" t="s">
        <v>42</v>
      </c>
      <c r="F5001" t="s">
        <v>43</v>
      </c>
      <c r="G5001" t="s">
        <v>43</v>
      </c>
      <c r="H5001" t="s">
        <v>43</v>
      </c>
      <c r="I5001" t="s">
        <v>2872</v>
      </c>
      <c r="J5001" t="s">
        <v>43</v>
      </c>
      <c r="K5001" t="s">
        <v>43</v>
      </c>
      <c r="L5001" t="s">
        <v>43</v>
      </c>
      <c r="M5001" t="s">
        <v>43</v>
      </c>
      <c r="N5001" t="s">
        <v>45</v>
      </c>
      <c r="O5001" t="s">
        <v>43</v>
      </c>
      <c r="P5001" t="s">
        <v>43</v>
      </c>
      <c r="Q5001" t="s">
        <v>43</v>
      </c>
      <c r="R5001" t="s">
        <v>43</v>
      </c>
      <c r="S5001" t="s">
        <v>43</v>
      </c>
      <c r="T5001" t="s">
        <v>43</v>
      </c>
      <c r="U5001" t="s">
        <v>43</v>
      </c>
      <c r="V5001" t="s">
        <v>43</v>
      </c>
      <c r="W5001" t="s">
        <v>43</v>
      </c>
      <c r="X5001" t="s">
        <v>43</v>
      </c>
      <c r="Y5001" t="s">
        <v>43</v>
      </c>
      <c r="Z5001" t="s">
        <v>43</v>
      </c>
      <c r="AA5001" t="s">
        <v>43</v>
      </c>
      <c r="AB5001" t="s">
        <v>43</v>
      </c>
      <c r="AC5001" t="s">
        <v>43</v>
      </c>
      <c r="AD5001" t="s">
        <v>43</v>
      </c>
      <c r="AE5001" t="s">
        <v>43</v>
      </c>
      <c r="AF5001" t="s">
        <v>43</v>
      </c>
      <c r="AG5001" t="s">
        <v>43</v>
      </c>
      <c r="AH5001" t="s">
        <v>43</v>
      </c>
      <c r="AI5001" t="s">
        <v>43</v>
      </c>
      <c r="AJ5001" t="s">
        <v>43</v>
      </c>
      <c r="AK5001" t="s">
        <v>43</v>
      </c>
      <c r="AL5001" t="s">
        <v>43</v>
      </c>
      <c r="AM5001" t="s">
        <v>43</v>
      </c>
      <c r="AN5001" t="str">
        <f>HYPERLINK("https://www.google.com/maps?q=10.83228207,79.840271","Open Location")</f>
        <v>Open Location</v>
      </c>
    </row>
    <row r="5002" spans="1:40" x14ac:dyDescent="0.3">
      <c r="A5002" s="1">
        <v>46210.420370370368</v>
      </c>
      <c r="B5002" t="s">
        <v>40</v>
      </c>
      <c r="C5002" t="s">
        <v>41</v>
      </c>
      <c r="D5002" s="1">
        <v>46210.422986111109</v>
      </c>
      <c r="E5002" t="s">
        <v>42</v>
      </c>
      <c r="F5002" t="s">
        <v>43</v>
      </c>
      <c r="G5002" t="s">
        <v>43</v>
      </c>
      <c r="H5002" t="s">
        <v>43</v>
      </c>
      <c r="I5002" t="s">
        <v>43</v>
      </c>
      <c r="J5002" t="s">
        <v>43</v>
      </c>
      <c r="K5002" t="s">
        <v>43</v>
      </c>
      <c r="L5002" t="s">
        <v>43</v>
      </c>
      <c r="M5002" t="s">
        <v>43</v>
      </c>
      <c r="N5002" t="s">
        <v>45</v>
      </c>
      <c r="O5002" t="s">
        <v>43</v>
      </c>
      <c r="P5002" t="s">
        <v>43</v>
      </c>
      <c r="Q5002" t="s">
        <v>43</v>
      </c>
      <c r="R5002" t="s">
        <v>43</v>
      </c>
      <c r="S5002" t="s">
        <v>43</v>
      </c>
      <c r="T5002" t="s">
        <v>43</v>
      </c>
      <c r="U5002" t="s">
        <v>43</v>
      </c>
      <c r="V5002" t="s">
        <v>43</v>
      </c>
      <c r="W5002" t="s">
        <v>43</v>
      </c>
      <c r="X5002" t="s">
        <v>43</v>
      </c>
      <c r="Y5002" t="s">
        <v>43</v>
      </c>
      <c r="Z5002" t="s">
        <v>43</v>
      </c>
      <c r="AA5002" t="s">
        <v>43</v>
      </c>
      <c r="AB5002" t="s">
        <v>43</v>
      </c>
      <c r="AC5002" t="s">
        <v>43</v>
      </c>
      <c r="AD5002" t="s">
        <v>43</v>
      </c>
      <c r="AE5002" t="s">
        <v>43</v>
      </c>
      <c r="AF5002" t="s">
        <v>43</v>
      </c>
      <c r="AG5002" t="s">
        <v>43</v>
      </c>
      <c r="AH5002" t="s">
        <v>43</v>
      </c>
      <c r="AI5002" t="s">
        <v>43</v>
      </c>
      <c r="AJ5002" t="s">
        <v>43</v>
      </c>
      <c r="AK5002" t="s">
        <v>43</v>
      </c>
      <c r="AL5002" t="s">
        <v>43</v>
      </c>
      <c r="AM5002" t="s">
        <v>43</v>
      </c>
      <c r="AN5002" t="s">
        <v>43</v>
      </c>
    </row>
    <row r="5003" spans="1:40" x14ac:dyDescent="0.3">
      <c r="A5003" s="1">
        <v>46210.420254629629</v>
      </c>
      <c r="B5003" t="s">
        <v>40</v>
      </c>
      <c r="C5003" t="s">
        <v>41</v>
      </c>
      <c r="D5003" s="1">
        <v>46210.423333333332</v>
      </c>
      <c r="E5003" t="s">
        <v>42</v>
      </c>
      <c r="F5003" t="s">
        <v>43</v>
      </c>
      <c r="G5003" t="s">
        <v>43</v>
      </c>
      <c r="H5003" t="s">
        <v>43</v>
      </c>
      <c r="I5003" t="s">
        <v>2873</v>
      </c>
      <c r="J5003" t="s">
        <v>43</v>
      </c>
      <c r="K5003" t="s">
        <v>43</v>
      </c>
      <c r="L5003" t="s">
        <v>43</v>
      </c>
      <c r="M5003" t="s">
        <v>43</v>
      </c>
      <c r="N5003" t="s">
        <v>45</v>
      </c>
      <c r="O5003" t="s">
        <v>43</v>
      </c>
      <c r="P5003" t="s">
        <v>43</v>
      </c>
      <c r="Q5003" t="s">
        <v>43</v>
      </c>
      <c r="R5003" t="s">
        <v>43</v>
      </c>
      <c r="S5003" t="s">
        <v>43</v>
      </c>
      <c r="T5003" t="s">
        <v>43</v>
      </c>
      <c r="U5003" t="s">
        <v>43</v>
      </c>
      <c r="V5003" t="s">
        <v>43</v>
      </c>
      <c r="W5003" t="s">
        <v>43</v>
      </c>
      <c r="X5003" t="s">
        <v>43</v>
      </c>
      <c r="Y5003" t="s">
        <v>43</v>
      </c>
      <c r="Z5003" t="s">
        <v>43</v>
      </c>
      <c r="AA5003" t="s">
        <v>43</v>
      </c>
      <c r="AB5003" t="s">
        <v>43</v>
      </c>
      <c r="AC5003" t="s">
        <v>43</v>
      </c>
      <c r="AD5003" t="s">
        <v>43</v>
      </c>
      <c r="AE5003" t="s">
        <v>43</v>
      </c>
      <c r="AF5003" t="s">
        <v>43</v>
      </c>
      <c r="AG5003" t="s">
        <v>43</v>
      </c>
      <c r="AH5003" t="s">
        <v>43</v>
      </c>
      <c r="AI5003" t="s">
        <v>43</v>
      </c>
      <c r="AJ5003" t="s">
        <v>43</v>
      </c>
      <c r="AK5003" t="s">
        <v>43</v>
      </c>
      <c r="AL5003" t="s">
        <v>43</v>
      </c>
      <c r="AM5003" t="s">
        <v>43</v>
      </c>
      <c r="AN5003" t="str">
        <f>HYPERLINK("https://www.google.com/maps?q=10.83228016,79.84026337","Open Location")</f>
        <v>Open Location</v>
      </c>
    </row>
    <row r="5004" spans="1:40" x14ac:dyDescent="0.3">
      <c r="A5004" s="1">
        <v>46210.420138888891</v>
      </c>
      <c r="B5004" t="s">
        <v>40</v>
      </c>
      <c r="C5004" t="s">
        <v>41</v>
      </c>
      <c r="D5004" s="1">
        <v>46210.422835648147</v>
      </c>
      <c r="E5004" t="s">
        <v>42</v>
      </c>
      <c r="F5004" t="s">
        <v>43</v>
      </c>
      <c r="G5004" t="s">
        <v>43</v>
      </c>
      <c r="H5004" t="s">
        <v>43</v>
      </c>
      <c r="I5004" t="s">
        <v>2873</v>
      </c>
      <c r="J5004" t="s">
        <v>43</v>
      </c>
      <c r="K5004" t="s">
        <v>43</v>
      </c>
      <c r="L5004" t="s">
        <v>43</v>
      </c>
      <c r="M5004" t="s">
        <v>43</v>
      </c>
      <c r="N5004" t="s">
        <v>45</v>
      </c>
      <c r="O5004" t="s">
        <v>43</v>
      </c>
      <c r="P5004" t="s">
        <v>43</v>
      </c>
      <c r="Q5004" t="s">
        <v>43</v>
      </c>
      <c r="R5004" t="s">
        <v>43</v>
      </c>
      <c r="S5004" t="s">
        <v>43</v>
      </c>
      <c r="T5004" t="s">
        <v>43</v>
      </c>
      <c r="U5004" t="s">
        <v>43</v>
      </c>
      <c r="V5004" t="s">
        <v>43</v>
      </c>
      <c r="W5004" t="s">
        <v>43</v>
      </c>
      <c r="X5004" t="s">
        <v>43</v>
      </c>
      <c r="Y5004" t="s">
        <v>43</v>
      </c>
      <c r="Z5004" t="s">
        <v>43</v>
      </c>
      <c r="AA5004" t="s">
        <v>43</v>
      </c>
      <c r="AB5004" t="s">
        <v>43</v>
      </c>
      <c r="AC5004" t="s">
        <v>43</v>
      </c>
      <c r="AD5004" t="s">
        <v>43</v>
      </c>
      <c r="AE5004" t="s">
        <v>43</v>
      </c>
      <c r="AF5004" t="s">
        <v>43</v>
      </c>
      <c r="AG5004" t="s">
        <v>43</v>
      </c>
      <c r="AH5004" t="s">
        <v>43</v>
      </c>
      <c r="AI5004" t="s">
        <v>43</v>
      </c>
      <c r="AJ5004" t="s">
        <v>43</v>
      </c>
      <c r="AK5004" t="s">
        <v>43</v>
      </c>
      <c r="AL5004" t="s">
        <v>43</v>
      </c>
      <c r="AM5004" t="s">
        <v>43</v>
      </c>
      <c r="AN5004" t="str">
        <f>HYPERLINK("https://www.google.com/maps?q=10.83228016,79.84026337","Open Location")</f>
        <v>Open Location</v>
      </c>
    </row>
    <row r="5005" spans="1:40" x14ac:dyDescent="0.3">
      <c r="A5005" s="1">
        <v>46210.420023148145</v>
      </c>
      <c r="B5005" t="s">
        <v>40</v>
      </c>
      <c r="C5005" t="s">
        <v>41</v>
      </c>
      <c r="D5005" s="1">
        <v>46210.422789351855</v>
      </c>
      <c r="E5005" t="s">
        <v>42</v>
      </c>
      <c r="F5005" t="s">
        <v>43</v>
      </c>
      <c r="G5005" t="s">
        <v>43</v>
      </c>
      <c r="H5005" t="s">
        <v>43</v>
      </c>
      <c r="I5005" t="s">
        <v>2874</v>
      </c>
      <c r="J5005" t="s">
        <v>43</v>
      </c>
      <c r="K5005" t="s">
        <v>43</v>
      </c>
      <c r="L5005" t="s">
        <v>43</v>
      </c>
      <c r="M5005" t="s">
        <v>43</v>
      </c>
      <c r="N5005" t="s">
        <v>45</v>
      </c>
      <c r="O5005" t="s">
        <v>43</v>
      </c>
      <c r="P5005" t="s">
        <v>43</v>
      </c>
      <c r="Q5005" t="s">
        <v>43</v>
      </c>
      <c r="R5005" t="s">
        <v>43</v>
      </c>
      <c r="S5005" t="s">
        <v>43</v>
      </c>
      <c r="T5005" t="s">
        <v>43</v>
      </c>
      <c r="U5005" t="s">
        <v>43</v>
      </c>
      <c r="V5005" t="s">
        <v>43</v>
      </c>
      <c r="W5005" t="s">
        <v>43</v>
      </c>
      <c r="X5005" t="s">
        <v>43</v>
      </c>
      <c r="Y5005" t="s">
        <v>43</v>
      </c>
      <c r="Z5005" t="s">
        <v>43</v>
      </c>
      <c r="AA5005" t="s">
        <v>43</v>
      </c>
      <c r="AB5005" t="s">
        <v>43</v>
      </c>
      <c r="AC5005" t="s">
        <v>43</v>
      </c>
      <c r="AD5005" t="s">
        <v>43</v>
      </c>
      <c r="AE5005" t="s">
        <v>43</v>
      </c>
      <c r="AF5005" t="s">
        <v>43</v>
      </c>
      <c r="AG5005" t="s">
        <v>43</v>
      </c>
      <c r="AH5005" t="s">
        <v>43</v>
      </c>
      <c r="AI5005" t="s">
        <v>43</v>
      </c>
      <c r="AJ5005" t="s">
        <v>43</v>
      </c>
      <c r="AK5005" t="s">
        <v>43</v>
      </c>
      <c r="AL5005" t="s">
        <v>43</v>
      </c>
      <c r="AM5005" t="s">
        <v>43</v>
      </c>
      <c r="AN5005" t="str">
        <f>HYPERLINK("https://www.google.com/maps?q=10.83228111,79.840271","Open Location")</f>
        <v>Open Location</v>
      </c>
    </row>
    <row r="5006" spans="1:40" x14ac:dyDescent="0.3">
      <c r="A5006" s="1">
        <v>46210.419907407406</v>
      </c>
      <c r="B5006" t="s">
        <v>40</v>
      </c>
      <c r="C5006" t="s">
        <v>41</v>
      </c>
      <c r="D5006" s="1">
        <v>46210.422592592593</v>
      </c>
      <c r="E5006" t="s">
        <v>42</v>
      </c>
      <c r="F5006" t="s">
        <v>43</v>
      </c>
      <c r="G5006" t="s">
        <v>43</v>
      </c>
      <c r="H5006" t="s">
        <v>43</v>
      </c>
      <c r="I5006" t="s">
        <v>2875</v>
      </c>
      <c r="J5006" t="s">
        <v>43</v>
      </c>
      <c r="K5006" t="s">
        <v>43</v>
      </c>
      <c r="L5006" t="s">
        <v>43</v>
      </c>
      <c r="M5006" t="s">
        <v>43</v>
      </c>
      <c r="N5006" t="s">
        <v>45</v>
      </c>
      <c r="O5006" t="s">
        <v>43</v>
      </c>
      <c r="P5006" t="s">
        <v>43</v>
      </c>
      <c r="Q5006" t="s">
        <v>43</v>
      </c>
      <c r="R5006" t="s">
        <v>43</v>
      </c>
      <c r="S5006" t="s">
        <v>43</v>
      </c>
      <c r="T5006" t="s">
        <v>43</v>
      </c>
      <c r="U5006" t="s">
        <v>43</v>
      </c>
      <c r="V5006" t="s">
        <v>43</v>
      </c>
      <c r="W5006" t="s">
        <v>43</v>
      </c>
      <c r="X5006" t="s">
        <v>43</v>
      </c>
      <c r="Y5006" t="s">
        <v>43</v>
      </c>
      <c r="Z5006" t="s">
        <v>43</v>
      </c>
      <c r="AA5006" t="s">
        <v>43</v>
      </c>
      <c r="AB5006" t="s">
        <v>43</v>
      </c>
      <c r="AC5006" t="s">
        <v>43</v>
      </c>
      <c r="AD5006" t="s">
        <v>43</v>
      </c>
      <c r="AE5006" t="s">
        <v>43</v>
      </c>
      <c r="AF5006" t="s">
        <v>43</v>
      </c>
      <c r="AG5006" t="s">
        <v>43</v>
      </c>
      <c r="AH5006" t="s">
        <v>43</v>
      </c>
      <c r="AI5006" t="s">
        <v>43</v>
      </c>
      <c r="AJ5006" t="s">
        <v>43</v>
      </c>
      <c r="AK5006" t="s">
        <v>43</v>
      </c>
      <c r="AL5006" t="s">
        <v>43</v>
      </c>
      <c r="AM5006" t="s">
        <v>43</v>
      </c>
      <c r="AN5006" t="str">
        <f>HYPERLINK("https://www.google.com/maps?q=10.83227444,79.840271","Open Location")</f>
        <v>Open Location</v>
      </c>
    </row>
    <row r="5007" spans="1:40" x14ac:dyDescent="0.3">
      <c r="A5007" s="1">
        <v>46210.419791666667</v>
      </c>
      <c r="B5007" t="s">
        <v>40</v>
      </c>
      <c r="C5007" t="s">
        <v>41</v>
      </c>
      <c r="D5007" s="1">
        <v>46210.422858796293</v>
      </c>
      <c r="E5007" t="s">
        <v>42</v>
      </c>
      <c r="F5007" t="s">
        <v>43</v>
      </c>
      <c r="G5007" t="s">
        <v>43</v>
      </c>
      <c r="H5007" t="s">
        <v>43</v>
      </c>
      <c r="I5007" t="s">
        <v>43</v>
      </c>
      <c r="J5007" t="s">
        <v>43</v>
      </c>
      <c r="K5007" t="s">
        <v>43</v>
      </c>
      <c r="L5007" t="s">
        <v>43</v>
      </c>
      <c r="M5007" t="s">
        <v>43</v>
      </c>
      <c r="N5007" t="s">
        <v>45</v>
      </c>
      <c r="O5007" t="s">
        <v>43</v>
      </c>
      <c r="P5007" t="s">
        <v>43</v>
      </c>
      <c r="Q5007" t="s">
        <v>43</v>
      </c>
      <c r="R5007" t="s">
        <v>43</v>
      </c>
      <c r="S5007" t="s">
        <v>43</v>
      </c>
      <c r="T5007" t="s">
        <v>43</v>
      </c>
      <c r="U5007" t="s">
        <v>43</v>
      </c>
      <c r="V5007" t="s">
        <v>43</v>
      </c>
      <c r="W5007" t="s">
        <v>43</v>
      </c>
      <c r="X5007" t="s">
        <v>43</v>
      </c>
      <c r="Y5007" t="s">
        <v>43</v>
      </c>
      <c r="Z5007" t="s">
        <v>43</v>
      </c>
      <c r="AA5007" t="s">
        <v>43</v>
      </c>
      <c r="AB5007" t="s">
        <v>43</v>
      </c>
      <c r="AC5007" t="s">
        <v>43</v>
      </c>
      <c r="AD5007" t="s">
        <v>43</v>
      </c>
      <c r="AE5007" t="s">
        <v>43</v>
      </c>
      <c r="AF5007" t="s">
        <v>43</v>
      </c>
      <c r="AG5007" t="s">
        <v>43</v>
      </c>
      <c r="AH5007" t="s">
        <v>43</v>
      </c>
      <c r="AI5007" t="s">
        <v>43</v>
      </c>
      <c r="AJ5007" t="s">
        <v>43</v>
      </c>
      <c r="AK5007" t="s">
        <v>43</v>
      </c>
      <c r="AL5007" t="s">
        <v>43</v>
      </c>
      <c r="AM5007" t="s">
        <v>43</v>
      </c>
      <c r="AN5007" t="s">
        <v>43</v>
      </c>
    </row>
    <row r="5008" spans="1:40" x14ac:dyDescent="0.3">
      <c r="A5008" s="1">
        <v>46210.419675925928</v>
      </c>
      <c r="B5008" t="s">
        <v>40</v>
      </c>
      <c r="C5008" t="s">
        <v>41</v>
      </c>
      <c r="D5008" s="1">
        <v>46210.422384259262</v>
      </c>
      <c r="E5008" t="s">
        <v>42</v>
      </c>
      <c r="F5008" t="s">
        <v>43</v>
      </c>
      <c r="G5008" t="s">
        <v>43</v>
      </c>
      <c r="H5008" t="s">
        <v>43</v>
      </c>
      <c r="I5008" t="s">
        <v>2875</v>
      </c>
      <c r="J5008" t="s">
        <v>43</v>
      </c>
      <c r="K5008" t="s">
        <v>43</v>
      </c>
      <c r="L5008" t="s">
        <v>43</v>
      </c>
      <c r="M5008" t="s">
        <v>43</v>
      </c>
      <c r="N5008" t="s">
        <v>45</v>
      </c>
      <c r="O5008" t="s">
        <v>43</v>
      </c>
      <c r="P5008" t="s">
        <v>43</v>
      </c>
      <c r="Q5008" t="s">
        <v>43</v>
      </c>
      <c r="R5008" t="s">
        <v>43</v>
      </c>
      <c r="S5008" t="s">
        <v>43</v>
      </c>
      <c r="T5008" t="s">
        <v>43</v>
      </c>
      <c r="U5008" t="s">
        <v>43</v>
      </c>
      <c r="V5008" t="s">
        <v>43</v>
      </c>
      <c r="W5008" t="s">
        <v>43</v>
      </c>
      <c r="X5008" t="s">
        <v>43</v>
      </c>
      <c r="Y5008" t="s">
        <v>43</v>
      </c>
      <c r="Z5008" t="s">
        <v>43</v>
      </c>
      <c r="AA5008" t="s">
        <v>43</v>
      </c>
      <c r="AB5008" t="s">
        <v>43</v>
      </c>
      <c r="AC5008" t="s">
        <v>43</v>
      </c>
      <c r="AD5008" t="s">
        <v>43</v>
      </c>
      <c r="AE5008" t="s">
        <v>43</v>
      </c>
      <c r="AF5008" t="s">
        <v>43</v>
      </c>
      <c r="AG5008" t="s">
        <v>43</v>
      </c>
      <c r="AH5008" t="s">
        <v>43</v>
      </c>
      <c r="AI5008" t="s">
        <v>43</v>
      </c>
      <c r="AJ5008" t="s">
        <v>43</v>
      </c>
      <c r="AK5008" t="s">
        <v>43</v>
      </c>
      <c r="AL5008" t="s">
        <v>43</v>
      </c>
      <c r="AM5008" t="s">
        <v>43</v>
      </c>
      <c r="AN5008" t="str">
        <f>HYPERLINK("https://www.google.com/maps?q=10.83227444,79.840271","Open Location")</f>
        <v>Open Location</v>
      </c>
    </row>
    <row r="5009" spans="1:40" x14ac:dyDescent="0.3">
      <c r="A5009" s="1">
        <v>46210.419560185182</v>
      </c>
      <c r="B5009" t="s">
        <v>40</v>
      </c>
      <c r="C5009" t="s">
        <v>41</v>
      </c>
      <c r="D5009" s="1">
        <v>46210.422453703701</v>
      </c>
      <c r="E5009" t="s">
        <v>42</v>
      </c>
      <c r="F5009" t="s">
        <v>43</v>
      </c>
      <c r="G5009" t="s">
        <v>43</v>
      </c>
      <c r="H5009" t="s">
        <v>43</v>
      </c>
      <c r="I5009" t="s">
        <v>2876</v>
      </c>
      <c r="J5009" t="s">
        <v>43</v>
      </c>
      <c r="K5009" t="s">
        <v>43</v>
      </c>
      <c r="L5009" t="s">
        <v>43</v>
      </c>
      <c r="M5009" t="s">
        <v>43</v>
      </c>
      <c r="N5009" t="s">
        <v>45</v>
      </c>
      <c r="O5009" t="s">
        <v>43</v>
      </c>
      <c r="P5009" t="s">
        <v>43</v>
      </c>
      <c r="Q5009" t="s">
        <v>43</v>
      </c>
      <c r="R5009" t="s">
        <v>43</v>
      </c>
      <c r="S5009" t="s">
        <v>43</v>
      </c>
      <c r="T5009" t="s">
        <v>43</v>
      </c>
      <c r="U5009" t="s">
        <v>43</v>
      </c>
      <c r="V5009" t="s">
        <v>43</v>
      </c>
      <c r="W5009" t="s">
        <v>43</v>
      </c>
      <c r="X5009" t="s">
        <v>43</v>
      </c>
      <c r="Y5009" t="s">
        <v>43</v>
      </c>
      <c r="Z5009" t="s">
        <v>43</v>
      </c>
      <c r="AA5009" t="s">
        <v>43</v>
      </c>
      <c r="AB5009" t="s">
        <v>43</v>
      </c>
      <c r="AC5009" t="s">
        <v>43</v>
      </c>
      <c r="AD5009" t="s">
        <v>43</v>
      </c>
      <c r="AE5009" t="s">
        <v>43</v>
      </c>
      <c r="AF5009" t="s">
        <v>43</v>
      </c>
      <c r="AG5009" t="s">
        <v>43</v>
      </c>
      <c r="AH5009" t="s">
        <v>43</v>
      </c>
      <c r="AI5009" t="s">
        <v>43</v>
      </c>
      <c r="AJ5009" t="s">
        <v>43</v>
      </c>
      <c r="AK5009" t="s">
        <v>43</v>
      </c>
      <c r="AL5009" t="s">
        <v>43</v>
      </c>
      <c r="AM5009" t="s">
        <v>43</v>
      </c>
      <c r="AN5009" t="str">
        <f>HYPERLINK("https://www.google.com/maps?q=10.83227634,79.840271","Open Location")</f>
        <v>Open Location</v>
      </c>
    </row>
    <row r="5010" spans="1:40" x14ac:dyDescent="0.3">
      <c r="A5010" s="1">
        <v>46210.419444444444</v>
      </c>
      <c r="B5010" t="s">
        <v>40</v>
      </c>
      <c r="C5010" t="s">
        <v>41</v>
      </c>
      <c r="D5010" s="1">
        <v>46210.4221875</v>
      </c>
      <c r="E5010" t="s">
        <v>42</v>
      </c>
      <c r="F5010" t="s">
        <v>43</v>
      </c>
      <c r="G5010" t="s">
        <v>43</v>
      </c>
      <c r="H5010" t="s">
        <v>43</v>
      </c>
      <c r="I5010" t="s">
        <v>2877</v>
      </c>
      <c r="J5010" t="s">
        <v>43</v>
      </c>
      <c r="K5010" t="s">
        <v>43</v>
      </c>
      <c r="L5010" t="s">
        <v>43</v>
      </c>
      <c r="M5010" t="s">
        <v>43</v>
      </c>
      <c r="N5010" t="s">
        <v>45</v>
      </c>
      <c r="O5010" t="s">
        <v>43</v>
      </c>
      <c r="P5010" t="s">
        <v>43</v>
      </c>
      <c r="Q5010" t="s">
        <v>43</v>
      </c>
      <c r="R5010" t="s">
        <v>43</v>
      </c>
      <c r="S5010" t="s">
        <v>43</v>
      </c>
      <c r="T5010" t="s">
        <v>43</v>
      </c>
      <c r="U5010" t="s">
        <v>43</v>
      </c>
      <c r="V5010" t="s">
        <v>43</v>
      </c>
      <c r="W5010" t="s">
        <v>43</v>
      </c>
      <c r="X5010" t="s">
        <v>43</v>
      </c>
      <c r="Y5010" t="s">
        <v>43</v>
      </c>
      <c r="Z5010" t="s">
        <v>43</v>
      </c>
      <c r="AA5010" t="s">
        <v>43</v>
      </c>
      <c r="AB5010" t="s">
        <v>43</v>
      </c>
      <c r="AC5010" t="s">
        <v>43</v>
      </c>
      <c r="AD5010" t="s">
        <v>43</v>
      </c>
      <c r="AE5010" t="s">
        <v>43</v>
      </c>
      <c r="AF5010" t="s">
        <v>43</v>
      </c>
      <c r="AG5010" t="s">
        <v>43</v>
      </c>
      <c r="AH5010" t="s">
        <v>43</v>
      </c>
      <c r="AI5010" t="s">
        <v>43</v>
      </c>
      <c r="AJ5010" t="s">
        <v>43</v>
      </c>
      <c r="AK5010" t="s">
        <v>43</v>
      </c>
      <c r="AL5010" t="s">
        <v>43</v>
      </c>
      <c r="AM5010" t="s">
        <v>43</v>
      </c>
      <c r="AN5010" t="str">
        <f>HYPERLINK("https://www.google.com/maps?q=10.83227539,79.840271","Open Location")</f>
        <v>Open Location</v>
      </c>
    </row>
    <row r="5011" spans="1:40" x14ac:dyDescent="0.3">
      <c r="A5011" s="1">
        <v>46210.419328703705</v>
      </c>
      <c r="B5011" t="s">
        <v>40</v>
      </c>
      <c r="C5011" t="s">
        <v>41</v>
      </c>
      <c r="D5011" s="1">
        <v>46210.422453703701</v>
      </c>
      <c r="E5011" t="s">
        <v>42</v>
      </c>
      <c r="F5011" t="s">
        <v>43</v>
      </c>
      <c r="G5011" t="s">
        <v>43</v>
      </c>
      <c r="H5011" t="s">
        <v>43</v>
      </c>
      <c r="I5011" t="s">
        <v>2878</v>
      </c>
      <c r="J5011" t="s">
        <v>43</v>
      </c>
      <c r="K5011" t="s">
        <v>43</v>
      </c>
      <c r="L5011" t="s">
        <v>43</v>
      </c>
      <c r="M5011" t="s">
        <v>43</v>
      </c>
      <c r="N5011" t="s">
        <v>45</v>
      </c>
      <c r="O5011" t="s">
        <v>43</v>
      </c>
      <c r="P5011" t="s">
        <v>43</v>
      </c>
      <c r="Q5011" t="s">
        <v>43</v>
      </c>
      <c r="R5011" t="s">
        <v>43</v>
      </c>
      <c r="S5011" t="s">
        <v>43</v>
      </c>
      <c r="T5011" t="s">
        <v>43</v>
      </c>
      <c r="U5011" t="s">
        <v>43</v>
      </c>
      <c r="V5011" t="s">
        <v>43</v>
      </c>
      <c r="W5011" t="s">
        <v>43</v>
      </c>
      <c r="X5011" t="s">
        <v>43</v>
      </c>
      <c r="Y5011" t="s">
        <v>43</v>
      </c>
      <c r="Z5011" t="s">
        <v>43</v>
      </c>
      <c r="AA5011" t="s">
        <v>43</v>
      </c>
      <c r="AB5011" t="s">
        <v>43</v>
      </c>
      <c r="AC5011" t="s">
        <v>43</v>
      </c>
      <c r="AD5011" t="s">
        <v>43</v>
      </c>
      <c r="AE5011" t="s">
        <v>43</v>
      </c>
      <c r="AF5011" t="s">
        <v>43</v>
      </c>
      <c r="AG5011" t="s">
        <v>43</v>
      </c>
      <c r="AH5011" t="s">
        <v>43</v>
      </c>
      <c r="AI5011" t="s">
        <v>43</v>
      </c>
      <c r="AJ5011" t="s">
        <v>43</v>
      </c>
      <c r="AK5011" t="s">
        <v>43</v>
      </c>
      <c r="AL5011" t="s">
        <v>43</v>
      </c>
      <c r="AM5011" t="s">
        <v>43</v>
      </c>
      <c r="AN5011" t="str">
        <f>HYPERLINK("https://www.google.com/maps?q=10.83226871,79.840271","Open Location")</f>
        <v>Open Location</v>
      </c>
    </row>
    <row r="5012" spans="1:40" x14ac:dyDescent="0.3">
      <c r="A5012" s="1">
        <v>46210.419212962966</v>
      </c>
      <c r="B5012" t="s">
        <v>40</v>
      </c>
      <c r="C5012" t="s">
        <v>41</v>
      </c>
      <c r="D5012" s="1">
        <v>46210.422013888892</v>
      </c>
      <c r="E5012" t="s">
        <v>42</v>
      </c>
      <c r="F5012" t="s">
        <v>43</v>
      </c>
      <c r="G5012" t="s">
        <v>43</v>
      </c>
      <c r="H5012" t="s">
        <v>43</v>
      </c>
      <c r="I5012" t="s">
        <v>2879</v>
      </c>
      <c r="J5012" t="s">
        <v>43</v>
      </c>
      <c r="K5012" t="s">
        <v>43</v>
      </c>
      <c r="L5012" t="s">
        <v>43</v>
      </c>
      <c r="M5012" t="s">
        <v>43</v>
      </c>
      <c r="N5012" t="s">
        <v>45</v>
      </c>
      <c r="O5012" t="s">
        <v>43</v>
      </c>
      <c r="P5012" t="s">
        <v>43</v>
      </c>
      <c r="Q5012" t="s">
        <v>43</v>
      </c>
      <c r="R5012" t="s">
        <v>43</v>
      </c>
      <c r="S5012" t="s">
        <v>43</v>
      </c>
      <c r="T5012" t="s">
        <v>43</v>
      </c>
      <c r="U5012" t="s">
        <v>43</v>
      </c>
      <c r="V5012" t="s">
        <v>43</v>
      </c>
      <c r="W5012" t="s">
        <v>43</v>
      </c>
      <c r="X5012" t="s">
        <v>43</v>
      </c>
      <c r="Y5012" t="s">
        <v>43</v>
      </c>
      <c r="Z5012" t="s">
        <v>43</v>
      </c>
      <c r="AA5012" t="s">
        <v>43</v>
      </c>
      <c r="AB5012" t="s">
        <v>43</v>
      </c>
      <c r="AC5012" t="s">
        <v>43</v>
      </c>
      <c r="AD5012" t="s">
        <v>43</v>
      </c>
      <c r="AE5012" t="s">
        <v>43</v>
      </c>
      <c r="AF5012" t="s">
        <v>43</v>
      </c>
      <c r="AG5012" t="s">
        <v>43</v>
      </c>
      <c r="AH5012" t="s">
        <v>43</v>
      </c>
      <c r="AI5012" t="s">
        <v>43</v>
      </c>
      <c r="AJ5012" t="s">
        <v>43</v>
      </c>
      <c r="AK5012" t="s">
        <v>43</v>
      </c>
      <c r="AL5012" t="s">
        <v>43</v>
      </c>
      <c r="AM5012" t="s">
        <v>43</v>
      </c>
      <c r="AN5012" t="str">
        <f>HYPERLINK("https://www.google.com/maps?q=10.83226204,79.84026337","Open Location")</f>
        <v>Open Location</v>
      </c>
    </row>
    <row r="5013" spans="1:40" x14ac:dyDescent="0.3">
      <c r="A5013" s="1">
        <v>46210.41909722222</v>
      </c>
      <c r="B5013" t="s">
        <v>40</v>
      </c>
      <c r="C5013" t="s">
        <v>41</v>
      </c>
      <c r="D5013" s="1">
        <v>46210.422013888892</v>
      </c>
      <c r="E5013" t="s">
        <v>42</v>
      </c>
      <c r="F5013" t="s">
        <v>43</v>
      </c>
      <c r="G5013" t="s">
        <v>43</v>
      </c>
      <c r="H5013" t="s">
        <v>43</v>
      </c>
      <c r="I5013" t="s">
        <v>43</v>
      </c>
      <c r="J5013" t="s">
        <v>43</v>
      </c>
      <c r="K5013" t="s">
        <v>43</v>
      </c>
      <c r="L5013" t="s">
        <v>43</v>
      </c>
      <c r="M5013" t="s">
        <v>43</v>
      </c>
      <c r="N5013" t="s">
        <v>45</v>
      </c>
      <c r="O5013" t="s">
        <v>43</v>
      </c>
      <c r="P5013" t="s">
        <v>43</v>
      </c>
      <c r="Q5013" t="s">
        <v>43</v>
      </c>
      <c r="R5013" t="s">
        <v>43</v>
      </c>
      <c r="S5013" t="s">
        <v>43</v>
      </c>
      <c r="T5013" t="s">
        <v>43</v>
      </c>
      <c r="U5013" t="s">
        <v>43</v>
      </c>
      <c r="V5013" t="s">
        <v>43</v>
      </c>
      <c r="W5013" t="s">
        <v>43</v>
      </c>
      <c r="X5013" t="s">
        <v>43</v>
      </c>
      <c r="Y5013" t="s">
        <v>43</v>
      </c>
      <c r="Z5013" t="s">
        <v>43</v>
      </c>
      <c r="AA5013" t="s">
        <v>43</v>
      </c>
      <c r="AB5013" t="s">
        <v>43</v>
      </c>
      <c r="AC5013" t="s">
        <v>43</v>
      </c>
      <c r="AD5013" t="s">
        <v>43</v>
      </c>
      <c r="AE5013" t="s">
        <v>43</v>
      </c>
      <c r="AF5013" t="s">
        <v>43</v>
      </c>
      <c r="AG5013" t="s">
        <v>43</v>
      </c>
      <c r="AH5013" t="s">
        <v>43</v>
      </c>
      <c r="AI5013" t="s">
        <v>43</v>
      </c>
      <c r="AJ5013" t="s">
        <v>43</v>
      </c>
      <c r="AK5013" t="s">
        <v>43</v>
      </c>
      <c r="AL5013" t="s">
        <v>43</v>
      </c>
      <c r="AM5013" t="s">
        <v>43</v>
      </c>
      <c r="AN5013" t="s">
        <v>43</v>
      </c>
    </row>
    <row r="5014" spans="1:40" x14ac:dyDescent="0.3">
      <c r="A5014" s="1">
        <v>46210.418981481482</v>
      </c>
      <c r="B5014" t="s">
        <v>40</v>
      </c>
      <c r="C5014" t="s">
        <v>41</v>
      </c>
      <c r="D5014" s="1">
        <v>46210.421817129631</v>
      </c>
      <c r="E5014" t="s">
        <v>42</v>
      </c>
      <c r="F5014" t="s">
        <v>43</v>
      </c>
      <c r="G5014" t="s">
        <v>43</v>
      </c>
      <c r="H5014" t="s">
        <v>43</v>
      </c>
      <c r="I5014" t="s">
        <v>2880</v>
      </c>
      <c r="J5014" t="s">
        <v>43</v>
      </c>
      <c r="K5014" t="s">
        <v>43</v>
      </c>
      <c r="L5014" t="s">
        <v>43</v>
      </c>
      <c r="M5014" t="s">
        <v>43</v>
      </c>
      <c r="N5014" t="s">
        <v>45</v>
      </c>
      <c r="O5014" t="s">
        <v>43</v>
      </c>
      <c r="P5014" t="s">
        <v>43</v>
      </c>
      <c r="Q5014" t="s">
        <v>43</v>
      </c>
      <c r="R5014" t="s">
        <v>43</v>
      </c>
      <c r="S5014" t="s">
        <v>43</v>
      </c>
      <c r="T5014" t="s">
        <v>43</v>
      </c>
      <c r="U5014" t="s">
        <v>43</v>
      </c>
      <c r="V5014" t="s">
        <v>43</v>
      </c>
      <c r="W5014" t="s">
        <v>43</v>
      </c>
      <c r="X5014" t="s">
        <v>43</v>
      </c>
      <c r="Y5014" t="s">
        <v>43</v>
      </c>
      <c r="Z5014" t="s">
        <v>43</v>
      </c>
      <c r="AA5014" t="s">
        <v>43</v>
      </c>
      <c r="AB5014" t="s">
        <v>43</v>
      </c>
      <c r="AC5014" t="s">
        <v>43</v>
      </c>
      <c r="AD5014" t="s">
        <v>43</v>
      </c>
      <c r="AE5014" t="s">
        <v>43</v>
      </c>
      <c r="AF5014" t="s">
        <v>43</v>
      </c>
      <c r="AG5014" t="s">
        <v>43</v>
      </c>
      <c r="AH5014" t="s">
        <v>43</v>
      </c>
      <c r="AI5014" t="s">
        <v>43</v>
      </c>
      <c r="AJ5014" t="s">
        <v>43</v>
      </c>
      <c r="AK5014" t="s">
        <v>43</v>
      </c>
      <c r="AL5014" t="s">
        <v>43</v>
      </c>
      <c r="AM5014" t="s">
        <v>43</v>
      </c>
      <c r="AN5014" t="str">
        <f>HYPERLINK("https://www.google.com/maps?q=10.83225918,79.84026337","Open Location")</f>
        <v>Open Location</v>
      </c>
    </row>
    <row r="5015" spans="1:40" x14ac:dyDescent="0.3">
      <c r="A5015" s="1">
        <v>46210.418865740743</v>
      </c>
      <c r="B5015" t="s">
        <v>40</v>
      </c>
      <c r="C5015" t="s">
        <v>41</v>
      </c>
      <c r="D5015" s="1">
        <v>46210.422071759262</v>
      </c>
      <c r="E5015" t="s">
        <v>42</v>
      </c>
      <c r="F5015" t="s">
        <v>43</v>
      </c>
      <c r="G5015" t="s">
        <v>43</v>
      </c>
      <c r="H5015" t="s">
        <v>43</v>
      </c>
      <c r="I5015" t="s">
        <v>2668</v>
      </c>
      <c r="J5015" t="s">
        <v>43</v>
      </c>
      <c r="K5015" t="s">
        <v>43</v>
      </c>
      <c r="L5015" t="s">
        <v>43</v>
      </c>
      <c r="M5015" t="s">
        <v>43</v>
      </c>
      <c r="N5015" t="s">
        <v>45</v>
      </c>
      <c r="O5015" t="s">
        <v>43</v>
      </c>
      <c r="P5015" t="s">
        <v>43</v>
      </c>
      <c r="Q5015" t="s">
        <v>43</v>
      </c>
      <c r="R5015" t="s">
        <v>43</v>
      </c>
      <c r="S5015" t="s">
        <v>43</v>
      </c>
      <c r="T5015" t="s">
        <v>43</v>
      </c>
      <c r="U5015" t="s">
        <v>43</v>
      </c>
      <c r="V5015" t="s">
        <v>43</v>
      </c>
      <c r="W5015" t="s">
        <v>43</v>
      </c>
      <c r="X5015" t="s">
        <v>43</v>
      </c>
      <c r="Y5015" t="s">
        <v>43</v>
      </c>
      <c r="Z5015" t="s">
        <v>43</v>
      </c>
      <c r="AA5015" t="s">
        <v>43</v>
      </c>
      <c r="AB5015" t="s">
        <v>43</v>
      </c>
      <c r="AC5015" t="s">
        <v>43</v>
      </c>
      <c r="AD5015" t="s">
        <v>43</v>
      </c>
      <c r="AE5015" t="s">
        <v>43</v>
      </c>
      <c r="AF5015" t="s">
        <v>43</v>
      </c>
      <c r="AG5015" t="s">
        <v>43</v>
      </c>
      <c r="AH5015" t="s">
        <v>43</v>
      </c>
      <c r="AI5015" t="s">
        <v>43</v>
      </c>
      <c r="AJ5015" t="s">
        <v>43</v>
      </c>
      <c r="AK5015" t="s">
        <v>43</v>
      </c>
      <c r="AL5015" t="s">
        <v>43</v>
      </c>
      <c r="AM5015" t="s">
        <v>43</v>
      </c>
      <c r="AN5015" t="str">
        <f>HYPERLINK("https://www.google.com/maps?q=10.83225441,79.84024811","Open Location")</f>
        <v>Open Location</v>
      </c>
    </row>
    <row r="5016" spans="1:40" x14ac:dyDescent="0.3">
      <c r="A5016" s="1">
        <v>46210.418749999997</v>
      </c>
      <c r="B5016" t="s">
        <v>40</v>
      </c>
      <c r="C5016" t="s">
        <v>41</v>
      </c>
      <c r="D5016" s="1">
        <v>46210.421678240738</v>
      </c>
      <c r="E5016" t="s">
        <v>42</v>
      </c>
      <c r="F5016" t="s">
        <v>43</v>
      </c>
      <c r="G5016" t="s">
        <v>43</v>
      </c>
      <c r="H5016" t="s">
        <v>43</v>
      </c>
      <c r="I5016" t="s">
        <v>2844</v>
      </c>
      <c r="J5016" t="s">
        <v>43</v>
      </c>
      <c r="K5016" t="s">
        <v>43</v>
      </c>
      <c r="L5016" t="s">
        <v>43</v>
      </c>
      <c r="M5016" t="s">
        <v>43</v>
      </c>
      <c r="N5016" t="s">
        <v>45</v>
      </c>
      <c r="O5016" t="s">
        <v>43</v>
      </c>
      <c r="P5016" t="s">
        <v>43</v>
      </c>
      <c r="Q5016" t="s">
        <v>43</v>
      </c>
      <c r="R5016" t="s">
        <v>43</v>
      </c>
      <c r="S5016" t="s">
        <v>43</v>
      </c>
      <c r="T5016" t="s">
        <v>43</v>
      </c>
      <c r="U5016" t="s">
        <v>43</v>
      </c>
      <c r="V5016" t="s">
        <v>43</v>
      </c>
      <c r="W5016" t="s">
        <v>43</v>
      </c>
      <c r="X5016" t="s">
        <v>43</v>
      </c>
      <c r="Y5016" t="s">
        <v>43</v>
      </c>
      <c r="Z5016" t="s">
        <v>43</v>
      </c>
      <c r="AA5016" t="s">
        <v>43</v>
      </c>
      <c r="AB5016" t="s">
        <v>43</v>
      </c>
      <c r="AC5016" t="s">
        <v>43</v>
      </c>
      <c r="AD5016" t="s">
        <v>43</v>
      </c>
      <c r="AE5016" t="s">
        <v>43</v>
      </c>
      <c r="AF5016" t="s">
        <v>43</v>
      </c>
      <c r="AG5016" t="s">
        <v>43</v>
      </c>
      <c r="AH5016" t="s">
        <v>43</v>
      </c>
      <c r="AI5016" t="s">
        <v>43</v>
      </c>
      <c r="AJ5016" t="s">
        <v>43</v>
      </c>
      <c r="AK5016" t="s">
        <v>43</v>
      </c>
      <c r="AL5016" t="s">
        <v>43</v>
      </c>
      <c r="AM5016" t="s">
        <v>43</v>
      </c>
      <c r="AN5016" t="str">
        <f>HYPERLINK("https://www.google.com/maps?q=10.83224869,79.84024048","Open Location")</f>
        <v>Open Location</v>
      </c>
    </row>
    <row r="5017" spans="1:40" x14ac:dyDescent="0.3">
      <c r="A5017" s="1">
        <v>46210.418634259258</v>
      </c>
      <c r="B5017" t="s">
        <v>40</v>
      </c>
      <c r="C5017" t="s">
        <v>41</v>
      </c>
      <c r="D5017" s="1">
        <v>46210.421643518515</v>
      </c>
      <c r="E5017" t="s">
        <v>42</v>
      </c>
      <c r="F5017" t="s">
        <v>43</v>
      </c>
      <c r="G5017" t="s">
        <v>43</v>
      </c>
      <c r="H5017" t="s">
        <v>43</v>
      </c>
      <c r="I5017" t="s">
        <v>2881</v>
      </c>
      <c r="J5017" t="s">
        <v>43</v>
      </c>
      <c r="K5017" t="s">
        <v>43</v>
      </c>
      <c r="L5017" t="s">
        <v>43</v>
      </c>
      <c r="M5017" t="s">
        <v>43</v>
      </c>
      <c r="N5017" t="s">
        <v>45</v>
      </c>
      <c r="O5017" t="s">
        <v>43</v>
      </c>
      <c r="P5017" t="s">
        <v>43</v>
      </c>
      <c r="Q5017" t="s">
        <v>43</v>
      </c>
      <c r="R5017" t="s">
        <v>43</v>
      </c>
      <c r="S5017" t="s">
        <v>43</v>
      </c>
      <c r="T5017" t="s">
        <v>43</v>
      </c>
      <c r="U5017" t="s">
        <v>43</v>
      </c>
      <c r="V5017" t="s">
        <v>43</v>
      </c>
      <c r="W5017" t="s">
        <v>43</v>
      </c>
      <c r="X5017" t="s">
        <v>43</v>
      </c>
      <c r="Y5017" t="s">
        <v>43</v>
      </c>
      <c r="Z5017" t="s">
        <v>43</v>
      </c>
      <c r="AA5017" t="s">
        <v>43</v>
      </c>
      <c r="AB5017" t="s">
        <v>43</v>
      </c>
      <c r="AC5017" t="s">
        <v>43</v>
      </c>
      <c r="AD5017" t="s">
        <v>43</v>
      </c>
      <c r="AE5017" t="s">
        <v>43</v>
      </c>
      <c r="AF5017" t="s">
        <v>43</v>
      </c>
      <c r="AG5017" t="s">
        <v>43</v>
      </c>
      <c r="AH5017" t="s">
        <v>43</v>
      </c>
      <c r="AI5017" t="s">
        <v>43</v>
      </c>
      <c r="AJ5017" t="s">
        <v>43</v>
      </c>
      <c r="AK5017" t="s">
        <v>43</v>
      </c>
      <c r="AL5017" t="s">
        <v>43</v>
      </c>
      <c r="AM5017" t="s">
        <v>43</v>
      </c>
      <c r="AN5017" t="str">
        <f>HYPERLINK("https://www.google.com/maps?q=10.83224964,79.84024811","Open Location")</f>
        <v>Open Location</v>
      </c>
    </row>
    <row r="5018" spans="1:40" x14ac:dyDescent="0.3">
      <c r="A5018" s="1">
        <v>46210.41851851852</v>
      </c>
      <c r="B5018" t="s">
        <v>40</v>
      </c>
      <c r="C5018" t="s">
        <v>41</v>
      </c>
      <c r="D5018" s="1">
        <v>46210.42119212963</v>
      </c>
      <c r="E5018" t="s">
        <v>42</v>
      </c>
      <c r="F5018" t="s">
        <v>43</v>
      </c>
      <c r="G5018" t="s">
        <v>43</v>
      </c>
      <c r="H5018" t="s">
        <v>43</v>
      </c>
      <c r="I5018" t="s">
        <v>2844</v>
      </c>
      <c r="J5018" t="s">
        <v>43</v>
      </c>
      <c r="K5018" t="s">
        <v>43</v>
      </c>
      <c r="L5018" t="s">
        <v>43</v>
      </c>
      <c r="M5018" t="s">
        <v>43</v>
      </c>
      <c r="N5018" t="s">
        <v>45</v>
      </c>
      <c r="O5018" t="s">
        <v>43</v>
      </c>
      <c r="P5018" t="s">
        <v>43</v>
      </c>
      <c r="Q5018" t="s">
        <v>43</v>
      </c>
      <c r="R5018" t="s">
        <v>43</v>
      </c>
      <c r="S5018" t="s">
        <v>43</v>
      </c>
      <c r="T5018" t="s">
        <v>43</v>
      </c>
      <c r="U5018" t="s">
        <v>43</v>
      </c>
      <c r="V5018" t="s">
        <v>43</v>
      </c>
      <c r="W5018" t="s">
        <v>43</v>
      </c>
      <c r="X5018" t="s">
        <v>43</v>
      </c>
      <c r="Y5018" t="s">
        <v>43</v>
      </c>
      <c r="Z5018" t="s">
        <v>43</v>
      </c>
      <c r="AA5018" t="s">
        <v>43</v>
      </c>
      <c r="AB5018" t="s">
        <v>43</v>
      </c>
      <c r="AC5018" t="s">
        <v>43</v>
      </c>
      <c r="AD5018" t="s">
        <v>43</v>
      </c>
      <c r="AE5018" t="s">
        <v>43</v>
      </c>
      <c r="AF5018" t="s">
        <v>43</v>
      </c>
      <c r="AG5018" t="s">
        <v>43</v>
      </c>
      <c r="AH5018" t="s">
        <v>43</v>
      </c>
      <c r="AI5018" t="s">
        <v>43</v>
      </c>
      <c r="AJ5018" t="s">
        <v>43</v>
      </c>
      <c r="AK5018" t="s">
        <v>43</v>
      </c>
      <c r="AL5018" t="s">
        <v>43</v>
      </c>
      <c r="AM5018" t="s">
        <v>43</v>
      </c>
      <c r="AN5018" t="str">
        <f>HYPERLINK("https://www.google.com/maps?q=10.83224869,79.84024048","Open Location")</f>
        <v>Open Location</v>
      </c>
    </row>
    <row r="5019" spans="1:40" x14ac:dyDescent="0.3">
      <c r="A5019" s="1">
        <v>46210.418402777781</v>
      </c>
      <c r="B5019" t="s">
        <v>40</v>
      </c>
      <c r="C5019" t="s">
        <v>41</v>
      </c>
      <c r="D5019" s="1">
        <v>46210.421099537038</v>
      </c>
      <c r="E5019" t="s">
        <v>42</v>
      </c>
      <c r="F5019" t="s">
        <v>43</v>
      </c>
      <c r="G5019" t="s">
        <v>43</v>
      </c>
      <c r="H5019" t="s">
        <v>43</v>
      </c>
      <c r="I5019" t="s">
        <v>43</v>
      </c>
      <c r="J5019" t="s">
        <v>43</v>
      </c>
      <c r="K5019" t="s">
        <v>43</v>
      </c>
      <c r="L5019" t="s">
        <v>43</v>
      </c>
      <c r="M5019" t="s">
        <v>43</v>
      </c>
      <c r="N5019" t="s">
        <v>45</v>
      </c>
      <c r="O5019" t="s">
        <v>43</v>
      </c>
      <c r="P5019" t="s">
        <v>43</v>
      </c>
      <c r="Q5019" t="s">
        <v>43</v>
      </c>
      <c r="R5019" t="s">
        <v>43</v>
      </c>
      <c r="S5019" t="s">
        <v>43</v>
      </c>
      <c r="T5019" t="s">
        <v>43</v>
      </c>
      <c r="U5019" t="s">
        <v>43</v>
      </c>
      <c r="V5019" t="s">
        <v>43</v>
      </c>
      <c r="W5019" t="s">
        <v>43</v>
      </c>
      <c r="X5019" t="s">
        <v>43</v>
      </c>
      <c r="Y5019" t="s">
        <v>43</v>
      </c>
      <c r="Z5019" t="s">
        <v>43</v>
      </c>
      <c r="AA5019" t="s">
        <v>43</v>
      </c>
      <c r="AB5019" t="s">
        <v>43</v>
      </c>
      <c r="AC5019" t="s">
        <v>43</v>
      </c>
      <c r="AD5019" t="s">
        <v>43</v>
      </c>
      <c r="AE5019" t="s">
        <v>43</v>
      </c>
      <c r="AF5019" t="s">
        <v>43</v>
      </c>
      <c r="AG5019" t="s">
        <v>43</v>
      </c>
      <c r="AH5019" t="s">
        <v>43</v>
      </c>
      <c r="AI5019" t="s">
        <v>43</v>
      </c>
      <c r="AJ5019" t="s">
        <v>43</v>
      </c>
      <c r="AK5019" t="s">
        <v>43</v>
      </c>
      <c r="AL5019" t="s">
        <v>43</v>
      </c>
      <c r="AM5019" t="s">
        <v>43</v>
      </c>
      <c r="AN5019" t="s">
        <v>43</v>
      </c>
    </row>
    <row r="5020" spans="1:40" x14ac:dyDescent="0.3">
      <c r="A5020" s="1">
        <v>46210.418287037035</v>
      </c>
      <c r="B5020" t="s">
        <v>40</v>
      </c>
      <c r="C5020" t="s">
        <v>41</v>
      </c>
      <c r="D5020" s="1">
        <v>46210.421134259261</v>
      </c>
      <c r="E5020" t="s">
        <v>42</v>
      </c>
      <c r="F5020" t="s">
        <v>43</v>
      </c>
      <c r="G5020" t="s">
        <v>43</v>
      </c>
      <c r="H5020" t="s">
        <v>43</v>
      </c>
      <c r="I5020" t="s">
        <v>2803</v>
      </c>
      <c r="J5020" t="s">
        <v>43</v>
      </c>
      <c r="K5020" t="s">
        <v>43</v>
      </c>
      <c r="L5020" t="s">
        <v>43</v>
      </c>
      <c r="M5020" t="s">
        <v>43</v>
      </c>
      <c r="N5020" t="s">
        <v>45</v>
      </c>
      <c r="O5020" t="s">
        <v>43</v>
      </c>
      <c r="P5020" t="s">
        <v>43</v>
      </c>
      <c r="Q5020" t="s">
        <v>43</v>
      </c>
      <c r="R5020" t="s">
        <v>43</v>
      </c>
      <c r="S5020" t="s">
        <v>43</v>
      </c>
      <c r="T5020" t="s">
        <v>43</v>
      </c>
      <c r="U5020" t="s">
        <v>43</v>
      </c>
      <c r="V5020" t="s">
        <v>43</v>
      </c>
      <c r="W5020" t="s">
        <v>43</v>
      </c>
      <c r="X5020" t="s">
        <v>43</v>
      </c>
      <c r="Y5020" t="s">
        <v>43</v>
      </c>
      <c r="Z5020" t="s">
        <v>43</v>
      </c>
      <c r="AA5020" t="s">
        <v>43</v>
      </c>
      <c r="AB5020" t="s">
        <v>43</v>
      </c>
      <c r="AC5020" t="s">
        <v>43</v>
      </c>
      <c r="AD5020" t="s">
        <v>43</v>
      </c>
      <c r="AE5020" t="s">
        <v>43</v>
      </c>
      <c r="AF5020" t="s">
        <v>43</v>
      </c>
      <c r="AG5020" t="s">
        <v>43</v>
      </c>
      <c r="AH5020" t="s">
        <v>43</v>
      </c>
      <c r="AI5020" t="s">
        <v>43</v>
      </c>
      <c r="AJ5020" t="s">
        <v>43</v>
      </c>
      <c r="AK5020" t="s">
        <v>43</v>
      </c>
      <c r="AL5020" t="s">
        <v>43</v>
      </c>
      <c r="AM5020" t="s">
        <v>43</v>
      </c>
      <c r="AN5020" t="str">
        <f>HYPERLINK("https://www.google.com/maps?q=10.8322506,79.84024811","Open Location")</f>
        <v>Open Location</v>
      </c>
    </row>
    <row r="5021" spans="1:40" x14ac:dyDescent="0.3">
      <c r="A5021" s="1">
        <v>46210.418171296296</v>
      </c>
      <c r="B5021" t="s">
        <v>40</v>
      </c>
      <c r="C5021" t="s">
        <v>41</v>
      </c>
      <c r="D5021" s="1">
        <v>46210.42119212963</v>
      </c>
      <c r="E5021" t="s">
        <v>42</v>
      </c>
      <c r="F5021" t="s">
        <v>43</v>
      </c>
      <c r="G5021" t="s">
        <v>43</v>
      </c>
      <c r="H5021" t="s">
        <v>43</v>
      </c>
      <c r="I5021" t="s">
        <v>2668</v>
      </c>
      <c r="J5021" t="s">
        <v>43</v>
      </c>
      <c r="K5021" t="s">
        <v>43</v>
      </c>
      <c r="L5021" t="s">
        <v>43</v>
      </c>
      <c r="M5021" t="s">
        <v>43</v>
      </c>
      <c r="N5021" t="s">
        <v>45</v>
      </c>
      <c r="O5021" t="s">
        <v>43</v>
      </c>
      <c r="P5021" t="s">
        <v>43</v>
      </c>
      <c r="Q5021" t="s">
        <v>43</v>
      </c>
      <c r="R5021" t="s">
        <v>43</v>
      </c>
      <c r="S5021" t="s">
        <v>43</v>
      </c>
      <c r="T5021" t="s">
        <v>43</v>
      </c>
      <c r="U5021" t="s">
        <v>43</v>
      </c>
      <c r="V5021" t="s">
        <v>43</v>
      </c>
      <c r="W5021" t="s">
        <v>43</v>
      </c>
      <c r="X5021" t="s">
        <v>43</v>
      </c>
      <c r="Y5021" t="s">
        <v>43</v>
      </c>
      <c r="Z5021" t="s">
        <v>43</v>
      </c>
      <c r="AA5021" t="s">
        <v>43</v>
      </c>
      <c r="AB5021" t="s">
        <v>43</v>
      </c>
      <c r="AC5021" t="s">
        <v>43</v>
      </c>
      <c r="AD5021" t="s">
        <v>43</v>
      </c>
      <c r="AE5021" t="s">
        <v>43</v>
      </c>
      <c r="AF5021" t="s">
        <v>43</v>
      </c>
      <c r="AG5021" t="s">
        <v>43</v>
      </c>
      <c r="AH5021" t="s">
        <v>43</v>
      </c>
      <c r="AI5021" t="s">
        <v>43</v>
      </c>
      <c r="AJ5021" t="s">
        <v>43</v>
      </c>
      <c r="AK5021" t="s">
        <v>43</v>
      </c>
      <c r="AL5021" t="s">
        <v>43</v>
      </c>
      <c r="AM5021" t="s">
        <v>43</v>
      </c>
      <c r="AN5021" t="str">
        <f>HYPERLINK("https://www.google.com/maps?q=10.83225441,79.84024811","Open Location")</f>
        <v>Open Location</v>
      </c>
    </row>
    <row r="5022" spans="1:40" x14ac:dyDescent="0.3">
      <c r="A5022" s="1">
        <v>46210.418055555558</v>
      </c>
      <c r="B5022" t="s">
        <v>40</v>
      </c>
      <c r="C5022" t="s">
        <v>41</v>
      </c>
      <c r="D5022" s="1">
        <v>46210.420717592591</v>
      </c>
      <c r="E5022" t="s">
        <v>42</v>
      </c>
      <c r="F5022" t="s">
        <v>43</v>
      </c>
      <c r="G5022" t="s">
        <v>43</v>
      </c>
      <c r="H5022" t="s">
        <v>43</v>
      </c>
      <c r="I5022" t="s">
        <v>2807</v>
      </c>
      <c r="J5022" t="s">
        <v>43</v>
      </c>
      <c r="K5022" t="s">
        <v>43</v>
      </c>
      <c r="L5022" t="s">
        <v>43</v>
      </c>
      <c r="M5022" t="s">
        <v>43</v>
      </c>
      <c r="N5022" t="s">
        <v>45</v>
      </c>
      <c r="O5022" t="s">
        <v>43</v>
      </c>
      <c r="P5022" t="s">
        <v>43</v>
      </c>
      <c r="Q5022" t="s">
        <v>43</v>
      </c>
      <c r="R5022" t="s">
        <v>43</v>
      </c>
      <c r="S5022" t="s">
        <v>43</v>
      </c>
      <c r="T5022" t="s">
        <v>43</v>
      </c>
      <c r="U5022" t="s">
        <v>43</v>
      </c>
      <c r="V5022" t="s">
        <v>43</v>
      </c>
      <c r="W5022" t="s">
        <v>43</v>
      </c>
      <c r="X5022" t="s">
        <v>43</v>
      </c>
      <c r="Y5022" t="s">
        <v>43</v>
      </c>
      <c r="Z5022" t="s">
        <v>43</v>
      </c>
      <c r="AA5022" t="s">
        <v>43</v>
      </c>
      <c r="AB5022" t="s">
        <v>43</v>
      </c>
      <c r="AC5022" t="s">
        <v>43</v>
      </c>
      <c r="AD5022" t="s">
        <v>43</v>
      </c>
      <c r="AE5022" t="s">
        <v>43</v>
      </c>
      <c r="AF5022" t="s">
        <v>43</v>
      </c>
      <c r="AG5022" t="s">
        <v>43</v>
      </c>
      <c r="AH5022" t="s">
        <v>43</v>
      </c>
      <c r="AI5022" t="s">
        <v>43</v>
      </c>
      <c r="AJ5022" t="s">
        <v>43</v>
      </c>
      <c r="AK5022" t="s">
        <v>43</v>
      </c>
      <c r="AL5022" t="s">
        <v>43</v>
      </c>
      <c r="AM5022" t="s">
        <v>43</v>
      </c>
      <c r="AN5022" t="str">
        <f>HYPERLINK("https://www.google.com/maps?q=10.83225632,79.84024048","Open Location")</f>
        <v>Open Location</v>
      </c>
    </row>
    <row r="5023" spans="1:40" x14ac:dyDescent="0.3">
      <c r="A5023" s="1">
        <v>46210.417939814812</v>
      </c>
      <c r="B5023" t="s">
        <v>40</v>
      </c>
      <c r="C5023" t="s">
        <v>41</v>
      </c>
      <c r="D5023" s="1">
        <v>46210.420694444445</v>
      </c>
      <c r="E5023" t="s">
        <v>42</v>
      </c>
      <c r="F5023" t="s">
        <v>43</v>
      </c>
      <c r="G5023" t="s">
        <v>43</v>
      </c>
      <c r="H5023" t="s">
        <v>43</v>
      </c>
      <c r="I5023" t="s">
        <v>2779</v>
      </c>
      <c r="J5023" t="s">
        <v>43</v>
      </c>
      <c r="K5023" t="s">
        <v>43</v>
      </c>
      <c r="L5023" t="s">
        <v>43</v>
      </c>
      <c r="M5023" t="s">
        <v>43</v>
      </c>
      <c r="N5023" t="s">
        <v>45</v>
      </c>
      <c r="O5023" t="s">
        <v>43</v>
      </c>
      <c r="P5023" t="s">
        <v>43</v>
      </c>
      <c r="Q5023" t="s">
        <v>43</v>
      </c>
      <c r="R5023" t="s">
        <v>43</v>
      </c>
      <c r="S5023" t="s">
        <v>43</v>
      </c>
      <c r="T5023" t="s">
        <v>43</v>
      </c>
      <c r="U5023" t="s">
        <v>43</v>
      </c>
      <c r="V5023" t="s">
        <v>43</v>
      </c>
      <c r="W5023" t="s">
        <v>43</v>
      </c>
      <c r="X5023" t="s">
        <v>43</v>
      </c>
      <c r="Y5023" t="s">
        <v>43</v>
      </c>
      <c r="Z5023" t="s">
        <v>43</v>
      </c>
      <c r="AA5023" t="s">
        <v>43</v>
      </c>
      <c r="AB5023" t="s">
        <v>43</v>
      </c>
      <c r="AC5023" t="s">
        <v>43</v>
      </c>
      <c r="AD5023" t="s">
        <v>43</v>
      </c>
      <c r="AE5023" t="s">
        <v>43</v>
      </c>
      <c r="AF5023" t="s">
        <v>43</v>
      </c>
      <c r="AG5023" t="s">
        <v>43</v>
      </c>
      <c r="AH5023" t="s">
        <v>43</v>
      </c>
      <c r="AI5023" t="s">
        <v>43</v>
      </c>
      <c r="AJ5023" t="s">
        <v>43</v>
      </c>
      <c r="AK5023" t="s">
        <v>43</v>
      </c>
      <c r="AL5023" t="s">
        <v>43</v>
      </c>
      <c r="AM5023" t="s">
        <v>43</v>
      </c>
      <c r="AN5023" t="str">
        <f>HYPERLINK("https://www.google.com/maps?q=10.83225727,79.84024048","Open Location")</f>
        <v>Open Location</v>
      </c>
    </row>
    <row r="5024" spans="1:40" x14ac:dyDescent="0.3">
      <c r="A5024" s="1">
        <v>46210.417824074073</v>
      </c>
      <c r="B5024" t="s">
        <v>40</v>
      </c>
      <c r="C5024" t="s">
        <v>41</v>
      </c>
      <c r="D5024" s="1">
        <v>46210.420474537037</v>
      </c>
      <c r="E5024" t="s">
        <v>42</v>
      </c>
      <c r="F5024" t="s">
        <v>43</v>
      </c>
      <c r="G5024" t="s">
        <v>43</v>
      </c>
      <c r="H5024" t="s">
        <v>43</v>
      </c>
      <c r="I5024" t="s">
        <v>43</v>
      </c>
      <c r="J5024" t="s">
        <v>43</v>
      </c>
      <c r="K5024" t="s">
        <v>43</v>
      </c>
      <c r="L5024" t="s">
        <v>43</v>
      </c>
      <c r="M5024" t="s">
        <v>43</v>
      </c>
      <c r="N5024" t="s">
        <v>45</v>
      </c>
      <c r="O5024" t="s">
        <v>43</v>
      </c>
      <c r="P5024" t="s">
        <v>43</v>
      </c>
      <c r="Q5024" t="s">
        <v>43</v>
      </c>
      <c r="R5024" t="s">
        <v>43</v>
      </c>
      <c r="S5024" t="s">
        <v>43</v>
      </c>
      <c r="T5024" t="s">
        <v>43</v>
      </c>
      <c r="U5024" t="s">
        <v>43</v>
      </c>
      <c r="V5024" t="s">
        <v>43</v>
      </c>
      <c r="W5024" t="s">
        <v>43</v>
      </c>
      <c r="X5024" t="s">
        <v>43</v>
      </c>
      <c r="Y5024" t="s">
        <v>43</v>
      </c>
      <c r="Z5024" t="s">
        <v>43</v>
      </c>
      <c r="AA5024" t="s">
        <v>43</v>
      </c>
      <c r="AB5024" t="s">
        <v>43</v>
      </c>
      <c r="AC5024" t="s">
        <v>43</v>
      </c>
      <c r="AD5024" t="s">
        <v>43</v>
      </c>
      <c r="AE5024" t="s">
        <v>43</v>
      </c>
      <c r="AF5024" t="s">
        <v>43</v>
      </c>
      <c r="AG5024" t="s">
        <v>43</v>
      </c>
      <c r="AH5024" t="s">
        <v>43</v>
      </c>
      <c r="AI5024" t="s">
        <v>43</v>
      </c>
      <c r="AJ5024" t="s">
        <v>43</v>
      </c>
      <c r="AK5024" t="s">
        <v>43</v>
      </c>
      <c r="AL5024" t="s">
        <v>43</v>
      </c>
      <c r="AM5024" t="s">
        <v>43</v>
      </c>
      <c r="AN5024" t="s">
        <v>43</v>
      </c>
    </row>
    <row r="5025" spans="1:40" x14ac:dyDescent="0.3">
      <c r="A5025" s="1">
        <v>46210.417708333334</v>
      </c>
      <c r="B5025" t="s">
        <v>40</v>
      </c>
      <c r="C5025" t="s">
        <v>41</v>
      </c>
      <c r="D5025" s="1">
        <v>46210.420578703706</v>
      </c>
      <c r="E5025" t="s">
        <v>42</v>
      </c>
      <c r="F5025" t="s">
        <v>43</v>
      </c>
      <c r="G5025" t="s">
        <v>43</v>
      </c>
      <c r="H5025" t="s">
        <v>43</v>
      </c>
      <c r="I5025" t="s">
        <v>2882</v>
      </c>
      <c r="J5025" t="s">
        <v>43</v>
      </c>
      <c r="K5025" t="s">
        <v>43</v>
      </c>
      <c r="L5025" t="s">
        <v>43</v>
      </c>
      <c r="M5025" t="s">
        <v>43</v>
      </c>
      <c r="N5025" t="s">
        <v>45</v>
      </c>
      <c r="O5025" t="s">
        <v>43</v>
      </c>
      <c r="P5025" t="s">
        <v>43</v>
      </c>
      <c r="Q5025" t="s">
        <v>43</v>
      </c>
      <c r="R5025" t="s">
        <v>43</v>
      </c>
      <c r="S5025" t="s">
        <v>43</v>
      </c>
      <c r="T5025" t="s">
        <v>43</v>
      </c>
      <c r="U5025" t="s">
        <v>43</v>
      </c>
      <c r="V5025" t="s">
        <v>43</v>
      </c>
      <c r="W5025" t="s">
        <v>43</v>
      </c>
      <c r="X5025" t="s">
        <v>43</v>
      </c>
      <c r="Y5025" t="s">
        <v>43</v>
      </c>
      <c r="Z5025" t="s">
        <v>43</v>
      </c>
      <c r="AA5025" t="s">
        <v>43</v>
      </c>
      <c r="AB5025" t="s">
        <v>43</v>
      </c>
      <c r="AC5025" t="s">
        <v>43</v>
      </c>
      <c r="AD5025" t="s">
        <v>43</v>
      </c>
      <c r="AE5025" t="s">
        <v>43</v>
      </c>
      <c r="AF5025" t="s">
        <v>43</v>
      </c>
      <c r="AG5025" t="s">
        <v>43</v>
      </c>
      <c r="AH5025" t="s">
        <v>43</v>
      </c>
      <c r="AI5025" t="s">
        <v>43</v>
      </c>
      <c r="AJ5025" t="s">
        <v>43</v>
      </c>
      <c r="AK5025" t="s">
        <v>43</v>
      </c>
      <c r="AL5025" t="s">
        <v>43</v>
      </c>
      <c r="AM5025" t="s">
        <v>43</v>
      </c>
      <c r="AN5025" t="str">
        <f>HYPERLINK("https://www.google.com/maps?q=10.83226204,79.84024048","Open Location")</f>
        <v>Open Location</v>
      </c>
    </row>
    <row r="5026" spans="1:40" x14ac:dyDescent="0.3">
      <c r="A5026" s="1">
        <v>46210.417592592596</v>
      </c>
      <c r="B5026" t="s">
        <v>40</v>
      </c>
      <c r="C5026" t="s">
        <v>41</v>
      </c>
      <c r="D5026" s="1">
        <v>46210.42015046296</v>
      </c>
      <c r="E5026" t="s">
        <v>42</v>
      </c>
      <c r="F5026" t="s">
        <v>43</v>
      </c>
      <c r="G5026" t="s">
        <v>43</v>
      </c>
      <c r="H5026" t="s">
        <v>43</v>
      </c>
      <c r="I5026" t="s">
        <v>2883</v>
      </c>
      <c r="J5026" t="s">
        <v>43</v>
      </c>
      <c r="K5026" t="s">
        <v>43</v>
      </c>
      <c r="L5026" t="s">
        <v>43</v>
      </c>
      <c r="M5026" t="s">
        <v>43</v>
      </c>
      <c r="N5026" t="s">
        <v>45</v>
      </c>
      <c r="O5026" t="s">
        <v>43</v>
      </c>
      <c r="P5026" t="s">
        <v>43</v>
      </c>
      <c r="Q5026" t="s">
        <v>43</v>
      </c>
      <c r="R5026" t="s">
        <v>43</v>
      </c>
      <c r="S5026" t="s">
        <v>43</v>
      </c>
      <c r="T5026" t="s">
        <v>43</v>
      </c>
      <c r="U5026" t="s">
        <v>43</v>
      </c>
      <c r="V5026" t="s">
        <v>43</v>
      </c>
      <c r="W5026" t="s">
        <v>43</v>
      </c>
      <c r="X5026" t="s">
        <v>43</v>
      </c>
      <c r="Y5026" t="s">
        <v>43</v>
      </c>
      <c r="Z5026" t="s">
        <v>43</v>
      </c>
      <c r="AA5026" t="s">
        <v>43</v>
      </c>
      <c r="AB5026" t="s">
        <v>43</v>
      </c>
      <c r="AC5026" t="s">
        <v>43</v>
      </c>
      <c r="AD5026" t="s">
        <v>43</v>
      </c>
      <c r="AE5026" t="s">
        <v>43</v>
      </c>
      <c r="AF5026" t="s">
        <v>43</v>
      </c>
      <c r="AG5026" t="s">
        <v>43</v>
      </c>
      <c r="AH5026" t="s">
        <v>43</v>
      </c>
      <c r="AI5026" t="s">
        <v>43</v>
      </c>
      <c r="AJ5026" t="s">
        <v>43</v>
      </c>
      <c r="AK5026" t="s">
        <v>43</v>
      </c>
      <c r="AL5026" t="s">
        <v>43</v>
      </c>
      <c r="AM5026" t="s">
        <v>43</v>
      </c>
      <c r="AN5026" t="str">
        <f>HYPERLINK("https://www.google.com/maps?q=10.83226681,79.84024048","Open Location")</f>
        <v>Open Location</v>
      </c>
    </row>
    <row r="5027" spans="1:40" x14ac:dyDescent="0.3">
      <c r="A5027" s="1">
        <v>46210.41747685185</v>
      </c>
      <c r="B5027" t="s">
        <v>40</v>
      </c>
      <c r="C5027" t="s">
        <v>41</v>
      </c>
      <c r="D5027" s="1">
        <v>46210.420648148145</v>
      </c>
      <c r="E5027" t="s">
        <v>42</v>
      </c>
      <c r="F5027" t="s">
        <v>43</v>
      </c>
      <c r="G5027" t="s">
        <v>43</v>
      </c>
      <c r="H5027" t="s">
        <v>43</v>
      </c>
      <c r="I5027" t="s">
        <v>2884</v>
      </c>
      <c r="J5027" t="s">
        <v>43</v>
      </c>
      <c r="K5027" t="s">
        <v>43</v>
      </c>
      <c r="L5027" t="s">
        <v>43</v>
      </c>
      <c r="M5027" t="s">
        <v>43</v>
      </c>
      <c r="N5027" t="s">
        <v>45</v>
      </c>
      <c r="O5027" t="s">
        <v>43</v>
      </c>
      <c r="P5027" t="s">
        <v>43</v>
      </c>
      <c r="Q5027" t="s">
        <v>43</v>
      </c>
      <c r="R5027" t="s">
        <v>43</v>
      </c>
      <c r="S5027" t="s">
        <v>43</v>
      </c>
      <c r="T5027" t="s">
        <v>43</v>
      </c>
      <c r="U5027" t="s">
        <v>43</v>
      </c>
      <c r="V5027" t="s">
        <v>43</v>
      </c>
      <c r="W5027" t="s">
        <v>43</v>
      </c>
      <c r="X5027" t="s">
        <v>43</v>
      </c>
      <c r="Y5027" t="s">
        <v>43</v>
      </c>
      <c r="Z5027" t="s">
        <v>43</v>
      </c>
      <c r="AA5027" t="s">
        <v>43</v>
      </c>
      <c r="AB5027" t="s">
        <v>43</v>
      </c>
      <c r="AC5027" t="s">
        <v>43</v>
      </c>
      <c r="AD5027" t="s">
        <v>43</v>
      </c>
      <c r="AE5027" t="s">
        <v>43</v>
      </c>
      <c r="AF5027" t="s">
        <v>43</v>
      </c>
      <c r="AG5027" t="s">
        <v>43</v>
      </c>
      <c r="AH5027" t="s">
        <v>43</v>
      </c>
      <c r="AI5027" t="s">
        <v>43</v>
      </c>
      <c r="AJ5027" t="s">
        <v>43</v>
      </c>
      <c r="AK5027" t="s">
        <v>43</v>
      </c>
      <c r="AL5027" t="s">
        <v>43</v>
      </c>
      <c r="AM5027" t="s">
        <v>43</v>
      </c>
      <c r="AN5027" t="str">
        <f>HYPERLINK("https://www.google.com/maps?q=10.83227062,79.84024811","Open Location")</f>
        <v>Open Location</v>
      </c>
    </row>
    <row r="5028" spans="1:40" x14ac:dyDescent="0.3">
      <c r="A5028" s="1">
        <v>46210.417361111111</v>
      </c>
      <c r="B5028" t="s">
        <v>40</v>
      </c>
      <c r="C5028" t="s">
        <v>41</v>
      </c>
      <c r="D5028" s="1">
        <v>46210.420208333337</v>
      </c>
      <c r="E5028" t="s">
        <v>42</v>
      </c>
      <c r="F5028" t="s">
        <v>43</v>
      </c>
      <c r="G5028" t="s">
        <v>43</v>
      </c>
      <c r="H5028" t="s">
        <v>43</v>
      </c>
      <c r="I5028" t="s">
        <v>2884</v>
      </c>
      <c r="J5028" t="s">
        <v>43</v>
      </c>
      <c r="K5028" t="s">
        <v>43</v>
      </c>
      <c r="L5028" t="s">
        <v>43</v>
      </c>
      <c r="M5028" t="s">
        <v>43</v>
      </c>
      <c r="N5028" t="s">
        <v>45</v>
      </c>
      <c r="O5028" t="s">
        <v>43</v>
      </c>
      <c r="P5028" t="s">
        <v>43</v>
      </c>
      <c r="Q5028" t="s">
        <v>43</v>
      </c>
      <c r="R5028" t="s">
        <v>43</v>
      </c>
      <c r="S5028" t="s">
        <v>43</v>
      </c>
      <c r="T5028" t="s">
        <v>43</v>
      </c>
      <c r="U5028" t="s">
        <v>43</v>
      </c>
      <c r="V5028" t="s">
        <v>43</v>
      </c>
      <c r="W5028" t="s">
        <v>43</v>
      </c>
      <c r="X5028" t="s">
        <v>43</v>
      </c>
      <c r="Y5028" t="s">
        <v>43</v>
      </c>
      <c r="Z5028" t="s">
        <v>43</v>
      </c>
      <c r="AA5028" t="s">
        <v>43</v>
      </c>
      <c r="AB5028" t="s">
        <v>43</v>
      </c>
      <c r="AC5028" t="s">
        <v>43</v>
      </c>
      <c r="AD5028" t="s">
        <v>43</v>
      </c>
      <c r="AE5028" t="s">
        <v>43</v>
      </c>
      <c r="AF5028" t="s">
        <v>43</v>
      </c>
      <c r="AG5028" t="s">
        <v>43</v>
      </c>
      <c r="AH5028" t="s">
        <v>43</v>
      </c>
      <c r="AI5028" t="s">
        <v>43</v>
      </c>
      <c r="AJ5028" t="s">
        <v>43</v>
      </c>
      <c r="AK5028" t="s">
        <v>43</v>
      </c>
      <c r="AL5028" t="s">
        <v>43</v>
      </c>
      <c r="AM5028" t="s">
        <v>43</v>
      </c>
      <c r="AN5028" t="str">
        <f>HYPERLINK("https://www.google.com/maps?q=10.83227062,79.84024811","Open Location")</f>
        <v>Open Location</v>
      </c>
    </row>
    <row r="5029" spans="1:40" x14ac:dyDescent="0.3">
      <c r="A5029" s="1">
        <v>46210.417245370372</v>
      </c>
      <c r="B5029" t="s">
        <v>40</v>
      </c>
      <c r="C5029" t="s">
        <v>41</v>
      </c>
      <c r="D5029" s="1">
        <v>46210.420208333337</v>
      </c>
      <c r="E5029" t="s">
        <v>42</v>
      </c>
      <c r="F5029" t="s">
        <v>43</v>
      </c>
      <c r="G5029" t="s">
        <v>43</v>
      </c>
      <c r="H5029" t="s">
        <v>43</v>
      </c>
      <c r="I5029" t="s">
        <v>2885</v>
      </c>
      <c r="J5029" t="s">
        <v>43</v>
      </c>
      <c r="K5029" t="s">
        <v>43</v>
      </c>
      <c r="L5029" t="s">
        <v>43</v>
      </c>
      <c r="M5029" t="s">
        <v>43</v>
      </c>
      <c r="N5029" t="s">
        <v>45</v>
      </c>
      <c r="O5029" t="s">
        <v>43</v>
      </c>
      <c r="P5029" t="s">
        <v>43</v>
      </c>
      <c r="Q5029" t="s">
        <v>43</v>
      </c>
      <c r="R5029" t="s">
        <v>43</v>
      </c>
      <c r="S5029" t="s">
        <v>43</v>
      </c>
      <c r="T5029" t="s">
        <v>43</v>
      </c>
      <c r="U5029" t="s">
        <v>43</v>
      </c>
      <c r="V5029" t="s">
        <v>43</v>
      </c>
      <c r="W5029" t="s">
        <v>43</v>
      </c>
      <c r="X5029" t="s">
        <v>43</v>
      </c>
      <c r="Y5029" t="s">
        <v>43</v>
      </c>
      <c r="Z5029" t="s">
        <v>43</v>
      </c>
      <c r="AA5029" t="s">
        <v>43</v>
      </c>
      <c r="AB5029" t="s">
        <v>43</v>
      </c>
      <c r="AC5029" t="s">
        <v>43</v>
      </c>
      <c r="AD5029" t="s">
        <v>43</v>
      </c>
      <c r="AE5029" t="s">
        <v>43</v>
      </c>
      <c r="AF5029" t="s">
        <v>43</v>
      </c>
      <c r="AG5029" t="s">
        <v>43</v>
      </c>
      <c r="AH5029" t="s">
        <v>43</v>
      </c>
      <c r="AI5029" t="s">
        <v>43</v>
      </c>
      <c r="AJ5029" t="s">
        <v>43</v>
      </c>
      <c r="AK5029" t="s">
        <v>43</v>
      </c>
      <c r="AL5029" t="s">
        <v>43</v>
      </c>
      <c r="AM5029" t="s">
        <v>43</v>
      </c>
      <c r="AN5029" t="str">
        <f>HYPERLINK("https://www.google.com/maps?q=10.83226395,79.84024811","Open Location")</f>
        <v>Open Location</v>
      </c>
    </row>
    <row r="5030" spans="1:40" x14ac:dyDescent="0.3">
      <c r="A5030" s="1">
        <v>46210.417129629626</v>
      </c>
      <c r="B5030" t="s">
        <v>40</v>
      </c>
      <c r="C5030" t="s">
        <v>41</v>
      </c>
      <c r="D5030" s="1">
        <v>46210.419895833336</v>
      </c>
      <c r="E5030" t="s">
        <v>42</v>
      </c>
      <c r="F5030" t="s">
        <v>43</v>
      </c>
      <c r="G5030" t="s">
        <v>43</v>
      </c>
      <c r="H5030" t="s">
        <v>43</v>
      </c>
      <c r="I5030" t="s">
        <v>43</v>
      </c>
      <c r="J5030" t="s">
        <v>43</v>
      </c>
      <c r="K5030" t="s">
        <v>43</v>
      </c>
      <c r="L5030" t="s">
        <v>43</v>
      </c>
      <c r="M5030" t="s">
        <v>43</v>
      </c>
      <c r="N5030" t="s">
        <v>45</v>
      </c>
      <c r="O5030" t="s">
        <v>43</v>
      </c>
      <c r="P5030" t="s">
        <v>43</v>
      </c>
      <c r="Q5030" t="s">
        <v>43</v>
      </c>
      <c r="R5030" t="s">
        <v>43</v>
      </c>
      <c r="S5030" t="s">
        <v>43</v>
      </c>
      <c r="T5030" t="s">
        <v>43</v>
      </c>
      <c r="U5030" t="s">
        <v>43</v>
      </c>
      <c r="V5030" t="s">
        <v>43</v>
      </c>
      <c r="W5030" t="s">
        <v>43</v>
      </c>
      <c r="X5030" t="s">
        <v>43</v>
      </c>
      <c r="Y5030" t="s">
        <v>43</v>
      </c>
      <c r="Z5030" t="s">
        <v>43</v>
      </c>
      <c r="AA5030" t="s">
        <v>43</v>
      </c>
      <c r="AB5030" t="s">
        <v>43</v>
      </c>
      <c r="AC5030" t="s">
        <v>43</v>
      </c>
      <c r="AD5030" t="s">
        <v>43</v>
      </c>
      <c r="AE5030" t="s">
        <v>43</v>
      </c>
      <c r="AF5030" t="s">
        <v>43</v>
      </c>
      <c r="AG5030" t="s">
        <v>43</v>
      </c>
      <c r="AH5030" t="s">
        <v>43</v>
      </c>
      <c r="AI5030" t="s">
        <v>43</v>
      </c>
      <c r="AJ5030" t="s">
        <v>43</v>
      </c>
      <c r="AK5030" t="s">
        <v>43</v>
      </c>
      <c r="AL5030" t="s">
        <v>43</v>
      </c>
      <c r="AM5030" t="s">
        <v>43</v>
      </c>
      <c r="AN5030" t="s">
        <v>43</v>
      </c>
    </row>
    <row r="5031" spans="1:40" x14ac:dyDescent="0.3">
      <c r="A5031" s="1">
        <v>46210.417013888888</v>
      </c>
      <c r="B5031" t="s">
        <v>40</v>
      </c>
      <c r="C5031" t="s">
        <v>41</v>
      </c>
      <c r="D5031" s="1">
        <v>46210.420057870368</v>
      </c>
      <c r="E5031" t="s">
        <v>42</v>
      </c>
      <c r="F5031" t="s">
        <v>43</v>
      </c>
      <c r="G5031" t="s">
        <v>43</v>
      </c>
      <c r="H5031" t="s">
        <v>43</v>
      </c>
      <c r="I5031" t="s">
        <v>2723</v>
      </c>
      <c r="J5031" t="s">
        <v>43</v>
      </c>
      <c r="K5031" t="s">
        <v>43</v>
      </c>
      <c r="L5031" t="s">
        <v>43</v>
      </c>
      <c r="M5031" t="s">
        <v>43</v>
      </c>
      <c r="N5031" t="s">
        <v>45</v>
      </c>
      <c r="O5031" t="s">
        <v>43</v>
      </c>
      <c r="P5031" t="s">
        <v>43</v>
      </c>
      <c r="Q5031" t="s">
        <v>43</v>
      </c>
      <c r="R5031" t="s">
        <v>43</v>
      </c>
      <c r="S5031" t="s">
        <v>43</v>
      </c>
      <c r="T5031" t="s">
        <v>43</v>
      </c>
      <c r="U5031" t="s">
        <v>43</v>
      </c>
      <c r="V5031" t="s">
        <v>43</v>
      </c>
      <c r="W5031" t="s">
        <v>43</v>
      </c>
      <c r="X5031" t="s">
        <v>43</v>
      </c>
      <c r="Y5031" t="s">
        <v>43</v>
      </c>
      <c r="Z5031" t="s">
        <v>43</v>
      </c>
      <c r="AA5031" t="s">
        <v>43</v>
      </c>
      <c r="AB5031" t="s">
        <v>43</v>
      </c>
      <c r="AC5031" t="s">
        <v>43</v>
      </c>
      <c r="AD5031" t="s">
        <v>43</v>
      </c>
      <c r="AE5031" t="s">
        <v>43</v>
      </c>
      <c r="AF5031" t="s">
        <v>43</v>
      </c>
      <c r="AG5031" t="s">
        <v>43</v>
      </c>
      <c r="AH5031" t="s">
        <v>43</v>
      </c>
      <c r="AI5031" t="s">
        <v>43</v>
      </c>
      <c r="AJ5031" t="s">
        <v>43</v>
      </c>
      <c r="AK5031" t="s">
        <v>43</v>
      </c>
      <c r="AL5031" t="s">
        <v>43</v>
      </c>
      <c r="AM5031" t="s">
        <v>43</v>
      </c>
      <c r="AN5031" t="str">
        <f>HYPERLINK("https://www.google.com/maps?q=10.83226681,79.84025574","Open Location")</f>
        <v>Open Location</v>
      </c>
    </row>
    <row r="5032" spans="1:40" x14ac:dyDescent="0.3">
      <c r="A5032" s="1">
        <v>46210.416898148149</v>
      </c>
      <c r="B5032" t="s">
        <v>40</v>
      </c>
      <c r="C5032" t="s">
        <v>41</v>
      </c>
      <c r="D5032" s="1">
        <v>46210.419791666667</v>
      </c>
      <c r="E5032" t="s">
        <v>42</v>
      </c>
      <c r="F5032" t="s">
        <v>43</v>
      </c>
      <c r="G5032" t="s">
        <v>43</v>
      </c>
      <c r="H5032" t="s">
        <v>43</v>
      </c>
      <c r="I5032" t="s">
        <v>2886</v>
      </c>
      <c r="J5032" t="s">
        <v>43</v>
      </c>
      <c r="K5032" t="s">
        <v>43</v>
      </c>
      <c r="L5032" t="s">
        <v>43</v>
      </c>
      <c r="M5032" t="s">
        <v>43</v>
      </c>
      <c r="N5032" t="s">
        <v>45</v>
      </c>
      <c r="O5032" t="s">
        <v>43</v>
      </c>
      <c r="P5032" t="s">
        <v>43</v>
      </c>
      <c r="Q5032" t="s">
        <v>43</v>
      </c>
      <c r="R5032" t="s">
        <v>43</v>
      </c>
      <c r="S5032" t="s">
        <v>43</v>
      </c>
      <c r="T5032" t="s">
        <v>43</v>
      </c>
      <c r="U5032" t="s">
        <v>43</v>
      </c>
      <c r="V5032" t="s">
        <v>43</v>
      </c>
      <c r="W5032" t="s">
        <v>43</v>
      </c>
      <c r="X5032" t="s">
        <v>43</v>
      </c>
      <c r="Y5032" t="s">
        <v>43</v>
      </c>
      <c r="Z5032" t="s">
        <v>43</v>
      </c>
      <c r="AA5032" t="s">
        <v>43</v>
      </c>
      <c r="AB5032" t="s">
        <v>43</v>
      </c>
      <c r="AC5032" t="s">
        <v>43</v>
      </c>
      <c r="AD5032" t="s">
        <v>43</v>
      </c>
      <c r="AE5032" t="s">
        <v>43</v>
      </c>
      <c r="AF5032" t="s">
        <v>43</v>
      </c>
      <c r="AG5032" t="s">
        <v>43</v>
      </c>
      <c r="AH5032" t="s">
        <v>43</v>
      </c>
      <c r="AI5032" t="s">
        <v>43</v>
      </c>
      <c r="AJ5032" t="s">
        <v>43</v>
      </c>
      <c r="AK5032" t="s">
        <v>43</v>
      </c>
      <c r="AL5032" t="s">
        <v>43</v>
      </c>
      <c r="AM5032" t="s">
        <v>43</v>
      </c>
      <c r="AN5032" t="str">
        <f>HYPERLINK("https://www.google.com/maps?q=10.83226681,79.84024811","Open Location")</f>
        <v>Open Location</v>
      </c>
    </row>
    <row r="5033" spans="1:40" x14ac:dyDescent="0.3">
      <c r="A5033" s="1">
        <v>46210.41678240741</v>
      </c>
      <c r="B5033" t="s">
        <v>40</v>
      </c>
      <c r="C5033" t="s">
        <v>41</v>
      </c>
      <c r="D5033" s="1">
        <v>46210.419791666667</v>
      </c>
      <c r="E5033" t="s">
        <v>42</v>
      </c>
      <c r="F5033" t="s">
        <v>43</v>
      </c>
      <c r="G5033" t="s">
        <v>43</v>
      </c>
      <c r="H5033" t="s">
        <v>43</v>
      </c>
      <c r="I5033" t="s">
        <v>2887</v>
      </c>
      <c r="J5033" t="s">
        <v>43</v>
      </c>
      <c r="K5033" t="s">
        <v>43</v>
      </c>
      <c r="L5033" t="s">
        <v>43</v>
      </c>
      <c r="M5033" t="s">
        <v>43</v>
      </c>
      <c r="N5033" t="s">
        <v>45</v>
      </c>
      <c r="O5033" t="s">
        <v>43</v>
      </c>
      <c r="P5033" t="s">
        <v>43</v>
      </c>
      <c r="Q5033" t="s">
        <v>43</v>
      </c>
      <c r="R5033" t="s">
        <v>43</v>
      </c>
      <c r="S5033" t="s">
        <v>43</v>
      </c>
      <c r="T5033" t="s">
        <v>43</v>
      </c>
      <c r="U5033" t="s">
        <v>43</v>
      </c>
      <c r="V5033" t="s">
        <v>43</v>
      </c>
      <c r="W5033" t="s">
        <v>43</v>
      </c>
      <c r="X5033" t="s">
        <v>43</v>
      </c>
      <c r="Y5033" t="s">
        <v>43</v>
      </c>
      <c r="Z5033" t="s">
        <v>43</v>
      </c>
      <c r="AA5033" t="s">
        <v>43</v>
      </c>
      <c r="AB5033" t="s">
        <v>43</v>
      </c>
      <c r="AC5033" t="s">
        <v>43</v>
      </c>
      <c r="AD5033" t="s">
        <v>43</v>
      </c>
      <c r="AE5033" t="s">
        <v>43</v>
      </c>
      <c r="AF5033" t="s">
        <v>43</v>
      </c>
      <c r="AG5033" t="s">
        <v>43</v>
      </c>
      <c r="AH5033" t="s">
        <v>43</v>
      </c>
      <c r="AI5033" t="s">
        <v>43</v>
      </c>
      <c r="AJ5033" t="s">
        <v>43</v>
      </c>
      <c r="AK5033" t="s">
        <v>43</v>
      </c>
      <c r="AL5033" t="s">
        <v>43</v>
      </c>
      <c r="AM5033" t="s">
        <v>43</v>
      </c>
      <c r="AN5033" t="str">
        <f>HYPERLINK("https://www.google.com/maps?q=10.83226395,79.84024048","Open Location")</f>
        <v>Open Location</v>
      </c>
    </row>
    <row r="5034" spans="1:40" x14ac:dyDescent="0.3">
      <c r="A5034" s="1">
        <v>46210.416666666664</v>
      </c>
      <c r="B5034" t="s">
        <v>40</v>
      </c>
      <c r="C5034" t="s">
        <v>41</v>
      </c>
      <c r="D5034" s="1">
        <v>46210.419733796298</v>
      </c>
      <c r="E5034" t="s">
        <v>42</v>
      </c>
      <c r="F5034" t="s">
        <v>43</v>
      </c>
      <c r="G5034" t="s">
        <v>43</v>
      </c>
      <c r="H5034" t="s">
        <v>43</v>
      </c>
      <c r="I5034" t="s">
        <v>2882</v>
      </c>
      <c r="J5034" t="s">
        <v>43</v>
      </c>
      <c r="K5034" t="s">
        <v>43</v>
      </c>
      <c r="L5034" t="s">
        <v>43</v>
      </c>
      <c r="M5034" t="s">
        <v>43</v>
      </c>
      <c r="N5034" t="s">
        <v>45</v>
      </c>
      <c r="O5034" t="s">
        <v>43</v>
      </c>
      <c r="P5034" t="s">
        <v>43</v>
      </c>
      <c r="Q5034" t="s">
        <v>43</v>
      </c>
      <c r="R5034" t="s">
        <v>43</v>
      </c>
      <c r="S5034" t="s">
        <v>43</v>
      </c>
      <c r="T5034" t="s">
        <v>43</v>
      </c>
      <c r="U5034" t="s">
        <v>43</v>
      </c>
      <c r="V5034" t="s">
        <v>43</v>
      </c>
      <c r="W5034" t="s">
        <v>43</v>
      </c>
      <c r="X5034" t="s">
        <v>43</v>
      </c>
      <c r="Y5034" t="s">
        <v>43</v>
      </c>
      <c r="Z5034" t="s">
        <v>43</v>
      </c>
      <c r="AA5034" t="s">
        <v>43</v>
      </c>
      <c r="AB5034" t="s">
        <v>43</v>
      </c>
      <c r="AC5034" t="s">
        <v>43</v>
      </c>
      <c r="AD5034" t="s">
        <v>43</v>
      </c>
      <c r="AE5034" t="s">
        <v>43</v>
      </c>
      <c r="AF5034" t="s">
        <v>43</v>
      </c>
      <c r="AG5034" t="s">
        <v>43</v>
      </c>
      <c r="AH5034" t="s">
        <v>43</v>
      </c>
      <c r="AI5034" t="s">
        <v>43</v>
      </c>
      <c r="AJ5034" t="s">
        <v>43</v>
      </c>
      <c r="AK5034" t="s">
        <v>43</v>
      </c>
      <c r="AL5034" t="s">
        <v>43</v>
      </c>
      <c r="AM5034" t="s">
        <v>43</v>
      </c>
      <c r="AN5034" t="str">
        <f>HYPERLINK("https://www.google.com/maps?q=10.83226204,79.84024048","Open Location")</f>
        <v>Open Location</v>
      </c>
    </row>
    <row r="5035" spans="1:40" x14ac:dyDescent="0.3">
      <c r="A5035" s="1">
        <v>46210.416550925926</v>
      </c>
      <c r="B5035" t="s">
        <v>40</v>
      </c>
      <c r="C5035" t="s">
        <v>41</v>
      </c>
      <c r="D5035" s="1">
        <v>46210.419537037036</v>
      </c>
      <c r="E5035" t="s">
        <v>42</v>
      </c>
      <c r="F5035" t="s">
        <v>43</v>
      </c>
      <c r="G5035" t="s">
        <v>43</v>
      </c>
      <c r="H5035" t="s">
        <v>43</v>
      </c>
      <c r="I5035" t="s">
        <v>2888</v>
      </c>
      <c r="J5035" t="s">
        <v>43</v>
      </c>
      <c r="K5035" t="s">
        <v>43</v>
      </c>
      <c r="L5035" t="s">
        <v>43</v>
      </c>
      <c r="M5035" t="s">
        <v>43</v>
      </c>
      <c r="N5035" t="s">
        <v>45</v>
      </c>
      <c r="O5035" t="s">
        <v>43</v>
      </c>
      <c r="P5035" t="s">
        <v>43</v>
      </c>
      <c r="Q5035" t="s">
        <v>43</v>
      </c>
      <c r="R5035" t="s">
        <v>43</v>
      </c>
      <c r="S5035" t="s">
        <v>43</v>
      </c>
      <c r="T5035" t="s">
        <v>43</v>
      </c>
      <c r="U5035" t="s">
        <v>43</v>
      </c>
      <c r="V5035" t="s">
        <v>43</v>
      </c>
      <c r="W5035" t="s">
        <v>43</v>
      </c>
      <c r="X5035" t="s">
        <v>43</v>
      </c>
      <c r="Y5035" t="s">
        <v>43</v>
      </c>
      <c r="Z5035" t="s">
        <v>43</v>
      </c>
      <c r="AA5035" t="s">
        <v>43</v>
      </c>
      <c r="AB5035" t="s">
        <v>43</v>
      </c>
      <c r="AC5035" t="s">
        <v>43</v>
      </c>
      <c r="AD5035" t="s">
        <v>43</v>
      </c>
      <c r="AE5035" t="s">
        <v>43</v>
      </c>
      <c r="AF5035" t="s">
        <v>43</v>
      </c>
      <c r="AG5035" t="s">
        <v>43</v>
      </c>
      <c r="AH5035" t="s">
        <v>43</v>
      </c>
      <c r="AI5035" t="s">
        <v>43</v>
      </c>
      <c r="AJ5035" t="s">
        <v>43</v>
      </c>
      <c r="AK5035" t="s">
        <v>43</v>
      </c>
      <c r="AL5035" t="s">
        <v>43</v>
      </c>
      <c r="AM5035" t="s">
        <v>43</v>
      </c>
      <c r="AN5035" t="str">
        <f>HYPERLINK("https://www.google.com/maps?q=10.83226299,79.84024048","Open Location")</f>
        <v>Open Location</v>
      </c>
    </row>
    <row r="5036" spans="1:40" x14ac:dyDescent="0.3">
      <c r="A5036" s="1">
        <v>46210.416435185187</v>
      </c>
      <c r="B5036" t="s">
        <v>40</v>
      </c>
      <c r="C5036" t="s">
        <v>41</v>
      </c>
      <c r="D5036" s="1">
        <v>46210.419178240743</v>
      </c>
      <c r="E5036" t="s">
        <v>42</v>
      </c>
      <c r="F5036" t="s">
        <v>43</v>
      </c>
      <c r="G5036" t="s">
        <v>43</v>
      </c>
      <c r="H5036" t="s">
        <v>43</v>
      </c>
      <c r="I5036" t="s">
        <v>43</v>
      </c>
      <c r="J5036" t="s">
        <v>43</v>
      </c>
      <c r="K5036" t="s">
        <v>43</v>
      </c>
      <c r="L5036" t="s">
        <v>43</v>
      </c>
      <c r="M5036" t="s">
        <v>43</v>
      </c>
      <c r="N5036" t="s">
        <v>45</v>
      </c>
      <c r="O5036" t="s">
        <v>43</v>
      </c>
      <c r="P5036" t="s">
        <v>43</v>
      </c>
      <c r="Q5036" t="s">
        <v>43</v>
      </c>
      <c r="R5036" t="s">
        <v>43</v>
      </c>
      <c r="S5036" t="s">
        <v>43</v>
      </c>
      <c r="T5036" t="s">
        <v>43</v>
      </c>
      <c r="U5036" t="s">
        <v>43</v>
      </c>
      <c r="V5036" t="s">
        <v>43</v>
      </c>
      <c r="W5036" t="s">
        <v>43</v>
      </c>
      <c r="X5036" t="s">
        <v>43</v>
      </c>
      <c r="Y5036" t="s">
        <v>43</v>
      </c>
      <c r="Z5036" t="s">
        <v>43</v>
      </c>
      <c r="AA5036" t="s">
        <v>43</v>
      </c>
      <c r="AB5036" t="s">
        <v>43</v>
      </c>
      <c r="AC5036" t="s">
        <v>43</v>
      </c>
      <c r="AD5036" t="s">
        <v>43</v>
      </c>
      <c r="AE5036" t="s">
        <v>43</v>
      </c>
      <c r="AF5036" t="s">
        <v>43</v>
      </c>
      <c r="AG5036" t="s">
        <v>43</v>
      </c>
      <c r="AH5036" t="s">
        <v>43</v>
      </c>
      <c r="AI5036" t="s">
        <v>43</v>
      </c>
      <c r="AJ5036" t="s">
        <v>43</v>
      </c>
      <c r="AK5036" t="s">
        <v>43</v>
      </c>
      <c r="AL5036" t="s">
        <v>43</v>
      </c>
      <c r="AM5036" t="s">
        <v>43</v>
      </c>
      <c r="AN5036" t="s">
        <v>43</v>
      </c>
    </row>
    <row r="5037" spans="1:40" x14ac:dyDescent="0.3">
      <c r="A5037" s="1">
        <v>46210.416319444441</v>
      </c>
      <c r="B5037" t="s">
        <v>40</v>
      </c>
      <c r="C5037" t="s">
        <v>41</v>
      </c>
      <c r="D5037" s="1">
        <v>46210.419062499997</v>
      </c>
      <c r="E5037" t="s">
        <v>42</v>
      </c>
      <c r="F5037" t="s">
        <v>43</v>
      </c>
      <c r="G5037" t="s">
        <v>43</v>
      </c>
      <c r="H5037" t="s">
        <v>43</v>
      </c>
      <c r="I5037" t="s">
        <v>2889</v>
      </c>
      <c r="J5037" t="s">
        <v>43</v>
      </c>
      <c r="K5037" t="s">
        <v>43</v>
      </c>
      <c r="L5037" t="s">
        <v>43</v>
      </c>
      <c r="M5037" t="s">
        <v>43</v>
      </c>
      <c r="N5037" t="s">
        <v>45</v>
      </c>
      <c r="O5037" t="s">
        <v>43</v>
      </c>
      <c r="P5037" t="s">
        <v>43</v>
      </c>
      <c r="Q5037" t="s">
        <v>43</v>
      </c>
      <c r="R5037" t="s">
        <v>43</v>
      </c>
      <c r="S5037" t="s">
        <v>43</v>
      </c>
      <c r="T5037" t="s">
        <v>43</v>
      </c>
      <c r="U5037" t="s">
        <v>43</v>
      </c>
      <c r="V5037" t="s">
        <v>43</v>
      </c>
      <c r="W5037" t="s">
        <v>43</v>
      </c>
      <c r="X5037" t="s">
        <v>43</v>
      </c>
      <c r="Y5037" t="s">
        <v>43</v>
      </c>
      <c r="Z5037" t="s">
        <v>43</v>
      </c>
      <c r="AA5037" t="s">
        <v>43</v>
      </c>
      <c r="AB5037" t="s">
        <v>43</v>
      </c>
      <c r="AC5037" t="s">
        <v>43</v>
      </c>
      <c r="AD5037" t="s">
        <v>43</v>
      </c>
      <c r="AE5037" t="s">
        <v>43</v>
      </c>
      <c r="AF5037" t="s">
        <v>43</v>
      </c>
      <c r="AG5037" t="s">
        <v>43</v>
      </c>
      <c r="AH5037" t="s">
        <v>43</v>
      </c>
      <c r="AI5037" t="s">
        <v>43</v>
      </c>
      <c r="AJ5037" t="s">
        <v>43</v>
      </c>
      <c r="AK5037" t="s">
        <v>43</v>
      </c>
      <c r="AL5037" t="s">
        <v>43</v>
      </c>
      <c r="AM5037" t="s">
        <v>43</v>
      </c>
      <c r="AN5037" t="str">
        <f>HYPERLINK("https://www.google.com/maps?q=10.8322649,79.84023285","Open Location")</f>
        <v>Open Location</v>
      </c>
    </row>
    <row r="5038" spans="1:40" x14ac:dyDescent="0.3">
      <c r="A5038" s="1">
        <v>46210.416203703702</v>
      </c>
      <c r="B5038" t="s">
        <v>40</v>
      </c>
      <c r="C5038" t="s">
        <v>41</v>
      </c>
      <c r="D5038" s="1">
        <v>46210.419189814813</v>
      </c>
      <c r="E5038" t="s">
        <v>42</v>
      </c>
      <c r="F5038" t="s">
        <v>43</v>
      </c>
      <c r="G5038" t="s">
        <v>43</v>
      </c>
      <c r="H5038" t="s">
        <v>43</v>
      </c>
      <c r="I5038" t="s">
        <v>2890</v>
      </c>
      <c r="J5038" t="s">
        <v>43</v>
      </c>
      <c r="K5038" t="s">
        <v>43</v>
      </c>
      <c r="L5038" t="s">
        <v>43</v>
      </c>
      <c r="M5038" t="s">
        <v>43</v>
      </c>
      <c r="N5038" t="s">
        <v>45</v>
      </c>
      <c r="O5038" t="s">
        <v>43</v>
      </c>
      <c r="P5038" t="s">
        <v>43</v>
      </c>
      <c r="Q5038" t="s">
        <v>43</v>
      </c>
      <c r="R5038" t="s">
        <v>43</v>
      </c>
      <c r="S5038" t="s">
        <v>43</v>
      </c>
      <c r="T5038" t="s">
        <v>43</v>
      </c>
      <c r="U5038" t="s">
        <v>43</v>
      </c>
      <c r="V5038" t="s">
        <v>43</v>
      </c>
      <c r="W5038" t="s">
        <v>43</v>
      </c>
      <c r="X5038" t="s">
        <v>43</v>
      </c>
      <c r="Y5038" t="s">
        <v>43</v>
      </c>
      <c r="Z5038" t="s">
        <v>43</v>
      </c>
      <c r="AA5038" t="s">
        <v>43</v>
      </c>
      <c r="AB5038" t="s">
        <v>43</v>
      </c>
      <c r="AC5038" t="s">
        <v>43</v>
      </c>
      <c r="AD5038" t="s">
        <v>43</v>
      </c>
      <c r="AE5038" t="s">
        <v>43</v>
      </c>
      <c r="AF5038" t="s">
        <v>43</v>
      </c>
      <c r="AG5038" t="s">
        <v>43</v>
      </c>
      <c r="AH5038" t="s">
        <v>43</v>
      </c>
      <c r="AI5038" t="s">
        <v>43</v>
      </c>
      <c r="AJ5038" t="s">
        <v>43</v>
      </c>
      <c r="AK5038" t="s">
        <v>43</v>
      </c>
      <c r="AL5038" t="s">
        <v>43</v>
      </c>
      <c r="AM5038" t="s">
        <v>43</v>
      </c>
      <c r="AN5038" t="str">
        <f>HYPERLINK("https://www.google.com/maps?q=10.83226967,79.84023285","Open Location")</f>
        <v>Open Location</v>
      </c>
    </row>
    <row r="5039" spans="1:40" x14ac:dyDescent="0.3">
      <c r="A5039" s="1">
        <v>46210.416087962964</v>
      </c>
      <c r="B5039" t="s">
        <v>40</v>
      </c>
      <c r="C5039" t="s">
        <v>41</v>
      </c>
      <c r="D5039" s="1">
        <v>46210.419050925928</v>
      </c>
      <c r="E5039" t="s">
        <v>42</v>
      </c>
      <c r="F5039" t="s">
        <v>43</v>
      </c>
      <c r="G5039" t="s">
        <v>43</v>
      </c>
      <c r="H5039" t="s">
        <v>43</v>
      </c>
      <c r="I5039" t="s">
        <v>2891</v>
      </c>
      <c r="J5039" t="s">
        <v>43</v>
      </c>
      <c r="K5039" t="s">
        <v>43</v>
      </c>
      <c r="L5039" t="s">
        <v>43</v>
      </c>
      <c r="M5039" t="s">
        <v>43</v>
      </c>
      <c r="N5039" t="s">
        <v>45</v>
      </c>
      <c r="O5039" t="s">
        <v>43</v>
      </c>
      <c r="P5039" t="s">
        <v>43</v>
      </c>
      <c r="Q5039" t="s">
        <v>43</v>
      </c>
      <c r="R5039" t="s">
        <v>43</v>
      </c>
      <c r="S5039" t="s">
        <v>43</v>
      </c>
      <c r="T5039" t="s">
        <v>43</v>
      </c>
      <c r="U5039" t="s">
        <v>43</v>
      </c>
      <c r="V5039" t="s">
        <v>43</v>
      </c>
      <c r="W5039" t="s">
        <v>43</v>
      </c>
      <c r="X5039" t="s">
        <v>43</v>
      </c>
      <c r="Y5039" t="s">
        <v>43</v>
      </c>
      <c r="Z5039" t="s">
        <v>43</v>
      </c>
      <c r="AA5039" t="s">
        <v>43</v>
      </c>
      <c r="AB5039" t="s">
        <v>43</v>
      </c>
      <c r="AC5039" t="s">
        <v>43</v>
      </c>
      <c r="AD5039" t="s">
        <v>43</v>
      </c>
      <c r="AE5039" t="s">
        <v>43</v>
      </c>
      <c r="AF5039" t="s">
        <v>43</v>
      </c>
      <c r="AG5039" t="s">
        <v>43</v>
      </c>
      <c r="AH5039" t="s">
        <v>43</v>
      </c>
      <c r="AI5039" t="s">
        <v>43</v>
      </c>
      <c r="AJ5039" t="s">
        <v>43</v>
      </c>
      <c r="AK5039" t="s">
        <v>43</v>
      </c>
      <c r="AL5039" t="s">
        <v>43</v>
      </c>
      <c r="AM5039" t="s">
        <v>43</v>
      </c>
      <c r="AN5039" t="str">
        <f>HYPERLINK("https://www.google.com/maps?q=10.83227253,79.84023285","Open Location")</f>
        <v>Open Location</v>
      </c>
    </row>
    <row r="5040" spans="1:40" x14ac:dyDescent="0.3">
      <c r="A5040" s="1">
        <v>46210.415972222225</v>
      </c>
      <c r="B5040" t="s">
        <v>40</v>
      </c>
      <c r="C5040" t="s">
        <v>41</v>
      </c>
      <c r="D5040" s="1">
        <v>46210.419050925928</v>
      </c>
      <c r="E5040" t="s">
        <v>42</v>
      </c>
      <c r="F5040" t="s">
        <v>43</v>
      </c>
      <c r="G5040" t="s">
        <v>43</v>
      </c>
      <c r="H5040" t="s">
        <v>43</v>
      </c>
      <c r="I5040" t="s">
        <v>2892</v>
      </c>
      <c r="J5040" t="s">
        <v>43</v>
      </c>
      <c r="K5040" t="s">
        <v>43</v>
      </c>
      <c r="L5040" t="s">
        <v>43</v>
      </c>
      <c r="M5040" t="s">
        <v>43</v>
      </c>
      <c r="N5040" t="s">
        <v>45</v>
      </c>
      <c r="O5040" t="s">
        <v>43</v>
      </c>
      <c r="P5040" t="s">
        <v>43</v>
      </c>
      <c r="Q5040" t="s">
        <v>43</v>
      </c>
      <c r="R5040" t="s">
        <v>43</v>
      </c>
      <c r="S5040" t="s">
        <v>43</v>
      </c>
      <c r="T5040" t="s">
        <v>43</v>
      </c>
      <c r="U5040" t="s">
        <v>43</v>
      </c>
      <c r="V5040" t="s">
        <v>43</v>
      </c>
      <c r="W5040" t="s">
        <v>43</v>
      </c>
      <c r="X5040" t="s">
        <v>43</v>
      </c>
      <c r="Y5040" t="s">
        <v>43</v>
      </c>
      <c r="Z5040" t="s">
        <v>43</v>
      </c>
      <c r="AA5040" t="s">
        <v>43</v>
      </c>
      <c r="AB5040" t="s">
        <v>43</v>
      </c>
      <c r="AC5040" t="s">
        <v>43</v>
      </c>
      <c r="AD5040" t="s">
        <v>43</v>
      </c>
      <c r="AE5040" t="s">
        <v>43</v>
      </c>
      <c r="AF5040" t="s">
        <v>43</v>
      </c>
      <c r="AG5040" t="s">
        <v>43</v>
      </c>
      <c r="AH5040" t="s">
        <v>43</v>
      </c>
      <c r="AI5040" t="s">
        <v>43</v>
      </c>
      <c r="AJ5040" t="s">
        <v>43</v>
      </c>
      <c r="AK5040" t="s">
        <v>43</v>
      </c>
      <c r="AL5040" t="s">
        <v>43</v>
      </c>
      <c r="AM5040" t="s">
        <v>43</v>
      </c>
      <c r="AN5040" t="str">
        <f>HYPERLINK("https://www.google.com/maps?q=10.83226871,79.84023285","Open Location")</f>
        <v>Open Location</v>
      </c>
    </row>
    <row r="5041" spans="1:40" x14ac:dyDescent="0.3">
      <c r="A5041" s="1">
        <v>46210.415856481479</v>
      </c>
      <c r="B5041" t="s">
        <v>40</v>
      </c>
      <c r="C5041" t="s">
        <v>41</v>
      </c>
      <c r="D5041" s="1">
        <v>46210.419062499997</v>
      </c>
      <c r="E5041" t="s">
        <v>42</v>
      </c>
      <c r="F5041" t="s">
        <v>43</v>
      </c>
      <c r="G5041" t="s">
        <v>43</v>
      </c>
      <c r="H5041" t="s">
        <v>43</v>
      </c>
      <c r="I5041" t="s">
        <v>2893</v>
      </c>
      <c r="J5041" t="s">
        <v>43</v>
      </c>
      <c r="K5041" t="s">
        <v>43</v>
      </c>
      <c r="L5041" t="s">
        <v>43</v>
      </c>
      <c r="M5041" t="s">
        <v>43</v>
      </c>
      <c r="N5041" t="s">
        <v>45</v>
      </c>
      <c r="O5041" t="s">
        <v>43</v>
      </c>
      <c r="P5041" t="s">
        <v>43</v>
      </c>
      <c r="Q5041" t="s">
        <v>43</v>
      </c>
      <c r="R5041" t="s">
        <v>43</v>
      </c>
      <c r="S5041" t="s">
        <v>43</v>
      </c>
      <c r="T5041" t="s">
        <v>43</v>
      </c>
      <c r="U5041" t="s">
        <v>43</v>
      </c>
      <c r="V5041" t="s">
        <v>43</v>
      </c>
      <c r="W5041" t="s">
        <v>43</v>
      </c>
      <c r="X5041" t="s">
        <v>43</v>
      </c>
      <c r="Y5041" t="s">
        <v>43</v>
      </c>
      <c r="Z5041" t="s">
        <v>43</v>
      </c>
      <c r="AA5041" t="s">
        <v>43</v>
      </c>
      <c r="AB5041" t="s">
        <v>43</v>
      </c>
      <c r="AC5041" t="s">
        <v>43</v>
      </c>
      <c r="AD5041" t="s">
        <v>43</v>
      </c>
      <c r="AE5041" t="s">
        <v>43</v>
      </c>
      <c r="AF5041" t="s">
        <v>43</v>
      </c>
      <c r="AG5041" t="s">
        <v>43</v>
      </c>
      <c r="AH5041" t="s">
        <v>43</v>
      </c>
      <c r="AI5041" t="s">
        <v>43</v>
      </c>
      <c r="AJ5041" t="s">
        <v>43</v>
      </c>
      <c r="AK5041" t="s">
        <v>43</v>
      </c>
      <c r="AL5041" t="s">
        <v>43</v>
      </c>
      <c r="AM5041" t="s">
        <v>43</v>
      </c>
      <c r="AN5041" t="str">
        <f>HYPERLINK("https://www.google.com/maps?q=10.83227062,79.84024048","Open Location")</f>
        <v>Open Location</v>
      </c>
    </row>
    <row r="5042" spans="1:40" x14ac:dyDescent="0.3">
      <c r="A5042" s="1">
        <v>46210.41574074074</v>
      </c>
      <c r="B5042" t="s">
        <v>40</v>
      </c>
      <c r="C5042" t="s">
        <v>41</v>
      </c>
      <c r="D5042" s="1">
        <v>46210.418495370373</v>
      </c>
      <c r="E5042" t="s">
        <v>42</v>
      </c>
      <c r="F5042" t="s">
        <v>43</v>
      </c>
      <c r="G5042" t="s">
        <v>43</v>
      </c>
      <c r="H5042" t="s">
        <v>43</v>
      </c>
      <c r="I5042" t="s">
        <v>43</v>
      </c>
      <c r="J5042" t="s">
        <v>43</v>
      </c>
      <c r="K5042" t="s">
        <v>43</v>
      </c>
      <c r="L5042" t="s">
        <v>43</v>
      </c>
      <c r="M5042" t="s">
        <v>43</v>
      </c>
      <c r="N5042" t="s">
        <v>45</v>
      </c>
      <c r="O5042" t="s">
        <v>43</v>
      </c>
      <c r="P5042" t="s">
        <v>43</v>
      </c>
      <c r="Q5042" t="s">
        <v>43</v>
      </c>
      <c r="R5042" t="s">
        <v>43</v>
      </c>
      <c r="S5042" t="s">
        <v>43</v>
      </c>
      <c r="T5042" t="s">
        <v>43</v>
      </c>
      <c r="U5042" t="s">
        <v>43</v>
      </c>
      <c r="V5042" t="s">
        <v>43</v>
      </c>
      <c r="W5042" t="s">
        <v>43</v>
      </c>
      <c r="X5042" t="s">
        <v>43</v>
      </c>
      <c r="Y5042" t="s">
        <v>43</v>
      </c>
      <c r="Z5042" t="s">
        <v>43</v>
      </c>
      <c r="AA5042" t="s">
        <v>43</v>
      </c>
      <c r="AB5042" t="s">
        <v>43</v>
      </c>
      <c r="AC5042" t="s">
        <v>43</v>
      </c>
      <c r="AD5042" t="s">
        <v>43</v>
      </c>
      <c r="AE5042" t="s">
        <v>43</v>
      </c>
      <c r="AF5042" t="s">
        <v>43</v>
      </c>
      <c r="AG5042" t="s">
        <v>43</v>
      </c>
      <c r="AH5042" t="s">
        <v>43</v>
      </c>
      <c r="AI5042" t="s">
        <v>43</v>
      </c>
      <c r="AJ5042" t="s">
        <v>43</v>
      </c>
      <c r="AK5042" t="s">
        <v>43</v>
      </c>
      <c r="AL5042" t="s">
        <v>43</v>
      </c>
      <c r="AM5042" t="s">
        <v>43</v>
      </c>
      <c r="AN5042" t="s">
        <v>43</v>
      </c>
    </row>
    <row r="5043" spans="1:40" x14ac:dyDescent="0.3">
      <c r="A5043" s="1">
        <v>46210.415625000001</v>
      </c>
      <c r="B5043" t="s">
        <v>40</v>
      </c>
      <c r="C5043" t="s">
        <v>41</v>
      </c>
      <c r="D5043" s="1">
        <v>46210.418437499997</v>
      </c>
      <c r="E5043" t="s">
        <v>42</v>
      </c>
      <c r="F5043" t="s">
        <v>43</v>
      </c>
      <c r="G5043" t="s">
        <v>43</v>
      </c>
      <c r="H5043" t="s">
        <v>43</v>
      </c>
      <c r="I5043" t="s">
        <v>2894</v>
      </c>
      <c r="J5043" t="s">
        <v>43</v>
      </c>
      <c r="K5043" t="s">
        <v>43</v>
      </c>
      <c r="L5043" t="s">
        <v>43</v>
      </c>
      <c r="M5043" t="s">
        <v>43</v>
      </c>
      <c r="N5043" t="s">
        <v>45</v>
      </c>
      <c r="O5043" t="s">
        <v>43</v>
      </c>
      <c r="P5043" t="s">
        <v>43</v>
      </c>
      <c r="Q5043" t="s">
        <v>43</v>
      </c>
      <c r="R5043" t="s">
        <v>43</v>
      </c>
      <c r="S5043" t="s">
        <v>43</v>
      </c>
      <c r="T5043" t="s">
        <v>43</v>
      </c>
      <c r="U5043" t="s">
        <v>43</v>
      </c>
      <c r="V5043" t="s">
        <v>43</v>
      </c>
      <c r="W5043" t="s">
        <v>43</v>
      </c>
      <c r="X5043" t="s">
        <v>43</v>
      </c>
      <c r="Y5043" t="s">
        <v>43</v>
      </c>
      <c r="Z5043" t="s">
        <v>43</v>
      </c>
      <c r="AA5043" t="s">
        <v>43</v>
      </c>
      <c r="AB5043" t="s">
        <v>43</v>
      </c>
      <c r="AC5043" t="s">
        <v>43</v>
      </c>
      <c r="AD5043" t="s">
        <v>43</v>
      </c>
      <c r="AE5043" t="s">
        <v>43</v>
      </c>
      <c r="AF5043" t="s">
        <v>43</v>
      </c>
      <c r="AG5043" t="s">
        <v>43</v>
      </c>
      <c r="AH5043" t="s">
        <v>43</v>
      </c>
      <c r="AI5043" t="s">
        <v>43</v>
      </c>
      <c r="AJ5043" t="s">
        <v>43</v>
      </c>
      <c r="AK5043" t="s">
        <v>43</v>
      </c>
      <c r="AL5043" t="s">
        <v>43</v>
      </c>
      <c r="AM5043" t="s">
        <v>43</v>
      </c>
      <c r="AN5043" t="str">
        <f>HYPERLINK("https://www.google.com/maps?q=10.83226967,79.84024048","Open Location")</f>
        <v>Open Location</v>
      </c>
    </row>
    <row r="5044" spans="1:40" x14ac:dyDescent="0.3">
      <c r="A5044" s="1">
        <v>46210.415509259263</v>
      </c>
      <c r="B5044" t="s">
        <v>40</v>
      </c>
      <c r="C5044" t="s">
        <v>41</v>
      </c>
      <c r="D5044" s="1">
        <v>46210.418495370373</v>
      </c>
      <c r="E5044" t="s">
        <v>42</v>
      </c>
      <c r="F5044" t="s">
        <v>43</v>
      </c>
      <c r="G5044" t="s">
        <v>43</v>
      </c>
      <c r="H5044" t="s">
        <v>43</v>
      </c>
      <c r="I5044" t="s">
        <v>2883</v>
      </c>
      <c r="J5044" t="s">
        <v>43</v>
      </c>
      <c r="K5044" t="s">
        <v>43</v>
      </c>
      <c r="L5044" t="s">
        <v>43</v>
      </c>
      <c r="M5044" t="s">
        <v>43</v>
      </c>
      <c r="N5044" t="s">
        <v>45</v>
      </c>
      <c r="O5044" t="s">
        <v>43</v>
      </c>
      <c r="P5044" t="s">
        <v>43</v>
      </c>
      <c r="Q5044" t="s">
        <v>43</v>
      </c>
      <c r="R5044" t="s">
        <v>43</v>
      </c>
      <c r="S5044" t="s">
        <v>43</v>
      </c>
      <c r="T5044" t="s">
        <v>43</v>
      </c>
      <c r="U5044" t="s">
        <v>43</v>
      </c>
      <c r="V5044" t="s">
        <v>43</v>
      </c>
      <c r="W5044" t="s">
        <v>43</v>
      </c>
      <c r="X5044" t="s">
        <v>43</v>
      </c>
      <c r="Y5044" t="s">
        <v>43</v>
      </c>
      <c r="Z5044" t="s">
        <v>43</v>
      </c>
      <c r="AA5044" t="s">
        <v>43</v>
      </c>
      <c r="AB5044" t="s">
        <v>43</v>
      </c>
      <c r="AC5044" t="s">
        <v>43</v>
      </c>
      <c r="AD5044" t="s">
        <v>43</v>
      </c>
      <c r="AE5044" t="s">
        <v>43</v>
      </c>
      <c r="AF5044" t="s">
        <v>43</v>
      </c>
      <c r="AG5044" t="s">
        <v>43</v>
      </c>
      <c r="AH5044" t="s">
        <v>43</v>
      </c>
      <c r="AI5044" t="s">
        <v>43</v>
      </c>
      <c r="AJ5044" t="s">
        <v>43</v>
      </c>
      <c r="AK5044" t="s">
        <v>43</v>
      </c>
      <c r="AL5044" t="s">
        <v>43</v>
      </c>
      <c r="AM5044" t="s">
        <v>43</v>
      </c>
      <c r="AN5044" t="str">
        <f>HYPERLINK("https://www.google.com/maps?q=10.83226681,79.84024048","Open Location")</f>
        <v>Open Location</v>
      </c>
    </row>
    <row r="5045" spans="1:40" x14ac:dyDescent="0.3">
      <c r="A5045" s="1">
        <v>46210.415393518517</v>
      </c>
      <c r="B5045" t="s">
        <v>40</v>
      </c>
      <c r="C5045" t="s">
        <v>41</v>
      </c>
      <c r="D5045" s="1">
        <v>46210.418379629627</v>
      </c>
      <c r="E5045" t="s">
        <v>42</v>
      </c>
      <c r="F5045" t="s">
        <v>43</v>
      </c>
      <c r="G5045" t="s">
        <v>43</v>
      </c>
      <c r="H5045" t="s">
        <v>43</v>
      </c>
      <c r="I5045" t="s">
        <v>2883</v>
      </c>
      <c r="J5045" t="s">
        <v>43</v>
      </c>
      <c r="K5045" t="s">
        <v>43</v>
      </c>
      <c r="L5045" t="s">
        <v>43</v>
      </c>
      <c r="M5045" t="s">
        <v>43</v>
      </c>
      <c r="N5045" t="s">
        <v>45</v>
      </c>
      <c r="O5045" t="s">
        <v>43</v>
      </c>
      <c r="P5045" t="s">
        <v>43</v>
      </c>
      <c r="Q5045" t="s">
        <v>43</v>
      </c>
      <c r="R5045" t="s">
        <v>43</v>
      </c>
      <c r="S5045" t="s">
        <v>43</v>
      </c>
      <c r="T5045" t="s">
        <v>43</v>
      </c>
      <c r="U5045" t="s">
        <v>43</v>
      </c>
      <c r="V5045" t="s">
        <v>43</v>
      </c>
      <c r="W5045" t="s">
        <v>43</v>
      </c>
      <c r="X5045" t="s">
        <v>43</v>
      </c>
      <c r="Y5045" t="s">
        <v>43</v>
      </c>
      <c r="Z5045" t="s">
        <v>43</v>
      </c>
      <c r="AA5045" t="s">
        <v>43</v>
      </c>
      <c r="AB5045" t="s">
        <v>43</v>
      </c>
      <c r="AC5045" t="s">
        <v>43</v>
      </c>
      <c r="AD5045" t="s">
        <v>43</v>
      </c>
      <c r="AE5045" t="s">
        <v>43</v>
      </c>
      <c r="AF5045" t="s">
        <v>43</v>
      </c>
      <c r="AG5045" t="s">
        <v>43</v>
      </c>
      <c r="AH5045" t="s">
        <v>43</v>
      </c>
      <c r="AI5045" t="s">
        <v>43</v>
      </c>
      <c r="AJ5045" t="s">
        <v>43</v>
      </c>
      <c r="AK5045" t="s">
        <v>43</v>
      </c>
      <c r="AL5045" t="s">
        <v>43</v>
      </c>
      <c r="AM5045" t="s">
        <v>43</v>
      </c>
      <c r="AN5045" t="str">
        <f>HYPERLINK("https://www.google.com/maps?q=10.83226681,79.84024048","Open Location")</f>
        <v>Open Location</v>
      </c>
    </row>
    <row r="5046" spans="1:40" x14ac:dyDescent="0.3">
      <c r="A5046" s="1">
        <v>46210.415277777778</v>
      </c>
      <c r="B5046" t="s">
        <v>40</v>
      </c>
      <c r="C5046" t="s">
        <v>41</v>
      </c>
      <c r="D5046" s="1">
        <v>46210.418020833335</v>
      </c>
      <c r="E5046" t="s">
        <v>42</v>
      </c>
      <c r="F5046" t="s">
        <v>43</v>
      </c>
      <c r="G5046" t="s">
        <v>43</v>
      </c>
      <c r="H5046" t="s">
        <v>43</v>
      </c>
      <c r="I5046" t="s">
        <v>2883</v>
      </c>
      <c r="J5046" t="s">
        <v>43</v>
      </c>
      <c r="K5046" t="s">
        <v>43</v>
      </c>
      <c r="L5046" t="s">
        <v>43</v>
      </c>
      <c r="M5046" t="s">
        <v>43</v>
      </c>
      <c r="N5046" t="s">
        <v>45</v>
      </c>
      <c r="O5046" t="s">
        <v>43</v>
      </c>
      <c r="P5046" t="s">
        <v>43</v>
      </c>
      <c r="Q5046" t="s">
        <v>43</v>
      </c>
      <c r="R5046" t="s">
        <v>43</v>
      </c>
      <c r="S5046" t="s">
        <v>43</v>
      </c>
      <c r="T5046" t="s">
        <v>43</v>
      </c>
      <c r="U5046" t="s">
        <v>43</v>
      </c>
      <c r="V5046" t="s">
        <v>43</v>
      </c>
      <c r="W5046" t="s">
        <v>43</v>
      </c>
      <c r="X5046" t="s">
        <v>43</v>
      </c>
      <c r="Y5046" t="s">
        <v>43</v>
      </c>
      <c r="Z5046" t="s">
        <v>43</v>
      </c>
      <c r="AA5046" t="s">
        <v>43</v>
      </c>
      <c r="AB5046" t="s">
        <v>43</v>
      </c>
      <c r="AC5046" t="s">
        <v>43</v>
      </c>
      <c r="AD5046" t="s">
        <v>43</v>
      </c>
      <c r="AE5046" t="s">
        <v>43</v>
      </c>
      <c r="AF5046" t="s">
        <v>43</v>
      </c>
      <c r="AG5046" t="s">
        <v>43</v>
      </c>
      <c r="AH5046" t="s">
        <v>43</v>
      </c>
      <c r="AI5046" t="s">
        <v>43</v>
      </c>
      <c r="AJ5046" t="s">
        <v>43</v>
      </c>
      <c r="AK5046" t="s">
        <v>43</v>
      </c>
      <c r="AL5046" t="s">
        <v>43</v>
      </c>
      <c r="AM5046" t="s">
        <v>43</v>
      </c>
      <c r="AN5046" t="str">
        <f>HYPERLINK("https://www.google.com/maps?q=10.83226681,79.84024048","Open Location")</f>
        <v>Open Location</v>
      </c>
    </row>
    <row r="5047" spans="1:40" x14ac:dyDescent="0.3">
      <c r="A5047" s="1">
        <v>46210.415162037039</v>
      </c>
      <c r="B5047" t="s">
        <v>40</v>
      </c>
      <c r="C5047" t="s">
        <v>41</v>
      </c>
      <c r="D5047" s="1">
        <v>46210.418020833335</v>
      </c>
      <c r="E5047" t="s">
        <v>42</v>
      </c>
      <c r="F5047" t="s">
        <v>43</v>
      </c>
      <c r="G5047" t="s">
        <v>43</v>
      </c>
      <c r="H5047" t="s">
        <v>43</v>
      </c>
      <c r="I5047" t="s">
        <v>43</v>
      </c>
      <c r="J5047" t="s">
        <v>43</v>
      </c>
      <c r="K5047" t="s">
        <v>43</v>
      </c>
      <c r="L5047" t="s">
        <v>43</v>
      </c>
      <c r="M5047" t="s">
        <v>43</v>
      </c>
      <c r="N5047" t="s">
        <v>45</v>
      </c>
      <c r="O5047" t="s">
        <v>43</v>
      </c>
      <c r="P5047" t="s">
        <v>43</v>
      </c>
      <c r="Q5047" t="s">
        <v>43</v>
      </c>
      <c r="R5047" t="s">
        <v>43</v>
      </c>
      <c r="S5047" t="s">
        <v>43</v>
      </c>
      <c r="T5047" t="s">
        <v>43</v>
      </c>
      <c r="U5047" t="s">
        <v>43</v>
      </c>
      <c r="V5047" t="s">
        <v>43</v>
      </c>
      <c r="W5047" t="s">
        <v>43</v>
      </c>
      <c r="X5047" t="s">
        <v>43</v>
      </c>
      <c r="Y5047" t="s">
        <v>43</v>
      </c>
      <c r="Z5047" t="s">
        <v>43</v>
      </c>
      <c r="AA5047" t="s">
        <v>43</v>
      </c>
      <c r="AB5047" t="s">
        <v>43</v>
      </c>
      <c r="AC5047" t="s">
        <v>43</v>
      </c>
      <c r="AD5047" t="s">
        <v>43</v>
      </c>
      <c r="AE5047" t="s">
        <v>43</v>
      </c>
      <c r="AF5047" t="s">
        <v>43</v>
      </c>
      <c r="AG5047" t="s">
        <v>43</v>
      </c>
      <c r="AH5047" t="s">
        <v>43</v>
      </c>
      <c r="AI5047" t="s">
        <v>43</v>
      </c>
      <c r="AJ5047" t="s">
        <v>43</v>
      </c>
      <c r="AK5047" t="s">
        <v>43</v>
      </c>
      <c r="AL5047" t="s">
        <v>43</v>
      </c>
      <c r="AM5047" t="s">
        <v>43</v>
      </c>
      <c r="AN5047" t="s">
        <v>43</v>
      </c>
    </row>
    <row r="5048" spans="1:40" x14ac:dyDescent="0.3">
      <c r="A5048" s="1">
        <v>46210.415046296293</v>
      </c>
      <c r="B5048" t="s">
        <v>40</v>
      </c>
      <c r="C5048" t="s">
        <v>41</v>
      </c>
      <c r="D5048" s="1">
        <v>46210.417719907404</v>
      </c>
      <c r="E5048" t="s">
        <v>42</v>
      </c>
      <c r="F5048" t="s">
        <v>43</v>
      </c>
      <c r="G5048" t="s">
        <v>43</v>
      </c>
      <c r="H5048" t="s">
        <v>43</v>
      </c>
      <c r="I5048" t="s">
        <v>2894</v>
      </c>
      <c r="J5048" t="s">
        <v>43</v>
      </c>
      <c r="K5048" t="s">
        <v>43</v>
      </c>
      <c r="L5048" t="s">
        <v>43</v>
      </c>
      <c r="M5048" t="s">
        <v>43</v>
      </c>
      <c r="N5048" t="s">
        <v>45</v>
      </c>
      <c r="O5048" t="s">
        <v>43</v>
      </c>
      <c r="P5048" t="s">
        <v>43</v>
      </c>
      <c r="Q5048" t="s">
        <v>43</v>
      </c>
      <c r="R5048" t="s">
        <v>43</v>
      </c>
      <c r="S5048" t="s">
        <v>43</v>
      </c>
      <c r="T5048" t="s">
        <v>43</v>
      </c>
      <c r="U5048" t="s">
        <v>43</v>
      </c>
      <c r="V5048" t="s">
        <v>43</v>
      </c>
      <c r="W5048" t="s">
        <v>43</v>
      </c>
      <c r="X5048" t="s">
        <v>43</v>
      </c>
      <c r="Y5048" t="s">
        <v>43</v>
      </c>
      <c r="Z5048" t="s">
        <v>43</v>
      </c>
      <c r="AA5048" t="s">
        <v>43</v>
      </c>
      <c r="AB5048" t="s">
        <v>43</v>
      </c>
      <c r="AC5048" t="s">
        <v>43</v>
      </c>
      <c r="AD5048" t="s">
        <v>43</v>
      </c>
      <c r="AE5048" t="s">
        <v>43</v>
      </c>
      <c r="AF5048" t="s">
        <v>43</v>
      </c>
      <c r="AG5048" t="s">
        <v>43</v>
      </c>
      <c r="AH5048" t="s">
        <v>43</v>
      </c>
      <c r="AI5048" t="s">
        <v>43</v>
      </c>
      <c r="AJ5048" t="s">
        <v>43</v>
      </c>
      <c r="AK5048" t="s">
        <v>43</v>
      </c>
      <c r="AL5048" t="s">
        <v>43</v>
      </c>
      <c r="AM5048" t="s">
        <v>43</v>
      </c>
      <c r="AN5048" t="str">
        <f>HYPERLINK("https://www.google.com/maps?q=10.83226967,79.84024048","Open Location")</f>
        <v>Open Location</v>
      </c>
    </row>
    <row r="5049" spans="1:40" x14ac:dyDescent="0.3">
      <c r="A5049" s="1">
        <v>46210.414930555555</v>
      </c>
      <c r="B5049" t="s">
        <v>40</v>
      </c>
      <c r="C5049" t="s">
        <v>41</v>
      </c>
      <c r="D5049" s="1">
        <v>46210.417870370373</v>
      </c>
      <c r="E5049" t="s">
        <v>42</v>
      </c>
      <c r="F5049" t="s">
        <v>43</v>
      </c>
      <c r="G5049" t="s">
        <v>43</v>
      </c>
      <c r="H5049" t="s">
        <v>43</v>
      </c>
      <c r="I5049" t="s">
        <v>2895</v>
      </c>
      <c r="J5049" t="s">
        <v>43</v>
      </c>
      <c r="K5049" t="s">
        <v>43</v>
      </c>
      <c r="L5049" t="s">
        <v>43</v>
      </c>
      <c r="M5049" t="s">
        <v>43</v>
      </c>
      <c r="N5049" t="s">
        <v>45</v>
      </c>
      <c r="O5049" t="s">
        <v>43</v>
      </c>
      <c r="P5049" t="s">
        <v>43</v>
      </c>
      <c r="Q5049" t="s">
        <v>43</v>
      </c>
      <c r="R5049" t="s">
        <v>43</v>
      </c>
      <c r="S5049" t="s">
        <v>43</v>
      </c>
      <c r="T5049" t="s">
        <v>43</v>
      </c>
      <c r="U5049" t="s">
        <v>43</v>
      </c>
      <c r="V5049" t="s">
        <v>43</v>
      </c>
      <c r="W5049" t="s">
        <v>43</v>
      </c>
      <c r="X5049" t="s">
        <v>43</v>
      </c>
      <c r="Y5049" t="s">
        <v>43</v>
      </c>
      <c r="Z5049" t="s">
        <v>43</v>
      </c>
      <c r="AA5049" t="s">
        <v>43</v>
      </c>
      <c r="AB5049" t="s">
        <v>43</v>
      </c>
      <c r="AC5049" t="s">
        <v>43</v>
      </c>
      <c r="AD5049" t="s">
        <v>43</v>
      </c>
      <c r="AE5049" t="s">
        <v>43</v>
      </c>
      <c r="AF5049" t="s">
        <v>43</v>
      </c>
      <c r="AG5049" t="s">
        <v>43</v>
      </c>
      <c r="AH5049" t="s">
        <v>43</v>
      </c>
      <c r="AI5049" t="s">
        <v>43</v>
      </c>
      <c r="AJ5049" t="s">
        <v>43</v>
      </c>
      <c r="AK5049" t="s">
        <v>43</v>
      </c>
      <c r="AL5049" t="s">
        <v>43</v>
      </c>
      <c r="AM5049" t="s">
        <v>43</v>
      </c>
      <c r="AN5049" t="str">
        <f>HYPERLINK("https://www.google.com/maps?q=10.83227158,79.84023285","Open Location")</f>
        <v>Open Location</v>
      </c>
    </row>
    <row r="5050" spans="1:40" x14ac:dyDescent="0.3">
      <c r="A5050" s="1">
        <v>46210.414814814816</v>
      </c>
      <c r="B5050" t="s">
        <v>40</v>
      </c>
      <c r="C5050" t="s">
        <v>41</v>
      </c>
      <c r="D5050" s="1">
        <v>46210.417511574073</v>
      </c>
      <c r="E5050" t="s">
        <v>42</v>
      </c>
      <c r="F5050" t="s">
        <v>43</v>
      </c>
      <c r="G5050" t="s">
        <v>43</v>
      </c>
      <c r="H5050" t="s">
        <v>43</v>
      </c>
      <c r="I5050" t="s">
        <v>2895</v>
      </c>
      <c r="J5050" t="s">
        <v>43</v>
      </c>
      <c r="K5050" t="s">
        <v>43</v>
      </c>
      <c r="L5050" t="s">
        <v>43</v>
      </c>
      <c r="M5050" t="s">
        <v>43</v>
      </c>
      <c r="N5050" t="s">
        <v>45</v>
      </c>
      <c r="O5050" t="s">
        <v>43</v>
      </c>
      <c r="P5050" t="s">
        <v>43</v>
      </c>
      <c r="Q5050" t="s">
        <v>43</v>
      </c>
      <c r="R5050" t="s">
        <v>43</v>
      </c>
      <c r="S5050" t="s">
        <v>43</v>
      </c>
      <c r="T5050" t="s">
        <v>43</v>
      </c>
      <c r="U5050" t="s">
        <v>43</v>
      </c>
      <c r="V5050" t="s">
        <v>43</v>
      </c>
      <c r="W5050" t="s">
        <v>43</v>
      </c>
      <c r="X5050" t="s">
        <v>43</v>
      </c>
      <c r="Y5050" t="s">
        <v>43</v>
      </c>
      <c r="Z5050" t="s">
        <v>43</v>
      </c>
      <c r="AA5050" t="s">
        <v>43</v>
      </c>
      <c r="AB5050" t="s">
        <v>43</v>
      </c>
      <c r="AC5050" t="s">
        <v>43</v>
      </c>
      <c r="AD5050" t="s">
        <v>43</v>
      </c>
      <c r="AE5050" t="s">
        <v>43</v>
      </c>
      <c r="AF5050" t="s">
        <v>43</v>
      </c>
      <c r="AG5050" t="s">
        <v>43</v>
      </c>
      <c r="AH5050" t="s">
        <v>43</v>
      </c>
      <c r="AI5050" t="s">
        <v>43</v>
      </c>
      <c r="AJ5050" t="s">
        <v>43</v>
      </c>
      <c r="AK5050" t="s">
        <v>43</v>
      </c>
      <c r="AL5050" t="s">
        <v>43</v>
      </c>
      <c r="AM5050" t="s">
        <v>43</v>
      </c>
      <c r="AN5050" t="str">
        <f>HYPERLINK("https://www.google.com/maps?q=10.83227158,79.84023285","Open Location")</f>
        <v>Open Location</v>
      </c>
    </row>
    <row r="5051" spans="1:40" x14ac:dyDescent="0.3">
      <c r="A5051" s="1">
        <v>46210.414699074077</v>
      </c>
      <c r="B5051" t="s">
        <v>40</v>
      </c>
      <c r="C5051" t="s">
        <v>41</v>
      </c>
      <c r="D5051" s="1">
        <v>46210.417974537035</v>
      </c>
      <c r="E5051" t="s">
        <v>42</v>
      </c>
      <c r="F5051" t="s">
        <v>43</v>
      </c>
      <c r="G5051" t="s">
        <v>43</v>
      </c>
      <c r="H5051" t="s">
        <v>43</v>
      </c>
      <c r="I5051" t="s">
        <v>2896</v>
      </c>
      <c r="J5051" t="s">
        <v>43</v>
      </c>
      <c r="K5051" t="s">
        <v>43</v>
      </c>
      <c r="L5051" t="s">
        <v>43</v>
      </c>
      <c r="M5051" t="s">
        <v>43</v>
      </c>
      <c r="N5051" t="s">
        <v>45</v>
      </c>
      <c r="O5051" t="s">
        <v>43</v>
      </c>
      <c r="P5051" t="s">
        <v>43</v>
      </c>
      <c r="Q5051" t="s">
        <v>43</v>
      </c>
      <c r="R5051" t="s">
        <v>43</v>
      </c>
      <c r="S5051" t="s">
        <v>43</v>
      </c>
      <c r="T5051" t="s">
        <v>43</v>
      </c>
      <c r="U5051" t="s">
        <v>43</v>
      </c>
      <c r="V5051" t="s">
        <v>43</v>
      </c>
      <c r="W5051" t="s">
        <v>43</v>
      </c>
      <c r="X5051" t="s">
        <v>43</v>
      </c>
      <c r="Y5051" t="s">
        <v>43</v>
      </c>
      <c r="Z5051" t="s">
        <v>43</v>
      </c>
      <c r="AA5051" t="s">
        <v>43</v>
      </c>
      <c r="AB5051" t="s">
        <v>43</v>
      </c>
      <c r="AC5051" t="s">
        <v>43</v>
      </c>
      <c r="AD5051" t="s">
        <v>43</v>
      </c>
      <c r="AE5051" t="s">
        <v>43</v>
      </c>
      <c r="AF5051" t="s">
        <v>43</v>
      </c>
      <c r="AG5051" t="s">
        <v>43</v>
      </c>
      <c r="AH5051" t="s">
        <v>43</v>
      </c>
      <c r="AI5051" t="s">
        <v>43</v>
      </c>
      <c r="AJ5051" t="s">
        <v>43</v>
      </c>
      <c r="AK5051" t="s">
        <v>43</v>
      </c>
      <c r="AL5051" t="s">
        <v>43</v>
      </c>
      <c r="AM5051" t="s">
        <v>43</v>
      </c>
      <c r="AN5051" t="str">
        <f>HYPERLINK("https://www.google.com/maps?q=10.83227062,79.84022522","Open Location")</f>
        <v>Open Location</v>
      </c>
    </row>
    <row r="5052" spans="1:40" x14ac:dyDescent="0.3">
      <c r="A5052" s="1">
        <v>46210.414583333331</v>
      </c>
      <c r="B5052" t="s">
        <v>40</v>
      </c>
      <c r="C5052" t="s">
        <v>41</v>
      </c>
      <c r="D5052" s="1">
        <v>46210.417326388888</v>
      </c>
      <c r="E5052" t="s">
        <v>42</v>
      </c>
      <c r="F5052" t="s">
        <v>43</v>
      </c>
      <c r="G5052" t="s">
        <v>43</v>
      </c>
      <c r="H5052" t="s">
        <v>43</v>
      </c>
      <c r="I5052" t="s">
        <v>2706</v>
      </c>
      <c r="J5052" t="s">
        <v>43</v>
      </c>
      <c r="K5052" t="s">
        <v>43</v>
      </c>
      <c r="L5052" t="s">
        <v>43</v>
      </c>
      <c r="M5052" t="s">
        <v>43</v>
      </c>
      <c r="N5052" t="s">
        <v>45</v>
      </c>
      <c r="O5052" t="s">
        <v>43</v>
      </c>
      <c r="P5052" t="s">
        <v>43</v>
      </c>
      <c r="Q5052" t="s">
        <v>43</v>
      </c>
      <c r="R5052" t="s">
        <v>43</v>
      </c>
      <c r="S5052" t="s">
        <v>43</v>
      </c>
      <c r="T5052" t="s">
        <v>43</v>
      </c>
      <c r="U5052" t="s">
        <v>43</v>
      </c>
      <c r="V5052" t="s">
        <v>43</v>
      </c>
      <c r="W5052" t="s">
        <v>43</v>
      </c>
      <c r="X5052" t="s">
        <v>43</v>
      </c>
      <c r="Y5052" t="s">
        <v>43</v>
      </c>
      <c r="Z5052" t="s">
        <v>43</v>
      </c>
      <c r="AA5052" t="s">
        <v>43</v>
      </c>
      <c r="AB5052" t="s">
        <v>43</v>
      </c>
      <c r="AC5052" t="s">
        <v>43</v>
      </c>
      <c r="AD5052" t="s">
        <v>43</v>
      </c>
      <c r="AE5052" t="s">
        <v>43</v>
      </c>
      <c r="AF5052" t="s">
        <v>43</v>
      </c>
      <c r="AG5052" t="s">
        <v>43</v>
      </c>
      <c r="AH5052" t="s">
        <v>43</v>
      </c>
      <c r="AI5052" t="s">
        <v>43</v>
      </c>
      <c r="AJ5052" t="s">
        <v>43</v>
      </c>
      <c r="AK5052" t="s">
        <v>43</v>
      </c>
      <c r="AL5052" t="s">
        <v>43</v>
      </c>
      <c r="AM5052" t="s">
        <v>43</v>
      </c>
      <c r="AN5052" t="str">
        <f>HYPERLINK("https://www.google.com/maps?q=10.83226681,79.84021759","Open Location")</f>
        <v>Open Location</v>
      </c>
    </row>
    <row r="5053" spans="1:40" x14ac:dyDescent="0.3">
      <c r="A5053" s="1">
        <v>46210.414467592593</v>
      </c>
      <c r="B5053" t="s">
        <v>40</v>
      </c>
      <c r="C5053" t="s">
        <v>41</v>
      </c>
      <c r="D5053" s="1">
        <v>46210.417245370372</v>
      </c>
      <c r="E5053" t="s">
        <v>42</v>
      </c>
      <c r="F5053" t="s">
        <v>43</v>
      </c>
      <c r="G5053" t="s">
        <v>43</v>
      </c>
      <c r="H5053" t="s">
        <v>43</v>
      </c>
      <c r="I5053" t="s">
        <v>43</v>
      </c>
      <c r="J5053" t="s">
        <v>43</v>
      </c>
      <c r="K5053" t="s">
        <v>43</v>
      </c>
      <c r="L5053" t="s">
        <v>43</v>
      </c>
      <c r="M5053" t="s">
        <v>43</v>
      </c>
      <c r="N5053" t="s">
        <v>45</v>
      </c>
      <c r="O5053" t="s">
        <v>43</v>
      </c>
      <c r="P5053" t="s">
        <v>43</v>
      </c>
      <c r="Q5053" t="s">
        <v>43</v>
      </c>
      <c r="R5053" t="s">
        <v>43</v>
      </c>
      <c r="S5053" t="s">
        <v>43</v>
      </c>
      <c r="T5053" t="s">
        <v>43</v>
      </c>
      <c r="U5053" t="s">
        <v>43</v>
      </c>
      <c r="V5053" t="s">
        <v>43</v>
      </c>
      <c r="W5053" t="s">
        <v>43</v>
      </c>
      <c r="X5053" t="s">
        <v>43</v>
      </c>
      <c r="Y5053" t="s">
        <v>43</v>
      </c>
      <c r="Z5053" t="s">
        <v>43</v>
      </c>
      <c r="AA5053" t="s">
        <v>43</v>
      </c>
      <c r="AB5053" t="s">
        <v>43</v>
      </c>
      <c r="AC5053" t="s">
        <v>43</v>
      </c>
      <c r="AD5053" t="s">
        <v>43</v>
      </c>
      <c r="AE5053" t="s">
        <v>43</v>
      </c>
      <c r="AF5053" t="s">
        <v>43</v>
      </c>
      <c r="AG5053" t="s">
        <v>43</v>
      </c>
      <c r="AH5053" t="s">
        <v>43</v>
      </c>
      <c r="AI5053" t="s">
        <v>43</v>
      </c>
      <c r="AJ5053" t="s">
        <v>43</v>
      </c>
      <c r="AK5053" t="s">
        <v>43</v>
      </c>
      <c r="AL5053" t="s">
        <v>43</v>
      </c>
      <c r="AM5053" t="s">
        <v>43</v>
      </c>
      <c r="AN5053" t="s">
        <v>43</v>
      </c>
    </row>
    <row r="5054" spans="1:40" x14ac:dyDescent="0.3">
      <c r="A5054" s="1">
        <v>46210.414351851854</v>
      </c>
      <c r="B5054" t="s">
        <v>40</v>
      </c>
      <c r="C5054" t="s">
        <v>41</v>
      </c>
      <c r="D5054" s="1">
        <v>46210.417164351849</v>
      </c>
      <c r="E5054" t="s">
        <v>42</v>
      </c>
      <c r="F5054" t="s">
        <v>43</v>
      </c>
      <c r="G5054" t="s">
        <v>43</v>
      </c>
      <c r="H5054" t="s">
        <v>43</v>
      </c>
      <c r="I5054" t="s">
        <v>2897</v>
      </c>
      <c r="J5054" t="s">
        <v>43</v>
      </c>
      <c r="K5054" t="s">
        <v>43</v>
      </c>
      <c r="L5054" t="s">
        <v>43</v>
      </c>
      <c r="M5054" t="s">
        <v>43</v>
      </c>
      <c r="N5054" t="s">
        <v>45</v>
      </c>
      <c r="O5054" t="s">
        <v>43</v>
      </c>
      <c r="P5054" t="s">
        <v>43</v>
      </c>
      <c r="Q5054" t="s">
        <v>43</v>
      </c>
      <c r="R5054" t="s">
        <v>43</v>
      </c>
      <c r="S5054" t="s">
        <v>43</v>
      </c>
      <c r="T5054" t="s">
        <v>43</v>
      </c>
      <c r="U5054" t="s">
        <v>43</v>
      </c>
      <c r="V5054" t="s">
        <v>43</v>
      </c>
      <c r="W5054" t="s">
        <v>43</v>
      </c>
      <c r="X5054" t="s">
        <v>43</v>
      </c>
      <c r="Y5054" t="s">
        <v>43</v>
      </c>
      <c r="Z5054" t="s">
        <v>43</v>
      </c>
      <c r="AA5054" t="s">
        <v>43</v>
      </c>
      <c r="AB5054" t="s">
        <v>43</v>
      </c>
      <c r="AC5054" t="s">
        <v>43</v>
      </c>
      <c r="AD5054" t="s">
        <v>43</v>
      </c>
      <c r="AE5054" t="s">
        <v>43</v>
      </c>
      <c r="AF5054" t="s">
        <v>43</v>
      </c>
      <c r="AG5054" t="s">
        <v>43</v>
      </c>
      <c r="AH5054" t="s">
        <v>43</v>
      </c>
      <c r="AI5054" t="s">
        <v>43</v>
      </c>
      <c r="AJ5054" t="s">
        <v>43</v>
      </c>
      <c r="AK5054" t="s">
        <v>43</v>
      </c>
      <c r="AL5054" t="s">
        <v>43</v>
      </c>
      <c r="AM5054" t="s">
        <v>43</v>
      </c>
      <c r="AN5054" t="str">
        <f>HYPERLINK("https://www.google.com/maps?q=10.83226204,79.84021759","Open Location")</f>
        <v>Open Location</v>
      </c>
    </row>
    <row r="5055" spans="1:40" x14ac:dyDescent="0.3">
      <c r="A5055" s="1">
        <v>46210.414236111108</v>
      </c>
      <c r="B5055" t="s">
        <v>40</v>
      </c>
      <c r="C5055" t="s">
        <v>41</v>
      </c>
      <c r="D5055" s="1">
        <v>46210.41710648148</v>
      </c>
      <c r="E5055" t="s">
        <v>42</v>
      </c>
      <c r="F5055" t="s">
        <v>43</v>
      </c>
      <c r="G5055" t="s">
        <v>43</v>
      </c>
      <c r="H5055" t="s">
        <v>43</v>
      </c>
      <c r="I5055" t="s">
        <v>2696</v>
      </c>
      <c r="J5055" t="s">
        <v>43</v>
      </c>
      <c r="K5055" t="s">
        <v>43</v>
      </c>
      <c r="L5055" t="s">
        <v>43</v>
      </c>
      <c r="M5055" t="s">
        <v>43</v>
      </c>
      <c r="N5055" t="s">
        <v>45</v>
      </c>
      <c r="O5055" t="s">
        <v>43</v>
      </c>
      <c r="P5055" t="s">
        <v>43</v>
      </c>
      <c r="Q5055" t="s">
        <v>43</v>
      </c>
      <c r="R5055" t="s">
        <v>43</v>
      </c>
      <c r="S5055" t="s">
        <v>43</v>
      </c>
      <c r="T5055" t="s">
        <v>43</v>
      </c>
      <c r="U5055" t="s">
        <v>43</v>
      </c>
      <c r="V5055" t="s">
        <v>43</v>
      </c>
      <c r="W5055" t="s">
        <v>43</v>
      </c>
      <c r="X5055" t="s">
        <v>43</v>
      </c>
      <c r="Y5055" t="s">
        <v>43</v>
      </c>
      <c r="Z5055" t="s">
        <v>43</v>
      </c>
      <c r="AA5055" t="s">
        <v>43</v>
      </c>
      <c r="AB5055" t="s">
        <v>43</v>
      </c>
      <c r="AC5055" t="s">
        <v>43</v>
      </c>
      <c r="AD5055" t="s">
        <v>43</v>
      </c>
      <c r="AE5055" t="s">
        <v>43</v>
      </c>
      <c r="AF5055" t="s">
        <v>43</v>
      </c>
      <c r="AG5055" t="s">
        <v>43</v>
      </c>
      <c r="AH5055" t="s">
        <v>43</v>
      </c>
      <c r="AI5055" t="s">
        <v>43</v>
      </c>
      <c r="AJ5055" t="s">
        <v>43</v>
      </c>
      <c r="AK5055" t="s">
        <v>43</v>
      </c>
      <c r="AL5055" t="s">
        <v>43</v>
      </c>
      <c r="AM5055" t="s">
        <v>43</v>
      </c>
      <c r="AN5055" t="str">
        <f>HYPERLINK("https://www.google.com/maps?q=10.83225536,79.84022522","Open Location")</f>
        <v>Open Location</v>
      </c>
    </row>
    <row r="5056" spans="1:40" x14ac:dyDescent="0.3">
      <c r="A5056" s="1">
        <v>46210.414120370369</v>
      </c>
      <c r="B5056" t="s">
        <v>40</v>
      </c>
      <c r="C5056" t="s">
        <v>41</v>
      </c>
      <c r="D5056" s="1">
        <v>46210.417013888888</v>
      </c>
      <c r="E5056" t="s">
        <v>42</v>
      </c>
      <c r="F5056" t="s">
        <v>43</v>
      </c>
      <c r="G5056" t="s">
        <v>43</v>
      </c>
      <c r="H5056" t="s">
        <v>43</v>
      </c>
      <c r="I5056" t="s">
        <v>2696</v>
      </c>
      <c r="J5056" t="s">
        <v>43</v>
      </c>
      <c r="K5056" t="s">
        <v>43</v>
      </c>
      <c r="L5056" t="s">
        <v>43</v>
      </c>
      <c r="M5056" t="s">
        <v>43</v>
      </c>
      <c r="N5056" t="s">
        <v>45</v>
      </c>
      <c r="O5056" t="s">
        <v>43</v>
      </c>
      <c r="P5056" t="s">
        <v>43</v>
      </c>
      <c r="Q5056" t="s">
        <v>43</v>
      </c>
      <c r="R5056" t="s">
        <v>43</v>
      </c>
      <c r="S5056" t="s">
        <v>43</v>
      </c>
      <c r="T5056" t="s">
        <v>43</v>
      </c>
      <c r="U5056" t="s">
        <v>43</v>
      </c>
      <c r="V5056" t="s">
        <v>43</v>
      </c>
      <c r="W5056" t="s">
        <v>43</v>
      </c>
      <c r="X5056" t="s">
        <v>43</v>
      </c>
      <c r="Y5056" t="s">
        <v>43</v>
      </c>
      <c r="Z5056" t="s">
        <v>43</v>
      </c>
      <c r="AA5056" t="s">
        <v>43</v>
      </c>
      <c r="AB5056" t="s">
        <v>43</v>
      </c>
      <c r="AC5056" t="s">
        <v>43</v>
      </c>
      <c r="AD5056" t="s">
        <v>43</v>
      </c>
      <c r="AE5056" t="s">
        <v>43</v>
      </c>
      <c r="AF5056" t="s">
        <v>43</v>
      </c>
      <c r="AG5056" t="s">
        <v>43</v>
      </c>
      <c r="AH5056" t="s">
        <v>43</v>
      </c>
      <c r="AI5056" t="s">
        <v>43</v>
      </c>
      <c r="AJ5056" t="s">
        <v>43</v>
      </c>
      <c r="AK5056" t="s">
        <v>43</v>
      </c>
      <c r="AL5056" t="s">
        <v>43</v>
      </c>
      <c r="AM5056" t="s">
        <v>43</v>
      </c>
      <c r="AN5056" t="str">
        <f>HYPERLINK("https://www.google.com/maps?q=10.83225536,79.84022522","Open Location")</f>
        <v>Open Location</v>
      </c>
    </row>
    <row r="5057" spans="1:40" x14ac:dyDescent="0.3">
      <c r="A5057" s="1">
        <v>46210.414004629631</v>
      </c>
      <c r="B5057" t="s">
        <v>40</v>
      </c>
      <c r="C5057" t="s">
        <v>41</v>
      </c>
      <c r="D5057" s="1">
        <v>46210.416932870372</v>
      </c>
      <c r="E5057" t="s">
        <v>42</v>
      </c>
      <c r="F5057" t="s">
        <v>43</v>
      </c>
      <c r="G5057" t="s">
        <v>43</v>
      </c>
      <c r="H5057" t="s">
        <v>43</v>
      </c>
      <c r="I5057" t="s">
        <v>2789</v>
      </c>
      <c r="J5057" t="s">
        <v>43</v>
      </c>
      <c r="K5057" t="s">
        <v>43</v>
      </c>
      <c r="L5057" t="s">
        <v>43</v>
      </c>
      <c r="M5057" t="s">
        <v>43</v>
      </c>
      <c r="N5057" t="s">
        <v>45</v>
      </c>
      <c r="O5057" t="s">
        <v>43</v>
      </c>
      <c r="P5057" t="s">
        <v>43</v>
      </c>
      <c r="Q5057" t="s">
        <v>43</v>
      </c>
      <c r="R5057" t="s">
        <v>43</v>
      </c>
      <c r="S5057" t="s">
        <v>43</v>
      </c>
      <c r="T5057" t="s">
        <v>43</v>
      </c>
      <c r="U5057" t="s">
        <v>43</v>
      </c>
      <c r="V5057" t="s">
        <v>43</v>
      </c>
      <c r="W5057" t="s">
        <v>43</v>
      </c>
      <c r="X5057" t="s">
        <v>43</v>
      </c>
      <c r="Y5057" t="s">
        <v>43</v>
      </c>
      <c r="Z5057" t="s">
        <v>43</v>
      </c>
      <c r="AA5057" t="s">
        <v>43</v>
      </c>
      <c r="AB5057" t="s">
        <v>43</v>
      </c>
      <c r="AC5057" t="s">
        <v>43</v>
      </c>
      <c r="AD5057" t="s">
        <v>43</v>
      </c>
      <c r="AE5057" t="s">
        <v>43</v>
      </c>
      <c r="AF5057" t="s">
        <v>43</v>
      </c>
      <c r="AG5057" t="s">
        <v>43</v>
      </c>
      <c r="AH5057" t="s">
        <v>43</v>
      </c>
      <c r="AI5057" t="s">
        <v>43</v>
      </c>
      <c r="AJ5057" t="s">
        <v>43</v>
      </c>
      <c r="AK5057" t="s">
        <v>43</v>
      </c>
      <c r="AL5057" t="s">
        <v>43</v>
      </c>
      <c r="AM5057" t="s">
        <v>43</v>
      </c>
      <c r="AN5057" t="str">
        <f>HYPERLINK("https://www.google.com/maps?q=10.83225727,79.84023285","Open Location")</f>
        <v>Open Location</v>
      </c>
    </row>
    <row r="5058" spans="1:40" x14ac:dyDescent="0.3">
      <c r="A5058" s="1">
        <v>46210.413888888892</v>
      </c>
      <c r="B5058" t="s">
        <v>40</v>
      </c>
      <c r="C5058" t="s">
        <v>41</v>
      </c>
      <c r="D5058" s="1">
        <v>46210.416898148149</v>
      </c>
      <c r="E5058" t="s">
        <v>42</v>
      </c>
      <c r="F5058" t="s">
        <v>43</v>
      </c>
      <c r="G5058" t="s">
        <v>43</v>
      </c>
      <c r="H5058" t="s">
        <v>43</v>
      </c>
      <c r="I5058" t="s">
        <v>2780</v>
      </c>
      <c r="J5058" t="s">
        <v>43</v>
      </c>
      <c r="K5058" t="s">
        <v>43</v>
      </c>
      <c r="L5058" t="s">
        <v>43</v>
      </c>
      <c r="M5058" t="s">
        <v>43</v>
      </c>
      <c r="N5058" t="s">
        <v>45</v>
      </c>
      <c r="O5058" t="s">
        <v>43</v>
      </c>
      <c r="P5058" t="s">
        <v>43</v>
      </c>
      <c r="Q5058" t="s">
        <v>43</v>
      </c>
      <c r="R5058" t="s">
        <v>43</v>
      </c>
      <c r="S5058" t="s">
        <v>43</v>
      </c>
      <c r="T5058" t="s">
        <v>43</v>
      </c>
      <c r="U5058" t="s">
        <v>43</v>
      </c>
      <c r="V5058" t="s">
        <v>43</v>
      </c>
      <c r="W5058" t="s">
        <v>43</v>
      </c>
      <c r="X5058" t="s">
        <v>43</v>
      </c>
      <c r="Y5058" t="s">
        <v>43</v>
      </c>
      <c r="Z5058" t="s">
        <v>43</v>
      </c>
      <c r="AA5058" t="s">
        <v>43</v>
      </c>
      <c r="AB5058" t="s">
        <v>43</v>
      </c>
      <c r="AC5058" t="s">
        <v>43</v>
      </c>
      <c r="AD5058" t="s">
        <v>43</v>
      </c>
      <c r="AE5058" t="s">
        <v>43</v>
      </c>
      <c r="AF5058" t="s">
        <v>43</v>
      </c>
      <c r="AG5058" t="s">
        <v>43</v>
      </c>
      <c r="AH5058" t="s">
        <v>43</v>
      </c>
      <c r="AI5058" t="s">
        <v>43</v>
      </c>
      <c r="AJ5058" t="s">
        <v>43</v>
      </c>
      <c r="AK5058" t="s">
        <v>43</v>
      </c>
      <c r="AL5058" t="s">
        <v>43</v>
      </c>
      <c r="AM5058" t="s">
        <v>43</v>
      </c>
      <c r="AN5058" t="str">
        <f>HYPERLINK("https://www.google.com/maps?q=10.83225822,79.84024048","Open Location")</f>
        <v>Open Location</v>
      </c>
    </row>
    <row r="5059" spans="1:40" x14ac:dyDescent="0.3">
      <c r="A5059" s="1">
        <v>46210.413773148146</v>
      </c>
      <c r="B5059" t="s">
        <v>40</v>
      </c>
      <c r="C5059" t="s">
        <v>41</v>
      </c>
      <c r="D5059" s="1">
        <v>46210.416898148149</v>
      </c>
      <c r="E5059" t="s">
        <v>42</v>
      </c>
      <c r="F5059" t="s">
        <v>43</v>
      </c>
      <c r="G5059" t="s">
        <v>43</v>
      </c>
      <c r="H5059" t="s">
        <v>43</v>
      </c>
      <c r="I5059" t="s">
        <v>43</v>
      </c>
      <c r="J5059" t="s">
        <v>43</v>
      </c>
      <c r="K5059" t="s">
        <v>43</v>
      </c>
      <c r="L5059" t="s">
        <v>43</v>
      </c>
      <c r="M5059" t="s">
        <v>43</v>
      </c>
      <c r="N5059" t="s">
        <v>45</v>
      </c>
      <c r="O5059" t="s">
        <v>43</v>
      </c>
      <c r="P5059" t="s">
        <v>43</v>
      </c>
      <c r="Q5059" t="s">
        <v>43</v>
      </c>
      <c r="R5059" t="s">
        <v>43</v>
      </c>
      <c r="S5059" t="s">
        <v>43</v>
      </c>
      <c r="T5059" t="s">
        <v>43</v>
      </c>
      <c r="U5059" t="s">
        <v>43</v>
      </c>
      <c r="V5059" t="s">
        <v>43</v>
      </c>
      <c r="W5059" t="s">
        <v>43</v>
      </c>
      <c r="X5059" t="s">
        <v>43</v>
      </c>
      <c r="Y5059" t="s">
        <v>43</v>
      </c>
      <c r="Z5059" t="s">
        <v>43</v>
      </c>
      <c r="AA5059" t="s">
        <v>43</v>
      </c>
      <c r="AB5059" t="s">
        <v>43</v>
      </c>
      <c r="AC5059" t="s">
        <v>43</v>
      </c>
      <c r="AD5059" t="s">
        <v>43</v>
      </c>
      <c r="AE5059" t="s">
        <v>43</v>
      </c>
      <c r="AF5059" t="s">
        <v>43</v>
      </c>
      <c r="AG5059" t="s">
        <v>43</v>
      </c>
      <c r="AH5059" t="s">
        <v>43</v>
      </c>
      <c r="AI5059" t="s">
        <v>43</v>
      </c>
      <c r="AJ5059" t="s">
        <v>43</v>
      </c>
      <c r="AK5059" t="s">
        <v>43</v>
      </c>
      <c r="AL5059" t="s">
        <v>43</v>
      </c>
      <c r="AM5059" t="s">
        <v>43</v>
      </c>
      <c r="AN5059" t="s">
        <v>43</v>
      </c>
    </row>
    <row r="5060" spans="1:40" x14ac:dyDescent="0.3">
      <c r="A5060" s="1">
        <v>46210.413657407407</v>
      </c>
      <c r="B5060" t="s">
        <v>40</v>
      </c>
      <c r="C5060" t="s">
        <v>41</v>
      </c>
      <c r="D5060" s="1">
        <v>46210.416215277779</v>
      </c>
      <c r="E5060" t="s">
        <v>42</v>
      </c>
      <c r="F5060" t="s">
        <v>43</v>
      </c>
      <c r="G5060" t="s">
        <v>43</v>
      </c>
      <c r="H5060" t="s">
        <v>43</v>
      </c>
      <c r="I5060" t="s">
        <v>2779</v>
      </c>
      <c r="J5060" t="s">
        <v>43</v>
      </c>
      <c r="K5060" t="s">
        <v>43</v>
      </c>
      <c r="L5060" t="s">
        <v>43</v>
      </c>
      <c r="M5060" t="s">
        <v>43</v>
      </c>
      <c r="N5060" t="s">
        <v>45</v>
      </c>
      <c r="O5060" t="s">
        <v>43</v>
      </c>
      <c r="P5060" t="s">
        <v>43</v>
      </c>
      <c r="Q5060" t="s">
        <v>43</v>
      </c>
      <c r="R5060" t="s">
        <v>43</v>
      </c>
      <c r="S5060" t="s">
        <v>43</v>
      </c>
      <c r="T5060" t="s">
        <v>43</v>
      </c>
      <c r="U5060" t="s">
        <v>43</v>
      </c>
      <c r="V5060" t="s">
        <v>43</v>
      </c>
      <c r="W5060" t="s">
        <v>43</v>
      </c>
      <c r="X5060" t="s">
        <v>43</v>
      </c>
      <c r="Y5060" t="s">
        <v>43</v>
      </c>
      <c r="Z5060" t="s">
        <v>43</v>
      </c>
      <c r="AA5060" t="s">
        <v>43</v>
      </c>
      <c r="AB5060" t="s">
        <v>43</v>
      </c>
      <c r="AC5060" t="s">
        <v>43</v>
      </c>
      <c r="AD5060" t="s">
        <v>43</v>
      </c>
      <c r="AE5060" t="s">
        <v>43</v>
      </c>
      <c r="AF5060" t="s">
        <v>43</v>
      </c>
      <c r="AG5060" t="s">
        <v>43</v>
      </c>
      <c r="AH5060" t="s">
        <v>43</v>
      </c>
      <c r="AI5060" t="s">
        <v>43</v>
      </c>
      <c r="AJ5060" t="s">
        <v>43</v>
      </c>
      <c r="AK5060" t="s">
        <v>43</v>
      </c>
      <c r="AL5060" t="s">
        <v>43</v>
      </c>
      <c r="AM5060" t="s">
        <v>43</v>
      </c>
      <c r="AN5060" t="str">
        <f>HYPERLINK("https://www.google.com/maps?q=10.83225727,79.84024048","Open Location")</f>
        <v>Open Location</v>
      </c>
    </row>
    <row r="5061" spans="1:40" x14ac:dyDescent="0.3">
      <c r="A5061" s="1">
        <v>46210.413541666669</v>
      </c>
      <c r="B5061" t="s">
        <v>40</v>
      </c>
      <c r="C5061" t="s">
        <v>41</v>
      </c>
      <c r="D5061" s="1">
        <v>46210.416620370372</v>
      </c>
      <c r="E5061" t="s">
        <v>42</v>
      </c>
      <c r="F5061" t="s">
        <v>43</v>
      </c>
      <c r="G5061" t="s">
        <v>43</v>
      </c>
      <c r="H5061" t="s">
        <v>43</v>
      </c>
      <c r="I5061" t="s">
        <v>2775</v>
      </c>
      <c r="J5061" t="s">
        <v>43</v>
      </c>
      <c r="K5061" t="s">
        <v>43</v>
      </c>
      <c r="L5061" t="s">
        <v>43</v>
      </c>
      <c r="M5061" t="s">
        <v>43</v>
      </c>
      <c r="N5061" t="s">
        <v>45</v>
      </c>
      <c r="O5061" t="s">
        <v>43</v>
      </c>
      <c r="P5061" t="s">
        <v>43</v>
      </c>
      <c r="Q5061" t="s">
        <v>43</v>
      </c>
      <c r="R5061" t="s">
        <v>43</v>
      </c>
      <c r="S5061" t="s">
        <v>43</v>
      </c>
      <c r="T5061" t="s">
        <v>43</v>
      </c>
      <c r="U5061" t="s">
        <v>43</v>
      </c>
      <c r="V5061" t="s">
        <v>43</v>
      </c>
      <c r="W5061" t="s">
        <v>43</v>
      </c>
      <c r="X5061" t="s">
        <v>43</v>
      </c>
      <c r="Y5061" t="s">
        <v>43</v>
      </c>
      <c r="Z5061" t="s">
        <v>43</v>
      </c>
      <c r="AA5061" t="s">
        <v>43</v>
      </c>
      <c r="AB5061" t="s">
        <v>43</v>
      </c>
      <c r="AC5061" t="s">
        <v>43</v>
      </c>
      <c r="AD5061" t="s">
        <v>43</v>
      </c>
      <c r="AE5061" t="s">
        <v>43</v>
      </c>
      <c r="AF5061" t="s">
        <v>43</v>
      </c>
      <c r="AG5061" t="s">
        <v>43</v>
      </c>
      <c r="AH5061" t="s">
        <v>43</v>
      </c>
      <c r="AI5061" t="s">
        <v>43</v>
      </c>
      <c r="AJ5061" t="s">
        <v>43</v>
      </c>
      <c r="AK5061" t="s">
        <v>43</v>
      </c>
      <c r="AL5061" t="s">
        <v>43</v>
      </c>
      <c r="AM5061" t="s">
        <v>43</v>
      </c>
      <c r="AN5061" t="str">
        <f>HYPERLINK("https://www.google.com/maps?q=10.83225536,79.84023285","Open Location")</f>
        <v>Open Location</v>
      </c>
    </row>
    <row r="5062" spans="1:40" x14ac:dyDescent="0.3">
      <c r="A5062" s="1">
        <v>46210.413425925923</v>
      </c>
      <c r="B5062" t="s">
        <v>40</v>
      </c>
      <c r="C5062" t="s">
        <v>41</v>
      </c>
      <c r="D5062" s="1">
        <v>46210.416412037041</v>
      </c>
      <c r="E5062" t="s">
        <v>42</v>
      </c>
      <c r="F5062" t="s">
        <v>43</v>
      </c>
      <c r="G5062" t="s">
        <v>43</v>
      </c>
      <c r="H5062" t="s">
        <v>43</v>
      </c>
      <c r="I5062" t="s">
        <v>2898</v>
      </c>
      <c r="J5062" t="s">
        <v>43</v>
      </c>
      <c r="K5062" t="s">
        <v>43</v>
      </c>
      <c r="L5062" t="s">
        <v>43</v>
      </c>
      <c r="M5062" t="s">
        <v>43</v>
      </c>
      <c r="N5062" t="s">
        <v>45</v>
      </c>
      <c r="O5062" t="s">
        <v>43</v>
      </c>
      <c r="P5062" t="s">
        <v>43</v>
      </c>
      <c r="Q5062" t="s">
        <v>43</v>
      </c>
      <c r="R5062" t="s">
        <v>43</v>
      </c>
      <c r="S5062" t="s">
        <v>43</v>
      </c>
      <c r="T5062" t="s">
        <v>43</v>
      </c>
      <c r="U5062" t="s">
        <v>43</v>
      </c>
      <c r="V5062" t="s">
        <v>43</v>
      </c>
      <c r="W5062" t="s">
        <v>43</v>
      </c>
      <c r="X5062" t="s">
        <v>43</v>
      </c>
      <c r="Y5062" t="s">
        <v>43</v>
      </c>
      <c r="Z5062" t="s">
        <v>43</v>
      </c>
      <c r="AA5062" t="s">
        <v>43</v>
      </c>
      <c r="AB5062" t="s">
        <v>43</v>
      </c>
      <c r="AC5062" t="s">
        <v>43</v>
      </c>
      <c r="AD5062" t="s">
        <v>43</v>
      </c>
      <c r="AE5062" t="s">
        <v>43</v>
      </c>
      <c r="AF5062" t="s">
        <v>43</v>
      </c>
      <c r="AG5062" t="s">
        <v>43</v>
      </c>
      <c r="AH5062" t="s">
        <v>43</v>
      </c>
      <c r="AI5062" t="s">
        <v>43</v>
      </c>
      <c r="AJ5062" t="s">
        <v>43</v>
      </c>
      <c r="AK5062" t="s">
        <v>43</v>
      </c>
      <c r="AL5062" t="s">
        <v>43</v>
      </c>
      <c r="AM5062" t="s">
        <v>43</v>
      </c>
      <c r="AN5062" t="str">
        <f>HYPERLINK("https://www.google.com/maps?q=10.83225918,79.84022522","Open Location")</f>
        <v>Open Location</v>
      </c>
    </row>
    <row r="5063" spans="1:40" x14ac:dyDescent="0.3">
      <c r="A5063" s="1">
        <v>46210.413310185184</v>
      </c>
      <c r="B5063" t="s">
        <v>40</v>
      </c>
      <c r="C5063" t="s">
        <v>41</v>
      </c>
      <c r="D5063" s="1">
        <v>46210.416296296295</v>
      </c>
      <c r="E5063" t="s">
        <v>42</v>
      </c>
      <c r="F5063" t="s">
        <v>43</v>
      </c>
      <c r="G5063" t="s">
        <v>43</v>
      </c>
      <c r="H5063" t="s">
        <v>43</v>
      </c>
      <c r="I5063" t="s">
        <v>2790</v>
      </c>
      <c r="J5063" t="s">
        <v>43</v>
      </c>
      <c r="K5063" t="s">
        <v>43</v>
      </c>
      <c r="L5063" t="s">
        <v>43</v>
      </c>
      <c r="M5063" t="s">
        <v>43</v>
      </c>
      <c r="N5063" t="s">
        <v>45</v>
      </c>
      <c r="O5063" t="s">
        <v>43</v>
      </c>
      <c r="P5063" t="s">
        <v>43</v>
      </c>
      <c r="Q5063" t="s">
        <v>43</v>
      </c>
      <c r="R5063" t="s">
        <v>43</v>
      </c>
      <c r="S5063" t="s">
        <v>43</v>
      </c>
      <c r="T5063" t="s">
        <v>43</v>
      </c>
      <c r="U5063" t="s">
        <v>43</v>
      </c>
      <c r="V5063" t="s">
        <v>43</v>
      </c>
      <c r="W5063" t="s">
        <v>43</v>
      </c>
      <c r="X5063" t="s">
        <v>43</v>
      </c>
      <c r="Y5063" t="s">
        <v>43</v>
      </c>
      <c r="Z5063" t="s">
        <v>43</v>
      </c>
      <c r="AA5063" t="s">
        <v>43</v>
      </c>
      <c r="AB5063" t="s">
        <v>43</v>
      </c>
      <c r="AC5063" t="s">
        <v>43</v>
      </c>
      <c r="AD5063" t="s">
        <v>43</v>
      </c>
      <c r="AE5063" t="s">
        <v>43</v>
      </c>
      <c r="AF5063" t="s">
        <v>43</v>
      </c>
      <c r="AG5063" t="s">
        <v>43</v>
      </c>
      <c r="AH5063" t="s">
        <v>43</v>
      </c>
      <c r="AI5063" t="s">
        <v>43</v>
      </c>
      <c r="AJ5063" t="s">
        <v>43</v>
      </c>
      <c r="AK5063" t="s">
        <v>43</v>
      </c>
      <c r="AL5063" t="s">
        <v>43</v>
      </c>
      <c r="AM5063" t="s">
        <v>43</v>
      </c>
      <c r="AN5063" t="str">
        <f>HYPERLINK("https://www.google.com/maps?q=10.8322649,79.84022522","Open Location")</f>
        <v>Open Location</v>
      </c>
    </row>
    <row r="5064" spans="1:40" x14ac:dyDescent="0.3">
      <c r="A5064" s="1">
        <v>46210.413194444445</v>
      </c>
      <c r="B5064" t="s">
        <v>40</v>
      </c>
      <c r="C5064" t="s">
        <v>41</v>
      </c>
      <c r="D5064" s="1">
        <v>46210.415949074071</v>
      </c>
      <c r="E5064" t="s">
        <v>42</v>
      </c>
      <c r="F5064" t="s">
        <v>43</v>
      </c>
      <c r="G5064" t="s">
        <v>43</v>
      </c>
      <c r="H5064" t="s">
        <v>43</v>
      </c>
      <c r="I5064" t="s">
        <v>43</v>
      </c>
      <c r="J5064" t="s">
        <v>43</v>
      </c>
      <c r="K5064" t="s">
        <v>43</v>
      </c>
      <c r="L5064" t="s">
        <v>43</v>
      </c>
      <c r="M5064" t="s">
        <v>43</v>
      </c>
      <c r="N5064" t="s">
        <v>45</v>
      </c>
      <c r="O5064" t="s">
        <v>43</v>
      </c>
      <c r="P5064" t="s">
        <v>43</v>
      </c>
      <c r="Q5064" t="s">
        <v>43</v>
      </c>
      <c r="R5064" t="s">
        <v>43</v>
      </c>
      <c r="S5064" t="s">
        <v>43</v>
      </c>
      <c r="T5064" t="s">
        <v>43</v>
      </c>
      <c r="U5064" t="s">
        <v>43</v>
      </c>
      <c r="V5064" t="s">
        <v>43</v>
      </c>
      <c r="W5064" t="s">
        <v>43</v>
      </c>
      <c r="X5064" t="s">
        <v>43</v>
      </c>
      <c r="Y5064" t="s">
        <v>43</v>
      </c>
      <c r="Z5064" t="s">
        <v>43</v>
      </c>
      <c r="AA5064" t="s">
        <v>43</v>
      </c>
      <c r="AB5064" t="s">
        <v>43</v>
      </c>
      <c r="AC5064" t="s">
        <v>43</v>
      </c>
      <c r="AD5064" t="s">
        <v>43</v>
      </c>
      <c r="AE5064" t="s">
        <v>43</v>
      </c>
      <c r="AF5064" t="s">
        <v>43</v>
      </c>
      <c r="AG5064" t="s">
        <v>43</v>
      </c>
      <c r="AH5064" t="s">
        <v>43</v>
      </c>
      <c r="AI5064" t="s">
        <v>43</v>
      </c>
      <c r="AJ5064" t="s">
        <v>43</v>
      </c>
      <c r="AK5064" t="s">
        <v>43</v>
      </c>
      <c r="AL5064" t="s">
        <v>43</v>
      </c>
      <c r="AM5064" t="s">
        <v>43</v>
      </c>
      <c r="AN5064" t="s">
        <v>43</v>
      </c>
    </row>
    <row r="5065" spans="1:40" x14ac:dyDescent="0.3">
      <c r="A5065" s="1">
        <v>46210.413078703707</v>
      </c>
      <c r="B5065" t="s">
        <v>40</v>
      </c>
      <c r="C5065" t="s">
        <v>41</v>
      </c>
      <c r="D5065" s="1">
        <v>46210.415949074071</v>
      </c>
      <c r="E5065" t="s">
        <v>42</v>
      </c>
      <c r="F5065" t="s">
        <v>43</v>
      </c>
      <c r="G5065" t="s">
        <v>43</v>
      </c>
      <c r="H5065" t="s">
        <v>43</v>
      </c>
      <c r="I5065" t="s">
        <v>2899</v>
      </c>
      <c r="J5065" t="s">
        <v>43</v>
      </c>
      <c r="K5065" t="s">
        <v>43</v>
      </c>
      <c r="L5065" t="s">
        <v>43</v>
      </c>
      <c r="M5065" t="s">
        <v>43</v>
      </c>
      <c r="N5065" t="s">
        <v>45</v>
      </c>
      <c r="O5065" t="s">
        <v>43</v>
      </c>
      <c r="P5065" t="s">
        <v>43</v>
      </c>
      <c r="Q5065" t="s">
        <v>43</v>
      </c>
      <c r="R5065" t="s">
        <v>43</v>
      </c>
      <c r="S5065" t="s">
        <v>43</v>
      </c>
      <c r="T5065" t="s">
        <v>43</v>
      </c>
      <c r="U5065" t="s">
        <v>43</v>
      </c>
      <c r="V5065" t="s">
        <v>43</v>
      </c>
      <c r="W5065" t="s">
        <v>43</v>
      </c>
      <c r="X5065" t="s">
        <v>43</v>
      </c>
      <c r="Y5065" t="s">
        <v>43</v>
      </c>
      <c r="Z5065" t="s">
        <v>43</v>
      </c>
      <c r="AA5065" t="s">
        <v>43</v>
      </c>
      <c r="AB5065" t="s">
        <v>43</v>
      </c>
      <c r="AC5065" t="s">
        <v>43</v>
      </c>
      <c r="AD5065" t="s">
        <v>43</v>
      </c>
      <c r="AE5065" t="s">
        <v>43</v>
      </c>
      <c r="AF5065" t="s">
        <v>43</v>
      </c>
      <c r="AG5065" t="s">
        <v>43</v>
      </c>
      <c r="AH5065" t="s">
        <v>43</v>
      </c>
      <c r="AI5065" t="s">
        <v>43</v>
      </c>
      <c r="AJ5065" t="s">
        <v>43</v>
      </c>
      <c r="AK5065" t="s">
        <v>43</v>
      </c>
      <c r="AL5065" t="s">
        <v>43</v>
      </c>
      <c r="AM5065" t="s">
        <v>43</v>
      </c>
      <c r="AN5065" t="str">
        <f>HYPERLINK("https://www.google.com/maps?q=10.83226776,79.84023285","Open Location")</f>
        <v>Open Location</v>
      </c>
    </row>
    <row r="5066" spans="1:40" x14ac:dyDescent="0.3">
      <c r="A5066" s="1">
        <v>46210.412962962961</v>
      </c>
      <c r="B5066" t="s">
        <v>40</v>
      </c>
      <c r="C5066" t="s">
        <v>41</v>
      </c>
      <c r="D5066" s="1">
        <v>46210.41615740741</v>
      </c>
      <c r="E5066" t="s">
        <v>42</v>
      </c>
      <c r="F5066" t="s">
        <v>43</v>
      </c>
      <c r="G5066" t="s">
        <v>43</v>
      </c>
      <c r="H5066" t="s">
        <v>43</v>
      </c>
      <c r="I5066" t="s">
        <v>2791</v>
      </c>
      <c r="J5066" t="s">
        <v>43</v>
      </c>
      <c r="K5066" t="s">
        <v>43</v>
      </c>
      <c r="L5066" t="s">
        <v>43</v>
      </c>
      <c r="M5066" t="s">
        <v>43</v>
      </c>
      <c r="N5066" t="s">
        <v>45</v>
      </c>
      <c r="O5066" t="s">
        <v>43</v>
      </c>
      <c r="P5066" t="s">
        <v>43</v>
      </c>
      <c r="Q5066" t="s">
        <v>43</v>
      </c>
      <c r="R5066" t="s">
        <v>43</v>
      </c>
      <c r="S5066" t="s">
        <v>43</v>
      </c>
      <c r="T5066" t="s">
        <v>43</v>
      </c>
      <c r="U5066" t="s">
        <v>43</v>
      </c>
      <c r="V5066" t="s">
        <v>43</v>
      </c>
      <c r="W5066" t="s">
        <v>43</v>
      </c>
      <c r="X5066" t="s">
        <v>43</v>
      </c>
      <c r="Y5066" t="s">
        <v>43</v>
      </c>
      <c r="Z5066" t="s">
        <v>43</v>
      </c>
      <c r="AA5066" t="s">
        <v>43</v>
      </c>
      <c r="AB5066" t="s">
        <v>43</v>
      </c>
      <c r="AC5066" t="s">
        <v>43</v>
      </c>
      <c r="AD5066" t="s">
        <v>43</v>
      </c>
      <c r="AE5066" t="s">
        <v>43</v>
      </c>
      <c r="AF5066" t="s">
        <v>43</v>
      </c>
      <c r="AG5066" t="s">
        <v>43</v>
      </c>
      <c r="AH5066" t="s">
        <v>43</v>
      </c>
      <c r="AI5066" t="s">
        <v>43</v>
      </c>
      <c r="AJ5066" t="s">
        <v>43</v>
      </c>
      <c r="AK5066" t="s">
        <v>43</v>
      </c>
      <c r="AL5066" t="s">
        <v>43</v>
      </c>
      <c r="AM5066" t="s">
        <v>43</v>
      </c>
      <c r="AN5066" t="str">
        <f>HYPERLINK("https://www.google.com/maps?q=10.83226585,79.84022522","Open Location")</f>
        <v>Open Location</v>
      </c>
    </row>
    <row r="5067" spans="1:40" x14ac:dyDescent="0.3">
      <c r="A5067" s="1">
        <v>46210.412847222222</v>
      </c>
      <c r="B5067" t="s">
        <v>40</v>
      </c>
      <c r="C5067" t="s">
        <v>41</v>
      </c>
      <c r="D5067" s="1">
        <v>46210.415810185186</v>
      </c>
      <c r="E5067" t="s">
        <v>42</v>
      </c>
      <c r="F5067" t="s">
        <v>43</v>
      </c>
      <c r="G5067" t="s">
        <v>43</v>
      </c>
      <c r="H5067" t="s">
        <v>43</v>
      </c>
      <c r="I5067" t="s">
        <v>2900</v>
      </c>
      <c r="J5067" t="s">
        <v>43</v>
      </c>
      <c r="K5067" t="s">
        <v>43</v>
      </c>
      <c r="L5067" t="s">
        <v>43</v>
      </c>
      <c r="M5067" t="s">
        <v>43</v>
      </c>
      <c r="N5067" t="s">
        <v>45</v>
      </c>
      <c r="O5067" t="s">
        <v>43</v>
      </c>
      <c r="P5067" t="s">
        <v>43</v>
      </c>
      <c r="Q5067" t="s">
        <v>43</v>
      </c>
      <c r="R5067" t="s">
        <v>43</v>
      </c>
      <c r="S5067" t="s">
        <v>43</v>
      </c>
      <c r="T5067" t="s">
        <v>43</v>
      </c>
      <c r="U5067" t="s">
        <v>43</v>
      </c>
      <c r="V5067" t="s">
        <v>43</v>
      </c>
      <c r="W5067" t="s">
        <v>43</v>
      </c>
      <c r="X5067" t="s">
        <v>43</v>
      </c>
      <c r="Y5067" t="s">
        <v>43</v>
      </c>
      <c r="Z5067" t="s">
        <v>43</v>
      </c>
      <c r="AA5067" t="s">
        <v>43</v>
      </c>
      <c r="AB5067" t="s">
        <v>43</v>
      </c>
      <c r="AC5067" t="s">
        <v>43</v>
      </c>
      <c r="AD5067" t="s">
        <v>43</v>
      </c>
      <c r="AE5067" t="s">
        <v>43</v>
      </c>
      <c r="AF5067" t="s">
        <v>43</v>
      </c>
      <c r="AG5067" t="s">
        <v>43</v>
      </c>
      <c r="AH5067" t="s">
        <v>43</v>
      </c>
      <c r="AI5067" t="s">
        <v>43</v>
      </c>
      <c r="AJ5067" t="s">
        <v>43</v>
      </c>
      <c r="AK5067" t="s">
        <v>43</v>
      </c>
      <c r="AL5067" t="s">
        <v>43</v>
      </c>
      <c r="AM5067" t="s">
        <v>43</v>
      </c>
      <c r="AN5067" t="str">
        <f>HYPERLINK("https://www.google.com/maps?q=10.83226776,79.84022522","Open Location")</f>
        <v>Open Location</v>
      </c>
    </row>
    <row r="5068" spans="1:40" x14ac:dyDescent="0.3">
      <c r="A5068" s="1">
        <v>46210.412731481483</v>
      </c>
      <c r="B5068" t="s">
        <v>40</v>
      </c>
      <c r="C5068" t="s">
        <v>41</v>
      </c>
      <c r="D5068" s="1">
        <v>46210.415694444448</v>
      </c>
      <c r="E5068" t="s">
        <v>42</v>
      </c>
      <c r="F5068" t="s">
        <v>43</v>
      </c>
      <c r="G5068" t="s">
        <v>43</v>
      </c>
      <c r="H5068" t="s">
        <v>43</v>
      </c>
      <c r="I5068" t="s">
        <v>2891</v>
      </c>
      <c r="J5068" t="s">
        <v>43</v>
      </c>
      <c r="K5068" t="s">
        <v>43</v>
      </c>
      <c r="L5068" t="s">
        <v>43</v>
      </c>
      <c r="M5068" t="s">
        <v>43</v>
      </c>
      <c r="N5068" t="s">
        <v>45</v>
      </c>
      <c r="O5068" t="s">
        <v>43</v>
      </c>
      <c r="P5068" t="s">
        <v>43</v>
      </c>
      <c r="Q5068" t="s">
        <v>43</v>
      </c>
      <c r="R5068" t="s">
        <v>43</v>
      </c>
      <c r="S5068" t="s">
        <v>43</v>
      </c>
      <c r="T5068" t="s">
        <v>43</v>
      </c>
      <c r="U5068" t="s">
        <v>43</v>
      </c>
      <c r="V5068" t="s">
        <v>43</v>
      </c>
      <c r="W5068" t="s">
        <v>43</v>
      </c>
      <c r="X5068" t="s">
        <v>43</v>
      </c>
      <c r="Y5068" t="s">
        <v>43</v>
      </c>
      <c r="Z5068" t="s">
        <v>43</v>
      </c>
      <c r="AA5068" t="s">
        <v>43</v>
      </c>
      <c r="AB5068" t="s">
        <v>43</v>
      </c>
      <c r="AC5068" t="s">
        <v>43</v>
      </c>
      <c r="AD5068" t="s">
        <v>43</v>
      </c>
      <c r="AE5068" t="s">
        <v>43</v>
      </c>
      <c r="AF5068" t="s">
        <v>43</v>
      </c>
      <c r="AG5068" t="s">
        <v>43</v>
      </c>
      <c r="AH5068" t="s">
        <v>43</v>
      </c>
      <c r="AI5068" t="s">
        <v>43</v>
      </c>
      <c r="AJ5068" t="s">
        <v>43</v>
      </c>
      <c r="AK5068" t="s">
        <v>43</v>
      </c>
      <c r="AL5068" t="s">
        <v>43</v>
      </c>
      <c r="AM5068" t="s">
        <v>43</v>
      </c>
      <c r="AN5068" t="str">
        <f>HYPERLINK("https://www.google.com/maps?q=10.83227253,79.84023285","Open Location")</f>
        <v>Open Location</v>
      </c>
    </row>
    <row r="5069" spans="1:40" x14ac:dyDescent="0.3">
      <c r="A5069" s="1">
        <v>46210.412615740737</v>
      </c>
      <c r="B5069" t="s">
        <v>40</v>
      </c>
      <c r="C5069" t="s">
        <v>41</v>
      </c>
      <c r="D5069" s="1">
        <v>46210.415729166663</v>
      </c>
      <c r="E5069" t="s">
        <v>42</v>
      </c>
      <c r="F5069" t="s">
        <v>43</v>
      </c>
      <c r="G5069" t="s">
        <v>43</v>
      </c>
      <c r="H5069" t="s">
        <v>43</v>
      </c>
      <c r="I5069" t="s">
        <v>2720</v>
      </c>
      <c r="J5069" t="s">
        <v>43</v>
      </c>
      <c r="K5069" t="s">
        <v>43</v>
      </c>
      <c r="L5069" t="s">
        <v>43</v>
      </c>
      <c r="M5069" t="s">
        <v>43</v>
      </c>
      <c r="N5069" t="s">
        <v>45</v>
      </c>
      <c r="O5069" t="s">
        <v>43</v>
      </c>
      <c r="P5069" t="s">
        <v>43</v>
      </c>
      <c r="Q5069" t="s">
        <v>43</v>
      </c>
      <c r="R5069" t="s">
        <v>43</v>
      </c>
      <c r="S5069" t="s">
        <v>43</v>
      </c>
      <c r="T5069" t="s">
        <v>43</v>
      </c>
      <c r="U5069" t="s">
        <v>43</v>
      </c>
      <c r="V5069" t="s">
        <v>43</v>
      </c>
      <c r="W5069" t="s">
        <v>43</v>
      </c>
      <c r="X5069" t="s">
        <v>43</v>
      </c>
      <c r="Y5069" t="s">
        <v>43</v>
      </c>
      <c r="Z5069" t="s">
        <v>43</v>
      </c>
      <c r="AA5069" t="s">
        <v>43</v>
      </c>
      <c r="AB5069" t="s">
        <v>43</v>
      </c>
      <c r="AC5069" t="s">
        <v>43</v>
      </c>
      <c r="AD5069" t="s">
        <v>43</v>
      </c>
      <c r="AE5069" t="s">
        <v>43</v>
      </c>
      <c r="AF5069" t="s">
        <v>43</v>
      </c>
      <c r="AG5069" t="s">
        <v>43</v>
      </c>
      <c r="AH5069" t="s">
        <v>43</v>
      </c>
      <c r="AI5069" t="s">
        <v>43</v>
      </c>
      <c r="AJ5069" t="s">
        <v>43</v>
      </c>
      <c r="AK5069" t="s">
        <v>43</v>
      </c>
      <c r="AL5069" t="s">
        <v>43</v>
      </c>
      <c r="AM5069" t="s">
        <v>43</v>
      </c>
      <c r="AN5069" t="str">
        <f>HYPERLINK("https://www.google.com/maps?q=10.83226967,79.84022522","Open Location")</f>
        <v>Open Location</v>
      </c>
    </row>
    <row r="5070" spans="1:40" x14ac:dyDescent="0.3">
      <c r="A5070" s="1">
        <v>46210.412499999999</v>
      </c>
      <c r="B5070" t="s">
        <v>40</v>
      </c>
      <c r="C5070" t="s">
        <v>41</v>
      </c>
      <c r="D5070" s="1">
        <v>46210.415324074071</v>
      </c>
      <c r="E5070" t="s">
        <v>42</v>
      </c>
      <c r="F5070" t="s">
        <v>43</v>
      </c>
      <c r="G5070" t="s">
        <v>43</v>
      </c>
      <c r="H5070" t="s">
        <v>43</v>
      </c>
      <c r="I5070" t="s">
        <v>43</v>
      </c>
      <c r="J5070" t="s">
        <v>43</v>
      </c>
      <c r="K5070" t="s">
        <v>43</v>
      </c>
      <c r="L5070" t="s">
        <v>43</v>
      </c>
      <c r="M5070" t="s">
        <v>43</v>
      </c>
      <c r="N5070" t="s">
        <v>45</v>
      </c>
      <c r="O5070" t="s">
        <v>43</v>
      </c>
      <c r="P5070" t="s">
        <v>43</v>
      </c>
      <c r="Q5070" t="s">
        <v>43</v>
      </c>
      <c r="R5070" t="s">
        <v>43</v>
      </c>
      <c r="S5070" t="s">
        <v>43</v>
      </c>
      <c r="T5070" t="s">
        <v>43</v>
      </c>
      <c r="U5070" t="s">
        <v>43</v>
      </c>
      <c r="V5070" t="s">
        <v>43</v>
      </c>
      <c r="W5070" t="s">
        <v>43</v>
      </c>
      <c r="X5070" t="s">
        <v>43</v>
      </c>
      <c r="Y5070" t="s">
        <v>43</v>
      </c>
      <c r="Z5070" t="s">
        <v>43</v>
      </c>
      <c r="AA5070" t="s">
        <v>43</v>
      </c>
      <c r="AB5070" t="s">
        <v>43</v>
      </c>
      <c r="AC5070" t="s">
        <v>43</v>
      </c>
      <c r="AD5070" t="s">
        <v>43</v>
      </c>
      <c r="AE5070" t="s">
        <v>43</v>
      </c>
      <c r="AF5070" t="s">
        <v>43</v>
      </c>
      <c r="AG5070" t="s">
        <v>43</v>
      </c>
      <c r="AH5070" t="s">
        <v>43</v>
      </c>
      <c r="AI5070" t="s">
        <v>43</v>
      </c>
      <c r="AJ5070" t="s">
        <v>43</v>
      </c>
      <c r="AK5070" t="s">
        <v>43</v>
      </c>
      <c r="AL5070" t="s">
        <v>43</v>
      </c>
      <c r="AM5070" t="s">
        <v>43</v>
      </c>
      <c r="AN5070" t="s">
        <v>43</v>
      </c>
    </row>
    <row r="5071" spans="1:40" x14ac:dyDescent="0.3">
      <c r="A5071" s="1">
        <v>46210.41238425926</v>
      </c>
      <c r="B5071" t="s">
        <v>40</v>
      </c>
      <c r="C5071" t="s">
        <v>41</v>
      </c>
      <c r="D5071" s="1">
        <v>46210.415462962963</v>
      </c>
      <c r="E5071" t="s">
        <v>42</v>
      </c>
      <c r="F5071" t="s">
        <v>43</v>
      </c>
      <c r="G5071" t="s">
        <v>43</v>
      </c>
      <c r="H5071" t="s">
        <v>43</v>
      </c>
      <c r="I5071" t="s">
        <v>2707</v>
      </c>
      <c r="J5071" t="s">
        <v>43</v>
      </c>
      <c r="K5071" t="s">
        <v>43</v>
      </c>
      <c r="L5071" t="s">
        <v>43</v>
      </c>
      <c r="M5071" t="s">
        <v>43</v>
      </c>
      <c r="N5071" t="s">
        <v>45</v>
      </c>
      <c r="O5071" t="s">
        <v>43</v>
      </c>
      <c r="P5071" t="s">
        <v>43</v>
      </c>
      <c r="Q5071" t="s">
        <v>43</v>
      </c>
      <c r="R5071" t="s">
        <v>43</v>
      </c>
      <c r="S5071" t="s">
        <v>43</v>
      </c>
      <c r="T5071" t="s">
        <v>43</v>
      </c>
      <c r="U5071" t="s">
        <v>43</v>
      </c>
      <c r="V5071" t="s">
        <v>43</v>
      </c>
      <c r="W5071" t="s">
        <v>43</v>
      </c>
      <c r="X5071" t="s">
        <v>43</v>
      </c>
      <c r="Y5071" t="s">
        <v>43</v>
      </c>
      <c r="Z5071" t="s">
        <v>43</v>
      </c>
      <c r="AA5071" t="s">
        <v>43</v>
      </c>
      <c r="AB5071" t="s">
        <v>43</v>
      </c>
      <c r="AC5071" t="s">
        <v>43</v>
      </c>
      <c r="AD5071" t="s">
        <v>43</v>
      </c>
      <c r="AE5071" t="s">
        <v>43</v>
      </c>
      <c r="AF5071" t="s">
        <v>43</v>
      </c>
      <c r="AG5071" t="s">
        <v>43</v>
      </c>
      <c r="AH5071" t="s">
        <v>43</v>
      </c>
      <c r="AI5071" t="s">
        <v>43</v>
      </c>
      <c r="AJ5071" t="s">
        <v>43</v>
      </c>
      <c r="AK5071" t="s">
        <v>43</v>
      </c>
      <c r="AL5071" t="s">
        <v>43</v>
      </c>
      <c r="AM5071" t="s">
        <v>43</v>
      </c>
      <c r="AN5071" t="str">
        <f>HYPERLINK("https://www.google.com/maps?q=10.83226967,79.84021759","Open Location")</f>
        <v>Open Location</v>
      </c>
    </row>
    <row r="5072" spans="1:40" x14ac:dyDescent="0.3">
      <c r="A5072" s="1">
        <v>46210.412268518521</v>
      </c>
      <c r="B5072" t="s">
        <v>40</v>
      </c>
      <c r="C5072" t="s">
        <v>41</v>
      </c>
      <c r="D5072" s="1">
        <v>46210.415208333332</v>
      </c>
      <c r="E5072" t="s">
        <v>42</v>
      </c>
      <c r="F5072" t="s">
        <v>43</v>
      </c>
      <c r="G5072" t="s">
        <v>43</v>
      </c>
      <c r="H5072" t="s">
        <v>43</v>
      </c>
      <c r="I5072" t="s">
        <v>2709</v>
      </c>
      <c r="J5072" t="s">
        <v>43</v>
      </c>
      <c r="K5072" t="s">
        <v>43</v>
      </c>
      <c r="L5072" t="s">
        <v>43</v>
      </c>
      <c r="M5072" t="s">
        <v>43</v>
      </c>
      <c r="N5072" t="s">
        <v>45</v>
      </c>
      <c r="O5072" t="s">
        <v>43</v>
      </c>
      <c r="P5072" t="s">
        <v>43</v>
      </c>
      <c r="Q5072" t="s">
        <v>43</v>
      </c>
      <c r="R5072" t="s">
        <v>43</v>
      </c>
      <c r="S5072" t="s">
        <v>43</v>
      </c>
      <c r="T5072" t="s">
        <v>43</v>
      </c>
      <c r="U5072" t="s">
        <v>43</v>
      </c>
      <c r="V5072" t="s">
        <v>43</v>
      </c>
      <c r="W5072" t="s">
        <v>43</v>
      </c>
      <c r="X5072" t="s">
        <v>43</v>
      </c>
      <c r="Y5072" t="s">
        <v>43</v>
      </c>
      <c r="Z5072" t="s">
        <v>43</v>
      </c>
      <c r="AA5072" t="s">
        <v>43</v>
      </c>
      <c r="AB5072" t="s">
        <v>43</v>
      </c>
      <c r="AC5072" t="s">
        <v>43</v>
      </c>
      <c r="AD5072" t="s">
        <v>43</v>
      </c>
      <c r="AE5072" t="s">
        <v>43</v>
      </c>
      <c r="AF5072" t="s">
        <v>43</v>
      </c>
      <c r="AG5072" t="s">
        <v>43</v>
      </c>
      <c r="AH5072" t="s">
        <v>43</v>
      </c>
      <c r="AI5072" t="s">
        <v>43</v>
      </c>
      <c r="AJ5072" t="s">
        <v>43</v>
      </c>
      <c r="AK5072" t="s">
        <v>43</v>
      </c>
      <c r="AL5072" t="s">
        <v>43</v>
      </c>
      <c r="AM5072" t="s">
        <v>43</v>
      </c>
      <c r="AN5072" t="str">
        <f>HYPERLINK("https://www.google.com/maps?q=10.83227158,79.84021759","Open Location")</f>
        <v>Open Location</v>
      </c>
    </row>
    <row r="5073" spans="1:40" x14ac:dyDescent="0.3">
      <c r="A5073" s="1">
        <v>46210.412152777775</v>
      </c>
      <c r="B5073" t="s">
        <v>40</v>
      </c>
      <c r="C5073" t="s">
        <v>41</v>
      </c>
      <c r="D5073" s="1">
        <v>46210.414988425924</v>
      </c>
      <c r="E5073" t="s">
        <v>42</v>
      </c>
      <c r="F5073" t="s">
        <v>43</v>
      </c>
      <c r="G5073" t="s">
        <v>43</v>
      </c>
      <c r="H5073" t="s">
        <v>43</v>
      </c>
      <c r="I5073" t="s">
        <v>2901</v>
      </c>
      <c r="J5073" t="s">
        <v>43</v>
      </c>
      <c r="K5073" t="s">
        <v>43</v>
      </c>
      <c r="L5073" t="s">
        <v>43</v>
      </c>
      <c r="M5073" t="s">
        <v>43</v>
      </c>
      <c r="N5073" t="s">
        <v>45</v>
      </c>
      <c r="O5073" t="s">
        <v>43</v>
      </c>
      <c r="P5073" t="s">
        <v>43</v>
      </c>
      <c r="Q5073" t="s">
        <v>43</v>
      </c>
      <c r="R5073" t="s">
        <v>43</v>
      </c>
      <c r="S5073" t="s">
        <v>43</v>
      </c>
      <c r="T5073" t="s">
        <v>43</v>
      </c>
      <c r="U5073" t="s">
        <v>43</v>
      </c>
      <c r="V5073" t="s">
        <v>43</v>
      </c>
      <c r="W5073" t="s">
        <v>43</v>
      </c>
      <c r="X5073" t="s">
        <v>43</v>
      </c>
      <c r="Y5073" t="s">
        <v>43</v>
      </c>
      <c r="Z5073" t="s">
        <v>43</v>
      </c>
      <c r="AA5073" t="s">
        <v>43</v>
      </c>
      <c r="AB5073" t="s">
        <v>43</v>
      </c>
      <c r="AC5073" t="s">
        <v>43</v>
      </c>
      <c r="AD5073" t="s">
        <v>43</v>
      </c>
      <c r="AE5073" t="s">
        <v>43</v>
      </c>
      <c r="AF5073" t="s">
        <v>43</v>
      </c>
      <c r="AG5073" t="s">
        <v>43</v>
      </c>
      <c r="AH5073" t="s">
        <v>43</v>
      </c>
      <c r="AI5073" t="s">
        <v>43</v>
      </c>
      <c r="AJ5073" t="s">
        <v>43</v>
      </c>
      <c r="AK5073" t="s">
        <v>43</v>
      </c>
      <c r="AL5073" t="s">
        <v>43</v>
      </c>
      <c r="AM5073" t="s">
        <v>43</v>
      </c>
      <c r="AN5073" t="str">
        <f>HYPERLINK("https://www.google.com/maps?q=10.8322773,79.84020996","Open Location")</f>
        <v>Open Location</v>
      </c>
    </row>
    <row r="5074" spans="1:40" x14ac:dyDescent="0.3">
      <c r="A5074" s="1">
        <v>46210.412037037036</v>
      </c>
      <c r="B5074" t="s">
        <v>40</v>
      </c>
      <c r="C5074" t="s">
        <v>41</v>
      </c>
      <c r="D5074" s="1">
        <v>46210.415000000001</v>
      </c>
      <c r="E5074" t="s">
        <v>42</v>
      </c>
      <c r="F5074" t="s">
        <v>43</v>
      </c>
      <c r="G5074" t="s">
        <v>43</v>
      </c>
      <c r="H5074" t="s">
        <v>43</v>
      </c>
      <c r="I5074" t="s">
        <v>2902</v>
      </c>
      <c r="J5074" t="s">
        <v>43</v>
      </c>
      <c r="K5074" t="s">
        <v>43</v>
      </c>
      <c r="L5074" t="s">
        <v>43</v>
      </c>
      <c r="M5074" t="s">
        <v>43</v>
      </c>
      <c r="N5074" t="s">
        <v>45</v>
      </c>
      <c r="O5074" t="s">
        <v>43</v>
      </c>
      <c r="P5074" t="s">
        <v>43</v>
      </c>
      <c r="Q5074" t="s">
        <v>43</v>
      </c>
      <c r="R5074" t="s">
        <v>43</v>
      </c>
      <c r="S5074" t="s">
        <v>43</v>
      </c>
      <c r="T5074" t="s">
        <v>43</v>
      </c>
      <c r="U5074" t="s">
        <v>43</v>
      </c>
      <c r="V5074" t="s">
        <v>43</v>
      </c>
      <c r="W5074" t="s">
        <v>43</v>
      </c>
      <c r="X5074" t="s">
        <v>43</v>
      </c>
      <c r="Y5074" t="s">
        <v>43</v>
      </c>
      <c r="Z5074" t="s">
        <v>43</v>
      </c>
      <c r="AA5074" t="s">
        <v>43</v>
      </c>
      <c r="AB5074" t="s">
        <v>43</v>
      </c>
      <c r="AC5074" t="s">
        <v>43</v>
      </c>
      <c r="AD5074" t="s">
        <v>43</v>
      </c>
      <c r="AE5074" t="s">
        <v>43</v>
      </c>
      <c r="AF5074" t="s">
        <v>43</v>
      </c>
      <c r="AG5074" t="s">
        <v>43</v>
      </c>
      <c r="AH5074" t="s">
        <v>43</v>
      </c>
      <c r="AI5074" t="s">
        <v>43</v>
      </c>
      <c r="AJ5074" t="s">
        <v>43</v>
      </c>
      <c r="AK5074" t="s">
        <v>43</v>
      </c>
      <c r="AL5074" t="s">
        <v>43</v>
      </c>
      <c r="AM5074" t="s">
        <v>43</v>
      </c>
      <c r="AN5074" t="str">
        <f>HYPERLINK("https://www.google.com/maps?q=10.83227921,79.84020996","Open Location")</f>
        <v>Open Location</v>
      </c>
    </row>
    <row r="5075" spans="1:40" x14ac:dyDescent="0.3">
      <c r="A5075" s="1">
        <v>46210.411921296298</v>
      </c>
      <c r="B5075" t="s">
        <v>40</v>
      </c>
      <c r="C5075" t="s">
        <v>41</v>
      </c>
      <c r="D5075" s="1">
        <v>46210.414988425924</v>
      </c>
      <c r="E5075" t="s">
        <v>42</v>
      </c>
      <c r="F5075" t="s">
        <v>43</v>
      </c>
      <c r="G5075" t="s">
        <v>43</v>
      </c>
      <c r="H5075" t="s">
        <v>43</v>
      </c>
      <c r="I5075" t="s">
        <v>2903</v>
      </c>
      <c r="J5075" t="s">
        <v>43</v>
      </c>
      <c r="K5075" t="s">
        <v>43</v>
      </c>
      <c r="L5075" t="s">
        <v>43</v>
      </c>
      <c r="M5075" t="s">
        <v>43</v>
      </c>
      <c r="N5075" t="s">
        <v>45</v>
      </c>
      <c r="O5075" t="s">
        <v>43</v>
      </c>
      <c r="P5075" t="s">
        <v>43</v>
      </c>
      <c r="Q5075" t="s">
        <v>43</v>
      </c>
      <c r="R5075" t="s">
        <v>43</v>
      </c>
      <c r="S5075" t="s">
        <v>43</v>
      </c>
      <c r="T5075" t="s">
        <v>43</v>
      </c>
      <c r="U5075" t="s">
        <v>43</v>
      </c>
      <c r="V5075" t="s">
        <v>43</v>
      </c>
      <c r="W5075" t="s">
        <v>43</v>
      </c>
      <c r="X5075" t="s">
        <v>43</v>
      </c>
      <c r="Y5075" t="s">
        <v>43</v>
      </c>
      <c r="Z5075" t="s">
        <v>43</v>
      </c>
      <c r="AA5075" t="s">
        <v>43</v>
      </c>
      <c r="AB5075" t="s">
        <v>43</v>
      </c>
      <c r="AC5075" t="s">
        <v>43</v>
      </c>
      <c r="AD5075" t="s">
        <v>43</v>
      </c>
      <c r="AE5075" t="s">
        <v>43</v>
      </c>
      <c r="AF5075" t="s">
        <v>43</v>
      </c>
      <c r="AG5075" t="s">
        <v>43</v>
      </c>
      <c r="AH5075" t="s">
        <v>43</v>
      </c>
      <c r="AI5075" t="s">
        <v>43</v>
      </c>
      <c r="AJ5075" t="s">
        <v>43</v>
      </c>
      <c r="AK5075" t="s">
        <v>43</v>
      </c>
      <c r="AL5075" t="s">
        <v>43</v>
      </c>
      <c r="AM5075" t="s">
        <v>43</v>
      </c>
      <c r="AN5075" t="str">
        <f>HYPERLINK("https://www.google.com/maps?q=10.83228111,79.84020996","Open Location")</f>
        <v>Open Location</v>
      </c>
    </row>
    <row r="5076" spans="1:40" x14ac:dyDescent="0.3">
      <c r="A5076" s="1">
        <v>46210.411805555559</v>
      </c>
      <c r="B5076" t="s">
        <v>40</v>
      </c>
      <c r="C5076" t="s">
        <v>41</v>
      </c>
      <c r="D5076" s="1">
        <v>46210.414513888885</v>
      </c>
      <c r="E5076" t="s">
        <v>42</v>
      </c>
      <c r="F5076" t="s">
        <v>43</v>
      </c>
      <c r="G5076" t="s">
        <v>43</v>
      </c>
      <c r="H5076" t="s">
        <v>43</v>
      </c>
      <c r="I5076" t="s">
        <v>43</v>
      </c>
      <c r="J5076" t="s">
        <v>43</v>
      </c>
      <c r="K5076" t="s">
        <v>43</v>
      </c>
      <c r="L5076" t="s">
        <v>43</v>
      </c>
      <c r="M5076" t="s">
        <v>43</v>
      </c>
      <c r="N5076" t="s">
        <v>45</v>
      </c>
      <c r="O5076" t="s">
        <v>43</v>
      </c>
      <c r="P5076" t="s">
        <v>43</v>
      </c>
      <c r="Q5076" t="s">
        <v>43</v>
      </c>
      <c r="R5076" t="s">
        <v>43</v>
      </c>
      <c r="S5076" t="s">
        <v>43</v>
      </c>
      <c r="T5076" t="s">
        <v>43</v>
      </c>
      <c r="U5076" t="s">
        <v>43</v>
      </c>
      <c r="V5076" t="s">
        <v>43</v>
      </c>
      <c r="W5076" t="s">
        <v>43</v>
      </c>
      <c r="X5076" t="s">
        <v>43</v>
      </c>
      <c r="Y5076" t="s">
        <v>43</v>
      </c>
      <c r="Z5076" t="s">
        <v>43</v>
      </c>
      <c r="AA5076" t="s">
        <v>43</v>
      </c>
      <c r="AB5076" t="s">
        <v>43</v>
      </c>
      <c r="AC5076" t="s">
        <v>43</v>
      </c>
      <c r="AD5076" t="s">
        <v>43</v>
      </c>
      <c r="AE5076" t="s">
        <v>43</v>
      </c>
      <c r="AF5076" t="s">
        <v>43</v>
      </c>
      <c r="AG5076" t="s">
        <v>43</v>
      </c>
      <c r="AH5076" t="s">
        <v>43</v>
      </c>
      <c r="AI5076" t="s">
        <v>43</v>
      </c>
      <c r="AJ5076" t="s">
        <v>43</v>
      </c>
      <c r="AK5076" t="s">
        <v>43</v>
      </c>
      <c r="AL5076" t="s">
        <v>43</v>
      </c>
      <c r="AM5076" t="s">
        <v>43</v>
      </c>
      <c r="AN5076" t="s">
        <v>43</v>
      </c>
    </row>
    <row r="5077" spans="1:40" x14ac:dyDescent="0.3">
      <c r="A5077" s="1">
        <v>46210.411689814813</v>
      </c>
      <c r="B5077" t="s">
        <v>40</v>
      </c>
      <c r="C5077" t="s">
        <v>41</v>
      </c>
      <c r="D5077" s="1">
        <v>46210.414629629631</v>
      </c>
      <c r="E5077" t="s">
        <v>42</v>
      </c>
      <c r="F5077" t="s">
        <v>43</v>
      </c>
      <c r="G5077" t="s">
        <v>43</v>
      </c>
      <c r="H5077" t="s">
        <v>43</v>
      </c>
      <c r="I5077" t="s">
        <v>2904</v>
      </c>
      <c r="J5077" t="s">
        <v>43</v>
      </c>
      <c r="K5077" t="s">
        <v>43</v>
      </c>
      <c r="L5077" t="s">
        <v>43</v>
      </c>
      <c r="M5077" t="s">
        <v>43</v>
      </c>
      <c r="N5077" t="s">
        <v>45</v>
      </c>
      <c r="O5077" t="s">
        <v>43</v>
      </c>
      <c r="P5077" t="s">
        <v>43</v>
      </c>
      <c r="Q5077" t="s">
        <v>43</v>
      </c>
      <c r="R5077" t="s">
        <v>43</v>
      </c>
      <c r="S5077" t="s">
        <v>43</v>
      </c>
      <c r="T5077" t="s">
        <v>43</v>
      </c>
      <c r="U5077" t="s">
        <v>43</v>
      </c>
      <c r="V5077" t="s">
        <v>43</v>
      </c>
      <c r="W5077" t="s">
        <v>43</v>
      </c>
      <c r="X5077" t="s">
        <v>43</v>
      </c>
      <c r="Y5077" t="s">
        <v>43</v>
      </c>
      <c r="Z5077" t="s">
        <v>43</v>
      </c>
      <c r="AA5077" t="s">
        <v>43</v>
      </c>
      <c r="AB5077" t="s">
        <v>43</v>
      </c>
      <c r="AC5077" t="s">
        <v>43</v>
      </c>
      <c r="AD5077" t="s">
        <v>43</v>
      </c>
      <c r="AE5077" t="s">
        <v>43</v>
      </c>
      <c r="AF5077" t="s">
        <v>43</v>
      </c>
      <c r="AG5077" t="s">
        <v>43</v>
      </c>
      <c r="AH5077" t="s">
        <v>43</v>
      </c>
      <c r="AI5077" t="s">
        <v>43</v>
      </c>
      <c r="AJ5077" t="s">
        <v>43</v>
      </c>
      <c r="AK5077" t="s">
        <v>43</v>
      </c>
      <c r="AL5077" t="s">
        <v>43</v>
      </c>
      <c r="AM5077" t="s">
        <v>43</v>
      </c>
      <c r="AN5077" t="str">
        <f>HYPERLINK("https://www.google.com/maps?q=10.83228207,79.84020996","Open Location")</f>
        <v>Open Location</v>
      </c>
    </row>
    <row r="5078" spans="1:40" x14ac:dyDescent="0.3">
      <c r="A5078" s="1">
        <v>46210.411574074074</v>
      </c>
      <c r="B5078" t="s">
        <v>40</v>
      </c>
      <c r="C5078" t="s">
        <v>41</v>
      </c>
      <c r="D5078" s="1">
        <v>46210.414467592593</v>
      </c>
      <c r="E5078" t="s">
        <v>42</v>
      </c>
      <c r="F5078" t="s">
        <v>43</v>
      </c>
      <c r="G5078" t="s">
        <v>43</v>
      </c>
      <c r="H5078" t="s">
        <v>43</v>
      </c>
      <c r="I5078" t="s">
        <v>2905</v>
      </c>
      <c r="J5078" t="s">
        <v>43</v>
      </c>
      <c r="K5078" t="s">
        <v>43</v>
      </c>
      <c r="L5078" t="s">
        <v>43</v>
      </c>
      <c r="M5078" t="s">
        <v>43</v>
      </c>
      <c r="N5078" t="s">
        <v>45</v>
      </c>
      <c r="O5078" t="s">
        <v>43</v>
      </c>
      <c r="P5078" t="s">
        <v>43</v>
      </c>
      <c r="Q5078" t="s">
        <v>43</v>
      </c>
      <c r="R5078" t="s">
        <v>43</v>
      </c>
      <c r="S5078" t="s">
        <v>43</v>
      </c>
      <c r="T5078" t="s">
        <v>43</v>
      </c>
      <c r="U5078" t="s">
        <v>43</v>
      </c>
      <c r="V5078" t="s">
        <v>43</v>
      </c>
      <c r="W5078" t="s">
        <v>43</v>
      </c>
      <c r="X5078" t="s">
        <v>43</v>
      </c>
      <c r="Y5078" t="s">
        <v>43</v>
      </c>
      <c r="Z5078" t="s">
        <v>43</v>
      </c>
      <c r="AA5078" t="s">
        <v>43</v>
      </c>
      <c r="AB5078" t="s">
        <v>43</v>
      </c>
      <c r="AC5078" t="s">
        <v>43</v>
      </c>
      <c r="AD5078" t="s">
        <v>43</v>
      </c>
      <c r="AE5078" t="s">
        <v>43</v>
      </c>
      <c r="AF5078" t="s">
        <v>43</v>
      </c>
      <c r="AG5078" t="s">
        <v>43</v>
      </c>
      <c r="AH5078" t="s">
        <v>43</v>
      </c>
      <c r="AI5078" t="s">
        <v>43</v>
      </c>
      <c r="AJ5078" t="s">
        <v>43</v>
      </c>
      <c r="AK5078" t="s">
        <v>43</v>
      </c>
      <c r="AL5078" t="s">
        <v>43</v>
      </c>
      <c r="AM5078" t="s">
        <v>43</v>
      </c>
      <c r="AN5078" t="str">
        <f>HYPERLINK("https://www.google.com/maps?q=10.83228111,79.84020233","Open Location")</f>
        <v>Open Location</v>
      </c>
    </row>
    <row r="5079" spans="1:40" x14ac:dyDescent="0.3">
      <c r="A5079" s="1">
        <v>46210.411458333336</v>
      </c>
      <c r="B5079" t="s">
        <v>40</v>
      </c>
      <c r="C5079" t="s">
        <v>41</v>
      </c>
      <c r="D5079" s="1">
        <v>46210.414375</v>
      </c>
      <c r="E5079" t="s">
        <v>42</v>
      </c>
      <c r="F5079" t="s">
        <v>43</v>
      </c>
      <c r="G5079" t="s">
        <v>43</v>
      </c>
      <c r="H5079" t="s">
        <v>43</v>
      </c>
      <c r="I5079" t="s">
        <v>2906</v>
      </c>
      <c r="J5079" t="s">
        <v>43</v>
      </c>
      <c r="K5079" t="s">
        <v>43</v>
      </c>
      <c r="L5079" t="s">
        <v>43</v>
      </c>
      <c r="M5079" t="s">
        <v>43</v>
      </c>
      <c r="N5079" t="s">
        <v>45</v>
      </c>
      <c r="O5079" t="s">
        <v>43</v>
      </c>
      <c r="P5079" t="s">
        <v>43</v>
      </c>
      <c r="Q5079" t="s">
        <v>43</v>
      </c>
      <c r="R5079" t="s">
        <v>43</v>
      </c>
      <c r="S5079" t="s">
        <v>43</v>
      </c>
      <c r="T5079" t="s">
        <v>43</v>
      </c>
      <c r="U5079" t="s">
        <v>43</v>
      </c>
      <c r="V5079" t="s">
        <v>43</v>
      </c>
      <c r="W5079" t="s">
        <v>43</v>
      </c>
      <c r="X5079" t="s">
        <v>43</v>
      </c>
      <c r="Y5079" t="s">
        <v>43</v>
      </c>
      <c r="Z5079" t="s">
        <v>43</v>
      </c>
      <c r="AA5079" t="s">
        <v>43</v>
      </c>
      <c r="AB5079" t="s">
        <v>43</v>
      </c>
      <c r="AC5079" t="s">
        <v>43</v>
      </c>
      <c r="AD5079" t="s">
        <v>43</v>
      </c>
      <c r="AE5079" t="s">
        <v>43</v>
      </c>
      <c r="AF5079" t="s">
        <v>43</v>
      </c>
      <c r="AG5079" t="s">
        <v>43</v>
      </c>
      <c r="AH5079" t="s">
        <v>43</v>
      </c>
      <c r="AI5079" t="s">
        <v>43</v>
      </c>
      <c r="AJ5079" t="s">
        <v>43</v>
      </c>
      <c r="AK5079" t="s">
        <v>43</v>
      </c>
      <c r="AL5079" t="s">
        <v>43</v>
      </c>
      <c r="AM5079" t="s">
        <v>43</v>
      </c>
      <c r="AN5079" t="str">
        <f>HYPERLINK("https://www.google.com/maps?q=10.83227921,79.84020233","Open Location")</f>
        <v>Open Location</v>
      </c>
    </row>
    <row r="5080" spans="1:40" x14ac:dyDescent="0.3">
      <c r="A5080" s="1">
        <v>46210.41134259259</v>
      </c>
      <c r="B5080" t="s">
        <v>40</v>
      </c>
      <c r="C5080" t="s">
        <v>41</v>
      </c>
      <c r="D5080" s="1">
        <v>46210.414178240739</v>
      </c>
      <c r="E5080" t="s">
        <v>42</v>
      </c>
      <c r="F5080" t="s">
        <v>43</v>
      </c>
      <c r="G5080" t="s">
        <v>43</v>
      </c>
      <c r="H5080" t="s">
        <v>43</v>
      </c>
      <c r="I5080" t="s">
        <v>2907</v>
      </c>
      <c r="J5080" t="s">
        <v>43</v>
      </c>
      <c r="K5080" t="s">
        <v>43</v>
      </c>
      <c r="L5080" t="s">
        <v>43</v>
      </c>
      <c r="M5080" t="s">
        <v>43</v>
      </c>
      <c r="N5080" t="s">
        <v>45</v>
      </c>
      <c r="O5080" t="s">
        <v>43</v>
      </c>
      <c r="P5080" t="s">
        <v>43</v>
      </c>
      <c r="Q5080" t="s">
        <v>43</v>
      </c>
      <c r="R5080" t="s">
        <v>43</v>
      </c>
      <c r="S5080" t="s">
        <v>43</v>
      </c>
      <c r="T5080" t="s">
        <v>43</v>
      </c>
      <c r="U5080" t="s">
        <v>43</v>
      </c>
      <c r="V5080" t="s">
        <v>43</v>
      </c>
      <c r="W5080" t="s">
        <v>43</v>
      </c>
      <c r="X5080" t="s">
        <v>43</v>
      </c>
      <c r="Y5080" t="s">
        <v>43</v>
      </c>
      <c r="Z5080" t="s">
        <v>43</v>
      </c>
      <c r="AA5080" t="s">
        <v>43</v>
      </c>
      <c r="AB5080" t="s">
        <v>43</v>
      </c>
      <c r="AC5080" t="s">
        <v>43</v>
      </c>
      <c r="AD5080" t="s">
        <v>43</v>
      </c>
      <c r="AE5080" t="s">
        <v>43</v>
      </c>
      <c r="AF5080" t="s">
        <v>43</v>
      </c>
      <c r="AG5080" t="s">
        <v>43</v>
      </c>
      <c r="AH5080" t="s">
        <v>43</v>
      </c>
      <c r="AI5080" t="s">
        <v>43</v>
      </c>
      <c r="AJ5080" t="s">
        <v>43</v>
      </c>
      <c r="AK5080" t="s">
        <v>43</v>
      </c>
      <c r="AL5080" t="s">
        <v>43</v>
      </c>
      <c r="AM5080" t="s">
        <v>43</v>
      </c>
      <c r="AN5080" t="str">
        <f>HYPERLINK("https://www.google.com/maps?q=10.8322773,79.8401947","Open Location")</f>
        <v>Open Location</v>
      </c>
    </row>
    <row r="5081" spans="1:40" x14ac:dyDescent="0.3">
      <c r="A5081" s="1">
        <v>46210.411226851851</v>
      </c>
      <c r="B5081" t="s">
        <v>40</v>
      </c>
      <c r="C5081" t="s">
        <v>41</v>
      </c>
      <c r="D5081" s="1">
        <v>46210.4140625</v>
      </c>
      <c r="E5081" t="s">
        <v>42</v>
      </c>
      <c r="F5081" t="s">
        <v>43</v>
      </c>
      <c r="G5081" t="s">
        <v>43</v>
      </c>
      <c r="H5081" t="s">
        <v>43</v>
      </c>
      <c r="I5081" t="s">
        <v>43</v>
      </c>
      <c r="J5081" t="s">
        <v>43</v>
      </c>
      <c r="K5081" t="s">
        <v>43</v>
      </c>
      <c r="L5081" t="s">
        <v>43</v>
      </c>
      <c r="M5081" t="s">
        <v>43</v>
      </c>
      <c r="N5081" t="s">
        <v>45</v>
      </c>
      <c r="O5081" t="s">
        <v>43</v>
      </c>
      <c r="P5081" t="s">
        <v>43</v>
      </c>
      <c r="Q5081" t="s">
        <v>43</v>
      </c>
      <c r="R5081" t="s">
        <v>43</v>
      </c>
      <c r="S5081" t="s">
        <v>43</v>
      </c>
      <c r="T5081" t="s">
        <v>43</v>
      </c>
      <c r="U5081" t="s">
        <v>43</v>
      </c>
      <c r="V5081" t="s">
        <v>43</v>
      </c>
      <c r="W5081" t="s">
        <v>43</v>
      </c>
      <c r="X5081" t="s">
        <v>43</v>
      </c>
      <c r="Y5081" t="s">
        <v>43</v>
      </c>
      <c r="Z5081" t="s">
        <v>43</v>
      </c>
      <c r="AA5081" t="s">
        <v>43</v>
      </c>
      <c r="AB5081" t="s">
        <v>43</v>
      </c>
      <c r="AC5081" t="s">
        <v>43</v>
      </c>
      <c r="AD5081" t="s">
        <v>43</v>
      </c>
      <c r="AE5081" t="s">
        <v>43</v>
      </c>
      <c r="AF5081" t="s">
        <v>43</v>
      </c>
      <c r="AG5081" t="s">
        <v>43</v>
      </c>
      <c r="AH5081" t="s">
        <v>43</v>
      </c>
      <c r="AI5081" t="s">
        <v>43</v>
      </c>
      <c r="AJ5081" t="s">
        <v>43</v>
      </c>
      <c r="AK5081" t="s">
        <v>43</v>
      </c>
      <c r="AL5081" t="s">
        <v>43</v>
      </c>
      <c r="AM5081" t="s">
        <v>43</v>
      </c>
      <c r="AN5081" t="s">
        <v>43</v>
      </c>
    </row>
    <row r="5082" spans="1:40" x14ac:dyDescent="0.3">
      <c r="A5082" s="1">
        <v>46210.411111111112</v>
      </c>
      <c r="B5082" t="s">
        <v>40</v>
      </c>
      <c r="C5082" t="s">
        <v>41</v>
      </c>
      <c r="D5082" s="1">
        <v>46210.413807870369</v>
      </c>
      <c r="E5082" t="s">
        <v>42</v>
      </c>
      <c r="F5082" t="s">
        <v>43</v>
      </c>
      <c r="G5082" t="s">
        <v>43</v>
      </c>
      <c r="H5082" t="s">
        <v>43</v>
      </c>
      <c r="I5082" t="s">
        <v>2908</v>
      </c>
      <c r="J5082" t="s">
        <v>43</v>
      </c>
      <c r="K5082" t="s">
        <v>43</v>
      </c>
      <c r="L5082" t="s">
        <v>43</v>
      </c>
      <c r="M5082" t="s">
        <v>43</v>
      </c>
      <c r="N5082" t="s">
        <v>45</v>
      </c>
      <c r="O5082" t="s">
        <v>43</v>
      </c>
      <c r="P5082" t="s">
        <v>43</v>
      </c>
      <c r="Q5082" t="s">
        <v>43</v>
      </c>
      <c r="R5082" t="s">
        <v>43</v>
      </c>
      <c r="S5082" t="s">
        <v>43</v>
      </c>
      <c r="T5082" t="s">
        <v>43</v>
      </c>
      <c r="U5082" t="s">
        <v>43</v>
      </c>
      <c r="V5082" t="s">
        <v>43</v>
      </c>
      <c r="W5082" t="s">
        <v>43</v>
      </c>
      <c r="X5082" t="s">
        <v>43</v>
      </c>
      <c r="Y5082" t="s">
        <v>43</v>
      </c>
      <c r="Z5082" t="s">
        <v>43</v>
      </c>
      <c r="AA5082" t="s">
        <v>43</v>
      </c>
      <c r="AB5082" t="s">
        <v>43</v>
      </c>
      <c r="AC5082" t="s">
        <v>43</v>
      </c>
      <c r="AD5082" t="s">
        <v>43</v>
      </c>
      <c r="AE5082" t="s">
        <v>43</v>
      </c>
      <c r="AF5082" t="s">
        <v>43</v>
      </c>
      <c r="AG5082" t="s">
        <v>43</v>
      </c>
      <c r="AH5082" t="s">
        <v>43</v>
      </c>
      <c r="AI5082" t="s">
        <v>43</v>
      </c>
      <c r="AJ5082" t="s">
        <v>43</v>
      </c>
      <c r="AK5082" t="s">
        <v>43</v>
      </c>
      <c r="AL5082" t="s">
        <v>43</v>
      </c>
      <c r="AM5082" t="s">
        <v>43</v>
      </c>
      <c r="AN5082" t="str">
        <f>HYPERLINK("https://www.google.com/maps?q=10.83228016,79.84020996","Open Location")</f>
        <v>Open Location</v>
      </c>
    </row>
    <row r="5083" spans="1:40" x14ac:dyDescent="0.3">
      <c r="A5083" s="1">
        <v>46210.410995370374</v>
      </c>
      <c r="B5083" t="s">
        <v>40</v>
      </c>
      <c r="C5083" t="s">
        <v>41</v>
      </c>
      <c r="D5083" s="1">
        <v>46210.413807870369</v>
      </c>
      <c r="E5083" t="s">
        <v>42</v>
      </c>
      <c r="F5083" t="s">
        <v>43</v>
      </c>
      <c r="G5083" t="s">
        <v>43</v>
      </c>
      <c r="H5083" t="s">
        <v>43</v>
      </c>
      <c r="I5083" t="s">
        <v>2909</v>
      </c>
      <c r="J5083" t="s">
        <v>43</v>
      </c>
      <c r="K5083" t="s">
        <v>43</v>
      </c>
      <c r="L5083" t="s">
        <v>43</v>
      </c>
      <c r="M5083" t="s">
        <v>43</v>
      </c>
      <c r="N5083" t="s">
        <v>45</v>
      </c>
      <c r="O5083" t="s">
        <v>43</v>
      </c>
      <c r="P5083" t="s">
        <v>43</v>
      </c>
      <c r="Q5083" t="s">
        <v>43</v>
      </c>
      <c r="R5083" t="s">
        <v>43</v>
      </c>
      <c r="S5083" t="s">
        <v>43</v>
      </c>
      <c r="T5083" t="s">
        <v>43</v>
      </c>
      <c r="U5083" t="s">
        <v>43</v>
      </c>
      <c r="V5083" t="s">
        <v>43</v>
      </c>
      <c r="W5083" t="s">
        <v>43</v>
      </c>
      <c r="X5083" t="s">
        <v>43</v>
      </c>
      <c r="Y5083" t="s">
        <v>43</v>
      </c>
      <c r="Z5083" t="s">
        <v>43</v>
      </c>
      <c r="AA5083" t="s">
        <v>43</v>
      </c>
      <c r="AB5083" t="s">
        <v>43</v>
      </c>
      <c r="AC5083" t="s">
        <v>43</v>
      </c>
      <c r="AD5083" t="s">
        <v>43</v>
      </c>
      <c r="AE5083" t="s">
        <v>43</v>
      </c>
      <c r="AF5083" t="s">
        <v>43</v>
      </c>
      <c r="AG5083" t="s">
        <v>43</v>
      </c>
      <c r="AH5083" t="s">
        <v>43</v>
      </c>
      <c r="AI5083" t="s">
        <v>43</v>
      </c>
      <c r="AJ5083" t="s">
        <v>43</v>
      </c>
      <c r="AK5083" t="s">
        <v>43</v>
      </c>
      <c r="AL5083" t="s">
        <v>43</v>
      </c>
      <c r="AM5083" t="s">
        <v>43</v>
      </c>
      <c r="AN5083" t="str">
        <f>HYPERLINK("https://www.google.com/maps?q=10.83228302,79.84021759","Open Location")</f>
        <v>Open Location</v>
      </c>
    </row>
    <row r="5084" spans="1:40" x14ac:dyDescent="0.3">
      <c r="A5084" s="1">
        <v>46210.410879629628</v>
      </c>
      <c r="B5084" t="s">
        <v>40</v>
      </c>
      <c r="C5084" t="s">
        <v>41</v>
      </c>
      <c r="D5084" s="1">
        <v>46210.413946759261</v>
      </c>
      <c r="E5084" t="s">
        <v>42</v>
      </c>
      <c r="F5084" t="s">
        <v>43</v>
      </c>
      <c r="G5084" t="s">
        <v>43</v>
      </c>
      <c r="H5084" t="s">
        <v>43</v>
      </c>
      <c r="I5084" t="s">
        <v>2910</v>
      </c>
      <c r="J5084" t="s">
        <v>43</v>
      </c>
      <c r="K5084" t="s">
        <v>43</v>
      </c>
      <c r="L5084" t="s">
        <v>43</v>
      </c>
      <c r="M5084" t="s">
        <v>43</v>
      </c>
      <c r="N5084" t="s">
        <v>45</v>
      </c>
      <c r="O5084" t="s">
        <v>43</v>
      </c>
      <c r="P5084" t="s">
        <v>43</v>
      </c>
      <c r="Q5084" t="s">
        <v>43</v>
      </c>
      <c r="R5084" t="s">
        <v>43</v>
      </c>
      <c r="S5084" t="s">
        <v>43</v>
      </c>
      <c r="T5084" t="s">
        <v>43</v>
      </c>
      <c r="U5084" t="s">
        <v>43</v>
      </c>
      <c r="V5084" t="s">
        <v>43</v>
      </c>
      <c r="W5084" t="s">
        <v>43</v>
      </c>
      <c r="X5084" t="s">
        <v>43</v>
      </c>
      <c r="Y5084" t="s">
        <v>43</v>
      </c>
      <c r="Z5084" t="s">
        <v>43</v>
      </c>
      <c r="AA5084" t="s">
        <v>43</v>
      </c>
      <c r="AB5084" t="s">
        <v>43</v>
      </c>
      <c r="AC5084" t="s">
        <v>43</v>
      </c>
      <c r="AD5084" t="s">
        <v>43</v>
      </c>
      <c r="AE5084" t="s">
        <v>43</v>
      </c>
      <c r="AF5084" t="s">
        <v>43</v>
      </c>
      <c r="AG5084" t="s">
        <v>43</v>
      </c>
      <c r="AH5084" t="s">
        <v>43</v>
      </c>
      <c r="AI5084" t="s">
        <v>43</v>
      </c>
      <c r="AJ5084" t="s">
        <v>43</v>
      </c>
      <c r="AK5084" t="s">
        <v>43</v>
      </c>
      <c r="AL5084" t="s">
        <v>43</v>
      </c>
      <c r="AM5084" t="s">
        <v>43</v>
      </c>
      <c r="AN5084" t="str">
        <f>HYPERLINK("https://www.google.com/maps?q=10.83227539,79.84022522","Open Location")</f>
        <v>Open Location</v>
      </c>
    </row>
    <row r="5085" spans="1:40" x14ac:dyDescent="0.3">
      <c r="A5085" s="1">
        <v>46210.410763888889</v>
      </c>
      <c r="B5085" t="s">
        <v>40</v>
      </c>
      <c r="C5085" t="s">
        <v>41</v>
      </c>
      <c r="D5085" s="1">
        <v>46210.413807870369</v>
      </c>
      <c r="E5085" t="s">
        <v>42</v>
      </c>
      <c r="F5085" t="s">
        <v>43</v>
      </c>
      <c r="G5085" t="s">
        <v>43</v>
      </c>
      <c r="H5085" t="s">
        <v>43</v>
      </c>
      <c r="I5085" t="s">
        <v>2710</v>
      </c>
      <c r="J5085" t="s">
        <v>43</v>
      </c>
      <c r="K5085" t="s">
        <v>43</v>
      </c>
      <c r="L5085" t="s">
        <v>43</v>
      </c>
      <c r="M5085" t="s">
        <v>43</v>
      </c>
      <c r="N5085" t="s">
        <v>45</v>
      </c>
      <c r="O5085" t="s">
        <v>43</v>
      </c>
      <c r="P5085" t="s">
        <v>43</v>
      </c>
      <c r="Q5085" t="s">
        <v>43</v>
      </c>
      <c r="R5085" t="s">
        <v>43</v>
      </c>
      <c r="S5085" t="s">
        <v>43</v>
      </c>
      <c r="T5085" t="s">
        <v>43</v>
      </c>
      <c r="U5085" t="s">
        <v>43</v>
      </c>
      <c r="V5085" t="s">
        <v>43</v>
      </c>
      <c r="W5085" t="s">
        <v>43</v>
      </c>
      <c r="X5085" t="s">
        <v>43</v>
      </c>
      <c r="Y5085" t="s">
        <v>43</v>
      </c>
      <c r="Z5085" t="s">
        <v>43</v>
      </c>
      <c r="AA5085" t="s">
        <v>43</v>
      </c>
      <c r="AB5085" t="s">
        <v>43</v>
      </c>
      <c r="AC5085" t="s">
        <v>43</v>
      </c>
      <c r="AD5085" t="s">
        <v>43</v>
      </c>
      <c r="AE5085" t="s">
        <v>43</v>
      </c>
      <c r="AF5085" t="s">
        <v>43</v>
      </c>
      <c r="AG5085" t="s">
        <v>43</v>
      </c>
      <c r="AH5085" t="s">
        <v>43</v>
      </c>
      <c r="AI5085" t="s">
        <v>43</v>
      </c>
      <c r="AJ5085" t="s">
        <v>43</v>
      </c>
      <c r="AK5085" t="s">
        <v>43</v>
      </c>
      <c r="AL5085" t="s">
        <v>43</v>
      </c>
      <c r="AM5085" t="s">
        <v>43</v>
      </c>
      <c r="AN5085" t="str">
        <f>HYPERLINK("https://www.google.com/maps?q=10.83227634,79.84022522","Open Location")</f>
        <v>Open Location</v>
      </c>
    </row>
    <row r="5086" spans="1:40" x14ac:dyDescent="0.3">
      <c r="A5086" s="1">
        <v>46210.41064814815</v>
      </c>
      <c r="B5086" t="s">
        <v>40</v>
      </c>
      <c r="C5086" t="s">
        <v>41</v>
      </c>
      <c r="D5086" s="1">
        <v>46210.413483796299</v>
      </c>
      <c r="E5086" t="s">
        <v>42</v>
      </c>
      <c r="F5086" t="s">
        <v>43</v>
      </c>
      <c r="G5086" t="s">
        <v>43</v>
      </c>
      <c r="H5086" t="s">
        <v>43</v>
      </c>
      <c r="I5086" t="s">
        <v>2911</v>
      </c>
      <c r="J5086" t="s">
        <v>43</v>
      </c>
      <c r="K5086" t="s">
        <v>43</v>
      </c>
      <c r="L5086" t="s">
        <v>43</v>
      </c>
      <c r="M5086" t="s">
        <v>43</v>
      </c>
      <c r="N5086" t="s">
        <v>45</v>
      </c>
      <c r="O5086" t="s">
        <v>43</v>
      </c>
      <c r="P5086" t="s">
        <v>43</v>
      </c>
      <c r="Q5086" t="s">
        <v>43</v>
      </c>
      <c r="R5086" t="s">
        <v>43</v>
      </c>
      <c r="S5086" t="s">
        <v>43</v>
      </c>
      <c r="T5086" t="s">
        <v>43</v>
      </c>
      <c r="U5086" t="s">
        <v>43</v>
      </c>
      <c r="V5086" t="s">
        <v>43</v>
      </c>
      <c r="W5086" t="s">
        <v>43</v>
      </c>
      <c r="X5086" t="s">
        <v>43</v>
      </c>
      <c r="Y5086" t="s">
        <v>43</v>
      </c>
      <c r="Z5086" t="s">
        <v>43</v>
      </c>
      <c r="AA5086" t="s">
        <v>43</v>
      </c>
      <c r="AB5086" t="s">
        <v>43</v>
      </c>
      <c r="AC5086" t="s">
        <v>43</v>
      </c>
      <c r="AD5086" t="s">
        <v>43</v>
      </c>
      <c r="AE5086" t="s">
        <v>43</v>
      </c>
      <c r="AF5086" t="s">
        <v>43</v>
      </c>
      <c r="AG5086" t="s">
        <v>43</v>
      </c>
      <c r="AH5086" t="s">
        <v>43</v>
      </c>
      <c r="AI5086" t="s">
        <v>43</v>
      </c>
      <c r="AJ5086" t="s">
        <v>43</v>
      </c>
      <c r="AK5086" t="s">
        <v>43</v>
      </c>
      <c r="AL5086" t="s">
        <v>43</v>
      </c>
      <c r="AM5086" t="s">
        <v>43</v>
      </c>
      <c r="AN5086" t="str">
        <f>HYPERLINK("https://www.google.com/maps?q=10.8322773,79.84023285","Open Location")</f>
        <v>Open Location</v>
      </c>
    </row>
    <row r="5087" spans="1:40" x14ac:dyDescent="0.3">
      <c r="A5087" s="1">
        <v>46210.410532407404</v>
      </c>
      <c r="B5087" t="s">
        <v>40</v>
      </c>
      <c r="C5087" t="s">
        <v>41</v>
      </c>
      <c r="D5087" s="1">
        <v>46210.413518518515</v>
      </c>
      <c r="E5087" t="s">
        <v>42</v>
      </c>
      <c r="F5087" t="s">
        <v>43</v>
      </c>
      <c r="G5087" t="s">
        <v>43</v>
      </c>
      <c r="H5087" t="s">
        <v>43</v>
      </c>
      <c r="I5087" t="s">
        <v>43</v>
      </c>
      <c r="J5087" t="s">
        <v>43</v>
      </c>
      <c r="K5087" t="s">
        <v>43</v>
      </c>
      <c r="L5087" t="s">
        <v>43</v>
      </c>
      <c r="M5087" t="s">
        <v>43</v>
      </c>
      <c r="N5087" t="s">
        <v>45</v>
      </c>
      <c r="O5087" t="s">
        <v>43</v>
      </c>
      <c r="P5087" t="s">
        <v>43</v>
      </c>
      <c r="Q5087" t="s">
        <v>43</v>
      </c>
      <c r="R5087" t="s">
        <v>43</v>
      </c>
      <c r="S5087" t="s">
        <v>43</v>
      </c>
      <c r="T5087" t="s">
        <v>43</v>
      </c>
      <c r="U5087" t="s">
        <v>43</v>
      </c>
      <c r="V5087" t="s">
        <v>43</v>
      </c>
      <c r="W5087" t="s">
        <v>43</v>
      </c>
      <c r="X5087" t="s">
        <v>43</v>
      </c>
      <c r="Y5087" t="s">
        <v>43</v>
      </c>
      <c r="Z5087" t="s">
        <v>43</v>
      </c>
      <c r="AA5087" t="s">
        <v>43</v>
      </c>
      <c r="AB5087" t="s">
        <v>43</v>
      </c>
      <c r="AC5087" t="s">
        <v>43</v>
      </c>
      <c r="AD5087" t="s">
        <v>43</v>
      </c>
      <c r="AE5087" t="s">
        <v>43</v>
      </c>
      <c r="AF5087" t="s">
        <v>43</v>
      </c>
      <c r="AG5087" t="s">
        <v>43</v>
      </c>
      <c r="AH5087" t="s">
        <v>43</v>
      </c>
      <c r="AI5087" t="s">
        <v>43</v>
      </c>
      <c r="AJ5087" t="s">
        <v>43</v>
      </c>
      <c r="AK5087" t="s">
        <v>43</v>
      </c>
      <c r="AL5087" t="s">
        <v>43</v>
      </c>
      <c r="AM5087" t="s">
        <v>43</v>
      </c>
      <c r="AN5087" t="s">
        <v>43</v>
      </c>
    </row>
    <row r="5088" spans="1:40" x14ac:dyDescent="0.3">
      <c r="A5088" s="1">
        <v>46210.410416666666</v>
      </c>
      <c r="B5088" t="s">
        <v>40</v>
      </c>
      <c r="C5088" t="s">
        <v>41</v>
      </c>
      <c r="D5088" s="1">
        <v>46210.413182870368</v>
      </c>
      <c r="E5088" t="s">
        <v>42</v>
      </c>
      <c r="F5088" t="s">
        <v>43</v>
      </c>
      <c r="G5088" t="s">
        <v>43</v>
      </c>
      <c r="H5088" t="s">
        <v>43</v>
      </c>
      <c r="I5088" t="s">
        <v>2912</v>
      </c>
      <c r="J5088" t="s">
        <v>43</v>
      </c>
      <c r="K5088" t="s">
        <v>43</v>
      </c>
      <c r="L5088" t="s">
        <v>43</v>
      </c>
      <c r="M5088" t="s">
        <v>43</v>
      </c>
      <c r="N5088" t="s">
        <v>45</v>
      </c>
      <c r="O5088" t="s">
        <v>43</v>
      </c>
      <c r="P5088" t="s">
        <v>43</v>
      </c>
      <c r="Q5088" t="s">
        <v>43</v>
      </c>
      <c r="R5088" t="s">
        <v>43</v>
      </c>
      <c r="S5088" t="s">
        <v>43</v>
      </c>
      <c r="T5088" t="s">
        <v>43</v>
      </c>
      <c r="U5088" t="s">
        <v>43</v>
      </c>
      <c r="V5088" t="s">
        <v>43</v>
      </c>
      <c r="W5088" t="s">
        <v>43</v>
      </c>
      <c r="X5088" t="s">
        <v>43</v>
      </c>
      <c r="Y5088" t="s">
        <v>43</v>
      </c>
      <c r="Z5088" t="s">
        <v>43</v>
      </c>
      <c r="AA5088" t="s">
        <v>43</v>
      </c>
      <c r="AB5088" t="s">
        <v>43</v>
      </c>
      <c r="AC5088" t="s">
        <v>43</v>
      </c>
      <c r="AD5088" t="s">
        <v>43</v>
      </c>
      <c r="AE5088" t="s">
        <v>43</v>
      </c>
      <c r="AF5088" t="s">
        <v>43</v>
      </c>
      <c r="AG5088" t="s">
        <v>43</v>
      </c>
      <c r="AH5088" t="s">
        <v>43</v>
      </c>
      <c r="AI5088" t="s">
        <v>43</v>
      </c>
      <c r="AJ5088" t="s">
        <v>43</v>
      </c>
      <c r="AK5088" t="s">
        <v>43</v>
      </c>
      <c r="AL5088" t="s">
        <v>43</v>
      </c>
      <c r="AM5088" t="s">
        <v>43</v>
      </c>
      <c r="AN5088" t="str">
        <f>HYPERLINK("https://www.google.com/maps?q=10.83227921,79.84022522","Open Location")</f>
        <v>Open Location</v>
      </c>
    </row>
    <row r="5089" spans="1:40" x14ac:dyDescent="0.3">
      <c r="A5089" s="1">
        <v>46210.410300925927</v>
      </c>
      <c r="B5089" t="s">
        <v>40</v>
      </c>
      <c r="C5089" t="s">
        <v>41</v>
      </c>
      <c r="D5089" s="1">
        <v>46210.413182870368</v>
      </c>
      <c r="E5089" t="s">
        <v>42</v>
      </c>
      <c r="F5089" t="s">
        <v>43</v>
      </c>
      <c r="G5089" t="s">
        <v>43</v>
      </c>
      <c r="H5089" t="s">
        <v>43</v>
      </c>
      <c r="I5089" t="s">
        <v>2913</v>
      </c>
      <c r="J5089" t="s">
        <v>43</v>
      </c>
      <c r="K5089" t="s">
        <v>43</v>
      </c>
      <c r="L5089" t="s">
        <v>43</v>
      </c>
      <c r="M5089" t="s">
        <v>43</v>
      </c>
      <c r="N5089" t="s">
        <v>45</v>
      </c>
      <c r="O5089" t="s">
        <v>43</v>
      </c>
      <c r="P5089" t="s">
        <v>43</v>
      </c>
      <c r="Q5089" t="s">
        <v>43</v>
      </c>
      <c r="R5089" t="s">
        <v>43</v>
      </c>
      <c r="S5089" t="s">
        <v>43</v>
      </c>
      <c r="T5089" t="s">
        <v>43</v>
      </c>
      <c r="U5089" t="s">
        <v>43</v>
      </c>
      <c r="V5089" t="s">
        <v>43</v>
      </c>
      <c r="W5089" t="s">
        <v>43</v>
      </c>
      <c r="X5089" t="s">
        <v>43</v>
      </c>
      <c r="Y5089" t="s">
        <v>43</v>
      </c>
      <c r="Z5089" t="s">
        <v>43</v>
      </c>
      <c r="AA5089" t="s">
        <v>43</v>
      </c>
      <c r="AB5089" t="s">
        <v>43</v>
      </c>
      <c r="AC5089" t="s">
        <v>43</v>
      </c>
      <c r="AD5089" t="s">
        <v>43</v>
      </c>
      <c r="AE5089" t="s">
        <v>43</v>
      </c>
      <c r="AF5089" t="s">
        <v>43</v>
      </c>
      <c r="AG5089" t="s">
        <v>43</v>
      </c>
      <c r="AH5089" t="s">
        <v>43</v>
      </c>
      <c r="AI5089" t="s">
        <v>43</v>
      </c>
      <c r="AJ5089" t="s">
        <v>43</v>
      </c>
      <c r="AK5089" t="s">
        <v>43</v>
      </c>
      <c r="AL5089" t="s">
        <v>43</v>
      </c>
      <c r="AM5089" t="s">
        <v>43</v>
      </c>
      <c r="AN5089" t="str">
        <f>HYPERLINK("https://www.google.com/maps?q=10.83228111,79.84022522","Open Location")</f>
        <v>Open Location</v>
      </c>
    </row>
    <row r="5090" spans="1:40" x14ac:dyDescent="0.3">
      <c r="A5090" s="1">
        <v>46210.410185185188</v>
      </c>
      <c r="B5090" t="s">
        <v>40</v>
      </c>
      <c r="C5090" t="s">
        <v>41</v>
      </c>
      <c r="D5090" s="1">
        <v>46210.413113425922</v>
      </c>
      <c r="E5090" t="s">
        <v>42</v>
      </c>
      <c r="F5090" t="s">
        <v>43</v>
      </c>
      <c r="G5090" t="s">
        <v>43</v>
      </c>
      <c r="H5090" t="s">
        <v>43</v>
      </c>
      <c r="I5090" t="s">
        <v>2712</v>
      </c>
      <c r="J5090" t="s">
        <v>43</v>
      </c>
      <c r="K5090" t="s">
        <v>43</v>
      </c>
      <c r="L5090" t="s">
        <v>43</v>
      </c>
      <c r="M5090" t="s">
        <v>43</v>
      </c>
      <c r="N5090" t="s">
        <v>45</v>
      </c>
      <c r="O5090" t="s">
        <v>43</v>
      </c>
      <c r="P5090" t="s">
        <v>43</v>
      </c>
      <c r="Q5090" t="s">
        <v>43</v>
      </c>
      <c r="R5090" t="s">
        <v>43</v>
      </c>
      <c r="S5090" t="s">
        <v>43</v>
      </c>
      <c r="T5090" t="s">
        <v>43</v>
      </c>
      <c r="U5090" t="s">
        <v>43</v>
      </c>
      <c r="V5090" t="s">
        <v>43</v>
      </c>
      <c r="W5090" t="s">
        <v>43</v>
      </c>
      <c r="X5090" t="s">
        <v>43</v>
      </c>
      <c r="Y5090" t="s">
        <v>43</v>
      </c>
      <c r="Z5090" t="s">
        <v>43</v>
      </c>
      <c r="AA5090" t="s">
        <v>43</v>
      </c>
      <c r="AB5090" t="s">
        <v>43</v>
      </c>
      <c r="AC5090" t="s">
        <v>43</v>
      </c>
      <c r="AD5090" t="s">
        <v>43</v>
      </c>
      <c r="AE5090" t="s">
        <v>43</v>
      </c>
      <c r="AF5090" t="s">
        <v>43</v>
      </c>
      <c r="AG5090" t="s">
        <v>43</v>
      </c>
      <c r="AH5090" t="s">
        <v>43</v>
      </c>
      <c r="AI5090" t="s">
        <v>43</v>
      </c>
      <c r="AJ5090" t="s">
        <v>43</v>
      </c>
      <c r="AK5090" t="s">
        <v>43</v>
      </c>
      <c r="AL5090" t="s">
        <v>43</v>
      </c>
      <c r="AM5090" t="s">
        <v>43</v>
      </c>
      <c r="AN5090" t="str">
        <f>HYPERLINK("https://www.google.com/maps?q=10.83228493,79.84022522","Open Location")</f>
        <v>Open Location</v>
      </c>
    </row>
    <row r="5091" spans="1:40" x14ac:dyDescent="0.3">
      <c r="A5091" s="1">
        <v>46210.410069444442</v>
      </c>
      <c r="B5091" t="s">
        <v>40</v>
      </c>
      <c r="C5091" t="s">
        <v>41</v>
      </c>
      <c r="D5091" s="1">
        <v>46210.412986111114</v>
      </c>
      <c r="E5091" t="s">
        <v>42</v>
      </c>
      <c r="F5091" t="s">
        <v>43</v>
      </c>
      <c r="G5091" t="s">
        <v>43</v>
      </c>
      <c r="H5091" t="s">
        <v>43</v>
      </c>
      <c r="I5091" t="s">
        <v>2914</v>
      </c>
      <c r="J5091" t="s">
        <v>43</v>
      </c>
      <c r="K5091" t="s">
        <v>43</v>
      </c>
      <c r="L5091" t="s">
        <v>43</v>
      </c>
      <c r="M5091" t="s">
        <v>43</v>
      </c>
      <c r="N5091" t="s">
        <v>45</v>
      </c>
      <c r="O5091" t="s">
        <v>43</v>
      </c>
      <c r="P5091" t="s">
        <v>43</v>
      </c>
      <c r="Q5091" t="s">
        <v>43</v>
      </c>
      <c r="R5091" t="s">
        <v>43</v>
      </c>
      <c r="S5091" t="s">
        <v>43</v>
      </c>
      <c r="T5091" t="s">
        <v>43</v>
      </c>
      <c r="U5091" t="s">
        <v>43</v>
      </c>
      <c r="V5091" t="s">
        <v>43</v>
      </c>
      <c r="W5091" t="s">
        <v>43</v>
      </c>
      <c r="X5091" t="s">
        <v>43</v>
      </c>
      <c r="Y5091" t="s">
        <v>43</v>
      </c>
      <c r="Z5091" t="s">
        <v>43</v>
      </c>
      <c r="AA5091" t="s">
        <v>43</v>
      </c>
      <c r="AB5091" t="s">
        <v>43</v>
      </c>
      <c r="AC5091" t="s">
        <v>43</v>
      </c>
      <c r="AD5091" t="s">
        <v>43</v>
      </c>
      <c r="AE5091" t="s">
        <v>43</v>
      </c>
      <c r="AF5091" t="s">
        <v>43</v>
      </c>
      <c r="AG5091" t="s">
        <v>43</v>
      </c>
      <c r="AH5091" t="s">
        <v>43</v>
      </c>
      <c r="AI5091" t="s">
        <v>43</v>
      </c>
      <c r="AJ5091" t="s">
        <v>43</v>
      </c>
      <c r="AK5091" t="s">
        <v>43</v>
      </c>
      <c r="AL5091" t="s">
        <v>43</v>
      </c>
      <c r="AM5091" t="s">
        <v>43</v>
      </c>
      <c r="AN5091" t="str">
        <f>HYPERLINK("https://www.google.com/maps?q=10.83229065,79.84022522","Open Location")</f>
        <v>Open Location</v>
      </c>
    </row>
    <row r="5092" spans="1:40" x14ac:dyDescent="0.3">
      <c r="A5092" s="1">
        <v>46210.409953703704</v>
      </c>
      <c r="B5092" t="s">
        <v>40</v>
      </c>
      <c r="C5092" t="s">
        <v>41</v>
      </c>
      <c r="D5092" s="1">
        <v>46210.41269675926</v>
      </c>
      <c r="E5092" t="s">
        <v>42</v>
      </c>
      <c r="F5092" t="s">
        <v>43</v>
      </c>
      <c r="G5092" t="s">
        <v>43</v>
      </c>
      <c r="H5092" t="s">
        <v>43</v>
      </c>
      <c r="I5092" t="s">
        <v>2915</v>
      </c>
      <c r="J5092" t="s">
        <v>43</v>
      </c>
      <c r="K5092" t="s">
        <v>43</v>
      </c>
      <c r="L5092" t="s">
        <v>43</v>
      </c>
      <c r="M5092" t="s">
        <v>43</v>
      </c>
      <c r="N5092" t="s">
        <v>45</v>
      </c>
      <c r="O5092" t="s">
        <v>43</v>
      </c>
      <c r="P5092" t="s">
        <v>43</v>
      </c>
      <c r="Q5092" t="s">
        <v>43</v>
      </c>
      <c r="R5092" t="s">
        <v>43</v>
      </c>
      <c r="S5092" t="s">
        <v>43</v>
      </c>
      <c r="T5092" t="s">
        <v>43</v>
      </c>
      <c r="U5092" t="s">
        <v>43</v>
      </c>
      <c r="V5092" t="s">
        <v>43</v>
      </c>
      <c r="W5092" t="s">
        <v>43</v>
      </c>
      <c r="X5092" t="s">
        <v>43</v>
      </c>
      <c r="Y5092" t="s">
        <v>43</v>
      </c>
      <c r="Z5092" t="s">
        <v>43</v>
      </c>
      <c r="AA5092" t="s">
        <v>43</v>
      </c>
      <c r="AB5092" t="s">
        <v>43</v>
      </c>
      <c r="AC5092" t="s">
        <v>43</v>
      </c>
      <c r="AD5092" t="s">
        <v>43</v>
      </c>
      <c r="AE5092" t="s">
        <v>43</v>
      </c>
      <c r="AF5092" t="s">
        <v>43</v>
      </c>
      <c r="AG5092" t="s">
        <v>43</v>
      </c>
      <c r="AH5092" t="s">
        <v>43</v>
      </c>
      <c r="AI5092" t="s">
        <v>43</v>
      </c>
      <c r="AJ5092" t="s">
        <v>43</v>
      </c>
      <c r="AK5092" t="s">
        <v>43</v>
      </c>
      <c r="AL5092" t="s">
        <v>43</v>
      </c>
      <c r="AM5092" t="s">
        <v>43</v>
      </c>
      <c r="AN5092" t="str">
        <f>HYPERLINK("https://www.google.com/maps?q=10.83229256,79.84022522","Open Location")</f>
        <v>Open Location</v>
      </c>
    </row>
    <row r="5093" spans="1:40" x14ac:dyDescent="0.3">
      <c r="A5093" s="1">
        <v>46210.409837962965</v>
      </c>
      <c r="B5093" t="s">
        <v>40</v>
      </c>
      <c r="C5093" t="s">
        <v>41</v>
      </c>
      <c r="D5093" s="1">
        <v>46210.412592592591</v>
      </c>
      <c r="E5093" t="s">
        <v>42</v>
      </c>
      <c r="F5093" t="s">
        <v>43</v>
      </c>
      <c r="G5093" t="s">
        <v>43</v>
      </c>
      <c r="H5093" t="s">
        <v>43</v>
      </c>
      <c r="I5093" t="s">
        <v>43</v>
      </c>
      <c r="J5093" t="s">
        <v>43</v>
      </c>
      <c r="K5093" t="s">
        <v>43</v>
      </c>
      <c r="L5093" t="s">
        <v>43</v>
      </c>
      <c r="M5093" t="s">
        <v>43</v>
      </c>
      <c r="N5093" t="s">
        <v>45</v>
      </c>
      <c r="O5093" t="s">
        <v>43</v>
      </c>
      <c r="P5093" t="s">
        <v>43</v>
      </c>
      <c r="Q5093" t="s">
        <v>43</v>
      </c>
      <c r="R5093" t="s">
        <v>43</v>
      </c>
      <c r="S5093" t="s">
        <v>43</v>
      </c>
      <c r="T5093" t="s">
        <v>43</v>
      </c>
      <c r="U5093" t="s">
        <v>43</v>
      </c>
      <c r="V5093" t="s">
        <v>43</v>
      </c>
      <c r="W5093" t="s">
        <v>43</v>
      </c>
      <c r="X5093" t="s">
        <v>43</v>
      </c>
      <c r="Y5093" t="s">
        <v>43</v>
      </c>
      <c r="Z5093" t="s">
        <v>43</v>
      </c>
      <c r="AA5093" t="s">
        <v>43</v>
      </c>
      <c r="AB5093" t="s">
        <v>43</v>
      </c>
      <c r="AC5093" t="s">
        <v>43</v>
      </c>
      <c r="AD5093" t="s">
        <v>43</v>
      </c>
      <c r="AE5093" t="s">
        <v>43</v>
      </c>
      <c r="AF5093" t="s">
        <v>43</v>
      </c>
      <c r="AG5093" t="s">
        <v>43</v>
      </c>
      <c r="AH5093" t="s">
        <v>43</v>
      </c>
      <c r="AI5093" t="s">
        <v>43</v>
      </c>
      <c r="AJ5093" t="s">
        <v>43</v>
      </c>
      <c r="AK5093" t="s">
        <v>43</v>
      </c>
      <c r="AL5093" t="s">
        <v>43</v>
      </c>
      <c r="AM5093" t="s">
        <v>43</v>
      </c>
      <c r="AN5093" t="s">
        <v>43</v>
      </c>
    </row>
    <row r="5094" spans="1:40" x14ac:dyDescent="0.3">
      <c r="A5094" s="1">
        <v>46210.409722222219</v>
      </c>
      <c r="B5094" t="s">
        <v>40</v>
      </c>
      <c r="C5094" t="s">
        <v>41</v>
      </c>
      <c r="D5094" s="1">
        <v>46210.412604166668</v>
      </c>
      <c r="E5094" t="s">
        <v>42</v>
      </c>
      <c r="F5094" t="s">
        <v>43</v>
      </c>
      <c r="G5094" t="s">
        <v>43</v>
      </c>
      <c r="H5094" t="s">
        <v>43</v>
      </c>
      <c r="I5094" t="s">
        <v>2916</v>
      </c>
      <c r="J5094" t="s">
        <v>43</v>
      </c>
      <c r="K5094" t="s">
        <v>43</v>
      </c>
      <c r="L5094" t="s">
        <v>43</v>
      </c>
      <c r="M5094" t="s">
        <v>43</v>
      </c>
      <c r="N5094" t="s">
        <v>45</v>
      </c>
      <c r="O5094" t="s">
        <v>43</v>
      </c>
      <c r="P5094" t="s">
        <v>43</v>
      </c>
      <c r="Q5094" t="s">
        <v>43</v>
      </c>
      <c r="R5094" t="s">
        <v>43</v>
      </c>
      <c r="S5094" t="s">
        <v>43</v>
      </c>
      <c r="T5094" t="s">
        <v>43</v>
      </c>
      <c r="U5094" t="s">
        <v>43</v>
      </c>
      <c r="V5094" t="s">
        <v>43</v>
      </c>
      <c r="W5094" t="s">
        <v>43</v>
      </c>
      <c r="X5094" t="s">
        <v>43</v>
      </c>
      <c r="Y5094" t="s">
        <v>43</v>
      </c>
      <c r="Z5094" t="s">
        <v>43</v>
      </c>
      <c r="AA5094" t="s">
        <v>43</v>
      </c>
      <c r="AB5094" t="s">
        <v>43</v>
      </c>
      <c r="AC5094" t="s">
        <v>43</v>
      </c>
      <c r="AD5094" t="s">
        <v>43</v>
      </c>
      <c r="AE5094" t="s">
        <v>43</v>
      </c>
      <c r="AF5094" t="s">
        <v>43</v>
      </c>
      <c r="AG5094" t="s">
        <v>43</v>
      </c>
      <c r="AH5094" t="s">
        <v>43</v>
      </c>
      <c r="AI5094" t="s">
        <v>43</v>
      </c>
      <c r="AJ5094" t="s">
        <v>43</v>
      </c>
      <c r="AK5094" t="s">
        <v>43</v>
      </c>
      <c r="AL5094" t="s">
        <v>43</v>
      </c>
      <c r="AM5094" t="s">
        <v>43</v>
      </c>
      <c r="AN5094" t="str">
        <f>HYPERLINK("https://www.google.com/maps?q=10.83229542,79.84022522","Open Location")</f>
        <v>Open Location</v>
      </c>
    </row>
    <row r="5095" spans="1:40" x14ac:dyDescent="0.3">
      <c r="A5095" s="1">
        <v>46210.40960648148</v>
      </c>
      <c r="B5095" t="s">
        <v>40</v>
      </c>
      <c r="C5095" t="s">
        <v>41</v>
      </c>
      <c r="D5095" s="1">
        <v>46210.41269675926</v>
      </c>
      <c r="E5095" t="s">
        <v>42</v>
      </c>
      <c r="F5095" t="s">
        <v>43</v>
      </c>
      <c r="G5095" t="s">
        <v>43</v>
      </c>
      <c r="H5095" t="s">
        <v>43</v>
      </c>
      <c r="I5095" t="s">
        <v>2917</v>
      </c>
      <c r="J5095" t="s">
        <v>43</v>
      </c>
      <c r="K5095" t="s">
        <v>43</v>
      </c>
      <c r="L5095" t="s">
        <v>43</v>
      </c>
      <c r="M5095" t="s">
        <v>43</v>
      </c>
      <c r="N5095" t="s">
        <v>45</v>
      </c>
      <c r="O5095" t="s">
        <v>43</v>
      </c>
      <c r="P5095" t="s">
        <v>43</v>
      </c>
      <c r="Q5095" t="s">
        <v>43</v>
      </c>
      <c r="R5095" t="s">
        <v>43</v>
      </c>
      <c r="S5095" t="s">
        <v>43</v>
      </c>
      <c r="T5095" t="s">
        <v>43</v>
      </c>
      <c r="U5095" t="s">
        <v>43</v>
      </c>
      <c r="V5095" t="s">
        <v>43</v>
      </c>
      <c r="W5095" t="s">
        <v>43</v>
      </c>
      <c r="X5095" t="s">
        <v>43</v>
      </c>
      <c r="Y5095" t="s">
        <v>43</v>
      </c>
      <c r="Z5095" t="s">
        <v>43</v>
      </c>
      <c r="AA5095" t="s">
        <v>43</v>
      </c>
      <c r="AB5095" t="s">
        <v>43</v>
      </c>
      <c r="AC5095" t="s">
        <v>43</v>
      </c>
      <c r="AD5095" t="s">
        <v>43</v>
      </c>
      <c r="AE5095" t="s">
        <v>43</v>
      </c>
      <c r="AF5095" t="s">
        <v>43</v>
      </c>
      <c r="AG5095" t="s">
        <v>43</v>
      </c>
      <c r="AH5095" t="s">
        <v>43</v>
      </c>
      <c r="AI5095" t="s">
        <v>43</v>
      </c>
      <c r="AJ5095" t="s">
        <v>43</v>
      </c>
      <c r="AK5095" t="s">
        <v>43</v>
      </c>
      <c r="AL5095" t="s">
        <v>43</v>
      </c>
      <c r="AM5095" t="s">
        <v>43</v>
      </c>
      <c r="AN5095" t="str">
        <f>HYPERLINK("https://www.google.com/maps?q=10.83229446,79.84022522","Open Location")</f>
        <v>Open Location</v>
      </c>
    </row>
    <row r="5096" spans="1:40" x14ac:dyDescent="0.3">
      <c r="A5096" s="1">
        <v>46210.409490740742</v>
      </c>
      <c r="B5096" t="s">
        <v>40</v>
      </c>
      <c r="C5096" t="s">
        <v>41</v>
      </c>
      <c r="D5096" s="1">
        <v>46210.412291666667</v>
      </c>
      <c r="E5096" t="s">
        <v>42</v>
      </c>
      <c r="F5096" t="s">
        <v>43</v>
      </c>
      <c r="G5096" t="s">
        <v>43</v>
      </c>
      <c r="H5096" t="s">
        <v>43</v>
      </c>
      <c r="I5096" t="s">
        <v>2918</v>
      </c>
      <c r="J5096" t="s">
        <v>43</v>
      </c>
      <c r="K5096" t="s">
        <v>43</v>
      </c>
      <c r="L5096" t="s">
        <v>43</v>
      </c>
      <c r="M5096" t="s">
        <v>43</v>
      </c>
      <c r="N5096" t="s">
        <v>45</v>
      </c>
      <c r="O5096" t="s">
        <v>43</v>
      </c>
      <c r="P5096" t="s">
        <v>43</v>
      </c>
      <c r="Q5096" t="s">
        <v>43</v>
      </c>
      <c r="R5096" t="s">
        <v>43</v>
      </c>
      <c r="S5096" t="s">
        <v>43</v>
      </c>
      <c r="T5096" t="s">
        <v>43</v>
      </c>
      <c r="U5096" t="s">
        <v>43</v>
      </c>
      <c r="V5096" t="s">
        <v>43</v>
      </c>
      <c r="W5096" t="s">
        <v>43</v>
      </c>
      <c r="X5096" t="s">
        <v>43</v>
      </c>
      <c r="Y5096" t="s">
        <v>43</v>
      </c>
      <c r="Z5096" t="s">
        <v>43</v>
      </c>
      <c r="AA5096" t="s">
        <v>43</v>
      </c>
      <c r="AB5096" t="s">
        <v>43</v>
      </c>
      <c r="AC5096" t="s">
        <v>43</v>
      </c>
      <c r="AD5096" t="s">
        <v>43</v>
      </c>
      <c r="AE5096" t="s">
        <v>43</v>
      </c>
      <c r="AF5096" t="s">
        <v>43</v>
      </c>
      <c r="AG5096" t="s">
        <v>43</v>
      </c>
      <c r="AH5096" t="s">
        <v>43</v>
      </c>
      <c r="AI5096" t="s">
        <v>43</v>
      </c>
      <c r="AJ5096" t="s">
        <v>43</v>
      </c>
      <c r="AK5096" t="s">
        <v>43</v>
      </c>
      <c r="AL5096" t="s">
        <v>43</v>
      </c>
      <c r="AM5096" t="s">
        <v>43</v>
      </c>
      <c r="AN5096" t="str">
        <f>HYPERLINK("https://www.google.com/maps?q=10.83229637,79.84022522","Open Location")</f>
        <v>Open Location</v>
      </c>
    </row>
    <row r="5097" spans="1:40" x14ac:dyDescent="0.3">
      <c r="A5097" s="1">
        <v>46210.409375000003</v>
      </c>
      <c r="B5097" t="s">
        <v>40</v>
      </c>
      <c r="C5097" t="s">
        <v>41</v>
      </c>
      <c r="D5097" s="1">
        <v>46210.412291666667</v>
      </c>
      <c r="E5097" t="s">
        <v>42</v>
      </c>
      <c r="F5097" t="s">
        <v>43</v>
      </c>
      <c r="G5097" t="s">
        <v>43</v>
      </c>
      <c r="H5097" t="s">
        <v>43</v>
      </c>
      <c r="I5097" t="s">
        <v>2916</v>
      </c>
      <c r="J5097" t="s">
        <v>43</v>
      </c>
      <c r="K5097" t="s">
        <v>43</v>
      </c>
      <c r="L5097" t="s">
        <v>43</v>
      </c>
      <c r="M5097" t="s">
        <v>43</v>
      </c>
      <c r="N5097" t="s">
        <v>45</v>
      </c>
      <c r="O5097" t="s">
        <v>43</v>
      </c>
      <c r="P5097" t="s">
        <v>43</v>
      </c>
      <c r="Q5097" t="s">
        <v>43</v>
      </c>
      <c r="R5097" t="s">
        <v>43</v>
      </c>
      <c r="S5097" t="s">
        <v>43</v>
      </c>
      <c r="T5097" t="s">
        <v>43</v>
      </c>
      <c r="U5097" t="s">
        <v>43</v>
      </c>
      <c r="V5097" t="s">
        <v>43</v>
      </c>
      <c r="W5097" t="s">
        <v>43</v>
      </c>
      <c r="X5097" t="s">
        <v>43</v>
      </c>
      <c r="Y5097" t="s">
        <v>43</v>
      </c>
      <c r="Z5097" t="s">
        <v>43</v>
      </c>
      <c r="AA5097" t="s">
        <v>43</v>
      </c>
      <c r="AB5097" t="s">
        <v>43</v>
      </c>
      <c r="AC5097" t="s">
        <v>43</v>
      </c>
      <c r="AD5097" t="s">
        <v>43</v>
      </c>
      <c r="AE5097" t="s">
        <v>43</v>
      </c>
      <c r="AF5097" t="s">
        <v>43</v>
      </c>
      <c r="AG5097" t="s">
        <v>43</v>
      </c>
      <c r="AH5097" t="s">
        <v>43</v>
      </c>
      <c r="AI5097" t="s">
        <v>43</v>
      </c>
      <c r="AJ5097" t="s">
        <v>43</v>
      </c>
      <c r="AK5097" t="s">
        <v>43</v>
      </c>
      <c r="AL5097" t="s">
        <v>43</v>
      </c>
      <c r="AM5097" t="s">
        <v>43</v>
      </c>
      <c r="AN5097" t="str">
        <f>HYPERLINK("https://www.google.com/maps?q=10.83229542,79.84022522","Open Location")</f>
        <v>Open Location</v>
      </c>
    </row>
    <row r="5098" spans="1:40" x14ac:dyDescent="0.3">
      <c r="A5098" s="1">
        <v>46210.409259259257</v>
      </c>
      <c r="B5098" t="s">
        <v>40</v>
      </c>
      <c r="C5098" t="s">
        <v>41</v>
      </c>
      <c r="D5098" s="1">
        <v>46210.412372685183</v>
      </c>
      <c r="E5098" t="s">
        <v>42</v>
      </c>
      <c r="F5098" t="s">
        <v>43</v>
      </c>
      <c r="G5098" t="s">
        <v>43</v>
      </c>
      <c r="H5098" t="s">
        <v>43</v>
      </c>
      <c r="I5098" t="s">
        <v>43</v>
      </c>
      <c r="J5098" t="s">
        <v>43</v>
      </c>
      <c r="K5098" t="s">
        <v>43</v>
      </c>
      <c r="L5098" t="s">
        <v>43</v>
      </c>
      <c r="M5098" t="s">
        <v>43</v>
      </c>
      <c r="N5098" t="s">
        <v>45</v>
      </c>
      <c r="O5098" t="s">
        <v>43</v>
      </c>
      <c r="P5098" t="s">
        <v>43</v>
      </c>
      <c r="Q5098" t="s">
        <v>43</v>
      </c>
      <c r="R5098" t="s">
        <v>43</v>
      </c>
      <c r="S5098" t="s">
        <v>43</v>
      </c>
      <c r="T5098" t="s">
        <v>43</v>
      </c>
      <c r="U5098" t="s">
        <v>43</v>
      </c>
      <c r="V5098" t="s">
        <v>43</v>
      </c>
      <c r="W5098" t="s">
        <v>43</v>
      </c>
      <c r="X5098" t="s">
        <v>43</v>
      </c>
      <c r="Y5098" t="s">
        <v>43</v>
      </c>
      <c r="Z5098" t="s">
        <v>43</v>
      </c>
      <c r="AA5098" t="s">
        <v>43</v>
      </c>
      <c r="AB5098" t="s">
        <v>43</v>
      </c>
      <c r="AC5098" t="s">
        <v>43</v>
      </c>
      <c r="AD5098" t="s">
        <v>43</v>
      </c>
      <c r="AE5098" t="s">
        <v>43</v>
      </c>
      <c r="AF5098" t="s">
        <v>43</v>
      </c>
      <c r="AG5098" t="s">
        <v>43</v>
      </c>
      <c r="AH5098" t="s">
        <v>43</v>
      </c>
      <c r="AI5098" t="s">
        <v>43</v>
      </c>
      <c r="AJ5098" t="s">
        <v>43</v>
      </c>
      <c r="AK5098" t="s">
        <v>43</v>
      </c>
      <c r="AL5098" t="s">
        <v>43</v>
      </c>
      <c r="AM5098" t="s">
        <v>43</v>
      </c>
      <c r="AN5098" t="s">
        <v>43</v>
      </c>
    </row>
    <row r="5099" spans="1:40" x14ac:dyDescent="0.3">
      <c r="A5099" s="1">
        <v>46210.409143518518</v>
      </c>
      <c r="B5099" t="s">
        <v>40</v>
      </c>
      <c r="C5099" t="s">
        <v>41</v>
      </c>
      <c r="D5099" s="1">
        <v>46210.412002314813</v>
      </c>
      <c r="E5099" t="s">
        <v>42</v>
      </c>
      <c r="F5099" t="s">
        <v>43</v>
      </c>
      <c r="G5099" t="s">
        <v>43</v>
      </c>
      <c r="H5099" t="s">
        <v>43</v>
      </c>
      <c r="I5099" t="s">
        <v>2917</v>
      </c>
      <c r="J5099" t="s">
        <v>43</v>
      </c>
      <c r="K5099" t="s">
        <v>43</v>
      </c>
      <c r="L5099" t="s">
        <v>43</v>
      </c>
      <c r="M5099" t="s">
        <v>43</v>
      </c>
      <c r="N5099" t="s">
        <v>45</v>
      </c>
      <c r="O5099" t="s">
        <v>43</v>
      </c>
      <c r="P5099" t="s">
        <v>43</v>
      </c>
      <c r="Q5099" t="s">
        <v>43</v>
      </c>
      <c r="R5099" t="s">
        <v>43</v>
      </c>
      <c r="S5099" t="s">
        <v>43</v>
      </c>
      <c r="T5099" t="s">
        <v>43</v>
      </c>
      <c r="U5099" t="s">
        <v>43</v>
      </c>
      <c r="V5099" t="s">
        <v>43</v>
      </c>
      <c r="W5099" t="s">
        <v>43</v>
      </c>
      <c r="X5099" t="s">
        <v>43</v>
      </c>
      <c r="Y5099" t="s">
        <v>43</v>
      </c>
      <c r="Z5099" t="s">
        <v>43</v>
      </c>
      <c r="AA5099" t="s">
        <v>43</v>
      </c>
      <c r="AB5099" t="s">
        <v>43</v>
      </c>
      <c r="AC5099" t="s">
        <v>43</v>
      </c>
      <c r="AD5099" t="s">
        <v>43</v>
      </c>
      <c r="AE5099" t="s">
        <v>43</v>
      </c>
      <c r="AF5099" t="s">
        <v>43</v>
      </c>
      <c r="AG5099" t="s">
        <v>43</v>
      </c>
      <c r="AH5099" t="s">
        <v>43</v>
      </c>
      <c r="AI5099" t="s">
        <v>43</v>
      </c>
      <c r="AJ5099" t="s">
        <v>43</v>
      </c>
      <c r="AK5099" t="s">
        <v>43</v>
      </c>
      <c r="AL5099" t="s">
        <v>43</v>
      </c>
      <c r="AM5099" t="s">
        <v>43</v>
      </c>
      <c r="AN5099" t="str">
        <f>HYPERLINK("https://www.google.com/maps?q=10.83229446,79.84022522","Open Location")</f>
        <v>Open Location</v>
      </c>
    </row>
    <row r="5100" spans="1:40" x14ac:dyDescent="0.3">
      <c r="A5100" s="1">
        <v>46210.40902777778</v>
      </c>
      <c r="B5100" t="s">
        <v>40</v>
      </c>
      <c r="C5100" t="s">
        <v>41</v>
      </c>
      <c r="D5100" s="1">
        <v>46210.411759259259</v>
      </c>
      <c r="E5100" t="s">
        <v>42</v>
      </c>
      <c r="F5100" t="s">
        <v>43</v>
      </c>
      <c r="G5100" t="s">
        <v>43</v>
      </c>
      <c r="H5100" t="s">
        <v>43</v>
      </c>
      <c r="I5100" t="s">
        <v>2716</v>
      </c>
      <c r="J5100" t="s">
        <v>43</v>
      </c>
      <c r="K5100" t="s">
        <v>43</v>
      </c>
      <c r="L5100" t="s">
        <v>43</v>
      </c>
      <c r="M5100" t="s">
        <v>43</v>
      </c>
      <c r="N5100" t="s">
        <v>45</v>
      </c>
      <c r="O5100" t="s">
        <v>43</v>
      </c>
      <c r="P5100" t="s">
        <v>43</v>
      </c>
      <c r="Q5100" t="s">
        <v>43</v>
      </c>
      <c r="R5100" t="s">
        <v>43</v>
      </c>
      <c r="S5100" t="s">
        <v>43</v>
      </c>
      <c r="T5100" t="s">
        <v>43</v>
      </c>
      <c r="U5100" t="s">
        <v>43</v>
      </c>
      <c r="V5100" t="s">
        <v>43</v>
      </c>
      <c r="W5100" t="s">
        <v>43</v>
      </c>
      <c r="X5100" t="s">
        <v>43</v>
      </c>
      <c r="Y5100" t="s">
        <v>43</v>
      </c>
      <c r="Z5100" t="s">
        <v>43</v>
      </c>
      <c r="AA5100" t="s">
        <v>43</v>
      </c>
      <c r="AB5100" t="s">
        <v>43</v>
      </c>
      <c r="AC5100" t="s">
        <v>43</v>
      </c>
      <c r="AD5100" t="s">
        <v>43</v>
      </c>
      <c r="AE5100" t="s">
        <v>43</v>
      </c>
      <c r="AF5100" t="s">
        <v>43</v>
      </c>
      <c r="AG5100" t="s">
        <v>43</v>
      </c>
      <c r="AH5100" t="s">
        <v>43</v>
      </c>
      <c r="AI5100" t="s">
        <v>43</v>
      </c>
      <c r="AJ5100" t="s">
        <v>43</v>
      </c>
      <c r="AK5100" t="s">
        <v>43</v>
      </c>
      <c r="AL5100" t="s">
        <v>43</v>
      </c>
      <c r="AM5100" t="s">
        <v>43</v>
      </c>
      <c r="AN5100" t="str">
        <f>HYPERLINK("https://www.google.com/maps?q=10.8322897,79.84022522","Open Location")</f>
        <v>Open Location</v>
      </c>
    </row>
    <row r="5101" spans="1:40" x14ac:dyDescent="0.3">
      <c r="A5101" s="1">
        <v>46210.408912037034</v>
      </c>
      <c r="B5101" t="s">
        <v>40</v>
      </c>
      <c r="C5101" t="s">
        <v>41</v>
      </c>
      <c r="D5101" s="1">
        <v>46210.411874999998</v>
      </c>
      <c r="E5101" t="s">
        <v>42</v>
      </c>
      <c r="F5101" t="s">
        <v>43</v>
      </c>
      <c r="G5101" t="s">
        <v>43</v>
      </c>
      <c r="H5101" t="s">
        <v>43</v>
      </c>
      <c r="I5101" t="s">
        <v>2915</v>
      </c>
      <c r="J5101" t="s">
        <v>43</v>
      </c>
      <c r="K5101" t="s">
        <v>43</v>
      </c>
      <c r="L5101" t="s">
        <v>43</v>
      </c>
      <c r="M5101" t="s">
        <v>43</v>
      </c>
      <c r="N5101" t="s">
        <v>45</v>
      </c>
      <c r="O5101" t="s">
        <v>43</v>
      </c>
      <c r="P5101" t="s">
        <v>43</v>
      </c>
      <c r="Q5101" t="s">
        <v>43</v>
      </c>
      <c r="R5101" t="s">
        <v>43</v>
      </c>
      <c r="S5101" t="s">
        <v>43</v>
      </c>
      <c r="T5101" t="s">
        <v>43</v>
      </c>
      <c r="U5101" t="s">
        <v>43</v>
      </c>
      <c r="V5101" t="s">
        <v>43</v>
      </c>
      <c r="W5101" t="s">
        <v>43</v>
      </c>
      <c r="X5101" t="s">
        <v>43</v>
      </c>
      <c r="Y5101" t="s">
        <v>43</v>
      </c>
      <c r="Z5101" t="s">
        <v>43</v>
      </c>
      <c r="AA5101" t="s">
        <v>43</v>
      </c>
      <c r="AB5101" t="s">
        <v>43</v>
      </c>
      <c r="AC5101" t="s">
        <v>43</v>
      </c>
      <c r="AD5101" t="s">
        <v>43</v>
      </c>
      <c r="AE5101" t="s">
        <v>43</v>
      </c>
      <c r="AF5101" t="s">
        <v>43</v>
      </c>
      <c r="AG5101" t="s">
        <v>43</v>
      </c>
      <c r="AH5101" t="s">
        <v>43</v>
      </c>
      <c r="AI5101" t="s">
        <v>43</v>
      </c>
      <c r="AJ5101" t="s">
        <v>43</v>
      </c>
      <c r="AK5101" t="s">
        <v>43</v>
      </c>
      <c r="AL5101" t="s">
        <v>43</v>
      </c>
      <c r="AM5101" t="s">
        <v>43</v>
      </c>
      <c r="AN5101" t="str">
        <f>HYPERLINK("https://www.google.com/maps?q=10.83229256,79.84022522","Open Location")</f>
        <v>Open Location</v>
      </c>
    </row>
    <row r="5102" spans="1:40" x14ac:dyDescent="0.3">
      <c r="A5102" s="1">
        <v>46210.408796296295</v>
      </c>
      <c r="B5102" t="s">
        <v>40</v>
      </c>
      <c r="C5102" t="s">
        <v>41</v>
      </c>
      <c r="D5102" s="1">
        <v>46210.411759259259</v>
      </c>
      <c r="E5102" t="s">
        <v>42</v>
      </c>
      <c r="F5102" t="s">
        <v>43</v>
      </c>
      <c r="G5102" t="s">
        <v>43</v>
      </c>
      <c r="H5102" t="s">
        <v>43</v>
      </c>
      <c r="I5102" t="s">
        <v>2919</v>
      </c>
      <c r="J5102" t="s">
        <v>43</v>
      </c>
      <c r="K5102" t="s">
        <v>43</v>
      </c>
      <c r="L5102" t="s">
        <v>43</v>
      </c>
      <c r="M5102" t="s">
        <v>43</v>
      </c>
      <c r="N5102" t="s">
        <v>45</v>
      </c>
      <c r="O5102" t="s">
        <v>43</v>
      </c>
      <c r="P5102" t="s">
        <v>43</v>
      </c>
      <c r="Q5102" t="s">
        <v>43</v>
      </c>
      <c r="R5102" t="s">
        <v>43</v>
      </c>
      <c r="S5102" t="s">
        <v>43</v>
      </c>
      <c r="T5102" t="s">
        <v>43</v>
      </c>
      <c r="U5102" t="s">
        <v>43</v>
      </c>
      <c r="V5102" t="s">
        <v>43</v>
      </c>
      <c r="W5102" t="s">
        <v>43</v>
      </c>
      <c r="X5102" t="s">
        <v>43</v>
      </c>
      <c r="Y5102" t="s">
        <v>43</v>
      </c>
      <c r="Z5102" t="s">
        <v>43</v>
      </c>
      <c r="AA5102" t="s">
        <v>43</v>
      </c>
      <c r="AB5102" t="s">
        <v>43</v>
      </c>
      <c r="AC5102" t="s">
        <v>43</v>
      </c>
      <c r="AD5102" t="s">
        <v>43</v>
      </c>
      <c r="AE5102" t="s">
        <v>43</v>
      </c>
      <c r="AF5102" t="s">
        <v>43</v>
      </c>
      <c r="AG5102" t="s">
        <v>43</v>
      </c>
      <c r="AH5102" t="s">
        <v>43</v>
      </c>
      <c r="AI5102" t="s">
        <v>43</v>
      </c>
      <c r="AJ5102" t="s">
        <v>43</v>
      </c>
      <c r="AK5102" t="s">
        <v>43</v>
      </c>
      <c r="AL5102" t="s">
        <v>43</v>
      </c>
      <c r="AM5102" t="s">
        <v>43</v>
      </c>
      <c r="AN5102" t="str">
        <f>HYPERLINK("https://www.google.com/maps?q=10.8322916,79.84022522","Open Location")</f>
        <v>Open Location</v>
      </c>
    </row>
    <row r="5103" spans="1:40" x14ac:dyDescent="0.3">
      <c r="A5103" s="1">
        <v>46210.408680555556</v>
      </c>
      <c r="B5103" t="s">
        <v>40</v>
      </c>
      <c r="C5103" t="s">
        <v>41</v>
      </c>
      <c r="D5103" s="1">
        <v>46210.411759259259</v>
      </c>
      <c r="E5103" t="s">
        <v>42</v>
      </c>
      <c r="F5103" t="s">
        <v>43</v>
      </c>
      <c r="G5103" t="s">
        <v>43</v>
      </c>
      <c r="H5103" t="s">
        <v>43</v>
      </c>
      <c r="I5103" t="s">
        <v>2715</v>
      </c>
      <c r="J5103" t="s">
        <v>43</v>
      </c>
      <c r="K5103" t="s">
        <v>43</v>
      </c>
      <c r="L5103" t="s">
        <v>43</v>
      </c>
      <c r="M5103" t="s">
        <v>43</v>
      </c>
      <c r="N5103" t="s">
        <v>45</v>
      </c>
      <c r="O5103" t="s">
        <v>43</v>
      </c>
      <c r="P5103" t="s">
        <v>43</v>
      </c>
      <c r="Q5103" t="s">
        <v>43</v>
      </c>
      <c r="R5103" t="s">
        <v>43</v>
      </c>
      <c r="S5103" t="s">
        <v>43</v>
      </c>
      <c r="T5103" t="s">
        <v>43</v>
      </c>
      <c r="U5103" t="s">
        <v>43</v>
      </c>
      <c r="V5103" t="s">
        <v>43</v>
      </c>
      <c r="W5103" t="s">
        <v>43</v>
      </c>
      <c r="X5103" t="s">
        <v>43</v>
      </c>
      <c r="Y5103" t="s">
        <v>43</v>
      </c>
      <c r="Z5103" t="s">
        <v>43</v>
      </c>
      <c r="AA5103" t="s">
        <v>43</v>
      </c>
      <c r="AB5103" t="s">
        <v>43</v>
      </c>
      <c r="AC5103" t="s">
        <v>43</v>
      </c>
      <c r="AD5103" t="s">
        <v>43</v>
      </c>
      <c r="AE5103" t="s">
        <v>43</v>
      </c>
      <c r="AF5103" t="s">
        <v>43</v>
      </c>
      <c r="AG5103" t="s">
        <v>43</v>
      </c>
      <c r="AH5103" t="s">
        <v>43</v>
      </c>
      <c r="AI5103" t="s">
        <v>43</v>
      </c>
      <c r="AJ5103" t="s">
        <v>43</v>
      </c>
      <c r="AK5103" t="s">
        <v>43</v>
      </c>
      <c r="AL5103" t="s">
        <v>43</v>
      </c>
      <c r="AM5103" t="s">
        <v>43</v>
      </c>
      <c r="AN5103" t="str">
        <f>HYPERLINK("https://www.google.com/maps?q=10.83229065,79.84023285","Open Location")</f>
        <v>Open Location</v>
      </c>
    </row>
    <row r="5104" spans="1:40" x14ac:dyDescent="0.3">
      <c r="A5104" s="1">
        <v>46210.408564814818</v>
      </c>
      <c r="B5104" t="s">
        <v>40</v>
      </c>
      <c r="C5104" t="s">
        <v>41</v>
      </c>
      <c r="D5104" s="1">
        <v>46210.411238425928</v>
      </c>
      <c r="E5104" t="s">
        <v>42</v>
      </c>
      <c r="F5104" t="s">
        <v>43</v>
      </c>
      <c r="G5104" t="s">
        <v>43</v>
      </c>
      <c r="H5104" t="s">
        <v>43</v>
      </c>
      <c r="I5104" t="s">
        <v>43</v>
      </c>
      <c r="J5104" t="s">
        <v>43</v>
      </c>
      <c r="K5104" t="s">
        <v>43</v>
      </c>
      <c r="L5104" t="s">
        <v>43</v>
      </c>
      <c r="M5104" t="s">
        <v>43</v>
      </c>
      <c r="N5104" t="s">
        <v>45</v>
      </c>
      <c r="O5104" t="s">
        <v>43</v>
      </c>
      <c r="P5104" t="s">
        <v>43</v>
      </c>
      <c r="Q5104" t="s">
        <v>43</v>
      </c>
      <c r="R5104" t="s">
        <v>43</v>
      </c>
      <c r="S5104" t="s">
        <v>43</v>
      </c>
      <c r="T5104" t="s">
        <v>43</v>
      </c>
      <c r="U5104" t="s">
        <v>43</v>
      </c>
      <c r="V5104" t="s">
        <v>43</v>
      </c>
      <c r="W5104" t="s">
        <v>43</v>
      </c>
      <c r="X5104" t="s">
        <v>43</v>
      </c>
      <c r="Y5104" t="s">
        <v>43</v>
      </c>
      <c r="Z5104" t="s">
        <v>43</v>
      </c>
      <c r="AA5104" t="s">
        <v>43</v>
      </c>
      <c r="AB5104" t="s">
        <v>43</v>
      </c>
      <c r="AC5104" t="s">
        <v>43</v>
      </c>
      <c r="AD5104" t="s">
        <v>43</v>
      </c>
      <c r="AE5104" t="s">
        <v>43</v>
      </c>
      <c r="AF5104" t="s">
        <v>43</v>
      </c>
      <c r="AG5104" t="s">
        <v>43</v>
      </c>
      <c r="AH5104" t="s">
        <v>43</v>
      </c>
      <c r="AI5104" t="s">
        <v>43</v>
      </c>
      <c r="AJ5104" t="s">
        <v>43</v>
      </c>
      <c r="AK5104" t="s">
        <v>43</v>
      </c>
      <c r="AL5104" t="s">
        <v>43</v>
      </c>
      <c r="AM5104" t="s">
        <v>43</v>
      </c>
      <c r="AN5104" t="s">
        <v>43</v>
      </c>
    </row>
    <row r="5105" spans="1:40" x14ac:dyDescent="0.3">
      <c r="A5105" s="1">
        <v>46210.408449074072</v>
      </c>
      <c r="B5105" t="s">
        <v>40</v>
      </c>
      <c r="C5105" t="s">
        <v>41</v>
      </c>
      <c r="D5105" s="1">
        <v>46210.411446759259</v>
      </c>
      <c r="E5105" t="s">
        <v>42</v>
      </c>
      <c r="F5105" t="s">
        <v>43</v>
      </c>
      <c r="G5105" t="s">
        <v>43</v>
      </c>
      <c r="H5105" t="s">
        <v>43</v>
      </c>
      <c r="I5105" t="s">
        <v>2713</v>
      </c>
      <c r="J5105" t="s">
        <v>43</v>
      </c>
      <c r="K5105" t="s">
        <v>43</v>
      </c>
      <c r="L5105" t="s">
        <v>43</v>
      </c>
      <c r="M5105" t="s">
        <v>43</v>
      </c>
      <c r="N5105" t="s">
        <v>45</v>
      </c>
      <c r="O5105" t="s">
        <v>43</v>
      </c>
      <c r="P5105" t="s">
        <v>43</v>
      </c>
      <c r="Q5105" t="s">
        <v>43</v>
      </c>
      <c r="R5105" t="s">
        <v>43</v>
      </c>
      <c r="S5105" t="s">
        <v>43</v>
      </c>
      <c r="T5105" t="s">
        <v>43</v>
      </c>
      <c r="U5105" t="s">
        <v>43</v>
      </c>
      <c r="V5105" t="s">
        <v>43</v>
      </c>
      <c r="W5105" t="s">
        <v>43</v>
      </c>
      <c r="X5105" t="s">
        <v>43</v>
      </c>
      <c r="Y5105" t="s">
        <v>43</v>
      </c>
      <c r="Z5105" t="s">
        <v>43</v>
      </c>
      <c r="AA5105" t="s">
        <v>43</v>
      </c>
      <c r="AB5105" t="s">
        <v>43</v>
      </c>
      <c r="AC5105" t="s">
        <v>43</v>
      </c>
      <c r="AD5105" t="s">
        <v>43</v>
      </c>
      <c r="AE5105" t="s">
        <v>43</v>
      </c>
      <c r="AF5105" t="s">
        <v>43</v>
      </c>
      <c r="AG5105" t="s">
        <v>43</v>
      </c>
      <c r="AH5105" t="s">
        <v>43</v>
      </c>
      <c r="AI5105" t="s">
        <v>43</v>
      </c>
      <c r="AJ5105" t="s">
        <v>43</v>
      </c>
      <c r="AK5105" t="s">
        <v>43</v>
      </c>
      <c r="AL5105" t="s">
        <v>43</v>
      </c>
      <c r="AM5105" t="s">
        <v>43</v>
      </c>
      <c r="AN5105" t="str">
        <f>HYPERLINK("https://www.google.com/maps?q=10.83228588,79.84022522","Open Location")</f>
        <v>Open Location</v>
      </c>
    </row>
    <row r="5106" spans="1:40" x14ac:dyDescent="0.3">
      <c r="A5106" s="1">
        <v>46210.408333333333</v>
      </c>
      <c r="B5106" t="s">
        <v>40</v>
      </c>
      <c r="C5106" t="s">
        <v>41</v>
      </c>
      <c r="D5106" s="1">
        <v>46210.41101851852</v>
      </c>
      <c r="E5106" t="s">
        <v>42</v>
      </c>
      <c r="F5106" t="s">
        <v>43</v>
      </c>
      <c r="G5106" t="s">
        <v>43</v>
      </c>
      <c r="H5106" t="s">
        <v>43</v>
      </c>
      <c r="I5106" t="s">
        <v>2913</v>
      </c>
      <c r="J5106" t="s">
        <v>43</v>
      </c>
      <c r="K5106" t="s">
        <v>43</v>
      </c>
      <c r="L5106" t="s">
        <v>43</v>
      </c>
      <c r="M5106" t="s">
        <v>43</v>
      </c>
      <c r="N5106" t="s">
        <v>45</v>
      </c>
      <c r="O5106" t="s">
        <v>43</v>
      </c>
      <c r="P5106" t="s">
        <v>43</v>
      </c>
      <c r="Q5106" t="s">
        <v>43</v>
      </c>
      <c r="R5106" t="s">
        <v>43</v>
      </c>
      <c r="S5106" t="s">
        <v>43</v>
      </c>
      <c r="T5106" t="s">
        <v>43</v>
      </c>
      <c r="U5106" t="s">
        <v>43</v>
      </c>
      <c r="V5106" t="s">
        <v>43</v>
      </c>
      <c r="W5106" t="s">
        <v>43</v>
      </c>
      <c r="X5106" t="s">
        <v>43</v>
      </c>
      <c r="Y5106" t="s">
        <v>43</v>
      </c>
      <c r="Z5106" t="s">
        <v>43</v>
      </c>
      <c r="AA5106" t="s">
        <v>43</v>
      </c>
      <c r="AB5106" t="s">
        <v>43</v>
      </c>
      <c r="AC5106" t="s">
        <v>43</v>
      </c>
      <c r="AD5106" t="s">
        <v>43</v>
      </c>
      <c r="AE5106" t="s">
        <v>43</v>
      </c>
      <c r="AF5106" t="s">
        <v>43</v>
      </c>
      <c r="AG5106" t="s">
        <v>43</v>
      </c>
      <c r="AH5106" t="s">
        <v>43</v>
      </c>
      <c r="AI5106" t="s">
        <v>43</v>
      </c>
      <c r="AJ5106" t="s">
        <v>43</v>
      </c>
      <c r="AK5106" t="s">
        <v>43</v>
      </c>
      <c r="AL5106" t="s">
        <v>43</v>
      </c>
      <c r="AM5106" t="s">
        <v>43</v>
      </c>
      <c r="AN5106" t="str">
        <f>HYPERLINK("https://www.google.com/maps?q=10.83228111,79.84022522","Open Location")</f>
        <v>Open Location</v>
      </c>
    </row>
    <row r="5107" spans="1:40" x14ac:dyDescent="0.3">
      <c r="A5107" s="1">
        <v>46210.408217592594</v>
      </c>
      <c r="B5107" t="s">
        <v>40</v>
      </c>
      <c r="C5107" t="s">
        <v>41</v>
      </c>
      <c r="D5107" s="1">
        <v>46210.411064814813</v>
      </c>
      <c r="E5107" t="s">
        <v>42</v>
      </c>
      <c r="F5107" t="s">
        <v>43</v>
      </c>
      <c r="G5107" t="s">
        <v>43</v>
      </c>
      <c r="H5107" t="s">
        <v>43</v>
      </c>
      <c r="I5107" t="s">
        <v>2920</v>
      </c>
      <c r="J5107" t="s">
        <v>43</v>
      </c>
      <c r="K5107" t="s">
        <v>43</v>
      </c>
      <c r="L5107" t="s">
        <v>43</v>
      </c>
      <c r="M5107" t="s">
        <v>43</v>
      </c>
      <c r="N5107" t="s">
        <v>45</v>
      </c>
      <c r="O5107" t="s">
        <v>43</v>
      </c>
      <c r="P5107" t="s">
        <v>43</v>
      </c>
      <c r="Q5107" t="s">
        <v>43</v>
      </c>
      <c r="R5107" t="s">
        <v>43</v>
      </c>
      <c r="S5107" t="s">
        <v>43</v>
      </c>
      <c r="T5107" t="s">
        <v>43</v>
      </c>
      <c r="U5107" t="s">
        <v>43</v>
      </c>
      <c r="V5107" t="s">
        <v>43</v>
      </c>
      <c r="W5107" t="s">
        <v>43</v>
      </c>
      <c r="X5107" t="s">
        <v>43</v>
      </c>
      <c r="Y5107" t="s">
        <v>43</v>
      </c>
      <c r="Z5107" t="s">
        <v>43</v>
      </c>
      <c r="AA5107" t="s">
        <v>43</v>
      </c>
      <c r="AB5107" t="s">
        <v>43</v>
      </c>
      <c r="AC5107" t="s">
        <v>43</v>
      </c>
      <c r="AD5107" t="s">
        <v>43</v>
      </c>
      <c r="AE5107" t="s">
        <v>43</v>
      </c>
      <c r="AF5107" t="s">
        <v>43</v>
      </c>
      <c r="AG5107" t="s">
        <v>43</v>
      </c>
      <c r="AH5107" t="s">
        <v>43</v>
      </c>
      <c r="AI5107" t="s">
        <v>43</v>
      </c>
      <c r="AJ5107" t="s">
        <v>43</v>
      </c>
      <c r="AK5107" t="s">
        <v>43</v>
      </c>
      <c r="AL5107" t="s">
        <v>43</v>
      </c>
      <c r="AM5107" t="s">
        <v>43</v>
      </c>
      <c r="AN5107" t="str">
        <f>HYPERLINK("https://www.google.com/maps?q=10.83227539,79.84023285","Open Location")</f>
        <v>Open Location</v>
      </c>
    </row>
    <row r="5108" spans="1:40" x14ac:dyDescent="0.3">
      <c r="A5108" s="1">
        <v>46210.408101851855</v>
      </c>
      <c r="B5108" t="s">
        <v>40</v>
      </c>
      <c r="C5108" t="s">
        <v>41</v>
      </c>
      <c r="D5108" s="1">
        <v>46210.410787037035</v>
      </c>
      <c r="E5108" t="s">
        <v>42</v>
      </c>
      <c r="F5108" t="s">
        <v>43</v>
      </c>
      <c r="G5108" t="s">
        <v>43</v>
      </c>
      <c r="H5108" t="s">
        <v>43</v>
      </c>
      <c r="I5108" t="s">
        <v>2896</v>
      </c>
      <c r="J5108" t="s">
        <v>43</v>
      </c>
      <c r="K5108" t="s">
        <v>43</v>
      </c>
      <c r="L5108" t="s">
        <v>43</v>
      </c>
      <c r="M5108" t="s">
        <v>43</v>
      </c>
      <c r="N5108" t="s">
        <v>45</v>
      </c>
      <c r="O5108" t="s">
        <v>43</v>
      </c>
      <c r="P5108" t="s">
        <v>43</v>
      </c>
      <c r="Q5108" t="s">
        <v>43</v>
      </c>
      <c r="R5108" t="s">
        <v>43</v>
      </c>
      <c r="S5108" t="s">
        <v>43</v>
      </c>
      <c r="T5108" t="s">
        <v>43</v>
      </c>
      <c r="U5108" t="s">
        <v>43</v>
      </c>
      <c r="V5108" t="s">
        <v>43</v>
      </c>
      <c r="W5108" t="s">
        <v>43</v>
      </c>
      <c r="X5108" t="s">
        <v>43</v>
      </c>
      <c r="Y5108" t="s">
        <v>43</v>
      </c>
      <c r="Z5108" t="s">
        <v>43</v>
      </c>
      <c r="AA5108" t="s">
        <v>43</v>
      </c>
      <c r="AB5108" t="s">
        <v>43</v>
      </c>
      <c r="AC5108" t="s">
        <v>43</v>
      </c>
      <c r="AD5108" t="s">
        <v>43</v>
      </c>
      <c r="AE5108" t="s">
        <v>43</v>
      </c>
      <c r="AF5108" t="s">
        <v>43</v>
      </c>
      <c r="AG5108" t="s">
        <v>43</v>
      </c>
      <c r="AH5108" t="s">
        <v>43</v>
      </c>
      <c r="AI5108" t="s">
        <v>43</v>
      </c>
      <c r="AJ5108" t="s">
        <v>43</v>
      </c>
      <c r="AK5108" t="s">
        <v>43</v>
      </c>
      <c r="AL5108" t="s">
        <v>43</v>
      </c>
      <c r="AM5108" t="s">
        <v>43</v>
      </c>
      <c r="AN5108" t="str">
        <f>HYPERLINK("https://www.google.com/maps?q=10.83227062,79.84022522","Open Location")</f>
        <v>Open Location</v>
      </c>
    </row>
    <row r="5109" spans="1:40" x14ac:dyDescent="0.3">
      <c r="A5109" s="1">
        <v>46210.407986111109</v>
      </c>
      <c r="B5109" t="s">
        <v>40</v>
      </c>
      <c r="C5109" t="s">
        <v>41</v>
      </c>
      <c r="D5109" s="1">
        <v>46210.410879629628</v>
      </c>
      <c r="E5109" t="s">
        <v>42</v>
      </c>
      <c r="F5109" t="s">
        <v>43</v>
      </c>
      <c r="G5109" t="s">
        <v>43</v>
      </c>
      <c r="H5109" t="s">
        <v>43</v>
      </c>
      <c r="I5109" t="s">
        <v>2912</v>
      </c>
      <c r="J5109" t="s">
        <v>43</v>
      </c>
      <c r="K5109" t="s">
        <v>43</v>
      </c>
      <c r="L5109" t="s">
        <v>43</v>
      </c>
      <c r="M5109" t="s">
        <v>43</v>
      </c>
      <c r="N5109" t="s">
        <v>45</v>
      </c>
      <c r="O5109" t="s">
        <v>43</v>
      </c>
      <c r="P5109" t="s">
        <v>43</v>
      </c>
      <c r="Q5109" t="s">
        <v>43</v>
      </c>
      <c r="R5109" t="s">
        <v>43</v>
      </c>
      <c r="S5109" t="s">
        <v>43</v>
      </c>
      <c r="T5109" t="s">
        <v>43</v>
      </c>
      <c r="U5109" t="s">
        <v>43</v>
      </c>
      <c r="V5109" t="s">
        <v>43</v>
      </c>
      <c r="W5109" t="s">
        <v>43</v>
      </c>
      <c r="X5109" t="s">
        <v>43</v>
      </c>
      <c r="Y5109" t="s">
        <v>43</v>
      </c>
      <c r="Z5109" t="s">
        <v>43</v>
      </c>
      <c r="AA5109" t="s">
        <v>43</v>
      </c>
      <c r="AB5109" t="s">
        <v>43</v>
      </c>
      <c r="AC5109" t="s">
        <v>43</v>
      </c>
      <c r="AD5109" t="s">
        <v>43</v>
      </c>
      <c r="AE5109" t="s">
        <v>43</v>
      </c>
      <c r="AF5109" t="s">
        <v>43</v>
      </c>
      <c r="AG5109" t="s">
        <v>43</v>
      </c>
      <c r="AH5109" t="s">
        <v>43</v>
      </c>
      <c r="AI5109" t="s">
        <v>43</v>
      </c>
      <c r="AJ5109" t="s">
        <v>43</v>
      </c>
      <c r="AK5109" t="s">
        <v>43</v>
      </c>
      <c r="AL5109" t="s">
        <v>43</v>
      </c>
      <c r="AM5109" t="s">
        <v>43</v>
      </c>
      <c r="AN5109" t="str">
        <f>HYPERLINK("https://www.google.com/maps?q=10.83227921,79.84022522","Open Location")</f>
        <v>Open Location</v>
      </c>
    </row>
    <row r="5110" spans="1:40" x14ac:dyDescent="0.3">
      <c r="A5110" s="1">
        <v>46210.407870370371</v>
      </c>
      <c r="B5110" t="s">
        <v>40</v>
      </c>
      <c r="C5110" t="s">
        <v>41</v>
      </c>
      <c r="D5110" s="1">
        <v>46210.410567129627</v>
      </c>
      <c r="E5110" t="s">
        <v>42</v>
      </c>
      <c r="F5110" t="s">
        <v>43</v>
      </c>
      <c r="G5110" t="s">
        <v>43</v>
      </c>
      <c r="H5110" t="s">
        <v>43</v>
      </c>
      <c r="I5110" t="s">
        <v>43</v>
      </c>
      <c r="J5110" t="s">
        <v>43</v>
      </c>
      <c r="K5110" t="s">
        <v>43</v>
      </c>
      <c r="L5110" t="s">
        <v>43</v>
      </c>
      <c r="M5110" t="s">
        <v>43</v>
      </c>
      <c r="N5110" t="s">
        <v>45</v>
      </c>
      <c r="O5110" t="s">
        <v>43</v>
      </c>
      <c r="P5110" t="s">
        <v>43</v>
      </c>
      <c r="Q5110" t="s">
        <v>43</v>
      </c>
      <c r="R5110" t="s">
        <v>43</v>
      </c>
      <c r="S5110" t="s">
        <v>43</v>
      </c>
      <c r="T5110" t="s">
        <v>43</v>
      </c>
      <c r="U5110" t="s">
        <v>43</v>
      </c>
      <c r="V5110" t="s">
        <v>43</v>
      </c>
      <c r="W5110" t="s">
        <v>43</v>
      </c>
      <c r="X5110" t="s">
        <v>43</v>
      </c>
      <c r="Y5110" t="s">
        <v>43</v>
      </c>
      <c r="Z5110" t="s">
        <v>43</v>
      </c>
      <c r="AA5110" t="s">
        <v>43</v>
      </c>
      <c r="AB5110" t="s">
        <v>43</v>
      </c>
      <c r="AC5110" t="s">
        <v>43</v>
      </c>
      <c r="AD5110" t="s">
        <v>43</v>
      </c>
      <c r="AE5110" t="s">
        <v>43</v>
      </c>
      <c r="AF5110" t="s">
        <v>43</v>
      </c>
      <c r="AG5110" t="s">
        <v>43</v>
      </c>
      <c r="AH5110" t="s">
        <v>43</v>
      </c>
      <c r="AI5110" t="s">
        <v>43</v>
      </c>
      <c r="AJ5110" t="s">
        <v>43</v>
      </c>
      <c r="AK5110" t="s">
        <v>43</v>
      </c>
      <c r="AL5110" t="s">
        <v>43</v>
      </c>
      <c r="AM5110" t="s">
        <v>43</v>
      </c>
      <c r="AN5110" t="s">
        <v>43</v>
      </c>
    </row>
    <row r="5111" spans="1:40" x14ac:dyDescent="0.3">
      <c r="A5111" s="1">
        <v>46210.407754629632</v>
      </c>
      <c r="B5111" t="s">
        <v>40</v>
      </c>
      <c r="C5111" t="s">
        <v>41</v>
      </c>
      <c r="D5111" s="1">
        <v>46210.41064814815</v>
      </c>
      <c r="E5111" t="s">
        <v>42</v>
      </c>
      <c r="F5111" t="s">
        <v>43</v>
      </c>
      <c r="G5111" t="s">
        <v>43</v>
      </c>
      <c r="H5111" t="s">
        <v>43</v>
      </c>
      <c r="I5111" t="s">
        <v>2921</v>
      </c>
      <c r="J5111" t="s">
        <v>43</v>
      </c>
      <c r="K5111" t="s">
        <v>43</v>
      </c>
      <c r="L5111" t="s">
        <v>43</v>
      </c>
      <c r="M5111" t="s">
        <v>43</v>
      </c>
      <c r="N5111" t="s">
        <v>45</v>
      </c>
      <c r="O5111" t="s">
        <v>43</v>
      </c>
      <c r="P5111" t="s">
        <v>43</v>
      </c>
      <c r="Q5111" t="s">
        <v>43</v>
      </c>
      <c r="R5111" t="s">
        <v>43</v>
      </c>
      <c r="S5111" t="s">
        <v>43</v>
      </c>
      <c r="T5111" t="s">
        <v>43</v>
      </c>
      <c r="U5111" t="s">
        <v>43</v>
      </c>
      <c r="V5111" t="s">
        <v>43</v>
      </c>
      <c r="W5111" t="s">
        <v>43</v>
      </c>
      <c r="X5111" t="s">
        <v>43</v>
      </c>
      <c r="Y5111" t="s">
        <v>43</v>
      </c>
      <c r="Z5111" t="s">
        <v>43</v>
      </c>
      <c r="AA5111" t="s">
        <v>43</v>
      </c>
      <c r="AB5111" t="s">
        <v>43</v>
      </c>
      <c r="AC5111" t="s">
        <v>43</v>
      </c>
      <c r="AD5111" t="s">
        <v>43</v>
      </c>
      <c r="AE5111" t="s">
        <v>43</v>
      </c>
      <c r="AF5111" t="s">
        <v>43</v>
      </c>
      <c r="AG5111" t="s">
        <v>43</v>
      </c>
      <c r="AH5111" t="s">
        <v>43</v>
      </c>
      <c r="AI5111" t="s">
        <v>43</v>
      </c>
      <c r="AJ5111" t="s">
        <v>43</v>
      </c>
      <c r="AK5111" t="s">
        <v>43</v>
      </c>
      <c r="AL5111" t="s">
        <v>43</v>
      </c>
      <c r="AM5111" t="s">
        <v>43</v>
      </c>
      <c r="AN5111" t="str">
        <f>HYPERLINK("https://www.google.com/maps?q=10.83228302,79.84022522","Open Location")</f>
        <v>Open Location</v>
      </c>
    </row>
    <row r="5112" spans="1:40" x14ac:dyDescent="0.3">
      <c r="A5112" s="1">
        <v>46210.407638888886</v>
      </c>
      <c r="B5112" t="s">
        <v>40</v>
      </c>
      <c r="C5112" t="s">
        <v>41</v>
      </c>
      <c r="D5112" s="1">
        <v>46210.41064814815</v>
      </c>
      <c r="E5112" t="s">
        <v>42</v>
      </c>
      <c r="F5112" t="s">
        <v>43</v>
      </c>
      <c r="G5112" t="s">
        <v>43</v>
      </c>
      <c r="H5112" t="s">
        <v>43</v>
      </c>
      <c r="I5112" t="s">
        <v>2922</v>
      </c>
      <c r="J5112" t="s">
        <v>43</v>
      </c>
      <c r="K5112" t="s">
        <v>43</v>
      </c>
      <c r="L5112" t="s">
        <v>43</v>
      </c>
      <c r="M5112" t="s">
        <v>43</v>
      </c>
      <c r="N5112" t="s">
        <v>45</v>
      </c>
      <c r="O5112" t="s">
        <v>43</v>
      </c>
      <c r="P5112" t="s">
        <v>43</v>
      </c>
      <c r="Q5112" t="s">
        <v>43</v>
      </c>
      <c r="R5112" t="s">
        <v>43</v>
      </c>
      <c r="S5112" t="s">
        <v>43</v>
      </c>
      <c r="T5112" t="s">
        <v>43</v>
      </c>
      <c r="U5112" t="s">
        <v>43</v>
      </c>
      <c r="V5112" t="s">
        <v>43</v>
      </c>
      <c r="W5112" t="s">
        <v>43</v>
      </c>
      <c r="X5112" t="s">
        <v>43</v>
      </c>
      <c r="Y5112" t="s">
        <v>43</v>
      </c>
      <c r="Z5112" t="s">
        <v>43</v>
      </c>
      <c r="AA5112" t="s">
        <v>43</v>
      </c>
      <c r="AB5112" t="s">
        <v>43</v>
      </c>
      <c r="AC5112" t="s">
        <v>43</v>
      </c>
      <c r="AD5112" t="s">
        <v>43</v>
      </c>
      <c r="AE5112" t="s">
        <v>43</v>
      </c>
      <c r="AF5112" t="s">
        <v>43</v>
      </c>
      <c r="AG5112" t="s">
        <v>43</v>
      </c>
      <c r="AH5112" t="s">
        <v>43</v>
      </c>
      <c r="AI5112" t="s">
        <v>43</v>
      </c>
      <c r="AJ5112" t="s">
        <v>43</v>
      </c>
      <c r="AK5112" t="s">
        <v>43</v>
      </c>
      <c r="AL5112" t="s">
        <v>43</v>
      </c>
      <c r="AM5112" t="s">
        <v>43</v>
      </c>
      <c r="AN5112" t="str">
        <f>HYPERLINK("https://www.google.com/maps?q=10.8322916,79.84023285","Open Location")</f>
        <v>Open Location</v>
      </c>
    </row>
    <row r="5113" spans="1:40" x14ac:dyDescent="0.3">
      <c r="A5113" s="1">
        <v>46210.407523148147</v>
      </c>
      <c r="B5113" t="s">
        <v>40</v>
      </c>
      <c r="C5113" t="s">
        <v>41</v>
      </c>
      <c r="D5113" s="1">
        <v>46210.410578703704</v>
      </c>
      <c r="E5113" t="s">
        <v>42</v>
      </c>
      <c r="F5113" t="s">
        <v>43</v>
      </c>
      <c r="G5113" t="s">
        <v>43</v>
      </c>
      <c r="H5113" t="s">
        <v>43</v>
      </c>
      <c r="I5113" t="s">
        <v>2923</v>
      </c>
      <c r="J5113" t="s">
        <v>43</v>
      </c>
      <c r="K5113" t="s">
        <v>43</v>
      </c>
      <c r="L5113" t="s">
        <v>43</v>
      </c>
      <c r="M5113" t="s">
        <v>43</v>
      </c>
      <c r="N5113" t="s">
        <v>45</v>
      </c>
      <c r="O5113" t="s">
        <v>43</v>
      </c>
      <c r="P5113" t="s">
        <v>43</v>
      </c>
      <c r="Q5113" t="s">
        <v>43</v>
      </c>
      <c r="R5113" t="s">
        <v>43</v>
      </c>
      <c r="S5113" t="s">
        <v>43</v>
      </c>
      <c r="T5113" t="s">
        <v>43</v>
      </c>
      <c r="U5113" t="s">
        <v>43</v>
      </c>
      <c r="V5113" t="s">
        <v>43</v>
      </c>
      <c r="W5113" t="s">
        <v>43</v>
      </c>
      <c r="X5113" t="s">
        <v>43</v>
      </c>
      <c r="Y5113" t="s">
        <v>43</v>
      </c>
      <c r="Z5113" t="s">
        <v>43</v>
      </c>
      <c r="AA5113" t="s">
        <v>43</v>
      </c>
      <c r="AB5113" t="s">
        <v>43</v>
      </c>
      <c r="AC5113" t="s">
        <v>43</v>
      </c>
      <c r="AD5113" t="s">
        <v>43</v>
      </c>
      <c r="AE5113" t="s">
        <v>43</v>
      </c>
      <c r="AF5113" t="s">
        <v>43</v>
      </c>
      <c r="AG5113" t="s">
        <v>43</v>
      </c>
      <c r="AH5113" t="s">
        <v>43</v>
      </c>
      <c r="AI5113" t="s">
        <v>43</v>
      </c>
      <c r="AJ5113" t="s">
        <v>43</v>
      </c>
      <c r="AK5113" t="s">
        <v>43</v>
      </c>
      <c r="AL5113" t="s">
        <v>43</v>
      </c>
      <c r="AM5113" t="s">
        <v>43</v>
      </c>
      <c r="AN5113" t="str">
        <f>HYPERLINK("https://www.google.com/maps?q=10.83230019,79.84024048","Open Location")</f>
        <v>Open Location</v>
      </c>
    </row>
    <row r="5114" spans="1:40" x14ac:dyDescent="0.3">
      <c r="A5114" s="1">
        <v>46210.407407407409</v>
      </c>
      <c r="B5114" t="s">
        <v>40</v>
      </c>
      <c r="C5114" t="s">
        <v>41</v>
      </c>
      <c r="D5114" s="1">
        <v>46210.410092592596</v>
      </c>
      <c r="E5114" t="s">
        <v>42</v>
      </c>
      <c r="F5114" t="s">
        <v>43</v>
      </c>
      <c r="G5114" t="s">
        <v>43</v>
      </c>
      <c r="H5114" t="s">
        <v>43</v>
      </c>
      <c r="I5114" t="s">
        <v>2924</v>
      </c>
      <c r="J5114" t="s">
        <v>43</v>
      </c>
      <c r="K5114" t="s">
        <v>43</v>
      </c>
      <c r="L5114" t="s">
        <v>43</v>
      </c>
      <c r="M5114" t="s">
        <v>43</v>
      </c>
      <c r="N5114" t="s">
        <v>45</v>
      </c>
      <c r="O5114" t="s">
        <v>43</v>
      </c>
      <c r="P5114" t="s">
        <v>43</v>
      </c>
      <c r="Q5114" t="s">
        <v>43</v>
      </c>
      <c r="R5114" t="s">
        <v>43</v>
      </c>
      <c r="S5114" t="s">
        <v>43</v>
      </c>
      <c r="T5114" t="s">
        <v>43</v>
      </c>
      <c r="U5114" t="s">
        <v>43</v>
      </c>
      <c r="V5114" t="s">
        <v>43</v>
      </c>
      <c r="W5114" t="s">
        <v>43</v>
      </c>
      <c r="X5114" t="s">
        <v>43</v>
      </c>
      <c r="Y5114" t="s">
        <v>43</v>
      </c>
      <c r="Z5114" t="s">
        <v>43</v>
      </c>
      <c r="AA5114" t="s">
        <v>43</v>
      </c>
      <c r="AB5114" t="s">
        <v>43</v>
      </c>
      <c r="AC5114" t="s">
        <v>43</v>
      </c>
      <c r="AD5114" t="s">
        <v>43</v>
      </c>
      <c r="AE5114" t="s">
        <v>43</v>
      </c>
      <c r="AF5114" t="s">
        <v>43</v>
      </c>
      <c r="AG5114" t="s">
        <v>43</v>
      </c>
      <c r="AH5114" t="s">
        <v>43</v>
      </c>
      <c r="AI5114" t="s">
        <v>43</v>
      </c>
      <c r="AJ5114" t="s">
        <v>43</v>
      </c>
      <c r="AK5114" t="s">
        <v>43</v>
      </c>
      <c r="AL5114" t="s">
        <v>43</v>
      </c>
      <c r="AM5114" t="s">
        <v>43</v>
      </c>
      <c r="AN5114" t="str">
        <f>HYPERLINK("https://www.google.com/maps?q=10.83230114,79.84024048","Open Location")</f>
        <v>Open Location</v>
      </c>
    </row>
    <row r="5115" spans="1:40" x14ac:dyDescent="0.3">
      <c r="A5115" s="1">
        <v>46210.40729166667</v>
      </c>
      <c r="B5115" t="s">
        <v>40</v>
      </c>
      <c r="C5115" t="s">
        <v>41</v>
      </c>
      <c r="D5115" s="1">
        <v>46210.410254629627</v>
      </c>
      <c r="E5115" t="s">
        <v>42</v>
      </c>
      <c r="F5115" t="s">
        <v>43</v>
      </c>
      <c r="G5115" t="s">
        <v>43</v>
      </c>
      <c r="H5115" t="s">
        <v>43</v>
      </c>
      <c r="I5115" t="s">
        <v>43</v>
      </c>
      <c r="J5115" t="s">
        <v>43</v>
      </c>
      <c r="K5115" t="s">
        <v>43</v>
      </c>
      <c r="L5115" t="s">
        <v>43</v>
      </c>
      <c r="M5115" t="s">
        <v>43</v>
      </c>
      <c r="N5115" t="s">
        <v>45</v>
      </c>
      <c r="O5115" t="s">
        <v>43</v>
      </c>
      <c r="P5115" t="s">
        <v>43</v>
      </c>
      <c r="Q5115" t="s">
        <v>43</v>
      </c>
      <c r="R5115" t="s">
        <v>43</v>
      </c>
      <c r="S5115" t="s">
        <v>43</v>
      </c>
      <c r="T5115" t="s">
        <v>43</v>
      </c>
      <c r="U5115" t="s">
        <v>43</v>
      </c>
      <c r="V5115" t="s">
        <v>43</v>
      </c>
      <c r="W5115" t="s">
        <v>43</v>
      </c>
      <c r="X5115" t="s">
        <v>43</v>
      </c>
      <c r="Y5115" t="s">
        <v>43</v>
      </c>
      <c r="Z5115" t="s">
        <v>43</v>
      </c>
      <c r="AA5115" t="s">
        <v>43</v>
      </c>
      <c r="AB5115" t="s">
        <v>43</v>
      </c>
      <c r="AC5115" t="s">
        <v>43</v>
      </c>
      <c r="AD5115" t="s">
        <v>43</v>
      </c>
      <c r="AE5115" t="s">
        <v>43</v>
      </c>
      <c r="AF5115" t="s">
        <v>43</v>
      </c>
      <c r="AG5115" t="s">
        <v>43</v>
      </c>
      <c r="AH5115" t="s">
        <v>43</v>
      </c>
      <c r="AI5115" t="s">
        <v>43</v>
      </c>
      <c r="AJ5115" t="s">
        <v>43</v>
      </c>
      <c r="AK5115" t="s">
        <v>43</v>
      </c>
      <c r="AL5115" t="s">
        <v>43</v>
      </c>
      <c r="AM5115" t="s">
        <v>43</v>
      </c>
      <c r="AN5115" t="s">
        <v>43</v>
      </c>
    </row>
    <row r="5116" spans="1:40" x14ac:dyDescent="0.3">
      <c r="A5116" s="1">
        <v>46210.407175925924</v>
      </c>
      <c r="B5116" t="s">
        <v>40</v>
      </c>
      <c r="C5116" t="s">
        <v>41</v>
      </c>
      <c r="D5116" s="1">
        <v>46210.410069444442</v>
      </c>
      <c r="E5116" t="s">
        <v>42</v>
      </c>
      <c r="F5116" t="s">
        <v>43</v>
      </c>
      <c r="G5116" t="s">
        <v>43</v>
      </c>
      <c r="H5116" t="s">
        <v>43</v>
      </c>
      <c r="I5116" t="s">
        <v>2925</v>
      </c>
      <c r="J5116" t="s">
        <v>43</v>
      </c>
      <c r="K5116" t="s">
        <v>43</v>
      </c>
      <c r="L5116" t="s">
        <v>43</v>
      </c>
      <c r="M5116" t="s">
        <v>43</v>
      </c>
      <c r="N5116" t="s">
        <v>45</v>
      </c>
      <c r="O5116" t="s">
        <v>43</v>
      </c>
      <c r="P5116" t="s">
        <v>43</v>
      </c>
      <c r="Q5116" t="s">
        <v>43</v>
      </c>
      <c r="R5116" t="s">
        <v>43</v>
      </c>
      <c r="S5116" t="s">
        <v>43</v>
      </c>
      <c r="T5116" t="s">
        <v>43</v>
      </c>
      <c r="U5116" t="s">
        <v>43</v>
      </c>
      <c r="V5116" t="s">
        <v>43</v>
      </c>
      <c r="W5116" t="s">
        <v>43</v>
      </c>
      <c r="X5116" t="s">
        <v>43</v>
      </c>
      <c r="Y5116" t="s">
        <v>43</v>
      </c>
      <c r="Z5116" t="s">
        <v>43</v>
      </c>
      <c r="AA5116" t="s">
        <v>43</v>
      </c>
      <c r="AB5116" t="s">
        <v>43</v>
      </c>
      <c r="AC5116" t="s">
        <v>43</v>
      </c>
      <c r="AD5116" t="s">
        <v>43</v>
      </c>
      <c r="AE5116" t="s">
        <v>43</v>
      </c>
      <c r="AF5116" t="s">
        <v>43</v>
      </c>
      <c r="AG5116" t="s">
        <v>43</v>
      </c>
      <c r="AH5116" t="s">
        <v>43</v>
      </c>
      <c r="AI5116" t="s">
        <v>43</v>
      </c>
      <c r="AJ5116" t="s">
        <v>43</v>
      </c>
      <c r="AK5116" t="s">
        <v>43</v>
      </c>
      <c r="AL5116" t="s">
        <v>43</v>
      </c>
      <c r="AM5116" t="s">
        <v>43</v>
      </c>
      <c r="AN5116" t="str">
        <f>HYPERLINK("https://www.google.com/maps?q=10.83229637,79.84023285","Open Location")</f>
        <v>Open Location</v>
      </c>
    </row>
    <row r="5117" spans="1:40" x14ac:dyDescent="0.3">
      <c r="A5117" s="1">
        <v>46210.407060185185</v>
      </c>
      <c r="B5117" t="s">
        <v>40</v>
      </c>
      <c r="C5117" t="s">
        <v>41</v>
      </c>
      <c r="D5117" s="1">
        <v>46210.40997685185</v>
      </c>
      <c r="E5117" t="s">
        <v>42</v>
      </c>
      <c r="F5117" t="s">
        <v>43</v>
      </c>
      <c r="G5117" t="s">
        <v>43</v>
      </c>
      <c r="H5117" t="s">
        <v>43</v>
      </c>
      <c r="I5117" t="s">
        <v>2926</v>
      </c>
      <c r="J5117" t="s">
        <v>43</v>
      </c>
      <c r="K5117" t="s">
        <v>43</v>
      </c>
      <c r="L5117" t="s">
        <v>43</v>
      </c>
      <c r="M5117" t="s">
        <v>43</v>
      </c>
      <c r="N5117" t="s">
        <v>45</v>
      </c>
      <c r="O5117" t="s">
        <v>43</v>
      </c>
      <c r="P5117" t="s">
        <v>43</v>
      </c>
      <c r="Q5117" t="s">
        <v>43</v>
      </c>
      <c r="R5117" t="s">
        <v>43</v>
      </c>
      <c r="S5117" t="s">
        <v>43</v>
      </c>
      <c r="T5117" t="s">
        <v>43</v>
      </c>
      <c r="U5117" t="s">
        <v>43</v>
      </c>
      <c r="V5117" t="s">
        <v>43</v>
      </c>
      <c r="W5117" t="s">
        <v>43</v>
      </c>
      <c r="X5117" t="s">
        <v>43</v>
      </c>
      <c r="Y5117" t="s">
        <v>43</v>
      </c>
      <c r="Z5117" t="s">
        <v>43</v>
      </c>
      <c r="AA5117" t="s">
        <v>43</v>
      </c>
      <c r="AB5117" t="s">
        <v>43</v>
      </c>
      <c r="AC5117" t="s">
        <v>43</v>
      </c>
      <c r="AD5117" t="s">
        <v>43</v>
      </c>
      <c r="AE5117" t="s">
        <v>43</v>
      </c>
      <c r="AF5117" t="s">
        <v>43</v>
      </c>
      <c r="AG5117" t="s">
        <v>43</v>
      </c>
      <c r="AH5117" t="s">
        <v>43</v>
      </c>
      <c r="AI5117" t="s">
        <v>43</v>
      </c>
      <c r="AJ5117" t="s">
        <v>43</v>
      </c>
      <c r="AK5117" t="s">
        <v>43</v>
      </c>
      <c r="AL5117" t="s">
        <v>43</v>
      </c>
      <c r="AM5117" t="s">
        <v>43</v>
      </c>
      <c r="AN5117" t="str">
        <f>HYPERLINK("https://www.google.com/maps?q=10.83229923,79.84023285","Open Location")</f>
        <v>Open Location</v>
      </c>
    </row>
    <row r="5118" spans="1:40" x14ac:dyDescent="0.3">
      <c r="A5118" s="1">
        <v>46210.406944444447</v>
      </c>
      <c r="B5118" t="s">
        <v>40</v>
      </c>
      <c r="C5118" t="s">
        <v>41</v>
      </c>
      <c r="D5118" s="1">
        <v>46210.409826388888</v>
      </c>
      <c r="E5118" t="s">
        <v>42</v>
      </c>
      <c r="F5118" t="s">
        <v>43</v>
      </c>
      <c r="G5118" t="s">
        <v>43</v>
      </c>
      <c r="H5118" t="s">
        <v>43</v>
      </c>
      <c r="I5118" t="s">
        <v>2927</v>
      </c>
      <c r="J5118" t="s">
        <v>43</v>
      </c>
      <c r="K5118" t="s">
        <v>43</v>
      </c>
      <c r="L5118" t="s">
        <v>43</v>
      </c>
      <c r="M5118" t="s">
        <v>43</v>
      </c>
      <c r="N5118" t="s">
        <v>45</v>
      </c>
      <c r="O5118" t="s">
        <v>43</v>
      </c>
      <c r="P5118" t="s">
        <v>43</v>
      </c>
      <c r="Q5118" t="s">
        <v>43</v>
      </c>
      <c r="R5118" t="s">
        <v>43</v>
      </c>
      <c r="S5118" t="s">
        <v>43</v>
      </c>
      <c r="T5118" t="s">
        <v>43</v>
      </c>
      <c r="U5118" t="s">
        <v>43</v>
      </c>
      <c r="V5118" t="s">
        <v>43</v>
      </c>
      <c r="W5118" t="s">
        <v>43</v>
      </c>
      <c r="X5118" t="s">
        <v>43</v>
      </c>
      <c r="Y5118" t="s">
        <v>43</v>
      </c>
      <c r="Z5118" t="s">
        <v>43</v>
      </c>
      <c r="AA5118" t="s">
        <v>43</v>
      </c>
      <c r="AB5118" t="s">
        <v>43</v>
      </c>
      <c r="AC5118" t="s">
        <v>43</v>
      </c>
      <c r="AD5118" t="s">
        <v>43</v>
      </c>
      <c r="AE5118" t="s">
        <v>43</v>
      </c>
      <c r="AF5118" t="s">
        <v>43</v>
      </c>
      <c r="AG5118" t="s">
        <v>43</v>
      </c>
      <c r="AH5118" t="s">
        <v>43</v>
      </c>
      <c r="AI5118" t="s">
        <v>43</v>
      </c>
      <c r="AJ5118" t="s">
        <v>43</v>
      </c>
      <c r="AK5118" t="s">
        <v>43</v>
      </c>
      <c r="AL5118" t="s">
        <v>43</v>
      </c>
      <c r="AM5118" t="s">
        <v>43</v>
      </c>
      <c r="AN5118" t="str">
        <f>HYPERLINK("https://www.google.com/maps?q=10.83230305,79.84023285","Open Location")</f>
        <v>Open Location</v>
      </c>
    </row>
    <row r="5119" spans="1:40" x14ac:dyDescent="0.3">
      <c r="A5119" s="1">
        <v>46210.406828703701</v>
      </c>
      <c r="B5119" t="s">
        <v>40</v>
      </c>
      <c r="C5119" t="s">
        <v>41</v>
      </c>
      <c r="D5119" s="1">
        <v>46210.409861111111</v>
      </c>
      <c r="E5119" t="s">
        <v>42</v>
      </c>
      <c r="F5119" t="s">
        <v>43</v>
      </c>
      <c r="G5119" t="s">
        <v>43</v>
      </c>
      <c r="H5119" t="s">
        <v>43</v>
      </c>
      <c r="I5119" t="s">
        <v>2928</v>
      </c>
      <c r="J5119" t="s">
        <v>43</v>
      </c>
      <c r="K5119" t="s">
        <v>43</v>
      </c>
      <c r="L5119" t="s">
        <v>43</v>
      </c>
      <c r="M5119" t="s">
        <v>43</v>
      </c>
      <c r="N5119" t="s">
        <v>45</v>
      </c>
      <c r="O5119" t="s">
        <v>43</v>
      </c>
      <c r="P5119" t="s">
        <v>43</v>
      </c>
      <c r="Q5119" t="s">
        <v>43</v>
      </c>
      <c r="R5119" t="s">
        <v>43</v>
      </c>
      <c r="S5119" t="s">
        <v>43</v>
      </c>
      <c r="T5119" t="s">
        <v>43</v>
      </c>
      <c r="U5119" t="s">
        <v>43</v>
      </c>
      <c r="V5119" t="s">
        <v>43</v>
      </c>
      <c r="W5119" t="s">
        <v>43</v>
      </c>
      <c r="X5119" t="s">
        <v>43</v>
      </c>
      <c r="Y5119" t="s">
        <v>43</v>
      </c>
      <c r="Z5119" t="s">
        <v>43</v>
      </c>
      <c r="AA5119" t="s">
        <v>43</v>
      </c>
      <c r="AB5119" t="s">
        <v>43</v>
      </c>
      <c r="AC5119" t="s">
        <v>43</v>
      </c>
      <c r="AD5119" t="s">
        <v>43</v>
      </c>
      <c r="AE5119" t="s">
        <v>43</v>
      </c>
      <c r="AF5119" t="s">
        <v>43</v>
      </c>
      <c r="AG5119" t="s">
        <v>43</v>
      </c>
      <c r="AH5119" t="s">
        <v>43</v>
      </c>
      <c r="AI5119" t="s">
        <v>43</v>
      </c>
      <c r="AJ5119" t="s">
        <v>43</v>
      </c>
      <c r="AK5119" t="s">
        <v>43</v>
      </c>
      <c r="AL5119" t="s">
        <v>43</v>
      </c>
      <c r="AM5119" t="s">
        <v>43</v>
      </c>
      <c r="AN5119" t="str">
        <f>HYPERLINK("https://www.google.com/maps?q=10.83229733,79.84022522","Open Location")</f>
        <v>Open Location</v>
      </c>
    </row>
    <row r="5120" spans="1:40" x14ac:dyDescent="0.3">
      <c r="A5120" s="1">
        <v>46210.406712962962</v>
      </c>
      <c r="B5120" t="s">
        <v>40</v>
      </c>
      <c r="C5120" t="s">
        <v>41</v>
      </c>
      <c r="D5120" s="1">
        <v>46210.409710648149</v>
      </c>
      <c r="E5120" t="s">
        <v>42</v>
      </c>
      <c r="F5120" t="s">
        <v>43</v>
      </c>
      <c r="G5120" t="s">
        <v>43</v>
      </c>
      <c r="H5120" t="s">
        <v>43</v>
      </c>
      <c r="I5120" t="s">
        <v>2918</v>
      </c>
      <c r="J5120" t="s">
        <v>43</v>
      </c>
      <c r="K5120" t="s">
        <v>43</v>
      </c>
      <c r="L5120" t="s">
        <v>43</v>
      </c>
      <c r="M5120" t="s">
        <v>43</v>
      </c>
      <c r="N5120" t="s">
        <v>45</v>
      </c>
      <c r="O5120" t="s">
        <v>43</v>
      </c>
      <c r="P5120" t="s">
        <v>43</v>
      </c>
      <c r="Q5120" t="s">
        <v>43</v>
      </c>
      <c r="R5120" t="s">
        <v>43</v>
      </c>
      <c r="S5120" t="s">
        <v>43</v>
      </c>
      <c r="T5120" t="s">
        <v>43</v>
      </c>
      <c r="U5120" t="s">
        <v>43</v>
      </c>
      <c r="V5120" t="s">
        <v>43</v>
      </c>
      <c r="W5120" t="s">
        <v>43</v>
      </c>
      <c r="X5120" t="s">
        <v>43</v>
      </c>
      <c r="Y5120" t="s">
        <v>43</v>
      </c>
      <c r="Z5120" t="s">
        <v>43</v>
      </c>
      <c r="AA5120" t="s">
        <v>43</v>
      </c>
      <c r="AB5120" t="s">
        <v>43</v>
      </c>
      <c r="AC5120" t="s">
        <v>43</v>
      </c>
      <c r="AD5120" t="s">
        <v>43</v>
      </c>
      <c r="AE5120" t="s">
        <v>43</v>
      </c>
      <c r="AF5120" t="s">
        <v>43</v>
      </c>
      <c r="AG5120" t="s">
        <v>43</v>
      </c>
      <c r="AH5120" t="s">
        <v>43</v>
      </c>
      <c r="AI5120" t="s">
        <v>43</v>
      </c>
      <c r="AJ5120" t="s">
        <v>43</v>
      </c>
      <c r="AK5120" t="s">
        <v>43</v>
      </c>
      <c r="AL5120" t="s">
        <v>43</v>
      </c>
      <c r="AM5120" t="s">
        <v>43</v>
      </c>
      <c r="AN5120" t="str">
        <f>HYPERLINK("https://www.google.com/maps?q=10.83229637,79.84022522","Open Location")</f>
        <v>Open Location</v>
      </c>
    </row>
    <row r="5121" spans="1:40" x14ac:dyDescent="0.3">
      <c r="A5121" s="1">
        <v>46210.406597222223</v>
      </c>
      <c r="B5121" t="s">
        <v>40</v>
      </c>
      <c r="C5121" t="s">
        <v>41</v>
      </c>
      <c r="D5121" s="1">
        <v>46210.409456018519</v>
      </c>
      <c r="E5121" t="s">
        <v>42</v>
      </c>
      <c r="F5121" t="s">
        <v>43</v>
      </c>
      <c r="G5121" t="s">
        <v>43</v>
      </c>
      <c r="H5121" t="s">
        <v>43</v>
      </c>
      <c r="I5121" t="s">
        <v>43</v>
      </c>
      <c r="J5121" t="s">
        <v>43</v>
      </c>
      <c r="K5121" t="s">
        <v>43</v>
      </c>
      <c r="L5121" t="s">
        <v>43</v>
      </c>
      <c r="M5121" t="s">
        <v>43</v>
      </c>
      <c r="N5121" t="s">
        <v>45</v>
      </c>
      <c r="O5121" t="s">
        <v>43</v>
      </c>
      <c r="P5121" t="s">
        <v>43</v>
      </c>
      <c r="Q5121" t="s">
        <v>43</v>
      </c>
      <c r="R5121" t="s">
        <v>43</v>
      </c>
      <c r="S5121" t="s">
        <v>43</v>
      </c>
      <c r="T5121" t="s">
        <v>43</v>
      </c>
      <c r="U5121" t="s">
        <v>43</v>
      </c>
      <c r="V5121" t="s">
        <v>43</v>
      </c>
      <c r="W5121" t="s">
        <v>43</v>
      </c>
      <c r="X5121" t="s">
        <v>43</v>
      </c>
      <c r="Y5121" t="s">
        <v>43</v>
      </c>
      <c r="Z5121" t="s">
        <v>43</v>
      </c>
      <c r="AA5121" t="s">
        <v>43</v>
      </c>
      <c r="AB5121" t="s">
        <v>43</v>
      </c>
      <c r="AC5121" t="s">
        <v>43</v>
      </c>
      <c r="AD5121" t="s">
        <v>43</v>
      </c>
      <c r="AE5121" t="s">
        <v>43</v>
      </c>
      <c r="AF5121" t="s">
        <v>43</v>
      </c>
      <c r="AG5121" t="s">
        <v>43</v>
      </c>
      <c r="AH5121" t="s">
        <v>43</v>
      </c>
      <c r="AI5121" t="s">
        <v>43</v>
      </c>
      <c r="AJ5121" t="s">
        <v>43</v>
      </c>
      <c r="AK5121" t="s">
        <v>43</v>
      </c>
      <c r="AL5121" t="s">
        <v>43</v>
      </c>
      <c r="AM5121" t="s">
        <v>43</v>
      </c>
      <c r="AN5121" t="s">
        <v>43</v>
      </c>
    </row>
    <row r="5122" spans="1:40" x14ac:dyDescent="0.3">
      <c r="A5122" s="1">
        <v>46210.406481481485</v>
      </c>
      <c r="B5122" t="s">
        <v>40</v>
      </c>
      <c r="C5122" t="s">
        <v>41</v>
      </c>
      <c r="D5122" s="1">
        <v>46210.409236111111</v>
      </c>
      <c r="E5122" t="s">
        <v>42</v>
      </c>
      <c r="F5122" t="s">
        <v>43</v>
      </c>
      <c r="G5122" t="s">
        <v>43</v>
      </c>
      <c r="H5122" t="s">
        <v>43</v>
      </c>
      <c r="I5122" t="s">
        <v>2929</v>
      </c>
      <c r="J5122" t="s">
        <v>43</v>
      </c>
      <c r="K5122" t="s">
        <v>43</v>
      </c>
      <c r="L5122" t="s">
        <v>43</v>
      </c>
      <c r="M5122" t="s">
        <v>43</v>
      </c>
      <c r="N5122" t="s">
        <v>45</v>
      </c>
      <c r="O5122" t="s">
        <v>43</v>
      </c>
      <c r="P5122" t="s">
        <v>43</v>
      </c>
      <c r="Q5122" t="s">
        <v>43</v>
      </c>
      <c r="R5122" t="s">
        <v>43</v>
      </c>
      <c r="S5122" t="s">
        <v>43</v>
      </c>
      <c r="T5122" t="s">
        <v>43</v>
      </c>
      <c r="U5122" t="s">
        <v>43</v>
      </c>
      <c r="V5122" t="s">
        <v>43</v>
      </c>
      <c r="W5122" t="s">
        <v>43</v>
      </c>
      <c r="X5122" t="s">
        <v>43</v>
      </c>
      <c r="Y5122" t="s">
        <v>43</v>
      </c>
      <c r="Z5122" t="s">
        <v>43</v>
      </c>
      <c r="AA5122" t="s">
        <v>43</v>
      </c>
      <c r="AB5122" t="s">
        <v>43</v>
      </c>
      <c r="AC5122" t="s">
        <v>43</v>
      </c>
      <c r="AD5122" t="s">
        <v>43</v>
      </c>
      <c r="AE5122" t="s">
        <v>43</v>
      </c>
      <c r="AF5122" t="s">
        <v>43</v>
      </c>
      <c r="AG5122" t="s">
        <v>43</v>
      </c>
      <c r="AH5122" t="s">
        <v>43</v>
      </c>
      <c r="AI5122" t="s">
        <v>43</v>
      </c>
      <c r="AJ5122" t="s">
        <v>43</v>
      </c>
      <c r="AK5122" t="s">
        <v>43</v>
      </c>
      <c r="AL5122" t="s">
        <v>43</v>
      </c>
      <c r="AM5122" t="s">
        <v>43</v>
      </c>
      <c r="AN5122" t="str">
        <f>HYPERLINK("https://www.google.com/maps?q=10.83229828,79.84023285","Open Location")</f>
        <v>Open Location</v>
      </c>
    </row>
    <row r="5123" spans="1:40" x14ac:dyDescent="0.3">
      <c r="A5123" s="1">
        <v>46210.406365740739</v>
      </c>
      <c r="B5123" t="s">
        <v>40</v>
      </c>
      <c r="C5123" t="s">
        <v>41</v>
      </c>
      <c r="D5123" s="1">
        <v>46210.409421296295</v>
      </c>
      <c r="E5123" t="s">
        <v>42</v>
      </c>
      <c r="F5123" t="s">
        <v>43</v>
      </c>
      <c r="G5123" t="s">
        <v>43</v>
      </c>
      <c r="H5123" t="s">
        <v>43</v>
      </c>
      <c r="I5123" t="s">
        <v>2930</v>
      </c>
      <c r="J5123" t="s">
        <v>43</v>
      </c>
      <c r="K5123" t="s">
        <v>43</v>
      </c>
      <c r="L5123" t="s">
        <v>43</v>
      </c>
      <c r="M5123" t="s">
        <v>43</v>
      </c>
      <c r="N5123" t="s">
        <v>45</v>
      </c>
      <c r="O5123" t="s">
        <v>43</v>
      </c>
      <c r="P5123" t="s">
        <v>43</v>
      </c>
      <c r="Q5123" t="s">
        <v>43</v>
      </c>
      <c r="R5123" t="s">
        <v>43</v>
      </c>
      <c r="S5123" t="s">
        <v>43</v>
      </c>
      <c r="T5123" t="s">
        <v>43</v>
      </c>
      <c r="U5123" t="s">
        <v>43</v>
      </c>
      <c r="V5123" t="s">
        <v>43</v>
      </c>
      <c r="W5123" t="s">
        <v>43</v>
      </c>
      <c r="X5123" t="s">
        <v>43</v>
      </c>
      <c r="Y5123" t="s">
        <v>43</v>
      </c>
      <c r="Z5123" t="s">
        <v>43</v>
      </c>
      <c r="AA5123" t="s">
        <v>43</v>
      </c>
      <c r="AB5123" t="s">
        <v>43</v>
      </c>
      <c r="AC5123" t="s">
        <v>43</v>
      </c>
      <c r="AD5123" t="s">
        <v>43</v>
      </c>
      <c r="AE5123" t="s">
        <v>43</v>
      </c>
      <c r="AF5123" t="s">
        <v>43</v>
      </c>
      <c r="AG5123" t="s">
        <v>43</v>
      </c>
      <c r="AH5123" t="s">
        <v>43</v>
      </c>
      <c r="AI5123" t="s">
        <v>43</v>
      </c>
      <c r="AJ5123" t="s">
        <v>43</v>
      </c>
      <c r="AK5123" t="s">
        <v>43</v>
      </c>
      <c r="AL5123" t="s">
        <v>43</v>
      </c>
      <c r="AM5123" t="s">
        <v>43</v>
      </c>
      <c r="AN5123" t="str">
        <f>HYPERLINK("https://www.google.com/maps?q=10.83229828,79.84022522","Open Location")</f>
        <v>Open Location</v>
      </c>
    </row>
    <row r="5124" spans="1:40" x14ac:dyDescent="0.3">
      <c r="A5124" s="1">
        <v>46210.40625</v>
      </c>
      <c r="B5124" t="s">
        <v>40</v>
      </c>
      <c r="C5124" t="s">
        <v>41</v>
      </c>
      <c r="D5124" s="1">
        <v>46210.40902777778</v>
      </c>
      <c r="E5124" t="s">
        <v>42</v>
      </c>
      <c r="F5124" t="s">
        <v>43</v>
      </c>
      <c r="G5124" t="s">
        <v>43</v>
      </c>
      <c r="H5124" t="s">
        <v>43</v>
      </c>
      <c r="I5124" t="s">
        <v>2930</v>
      </c>
      <c r="J5124" t="s">
        <v>43</v>
      </c>
      <c r="K5124" t="s">
        <v>43</v>
      </c>
      <c r="L5124" t="s">
        <v>43</v>
      </c>
      <c r="M5124" t="s">
        <v>43</v>
      </c>
      <c r="N5124" t="s">
        <v>45</v>
      </c>
      <c r="O5124" t="s">
        <v>43</v>
      </c>
      <c r="P5124" t="s">
        <v>43</v>
      </c>
      <c r="Q5124" t="s">
        <v>43</v>
      </c>
      <c r="R5124" t="s">
        <v>43</v>
      </c>
      <c r="S5124" t="s">
        <v>43</v>
      </c>
      <c r="T5124" t="s">
        <v>43</v>
      </c>
      <c r="U5124" t="s">
        <v>43</v>
      </c>
      <c r="V5124" t="s">
        <v>43</v>
      </c>
      <c r="W5124" t="s">
        <v>43</v>
      </c>
      <c r="X5124" t="s">
        <v>43</v>
      </c>
      <c r="Y5124" t="s">
        <v>43</v>
      </c>
      <c r="Z5124" t="s">
        <v>43</v>
      </c>
      <c r="AA5124" t="s">
        <v>43</v>
      </c>
      <c r="AB5124" t="s">
        <v>43</v>
      </c>
      <c r="AC5124" t="s">
        <v>43</v>
      </c>
      <c r="AD5124" t="s">
        <v>43</v>
      </c>
      <c r="AE5124" t="s">
        <v>43</v>
      </c>
      <c r="AF5124" t="s">
        <v>43</v>
      </c>
      <c r="AG5124" t="s">
        <v>43</v>
      </c>
      <c r="AH5124" t="s">
        <v>43</v>
      </c>
      <c r="AI5124" t="s">
        <v>43</v>
      </c>
      <c r="AJ5124" t="s">
        <v>43</v>
      </c>
      <c r="AK5124" t="s">
        <v>43</v>
      </c>
      <c r="AL5124" t="s">
        <v>43</v>
      </c>
      <c r="AM5124" t="s">
        <v>43</v>
      </c>
      <c r="AN5124" t="str">
        <f>HYPERLINK("https://www.google.com/maps?q=10.83229828,79.84022522","Open Location")</f>
        <v>Open Location</v>
      </c>
    </row>
    <row r="5125" spans="1:40" x14ac:dyDescent="0.3">
      <c r="A5125" s="1">
        <v>46210.406134259261</v>
      </c>
      <c r="B5125" t="s">
        <v>40</v>
      </c>
      <c r="C5125" t="s">
        <v>41</v>
      </c>
      <c r="D5125" s="1">
        <v>46210.408807870372</v>
      </c>
      <c r="E5125" t="s">
        <v>42</v>
      </c>
      <c r="F5125" t="s">
        <v>43</v>
      </c>
      <c r="G5125" t="s">
        <v>43</v>
      </c>
      <c r="H5125" t="s">
        <v>43</v>
      </c>
      <c r="I5125" t="s">
        <v>2931</v>
      </c>
      <c r="J5125" t="s">
        <v>43</v>
      </c>
      <c r="K5125" t="s">
        <v>43</v>
      </c>
      <c r="L5125" t="s">
        <v>43</v>
      </c>
      <c r="M5125" t="s">
        <v>43</v>
      </c>
      <c r="N5125" t="s">
        <v>45</v>
      </c>
      <c r="O5125" t="s">
        <v>43</v>
      </c>
      <c r="P5125" t="s">
        <v>43</v>
      </c>
      <c r="Q5125" t="s">
        <v>43</v>
      </c>
      <c r="R5125" t="s">
        <v>43</v>
      </c>
      <c r="S5125" t="s">
        <v>43</v>
      </c>
      <c r="T5125" t="s">
        <v>43</v>
      </c>
      <c r="U5125" t="s">
        <v>43</v>
      </c>
      <c r="V5125" t="s">
        <v>43</v>
      </c>
      <c r="W5125" t="s">
        <v>43</v>
      </c>
      <c r="X5125" t="s">
        <v>43</v>
      </c>
      <c r="Y5125" t="s">
        <v>43</v>
      </c>
      <c r="Z5125" t="s">
        <v>43</v>
      </c>
      <c r="AA5125" t="s">
        <v>43</v>
      </c>
      <c r="AB5125" t="s">
        <v>43</v>
      </c>
      <c r="AC5125" t="s">
        <v>43</v>
      </c>
      <c r="AD5125" t="s">
        <v>43</v>
      </c>
      <c r="AE5125" t="s">
        <v>43</v>
      </c>
      <c r="AF5125" t="s">
        <v>43</v>
      </c>
      <c r="AG5125" t="s">
        <v>43</v>
      </c>
      <c r="AH5125" t="s">
        <v>43</v>
      </c>
      <c r="AI5125" t="s">
        <v>43</v>
      </c>
      <c r="AJ5125" t="s">
        <v>43</v>
      </c>
      <c r="AK5125" t="s">
        <v>43</v>
      </c>
      <c r="AL5125" t="s">
        <v>43</v>
      </c>
      <c r="AM5125" t="s">
        <v>43</v>
      </c>
      <c r="AN5125" t="str">
        <f>HYPERLINK("https://www.google.com/maps?q=10.83230209,79.84022522","Open Location")</f>
        <v>Open Location</v>
      </c>
    </row>
    <row r="5126" spans="1:40" x14ac:dyDescent="0.3">
      <c r="A5126" s="1">
        <v>46210.406018518515</v>
      </c>
      <c r="B5126" t="s">
        <v>40</v>
      </c>
      <c r="C5126" t="s">
        <v>41</v>
      </c>
      <c r="D5126" s="1">
        <v>46210.409039351849</v>
      </c>
      <c r="E5126" t="s">
        <v>42</v>
      </c>
      <c r="F5126" t="s">
        <v>43</v>
      </c>
      <c r="G5126" t="s">
        <v>43</v>
      </c>
      <c r="H5126" t="s">
        <v>43</v>
      </c>
      <c r="I5126" t="s">
        <v>2932</v>
      </c>
      <c r="J5126" t="s">
        <v>43</v>
      </c>
      <c r="K5126" t="s">
        <v>43</v>
      </c>
      <c r="L5126" t="s">
        <v>43</v>
      </c>
      <c r="M5126" t="s">
        <v>43</v>
      </c>
      <c r="N5126" t="s">
        <v>45</v>
      </c>
      <c r="O5126" t="s">
        <v>43</v>
      </c>
      <c r="P5126" t="s">
        <v>43</v>
      </c>
      <c r="Q5126" t="s">
        <v>43</v>
      </c>
      <c r="R5126" t="s">
        <v>43</v>
      </c>
      <c r="S5126" t="s">
        <v>43</v>
      </c>
      <c r="T5126" t="s">
        <v>43</v>
      </c>
      <c r="U5126" t="s">
        <v>43</v>
      </c>
      <c r="V5126" t="s">
        <v>43</v>
      </c>
      <c r="W5126" t="s">
        <v>43</v>
      </c>
      <c r="X5126" t="s">
        <v>43</v>
      </c>
      <c r="Y5126" t="s">
        <v>43</v>
      </c>
      <c r="Z5126" t="s">
        <v>43</v>
      </c>
      <c r="AA5126" t="s">
        <v>43</v>
      </c>
      <c r="AB5126" t="s">
        <v>43</v>
      </c>
      <c r="AC5126" t="s">
        <v>43</v>
      </c>
      <c r="AD5126" t="s">
        <v>43</v>
      </c>
      <c r="AE5126" t="s">
        <v>43</v>
      </c>
      <c r="AF5126" t="s">
        <v>43</v>
      </c>
      <c r="AG5126" t="s">
        <v>43</v>
      </c>
      <c r="AH5126" t="s">
        <v>43</v>
      </c>
      <c r="AI5126" t="s">
        <v>43</v>
      </c>
      <c r="AJ5126" t="s">
        <v>43</v>
      </c>
      <c r="AK5126" t="s">
        <v>43</v>
      </c>
      <c r="AL5126" t="s">
        <v>43</v>
      </c>
      <c r="AM5126" t="s">
        <v>43</v>
      </c>
      <c r="AN5126" t="str">
        <f>HYPERLINK("https://www.google.com/maps?q=10.83230114,79.84022522","Open Location")</f>
        <v>Open Location</v>
      </c>
    </row>
    <row r="5127" spans="1:40" x14ac:dyDescent="0.3">
      <c r="A5127" s="1">
        <v>46210.405902777777</v>
      </c>
      <c r="B5127" t="s">
        <v>40</v>
      </c>
      <c r="C5127" t="s">
        <v>41</v>
      </c>
      <c r="D5127" s="1">
        <v>46210.408993055556</v>
      </c>
      <c r="E5127" t="s">
        <v>42</v>
      </c>
      <c r="F5127" t="s">
        <v>43</v>
      </c>
      <c r="G5127" t="s">
        <v>43</v>
      </c>
      <c r="H5127" t="s">
        <v>43</v>
      </c>
      <c r="I5127" t="s">
        <v>43</v>
      </c>
      <c r="J5127" t="s">
        <v>43</v>
      </c>
      <c r="K5127" t="s">
        <v>43</v>
      </c>
      <c r="L5127" t="s">
        <v>43</v>
      </c>
      <c r="M5127" t="s">
        <v>43</v>
      </c>
      <c r="N5127" t="s">
        <v>45</v>
      </c>
      <c r="O5127" t="s">
        <v>43</v>
      </c>
      <c r="P5127" t="s">
        <v>43</v>
      </c>
      <c r="Q5127" t="s">
        <v>43</v>
      </c>
      <c r="R5127" t="s">
        <v>43</v>
      </c>
      <c r="S5127" t="s">
        <v>43</v>
      </c>
      <c r="T5127" t="s">
        <v>43</v>
      </c>
      <c r="U5127" t="s">
        <v>43</v>
      </c>
      <c r="V5127" t="s">
        <v>43</v>
      </c>
      <c r="W5127" t="s">
        <v>43</v>
      </c>
      <c r="X5127" t="s">
        <v>43</v>
      </c>
      <c r="Y5127" t="s">
        <v>43</v>
      </c>
      <c r="Z5127" t="s">
        <v>43</v>
      </c>
      <c r="AA5127" t="s">
        <v>43</v>
      </c>
      <c r="AB5127" t="s">
        <v>43</v>
      </c>
      <c r="AC5127" t="s">
        <v>43</v>
      </c>
      <c r="AD5127" t="s">
        <v>43</v>
      </c>
      <c r="AE5127" t="s">
        <v>43</v>
      </c>
      <c r="AF5127" t="s">
        <v>43</v>
      </c>
      <c r="AG5127" t="s">
        <v>43</v>
      </c>
      <c r="AH5127" t="s">
        <v>43</v>
      </c>
      <c r="AI5127" t="s">
        <v>43</v>
      </c>
      <c r="AJ5127" t="s">
        <v>43</v>
      </c>
      <c r="AK5127" t="s">
        <v>43</v>
      </c>
      <c r="AL5127" t="s">
        <v>43</v>
      </c>
      <c r="AM5127" t="s">
        <v>43</v>
      </c>
      <c r="AN5127" t="s">
        <v>43</v>
      </c>
    </row>
    <row r="5128" spans="1:40" x14ac:dyDescent="0.3">
      <c r="A5128" s="1">
        <v>46210.405787037038</v>
      </c>
      <c r="B5128" t="s">
        <v>40</v>
      </c>
      <c r="C5128" t="s">
        <v>41</v>
      </c>
      <c r="D5128" s="1">
        <v>46210.408715277779</v>
      </c>
      <c r="E5128" t="s">
        <v>42</v>
      </c>
      <c r="F5128" t="s">
        <v>43</v>
      </c>
      <c r="G5128" t="s">
        <v>43</v>
      </c>
      <c r="H5128" t="s">
        <v>43</v>
      </c>
      <c r="I5128" t="s">
        <v>2928</v>
      </c>
      <c r="J5128" t="s">
        <v>43</v>
      </c>
      <c r="K5128" t="s">
        <v>43</v>
      </c>
      <c r="L5128" t="s">
        <v>43</v>
      </c>
      <c r="M5128" t="s">
        <v>43</v>
      </c>
      <c r="N5128" t="s">
        <v>45</v>
      </c>
      <c r="O5128" t="s">
        <v>43</v>
      </c>
      <c r="P5128" t="s">
        <v>43</v>
      </c>
      <c r="Q5128" t="s">
        <v>43</v>
      </c>
      <c r="R5128" t="s">
        <v>43</v>
      </c>
      <c r="S5128" t="s">
        <v>43</v>
      </c>
      <c r="T5128" t="s">
        <v>43</v>
      </c>
      <c r="U5128" t="s">
        <v>43</v>
      </c>
      <c r="V5128" t="s">
        <v>43</v>
      </c>
      <c r="W5128" t="s">
        <v>43</v>
      </c>
      <c r="X5128" t="s">
        <v>43</v>
      </c>
      <c r="Y5128" t="s">
        <v>43</v>
      </c>
      <c r="Z5128" t="s">
        <v>43</v>
      </c>
      <c r="AA5128" t="s">
        <v>43</v>
      </c>
      <c r="AB5128" t="s">
        <v>43</v>
      </c>
      <c r="AC5128" t="s">
        <v>43</v>
      </c>
      <c r="AD5128" t="s">
        <v>43</v>
      </c>
      <c r="AE5128" t="s">
        <v>43</v>
      </c>
      <c r="AF5128" t="s">
        <v>43</v>
      </c>
      <c r="AG5128" t="s">
        <v>43</v>
      </c>
      <c r="AH5128" t="s">
        <v>43</v>
      </c>
      <c r="AI5128" t="s">
        <v>43</v>
      </c>
      <c r="AJ5128" t="s">
        <v>43</v>
      </c>
      <c r="AK5128" t="s">
        <v>43</v>
      </c>
      <c r="AL5128" t="s">
        <v>43</v>
      </c>
      <c r="AM5128" t="s">
        <v>43</v>
      </c>
      <c r="AN5128" t="str">
        <f>HYPERLINK("https://www.google.com/maps?q=10.83229733,79.84022522","Open Location")</f>
        <v>Open Location</v>
      </c>
    </row>
    <row r="5129" spans="1:40" x14ac:dyDescent="0.3">
      <c r="A5129" s="1">
        <v>46210.405671296299</v>
      </c>
      <c r="B5129" t="s">
        <v>40</v>
      </c>
      <c r="C5129" t="s">
        <v>41</v>
      </c>
      <c r="D5129" s="1">
        <v>46210.408634259256</v>
      </c>
      <c r="E5129" t="s">
        <v>42</v>
      </c>
      <c r="F5129" t="s">
        <v>43</v>
      </c>
      <c r="G5129" t="s">
        <v>43</v>
      </c>
      <c r="H5129" t="s">
        <v>43</v>
      </c>
      <c r="I5129" t="s">
        <v>2713</v>
      </c>
      <c r="J5129" t="s">
        <v>43</v>
      </c>
      <c r="K5129" t="s">
        <v>43</v>
      </c>
      <c r="L5129" t="s">
        <v>43</v>
      </c>
      <c r="M5129" t="s">
        <v>43</v>
      </c>
      <c r="N5129" t="s">
        <v>45</v>
      </c>
      <c r="O5129" t="s">
        <v>43</v>
      </c>
      <c r="P5129" t="s">
        <v>43</v>
      </c>
      <c r="Q5129" t="s">
        <v>43</v>
      </c>
      <c r="R5129" t="s">
        <v>43</v>
      </c>
      <c r="S5129" t="s">
        <v>43</v>
      </c>
      <c r="T5129" t="s">
        <v>43</v>
      </c>
      <c r="U5129" t="s">
        <v>43</v>
      </c>
      <c r="V5129" t="s">
        <v>43</v>
      </c>
      <c r="W5129" t="s">
        <v>43</v>
      </c>
      <c r="X5129" t="s">
        <v>43</v>
      </c>
      <c r="Y5129" t="s">
        <v>43</v>
      </c>
      <c r="Z5129" t="s">
        <v>43</v>
      </c>
      <c r="AA5129" t="s">
        <v>43</v>
      </c>
      <c r="AB5129" t="s">
        <v>43</v>
      </c>
      <c r="AC5129" t="s">
        <v>43</v>
      </c>
      <c r="AD5129" t="s">
        <v>43</v>
      </c>
      <c r="AE5129" t="s">
        <v>43</v>
      </c>
      <c r="AF5129" t="s">
        <v>43</v>
      </c>
      <c r="AG5129" t="s">
        <v>43</v>
      </c>
      <c r="AH5129" t="s">
        <v>43</v>
      </c>
      <c r="AI5129" t="s">
        <v>43</v>
      </c>
      <c r="AJ5129" t="s">
        <v>43</v>
      </c>
      <c r="AK5129" t="s">
        <v>43</v>
      </c>
      <c r="AL5129" t="s">
        <v>43</v>
      </c>
      <c r="AM5129" t="s">
        <v>43</v>
      </c>
      <c r="AN5129" t="str">
        <f>HYPERLINK("https://www.google.com/maps?q=10.83228588,79.84022522","Open Location")</f>
        <v>Open Location</v>
      </c>
    </row>
    <row r="5130" spans="1:40" x14ac:dyDescent="0.3">
      <c r="A5130" s="1">
        <v>46210.405555555553</v>
      </c>
      <c r="B5130" t="s">
        <v>40</v>
      </c>
      <c r="C5130" t="s">
        <v>41</v>
      </c>
      <c r="D5130" s="1">
        <v>46210.408391203702</v>
      </c>
      <c r="E5130" t="s">
        <v>42</v>
      </c>
      <c r="F5130" t="s">
        <v>43</v>
      </c>
      <c r="G5130" t="s">
        <v>43</v>
      </c>
      <c r="H5130" t="s">
        <v>43</v>
      </c>
      <c r="I5130" t="s">
        <v>2933</v>
      </c>
      <c r="J5130" t="s">
        <v>43</v>
      </c>
      <c r="K5130" t="s">
        <v>43</v>
      </c>
      <c r="L5130" t="s">
        <v>43</v>
      </c>
      <c r="M5130" t="s">
        <v>43</v>
      </c>
      <c r="N5130" t="s">
        <v>45</v>
      </c>
      <c r="O5130" t="s">
        <v>43</v>
      </c>
      <c r="P5130" t="s">
        <v>43</v>
      </c>
      <c r="Q5130" t="s">
        <v>43</v>
      </c>
      <c r="R5130" t="s">
        <v>43</v>
      </c>
      <c r="S5130" t="s">
        <v>43</v>
      </c>
      <c r="T5130" t="s">
        <v>43</v>
      </c>
      <c r="U5130" t="s">
        <v>43</v>
      </c>
      <c r="V5130" t="s">
        <v>43</v>
      </c>
      <c r="W5130" t="s">
        <v>43</v>
      </c>
      <c r="X5130" t="s">
        <v>43</v>
      </c>
      <c r="Y5130" t="s">
        <v>43</v>
      </c>
      <c r="Z5130" t="s">
        <v>43</v>
      </c>
      <c r="AA5130" t="s">
        <v>43</v>
      </c>
      <c r="AB5130" t="s">
        <v>43</v>
      </c>
      <c r="AC5130" t="s">
        <v>43</v>
      </c>
      <c r="AD5130" t="s">
        <v>43</v>
      </c>
      <c r="AE5130" t="s">
        <v>43</v>
      </c>
      <c r="AF5130" t="s">
        <v>43</v>
      </c>
      <c r="AG5130" t="s">
        <v>43</v>
      </c>
      <c r="AH5130" t="s">
        <v>43</v>
      </c>
      <c r="AI5130" t="s">
        <v>43</v>
      </c>
      <c r="AJ5130" t="s">
        <v>43</v>
      </c>
      <c r="AK5130" t="s">
        <v>43</v>
      </c>
      <c r="AL5130" t="s">
        <v>43</v>
      </c>
      <c r="AM5130" t="s">
        <v>43</v>
      </c>
      <c r="AN5130" t="str">
        <f>HYPERLINK("https://www.google.com/maps?q=10.83228397,79.84023285","Open Location")</f>
        <v>Open Location</v>
      </c>
    </row>
    <row r="5131" spans="1:40" x14ac:dyDescent="0.3">
      <c r="A5131" s="1">
        <v>46210.405439814815</v>
      </c>
      <c r="B5131" t="s">
        <v>40</v>
      </c>
      <c r="C5131" t="s">
        <v>41</v>
      </c>
      <c r="D5131" s="1">
        <v>46210.408252314817</v>
      </c>
      <c r="E5131" t="s">
        <v>42</v>
      </c>
      <c r="F5131" t="s">
        <v>43</v>
      </c>
      <c r="G5131" t="s">
        <v>43</v>
      </c>
      <c r="H5131" t="s">
        <v>43</v>
      </c>
      <c r="I5131" t="s">
        <v>2934</v>
      </c>
      <c r="J5131" t="s">
        <v>43</v>
      </c>
      <c r="K5131" t="s">
        <v>43</v>
      </c>
      <c r="L5131" t="s">
        <v>43</v>
      </c>
      <c r="M5131" t="s">
        <v>43</v>
      </c>
      <c r="N5131" t="s">
        <v>45</v>
      </c>
      <c r="O5131" t="s">
        <v>43</v>
      </c>
      <c r="P5131" t="s">
        <v>43</v>
      </c>
      <c r="Q5131" t="s">
        <v>43</v>
      </c>
      <c r="R5131" t="s">
        <v>43</v>
      </c>
      <c r="S5131" t="s">
        <v>43</v>
      </c>
      <c r="T5131" t="s">
        <v>43</v>
      </c>
      <c r="U5131" t="s">
        <v>43</v>
      </c>
      <c r="V5131" t="s">
        <v>43</v>
      </c>
      <c r="W5131" t="s">
        <v>43</v>
      </c>
      <c r="X5131" t="s">
        <v>43</v>
      </c>
      <c r="Y5131" t="s">
        <v>43</v>
      </c>
      <c r="Z5131" t="s">
        <v>43</v>
      </c>
      <c r="AA5131" t="s">
        <v>43</v>
      </c>
      <c r="AB5131" t="s">
        <v>43</v>
      </c>
      <c r="AC5131" t="s">
        <v>43</v>
      </c>
      <c r="AD5131" t="s">
        <v>43</v>
      </c>
      <c r="AE5131" t="s">
        <v>43</v>
      </c>
      <c r="AF5131" t="s">
        <v>43</v>
      </c>
      <c r="AG5131" t="s">
        <v>43</v>
      </c>
      <c r="AH5131" t="s">
        <v>43</v>
      </c>
      <c r="AI5131" t="s">
        <v>43</v>
      </c>
      <c r="AJ5131" t="s">
        <v>43</v>
      </c>
      <c r="AK5131" t="s">
        <v>43</v>
      </c>
      <c r="AL5131" t="s">
        <v>43</v>
      </c>
      <c r="AM5131" t="s">
        <v>43</v>
      </c>
      <c r="AN5131" t="str">
        <f>HYPERLINK("https://www.google.com/maps?q=10.8322773,79.84024048","Open Location")</f>
        <v>Open Location</v>
      </c>
    </row>
    <row r="5132" spans="1:40" x14ac:dyDescent="0.3">
      <c r="A5132" s="1">
        <v>46210.405324074076</v>
      </c>
      <c r="B5132" t="s">
        <v>40</v>
      </c>
      <c r="C5132" t="s">
        <v>41</v>
      </c>
      <c r="D5132" s="1">
        <v>46210.408090277779</v>
      </c>
      <c r="E5132" t="s">
        <v>42</v>
      </c>
      <c r="F5132" t="s">
        <v>43</v>
      </c>
      <c r="G5132" t="s">
        <v>43</v>
      </c>
      <c r="H5132" t="s">
        <v>43</v>
      </c>
      <c r="I5132" t="s">
        <v>43</v>
      </c>
      <c r="J5132" t="s">
        <v>43</v>
      </c>
      <c r="K5132" t="s">
        <v>43</v>
      </c>
      <c r="L5132" t="s">
        <v>43</v>
      </c>
      <c r="M5132" t="s">
        <v>43</v>
      </c>
      <c r="N5132" t="s">
        <v>45</v>
      </c>
      <c r="O5132" t="s">
        <v>43</v>
      </c>
      <c r="P5132" t="s">
        <v>43</v>
      </c>
      <c r="Q5132" t="s">
        <v>43</v>
      </c>
      <c r="R5132" t="s">
        <v>43</v>
      </c>
      <c r="S5132" t="s">
        <v>43</v>
      </c>
      <c r="T5132" t="s">
        <v>43</v>
      </c>
      <c r="U5132" t="s">
        <v>43</v>
      </c>
      <c r="V5132" t="s">
        <v>43</v>
      </c>
      <c r="W5132" t="s">
        <v>43</v>
      </c>
      <c r="X5132" t="s">
        <v>43</v>
      </c>
      <c r="Y5132" t="s">
        <v>43</v>
      </c>
      <c r="Z5132" t="s">
        <v>43</v>
      </c>
      <c r="AA5132" t="s">
        <v>43</v>
      </c>
      <c r="AB5132" t="s">
        <v>43</v>
      </c>
      <c r="AC5132" t="s">
        <v>43</v>
      </c>
      <c r="AD5132" t="s">
        <v>43</v>
      </c>
      <c r="AE5132" t="s">
        <v>43</v>
      </c>
      <c r="AF5132" t="s">
        <v>43</v>
      </c>
      <c r="AG5132" t="s">
        <v>43</v>
      </c>
      <c r="AH5132" t="s">
        <v>43</v>
      </c>
      <c r="AI5132" t="s">
        <v>43</v>
      </c>
      <c r="AJ5132" t="s">
        <v>43</v>
      </c>
      <c r="AK5132" t="s">
        <v>43</v>
      </c>
      <c r="AL5132" t="s">
        <v>43</v>
      </c>
      <c r="AM5132" t="s">
        <v>43</v>
      </c>
      <c r="AN5132" t="s">
        <v>43</v>
      </c>
    </row>
    <row r="5133" spans="1:40" x14ac:dyDescent="0.3">
      <c r="A5133" s="1">
        <v>46210.40520833333</v>
      </c>
      <c r="B5133" t="s">
        <v>40</v>
      </c>
      <c r="C5133" t="s">
        <v>41</v>
      </c>
      <c r="D5133" s="1">
        <v>46210.408020833333</v>
      </c>
      <c r="E5133" t="s">
        <v>42</v>
      </c>
      <c r="F5133" t="s">
        <v>43</v>
      </c>
      <c r="G5133" t="s">
        <v>43</v>
      </c>
      <c r="H5133" t="s">
        <v>43</v>
      </c>
      <c r="I5133" t="s">
        <v>2935</v>
      </c>
      <c r="J5133" t="s">
        <v>43</v>
      </c>
      <c r="K5133" t="s">
        <v>43</v>
      </c>
      <c r="L5133" t="s">
        <v>43</v>
      </c>
      <c r="M5133" t="s">
        <v>43</v>
      </c>
      <c r="N5133" t="s">
        <v>45</v>
      </c>
      <c r="O5133" t="s">
        <v>43</v>
      </c>
      <c r="P5133" t="s">
        <v>43</v>
      </c>
      <c r="Q5133" t="s">
        <v>43</v>
      </c>
      <c r="R5133" t="s">
        <v>43</v>
      </c>
      <c r="S5133" t="s">
        <v>43</v>
      </c>
      <c r="T5133" t="s">
        <v>43</v>
      </c>
      <c r="U5133" t="s">
        <v>43</v>
      </c>
      <c r="V5133" t="s">
        <v>43</v>
      </c>
      <c r="W5133" t="s">
        <v>43</v>
      </c>
      <c r="X5133" t="s">
        <v>43</v>
      </c>
      <c r="Y5133" t="s">
        <v>43</v>
      </c>
      <c r="Z5133" t="s">
        <v>43</v>
      </c>
      <c r="AA5133" t="s">
        <v>43</v>
      </c>
      <c r="AB5133" t="s">
        <v>43</v>
      </c>
      <c r="AC5133" t="s">
        <v>43</v>
      </c>
      <c r="AD5133" t="s">
        <v>43</v>
      </c>
      <c r="AE5133" t="s">
        <v>43</v>
      </c>
      <c r="AF5133" t="s">
        <v>43</v>
      </c>
      <c r="AG5133" t="s">
        <v>43</v>
      </c>
      <c r="AH5133" t="s">
        <v>43</v>
      </c>
      <c r="AI5133" t="s">
        <v>43</v>
      </c>
      <c r="AJ5133" t="s">
        <v>43</v>
      </c>
      <c r="AK5133" t="s">
        <v>43</v>
      </c>
      <c r="AL5133" t="s">
        <v>43</v>
      </c>
      <c r="AM5133" t="s">
        <v>43</v>
      </c>
      <c r="AN5133" t="str">
        <f>HYPERLINK("https://www.google.com/maps?q=10.83227825,79.84024048","Open Location")</f>
        <v>Open Location</v>
      </c>
    </row>
    <row r="5134" spans="1:40" x14ac:dyDescent="0.3">
      <c r="A5134" s="1">
        <v>46210.405092592591</v>
      </c>
      <c r="B5134" t="s">
        <v>40</v>
      </c>
      <c r="C5134" t="s">
        <v>41</v>
      </c>
      <c r="D5134" s="1">
        <v>46210.408020833333</v>
      </c>
      <c r="E5134" t="s">
        <v>42</v>
      </c>
      <c r="F5134" t="s">
        <v>43</v>
      </c>
      <c r="G5134" t="s">
        <v>43</v>
      </c>
      <c r="H5134" t="s">
        <v>43</v>
      </c>
      <c r="I5134" t="s">
        <v>2911</v>
      </c>
      <c r="J5134" t="s">
        <v>43</v>
      </c>
      <c r="K5134" t="s">
        <v>43</v>
      </c>
      <c r="L5134" t="s">
        <v>43</v>
      </c>
      <c r="M5134" t="s">
        <v>43</v>
      </c>
      <c r="N5134" t="s">
        <v>45</v>
      </c>
      <c r="O5134" t="s">
        <v>43</v>
      </c>
      <c r="P5134" t="s">
        <v>43</v>
      </c>
      <c r="Q5134" t="s">
        <v>43</v>
      </c>
      <c r="R5134" t="s">
        <v>43</v>
      </c>
      <c r="S5134" t="s">
        <v>43</v>
      </c>
      <c r="T5134" t="s">
        <v>43</v>
      </c>
      <c r="U5134" t="s">
        <v>43</v>
      </c>
      <c r="V5134" t="s">
        <v>43</v>
      </c>
      <c r="W5134" t="s">
        <v>43</v>
      </c>
      <c r="X5134" t="s">
        <v>43</v>
      </c>
      <c r="Y5134" t="s">
        <v>43</v>
      </c>
      <c r="Z5134" t="s">
        <v>43</v>
      </c>
      <c r="AA5134" t="s">
        <v>43</v>
      </c>
      <c r="AB5134" t="s">
        <v>43</v>
      </c>
      <c r="AC5134" t="s">
        <v>43</v>
      </c>
      <c r="AD5134" t="s">
        <v>43</v>
      </c>
      <c r="AE5134" t="s">
        <v>43</v>
      </c>
      <c r="AF5134" t="s">
        <v>43</v>
      </c>
      <c r="AG5134" t="s">
        <v>43</v>
      </c>
      <c r="AH5134" t="s">
        <v>43</v>
      </c>
      <c r="AI5134" t="s">
        <v>43</v>
      </c>
      <c r="AJ5134" t="s">
        <v>43</v>
      </c>
      <c r="AK5134" t="s">
        <v>43</v>
      </c>
      <c r="AL5134" t="s">
        <v>43</v>
      </c>
      <c r="AM5134" t="s">
        <v>43</v>
      </c>
      <c r="AN5134" t="str">
        <f>HYPERLINK("https://www.google.com/maps?q=10.8322773,79.84023285","Open Location")</f>
        <v>Open Location</v>
      </c>
    </row>
    <row r="5135" spans="1:40" x14ac:dyDescent="0.3">
      <c r="A5135" s="1">
        <v>46210.404976851853</v>
      </c>
      <c r="B5135" t="s">
        <v>40</v>
      </c>
      <c r="C5135" t="s">
        <v>41</v>
      </c>
      <c r="D5135" s="1">
        <v>46210.408252314817</v>
      </c>
      <c r="E5135" t="s">
        <v>42</v>
      </c>
      <c r="F5135" t="s">
        <v>43</v>
      </c>
      <c r="G5135" t="s">
        <v>43</v>
      </c>
      <c r="H5135" t="s">
        <v>43</v>
      </c>
      <c r="I5135" t="s">
        <v>2936</v>
      </c>
      <c r="J5135" t="s">
        <v>43</v>
      </c>
      <c r="K5135" t="s">
        <v>43</v>
      </c>
      <c r="L5135" t="s">
        <v>43</v>
      </c>
      <c r="M5135" t="s">
        <v>43</v>
      </c>
      <c r="N5135" t="s">
        <v>45</v>
      </c>
      <c r="O5135" t="s">
        <v>43</v>
      </c>
      <c r="P5135" t="s">
        <v>43</v>
      </c>
      <c r="Q5135" t="s">
        <v>43</v>
      </c>
      <c r="R5135" t="s">
        <v>43</v>
      </c>
      <c r="S5135" t="s">
        <v>43</v>
      </c>
      <c r="T5135" t="s">
        <v>43</v>
      </c>
      <c r="U5135" t="s">
        <v>43</v>
      </c>
      <c r="V5135" t="s">
        <v>43</v>
      </c>
      <c r="W5135" t="s">
        <v>43</v>
      </c>
      <c r="X5135" t="s">
        <v>43</v>
      </c>
      <c r="Y5135" t="s">
        <v>43</v>
      </c>
      <c r="Z5135" t="s">
        <v>43</v>
      </c>
      <c r="AA5135" t="s">
        <v>43</v>
      </c>
      <c r="AB5135" t="s">
        <v>43</v>
      </c>
      <c r="AC5135" t="s">
        <v>43</v>
      </c>
      <c r="AD5135" t="s">
        <v>43</v>
      </c>
      <c r="AE5135" t="s">
        <v>43</v>
      </c>
      <c r="AF5135" t="s">
        <v>43</v>
      </c>
      <c r="AG5135" t="s">
        <v>43</v>
      </c>
      <c r="AH5135" t="s">
        <v>43</v>
      </c>
      <c r="AI5135" t="s">
        <v>43</v>
      </c>
      <c r="AJ5135" t="s">
        <v>43</v>
      </c>
      <c r="AK5135" t="s">
        <v>43</v>
      </c>
      <c r="AL5135" t="s">
        <v>43</v>
      </c>
      <c r="AM5135" t="s">
        <v>43</v>
      </c>
      <c r="AN5135" t="str">
        <f>HYPERLINK("https://www.google.com/maps?q=10.83227253,79.84022522","Open Location")</f>
        <v>Open Location</v>
      </c>
    </row>
    <row r="5136" spans="1:40" x14ac:dyDescent="0.3">
      <c r="A5136" s="1">
        <v>46210.404861111114</v>
      </c>
      <c r="B5136" t="s">
        <v>40</v>
      </c>
      <c r="C5136" t="s">
        <v>41</v>
      </c>
      <c r="D5136" s="1">
        <v>46210.407858796294</v>
      </c>
      <c r="E5136" t="s">
        <v>42</v>
      </c>
      <c r="F5136" t="s">
        <v>43</v>
      </c>
      <c r="G5136" t="s">
        <v>43</v>
      </c>
      <c r="H5136" t="s">
        <v>43</v>
      </c>
      <c r="I5136" t="s">
        <v>2937</v>
      </c>
      <c r="J5136" t="s">
        <v>43</v>
      </c>
      <c r="K5136" t="s">
        <v>43</v>
      </c>
      <c r="L5136" t="s">
        <v>43</v>
      </c>
      <c r="M5136" t="s">
        <v>43</v>
      </c>
      <c r="N5136" t="s">
        <v>45</v>
      </c>
      <c r="O5136" t="s">
        <v>43</v>
      </c>
      <c r="P5136" t="s">
        <v>43</v>
      </c>
      <c r="Q5136" t="s">
        <v>43</v>
      </c>
      <c r="R5136" t="s">
        <v>43</v>
      </c>
      <c r="S5136" t="s">
        <v>43</v>
      </c>
      <c r="T5136" t="s">
        <v>43</v>
      </c>
      <c r="U5136" t="s">
        <v>43</v>
      </c>
      <c r="V5136" t="s">
        <v>43</v>
      </c>
      <c r="W5136" t="s">
        <v>43</v>
      </c>
      <c r="X5136" t="s">
        <v>43</v>
      </c>
      <c r="Y5136" t="s">
        <v>43</v>
      </c>
      <c r="Z5136" t="s">
        <v>43</v>
      </c>
      <c r="AA5136" t="s">
        <v>43</v>
      </c>
      <c r="AB5136" t="s">
        <v>43</v>
      </c>
      <c r="AC5136" t="s">
        <v>43</v>
      </c>
      <c r="AD5136" t="s">
        <v>43</v>
      </c>
      <c r="AE5136" t="s">
        <v>43</v>
      </c>
      <c r="AF5136" t="s">
        <v>43</v>
      </c>
      <c r="AG5136" t="s">
        <v>43</v>
      </c>
      <c r="AH5136" t="s">
        <v>43</v>
      </c>
      <c r="AI5136" t="s">
        <v>43</v>
      </c>
      <c r="AJ5136" t="s">
        <v>43</v>
      </c>
      <c r="AK5136" t="s">
        <v>43</v>
      </c>
      <c r="AL5136" t="s">
        <v>43</v>
      </c>
      <c r="AM5136" t="s">
        <v>43</v>
      </c>
      <c r="AN5136" t="str">
        <f>HYPERLINK("https://www.google.com/maps?q=10.83226299,79.84022522","Open Location")</f>
        <v>Open Location</v>
      </c>
    </row>
    <row r="5137" spans="1:40" x14ac:dyDescent="0.3">
      <c r="A5137" s="1">
        <v>46210.404745370368</v>
      </c>
      <c r="B5137" t="s">
        <v>40</v>
      </c>
      <c r="C5137" t="s">
        <v>41</v>
      </c>
      <c r="D5137" s="1">
        <v>46210.407905092594</v>
      </c>
      <c r="E5137" t="s">
        <v>42</v>
      </c>
      <c r="F5137" t="s">
        <v>43</v>
      </c>
      <c r="G5137" t="s">
        <v>43</v>
      </c>
      <c r="H5137" t="s">
        <v>43</v>
      </c>
      <c r="I5137" t="s">
        <v>2794</v>
      </c>
      <c r="J5137" t="s">
        <v>43</v>
      </c>
      <c r="K5137" t="s">
        <v>43</v>
      </c>
      <c r="L5137" t="s">
        <v>43</v>
      </c>
      <c r="M5137" t="s">
        <v>43</v>
      </c>
      <c r="N5137" t="s">
        <v>45</v>
      </c>
      <c r="O5137" t="s">
        <v>43</v>
      </c>
      <c r="P5137" t="s">
        <v>43</v>
      </c>
      <c r="Q5137" t="s">
        <v>43</v>
      </c>
      <c r="R5137" t="s">
        <v>43</v>
      </c>
      <c r="S5137" t="s">
        <v>43</v>
      </c>
      <c r="T5137" t="s">
        <v>43</v>
      </c>
      <c r="U5137" t="s">
        <v>43</v>
      </c>
      <c r="V5137" t="s">
        <v>43</v>
      </c>
      <c r="W5137" t="s">
        <v>43</v>
      </c>
      <c r="X5137" t="s">
        <v>43</v>
      </c>
      <c r="Y5137" t="s">
        <v>43</v>
      </c>
      <c r="Z5137" t="s">
        <v>43</v>
      </c>
      <c r="AA5137" t="s">
        <v>43</v>
      </c>
      <c r="AB5137" t="s">
        <v>43</v>
      </c>
      <c r="AC5137" t="s">
        <v>43</v>
      </c>
      <c r="AD5137" t="s">
        <v>43</v>
      </c>
      <c r="AE5137" t="s">
        <v>43</v>
      </c>
      <c r="AF5137" t="s">
        <v>43</v>
      </c>
      <c r="AG5137" t="s">
        <v>43</v>
      </c>
      <c r="AH5137" t="s">
        <v>43</v>
      </c>
      <c r="AI5137" t="s">
        <v>43</v>
      </c>
      <c r="AJ5137" t="s">
        <v>43</v>
      </c>
      <c r="AK5137" t="s">
        <v>43</v>
      </c>
      <c r="AL5137" t="s">
        <v>43</v>
      </c>
      <c r="AM5137" t="s">
        <v>43</v>
      </c>
      <c r="AN5137" t="str">
        <f>HYPERLINK("https://www.google.com/maps?q=10.83225918,79.84023285","Open Location")</f>
        <v>Open Location</v>
      </c>
    </row>
    <row r="5138" spans="1:40" x14ac:dyDescent="0.3">
      <c r="A5138" s="1">
        <v>46210.404629629629</v>
      </c>
      <c r="B5138" t="s">
        <v>40</v>
      </c>
      <c r="C5138" t="s">
        <v>41</v>
      </c>
      <c r="D5138" s="1">
        <v>46210.407835648148</v>
      </c>
      <c r="E5138" t="s">
        <v>42</v>
      </c>
      <c r="F5138" t="s">
        <v>43</v>
      </c>
      <c r="G5138" t="s">
        <v>43</v>
      </c>
      <c r="H5138" t="s">
        <v>43</v>
      </c>
      <c r="I5138" t="s">
        <v>43</v>
      </c>
      <c r="J5138" t="s">
        <v>43</v>
      </c>
      <c r="K5138" t="s">
        <v>43</v>
      </c>
      <c r="L5138" t="s">
        <v>43</v>
      </c>
      <c r="M5138" t="s">
        <v>43</v>
      </c>
      <c r="N5138" t="s">
        <v>45</v>
      </c>
      <c r="O5138" t="s">
        <v>43</v>
      </c>
      <c r="P5138" t="s">
        <v>43</v>
      </c>
      <c r="Q5138" t="s">
        <v>43</v>
      </c>
      <c r="R5138" t="s">
        <v>43</v>
      </c>
      <c r="S5138" t="s">
        <v>43</v>
      </c>
      <c r="T5138" t="s">
        <v>43</v>
      </c>
      <c r="U5138" t="s">
        <v>43</v>
      </c>
      <c r="V5138" t="s">
        <v>43</v>
      </c>
      <c r="W5138" t="s">
        <v>43</v>
      </c>
      <c r="X5138" t="s">
        <v>43</v>
      </c>
      <c r="Y5138" t="s">
        <v>43</v>
      </c>
      <c r="Z5138" t="s">
        <v>43</v>
      </c>
      <c r="AA5138" t="s">
        <v>43</v>
      </c>
      <c r="AB5138" t="s">
        <v>43</v>
      </c>
      <c r="AC5138" t="s">
        <v>43</v>
      </c>
      <c r="AD5138" t="s">
        <v>43</v>
      </c>
      <c r="AE5138" t="s">
        <v>43</v>
      </c>
      <c r="AF5138" t="s">
        <v>43</v>
      </c>
      <c r="AG5138" t="s">
        <v>43</v>
      </c>
      <c r="AH5138" t="s">
        <v>43</v>
      </c>
      <c r="AI5138" t="s">
        <v>43</v>
      </c>
      <c r="AJ5138" t="s">
        <v>43</v>
      </c>
      <c r="AK5138" t="s">
        <v>43</v>
      </c>
      <c r="AL5138" t="s">
        <v>43</v>
      </c>
      <c r="AM5138" t="s">
        <v>43</v>
      </c>
      <c r="AN5138" t="s">
        <v>43</v>
      </c>
    </row>
    <row r="5139" spans="1:40" x14ac:dyDescent="0.3">
      <c r="A5139" s="1">
        <v>46210.404513888891</v>
      </c>
      <c r="B5139" t="s">
        <v>40</v>
      </c>
      <c r="C5139" t="s">
        <v>41</v>
      </c>
      <c r="D5139" s="1">
        <v>46210.407442129632</v>
      </c>
      <c r="E5139" t="s">
        <v>42</v>
      </c>
      <c r="F5139" t="s">
        <v>43</v>
      </c>
      <c r="G5139" t="s">
        <v>43</v>
      </c>
      <c r="H5139" t="s">
        <v>43</v>
      </c>
      <c r="I5139" t="s">
        <v>2836</v>
      </c>
      <c r="J5139" t="s">
        <v>43</v>
      </c>
      <c r="K5139" t="s">
        <v>43</v>
      </c>
      <c r="L5139" t="s">
        <v>43</v>
      </c>
      <c r="M5139" t="s">
        <v>43</v>
      </c>
      <c r="N5139" t="s">
        <v>45</v>
      </c>
      <c r="O5139" t="s">
        <v>43</v>
      </c>
      <c r="P5139" t="s">
        <v>43</v>
      </c>
      <c r="Q5139" t="s">
        <v>43</v>
      </c>
      <c r="R5139" t="s">
        <v>43</v>
      </c>
      <c r="S5139" t="s">
        <v>43</v>
      </c>
      <c r="T5139" t="s">
        <v>43</v>
      </c>
      <c r="U5139" t="s">
        <v>43</v>
      </c>
      <c r="V5139" t="s">
        <v>43</v>
      </c>
      <c r="W5139" t="s">
        <v>43</v>
      </c>
      <c r="X5139" t="s">
        <v>43</v>
      </c>
      <c r="Y5139" t="s">
        <v>43</v>
      </c>
      <c r="Z5139" t="s">
        <v>43</v>
      </c>
      <c r="AA5139" t="s">
        <v>43</v>
      </c>
      <c r="AB5139" t="s">
        <v>43</v>
      </c>
      <c r="AC5139" t="s">
        <v>43</v>
      </c>
      <c r="AD5139" t="s">
        <v>43</v>
      </c>
      <c r="AE5139" t="s">
        <v>43</v>
      </c>
      <c r="AF5139" t="s">
        <v>43</v>
      </c>
      <c r="AG5139" t="s">
        <v>43</v>
      </c>
      <c r="AH5139" t="s">
        <v>43</v>
      </c>
      <c r="AI5139" t="s">
        <v>43</v>
      </c>
      <c r="AJ5139" t="s">
        <v>43</v>
      </c>
      <c r="AK5139" t="s">
        <v>43</v>
      </c>
      <c r="AL5139" t="s">
        <v>43</v>
      </c>
      <c r="AM5139" t="s">
        <v>43</v>
      </c>
      <c r="AN5139" t="str">
        <f>HYPERLINK("https://www.google.com/maps?q=10.83225822,79.84022522","Open Location")</f>
        <v>Open Location</v>
      </c>
    </row>
    <row r="5140" spans="1:40" x14ac:dyDescent="0.3">
      <c r="A5140" s="1">
        <v>46210.404398148145</v>
      </c>
      <c r="B5140" t="s">
        <v>40</v>
      </c>
      <c r="C5140" t="s">
        <v>41</v>
      </c>
      <c r="D5140" s="1">
        <v>46210.407465277778</v>
      </c>
      <c r="E5140" t="s">
        <v>42</v>
      </c>
      <c r="F5140" t="s">
        <v>43</v>
      </c>
      <c r="G5140" t="s">
        <v>43</v>
      </c>
      <c r="H5140" t="s">
        <v>43</v>
      </c>
      <c r="I5140" t="s">
        <v>2843</v>
      </c>
      <c r="J5140" t="s">
        <v>43</v>
      </c>
      <c r="K5140" t="s">
        <v>43</v>
      </c>
      <c r="L5140" t="s">
        <v>43</v>
      </c>
      <c r="M5140" t="s">
        <v>43</v>
      </c>
      <c r="N5140" t="s">
        <v>45</v>
      </c>
      <c r="O5140" t="s">
        <v>43</v>
      </c>
      <c r="P5140" t="s">
        <v>43</v>
      </c>
      <c r="Q5140" t="s">
        <v>43</v>
      </c>
      <c r="R5140" t="s">
        <v>43</v>
      </c>
      <c r="S5140" t="s">
        <v>43</v>
      </c>
      <c r="T5140" t="s">
        <v>43</v>
      </c>
      <c r="U5140" t="s">
        <v>43</v>
      </c>
      <c r="V5140" t="s">
        <v>43</v>
      </c>
      <c r="W5140" t="s">
        <v>43</v>
      </c>
      <c r="X5140" t="s">
        <v>43</v>
      </c>
      <c r="Y5140" t="s">
        <v>43</v>
      </c>
      <c r="Z5140" t="s">
        <v>43</v>
      </c>
      <c r="AA5140" t="s">
        <v>43</v>
      </c>
      <c r="AB5140" t="s">
        <v>43</v>
      </c>
      <c r="AC5140" t="s">
        <v>43</v>
      </c>
      <c r="AD5140" t="s">
        <v>43</v>
      </c>
      <c r="AE5140" t="s">
        <v>43</v>
      </c>
      <c r="AF5140" t="s">
        <v>43</v>
      </c>
      <c r="AG5140" t="s">
        <v>43</v>
      </c>
      <c r="AH5140" t="s">
        <v>43</v>
      </c>
      <c r="AI5140" t="s">
        <v>43</v>
      </c>
      <c r="AJ5140" t="s">
        <v>43</v>
      </c>
      <c r="AK5140" t="s">
        <v>43</v>
      </c>
      <c r="AL5140" t="s">
        <v>43</v>
      </c>
      <c r="AM5140" t="s">
        <v>43</v>
      </c>
      <c r="AN5140" t="str">
        <f>HYPERLINK("https://www.google.com/maps?q=10.83225822,79.84023285","Open Location")</f>
        <v>Open Location</v>
      </c>
    </row>
    <row r="5141" spans="1:40" x14ac:dyDescent="0.3">
      <c r="A5141" s="1">
        <v>46210.404282407406</v>
      </c>
      <c r="B5141" t="s">
        <v>40</v>
      </c>
      <c r="C5141" t="s">
        <v>41</v>
      </c>
      <c r="D5141" s="1">
        <v>46210.407384259262</v>
      </c>
      <c r="E5141" t="s">
        <v>42</v>
      </c>
      <c r="F5141" t="s">
        <v>43</v>
      </c>
      <c r="G5141" t="s">
        <v>43</v>
      </c>
      <c r="H5141" t="s">
        <v>43</v>
      </c>
      <c r="I5141" t="s">
        <v>2695</v>
      </c>
      <c r="J5141" t="s">
        <v>43</v>
      </c>
      <c r="K5141" t="s">
        <v>43</v>
      </c>
      <c r="L5141" t="s">
        <v>43</v>
      </c>
      <c r="M5141" t="s">
        <v>43</v>
      </c>
      <c r="N5141" t="s">
        <v>45</v>
      </c>
      <c r="O5141" t="s">
        <v>43</v>
      </c>
      <c r="P5141" t="s">
        <v>43</v>
      </c>
      <c r="Q5141" t="s">
        <v>43</v>
      </c>
      <c r="R5141" t="s">
        <v>43</v>
      </c>
      <c r="S5141" t="s">
        <v>43</v>
      </c>
      <c r="T5141" t="s">
        <v>43</v>
      </c>
      <c r="U5141" t="s">
        <v>43</v>
      </c>
      <c r="V5141" t="s">
        <v>43</v>
      </c>
      <c r="W5141" t="s">
        <v>43</v>
      </c>
      <c r="X5141" t="s">
        <v>43</v>
      </c>
      <c r="Y5141" t="s">
        <v>43</v>
      </c>
      <c r="Z5141" t="s">
        <v>43</v>
      </c>
      <c r="AA5141" t="s">
        <v>43</v>
      </c>
      <c r="AB5141" t="s">
        <v>43</v>
      </c>
      <c r="AC5141" t="s">
        <v>43</v>
      </c>
      <c r="AD5141" t="s">
        <v>43</v>
      </c>
      <c r="AE5141" t="s">
        <v>43</v>
      </c>
      <c r="AF5141" t="s">
        <v>43</v>
      </c>
      <c r="AG5141" t="s">
        <v>43</v>
      </c>
      <c r="AH5141" t="s">
        <v>43</v>
      </c>
      <c r="AI5141" t="s">
        <v>43</v>
      </c>
      <c r="AJ5141" t="s">
        <v>43</v>
      </c>
      <c r="AK5141" t="s">
        <v>43</v>
      </c>
      <c r="AL5141" t="s">
        <v>43</v>
      </c>
      <c r="AM5141" t="s">
        <v>43</v>
      </c>
      <c r="AN5141" t="str">
        <f>HYPERLINK("https://www.google.com/maps?q=10.83225346,79.84022522","Open Location")</f>
        <v>Open Location</v>
      </c>
    </row>
    <row r="5142" spans="1:40" x14ac:dyDescent="0.3">
      <c r="A5142" s="1">
        <v>46210.404166666667</v>
      </c>
      <c r="B5142" t="s">
        <v>40</v>
      </c>
      <c r="C5142" t="s">
        <v>41</v>
      </c>
      <c r="D5142" s="1">
        <v>46210.407025462962</v>
      </c>
      <c r="E5142" t="s">
        <v>42</v>
      </c>
      <c r="F5142" t="s">
        <v>43</v>
      </c>
      <c r="G5142" t="s">
        <v>43</v>
      </c>
      <c r="H5142" t="s">
        <v>43</v>
      </c>
      <c r="I5142" t="s">
        <v>2823</v>
      </c>
      <c r="J5142" t="s">
        <v>43</v>
      </c>
      <c r="K5142" t="s">
        <v>43</v>
      </c>
      <c r="L5142" t="s">
        <v>43</v>
      </c>
      <c r="M5142" t="s">
        <v>43</v>
      </c>
      <c r="N5142" t="s">
        <v>45</v>
      </c>
      <c r="O5142" t="s">
        <v>43</v>
      </c>
      <c r="P5142" t="s">
        <v>43</v>
      </c>
      <c r="Q5142" t="s">
        <v>43</v>
      </c>
      <c r="R5142" t="s">
        <v>43</v>
      </c>
      <c r="S5142" t="s">
        <v>43</v>
      </c>
      <c r="T5142" t="s">
        <v>43</v>
      </c>
      <c r="U5142" t="s">
        <v>43</v>
      </c>
      <c r="V5142" t="s">
        <v>43</v>
      </c>
      <c r="W5142" t="s">
        <v>43</v>
      </c>
      <c r="X5142" t="s">
        <v>43</v>
      </c>
      <c r="Y5142" t="s">
        <v>43</v>
      </c>
      <c r="Z5142" t="s">
        <v>43</v>
      </c>
      <c r="AA5142" t="s">
        <v>43</v>
      </c>
      <c r="AB5142" t="s">
        <v>43</v>
      </c>
      <c r="AC5142" t="s">
        <v>43</v>
      </c>
      <c r="AD5142" t="s">
        <v>43</v>
      </c>
      <c r="AE5142" t="s">
        <v>43</v>
      </c>
      <c r="AF5142" t="s">
        <v>43</v>
      </c>
      <c r="AG5142" t="s">
        <v>43</v>
      </c>
      <c r="AH5142" t="s">
        <v>43</v>
      </c>
      <c r="AI5142" t="s">
        <v>43</v>
      </c>
      <c r="AJ5142" t="s">
        <v>43</v>
      </c>
      <c r="AK5142" t="s">
        <v>43</v>
      </c>
      <c r="AL5142" t="s">
        <v>43</v>
      </c>
      <c r="AM5142" t="s">
        <v>43</v>
      </c>
      <c r="AN5142" t="str">
        <f>HYPERLINK("https://www.google.com/maps?q=10.8322506,79.84021759","Open Location")</f>
        <v>Open Location</v>
      </c>
    </row>
    <row r="5143" spans="1:40" x14ac:dyDescent="0.3">
      <c r="A5143" s="1">
        <v>46210.404050925928</v>
      </c>
      <c r="B5143" t="s">
        <v>40</v>
      </c>
      <c r="C5143" t="s">
        <v>41</v>
      </c>
      <c r="D5143" s="1">
        <v>46210.407013888886</v>
      </c>
      <c r="E5143" t="s">
        <v>42</v>
      </c>
      <c r="F5143" t="s">
        <v>43</v>
      </c>
      <c r="G5143" t="s">
        <v>43</v>
      </c>
      <c r="H5143" t="s">
        <v>43</v>
      </c>
      <c r="I5143" t="s">
        <v>2819</v>
      </c>
      <c r="J5143" t="s">
        <v>43</v>
      </c>
      <c r="K5143" t="s">
        <v>43</v>
      </c>
      <c r="L5143" t="s">
        <v>43</v>
      </c>
      <c r="M5143" t="s">
        <v>43</v>
      </c>
      <c r="N5143" t="s">
        <v>45</v>
      </c>
      <c r="O5143" t="s">
        <v>43</v>
      </c>
      <c r="P5143" t="s">
        <v>43</v>
      </c>
      <c r="Q5143" t="s">
        <v>43</v>
      </c>
      <c r="R5143" t="s">
        <v>43</v>
      </c>
      <c r="S5143" t="s">
        <v>43</v>
      </c>
      <c r="T5143" t="s">
        <v>43</v>
      </c>
      <c r="U5143" t="s">
        <v>43</v>
      </c>
      <c r="V5143" t="s">
        <v>43</v>
      </c>
      <c r="W5143" t="s">
        <v>43</v>
      </c>
      <c r="X5143" t="s">
        <v>43</v>
      </c>
      <c r="Y5143" t="s">
        <v>43</v>
      </c>
      <c r="Z5143" t="s">
        <v>43</v>
      </c>
      <c r="AA5143" t="s">
        <v>43</v>
      </c>
      <c r="AB5143" t="s">
        <v>43</v>
      </c>
      <c r="AC5143" t="s">
        <v>43</v>
      </c>
      <c r="AD5143" t="s">
        <v>43</v>
      </c>
      <c r="AE5143" t="s">
        <v>43</v>
      </c>
      <c r="AF5143" t="s">
        <v>43</v>
      </c>
      <c r="AG5143" t="s">
        <v>43</v>
      </c>
      <c r="AH5143" t="s">
        <v>43</v>
      </c>
      <c r="AI5143" t="s">
        <v>43</v>
      </c>
      <c r="AJ5143" t="s">
        <v>43</v>
      </c>
      <c r="AK5143" t="s">
        <v>43</v>
      </c>
      <c r="AL5143" t="s">
        <v>43</v>
      </c>
      <c r="AM5143" t="s">
        <v>43</v>
      </c>
      <c r="AN5143" t="str">
        <f>HYPERLINK("https://www.google.com/maps?q=10.83224964,79.84021759","Open Location")</f>
        <v>Open Location</v>
      </c>
    </row>
    <row r="5144" spans="1:40" x14ac:dyDescent="0.3">
      <c r="A5144" s="1">
        <v>46210.403935185182</v>
      </c>
      <c r="B5144" t="s">
        <v>40</v>
      </c>
      <c r="C5144" t="s">
        <v>41</v>
      </c>
      <c r="D5144" s="1">
        <v>46210.406898148147</v>
      </c>
      <c r="E5144" t="s">
        <v>42</v>
      </c>
      <c r="F5144" t="s">
        <v>43</v>
      </c>
      <c r="G5144" t="s">
        <v>43</v>
      </c>
      <c r="H5144" t="s">
        <v>43</v>
      </c>
      <c r="I5144" t="s">
        <v>43</v>
      </c>
      <c r="J5144" t="s">
        <v>43</v>
      </c>
      <c r="K5144" t="s">
        <v>43</v>
      </c>
      <c r="L5144" t="s">
        <v>43</v>
      </c>
      <c r="M5144" t="s">
        <v>43</v>
      </c>
      <c r="N5144" t="s">
        <v>45</v>
      </c>
      <c r="O5144" t="s">
        <v>43</v>
      </c>
      <c r="P5144" t="s">
        <v>43</v>
      </c>
      <c r="Q5144" t="s">
        <v>43</v>
      </c>
      <c r="R5144" t="s">
        <v>43</v>
      </c>
      <c r="S5144" t="s">
        <v>43</v>
      </c>
      <c r="T5144" t="s">
        <v>43</v>
      </c>
      <c r="U5144" t="s">
        <v>43</v>
      </c>
      <c r="V5144" t="s">
        <v>43</v>
      </c>
      <c r="W5144" t="s">
        <v>43</v>
      </c>
      <c r="X5144" t="s">
        <v>43</v>
      </c>
      <c r="Y5144" t="s">
        <v>43</v>
      </c>
      <c r="Z5144" t="s">
        <v>43</v>
      </c>
      <c r="AA5144" t="s">
        <v>43</v>
      </c>
      <c r="AB5144" t="s">
        <v>43</v>
      </c>
      <c r="AC5144" t="s">
        <v>43</v>
      </c>
      <c r="AD5144" t="s">
        <v>43</v>
      </c>
      <c r="AE5144" t="s">
        <v>43</v>
      </c>
      <c r="AF5144" t="s">
        <v>43</v>
      </c>
      <c r="AG5144" t="s">
        <v>43</v>
      </c>
      <c r="AH5144" t="s">
        <v>43</v>
      </c>
      <c r="AI5144" t="s">
        <v>43</v>
      </c>
      <c r="AJ5144" t="s">
        <v>43</v>
      </c>
      <c r="AK5144" t="s">
        <v>43</v>
      </c>
      <c r="AL5144" t="s">
        <v>43</v>
      </c>
      <c r="AM5144" t="s">
        <v>43</v>
      </c>
      <c r="AN5144" t="s">
        <v>43</v>
      </c>
    </row>
    <row r="5145" spans="1:40" x14ac:dyDescent="0.3">
      <c r="A5145" s="1">
        <v>46210.403819444444</v>
      </c>
      <c r="B5145" t="s">
        <v>40</v>
      </c>
      <c r="C5145" t="s">
        <v>41</v>
      </c>
      <c r="D5145" s="1">
        <v>46210.407025462962</v>
      </c>
      <c r="E5145" t="s">
        <v>42</v>
      </c>
      <c r="F5145" t="s">
        <v>43</v>
      </c>
      <c r="G5145" t="s">
        <v>43</v>
      </c>
      <c r="H5145" t="s">
        <v>43</v>
      </c>
      <c r="I5145" t="s">
        <v>2938</v>
      </c>
      <c r="J5145" t="s">
        <v>43</v>
      </c>
      <c r="K5145" t="s">
        <v>43</v>
      </c>
      <c r="L5145" t="s">
        <v>43</v>
      </c>
      <c r="M5145" t="s">
        <v>43</v>
      </c>
      <c r="N5145" t="s">
        <v>45</v>
      </c>
      <c r="O5145" t="s">
        <v>43</v>
      </c>
      <c r="P5145" t="s">
        <v>43</v>
      </c>
      <c r="Q5145" t="s">
        <v>43</v>
      </c>
      <c r="R5145" t="s">
        <v>43</v>
      </c>
      <c r="S5145" t="s">
        <v>43</v>
      </c>
      <c r="T5145" t="s">
        <v>43</v>
      </c>
      <c r="U5145" t="s">
        <v>43</v>
      </c>
      <c r="V5145" t="s">
        <v>43</v>
      </c>
      <c r="W5145" t="s">
        <v>43</v>
      </c>
      <c r="X5145" t="s">
        <v>43</v>
      </c>
      <c r="Y5145" t="s">
        <v>43</v>
      </c>
      <c r="Z5145" t="s">
        <v>43</v>
      </c>
      <c r="AA5145" t="s">
        <v>43</v>
      </c>
      <c r="AB5145" t="s">
        <v>43</v>
      </c>
      <c r="AC5145" t="s">
        <v>43</v>
      </c>
      <c r="AD5145" t="s">
        <v>43</v>
      </c>
      <c r="AE5145" t="s">
        <v>43</v>
      </c>
      <c r="AF5145" t="s">
        <v>43</v>
      </c>
      <c r="AG5145" t="s">
        <v>43</v>
      </c>
      <c r="AH5145" t="s">
        <v>43</v>
      </c>
      <c r="AI5145" t="s">
        <v>43</v>
      </c>
      <c r="AJ5145" t="s">
        <v>43</v>
      </c>
      <c r="AK5145" t="s">
        <v>43</v>
      </c>
      <c r="AL5145" t="s">
        <v>43</v>
      </c>
      <c r="AM5145" t="s">
        <v>43</v>
      </c>
      <c r="AN5145" t="str">
        <f>HYPERLINK("https://www.google.com/maps?q=10.83224487,79.84020996","Open Location")</f>
        <v>Open Location</v>
      </c>
    </row>
    <row r="5146" spans="1:40" x14ac:dyDescent="0.3">
      <c r="A5146" s="1">
        <v>46210.403703703705</v>
      </c>
      <c r="B5146" t="s">
        <v>40</v>
      </c>
      <c r="C5146" t="s">
        <v>41</v>
      </c>
      <c r="D5146" s="1">
        <v>46210.406655092593</v>
      </c>
      <c r="E5146" t="s">
        <v>42</v>
      </c>
      <c r="F5146" t="s">
        <v>43</v>
      </c>
      <c r="G5146" t="s">
        <v>43</v>
      </c>
      <c r="H5146" t="s">
        <v>43</v>
      </c>
      <c r="I5146" t="s">
        <v>2939</v>
      </c>
      <c r="J5146" t="s">
        <v>43</v>
      </c>
      <c r="K5146" t="s">
        <v>43</v>
      </c>
      <c r="L5146" t="s">
        <v>43</v>
      </c>
      <c r="M5146" t="s">
        <v>43</v>
      </c>
      <c r="N5146" t="s">
        <v>45</v>
      </c>
      <c r="O5146" t="s">
        <v>43</v>
      </c>
      <c r="P5146" t="s">
        <v>43</v>
      </c>
      <c r="Q5146" t="s">
        <v>43</v>
      </c>
      <c r="R5146" t="s">
        <v>43</v>
      </c>
      <c r="S5146" t="s">
        <v>43</v>
      </c>
      <c r="T5146" t="s">
        <v>43</v>
      </c>
      <c r="U5146" t="s">
        <v>43</v>
      </c>
      <c r="V5146" t="s">
        <v>43</v>
      </c>
      <c r="W5146" t="s">
        <v>43</v>
      </c>
      <c r="X5146" t="s">
        <v>43</v>
      </c>
      <c r="Y5146" t="s">
        <v>43</v>
      </c>
      <c r="Z5146" t="s">
        <v>43</v>
      </c>
      <c r="AA5146" t="s">
        <v>43</v>
      </c>
      <c r="AB5146" t="s">
        <v>43</v>
      </c>
      <c r="AC5146" t="s">
        <v>43</v>
      </c>
      <c r="AD5146" t="s">
        <v>43</v>
      </c>
      <c r="AE5146" t="s">
        <v>43</v>
      </c>
      <c r="AF5146" t="s">
        <v>43</v>
      </c>
      <c r="AG5146" t="s">
        <v>43</v>
      </c>
      <c r="AH5146" t="s">
        <v>43</v>
      </c>
      <c r="AI5146" t="s">
        <v>43</v>
      </c>
      <c r="AJ5146" t="s">
        <v>43</v>
      </c>
      <c r="AK5146" t="s">
        <v>43</v>
      </c>
      <c r="AL5146" t="s">
        <v>43</v>
      </c>
      <c r="AM5146" t="s">
        <v>43</v>
      </c>
      <c r="AN5146" t="str">
        <f>HYPERLINK("https://www.google.com/maps?q=10.8322382,79.84020233","Open Location")</f>
        <v>Open Location</v>
      </c>
    </row>
    <row r="5147" spans="1:40" x14ac:dyDescent="0.3">
      <c r="A5147" s="1">
        <v>46210.403587962966</v>
      </c>
      <c r="B5147" t="s">
        <v>40</v>
      </c>
      <c r="C5147" t="s">
        <v>41</v>
      </c>
      <c r="D5147" s="1">
        <v>46210.406550925924</v>
      </c>
      <c r="E5147" t="s">
        <v>42</v>
      </c>
      <c r="F5147" t="s">
        <v>43</v>
      </c>
      <c r="G5147" t="s">
        <v>43</v>
      </c>
      <c r="H5147" t="s">
        <v>43</v>
      </c>
      <c r="I5147" t="s">
        <v>2940</v>
      </c>
      <c r="J5147" t="s">
        <v>43</v>
      </c>
      <c r="K5147" t="s">
        <v>43</v>
      </c>
      <c r="L5147" t="s">
        <v>43</v>
      </c>
      <c r="M5147" t="s">
        <v>43</v>
      </c>
      <c r="N5147" t="s">
        <v>45</v>
      </c>
      <c r="O5147" t="s">
        <v>43</v>
      </c>
      <c r="P5147" t="s">
        <v>43</v>
      </c>
      <c r="Q5147" t="s">
        <v>43</v>
      </c>
      <c r="R5147" t="s">
        <v>43</v>
      </c>
      <c r="S5147" t="s">
        <v>43</v>
      </c>
      <c r="T5147" t="s">
        <v>43</v>
      </c>
      <c r="U5147" t="s">
        <v>43</v>
      </c>
      <c r="V5147" t="s">
        <v>43</v>
      </c>
      <c r="W5147" t="s">
        <v>43</v>
      </c>
      <c r="X5147" t="s">
        <v>43</v>
      </c>
      <c r="Y5147" t="s">
        <v>43</v>
      </c>
      <c r="Z5147" t="s">
        <v>43</v>
      </c>
      <c r="AA5147" t="s">
        <v>43</v>
      </c>
      <c r="AB5147" t="s">
        <v>43</v>
      </c>
      <c r="AC5147" t="s">
        <v>43</v>
      </c>
      <c r="AD5147" t="s">
        <v>43</v>
      </c>
      <c r="AE5147" t="s">
        <v>43</v>
      </c>
      <c r="AF5147" t="s">
        <v>43</v>
      </c>
      <c r="AG5147" t="s">
        <v>43</v>
      </c>
      <c r="AH5147" t="s">
        <v>43</v>
      </c>
      <c r="AI5147" t="s">
        <v>43</v>
      </c>
      <c r="AJ5147" t="s">
        <v>43</v>
      </c>
      <c r="AK5147" t="s">
        <v>43</v>
      </c>
      <c r="AL5147" t="s">
        <v>43</v>
      </c>
      <c r="AM5147" t="s">
        <v>43</v>
      </c>
      <c r="AN5147" t="str">
        <f>HYPERLINK("https://www.google.com/maps?q=10.83223629,79.84020233","Open Location")</f>
        <v>Open Location</v>
      </c>
    </row>
    <row r="5148" spans="1:40" x14ac:dyDescent="0.3">
      <c r="A5148" s="1">
        <v>46210.40347222222</v>
      </c>
      <c r="B5148" t="s">
        <v>40</v>
      </c>
      <c r="C5148" t="s">
        <v>41</v>
      </c>
      <c r="D5148" s="1">
        <v>46210.40625</v>
      </c>
      <c r="E5148" t="s">
        <v>42</v>
      </c>
      <c r="F5148" t="s">
        <v>43</v>
      </c>
      <c r="G5148" t="s">
        <v>43</v>
      </c>
      <c r="H5148" t="s">
        <v>43</v>
      </c>
      <c r="I5148" t="s">
        <v>2941</v>
      </c>
      <c r="J5148" t="s">
        <v>43</v>
      </c>
      <c r="K5148" t="s">
        <v>43</v>
      </c>
      <c r="L5148" t="s">
        <v>43</v>
      </c>
      <c r="M5148" t="s">
        <v>43</v>
      </c>
      <c r="N5148" t="s">
        <v>45</v>
      </c>
      <c r="O5148" t="s">
        <v>43</v>
      </c>
      <c r="P5148" t="s">
        <v>43</v>
      </c>
      <c r="Q5148" t="s">
        <v>43</v>
      </c>
      <c r="R5148" t="s">
        <v>43</v>
      </c>
      <c r="S5148" t="s">
        <v>43</v>
      </c>
      <c r="T5148" t="s">
        <v>43</v>
      </c>
      <c r="U5148" t="s">
        <v>43</v>
      </c>
      <c r="V5148" t="s">
        <v>43</v>
      </c>
      <c r="W5148" t="s">
        <v>43</v>
      </c>
      <c r="X5148" t="s">
        <v>43</v>
      </c>
      <c r="Y5148" t="s">
        <v>43</v>
      </c>
      <c r="Z5148" t="s">
        <v>43</v>
      </c>
      <c r="AA5148" t="s">
        <v>43</v>
      </c>
      <c r="AB5148" t="s">
        <v>43</v>
      </c>
      <c r="AC5148" t="s">
        <v>43</v>
      </c>
      <c r="AD5148" t="s">
        <v>43</v>
      </c>
      <c r="AE5148" t="s">
        <v>43</v>
      </c>
      <c r="AF5148" t="s">
        <v>43</v>
      </c>
      <c r="AG5148" t="s">
        <v>43</v>
      </c>
      <c r="AH5148" t="s">
        <v>43</v>
      </c>
      <c r="AI5148" t="s">
        <v>43</v>
      </c>
      <c r="AJ5148" t="s">
        <v>43</v>
      </c>
      <c r="AK5148" t="s">
        <v>43</v>
      </c>
      <c r="AL5148" t="s">
        <v>43</v>
      </c>
      <c r="AM5148" t="s">
        <v>43</v>
      </c>
      <c r="AN5148" t="str">
        <f>HYPERLINK("https://www.google.com/maps?q=10.83223629,79.84021759","Open Location")</f>
        <v>Open Location</v>
      </c>
    </row>
    <row r="5149" spans="1:40" x14ac:dyDescent="0.3">
      <c r="A5149" s="1">
        <v>46210.403356481482</v>
      </c>
      <c r="B5149" t="s">
        <v>40</v>
      </c>
      <c r="C5149" t="s">
        <v>41</v>
      </c>
      <c r="D5149" s="1">
        <v>46210.406180555554</v>
      </c>
      <c r="E5149" t="s">
        <v>42</v>
      </c>
      <c r="F5149" t="s">
        <v>43</v>
      </c>
      <c r="G5149" t="s">
        <v>43</v>
      </c>
      <c r="H5149" t="s">
        <v>43</v>
      </c>
      <c r="I5149" t="s">
        <v>43</v>
      </c>
      <c r="J5149" t="s">
        <v>43</v>
      </c>
      <c r="K5149" t="s">
        <v>43</v>
      </c>
      <c r="L5149" t="s">
        <v>43</v>
      </c>
      <c r="M5149" t="s">
        <v>43</v>
      </c>
      <c r="N5149" t="s">
        <v>45</v>
      </c>
      <c r="O5149" t="s">
        <v>43</v>
      </c>
      <c r="P5149" t="s">
        <v>43</v>
      </c>
      <c r="Q5149" t="s">
        <v>43</v>
      </c>
      <c r="R5149" t="s">
        <v>43</v>
      </c>
      <c r="S5149" t="s">
        <v>43</v>
      </c>
      <c r="T5149" t="s">
        <v>43</v>
      </c>
      <c r="U5149" t="s">
        <v>43</v>
      </c>
      <c r="V5149" t="s">
        <v>43</v>
      </c>
      <c r="W5149" t="s">
        <v>43</v>
      </c>
      <c r="X5149" t="s">
        <v>43</v>
      </c>
      <c r="Y5149" t="s">
        <v>43</v>
      </c>
      <c r="Z5149" t="s">
        <v>43</v>
      </c>
      <c r="AA5149" t="s">
        <v>43</v>
      </c>
      <c r="AB5149" t="s">
        <v>43</v>
      </c>
      <c r="AC5149" t="s">
        <v>43</v>
      </c>
      <c r="AD5149" t="s">
        <v>43</v>
      </c>
      <c r="AE5149" t="s">
        <v>43</v>
      </c>
      <c r="AF5149" t="s">
        <v>43</v>
      </c>
      <c r="AG5149" t="s">
        <v>43</v>
      </c>
      <c r="AH5149" t="s">
        <v>43</v>
      </c>
      <c r="AI5149" t="s">
        <v>43</v>
      </c>
      <c r="AJ5149" t="s">
        <v>43</v>
      </c>
      <c r="AK5149" t="s">
        <v>43</v>
      </c>
      <c r="AL5149" t="s">
        <v>43</v>
      </c>
      <c r="AM5149" t="s">
        <v>43</v>
      </c>
      <c r="AN5149" t="s">
        <v>43</v>
      </c>
    </row>
    <row r="5150" spans="1:40" x14ac:dyDescent="0.3">
      <c r="A5150" s="1">
        <v>46210.403240740743</v>
      </c>
      <c r="B5150" t="s">
        <v>40</v>
      </c>
      <c r="C5150" t="s">
        <v>41</v>
      </c>
      <c r="D5150" s="1">
        <v>46210.406168981484</v>
      </c>
      <c r="E5150" t="s">
        <v>42</v>
      </c>
      <c r="F5150" t="s">
        <v>43</v>
      </c>
      <c r="G5150" t="s">
        <v>43</v>
      </c>
      <c r="H5150" t="s">
        <v>43</v>
      </c>
      <c r="I5150" t="s">
        <v>2942</v>
      </c>
      <c r="J5150" t="s">
        <v>43</v>
      </c>
      <c r="K5150" t="s">
        <v>43</v>
      </c>
      <c r="L5150" t="s">
        <v>43</v>
      </c>
      <c r="M5150" t="s">
        <v>43</v>
      </c>
      <c r="N5150" t="s">
        <v>45</v>
      </c>
      <c r="O5150" t="s">
        <v>43</v>
      </c>
      <c r="P5150" t="s">
        <v>43</v>
      </c>
      <c r="Q5150" t="s">
        <v>43</v>
      </c>
      <c r="R5150" t="s">
        <v>43</v>
      </c>
      <c r="S5150" t="s">
        <v>43</v>
      </c>
      <c r="T5150" t="s">
        <v>43</v>
      </c>
      <c r="U5150" t="s">
        <v>43</v>
      </c>
      <c r="V5150" t="s">
        <v>43</v>
      </c>
      <c r="W5150" t="s">
        <v>43</v>
      </c>
      <c r="X5150" t="s">
        <v>43</v>
      </c>
      <c r="Y5150" t="s">
        <v>43</v>
      </c>
      <c r="Z5150" t="s">
        <v>43</v>
      </c>
      <c r="AA5150" t="s">
        <v>43</v>
      </c>
      <c r="AB5150" t="s">
        <v>43</v>
      </c>
      <c r="AC5150" t="s">
        <v>43</v>
      </c>
      <c r="AD5150" t="s">
        <v>43</v>
      </c>
      <c r="AE5150" t="s">
        <v>43</v>
      </c>
      <c r="AF5150" t="s">
        <v>43</v>
      </c>
      <c r="AG5150" t="s">
        <v>43</v>
      </c>
      <c r="AH5150" t="s">
        <v>43</v>
      </c>
      <c r="AI5150" t="s">
        <v>43</v>
      </c>
      <c r="AJ5150" t="s">
        <v>43</v>
      </c>
      <c r="AK5150" t="s">
        <v>43</v>
      </c>
      <c r="AL5150" t="s">
        <v>43</v>
      </c>
      <c r="AM5150" t="s">
        <v>43</v>
      </c>
      <c r="AN5150" t="str">
        <f>HYPERLINK("https://www.google.com/maps?q=10.83223724,79.84021759","Open Location")</f>
        <v>Open Location</v>
      </c>
    </row>
    <row r="5151" spans="1:40" x14ac:dyDescent="0.3">
      <c r="A5151" s="1">
        <v>46210.403124999997</v>
      </c>
      <c r="B5151" t="s">
        <v>40</v>
      </c>
      <c r="C5151" t="s">
        <v>41</v>
      </c>
      <c r="D5151" s="1">
        <v>46210.406168981484</v>
      </c>
      <c r="E5151" t="s">
        <v>42</v>
      </c>
      <c r="F5151" t="s">
        <v>43</v>
      </c>
      <c r="G5151" t="s">
        <v>43</v>
      </c>
      <c r="H5151" t="s">
        <v>43</v>
      </c>
      <c r="I5151" t="s">
        <v>2943</v>
      </c>
      <c r="J5151" t="s">
        <v>43</v>
      </c>
      <c r="K5151" t="s">
        <v>43</v>
      </c>
      <c r="L5151" t="s">
        <v>43</v>
      </c>
      <c r="M5151" t="s">
        <v>43</v>
      </c>
      <c r="N5151" t="s">
        <v>45</v>
      </c>
      <c r="O5151" t="s">
        <v>43</v>
      </c>
      <c r="P5151" t="s">
        <v>43</v>
      </c>
      <c r="Q5151" t="s">
        <v>43</v>
      </c>
      <c r="R5151" t="s">
        <v>43</v>
      </c>
      <c r="S5151" t="s">
        <v>43</v>
      </c>
      <c r="T5151" t="s">
        <v>43</v>
      </c>
      <c r="U5151" t="s">
        <v>43</v>
      </c>
      <c r="V5151" t="s">
        <v>43</v>
      </c>
      <c r="W5151" t="s">
        <v>43</v>
      </c>
      <c r="X5151" t="s">
        <v>43</v>
      </c>
      <c r="Y5151" t="s">
        <v>43</v>
      </c>
      <c r="Z5151" t="s">
        <v>43</v>
      </c>
      <c r="AA5151" t="s">
        <v>43</v>
      </c>
      <c r="AB5151" t="s">
        <v>43</v>
      </c>
      <c r="AC5151" t="s">
        <v>43</v>
      </c>
      <c r="AD5151" t="s">
        <v>43</v>
      </c>
      <c r="AE5151" t="s">
        <v>43</v>
      </c>
      <c r="AF5151" t="s">
        <v>43</v>
      </c>
      <c r="AG5151" t="s">
        <v>43</v>
      </c>
      <c r="AH5151" t="s">
        <v>43</v>
      </c>
      <c r="AI5151" t="s">
        <v>43</v>
      </c>
      <c r="AJ5151" t="s">
        <v>43</v>
      </c>
      <c r="AK5151" t="s">
        <v>43</v>
      </c>
      <c r="AL5151" t="s">
        <v>43</v>
      </c>
      <c r="AM5151" t="s">
        <v>43</v>
      </c>
      <c r="AN5151" t="str">
        <f>HYPERLINK("https://www.google.com/maps?q=10.83223724,79.84022522","Open Location")</f>
        <v>Open Location</v>
      </c>
    </row>
    <row r="5152" spans="1:40" x14ac:dyDescent="0.3">
      <c r="A5152" s="1">
        <v>46210.403009259258</v>
      </c>
      <c r="B5152" t="s">
        <v>40</v>
      </c>
      <c r="C5152" t="s">
        <v>41</v>
      </c>
      <c r="D5152" s="1">
        <v>46210.405972222223</v>
      </c>
      <c r="E5152" t="s">
        <v>42</v>
      </c>
      <c r="F5152" t="s">
        <v>43</v>
      </c>
      <c r="G5152" t="s">
        <v>43</v>
      </c>
      <c r="H5152" t="s">
        <v>43</v>
      </c>
      <c r="I5152" t="s">
        <v>2944</v>
      </c>
      <c r="J5152" t="s">
        <v>43</v>
      </c>
      <c r="K5152" t="s">
        <v>43</v>
      </c>
      <c r="L5152" t="s">
        <v>43</v>
      </c>
      <c r="M5152" t="s">
        <v>43</v>
      </c>
      <c r="N5152" t="s">
        <v>45</v>
      </c>
      <c r="O5152" t="s">
        <v>43</v>
      </c>
      <c r="P5152" t="s">
        <v>43</v>
      </c>
      <c r="Q5152" t="s">
        <v>43</v>
      </c>
      <c r="R5152" t="s">
        <v>43</v>
      </c>
      <c r="S5152" t="s">
        <v>43</v>
      </c>
      <c r="T5152" t="s">
        <v>43</v>
      </c>
      <c r="U5152" t="s">
        <v>43</v>
      </c>
      <c r="V5152" t="s">
        <v>43</v>
      </c>
      <c r="W5152" t="s">
        <v>43</v>
      </c>
      <c r="X5152" t="s">
        <v>43</v>
      </c>
      <c r="Y5152" t="s">
        <v>43</v>
      </c>
      <c r="Z5152" t="s">
        <v>43</v>
      </c>
      <c r="AA5152" t="s">
        <v>43</v>
      </c>
      <c r="AB5152" t="s">
        <v>43</v>
      </c>
      <c r="AC5152" t="s">
        <v>43</v>
      </c>
      <c r="AD5152" t="s">
        <v>43</v>
      </c>
      <c r="AE5152" t="s">
        <v>43</v>
      </c>
      <c r="AF5152" t="s">
        <v>43</v>
      </c>
      <c r="AG5152" t="s">
        <v>43</v>
      </c>
      <c r="AH5152" t="s">
        <v>43</v>
      </c>
      <c r="AI5152" t="s">
        <v>43</v>
      </c>
      <c r="AJ5152" t="s">
        <v>43</v>
      </c>
      <c r="AK5152" t="s">
        <v>43</v>
      </c>
      <c r="AL5152" t="s">
        <v>43</v>
      </c>
      <c r="AM5152" t="s">
        <v>43</v>
      </c>
      <c r="AN5152" t="str">
        <f>HYPERLINK("https://www.google.com/maps?q=10.8322382,79.84021759","Open Location")</f>
        <v>Open Location</v>
      </c>
    </row>
    <row r="5153" spans="1:40" x14ac:dyDescent="0.3">
      <c r="A5153" s="1">
        <v>46210.40289351852</v>
      </c>
      <c r="B5153" t="s">
        <v>40</v>
      </c>
      <c r="C5153" t="s">
        <v>41</v>
      </c>
      <c r="D5153" s="1">
        <v>46210.4059837963</v>
      </c>
      <c r="E5153" t="s">
        <v>42</v>
      </c>
      <c r="F5153" t="s">
        <v>43</v>
      </c>
      <c r="G5153" t="s">
        <v>43</v>
      </c>
      <c r="H5153" t="s">
        <v>43</v>
      </c>
      <c r="I5153" t="s">
        <v>2945</v>
      </c>
      <c r="J5153" t="s">
        <v>43</v>
      </c>
      <c r="K5153" t="s">
        <v>43</v>
      </c>
      <c r="L5153" t="s">
        <v>43</v>
      </c>
      <c r="M5153" t="s">
        <v>43</v>
      </c>
      <c r="N5153" t="s">
        <v>45</v>
      </c>
      <c r="O5153" t="s">
        <v>43</v>
      </c>
      <c r="P5153" t="s">
        <v>43</v>
      </c>
      <c r="Q5153" t="s">
        <v>43</v>
      </c>
      <c r="R5153" t="s">
        <v>43</v>
      </c>
      <c r="S5153" t="s">
        <v>43</v>
      </c>
      <c r="T5153" t="s">
        <v>43</v>
      </c>
      <c r="U5153" t="s">
        <v>43</v>
      </c>
      <c r="V5153" t="s">
        <v>43</v>
      </c>
      <c r="W5153" t="s">
        <v>43</v>
      </c>
      <c r="X5153" t="s">
        <v>43</v>
      </c>
      <c r="Y5153" t="s">
        <v>43</v>
      </c>
      <c r="Z5153" t="s">
        <v>43</v>
      </c>
      <c r="AA5153" t="s">
        <v>43</v>
      </c>
      <c r="AB5153" t="s">
        <v>43</v>
      </c>
      <c r="AC5153" t="s">
        <v>43</v>
      </c>
      <c r="AD5153" t="s">
        <v>43</v>
      </c>
      <c r="AE5153" t="s">
        <v>43</v>
      </c>
      <c r="AF5153" t="s">
        <v>43</v>
      </c>
      <c r="AG5153" t="s">
        <v>43</v>
      </c>
      <c r="AH5153" t="s">
        <v>43</v>
      </c>
      <c r="AI5153" t="s">
        <v>43</v>
      </c>
      <c r="AJ5153" t="s">
        <v>43</v>
      </c>
      <c r="AK5153" t="s">
        <v>43</v>
      </c>
      <c r="AL5153" t="s">
        <v>43</v>
      </c>
      <c r="AM5153" t="s">
        <v>43</v>
      </c>
      <c r="AN5153" t="str">
        <f>HYPERLINK("https://www.google.com/maps?q=10.83224201,79.84022522","Open Location")</f>
        <v>Open Location</v>
      </c>
    </row>
    <row r="5154" spans="1:40" x14ac:dyDescent="0.3">
      <c r="A5154" s="1">
        <v>46210.402777777781</v>
      </c>
      <c r="B5154" t="s">
        <v>40</v>
      </c>
      <c r="C5154" t="s">
        <v>41</v>
      </c>
      <c r="D5154" s="1">
        <v>46210.405844907407</v>
      </c>
      <c r="E5154" t="s">
        <v>42</v>
      </c>
      <c r="F5154" t="s">
        <v>43</v>
      </c>
      <c r="G5154" t="s">
        <v>43</v>
      </c>
      <c r="H5154" t="s">
        <v>43</v>
      </c>
      <c r="I5154" t="s">
        <v>2811</v>
      </c>
      <c r="J5154" t="s">
        <v>43</v>
      </c>
      <c r="K5154" t="s">
        <v>43</v>
      </c>
      <c r="L5154" t="s">
        <v>43</v>
      </c>
      <c r="M5154" t="s">
        <v>43</v>
      </c>
      <c r="N5154" t="s">
        <v>45</v>
      </c>
      <c r="O5154" t="s">
        <v>43</v>
      </c>
      <c r="P5154" t="s">
        <v>43</v>
      </c>
      <c r="Q5154" t="s">
        <v>43</v>
      </c>
      <c r="R5154" t="s">
        <v>43</v>
      </c>
      <c r="S5154" t="s">
        <v>43</v>
      </c>
      <c r="T5154" t="s">
        <v>43</v>
      </c>
      <c r="U5154" t="s">
        <v>43</v>
      </c>
      <c r="V5154" t="s">
        <v>43</v>
      </c>
      <c r="W5154" t="s">
        <v>43</v>
      </c>
      <c r="X5154" t="s">
        <v>43</v>
      </c>
      <c r="Y5154" t="s">
        <v>43</v>
      </c>
      <c r="Z5154" t="s">
        <v>43</v>
      </c>
      <c r="AA5154" t="s">
        <v>43</v>
      </c>
      <c r="AB5154" t="s">
        <v>43</v>
      </c>
      <c r="AC5154" t="s">
        <v>43</v>
      </c>
      <c r="AD5154" t="s">
        <v>43</v>
      </c>
      <c r="AE5154" t="s">
        <v>43</v>
      </c>
      <c r="AF5154" t="s">
        <v>43</v>
      </c>
      <c r="AG5154" t="s">
        <v>43</v>
      </c>
      <c r="AH5154" t="s">
        <v>43</v>
      </c>
      <c r="AI5154" t="s">
        <v>43</v>
      </c>
      <c r="AJ5154" t="s">
        <v>43</v>
      </c>
      <c r="AK5154" t="s">
        <v>43</v>
      </c>
      <c r="AL5154" t="s">
        <v>43</v>
      </c>
      <c r="AM5154" t="s">
        <v>43</v>
      </c>
      <c r="AN5154" t="str">
        <f>HYPERLINK("https://www.google.com/maps?q=10.83224678,79.84022522","Open Location")</f>
        <v>Open Location</v>
      </c>
    </row>
    <row r="5155" spans="1:40" x14ac:dyDescent="0.3">
      <c r="A5155" s="1">
        <v>46210.402662037035</v>
      </c>
      <c r="B5155" t="s">
        <v>40</v>
      </c>
      <c r="C5155" t="s">
        <v>41</v>
      </c>
      <c r="D5155" s="1">
        <v>46210.405844907407</v>
      </c>
      <c r="E5155" t="s">
        <v>42</v>
      </c>
      <c r="F5155" t="s">
        <v>43</v>
      </c>
      <c r="G5155" t="s">
        <v>43</v>
      </c>
      <c r="H5155" t="s">
        <v>43</v>
      </c>
      <c r="I5155" t="s">
        <v>43</v>
      </c>
      <c r="J5155" t="s">
        <v>43</v>
      </c>
      <c r="K5155" t="s">
        <v>43</v>
      </c>
      <c r="L5155" t="s">
        <v>43</v>
      </c>
      <c r="M5155" t="s">
        <v>43</v>
      </c>
      <c r="N5155" t="s">
        <v>45</v>
      </c>
      <c r="O5155" t="s">
        <v>43</v>
      </c>
      <c r="P5155" t="s">
        <v>43</v>
      </c>
      <c r="Q5155" t="s">
        <v>43</v>
      </c>
      <c r="R5155" t="s">
        <v>43</v>
      </c>
      <c r="S5155" t="s">
        <v>43</v>
      </c>
      <c r="T5155" t="s">
        <v>43</v>
      </c>
      <c r="U5155" t="s">
        <v>43</v>
      </c>
      <c r="V5155" t="s">
        <v>43</v>
      </c>
      <c r="W5155" t="s">
        <v>43</v>
      </c>
      <c r="X5155" t="s">
        <v>43</v>
      </c>
      <c r="Y5155" t="s">
        <v>43</v>
      </c>
      <c r="Z5155" t="s">
        <v>43</v>
      </c>
      <c r="AA5155" t="s">
        <v>43</v>
      </c>
      <c r="AB5155" t="s">
        <v>43</v>
      </c>
      <c r="AC5155" t="s">
        <v>43</v>
      </c>
      <c r="AD5155" t="s">
        <v>43</v>
      </c>
      <c r="AE5155" t="s">
        <v>43</v>
      </c>
      <c r="AF5155" t="s">
        <v>43</v>
      </c>
      <c r="AG5155" t="s">
        <v>43</v>
      </c>
      <c r="AH5155" t="s">
        <v>43</v>
      </c>
      <c r="AI5155" t="s">
        <v>43</v>
      </c>
      <c r="AJ5155" t="s">
        <v>43</v>
      </c>
      <c r="AK5155" t="s">
        <v>43</v>
      </c>
      <c r="AL5155" t="s">
        <v>43</v>
      </c>
      <c r="AM5155" t="s">
        <v>43</v>
      </c>
      <c r="AN5155" t="s">
        <v>43</v>
      </c>
    </row>
    <row r="5156" spans="1:40" x14ac:dyDescent="0.3">
      <c r="A5156" s="1">
        <v>46210.402546296296</v>
      </c>
      <c r="B5156" t="s">
        <v>40</v>
      </c>
      <c r="C5156" t="s">
        <v>41</v>
      </c>
      <c r="D5156" s="1">
        <v>46210.405428240738</v>
      </c>
      <c r="E5156" t="s">
        <v>42</v>
      </c>
      <c r="F5156" t="s">
        <v>43</v>
      </c>
      <c r="G5156" t="s">
        <v>43</v>
      </c>
      <c r="H5156" t="s">
        <v>43</v>
      </c>
      <c r="I5156" t="s">
        <v>2671</v>
      </c>
      <c r="J5156" t="s">
        <v>43</v>
      </c>
      <c r="K5156" t="s">
        <v>43</v>
      </c>
      <c r="L5156" t="s">
        <v>43</v>
      </c>
      <c r="M5156" t="s">
        <v>43</v>
      </c>
      <c r="N5156" t="s">
        <v>45</v>
      </c>
      <c r="O5156" t="s">
        <v>43</v>
      </c>
      <c r="P5156" t="s">
        <v>43</v>
      </c>
      <c r="Q5156" t="s">
        <v>43</v>
      </c>
      <c r="R5156" t="s">
        <v>43</v>
      </c>
      <c r="S5156" t="s">
        <v>43</v>
      </c>
      <c r="T5156" t="s">
        <v>43</v>
      </c>
      <c r="U5156" t="s">
        <v>43</v>
      </c>
      <c r="V5156" t="s">
        <v>43</v>
      </c>
      <c r="W5156" t="s">
        <v>43</v>
      </c>
      <c r="X5156" t="s">
        <v>43</v>
      </c>
      <c r="Y5156" t="s">
        <v>43</v>
      </c>
      <c r="Z5156" t="s">
        <v>43</v>
      </c>
      <c r="AA5156" t="s">
        <v>43</v>
      </c>
      <c r="AB5156" t="s">
        <v>43</v>
      </c>
      <c r="AC5156" t="s">
        <v>43</v>
      </c>
      <c r="AD5156" t="s">
        <v>43</v>
      </c>
      <c r="AE5156" t="s">
        <v>43</v>
      </c>
      <c r="AF5156" t="s">
        <v>43</v>
      </c>
      <c r="AG5156" t="s">
        <v>43</v>
      </c>
      <c r="AH5156" t="s">
        <v>43</v>
      </c>
      <c r="AI5156" t="s">
        <v>43</v>
      </c>
      <c r="AJ5156" t="s">
        <v>43</v>
      </c>
      <c r="AK5156" t="s">
        <v>43</v>
      </c>
      <c r="AL5156" t="s">
        <v>43</v>
      </c>
      <c r="AM5156" t="s">
        <v>43</v>
      </c>
      <c r="AN5156" t="str">
        <f>HYPERLINK("https://www.google.com/maps?q=10.83225727,79.84022522","Open Location")</f>
        <v>Open Location</v>
      </c>
    </row>
    <row r="5157" spans="1:40" x14ac:dyDescent="0.3">
      <c r="A5157" s="1">
        <v>46210.402430555558</v>
      </c>
      <c r="B5157" t="s">
        <v>40</v>
      </c>
      <c r="C5157" t="s">
        <v>41</v>
      </c>
      <c r="D5157" s="1">
        <v>46210.405381944445</v>
      </c>
      <c r="E5157" t="s">
        <v>42</v>
      </c>
      <c r="F5157" t="s">
        <v>43</v>
      </c>
      <c r="G5157" t="s">
        <v>43</v>
      </c>
      <c r="H5157" t="s">
        <v>43</v>
      </c>
      <c r="I5157" t="s">
        <v>2946</v>
      </c>
      <c r="J5157" t="s">
        <v>43</v>
      </c>
      <c r="K5157" t="s">
        <v>43</v>
      </c>
      <c r="L5157" t="s">
        <v>43</v>
      </c>
      <c r="M5157" t="s">
        <v>43</v>
      </c>
      <c r="N5157" t="s">
        <v>45</v>
      </c>
      <c r="O5157" t="s">
        <v>43</v>
      </c>
      <c r="P5157" t="s">
        <v>43</v>
      </c>
      <c r="Q5157" t="s">
        <v>43</v>
      </c>
      <c r="R5157" t="s">
        <v>43</v>
      </c>
      <c r="S5157" t="s">
        <v>43</v>
      </c>
      <c r="T5157" t="s">
        <v>43</v>
      </c>
      <c r="U5157" t="s">
        <v>43</v>
      </c>
      <c r="V5157" t="s">
        <v>43</v>
      </c>
      <c r="W5157" t="s">
        <v>43</v>
      </c>
      <c r="X5157" t="s">
        <v>43</v>
      </c>
      <c r="Y5157" t="s">
        <v>43</v>
      </c>
      <c r="Z5157" t="s">
        <v>43</v>
      </c>
      <c r="AA5157" t="s">
        <v>43</v>
      </c>
      <c r="AB5157" t="s">
        <v>43</v>
      </c>
      <c r="AC5157" t="s">
        <v>43</v>
      </c>
      <c r="AD5157" t="s">
        <v>43</v>
      </c>
      <c r="AE5157" t="s">
        <v>43</v>
      </c>
      <c r="AF5157" t="s">
        <v>43</v>
      </c>
      <c r="AG5157" t="s">
        <v>43</v>
      </c>
      <c r="AH5157" t="s">
        <v>43</v>
      </c>
      <c r="AI5157" t="s">
        <v>43</v>
      </c>
      <c r="AJ5157" t="s">
        <v>43</v>
      </c>
      <c r="AK5157" t="s">
        <v>43</v>
      </c>
      <c r="AL5157" t="s">
        <v>43</v>
      </c>
      <c r="AM5157" t="s">
        <v>43</v>
      </c>
      <c r="AN5157" t="str">
        <f>HYPERLINK("https://www.google.com/maps?q=10.83226204,79.84023285","Open Location")</f>
        <v>Open Location</v>
      </c>
    </row>
    <row r="5158" spans="1:40" x14ac:dyDescent="0.3">
      <c r="A5158" s="1">
        <v>46210.402314814812</v>
      </c>
      <c r="B5158" t="s">
        <v>40</v>
      </c>
      <c r="C5158" t="s">
        <v>41</v>
      </c>
      <c r="D5158" s="1">
        <v>46210.405312499999</v>
      </c>
      <c r="E5158" t="s">
        <v>42</v>
      </c>
      <c r="F5158" t="s">
        <v>43</v>
      </c>
      <c r="G5158" t="s">
        <v>43</v>
      </c>
      <c r="H5158" t="s">
        <v>43</v>
      </c>
      <c r="I5158" t="s">
        <v>2899</v>
      </c>
      <c r="J5158" t="s">
        <v>43</v>
      </c>
      <c r="K5158" t="s">
        <v>43</v>
      </c>
      <c r="L5158" t="s">
        <v>43</v>
      </c>
      <c r="M5158" t="s">
        <v>43</v>
      </c>
      <c r="N5158" t="s">
        <v>45</v>
      </c>
      <c r="O5158" t="s">
        <v>43</v>
      </c>
      <c r="P5158" t="s">
        <v>43</v>
      </c>
      <c r="Q5158" t="s">
        <v>43</v>
      </c>
      <c r="R5158" t="s">
        <v>43</v>
      </c>
      <c r="S5158" t="s">
        <v>43</v>
      </c>
      <c r="T5158" t="s">
        <v>43</v>
      </c>
      <c r="U5158" t="s">
        <v>43</v>
      </c>
      <c r="V5158" t="s">
        <v>43</v>
      </c>
      <c r="W5158" t="s">
        <v>43</v>
      </c>
      <c r="X5158" t="s">
        <v>43</v>
      </c>
      <c r="Y5158" t="s">
        <v>43</v>
      </c>
      <c r="Z5158" t="s">
        <v>43</v>
      </c>
      <c r="AA5158" t="s">
        <v>43</v>
      </c>
      <c r="AB5158" t="s">
        <v>43</v>
      </c>
      <c r="AC5158" t="s">
        <v>43</v>
      </c>
      <c r="AD5158" t="s">
        <v>43</v>
      </c>
      <c r="AE5158" t="s">
        <v>43</v>
      </c>
      <c r="AF5158" t="s">
        <v>43</v>
      </c>
      <c r="AG5158" t="s">
        <v>43</v>
      </c>
      <c r="AH5158" t="s">
        <v>43</v>
      </c>
      <c r="AI5158" t="s">
        <v>43</v>
      </c>
      <c r="AJ5158" t="s">
        <v>43</v>
      </c>
      <c r="AK5158" t="s">
        <v>43</v>
      </c>
      <c r="AL5158" t="s">
        <v>43</v>
      </c>
      <c r="AM5158" t="s">
        <v>43</v>
      </c>
      <c r="AN5158" t="str">
        <f>HYPERLINK("https://www.google.com/maps?q=10.83226776,79.84023285","Open Location")</f>
        <v>Open Location</v>
      </c>
    </row>
    <row r="5159" spans="1:40" x14ac:dyDescent="0.3">
      <c r="A5159" s="1">
        <v>46210.402199074073</v>
      </c>
      <c r="B5159" t="s">
        <v>40</v>
      </c>
      <c r="C5159" t="s">
        <v>41</v>
      </c>
      <c r="D5159" s="1">
        <v>46210.405300925922</v>
      </c>
      <c r="E5159" t="s">
        <v>42</v>
      </c>
      <c r="F5159" t="s">
        <v>43</v>
      </c>
      <c r="G5159" t="s">
        <v>43</v>
      </c>
      <c r="H5159" t="s">
        <v>43</v>
      </c>
      <c r="I5159" t="s">
        <v>2947</v>
      </c>
      <c r="J5159" t="s">
        <v>43</v>
      </c>
      <c r="K5159" t="s">
        <v>43</v>
      </c>
      <c r="L5159" t="s">
        <v>43</v>
      </c>
      <c r="M5159" t="s">
        <v>43</v>
      </c>
      <c r="N5159" t="s">
        <v>45</v>
      </c>
      <c r="O5159" t="s">
        <v>43</v>
      </c>
      <c r="P5159" t="s">
        <v>43</v>
      </c>
      <c r="Q5159" t="s">
        <v>43</v>
      </c>
      <c r="R5159" t="s">
        <v>43</v>
      </c>
      <c r="S5159" t="s">
        <v>43</v>
      </c>
      <c r="T5159" t="s">
        <v>43</v>
      </c>
      <c r="U5159" t="s">
        <v>43</v>
      </c>
      <c r="V5159" t="s">
        <v>43</v>
      </c>
      <c r="W5159" t="s">
        <v>43</v>
      </c>
      <c r="X5159" t="s">
        <v>43</v>
      </c>
      <c r="Y5159" t="s">
        <v>43</v>
      </c>
      <c r="Z5159" t="s">
        <v>43</v>
      </c>
      <c r="AA5159" t="s">
        <v>43</v>
      </c>
      <c r="AB5159" t="s">
        <v>43</v>
      </c>
      <c r="AC5159" t="s">
        <v>43</v>
      </c>
      <c r="AD5159" t="s">
        <v>43</v>
      </c>
      <c r="AE5159" t="s">
        <v>43</v>
      </c>
      <c r="AF5159" t="s">
        <v>43</v>
      </c>
      <c r="AG5159" t="s">
        <v>43</v>
      </c>
      <c r="AH5159" t="s">
        <v>43</v>
      </c>
      <c r="AI5159" t="s">
        <v>43</v>
      </c>
      <c r="AJ5159" t="s">
        <v>43</v>
      </c>
      <c r="AK5159" t="s">
        <v>43</v>
      </c>
      <c r="AL5159" t="s">
        <v>43</v>
      </c>
      <c r="AM5159" t="s">
        <v>43</v>
      </c>
      <c r="AN5159" t="str">
        <f>HYPERLINK("https://www.google.com/maps?q=10.83226395,79.84023285","Open Location")</f>
        <v>Open Location</v>
      </c>
    </row>
    <row r="5160" spans="1:40" x14ac:dyDescent="0.3">
      <c r="A5160" s="1">
        <v>46210.402083333334</v>
      </c>
      <c r="B5160" t="s">
        <v>40</v>
      </c>
      <c r="C5160" t="s">
        <v>41</v>
      </c>
      <c r="D5160" s="1">
        <v>46210.404861111114</v>
      </c>
      <c r="E5160" t="s">
        <v>42</v>
      </c>
      <c r="F5160" t="s">
        <v>43</v>
      </c>
      <c r="G5160" t="s">
        <v>43</v>
      </c>
      <c r="H5160" t="s">
        <v>43</v>
      </c>
      <c r="I5160" t="s">
        <v>2948</v>
      </c>
      <c r="J5160" t="s">
        <v>43</v>
      </c>
      <c r="K5160" t="s">
        <v>43</v>
      </c>
      <c r="L5160" t="s">
        <v>43</v>
      </c>
      <c r="M5160" t="s">
        <v>43</v>
      </c>
      <c r="N5160" t="s">
        <v>45</v>
      </c>
      <c r="O5160" t="s">
        <v>43</v>
      </c>
      <c r="P5160" t="s">
        <v>43</v>
      </c>
      <c r="Q5160" t="s">
        <v>43</v>
      </c>
      <c r="R5160" t="s">
        <v>43</v>
      </c>
      <c r="S5160" t="s">
        <v>43</v>
      </c>
      <c r="T5160" t="s">
        <v>43</v>
      </c>
      <c r="U5160" t="s">
        <v>43</v>
      </c>
      <c r="V5160" t="s">
        <v>43</v>
      </c>
      <c r="W5160" t="s">
        <v>43</v>
      </c>
      <c r="X5160" t="s">
        <v>43</v>
      </c>
      <c r="Y5160" t="s">
        <v>43</v>
      </c>
      <c r="Z5160" t="s">
        <v>43</v>
      </c>
      <c r="AA5160" t="s">
        <v>43</v>
      </c>
      <c r="AB5160" t="s">
        <v>43</v>
      </c>
      <c r="AC5160" t="s">
        <v>43</v>
      </c>
      <c r="AD5160" t="s">
        <v>43</v>
      </c>
      <c r="AE5160" t="s">
        <v>43</v>
      </c>
      <c r="AF5160" t="s">
        <v>43</v>
      </c>
      <c r="AG5160" t="s">
        <v>43</v>
      </c>
      <c r="AH5160" t="s">
        <v>43</v>
      </c>
      <c r="AI5160" t="s">
        <v>43</v>
      </c>
      <c r="AJ5160" t="s">
        <v>43</v>
      </c>
      <c r="AK5160" t="s">
        <v>43</v>
      </c>
      <c r="AL5160" t="s">
        <v>43</v>
      </c>
      <c r="AM5160" t="s">
        <v>43</v>
      </c>
      <c r="AN5160" t="str">
        <f>HYPERLINK("https://www.google.com/maps?q=10.83226681,79.84023285","Open Location")</f>
        <v>Open Location</v>
      </c>
    </row>
    <row r="5161" spans="1:40" x14ac:dyDescent="0.3">
      <c r="A5161" s="1">
        <v>46210.401967592596</v>
      </c>
      <c r="B5161" t="s">
        <v>40</v>
      </c>
      <c r="C5161" t="s">
        <v>41</v>
      </c>
      <c r="D5161" s="1">
        <v>46210.404768518521</v>
      </c>
      <c r="E5161" t="s">
        <v>42</v>
      </c>
      <c r="F5161" t="s">
        <v>43</v>
      </c>
      <c r="G5161" t="s">
        <v>43</v>
      </c>
      <c r="H5161" t="s">
        <v>43</v>
      </c>
      <c r="I5161" t="s">
        <v>43</v>
      </c>
      <c r="J5161" t="s">
        <v>43</v>
      </c>
      <c r="K5161" t="s">
        <v>43</v>
      </c>
      <c r="L5161" t="s">
        <v>43</v>
      </c>
      <c r="M5161" t="s">
        <v>43</v>
      </c>
      <c r="N5161" t="s">
        <v>45</v>
      </c>
      <c r="O5161" t="s">
        <v>43</v>
      </c>
      <c r="P5161" t="s">
        <v>43</v>
      </c>
      <c r="Q5161" t="s">
        <v>43</v>
      </c>
      <c r="R5161" t="s">
        <v>43</v>
      </c>
      <c r="S5161" t="s">
        <v>43</v>
      </c>
      <c r="T5161" t="s">
        <v>43</v>
      </c>
      <c r="U5161" t="s">
        <v>43</v>
      </c>
      <c r="V5161" t="s">
        <v>43</v>
      </c>
      <c r="W5161" t="s">
        <v>43</v>
      </c>
      <c r="X5161" t="s">
        <v>43</v>
      </c>
      <c r="Y5161" t="s">
        <v>43</v>
      </c>
      <c r="Z5161" t="s">
        <v>43</v>
      </c>
      <c r="AA5161" t="s">
        <v>43</v>
      </c>
      <c r="AB5161" t="s">
        <v>43</v>
      </c>
      <c r="AC5161" t="s">
        <v>43</v>
      </c>
      <c r="AD5161" t="s">
        <v>43</v>
      </c>
      <c r="AE5161" t="s">
        <v>43</v>
      </c>
      <c r="AF5161" t="s">
        <v>43</v>
      </c>
      <c r="AG5161" t="s">
        <v>43</v>
      </c>
      <c r="AH5161" t="s">
        <v>43</v>
      </c>
      <c r="AI5161" t="s">
        <v>43</v>
      </c>
      <c r="AJ5161" t="s">
        <v>43</v>
      </c>
      <c r="AK5161" t="s">
        <v>43</v>
      </c>
      <c r="AL5161" t="s">
        <v>43</v>
      </c>
      <c r="AM5161" t="s">
        <v>43</v>
      </c>
      <c r="AN5161" t="s">
        <v>43</v>
      </c>
    </row>
    <row r="5162" spans="1:40" x14ac:dyDescent="0.3">
      <c r="A5162" s="1">
        <v>46210.40185185185</v>
      </c>
      <c r="B5162" t="s">
        <v>40</v>
      </c>
      <c r="C5162" t="s">
        <v>41</v>
      </c>
      <c r="D5162" s="1">
        <v>46210.404942129629</v>
      </c>
      <c r="E5162" t="s">
        <v>42</v>
      </c>
      <c r="F5162" t="s">
        <v>43</v>
      </c>
      <c r="G5162" t="s">
        <v>43</v>
      </c>
      <c r="H5162" t="s">
        <v>43</v>
      </c>
      <c r="I5162" t="s">
        <v>2900</v>
      </c>
      <c r="J5162" t="s">
        <v>43</v>
      </c>
      <c r="K5162" t="s">
        <v>43</v>
      </c>
      <c r="L5162" t="s">
        <v>43</v>
      </c>
      <c r="M5162" t="s">
        <v>43</v>
      </c>
      <c r="N5162" t="s">
        <v>45</v>
      </c>
      <c r="O5162" t="s">
        <v>43</v>
      </c>
      <c r="P5162" t="s">
        <v>43</v>
      </c>
      <c r="Q5162" t="s">
        <v>43</v>
      </c>
      <c r="R5162" t="s">
        <v>43</v>
      </c>
      <c r="S5162" t="s">
        <v>43</v>
      </c>
      <c r="T5162" t="s">
        <v>43</v>
      </c>
      <c r="U5162" t="s">
        <v>43</v>
      </c>
      <c r="V5162" t="s">
        <v>43</v>
      </c>
      <c r="W5162" t="s">
        <v>43</v>
      </c>
      <c r="X5162" t="s">
        <v>43</v>
      </c>
      <c r="Y5162" t="s">
        <v>43</v>
      </c>
      <c r="Z5162" t="s">
        <v>43</v>
      </c>
      <c r="AA5162" t="s">
        <v>43</v>
      </c>
      <c r="AB5162" t="s">
        <v>43</v>
      </c>
      <c r="AC5162" t="s">
        <v>43</v>
      </c>
      <c r="AD5162" t="s">
        <v>43</v>
      </c>
      <c r="AE5162" t="s">
        <v>43</v>
      </c>
      <c r="AF5162" t="s">
        <v>43</v>
      </c>
      <c r="AG5162" t="s">
        <v>43</v>
      </c>
      <c r="AH5162" t="s">
        <v>43</v>
      </c>
      <c r="AI5162" t="s">
        <v>43</v>
      </c>
      <c r="AJ5162" t="s">
        <v>43</v>
      </c>
      <c r="AK5162" t="s">
        <v>43</v>
      </c>
      <c r="AL5162" t="s">
        <v>43</v>
      </c>
      <c r="AM5162" t="s">
        <v>43</v>
      </c>
      <c r="AN5162" t="str">
        <f>HYPERLINK("https://www.google.com/maps?q=10.83226776,79.84022522","Open Location")</f>
        <v>Open Location</v>
      </c>
    </row>
    <row r="5163" spans="1:40" x14ac:dyDescent="0.3">
      <c r="A5163" s="1">
        <v>46210.401736111111</v>
      </c>
      <c r="B5163" t="s">
        <v>40</v>
      </c>
      <c r="C5163" t="s">
        <v>41</v>
      </c>
      <c r="D5163" s="1">
        <v>46210.404953703706</v>
      </c>
      <c r="E5163" t="s">
        <v>42</v>
      </c>
      <c r="F5163" t="s">
        <v>43</v>
      </c>
      <c r="G5163" t="s">
        <v>43</v>
      </c>
      <c r="H5163" t="s">
        <v>43</v>
      </c>
      <c r="I5163" t="s">
        <v>2792</v>
      </c>
      <c r="J5163" t="s">
        <v>43</v>
      </c>
      <c r="K5163" t="s">
        <v>43</v>
      </c>
      <c r="L5163" t="s">
        <v>43</v>
      </c>
      <c r="M5163" t="s">
        <v>43</v>
      </c>
      <c r="N5163" t="s">
        <v>45</v>
      </c>
      <c r="O5163" t="s">
        <v>43</v>
      </c>
      <c r="P5163" t="s">
        <v>43</v>
      </c>
      <c r="Q5163" t="s">
        <v>43</v>
      </c>
      <c r="R5163" t="s">
        <v>43</v>
      </c>
      <c r="S5163" t="s">
        <v>43</v>
      </c>
      <c r="T5163" t="s">
        <v>43</v>
      </c>
      <c r="U5163" t="s">
        <v>43</v>
      </c>
      <c r="V5163" t="s">
        <v>43</v>
      </c>
      <c r="W5163" t="s">
        <v>43</v>
      </c>
      <c r="X5163" t="s">
        <v>43</v>
      </c>
      <c r="Y5163" t="s">
        <v>43</v>
      </c>
      <c r="Z5163" t="s">
        <v>43</v>
      </c>
      <c r="AA5163" t="s">
        <v>43</v>
      </c>
      <c r="AB5163" t="s">
        <v>43</v>
      </c>
      <c r="AC5163" t="s">
        <v>43</v>
      </c>
      <c r="AD5163" t="s">
        <v>43</v>
      </c>
      <c r="AE5163" t="s">
        <v>43</v>
      </c>
      <c r="AF5163" t="s">
        <v>43</v>
      </c>
      <c r="AG5163" t="s">
        <v>43</v>
      </c>
      <c r="AH5163" t="s">
        <v>43</v>
      </c>
      <c r="AI5163" t="s">
        <v>43</v>
      </c>
      <c r="AJ5163" t="s">
        <v>43</v>
      </c>
      <c r="AK5163" t="s">
        <v>43</v>
      </c>
      <c r="AL5163" t="s">
        <v>43</v>
      </c>
      <c r="AM5163" t="s">
        <v>43</v>
      </c>
      <c r="AN5163" t="str">
        <f>HYPERLINK("https://www.google.com/maps?q=10.83226681,79.84022522","Open Location")</f>
        <v>Open Location</v>
      </c>
    </row>
    <row r="5164" spans="1:40" x14ac:dyDescent="0.3">
      <c r="A5164" s="1">
        <v>46210.401620370372</v>
      </c>
      <c r="B5164" t="s">
        <v>40</v>
      </c>
      <c r="C5164" t="s">
        <v>41</v>
      </c>
      <c r="D5164" s="1">
        <v>46210.404513888891</v>
      </c>
      <c r="E5164" t="s">
        <v>42</v>
      </c>
      <c r="F5164" t="s">
        <v>43</v>
      </c>
      <c r="G5164" t="s">
        <v>43</v>
      </c>
      <c r="H5164" t="s">
        <v>43</v>
      </c>
      <c r="I5164" t="s">
        <v>2949</v>
      </c>
      <c r="J5164" t="s">
        <v>43</v>
      </c>
      <c r="K5164" t="s">
        <v>43</v>
      </c>
      <c r="L5164" t="s">
        <v>43</v>
      </c>
      <c r="M5164" t="s">
        <v>43</v>
      </c>
      <c r="N5164" t="s">
        <v>45</v>
      </c>
      <c r="O5164" t="s">
        <v>43</v>
      </c>
      <c r="P5164" t="s">
        <v>43</v>
      </c>
      <c r="Q5164" t="s">
        <v>43</v>
      </c>
      <c r="R5164" t="s">
        <v>43</v>
      </c>
      <c r="S5164" t="s">
        <v>43</v>
      </c>
      <c r="T5164" t="s">
        <v>43</v>
      </c>
      <c r="U5164" t="s">
        <v>43</v>
      </c>
      <c r="V5164" t="s">
        <v>43</v>
      </c>
      <c r="W5164" t="s">
        <v>43</v>
      </c>
      <c r="X5164" t="s">
        <v>43</v>
      </c>
      <c r="Y5164" t="s">
        <v>43</v>
      </c>
      <c r="Z5164" t="s">
        <v>43</v>
      </c>
      <c r="AA5164" t="s">
        <v>43</v>
      </c>
      <c r="AB5164" t="s">
        <v>43</v>
      </c>
      <c r="AC5164" t="s">
        <v>43</v>
      </c>
      <c r="AD5164" t="s">
        <v>43</v>
      </c>
      <c r="AE5164" t="s">
        <v>43</v>
      </c>
      <c r="AF5164" t="s">
        <v>43</v>
      </c>
      <c r="AG5164" t="s">
        <v>43</v>
      </c>
      <c r="AH5164" t="s">
        <v>43</v>
      </c>
      <c r="AI5164" t="s">
        <v>43</v>
      </c>
      <c r="AJ5164" t="s">
        <v>43</v>
      </c>
      <c r="AK5164" t="s">
        <v>43</v>
      </c>
      <c r="AL5164" t="s">
        <v>43</v>
      </c>
      <c r="AM5164" t="s">
        <v>43</v>
      </c>
      <c r="AN5164" t="str">
        <f>HYPERLINK("https://www.google.com/maps?q=10.8322649,79.84021759","Open Location")</f>
        <v>Open Location</v>
      </c>
    </row>
    <row r="5165" spans="1:40" x14ac:dyDescent="0.3">
      <c r="A5165" s="1">
        <v>46210.401504629626</v>
      </c>
      <c r="B5165" t="s">
        <v>40</v>
      </c>
      <c r="C5165" t="s">
        <v>41</v>
      </c>
      <c r="D5165" s="1">
        <v>46210.404513888891</v>
      </c>
      <c r="E5165" t="s">
        <v>42</v>
      </c>
      <c r="F5165" t="s">
        <v>43</v>
      </c>
      <c r="G5165" t="s">
        <v>43</v>
      </c>
      <c r="H5165" t="s">
        <v>43</v>
      </c>
      <c r="I5165" t="s">
        <v>2949</v>
      </c>
      <c r="J5165" t="s">
        <v>43</v>
      </c>
      <c r="K5165" t="s">
        <v>43</v>
      </c>
      <c r="L5165" t="s">
        <v>43</v>
      </c>
      <c r="M5165" t="s">
        <v>43</v>
      </c>
      <c r="N5165" t="s">
        <v>45</v>
      </c>
      <c r="O5165" t="s">
        <v>43</v>
      </c>
      <c r="P5165" t="s">
        <v>43</v>
      </c>
      <c r="Q5165" t="s">
        <v>43</v>
      </c>
      <c r="R5165" t="s">
        <v>43</v>
      </c>
      <c r="S5165" t="s">
        <v>43</v>
      </c>
      <c r="T5165" t="s">
        <v>43</v>
      </c>
      <c r="U5165" t="s">
        <v>43</v>
      </c>
      <c r="V5165" t="s">
        <v>43</v>
      </c>
      <c r="W5165" t="s">
        <v>43</v>
      </c>
      <c r="X5165" t="s">
        <v>43</v>
      </c>
      <c r="Y5165" t="s">
        <v>43</v>
      </c>
      <c r="Z5165" t="s">
        <v>43</v>
      </c>
      <c r="AA5165" t="s">
        <v>43</v>
      </c>
      <c r="AB5165" t="s">
        <v>43</v>
      </c>
      <c r="AC5165" t="s">
        <v>43</v>
      </c>
      <c r="AD5165" t="s">
        <v>43</v>
      </c>
      <c r="AE5165" t="s">
        <v>43</v>
      </c>
      <c r="AF5165" t="s">
        <v>43</v>
      </c>
      <c r="AG5165" t="s">
        <v>43</v>
      </c>
      <c r="AH5165" t="s">
        <v>43</v>
      </c>
      <c r="AI5165" t="s">
        <v>43</v>
      </c>
      <c r="AJ5165" t="s">
        <v>43</v>
      </c>
      <c r="AK5165" t="s">
        <v>43</v>
      </c>
      <c r="AL5165" t="s">
        <v>43</v>
      </c>
      <c r="AM5165" t="s">
        <v>43</v>
      </c>
      <c r="AN5165" t="str">
        <f>HYPERLINK("https://www.google.com/maps?q=10.8322649,79.84021759","Open Location")</f>
        <v>Open Location</v>
      </c>
    </row>
    <row r="5166" spans="1:40" x14ac:dyDescent="0.3">
      <c r="A5166" s="1">
        <v>46210.401388888888</v>
      </c>
      <c r="B5166" t="s">
        <v>40</v>
      </c>
      <c r="C5166" t="s">
        <v>41</v>
      </c>
      <c r="D5166" s="1">
        <v>46210.404282407406</v>
      </c>
      <c r="E5166" t="s">
        <v>42</v>
      </c>
      <c r="F5166" t="s">
        <v>43</v>
      </c>
      <c r="G5166" t="s">
        <v>43</v>
      </c>
      <c r="H5166" t="s">
        <v>43</v>
      </c>
      <c r="I5166" t="s">
        <v>43</v>
      </c>
      <c r="J5166" t="s">
        <v>43</v>
      </c>
      <c r="K5166" t="s">
        <v>43</v>
      </c>
      <c r="L5166" t="s">
        <v>43</v>
      </c>
      <c r="M5166" t="s">
        <v>43</v>
      </c>
      <c r="N5166" t="s">
        <v>45</v>
      </c>
      <c r="O5166" t="s">
        <v>43</v>
      </c>
      <c r="P5166" t="s">
        <v>43</v>
      </c>
      <c r="Q5166" t="s">
        <v>43</v>
      </c>
      <c r="R5166" t="s">
        <v>43</v>
      </c>
      <c r="S5166" t="s">
        <v>43</v>
      </c>
      <c r="T5166" t="s">
        <v>43</v>
      </c>
      <c r="U5166" t="s">
        <v>43</v>
      </c>
      <c r="V5166" t="s">
        <v>43</v>
      </c>
      <c r="W5166" t="s">
        <v>43</v>
      </c>
      <c r="X5166" t="s">
        <v>43</v>
      </c>
      <c r="Y5166" t="s">
        <v>43</v>
      </c>
      <c r="Z5166" t="s">
        <v>43</v>
      </c>
      <c r="AA5166" t="s">
        <v>43</v>
      </c>
      <c r="AB5166" t="s">
        <v>43</v>
      </c>
      <c r="AC5166" t="s">
        <v>43</v>
      </c>
      <c r="AD5166" t="s">
        <v>43</v>
      </c>
      <c r="AE5166" t="s">
        <v>43</v>
      </c>
      <c r="AF5166" t="s">
        <v>43</v>
      </c>
      <c r="AG5166" t="s">
        <v>43</v>
      </c>
      <c r="AH5166" t="s">
        <v>43</v>
      </c>
      <c r="AI5166" t="s">
        <v>43</v>
      </c>
      <c r="AJ5166" t="s">
        <v>43</v>
      </c>
      <c r="AK5166" t="s">
        <v>43</v>
      </c>
      <c r="AL5166" t="s">
        <v>43</v>
      </c>
      <c r="AM5166" t="s">
        <v>43</v>
      </c>
      <c r="AN5166" t="s">
        <v>43</v>
      </c>
    </row>
    <row r="5167" spans="1:40" x14ac:dyDescent="0.3">
      <c r="A5167" s="1">
        <v>46210.401273148149</v>
      </c>
      <c r="B5167" t="s">
        <v>40</v>
      </c>
      <c r="C5167" t="s">
        <v>41</v>
      </c>
      <c r="D5167" s="1">
        <v>46210.404513888891</v>
      </c>
      <c r="E5167" t="s">
        <v>42</v>
      </c>
      <c r="F5167" t="s">
        <v>43</v>
      </c>
      <c r="G5167" t="s">
        <v>43</v>
      </c>
      <c r="H5167" t="s">
        <v>43</v>
      </c>
      <c r="I5167" t="s">
        <v>2705</v>
      </c>
      <c r="J5167" t="s">
        <v>43</v>
      </c>
      <c r="K5167" t="s">
        <v>43</v>
      </c>
      <c r="L5167" t="s">
        <v>43</v>
      </c>
      <c r="M5167" t="s">
        <v>43</v>
      </c>
      <c r="N5167" t="s">
        <v>45</v>
      </c>
      <c r="O5167" t="s">
        <v>43</v>
      </c>
      <c r="P5167" t="s">
        <v>43</v>
      </c>
      <c r="Q5167" t="s">
        <v>43</v>
      </c>
      <c r="R5167" t="s">
        <v>43</v>
      </c>
      <c r="S5167" t="s">
        <v>43</v>
      </c>
      <c r="T5167" t="s">
        <v>43</v>
      </c>
      <c r="U5167" t="s">
        <v>43</v>
      </c>
      <c r="V5167" t="s">
        <v>43</v>
      </c>
      <c r="W5167" t="s">
        <v>43</v>
      </c>
      <c r="X5167" t="s">
        <v>43</v>
      </c>
      <c r="Y5167" t="s">
        <v>43</v>
      </c>
      <c r="Z5167" t="s">
        <v>43</v>
      </c>
      <c r="AA5167" t="s">
        <v>43</v>
      </c>
      <c r="AB5167" t="s">
        <v>43</v>
      </c>
      <c r="AC5167" t="s">
        <v>43</v>
      </c>
      <c r="AD5167" t="s">
        <v>43</v>
      </c>
      <c r="AE5167" t="s">
        <v>43</v>
      </c>
      <c r="AF5167" t="s">
        <v>43</v>
      </c>
      <c r="AG5167" t="s">
        <v>43</v>
      </c>
      <c r="AH5167" t="s">
        <v>43</v>
      </c>
      <c r="AI5167" t="s">
        <v>43</v>
      </c>
      <c r="AJ5167" t="s">
        <v>43</v>
      </c>
      <c r="AK5167" t="s">
        <v>43</v>
      </c>
      <c r="AL5167" t="s">
        <v>43</v>
      </c>
      <c r="AM5167" t="s">
        <v>43</v>
      </c>
      <c r="AN5167" t="str">
        <f>HYPERLINK("https://www.google.com/maps?q=10.8322649,79.84020996","Open Location")</f>
        <v>Open Location</v>
      </c>
    </row>
    <row r="5168" spans="1:40" x14ac:dyDescent="0.3">
      <c r="A5168" s="1">
        <v>46210.40115740741</v>
      </c>
      <c r="B5168" t="s">
        <v>40</v>
      </c>
      <c r="C5168" t="s">
        <v>41</v>
      </c>
      <c r="D5168" s="1">
        <v>46210.403981481482</v>
      </c>
      <c r="E5168" t="s">
        <v>42</v>
      </c>
      <c r="F5168" t="s">
        <v>43</v>
      </c>
      <c r="G5168" t="s">
        <v>43</v>
      </c>
      <c r="H5168" t="s">
        <v>43</v>
      </c>
      <c r="I5168" t="s">
        <v>2950</v>
      </c>
      <c r="J5168" t="s">
        <v>43</v>
      </c>
      <c r="K5168" t="s">
        <v>43</v>
      </c>
      <c r="L5168" t="s">
        <v>43</v>
      </c>
      <c r="M5168" t="s">
        <v>43</v>
      </c>
      <c r="N5168" t="s">
        <v>45</v>
      </c>
      <c r="O5168" t="s">
        <v>43</v>
      </c>
      <c r="P5168" t="s">
        <v>43</v>
      </c>
      <c r="Q5168" t="s">
        <v>43</v>
      </c>
      <c r="R5168" t="s">
        <v>43</v>
      </c>
      <c r="S5168" t="s">
        <v>43</v>
      </c>
      <c r="T5168" t="s">
        <v>43</v>
      </c>
      <c r="U5168" t="s">
        <v>43</v>
      </c>
      <c r="V5168" t="s">
        <v>43</v>
      </c>
      <c r="W5168" t="s">
        <v>43</v>
      </c>
      <c r="X5168" t="s">
        <v>43</v>
      </c>
      <c r="Y5168" t="s">
        <v>43</v>
      </c>
      <c r="Z5168" t="s">
        <v>43</v>
      </c>
      <c r="AA5168" t="s">
        <v>43</v>
      </c>
      <c r="AB5168" t="s">
        <v>43</v>
      </c>
      <c r="AC5168" t="s">
        <v>43</v>
      </c>
      <c r="AD5168" t="s">
        <v>43</v>
      </c>
      <c r="AE5168" t="s">
        <v>43</v>
      </c>
      <c r="AF5168" t="s">
        <v>43</v>
      </c>
      <c r="AG5168" t="s">
        <v>43</v>
      </c>
      <c r="AH5168" t="s">
        <v>43</v>
      </c>
      <c r="AI5168" t="s">
        <v>43</v>
      </c>
      <c r="AJ5168" t="s">
        <v>43</v>
      </c>
      <c r="AK5168" t="s">
        <v>43</v>
      </c>
      <c r="AL5168" t="s">
        <v>43</v>
      </c>
      <c r="AM5168" t="s">
        <v>43</v>
      </c>
      <c r="AN5168" t="str">
        <f>HYPERLINK("https://www.google.com/maps?q=10.83226871,79.84021759","Open Location")</f>
        <v>Open Location</v>
      </c>
    </row>
    <row r="5169" spans="1:40" x14ac:dyDescent="0.3">
      <c r="A5169" s="1">
        <v>46210.401041666664</v>
      </c>
      <c r="B5169" t="s">
        <v>40</v>
      </c>
      <c r="C5169" t="s">
        <v>41</v>
      </c>
      <c r="D5169" s="1">
        <v>46210.404004629629</v>
      </c>
      <c r="E5169" t="s">
        <v>42</v>
      </c>
      <c r="F5169" t="s">
        <v>43</v>
      </c>
      <c r="G5169" t="s">
        <v>43</v>
      </c>
      <c r="H5169" t="s">
        <v>43</v>
      </c>
      <c r="I5169" t="s">
        <v>2706</v>
      </c>
      <c r="J5169" t="s">
        <v>43</v>
      </c>
      <c r="K5169" t="s">
        <v>43</v>
      </c>
      <c r="L5169" t="s">
        <v>43</v>
      </c>
      <c r="M5169" t="s">
        <v>43</v>
      </c>
      <c r="N5169" t="s">
        <v>45</v>
      </c>
      <c r="O5169" t="s">
        <v>43</v>
      </c>
      <c r="P5169" t="s">
        <v>43</v>
      </c>
      <c r="Q5169" t="s">
        <v>43</v>
      </c>
      <c r="R5169" t="s">
        <v>43</v>
      </c>
      <c r="S5169" t="s">
        <v>43</v>
      </c>
      <c r="T5169" t="s">
        <v>43</v>
      </c>
      <c r="U5169" t="s">
        <v>43</v>
      </c>
      <c r="V5169" t="s">
        <v>43</v>
      </c>
      <c r="W5169" t="s">
        <v>43</v>
      </c>
      <c r="X5169" t="s">
        <v>43</v>
      </c>
      <c r="Y5169" t="s">
        <v>43</v>
      </c>
      <c r="Z5169" t="s">
        <v>43</v>
      </c>
      <c r="AA5169" t="s">
        <v>43</v>
      </c>
      <c r="AB5169" t="s">
        <v>43</v>
      </c>
      <c r="AC5169" t="s">
        <v>43</v>
      </c>
      <c r="AD5169" t="s">
        <v>43</v>
      </c>
      <c r="AE5169" t="s">
        <v>43</v>
      </c>
      <c r="AF5169" t="s">
        <v>43</v>
      </c>
      <c r="AG5169" t="s">
        <v>43</v>
      </c>
      <c r="AH5169" t="s">
        <v>43</v>
      </c>
      <c r="AI5169" t="s">
        <v>43</v>
      </c>
      <c r="AJ5169" t="s">
        <v>43</v>
      </c>
      <c r="AK5169" t="s">
        <v>43</v>
      </c>
      <c r="AL5169" t="s">
        <v>43</v>
      </c>
      <c r="AM5169" t="s">
        <v>43</v>
      </c>
      <c r="AN5169" t="str">
        <f>HYPERLINK("https://www.google.com/maps?q=10.83226681,79.84021759","Open Location")</f>
        <v>Open Location</v>
      </c>
    </row>
    <row r="5170" spans="1:40" x14ac:dyDescent="0.3">
      <c r="A5170" s="1">
        <v>46210.400925925926</v>
      </c>
      <c r="B5170" t="s">
        <v>40</v>
      </c>
      <c r="C5170" t="s">
        <v>41</v>
      </c>
      <c r="D5170" s="1">
        <v>46210.404085648152</v>
      </c>
      <c r="E5170" t="s">
        <v>42</v>
      </c>
      <c r="F5170" t="s">
        <v>43</v>
      </c>
      <c r="G5170" t="s">
        <v>43</v>
      </c>
      <c r="H5170" t="s">
        <v>43</v>
      </c>
      <c r="I5170" t="s">
        <v>2951</v>
      </c>
      <c r="J5170" t="s">
        <v>43</v>
      </c>
      <c r="K5170" t="s">
        <v>43</v>
      </c>
      <c r="L5170" t="s">
        <v>43</v>
      </c>
      <c r="M5170" t="s">
        <v>43</v>
      </c>
      <c r="N5170" t="s">
        <v>45</v>
      </c>
      <c r="O5170" t="s">
        <v>43</v>
      </c>
      <c r="P5170" t="s">
        <v>43</v>
      </c>
      <c r="Q5170" t="s">
        <v>43</v>
      </c>
      <c r="R5170" t="s">
        <v>43</v>
      </c>
      <c r="S5170" t="s">
        <v>43</v>
      </c>
      <c r="T5170" t="s">
        <v>43</v>
      </c>
      <c r="U5170" t="s">
        <v>43</v>
      </c>
      <c r="V5170" t="s">
        <v>43</v>
      </c>
      <c r="W5170" t="s">
        <v>43</v>
      </c>
      <c r="X5170" t="s">
        <v>43</v>
      </c>
      <c r="Y5170" t="s">
        <v>43</v>
      </c>
      <c r="Z5170" t="s">
        <v>43</v>
      </c>
      <c r="AA5170" t="s">
        <v>43</v>
      </c>
      <c r="AB5170" t="s">
        <v>43</v>
      </c>
      <c r="AC5170" t="s">
        <v>43</v>
      </c>
      <c r="AD5170" t="s">
        <v>43</v>
      </c>
      <c r="AE5170" t="s">
        <v>43</v>
      </c>
      <c r="AF5170" t="s">
        <v>43</v>
      </c>
      <c r="AG5170" t="s">
        <v>43</v>
      </c>
      <c r="AH5170" t="s">
        <v>43</v>
      </c>
      <c r="AI5170" t="s">
        <v>43</v>
      </c>
      <c r="AJ5170" t="s">
        <v>43</v>
      </c>
      <c r="AK5170" t="s">
        <v>43</v>
      </c>
      <c r="AL5170" t="s">
        <v>43</v>
      </c>
      <c r="AM5170" t="s">
        <v>43</v>
      </c>
      <c r="AN5170" t="str">
        <f>HYPERLINK("https://www.google.com/maps?q=10.83226585,79.84021759","Open Location")</f>
        <v>Open Location</v>
      </c>
    </row>
    <row r="5171" spans="1:40" x14ac:dyDescent="0.3">
      <c r="A5171" s="1">
        <v>46210.400810185187</v>
      </c>
      <c r="B5171" t="s">
        <v>40</v>
      </c>
      <c r="C5171" t="s">
        <v>41</v>
      </c>
      <c r="D5171" s="1">
        <v>46210.403692129628</v>
      </c>
      <c r="E5171" t="s">
        <v>42</v>
      </c>
      <c r="F5171" t="s">
        <v>43</v>
      </c>
      <c r="G5171" t="s">
        <v>43</v>
      </c>
      <c r="H5171" t="s">
        <v>43</v>
      </c>
      <c r="I5171" t="s">
        <v>2937</v>
      </c>
      <c r="J5171" t="s">
        <v>43</v>
      </c>
      <c r="K5171" t="s">
        <v>43</v>
      </c>
      <c r="L5171" t="s">
        <v>43</v>
      </c>
      <c r="M5171" t="s">
        <v>43</v>
      </c>
      <c r="N5171" t="s">
        <v>45</v>
      </c>
      <c r="O5171" t="s">
        <v>43</v>
      </c>
      <c r="P5171" t="s">
        <v>43</v>
      </c>
      <c r="Q5171" t="s">
        <v>43</v>
      </c>
      <c r="R5171" t="s">
        <v>43</v>
      </c>
      <c r="S5171" t="s">
        <v>43</v>
      </c>
      <c r="T5171" t="s">
        <v>43</v>
      </c>
      <c r="U5171" t="s">
        <v>43</v>
      </c>
      <c r="V5171" t="s">
        <v>43</v>
      </c>
      <c r="W5171" t="s">
        <v>43</v>
      </c>
      <c r="X5171" t="s">
        <v>43</v>
      </c>
      <c r="Y5171" t="s">
        <v>43</v>
      </c>
      <c r="Z5171" t="s">
        <v>43</v>
      </c>
      <c r="AA5171" t="s">
        <v>43</v>
      </c>
      <c r="AB5171" t="s">
        <v>43</v>
      </c>
      <c r="AC5171" t="s">
        <v>43</v>
      </c>
      <c r="AD5171" t="s">
        <v>43</v>
      </c>
      <c r="AE5171" t="s">
        <v>43</v>
      </c>
      <c r="AF5171" t="s">
        <v>43</v>
      </c>
      <c r="AG5171" t="s">
        <v>43</v>
      </c>
      <c r="AH5171" t="s">
        <v>43</v>
      </c>
      <c r="AI5171" t="s">
        <v>43</v>
      </c>
      <c r="AJ5171" t="s">
        <v>43</v>
      </c>
      <c r="AK5171" t="s">
        <v>43</v>
      </c>
      <c r="AL5171" t="s">
        <v>43</v>
      </c>
      <c r="AM5171" t="s">
        <v>43</v>
      </c>
      <c r="AN5171" t="str">
        <f>HYPERLINK("https://www.google.com/maps?q=10.83226299,79.84022522","Open Location")</f>
        <v>Open Location</v>
      </c>
    </row>
    <row r="5172" spans="1:40" x14ac:dyDescent="0.3">
      <c r="A5172" s="1">
        <v>46210.400694444441</v>
      </c>
      <c r="B5172" t="s">
        <v>40</v>
      </c>
      <c r="C5172" t="s">
        <v>41</v>
      </c>
      <c r="D5172" s="1">
        <v>46210.403414351851</v>
      </c>
      <c r="E5172" t="s">
        <v>42</v>
      </c>
      <c r="F5172" t="s">
        <v>43</v>
      </c>
      <c r="G5172" t="s">
        <v>43</v>
      </c>
      <c r="H5172" t="s">
        <v>43</v>
      </c>
      <c r="I5172" t="s">
        <v>43</v>
      </c>
      <c r="J5172" t="s">
        <v>43</v>
      </c>
      <c r="K5172" t="s">
        <v>43</v>
      </c>
      <c r="L5172" t="s">
        <v>43</v>
      </c>
      <c r="M5172" t="s">
        <v>43</v>
      </c>
      <c r="N5172" t="s">
        <v>45</v>
      </c>
      <c r="O5172" t="s">
        <v>43</v>
      </c>
      <c r="P5172" t="s">
        <v>43</v>
      </c>
      <c r="Q5172" t="s">
        <v>43</v>
      </c>
      <c r="R5172" t="s">
        <v>43</v>
      </c>
      <c r="S5172" t="s">
        <v>43</v>
      </c>
      <c r="T5172" t="s">
        <v>43</v>
      </c>
      <c r="U5172" t="s">
        <v>43</v>
      </c>
      <c r="V5172" t="s">
        <v>43</v>
      </c>
      <c r="W5172" t="s">
        <v>43</v>
      </c>
      <c r="X5172" t="s">
        <v>43</v>
      </c>
      <c r="Y5172" t="s">
        <v>43</v>
      </c>
      <c r="Z5172" t="s">
        <v>43</v>
      </c>
      <c r="AA5172" t="s">
        <v>43</v>
      </c>
      <c r="AB5172" t="s">
        <v>43</v>
      </c>
      <c r="AC5172" t="s">
        <v>43</v>
      </c>
      <c r="AD5172" t="s">
        <v>43</v>
      </c>
      <c r="AE5172" t="s">
        <v>43</v>
      </c>
      <c r="AF5172" t="s">
        <v>43</v>
      </c>
      <c r="AG5172" t="s">
        <v>43</v>
      </c>
      <c r="AH5172" t="s">
        <v>43</v>
      </c>
      <c r="AI5172" t="s">
        <v>43</v>
      </c>
      <c r="AJ5172" t="s">
        <v>43</v>
      </c>
      <c r="AK5172" t="s">
        <v>43</v>
      </c>
      <c r="AL5172" t="s">
        <v>43</v>
      </c>
      <c r="AM5172" t="s">
        <v>43</v>
      </c>
      <c r="AN5172" t="s">
        <v>43</v>
      </c>
    </row>
    <row r="5173" spans="1:40" x14ac:dyDescent="0.3">
      <c r="A5173" s="1">
        <v>46210.400578703702</v>
      </c>
      <c r="B5173" t="s">
        <v>40</v>
      </c>
      <c r="C5173" t="s">
        <v>41</v>
      </c>
      <c r="D5173" s="1">
        <v>46210.403414351851</v>
      </c>
      <c r="E5173" t="s">
        <v>42</v>
      </c>
      <c r="F5173" t="s">
        <v>43</v>
      </c>
      <c r="G5173" t="s">
        <v>43</v>
      </c>
      <c r="H5173" t="s">
        <v>43</v>
      </c>
      <c r="I5173" t="s">
        <v>2952</v>
      </c>
      <c r="J5173" t="s">
        <v>43</v>
      </c>
      <c r="K5173" t="s">
        <v>43</v>
      </c>
      <c r="L5173" t="s">
        <v>43</v>
      </c>
      <c r="M5173" t="s">
        <v>43</v>
      </c>
      <c r="N5173" t="s">
        <v>45</v>
      </c>
      <c r="O5173" t="s">
        <v>43</v>
      </c>
      <c r="P5173" t="s">
        <v>43</v>
      </c>
      <c r="Q5173" t="s">
        <v>43</v>
      </c>
      <c r="R5173" t="s">
        <v>43</v>
      </c>
      <c r="S5173" t="s">
        <v>43</v>
      </c>
      <c r="T5173" t="s">
        <v>43</v>
      </c>
      <c r="U5173" t="s">
        <v>43</v>
      </c>
      <c r="V5173" t="s">
        <v>43</v>
      </c>
      <c r="W5173" t="s">
        <v>43</v>
      </c>
      <c r="X5173" t="s">
        <v>43</v>
      </c>
      <c r="Y5173" t="s">
        <v>43</v>
      </c>
      <c r="Z5173" t="s">
        <v>43</v>
      </c>
      <c r="AA5173" t="s">
        <v>43</v>
      </c>
      <c r="AB5173" t="s">
        <v>43</v>
      </c>
      <c r="AC5173" t="s">
        <v>43</v>
      </c>
      <c r="AD5173" t="s">
        <v>43</v>
      </c>
      <c r="AE5173" t="s">
        <v>43</v>
      </c>
      <c r="AF5173" t="s">
        <v>43</v>
      </c>
      <c r="AG5173" t="s">
        <v>43</v>
      </c>
      <c r="AH5173" t="s">
        <v>43</v>
      </c>
      <c r="AI5173" t="s">
        <v>43</v>
      </c>
      <c r="AJ5173" t="s">
        <v>43</v>
      </c>
      <c r="AK5173" t="s">
        <v>43</v>
      </c>
      <c r="AL5173" t="s">
        <v>43</v>
      </c>
      <c r="AM5173" t="s">
        <v>43</v>
      </c>
      <c r="AN5173" t="str">
        <f>HYPERLINK("https://www.google.com/maps?q=10.83226299,79.84021759","Open Location")</f>
        <v>Open Location</v>
      </c>
    </row>
    <row r="5174" spans="1:40" x14ac:dyDescent="0.3">
      <c r="A5174" s="1">
        <v>46210.400462962964</v>
      </c>
      <c r="B5174" t="s">
        <v>40</v>
      </c>
      <c r="C5174" t="s">
        <v>41</v>
      </c>
      <c r="D5174" s="1">
        <v>46210.403287037036</v>
      </c>
      <c r="E5174" t="s">
        <v>42</v>
      </c>
      <c r="F5174" t="s">
        <v>43</v>
      </c>
      <c r="G5174" t="s">
        <v>43</v>
      </c>
      <c r="H5174" t="s">
        <v>43</v>
      </c>
      <c r="I5174" t="s">
        <v>2790</v>
      </c>
      <c r="J5174" t="s">
        <v>43</v>
      </c>
      <c r="K5174" t="s">
        <v>43</v>
      </c>
      <c r="L5174" t="s">
        <v>43</v>
      </c>
      <c r="M5174" t="s">
        <v>43</v>
      </c>
      <c r="N5174" t="s">
        <v>45</v>
      </c>
      <c r="O5174" t="s">
        <v>43</v>
      </c>
      <c r="P5174" t="s">
        <v>43</v>
      </c>
      <c r="Q5174" t="s">
        <v>43</v>
      </c>
      <c r="R5174" t="s">
        <v>43</v>
      </c>
      <c r="S5174" t="s">
        <v>43</v>
      </c>
      <c r="T5174" t="s">
        <v>43</v>
      </c>
      <c r="U5174" t="s">
        <v>43</v>
      </c>
      <c r="V5174" t="s">
        <v>43</v>
      </c>
      <c r="W5174" t="s">
        <v>43</v>
      </c>
      <c r="X5174" t="s">
        <v>43</v>
      </c>
      <c r="Y5174" t="s">
        <v>43</v>
      </c>
      <c r="Z5174" t="s">
        <v>43</v>
      </c>
      <c r="AA5174" t="s">
        <v>43</v>
      </c>
      <c r="AB5174" t="s">
        <v>43</v>
      </c>
      <c r="AC5174" t="s">
        <v>43</v>
      </c>
      <c r="AD5174" t="s">
        <v>43</v>
      </c>
      <c r="AE5174" t="s">
        <v>43</v>
      </c>
      <c r="AF5174" t="s">
        <v>43</v>
      </c>
      <c r="AG5174" t="s">
        <v>43</v>
      </c>
      <c r="AH5174" t="s">
        <v>43</v>
      </c>
      <c r="AI5174" t="s">
        <v>43</v>
      </c>
      <c r="AJ5174" t="s">
        <v>43</v>
      </c>
      <c r="AK5174" t="s">
        <v>43</v>
      </c>
      <c r="AL5174" t="s">
        <v>43</v>
      </c>
      <c r="AM5174" t="s">
        <v>43</v>
      </c>
      <c r="AN5174" t="str">
        <f>HYPERLINK("https://www.google.com/maps?q=10.8322649,79.84022522","Open Location")</f>
        <v>Open Location</v>
      </c>
    </row>
    <row r="5175" spans="1:40" x14ac:dyDescent="0.3">
      <c r="A5175" s="1">
        <v>46210.400347222225</v>
      </c>
      <c r="B5175" t="s">
        <v>40</v>
      </c>
      <c r="C5175" t="s">
        <v>41</v>
      </c>
      <c r="D5175" s="1">
        <v>46210.403229166666</v>
      </c>
      <c r="E5175" t="s">
        <v>42</v>
      </c>
      <c r="F5175" t="s">
        <v>43</v>
      </c>
      <c r="G5175" t="s">
        <v>43</v>
      </c>
      <c r="H5175" t="s">
        <v>43</v>
      </c>
      <c r="I5175" t="s">
        <v>2937</v>
      </c>
      <c r="J5175" t="s">
        <v>43</v>
      </c>
      <c r="K5175" t="s">
        <v>43</v>
      </c>
      <c r="L5175" t="s">
        <v>43</v>
      </c>
      <c r="M5175" t="s">
        <v>43</v>
      </c>
      <c r="N5175" t="s">
        <v>45</v>
      </c>
      <c r="O5175" t="s">
        <v>43</v>
      </c>
      <c r="P5175" t="s">
        <v>43</v>
      </c>
      <c r="Q5175" t="s">
        <v>43</v>
      </c>
      <c r="R5175" t="s">
        <v>43</v>
      </c>
      <c r="S5175" t="s">
        <v>43</v>
      </c>
      <c r="T5175" t="s">
        <v>43</v>
      </c>
      <c r="U5175" t="s">
        <v>43</v>
      </c>
      <c r="V5175" t="s">
        <v>43</v>
      </c>
      <c r="W5175" t="s">
        <v>43</v>
      </c>
      <c r="X5175" t="s">
        <v>43</v>
      </c>
      <c r="Y5175" t="s">
        <v>43</v>
      </c>
      <c r="Z5175" t="s">
        <v>43</v>
      </c>
      <c r="AA5175" t="s">
        <v>43</v>
      </c>
      <c r="AB5175" t="s">
        <v>43</v>
      </c>
      <c r="AC5175" t="s">
        <v>43</v>
      </c>
      <c r="AD5175" t="s">
        <v>43</v>
      </c>
      <c r="AE5175" t="s">
        <v>43</v>
      </c>
      <c r="AF5175" t="s">
        <v>43</v>
      </c>
      <c r="AG5175" t="s">
        <v>43</v>
      </c>
      <c r="AH5175" t="s">
        <v>43</v>
      </c>
      <c r="AI5175" t="s">
        <v>43</v>
      </c>
      <c r="AJ5175" t="s">
        <v>43</v>
      </c>
      <c r="AK5175" t="s">
        <v>43</v>
      </c>
      <c r="AL5175" t="s">
        <v>43</v>
      </c>
      <c r="AM5175" t="s">
        <v>43</v>
      </c>
      <c r="AN5175" t="str">
        <f>HYPERLINK("https://www.google.com/maps?q=10.83226299,79.84022522","Open Location")</f>
        <v>Open Location</v>
      </c>
    </row>
    <row r="5176" spans="1:40" x14ac:dyDescent="0.3">
      <c r="A5176" s="1">
        <v>46210.400231481479</v>
      </c>
      <c r="B5176" t="s">
        <v>40</v>
      </c>
      <c r="C5176" t="s">
        <v>41</v>
      </c>
      <c r="D5176" s="1">
        <v>46210.403229166666</v>
      </c>
      <c r="E5176" t="s">
        <v>42</v>
      </c>
      <c r="F5176" t="s">
        <v>43</v>
      </c>
      <c r="G5176" t="s">
        <v>43</v>
      </c>
      <c r="H5176" t="s">
        <v>43</v>
      </c>
      <c r="I5176" t="s">
        <v>2952</v>
      </c>
      <c r="J5176" t="s">
        <v>43</v>
      </c>
      <c r="K5176" t="s">
        <v>43</v>
      </c>
      <c r="L5176" t="s">
        <v>43</v>
      </c>
      <c r="M5176" t="s">
        <v>43</v>
      </c>
      <c r="N5176" t="s">
        <v>45</v>
      </c>
      <c r="O5176" t="s">
        <v>43</v>
      </c>
      <c r="P5176" t="s">
        <v>43</v>
      </c>
      <c r="Q5176" t="s">
        <v>43</v>
      </c>
      <c r="R5176" t="s">
        <v>43</v>
      </c>
      <c r="S5176" t="s">
        <v>43</v>
      </c>
      <c r="T5176" t="s">
        <v>43</v>
      </c>
      <c r="U5176" t="s">
        <v>43</v>
      </c>
      <c r="V5176" t="s">
        <v>43</v>
      </c>
      <c r="W5176" t="s">
        <v>43</v>
      </c>
      <c r="X5176" t="s">
        <v>43</v>
      </c>
      <c r="Y5176" t="s">
        <v>43</v>
      </c>
      <c r="Z5176" t="s">
        <v>43</v>
      </c>
      <c r="AA5176" t="s">
        <v>43</v>
      </c>
      <c r="AB5176" t="s">
        <v>43</v>
      </c>
      <c r="AC5176" t="s">
        <v>43</v>
      </c>
      <c r="AD5176" t="s">
        <v>43</v>
      </c>
      <c r="AE5176" t="s">
        <v>43</v>
      </c>
      <c r="AF5176" t="s">
        <v>43</v>
      </c>
      <c r="AG5176" t="s">
        <v>43</v>
      </c>
      <c r="AH5176" t="s">
        <v>43</v>
      </c>
      <c r="AI5176" t="s">
        <v>43</v>
      </c>
      <c r="AJ5176" t="s">
        <v>43</v>
      </c>
      <c r="AK5176" t="s">
        <v>43</v>
      </c>
      <c r="AL5176" t="s">
        <v>43</v>
      </c>
      <c r="AM5176" t="s">
        <v>43</v>
      </c>
      <c r="AN5176" t="str">
        <f>HYPERLINK("https://www.google.com/maps?q=10.83226299,79.84021759","Open Location")</f>
        <v>Open Location</v>
      </c>
    </row>
    <row r="5177" spans="1:40" x14ac:dyDescent="0.3">
      <c r="A5177" s="1">
        <v>46210.40011574074</v>
      </c>
      <c r="B5177" t="s">
        <v>40</v>
      </c>
      <c r="C5177" t="s">
        <v>41</v>
      </c>
      <c r="D5177" s="1">
        <v>46210.403252314813</v>
      </c>
      <c r="E5177" t="s">
        <v>42</v>
      </c>
      <c r="F5177" t="s">
        <v>43</v>
      </c>
      <c r="G5177" t="s">
        <v>43</v>
      </c>
      <c r="H5177" t="s">
        <v>43</v>
      </c>
      <c r="I5177" t="s">
        <v>2897</v>
      </c>
      <c r="J5177" t="s">
        <v>43</v>
      </c>
      <c r="K5177" t="s">
        <v>43</v>
      </c>
      <c r="L5177" t="s">
        <v>43</v>
      </c>
      <c r="M5177" t="s">
        <v>43</v>
      </c>
      <c r="N5177" t="s">
        <v>45</v>
      </c>
      <c r="O5177" t="s">
        <v>43</v>
      </c>
      <c r="P5177" t="s">
        <v>43</v>
      </c>
      <c r="Q5177" t="s">
        <v>43</v>
      </c>
      <c r="R5177" t="s">
        <v>43</v>
      </c>
      <c r="S5177" t="s">
        <v>43</v>
      </c>
      <c r="T5177" t="s">
        <v>43</v>
      </c>
      <c r="U5177" t="s">
        <v>43</v>
      </c>
      <c r="V5177" t="s">
        <v>43</v>
      </c>
      <c r="W5177" t="s">
        <v>43</v>
      </c>
      <c r="X5177" t="s">
        <v>43</v>
      </c>
      <c r="Y5177" t="s">
        <v>43</v>
      </c>
      <c r="Z5177" t="s">
        <v>43</v>
      </c>
      <c r="AA5177" t="s">
        <v>43</v>
      </c>
      <c r="AB5177" t="s">
        <v>43</v>
      </c>
      <c r="AC5177" t="s">
        <v>43</v>
      </c>
      <c r="AD5177" t="s">
        <v>43</v>
      </c>
      <c r="AE5177" t="s">
        <v>43</v>
      </c>
      <c r="AF5177" t="s">
        <v>43</v>
      </c>
      <c r="AG5177" t="s">
        <v>43</v>
      </c>
      <c r="AH5177" t="s">
        <v>43</v>
      </c>
      <c r="AI5177" t="s">
        <v>43</v>
      </c>
      <c r="AJ5177" t="s">
        <v>43</v>
      </c>
      <c r="AK5177" t="s">
        <v>43</v>
      </c>
      <c r="AL5177" t="s">
        <v>43</v>
      </c>
      <c r="AM5177" t="s">
        <v>43</v>
      </c>
      <c r="AN5177" t="str">
        <f>HYPERLINK("https://www.google.com/maps?q=10.83226204,79.84021759","Open Location")</f>
        <v>Open Location</v>
      </c>
    </row>
    <row r="5178" spans="1:40" x14ac:dyDescent="0.3">
      <c r="A5178" s="1">
        <v>46210.400000000001</v>
      </c>
      <c r="B5178" t="s">
        <v>40</v>
      </c>
      <c r="C5178" t="s">
        <v>41</v>
      </c>
      <c r="D5178" s="1">
        <v>46210.402777777781</v>
      </c>
      <c r="E5178" t="s">
        <v>42</v>
      </c>
      <c r="F5178" t="s">
        <v>43</v>
      </c>
      <c r="G5178" t="s">
        <v>43</v>
      </c>
      <c r="H5178" t="s">
        <v>43</v>
      </c>
      <c r="I5178" t="s">
        <v>43</v>
      </c>
      <c r="J5178" t="s">
        <v>43</v>
      </c>
      <c r="K5178" t="s">
        <v>43</v>
      </c>
      <c r="L5178" t="s">
        <v>43</v>
      </c>
      <c r="M5178" t="s">
        <v>43</v>
      </c>
      <c r="N5178" t="s">
        <v>45</v>
      </c>
      <c r="O5178" t="s">
        <v>43</v>
      </c>
      <c r="P5178" t="s">
        <v>43</v>
      </c>
      <c r="Q5178" t="s">
        <v>43</v>
      </c>
      <c r="R5178" t="s">
        <v>43</v>
      </c>
      <c r="S5178" t="s">
        <v>43</v>
      </c>
      <c r="T5178" t="s">
        <v>43</v>
      </c>
      <c r="U5178" t="s">
        <v>43</v>
      </c>
      <c r="V5178" t="s">
        <v>43</v>
      </c>
      <c r="W5178" t="s">
        <v>43</v>
      </c>
      <c r="X5178" t="s">
        <v>43</v>
      </c>
      <c r="Y5178" t="s">
        <v>43</v>
      </c>
      <c r="Z5178" t="s">
        <v>43</v>
      </c>
      <c r="AA5178" t="s">
        <v>43</v>
      </c>
      <c r="AB5178" t="s">
        <v>43</v>
      </c>
      <c r="AC5178" t="s">
        <v>43</v>
      </c>
      <c r="AD5178" t="s">
        <v>43</v>
      </c>
      <c r="AE5178" t="s">
        <v>43</v>
      </c>
      <c r="AF5178" t="s">
        <v>43</v>
      </c>
      <c r="AG5178" t="s">
        <v>43</v>
      </c>
      <c r="AH5178" t="s">
        <v>43</v>
      </c>
      <c r="AI5178" t="s">
        <v>43</v>
      </c>
      <c r="AJ5178" t="s">
        <v>43</v>
      </c>
      <c r="AK5178" t="s">
        <v>43</v>
      </c>
      <c r="AL5178" t="s">
        <v>43</v>
      </c>
      <c r="AM5178" t="s">
        <v>43</v>
      </c>
      <c r="AN5178" t="s">
        <v>43</v>
      </c>
    </row>
    <row r="5179" spans="1:40" x14ac:dyDescent="0.3">
      <c r="A5179" s="1">
        <v>46210.399884259263</v>
      </c>
      <c r="B5179" t="s">
        <v>40</v>
      </c>
      <c r="C5179" t="s">
        <v>41</v>
      </c>
      <c r="D5179" s="1">
        <v>46210.402754629627</v>
      </c>
      <c r="E5179" t="s">
        <v>42</v>
      </c>
      <c r="F5179" t="s">
        <v>43</v>
      </c>
      <c r="G5179" t="s">
        <v>43</v>
      </c>
      <c r="H5179" t="s">
        <v>43</v>
      </c>
      <c r="I5179" t="s">
        <v>2840</v>
      </c>
      <c r="J5179" t="s">
        <v>43</v>
      </c>
      <c r="K5179" t="s">
        <v>43</v>
      </c>
      <c r="L5179" t="s">
        <v>43</v>
      </c>
      <c r="M5179" t="s">
        <v>43</v>
      </c>
      <c r="N5179" t="s">
        <v>45</v>
      </c>
      <c r="O5179" t="s">
        <v>43</v>
      </c>
      <c r="P5179" t="s">
        <v>43</v>
      </c>
      <c r="Q5179" t="s">
        <v>43</v>
      </c>
      <c r="R5179" t="s">
        <v>43</v>
      </c>
      <c r="S5179" t="s">
        <v>43</v>
      </c>
      <c r="T5179" t="s">
        <v>43</v>
      </c>
      <c r="U5179" t="s">
        <v>43</v>
      </c>
      <c r="V5179" t="s">
        <v>43</v>
      </c>
      <c r="W5179" t="s">
        <v>43</v>
      </c>
      <c r="X5179" t="s">
        <v>43</v>
      </c>
      <c r="Y5179" t="s">
        <v>43</v>
      </c>
      <c r="Z5179" t="s">
        <v>43</v>
      </c>
      <c r="AA5179" t="s">
        <v>43</v>
      </c>
      <c r="AB5179" t="s">
        <v>43</v>
      </c>
      <c r="AC5179" t="s">
        <v>43</v>
      </c>
      <c r="AD5179" t="s">
        <v>43</v>
      </c>
      <c r="AE5179" t="s">
        <v>43</v>
      </c>
      <c r="AF5179" t="s">
        <v>43</v>
      </c>
      <c r="AG5179" t="s">
        <v>43</v>
      </c>
      <c r="AH5179" t="s">
        <v>43</v>
      </c>
      <c r="AI5179" t="s">
        <v>43</v>
      </c>
      <c r="AJ5179" t="s">
        <v>43</v>
      </c>
      <c r="AK5179" t="s">
        <v>43</v>
      </c>
      <c r="AL5179" t="s">
        <v>43</v>
      </c>
      <c r="AM5179" t="s">
        <v>43</v>
      </c>
      <c r="AN5179" t="str">
        <f>HYPERLINK("https://www.google.com/maps?q=10.83225822,79.84021759","Open Location")</f>
        <v>Open Location</v>
      </c>
    </row>
    <row r="5180" spans="1:40" x14ac:dyDescent="0.3">
      <c r="A5180" s="1">
        <v>46210.399768518517</v>
      </c>
      <c r="B5180" t="s">
        <v>40</v>
      </c>
      <c r="C5180" t="s">
        <v>41</v>
      </c>
      <c r="D5180" s="1">
        <v>46210.402685185189</v>
      </c>
      <c r="E5180" t="s">
        <v>42</v>
      </c>
      <c r="F5180" t="s">
        <v>43</v>
      </c>
      <c r="G5180" t="s">
        <v>43</v>
      </c>
      <c r="H5180" t="s">
        <v>43</v>
      </c>
      <c r="I5180" t="s">
        <v>2771</v>
      </c>
      <c r="J5180" t="s">
        <v>43</v>
      </c>
      <c r="K5180" t="s">
        <v>43</v>
      </c>
      <c r="L5180" t="s">
        <v>43</v>
      </c>
      <c r="M5180" t="s">
        <v>43</v>
      </c>
      <c r="N5180" t="s">
        <v>45</v>
      </c>
      <c r="O5180" t="s">
        <v>43</v>
      </c>
      <c r="P5180" t="s">
        <v>43</v>
      </c>
      <c r="Q5180" t="s">
        <v>43</v>
      </c>
      <c r="R5180" t="s">
        <v>43</v>
      </c>
      <c r="S5180" t="s">
        <v>43</v>
      </c>
      <c r="T5180" t="s">
        <v>43</v>
      </c>
      <c r="U5180" t="s">
        <v>43</v>
      </c>
      <c r="V5180" t="s">
        <v>43</v>
      </c>
      <c r="W5180" t="s">
        <v>43</v>
      </c>
      <c r="X5180" t="s">
        <v>43</v>
      </c>
      <c r="Y5180" t="s">
        <v>43</v>
      </c>
      <c r="Z5180" t="s">
        <v>43</v>
      </c>
      <c r="AA5180" t="s">
        <v>43</v>
      </c>
      <c r="AB5180" t="s">
        <v>43</v>
      </c>
      <c r="AC5180" t="s">
        <v>43</v>
      </c>
      <c r="AD5180" t="s">
        <v>43</v>
      </c>
      <c r="AE5180" t="s">
        <v>43</v>
      </c>
      <c r="AF5180" t="s">
        <v>43</v>
      </c>
      <c r="AG5180" t="s">
        <v>43</v>
      </c>
      <c r="AH5180" t="s">
        <v>43</v>
      </c>
      <c r="AI5180" t="s">
        <v>43</v>
      </c>
      <c r="AJ5180" t="s">
        <v>43</v>
      </c>
      <c r="AK5180" t="s">
        <v>43</v>
      </c>
      <c r="AL5180" t="s">
        <v>43</v>
      </c>
      <c r="AM5180" t="s">
        <v>43</v>
      </c>
      <c r="AN5180" t="str">
        <f>HYPERLINK("https://www.google.com/maps?q=10.83225536,79.84020996","Open Location")</f>
        <v>Open Location</v>
      </c>
    </row>
    <row r="5181" spans="1:40" x14ac:dyDescent="0.3">
      <c r="A5181" s="1">
        <v>46210.399652777778</v>
      </c>
      <c r="B5181" t="s">
        <v>40</v>
      </c>
      <c r="C5181" t="s">
        <v>41</v>
      </c>
      <c r="D5181" s="1">
        <v>46210.402812499997</v>
      </c>
      <c r="E5181" t="s">
        <v>42</v>
      </c>
      <c r="F5181" t="s">
        <v>43</v>
      </c>
      <c r="G5181" t="s">
        <v>43</v>
      </c>
      <c r="H5181" t="s">
        <v>43</v>
      </c>
      <c r="I5181" t="s">
        <v>2771</v>
      </c>
      <c r="J5181" t="s">
        <v>43</v>
      </c>
      <c r="K5181" t="s">
        <v>43</v>
      </c>
      <c r="L5181" t="s">
        <v>43</v>
      </c>
      <c r="M5181" t="s">
        <v>43</v>
      </c>
      <c r="N5181" t="s">
        <v>45</v>
      </c>
      <c r="O5181" t="s">
        <v>43</v>
      </c>
      <c r="P5181" t="s">
        <v>43</v>
      </c>
      <c r="Q5181" t="s">
        <v>43</v>
      </c>
      <c r="R5181" t="s">
        <v>43</v>
      </c>
      <c r="S5181" t="s">
        <v>43</v>
      </c>
      <c r="T5181" t="s">
        <v>43</v>
      </c>
      <c r="U5181" t="s">
        <v>43</v>
      </c>
      <c r="V5181" t="s">
        <v>43</v>
      </c>
      <c r="W5181" t="s">
        <v>43</v>
      </c>
      <c r="X5181" t="s">
        <v>43</v>
      </c>
      <c r="Y5181" t="s">
        <v>43</v>
      </c>
      <c r="Z5181" t="s">
        <v>43</v>
      </c>
      <c r="AA5181" t="s">
        <v>43</v>
      </c>
      <c r="AB5181" t="s">
        <v>43</v>
      </c>
      <c r="AC5181" t="s">
        <v>43</v>
      </c>
      <c r="AD5181" t="s">
        <v>43</v>
      </c>
      <c r="AE5181" t="s">
        <v>43</v>
      </c>
      <c r="AF5181" t="s">
        <v>43</v>
      </c>
      <c r="AG5181" t="s">
        <v>43</v>
      </c>
      <c r="AH5181" t="s">
        <v>43</v>
      </c>
      <c r="AI5181" t="s">
        <v>43</v>
      </c>
      <c r="AJ5181" t="s">
        <v>43</v>
      </c>
      <c r="AK5181" t="s">
        <v>43</v>
      </c>
      <c r="AL5181" t="s">
        <v>43</v>
      </c>
      <c r="AM5181" t="s">
        <v>43</v>
      </c>
      <c r="AN5181" t="str">
        <f>HYPERLINK("https://www.google.com/maps?q=10.83225536,79.84020996","Open Location")</f>
        <v>Open Location</v>
      </c>
    </row>
    <row r="5182" spans="1:40" x14ac:dyDescent="0.3">
      <c r="A5182" s="1">
        <v>46210.399537037039</v>
      </c>
      <c r="B5182" t="s">
        <v>40</v>
      </c>
      <c r="C5182" t="s">
        <v>41</v>
      </c>
      <c r="D5182" s="1">
        <v>46210.402349537035</v>
      </c>
      <c r="E5182" t="s">
        <v>42</v>
      </c>
      <c r="F5182" t="s">
        <v>43</v>
      </c>
      <c r="G5182" t="s">
        <v>43</v>
      </c>
      <c r="H5182" t="s">
        <v>43</v>
      </c>
      <c r="I5182" t="s">
        <v>2698</v>
      </c>
      <c r="J5182" t="s">
        <v>43</v>
      </c>
      <c r="K5182" t="s">
        <v>43</v>
      </c>
      <c r="L5182" t="s">
        <v>43</v>
      </c>
      <c r="M5182" t="s">
        <v>43</v>
      </c>
      <c r="N5182" t="s">
        <v>45</v>
      </c>
      <c r="O5182" t="s">
        <v>43</v>
      </c>
      <c r="P5182" t="s">
        <v>43</v>
      </c>
      <c r="Q5182" t="s">
        <v>43</v>
      </c>
      <c r="R5182" t="s">
        <v>43</v>
      </c>
      <c r="S5182" t="s">
        <v>43</v>
      </c>
      <c r="T5182" t="s">
        <v>43</v>
      </c>
      <c r="U5182" t="s">
        <v>43</v>
      </c>
      <c r="V5182" t="s">
        <v>43</v>
      </c>
      <c r="W5182" t="s">
        <v>43</v>
      </c>
      <c r="X5182" t="s">
        <v>43</v>
      </c>
      <c r="Y5182" t="s">
        <v>43</v>
      </c>
      <c r="Z5182" t="s">
        <v>43</v>
      </c>
      <c r="AA5182" t="s">
        <v>43</v>
      </c>
      <c r="AB5182" t="s">
        <v>43</v>
      </c>
      <c r="AC5182" t="s">
        <v>43</v>
      </c>
      <c r="AD5182" t="s">
        <v>43</v>
      </c>
      <c r="AE5182" t="s">
        <v>43</v>
      </c>
      <c r="AF5182" t="s">
        <v>43</v>
      </c>
      <c r="AG5182" t="s">
        <v>43</v>
      </c>
      <c r="AH5182" t="s">
        <v>43</v>
      </c>
      <c r="AI5182" t="s">
        <v>43</v>
      </c>
      <c r="AJ5182" t="s">
        <v>43</v>
      </c>
      <c r="AK5182" t="s">
        <v>43</v>
      </c>
      <c r="AL5182" t="s">
        <v>43</v>
      </c>
      <c r="AM5182" t="s">
        <v>43</v>
      </c>
      <c r="AN5182" t="str">
        <f>HYPERLINK("https://www.google.com/maps?q=10.83225632,79.84020996","Open Location")</f>
        <v>Open Location</v>
      </c>
    </row>
    <row r="5183" spans="1:40" x14ac:dyDescent="0.3">
      <c r="A5183" s="1">
        <v>46210.399421296293</v>
      </c>
      <c r="B5183" t="s">
        <v>40</v>
      </c>
      <c r="C5183" t="s">
        <v>41</v>
      </c>
      <c r="D5183" s="1">
        <v>46210.402245370373</v>
      </c>
      <c r="E5183" t="s">
        <v>42</v>
      </c>
      <c r="F5183" t="s">
        <v>43</v>
      </c>
      <c r="G5183" t="s">
        <v>43</v>
      </c>
      <c r="H5183" t="s">
        <v>43</v>
      </c>
      <c r="I5183" t="s">
        <v>2830</v>
      </c>
      <c r="J5183" t="s">
        <v>43</v>
      </c>
      <c r="K5183" t="s">
        <v>43</v>
      </c>
      <c r="L5183" t="s">
        <v>43</v>
      </c>
      <c r="M5183" t="s">
        <v>43</v>
      </c>
      <c r="N5183" t="s">
        <v>45</v>
      </c>
      <c r="O5183" t="s">
        <v>43</v>
      </c>
      <c r="P5183" t="s">
        <v>43</v>
      </c>
      <c r="Q5183" t="s">
        <v>43</v>
      </c>
      <c r="R5183" t="s">
        <v>43</v>
      </c>
      <c r="S5183" t="s">
        <v>43</v>
      </c>
      <c r="T5183" t="s">
        <v>43</v>
      </c>
      <c r="U5183" t="s">
        <v>43</v>
      </c>
      <c r="V5183" t="s">
        <v>43</v>
      </c>
      <c r="W5183" t="s">
        <v>43</v>
      </c>
      <c r="X5183" t="s">
        <v>43</v>
      </c>
      <c r="Y5183" t="s">
        <v>43</v>
      </c>
      <c r="Z5183" t="s">
        <v>43</v>
      </c>
      <c r="AA5183" t="s">
        <v>43</v>
      </c>
      <c r="AB5183" t="s">
        <v>43</v>
      </c>
      <c r="AC5183" t="s">
        <v>43</v>
      </c>
      <c r="AD5183" t="s">
        <v>43</v>
      </c>
      <c r="AE5183" t="s">
        <v>43</v>
      </c>
      <c r="AF5183" t="s">
        <v>43</v>
      </c>
      <c r="AG5183" t="s">
        <v>43</v>
      </c>
      <c r="AH5183" t="s">
        <v>43</v>
      </c>
      <c r="AI5183" t="s">
        <v>43</v>
      </c>
      <c r="AJ5183" t="s">
        <v>43</v>
      </c>
      <c r="AK5183" t="s">
        <v>43</v>
      </c>
      <c r="AL5183" t="s">
        <v>43</v>
      </c>
      <c r="AM5183" t="s">
        <v>43</v>
      </c>
      <c r="AN5183" t="str">
        <f>HYPERLINK("https://www.google.com/maps?q=10.83226299,79.84020996","Open Location")</f>
        <v>Open Location</v>
      </c>
    </row>
    <row r="5184" spans="1:40" x14ac:dyDescent="0.3">
      <c r="A5184" s="1">
        <v>46210.399305555555</v>
      </c>
      <c r="B5184" t="s">
        <v>40</v>
      </c>
      <c r="C5184" t="s">
        <v>41</v>
      </c>
      <c r="D5184" s="1">
        <v>46210.40221064815</v>
      </c>
      <c r="E5184" t="s">
        <v>42</v>
      </c>
      <c r="F5184" t="s">
        <v>43</v>
      </c>
      <c r="G5184" t="s">
        <v>43</v>
      </c>
      <c r="H5184" t="s">
        <v>43</v>
      </c>
      <c r="I5184" t="s">
        <v>43</v>
      </c>
      <c r="J5184" t="s">
        <v>43</v>
      </c>
      <c r="K5184" t="s">
        <v>43</v>
      </c>
      <c r="L5184" t="s">
        <v>43</v>
      </c>
      <c r="M5184" t="s">
        <v>43</v>
      </c>
      <c r="N5184" t="s">
        <v>45</v>
      </c>
      <c r="O5184" t="s">
        <v>43</v>
      </c>
      <c r="P5184" t="s">
        <v>43</v>
      </c>
      <c r="Q5184" t="s">
        <v>43</v>
      </c>
      <c r="R5184" t="s">
        <v>43</v>
      </c>
      <c r="S5184" t="s">
        <v>43</v>
      </c>
      <c r="T5184" t="s">
        <v>43</v>
      </c>
      <c r="U5184" t="s">
        <v>43</v>
      </c>
      <c r="V5184" t="s">
        <v>43</v>
      </c>
      <c r="W5184" t="s">
        <v>43</v>
      </c>
      <c r="X5184" t="s">
        <v>43</v>
      </c>
      <c r="Y5184" t="s">
        <v>43</v>
      </c>
      <c r="Z5184" t="s">
        <v>43</v>
      </c>
      <c r="AA5184" t="s">
        <v>43</v>
      </c>
      <c r="AB5184" t="s">
        <v>43</v>
      </c>
      <c r="AC5184" t="s">
        <v>43</v>
      </c>
      <c r="AD5184" t="s">
        <v>43</v>
      </c>
      <c r="AE5184" t="s">
        <v>43</v>
      </c>
      <c r="AF5184" t="s">
        <v>43</v>
      </c>
      <c r="AG5184" t="s">
        <v>43</v>
      </c>
      <c r="AH5184" t="s">
        <v>43</v>
      </c>
      <c r="AI5184" t="s">
        <v>43</v>
      </c>
      <c r="AJ5184" t="s">
        <v>43</v>
      </c>
      <c r="AK5184" t="s">
        <v>43</v>
      </c>
      <c r="AL5184" t="s">
        <v>43</v>
      </c>
      <c r="AM5184" t="s">
        <v>43</v>
      </c>
      <c r="AN5184" t="s">
        <v>43</v>
      </c>
    </row>
    <row r="5185" spans="1:40" x14ac:dyDescent="0.3">
      <c r="A5185" s="1">
        <v>46210.399189814816</v>
      </c>
      <c r="B5185" t="s">
        <v>40</v>
      </c>
      <c r="C5185" t="s">
        <v>41</v>
      </c>
      <c r="D5185" s="1">
        <v>46210.402048611111</v>
      </c>
      <c r="E5185" t="s">
        <v>42</v>
      </c>
      <c r="F5185" t="s">
        <v>43</v>
      </c>
      <c r="G5185" t="s">
        <v>43</v>
      </c>
      <c r="H5185" t="s">
        <v>43</v>
      </c>
      <c r="I5185" t="s">
        <v>2952</v>
      </c>
      <c r="J5185" t="s">
        <v>43</v>
      </c>
      <c r="K5185" t="s">
        <v>43</v>
      </c>
      <c r="L5185" t="s">
        <v>43</v>
      </c>
      <c r="M5185" t="s">
        <v>43</v>
      </c>
      <c r="N5185" t="s">
        <v>45</v>
      </c>
      <c r="O5185" t="s">
        <v>43</v>
      </c>
      <c r="P5185" t="s">
        <v>43</v>
      </c>
      <c r="Q5185" t="s">
        <v>43</v>
      </c>
      <c r="R5185" t="s">
        <v>43</v>
      </c>
      <c r="S5185" t="s">
        <v>43</v>
      </c>
      <c r="T5185" t="s">
        <v>43</v>
      </c>
      <c r="U5185" t="s">
        <v>43</v>
      </c>
      <c r="V5185" t="s">
        <v>43</v>
      </c>
      <c r="W5185" t="s">
        <v>43</v>
      </c>
      <c r="X5185" t="s">
        <v>43</v>
      </c>
      <c r="Y5185" t="s">
        <v>43</v>
      </c>
      <c r="Z5185" t="s">
        <v>43</v>
      </c>
      <c r="AA5185" t="s">
        <v>43</v>
      </c>
      <c r="AB5185" t="s">
        <v>43</v>
      </c>
      <c r="AC5185" t="s">
        <v>43</v>
      </c>
      <c r="AD5185" t="s">
        <v>43</v>
      </c>
      <c r="AE5185" t="s">
        <v>43</v>
      </c>
      <c r="AF5185" t="s">
        <v>43</v>
      </c>
      <c r="AG5185" t="s">
        <v>43</v>
      </c>
      <c r="AH5185" t="s">
        <v>43</v>
      </c>
      <c r="AI5185" t="s">
        <v>43</v>
      </c>
      <c r="AJ5185" t="s">
        <v>43</v>
      </c>
      <c r="AK5185" t="s">
        <v>43</v>
      </c>
      <c r="AL5185" t="s">
        <v>43</v>
      </c>
      <c r="AM5185" t="s">
        <v>43</v>
      </c>
      <c r="AN5185" t="str">
        <f>HYPERLINK("https://www.google.com/maps?q=10.83226299,79.84021759","Open Location")</f>
        <v>Open Location</v>
      </c>
    </row>
    <row r="5186" spans="1:40" x14ac:dyDescent="0.3">
      <c r="A5186" s="1">
        <v>46210.399074074077</v>
      </c>
      <c r="B5186" t="s">
        <v>40</v>
      </c>
      <c r="C5186" t="s">
        <v>41</v>
      </c>
      <c r="D5186" s="1">
        <v>46210.40185185185</v>
      </c>
      <c r="E5186" t="s">
        <v>42</v>
      </c>
      <c r="F5186" t="s">
        <v>43</v>
      </c>
      <c r="G5186" t="s">
        <v>43</v>
      </c>
      <c r="H5186" t="s">
        <v>43</v>
      </c>
      <c r="I5186" t="s">
        <v>2774</v>
      </c>
      <c r="J5186" t="s">
        <v>43</v>
      </c>
      <c r="K5186" t="s">
        <v>43</v>
      </c>
      <c r="L5186" t="s">
        <v>43</v>
      </c>
      <c r="M5186" t="s">
        <v>43</v>
      </c>
      <c r="N5186" t="s">
        <v>45</v>
      </c>
      <c r="O5186" t="s">
        <v>43</v>
      </c>
      <c r="P5186" t="s">
        <v>43</v>
      </c>
      <c r="Q5186" t="s">
        <v>43</v>
      </c>
      <c r="R5186" t="s">
        <v>43</v>
      </c>
      <c r="S5186" t="s">
        <v>43</v>
      </c>
      <c r="T5186" t="s">
        <v>43</v>
      </c>
      <c r="U5186" t="s">
        <v>43</v>
      </c>
      <c r="V5186" t="s">
        <v>43</v>
      </c>
      <c r="W5186" t="s">
        <v>43</v>
      </c>
      <c r="X5186" t="s">
        <v>43</v>
      </c>
      <c r="Y5186" t="s">
        <v>43</v>
      </c>
      <c r="Z5186" t="s">
        <v>43</v>
      </c>
      <c r="AA5186" t="s">
        <v>43</v>
      </c>
      <c r="AB5186" t="s">
        <v>43</v>
      </c>
      <c r="AC5186" t="s">
        <v>43</v>
      </c>
      <c r="AD5186" t="s">
        <v>43</v>
      </c>
      <c r="AE5186" t="s">
        <v>43</v>
      </c>
      <c r="AF5186" t="s">
        <v>43</v>
      </c>
      <c r="AG5186" t="s">
        <v>43</v>
      </c>
      <c r="AH5186" t="s">
        <v>43</v>
      </c>
      <c r="AI5186" t="s">
        <v>43</v>
      </c>
      <c r="AJ5186" t="s">
        <v>43</v>
      </c>
      <c r="AK5186" t="s">
        <v>43</v>
      </c>
      <c r="AL5186" t="s">
        <v>43</v>
      </c>
      <c r="AM5186" t="s">
        <v>43</v>
      </c>
      <c r="AN5186" t="str">
        <f>HYPERLINK("https://www.google.com/maps?q=10.83225155,79.84022522","Open Location")</f>
        <v>Open Location</v>
      </c>
    </row>
    <row r="5187" spans="1:40" x14ac:dyDescent="0.3">
      <c r="A5187" s="1">
        <v>46210.398958333331</v>
      </c>
      <c r="B5187" t="s">
        <v>40</v>
      </c>
      <c r="C5187" t="s">
        <v>41</v>
      </c>
      <c r="D5187" s="1">
        <v>46210.401944444442</v>
      </c>
      <c r="E5187" t="s">
        <v>42</v>
      </c>
      <c r="F5187" t="s">
        <v>43</v>
      </c>
      <c r="G5187" t="s">
        <v>43</v>
      </c>
      <c r="H5187" t="s">
        <v>43</v>
      </c>
      <c r="I5187" t="s">
        <v>2818</v>
      </c>
      <c r="J5187" t="s">
        <v>43</v>
      </c>
      <c r="K5187" t="s">
        <v>43</v>
      </c>
      <c r="L5187" t="s">
        <v>43</v>
      </c>
      <c r="M5187" t="s">
        <v>43</v>
      </c>
      <c r="N5187" t="s">
        <v>45</v>
      </c>
      <c r="O5187" t="s">
        <v>43</v>
      </c>
      <c r="P5187" t="s">
        <v>43</v>
      </c>
      <c r="Q5187" t="s">
        <v>43</v>
      </c>
      <c r="R5187" t="s">
        <v>43</v>
      </c>
      <c r="S5187" t="s">
        <v>43</v>
      </c>
      <c r="T5187" t="s">
        <v>43</v>
      </c>
      <c r="U5187" t="s">
        <v>43</v>
      </c>
      <c r="V5187" t="s">
        <v>43</v>
      </c>
      <c r="W5187" t="s">
        <v>43</v>
      </c>
      <c r="X5187" t="s">
        <v>43</v>
      </c>
      <c r="Y5187" t="s">
        <v>43</v>
      </c>
      <c r="Z5187" t="s">
        <v>43</v>
      </c>
      <c r="AA5187" t="s">
        <v>43</v>
      </c>
      <c r="AB5187" t="s">
        <v>43</v>
      </c>
      <c r="AC5187" t="s">
        <v>43</v>
      </c>
      <c r="AD5187" t="s">
        <v>43</v>
      </c>
      <c r="AE5187" t="s">
        <v>43</v>
      </c>
      <c r="AF5187" t="s">
        <v>43</v>
      </c>
      <c r="AG5187" t="s">
        <v>43</v>
      </c>
      <c r="AH5187" t="s">
        <v>43</v>
      </c>
      <c r="AI5187" t="s">
        <v>43</v>
      </c>
      <c r="AJ5187" t="s">
        <v>43</v>
      </c>
      <c r="AK5187" t="s">
        <v>43</v>
      </c>
      <c r="AL5187" t="s">
        <v>43</v>
      </c>
      <c r="AM5187" t="s">
        <v>43</v>
      </c>
      <c r="AN5187" t="str">
        <f>HYPERLINK("https://www.google.com/maps?q=10.83224773,79.84022522","Open Location")</f>
        <v>Open Location</v>
      </c>
    </row>
    <row r="5188" spans="1:40" x14ac:dyDescent="0.3">
      <c r="A5188" s="1">
        <v>46210.398842592593</v>
      </c>
      <c r="B5188" t="s">
        <v>40</v>
      </c>
      <c r="C5188" t="s">
        <v>41</v>
      </c>
      <c r="D5188" s="1">
        <v>46210.401666666665</v>
      </c>
      <c r="E5188" t="s">
        <v>42</v>
      </c>
      <c r="F5188" t="s">
        <v>43</v>
      </c>
      <c r="G5188" t="s">
        <v>43</v>
      </c>
      <c r="H5188" t="s">
        <v>43</v>
      </c>
      <c r="I5188" t="s">
        <v>2795</v>
      </c>
      <c r="J5188" t="s">
        <v>43</v>
      </c>
      <c r="K5188" t="s">
        <v>43</v>
      </c>
      <c r="L5188" t="s">
        <v>43</v>
      </c>
      <c r="M5188" t="s">
        <v>43</v>
      </c>
      <c r="N5188" t="s">
        <v>45</v>
      </c>
      <c r="O5188" t="s">
        <v>43</v>
      </c>
      <c r="P5188" t="s">
        <v>43</v>
      </c>
      <c r="Q5188" t="s">
        <v>43</v>
      </c>
      <c r="R5188" t="s">
        <v>43</v>
      </c>
      <c r="S5188" t="s">
        <v>43</v>
      </c>
      <c r="T5188" t="s">
        <v>43</v>
      </c>
      <c r="U5188" t="s">
        <v>43</v>
      </c>
      <c r="V5188" t="s">
        <v>43</v>
      </c>
      <c r="W5188" t="s">
        <v>43</v>
      </c>
      <c r="X5188" t="s">
        <v>43</v>
      </c>
      <c r="Y5188" t="s">
        <v>43</v>
      </c>
      <c r="Z5188" t="s">
        <v>43</v>
      </c>
      <c r="AA5188" t="s">
        <v>43</v>
      </c>
      <c r="AB5188" t="s">
        <v>43</v>
      </c>
      <c r="AC5188" t="s">
        <v>43</v>
      </c>
      <c r="AD5188" t="s">
        <v>43</v>
      </c>
      <c r="AE5188" t="s">
        <v>43</v>
      </c>
      <c r="AF5188" t="s">
        <v>43</v>
      </c>
      <c r="AG5188" t="s">
        <v>43</v>
      </c>
      <c r="AH5188" t="s">
        <v>43</v>
      </c>
      <c r="AI5188" t="s">
        <v>43</v>
      </c>
      <c r="AJ5188" t="s">
        <v>43</v>
      </c>
      <c r="AK5188" t="s">
        <v>43</v>
      </c>
      <c r="AL5188" t="s">
        <v>43</v>
      </c>
      <c r="AM5188" t="s">
        <v>43</v>
      </c>
      <c r="AN5188" t="str">
        <f>HYPERLINK("https://www.google.com/maps?q=10.83224773,79.84023285","Open Location")</f>
        <v>Open Location</v>
      </c>
    </row>
    <row r="5189" spans="1:40" x14ac:dyDescent="0.3">
      <c r="A5189" s="1">
        <v>46210.398726851854</v>
      </c>
      <c r="B5189" t="s">
        <v>40</v>
      </c>
      <c r="C5189" t="s">
        <v>41</v>
      </c>
      <c r="D5189" s="1">
        <v>46210.401712962965</v>
      </c>
      <c r="E5189" t="s">
        <v>42</v>
      </c>
      <c r="F5189" t="s">
        <v>43</v>
      </c>
      <c r="G5189" t="s">
        <v>43</v>
      </c>
      <c r="H5189" t="s">
        <v>43</v>
      </c>
      <c r="I5189" t="s">
        <v>43</v>
      </c>
      <c r="J5189" t="s">
        <v>43</v>
      </c>
      <c r="K5189" t="s">
        <v>43</v>
      </c>
      <c r="L5189" t="s">
        <v>43</v>
      </c>
      <c r="M5189" t="s">
        <v>43</v>
      </c>
      <c r="N5189" t="s">
        <v>45</v>
      </c>
      <c r="O5189" t="s">
        <v>43</v>
      </c>
      <c r="P5189" t="s">
        <v>43</v>
      </c>
      <c r="Q5189" t="s">
        <v>43</v>
      </c>
      <c r="R5189" t="s">
        <v>43</v>
      </c>
      <c r="S5189" t="s">
        <v>43</v>
      </c>
      <c r="T5189" t="s">
        <v>43</v>
      </c>
      <c r="U5189" t="s">
        <v>43</v>
      </c>
      <c r="V5189" t="s">
        <v>43</v>
      </c>
      <c r="W5189" t="s">
        <v>43</v>
      </c>
      <c r="X5189" t="s">
        <v>43</v>
      </c>
      <c r="Y5189" t="s">
        <v>43</v>
      </c>
      <c r="Z5189" t="s">
        <v>43</v>
      </c>
      <c r="AA5189" t="s">
        <v>43</v>
      </c>
      <c r="AB5189" t="s">
        <v>43</v>
      </c>
      <c r="AC5189" t="s">
        <v>43</v>
      </c>
      <c r="AD5189" t="s">
        <v>43</v>
      </c>
      <c r="AE5189" t="s">
        <v>43</v>
      </c>
      <c r="AF5189" t="s">
        <v>43</v>
      </c>
      <c r="AG5189" t="s">
        <v>43</v>
      </c>
      <c r="AH5189" t="s">
        <v>43</v>
      </c>
      <c r="AI5189" t="s">
        <v>43</v>
      </c>
      <c r="AJ5189" t="s">
        <v>43</v>
      </c>
      <c r="AK5189" t="s">
        <v>43</v>
      </c>
      <c r="AL5189" t="s">
        <v>43</v>
      </c>
      <c r="AM5189" t="s">
        <v>43</v>
      </c>
      <c r="AN5189" t="s">
        <v>43</v>
      </c>
    </row>
    <row r="5190" spans="1:40" x14ac:dyDescent="0.3">
      <c r="A5190" s="1">
        <v>46210.398611111108</v>
      </c>
      <c r="B5190" t="s">
        <v>40</v>
      </c>
      <c r="C5190" t="s">
        <v>41</v>
      </c>
      <c r="D5190" s="1">
        <v>46210.401562500003</v>
      </c>
      <c r="E5190" t="s">
        <v>42</v>
      </c>
      <c r="F5190" t="s">
        <v>43</v>
      </c>
      <c r="G5190" t="s">
        <v>43</v>
      </c>
      <c r="H5190" t="s">
        <v>43</v>
      </c>
      <c r="I5190" t="s">
        <v>2816</v>
      </c>
      <c r="J5190" t="s">
        <v>43</v>
      </c>
      <c r="K5190" t="s">
        <v>43</v>
      </c>
      <c r="L5190" t="s">
        <v>43</v>
      </c>
      <c r="M5190" t="s">
        <v>43</v>
      </c>
      <c r="N5190" t="s">
        <v>45</v>
      </c>
      <c r="O5190" t="s">
        <v>43</v>
      </c>
      <c r="P5190" t="s">
        <v>43</v>
      </c>
      <c r="Q5190" t="s">
        <v>43</v>
      </c>
      <c r="R5190" t="s">
        <v>43</v>
      </c>
      <c r="S5190" t="s">
        <v>43</v>
      </c>
      <c r="T5190" t="s">
        <v>43</v>
      </c>
      <c r="U5190" t="s">
        <v>43</v>
      </c>
      <c r="V5190" t="s">
        <v>43</v>
      </c>
      <c r="W5190" t="s">
        <v>43</v>
      </c>
      <c r="X5190" t="s">
        <v>43</v>
      </c>
      <c r="Y5190" t="s">
        <v>43</v>
      </c>
      <c r="Z5190" t="s">
        <v>43</v>
      </c>
      <c r="AA5190" t="s">
        <v>43</v>
      </c>
      <c r="AB5190" t="s">
        <v>43</v>
      </c>
      <c r="AC5190" t="s">
        <v>43</v>
      </c>
      <c r="AD5190" t="s">
        <v>43</v>
      </c>
      <c r="AE5190" t="s">
        <v>43</v>
      </c>
      <c r="AF5190" t="s">
        <v>43</v>
      </c>
      <c r="AG5190" t="s">
        <v>43</v>
      </c>
      <c r="AH5190" t="s">
        <v>43</v>
      </c>
      <c r="AI5190" t="s">
        <v>43</v>
      </c>
      <c r="AJ5190" t="s">
        <v>43</v>
      </c>
      <c r="AK5190" t="s">
        <v>43</v>
      </c>
      <c r="AL5190" t="s">
        <v>43</v>
      </c>
      <c r="AM5190" t="s">
        <v>43</v>
      </c>
      <c r="AN5190" t="str">
        <f>HYPERLINK("https://www.google.com/maps?q=10.8322506,79.84023285","Open Location")</f>
        <v>Open Location</v>
      </c>
    </row>
    <row r="5191" spans="1:40" x14ac:dyDescent="0.3">
      <c r="A5191" s="1">
        <v>46210.398495370369</v>
      </c>
      <c r="B5191" t="s">
        <v>40</v>
      </c>
      <c r="C5191" t="s">
        <v>41</v>
      </c>
      <c r="D5191" s="1">
        <v>46210.401319444441</v>
      </c>
      <c r="E5191" t="s">
        <v>42</v>
      </c>
      <c r="F5191" t="s">
        <v>43</v>
      </c>
      <c r="G5191" t="s">
        <v>43</v>
      </c>
      <c r="H5191" t="s">
        <v>43</v>
      </c>
      <c r="I5191" t="s">
        <v>2676</v>
      </c>
      <c r="J5191" t="s">
        <v>43</v>
      </c>
      <c r="K5191" t="s">
        <v>43</v>
      </c>
      <c r="L5191" t="s">
        <v>43</v>
      </c>
      <c r="M5191" t="s">
        <v>43</v>
      </c>
      <c r="N5191" t="s">
        <v>45</v>
      </c>
      <c r="O5191" t="s">
        <v>43</v>
      </c>
      <c r="P5191" t="s">
        <v>43</v>
      </c>
      <c r="Q5191" t="s">
        <v>43</v>
      </c>
      <c r="R5191" t="s">
        <v>43</v>
      </c>
      <c r="S5191" t="s">
        <v>43</v>
      </c>
      <c r="T5191" t="s">
        <v>43</v>
      </c>
      <c r="U5191" t="s">
        <v>43</v>
      </c>
      <c r="V5191" t="s">
        <v>43</v>
      </c>
      <c r="W5191" t="s">
        <v>43</v>
      </c>
      <c r="X5191" t="s">
        <v>43</v>
      </c>
      <c r="Y5191" t="s">
        <v>43</v>
      </c>
      <c r="Z5191" t="s">
        <v>43</v>
      </c>
      <c r="AA5191" t="s">
        <v>43</v>
      </c>
      <c r="AB5191" t="s">
        <v>43</v>
      </c>
      <c r="AC5191" t="s">
        <v>43</v>
      </c>
      <c r="AD5191" t="s">
        <v>43</v>
      </c>
      <c r="AE5191" t="s">
        <v>43</v>
      </c>
      <c r="AF5191" t="s">
        <v>43</v>
      </c>
      <c r="AG5191" t="s">
        <v>43</v>
      </c>
      <c r="AH5191" t="s">
        <v>43</v>
      </c>
      <c r="AI5191" t="s">
        <v>43</v>
      </c>
      <c r="AJ5191" t="s">
        <v>43</v>
      </c>
      <c r="AK5191" t="s">
        <v>43</v>
      </c>
      <c r="AL5191" t="s">
        <v>43</v>
      </c>
      <c r="AM5191" t="s">
        <v>43</v>
      </c>
      <c r="AN5191" t="str">
        <f>HYPERLINK("https://www.google.com/maps?q=10.8322506,79.84022522","Open Location")</f>
        <v>Open Location</v>
      </c>
    </row>
    <row r="5192" spans="1:40" x14ac:dyDescent="0.3">
      <c r="A5192" s="1">
        <v>46210.398379629631</v>
      </c>
      <c r="B5192" t="s">
        <v>40</v>
      </c>
      <c r="C5192" t="s">
        <v>41</v>
      </c>
      <c r="D5192" s="1">
        <v>46210.401145833333</v>
      </c>
      <c r="E5192" t="s">
        <v>42</v>
      </c>
      <c r="F5192" t="s">
        <v>43</v>
      </c>
      <c r="G5192" t="s">
        <v>43</v>
      </c>
      <c r="H5192" t="s">
        <v>43</v>
      </c>
      <c r="I5192" t="s">
        <v>2694</v>
      </c>
      <c r="J5192" t="s">
        <v>43</v>
      </c>
      <c r="K5192" t="s">
        <v>43</v>
      </c>
      <c r="L5192" t="s">
        <v>43</v>
      </c>
      <c r="M5192" t="s">
        <v>43</v>
      </c>
      <c r="N5192" t="s">
        <v>45</v>
      </c>
      <c r="O5192" t="s">
        <v>43</v>
      </c>
      <c r="P5192" t="s">
        <v>43</v>
      </c>
      <c r="Q5192" t="s">
        <v>43</v>
      </c>
      <c r="R5192" t="s">
        <v>43</v>
      </c>
      <c r="S5192" t="s">
        <v>43</v>
      </c>
      <c r="T5192" t="s">
        <v>43</v>
      </c>
      <c r="U5192" t="s">
        <v>43</v>
      </c>
      <c r="V5192" t="s">
        <v>43</v>
      </c>
      <c r="W5192" t="s">
        <v>43</v>
      </c>
      <c r="X5192" t="s">
        <v>43</v>
      </c>
      <c r="Y5192" t="s">
        <v>43</v>
      </c>
      <c r="Z5192" t="s">
        <v>43</v>
      </c>
      <c r="AA5192" t="s">
        <v>43</v>
      </c>
      <c r="AB5192" t="s">
        <v>43</v>
      </c>
      <c r="AC5192" t="s">
        <v>43</v>
      </c>
      <c r="AD5192" t="s">
        <v>43</v>
      </c>
      <c r="AE5192" t="s">
        <v>43</v>
      </c>
      <c r="AF5192" t="s">
        <v>43</v>
      </c>
      <c r="AG5192" t="s">
        <v>43</v>
      </c>
      <c r="AH5192" t="s">
        <v>43</v>
      </c>
      <c r="AI5192" t="s">
        <v>43</v>
      </c>
      <c r="AJ5192" t="s">
        <v>43</v>
      </c>
      <c r="AK5192" t="s">
        <v>43</v>
      </c>
      <c r="AL5192" t="s">
        <v>43</v>
      </c>
      <c r="AM5192" t="s">
        <v>43</v>
      </c>
      <c r="AN5192" t="str">
        <f>HYPERLINK("https://www.google.com/maps?q=10.83224773,79.84021759","Open Location")</f>
        <v>Open Location</v>
      </c>
    </row>
    <row r="5193" spans="1:40" x14ac:dyDescent="0.3">
      <c r="A5193" s="1">
        <v>46210.398263888892</v>
      </c>
      <c r="B5193" t="s">
        <v>40</v>
      </c>
      <c r="C5193" t="s">
        <v>41</v>
      </c>
      <c r="D5193" s="1">
        <v>46210.40116898148</v>
      </c>
      <c r="E5193" t="s">
        <v>42</v>
      </c>
      <c r="F5193" t="s">
        <v>43</v>
      </c>
      <c r="G5193" t="s">
        <v>43</v>
      </c>
      <c r="H5193" t="s">
        <v>43</v>
      </c>
      <c r="I5193" t="s">
        <v>2953</v>
      </c>
      <c r="J5193" t="s">
        <v>43</v>
      </c>
      <c r="K5193" t="s">
        <v>43</v>
      </c>
      <c r="L5193" t="s">
        <v>43</v>
      </c>
      <c r="M5193" t="s">
        <v>43</v>
      </c>
      <c r="N5193" t="s">
        <v>45</v>
      </c>
      <c r="O5193" t="s">
        <v>43</v>
      </c>
      <c r="P5193" t="s">
        <v>43</v>
      </c>
      <c r="Q5193" t="s">
        <v>43</v>
      </c>
      <c r="R5193" t="s">
        <v>43</v>
      </c>
      <c r="S5193" t="s">
        <v>43</v>
      </c>
      <c r="T5193" t="s">
        <v>43</v>
      </c>
      <c r="U5193" t="s">
        <v>43</v>
      </c>
      <c r="V5193" t="s">
        <v>43</v>
      </c>
      <c r="W5193" t="s">
        <v>43</v>
      </c>
      <c r="X5193" t="s">
        <v>43</v>
      </c>
      <c r="Y5193" t="s">
        <v>43</v>
      </c>
      <c r="Z5193" t="s">
        <v>43</v>
      </c>
      <c r="AA5193" t="s">
        <v>43</v>
      </c>
      <c r="AB5193" t="s">
        <v>43</v>
      </c>
      <c r="AC5193" t="s">
        <v>43</v>
      </c>
      <c r="AD5193" t="s">
        <v>43</v>
      </c>
      <c r="AE5193" t="s">
        <v>43</v>
      </c>
      <c r="AF5193" t="s">
        <v>43</v>
      </c>
      <c r="AG5193" t="s">
        <v>43</v>
      </c>
      <c r="AH5193" t="s">
        <v>43</v>
      </c>
      <c r="AI5193" t="s">
        <v>43</v>
      </c>
      <c r="AJ5193" t="s">
        <v>43</v>
      </c>
      <c r="AK5193" t="s">
        <v>43</v>
      </c>
      <c r="AL5193" t="s">
        <v>43</v>
      </c>
      <c r="AM5193" t="s">
        <v>43</v>
      </c>
      <c r="AN5193" t="str">
        <f>HYPERLINK("https://www.google.com/maps?q=10.83224487,79.84021759","Open Location")</f>
        <v>Open Location</v>
      </c>
    </row>
    <row r="5194" spans="1:40" x14ac:dyDescent="0.3">
      <c r="A5194" s="1">
        <v>46210.398148148146</v>
      </c>
      <c r="B5194" t="s">
        <v>40</v>
      </c>
      <c r="C5194" t="s">
        <v>41</v>
      </c>
      <c r="D5194" s="1">
        <v>46210.400914351849</v>
      </c>
      <c r="E5194" t="s">
        <v>42</v>
      </c>
      <c r="F5194" t="s">
        <v>43</v>
      </c>
      <c r="G5194" t="s">
        <v>43</v>
      </c>
      <c r="H5194" t="s">
        <v>43</v>
      </c>
      <c r="I5194" t="s">
        <v>2751</v>
      </c>
      <c r="J5194" t="s">
        <v>43</v>
      </c>
      <c r="K5194" t="s">
        <v>43</v>
      </c>
      <c r="L5194" t="s">
        <v>43</v>
      </c>
      <c r="M5194" t="s">
        <v>43</v>
      </c>
      <c r="N5194" t="s">
        <v>45</v>
      </c>
      <c r="O5194" t="s">
        <v>43</v>
      </c>
      <c r="P5194" t="s">
        <v>43</v>
      </c>
      <c r="Q5194" t="s">
        <v>43</v>
      </c>
      <c r="R5194" t="s">
        <v>43</v>
      </c>
      <c r="S5194" t="s">
        <v>43</v>
      </c>
      <c r="T5194" t="s">
        <v>43</v>
      </c>
      <c r="U5194" t="s">
        <v>43</v>
      </c>
      <c r="V5194" t="s">
        <v>43</v>
      </c>
      <c r="W5194" t="s">
        <v>43</v>
      </c>
      <c r="X5194" t="s">
        <v>43</v>
      </c>
      <c r="Y5194" t="s">
        <v>43</v>
      </c>
      <c r="Z5194" t="s">
        <v>43</v>
      </c>
      <c r="AA5194" t="s">
        <v>43</v>
      </c>
      <c r="AB5194" t="s">
        <v>43</v>
      </c>
      <c r="AC5194" t="s">
        <v>43</v>
      </c>
      <c r="AD5194" t="s">
        <v>43</v>
      </c>
      <c r="AE5194" t="s">
        <v>43</v>
      </c>
      <c r="AF5194" t="s">
        <v>43</v>
      </c>
      <c r="AG5194" t="s">
        <v>43</v>
      </c>
      <c r="AH5194" t="s">
        <v>43</v>
      </c>
      <c r="AI5194" t="s">
        <v>43</v>
      </c>
      <c r="AJ5194" t="s">
        <v>43</v>
      </c>
      <c r="AK5194" t="s">
        <v>43</v>
      </c>
      <c r="AL5194" t="s">
        <v>43</v>
      </c>
      <c r="AM5194" t="s">
        <v>43</v>
      </c>
      <c r="AN5194" t="str">
        <f>HYPERLINK("https://www.google.com/maps?q=10.83224297,79.84020996","Open Location")</f>
        <v>Open Location</v>
      </c>
    </row>
    <row r="5195" spans="1:40" x14ac:dyDescent="0.3">
      <c r="A5195" s="1">
        <v>46210.398032407407</v>
      </c>
      <c r="B5195" t="s">
        <v>40</v>
      </c>
      <c r="C5195" t="s">
        <v>41</v>
      </c>
      <c r="D5195" s="1">
        <v>46210.401076388887</v>
      </c>
      <c r="E5195" t="s">
        <v>42</v>
      </c>
      <c r="F5195" t="s">
        <v>43</v>
      </c>
      <c r="G5195" t="s">
        <v>43</v>
      </c>
      <c r="H5195" t="s">
        <v>43</v>
      </c>
      <c r="I5195" t="s">
        <v>43</v>
      </c>
      <c r="J5195" t="s">
        <v>43</v>
      </c>
      <c r="K5195" t="s">
        <v>43</v>
      </c>
      <c r="L5195" t="s">
        <v>43</v>
      </c>
      <c r="M5195" t="s">
        <v>43</v>
      </c>
      <c r="N5195" t="s">
        <v>45</v>
      </c>
      <c r="O5195" t="s">
        <v>43</v>
      </c>
      <c r="P5195" t="s">
        <v>43</v>
      </c>
      <c r="Q5195" t="s">
        <v>43</v>
      </c>
      <c r="R5195" t="s">
        <v>43</v>
      </c>
      <c r="S5195" t="s">
        <v>43</v>
      </c>
      <c r="T5195" t="s">
        <v>43</v>
      </c>
      <c r="U5195" t="s">
        <v>43</v>
      </c>
      <c r="V5195" t="s">
        <v>43</v>
      </c>
      <c r="W5195" t="s">
        <v>43</v>
      </c>
      <c r="X5195" t="s">
        <v>43</v>
      </c>
      <c r="Y5195" t="s">
        <v>43</v>
      </c>
      <c r="Z5195" t="s">
        <v>43</v>
      </c>
      <c r="AA5195" t="s">
        <v>43</v>
      </c>
      <c r="AB5195" t="s">
        <v>43</v>
      </c>
      <c r="AC5195" t="s">
        <v>43</v>
      </c>
      <c r="AD5195" t="s">
        <v>43</v>
      </c>
      <c r="AE5195" t="s">
        <v>43</v>
      </c>
      <c r="AF5195" t="s">
        <v>43</v>
      </c>
      <c r="AG5195" t="s">
        <v>43</v>
      </c>
      <c r="AH5195" t="s">
        <v>43</v>
      </c>
      <c r="AI5195" t="s">
        <v>43</v>
      </c>
      <c r="AJ5195" t="s">
        <v>43</v>
      </c>
      <c r="AK5195" t="s">
        <v>43</v>
      </c>
      <c r="AL5195" t="s">
        <v>43</v>
      </c>
      <c r="AM5195" t="s">
        <v>43</v>
      </c>
      <c r="AN5195" t="s">
        <v>43</v>
      </c>
    </row>
    <row r="5196" spans="1:40" x14ac:dyDescent="0.3">
      <c r="A5196" s="1">
        <v>46210.397916666669</v>
      </c>
      <c r="B5196" t="s">
        <v>40</v>
      </c>
      <c r="C5196" t="s">
        <v>41</v>
      </c>
      <c r="D5196" s="1">
        <v>46210.400659722225</v>
      </c>
      <c r="E5196" t="s">
        <v>42</v>
      </c>
      <c r="F5196" t="s">
        <v>43</v>
      </c>
      <c r="G5196" t="s">
        <v>43</v>
      </c>
      <c r="H5196" t="s">
        <v>43</v>
      </c>
      <c r="I5196" t="s">
        <v>2954</v>
      </c>
      <c r="J5196" t="s">
        <v>43</v>
      </c>
      <c r="K5196" t="s">
        <v>43</v>
      </c>
      <c r="L5196" t="s">
        <v>43</v>
      </c>
      <c r="M5196" t="s">
        <v>43</v>
      </c>
      <c r="N5196" t="s">
        <v>45</v>
      </c>
      <c r="O5196" t="s">
        <v>43</v>
      </c>
      <c r="P5196" t="s">
        <v>43</v>
      </c>
      <c r="Q5196" t="s">
        <v>43</v>
      </c>
      <c r="R5196" t="s">
        <v>43</v>
      </c>
      <c r="S5196" t="s">
        <v>43</v>
      </c>
      <c r="T5196" t="s">
        <v>43</v>
      </c>
      <c r="U5196" t="s">
        <v>43</v>
      </c>
      <c r="V5196" t="s">
        <v>43</v>
      </c>
      <c r="W5196" t="s">
        <v>43</v>
      </c>
      <c r="X5196" t="s">
        <v>43</v>
      </c>
      <c r="Y5196" t="s">
        <v>43</v>
      </c>
      <c r="Z5196" t="s">
        <v>43</v>
      </c>
      <c r="AA5196" t="s">
        <v>43</v>
      </c>
      <c r="AB5196" t="s">
        <v>43</v>
      </c>
      <c r="AC5196" t="s">
        <v>43</v>
      </c>
      <c r="AD5196" t="s">
        <v>43</v>
      </c>
      <c r="AE5196" t="s">
        <v>43</v>
      </c>
      <c r="AF5196" t="s">
        <v>43</v>
      </c>
      <c r="AG5196" t="s">
        <v>43</v>
      </c>
      <c r="AH5196" t="s">
        <v>43</v>
      </c>
      <c r="AI5196" t="s">
        <v>43</v>
      </c>
      <c r="AJ5196" t="s">
        <v>43</v>
      </c>
      <c r="AK5196" t="s">
        <v>43</v>
      </c>
      <c r="AL5196" t="s">
        <v>43</v>
      </c>
      <c r="AM5196" t="s">
        <v>43</v>
      </c>
      <c r="AN5196" t="str">
        <f>HYPERLINK("https://www.google.com/maps?q=10.83224106,79.84020996","Open Location")</f>
        <v>Open Location</v>
      </c>
    </row>
    <row r="5197" spans="1:40" x14ac:dyDescent="0.3">
      <c r="A5197" s="1">
        <v>46210.397800925923</v>
      </c>
      <c r="B5197" t="s">
        <v>40</v>
      </c>
      <c r="C5197" t="s">
        <v>41</v>
      </c>
      <c r="D5197" s="1">
        <v>46210.400787037041</v>
      </c>
      <c r="E5197" t="s">
        <v>42</v>
      </c>
      <c r="F5197" t="s">
        <v>43</v>
      </c>
      <c r="G5197" t="s">
        <v>43</v>
      </c>
      <c r="H5197" t="s">
        <v>43</v>
      </c>
      <c r="I5197" t="s">
        <v>2944</v>
      </c>
      <c r="J5197" t="s">
        <v>43</v>
      </c>
      <c r="K5197" t="s">
        <v>43</v>
      </c>
      <c r="L5197" t="s">
        <v>43</v>
      </c>
      <c r="M5197" t="s">
        <v>43</v>
      </c>
      <c r="N5197" t="s">
        <v>45</v>
      </c>
      <c r="O5197" t="s">
        <v>43</v>
      </c>
      <c r="P5197" t="s">
        <v>43</v>
      </c>
      <c r="Q5197" t="s">
        <v>43</v>
      </c>
      <c r="R5197" t="s">
        <v>43</v>
      </c>
      <c r="S5197" t="s">
        <v>43</v>
      </c>
      <c r="T5197" t="s">
        <v>43</v>
      </c>
      <c r="U5197" t="s">
        <v>43</v>
      </c>
      <c r="V5197" t="s">
        <v>43</v>
      </c>
      <c r="W5197" t="s">
        <v>43</v>
      </c>
      <c r="X5197" t="s">
        <v>43</v>
      </c>
      <c r="Y5197" t="s">
        <v>43</v>
      </c>
      <c r="Z5197" t="s">
        <v>43</v>
      </c>
      <c r="AA5197" t="s">
        <v>43</v>
      </c>
      <c r="AB5197" t="s">
        <v>43</v>
      </c>
      <c r="AC5197" t="s">
        <v>43</v>
      </c>
      <c r="AD5197" t="s">
        <v>43</v>
      </c>
      <c r="AE5197" t="s">
        <v>43</v>
      </c>
      <c r="AF5197" t="s">
        <v>43</v>
      </c>
      <c r="AG5197" t="s">
        <v>43</v>
      </c>
      <c r="AH5197" t="s">
        <v>43</v>
      </c>
      <c r="AI5197" t="s">
        <v>43</v>
      </c>
      <c r="AJ5197" t="s">
        <v>43</v>
      </c>
      <c r="AK5197" t="s">
        <v>43</v>
      </c>
      <c r="AL5197" t="s">
        <v>43</v>
      </c>
      <c r="AM5197" t="s">
        <v>43</v>
      </c>
      <c r="AN5197" t="str">
        <f>HYPERLINK("https://www.google.com/maps?q=10.8322382,79.84021759","Open Location")</f>
        <v>Open Location</v>
      </c>
    </row>
    <row r="5198" spans="1:40" x14ac:dyDescent="0.3">
      <c r="A5198" s="1">
        <v>46210.397685185184</v>
      </c>
      <c r="B5198" t="s">
        <v>40</v>
      </c>
      <c r="C5198" t="s">
        <v>41</v>
      </c>
      <c r="D5198" s="1">
        <v>46210.400509259256</v>
      </c>
      <c r="E5198" t="s">
        <v>42</v>
      </c>
      <c r="F5198" t="s">
        <v>43</v>
      </c>
      <c r="G5198" t="s">
        <v>43</v>
      </c>
      <c r="H5198" t="s">
        <v>43</v>
      </c>
      <c r="I5198" t="s">
        <v>2955</v>
      </c>
      <c r="J5198" t="s">
        <v>43</v>
      </c>
      <c r="K5198" t="s">
        <v>43</v>
      </c>
      <c r="L5198" t="s">
        <v>43</v>
      </c>
      <c r="M5198" t="s">
        <v>43</v>
      </c>
      <c r="N5198" t="s">
        <v>45</v>
      </c>
      <c r="O5198" t="s">
        <v>43</v>
      </c>
      <c r="P5198" t="s">
        <v>43</v>
      </c>
      <c r="Q5198" t="s">
        <v>43</v>
      </c>
      <c r="R5198" t="s">
        <v>43</v>
      </c>
      <c r="S5198" t="s">
        <v>43</v>
      </c>
      <c r="T5198" t="s">
        <v>43</v>
      </c>
      <c r="U5198" t="s">
        <v>43</v>
      </c>
      <c r="V5198" t="s">
        <v>43</v>
      </c>
      <c r="W5198" t="s">
        <v>43</v>
      </c>
      <c r="X5198" t="s">
        <v>43</v>
      </c>
      <c r="Y5198" t="s">
        <v>43</v>
      </c>
      <c r="Z5198" t="s">
        <v>43</v>
      </c>
      <c r="AA5198" t="s">
        <v>43</v>
      </c>
      <c r="AB5198" t="s">
        <v>43</v>
      </c>
      <c r="AC5198" t="s">
        <v>43</v>
      </c>
      <c r="AD5198" t="s">
        <v>43</v>
      </c>
      <c r="AE5198" t="s">
        <v>43</v>
      </c>
      <c r="AF5198" t="s">
        <v>43</v>
      </c>
      <c r="AG5198" t="s">
        <v>43</v>
      </c>
      <c r="AH5198" t="s">
        <v>43</v>
      </c>
      <c r="AI5198" t="s">
        <v>43</v>
      </c>
      <c r="AJ5198" t="s">
        <v>43</v>
      </c>
      <c r="AK5198" t="s">
        <v>43</v>
      </c>
      <c r="AL5198" t="s">
        <v>43</v>
      </c>
      <c r="AM5198" t="s">
        <v>43</v>
      </c>
      <c r="AN5198" t="str">
        <f>HYPERLINK("https://www.google.com/maps?q=10.83224106,79.84021759","Open Location")</f>
        <v>Open Location</v>
      </c>
    </row>
    <row r="5199" spans="1:40" x14ac:dyDescent="0.3">
      <c r="A5199" s="1">
        <v>46210.397569444445</v>
      </c>
      <c r="B5199" t="s">
        <v>40</v>
      </c>
      <c r="C5199" t="s">
        <v>41</v>
      </c>
      <c r="D5199" s="1">
        <v>46210.400324074071</v>
      </c>
      <c r="E5199" t="s">
        <v>42</v>
      </c>
      <c r="F5199" t="s">
        <v>43</v>
      </c>
      <c r="G5199" t="s">
        <v>43</v>
      </c>
      <c r="H5199" t="s">
        <v>43</v>
      </c>
      <c r="I5199" t="s">
        <v>2956</v>
      </c>
      <c r="J5199" t="s">
        <v>43</v>
      </c>
      <c r="K5199" t="s">
        <v>43</v>
      </c>
      <c r="L5199" t="s">
        <v>43</v>
      </c>
      <c r="M5199" t="s">
        <v>43</v>
      </c>
      <c r="N5199" t="s">
        <v>45</v>
      </c>
      <c r="O5199" t="s">
        <v>43</v>
      </c>
      <c r="P5199" t="s">
        <v>43</v>
      </c>
      <c r="Q5199" t="s">
        <v>43</v>
      </c>
      <c r="R5199" t="s">
        <v>43</v>
      </c>
      <c r="S5199" t="s">
        <v>43</v>
      </c>
      <c r="T5199" t="s">
        <v>43</v>
      </c>
      <c r="U5199" t="s">
        <v>43</v>
      </c>
      <c r="V5199" t="s">
        <v>43</v>
      </c>
      <c r="W5199" t="s">
        <v>43</v>
      </c>
      <c r="X5199" t="s">
        <v>43</v>
      </c>
      <c r="Y5199" t="s">
        <v>43</v>
      </c>
      <c r="Z5199" t="s">
        <v>43</v>
      </c>
      <c r="AA5199" t="s">
        <v>43</v>
      </c>
      <c r="AB5199" t="s">
        <v>43</v>
      </c>
      <c r="AC5199" t="s">
        <v>43</v>
      </c>
      <c r="AD5199" t="s">
        <v>43</v>
      </c>
      <c r="AE5199" t="s">
        <v>43</v>
      </c>
      <c r="AF5199" t="s">
        <v>43</v>
      </c>
      <c r="AG5199" t="s">
        <v>43</v>
      </c>
      <c r="AH5199" t="s">
        <v>43</v>
      </c>
      <c r="AI5199" t="s">
        <v>43</v>
      </c>
      <c r="AJ5199" t="s">
        <v>43</v>
      </c>
      <c r="AK5199" t="s">
        <v>43</v>
      </c>
      <c r="AL5199" t="s">
        <v>43</v>
      </c>
      <c r="AM5199" t="s">
        <v>43</v>
      </c>
      <c r="AN5199" t="str">
        <f>HYPERLINK("https://www.google.com/maps?q=10.83223915,79.84022522","Open Location")</f>
        <v>Open Location</v>
      </c>
    </row>
    <row r="5200" spans="1:40" x14ac:dyDescent="0.3">
      <c r="A5200" s="1">
        <v>46210.397453703707</v>
      </c>
      <c r="B5200" t="s">
        <v>40</v>
      </c>
      <c r="C5200" t="s">
        <v>41</v>
      </c>
      <c r="D5200" s="1">
        <v>46210.400439814817</v>
      </c>
      <c r="E5200" t="s">
        <v>42</v>
      </c>
      <c r="F5200" t="s">
        <v>43</v>
      </c>
      <c r="G5200" t="s">
        <v>43</v>
      </c>
      <c r="H5200" t="s">
        <v>43</v>
      </c>
      <c r="I5200" t="s">
        <v>43</v>
      </c>
      <c r="J5200" t="s">
        <v>43</v>
      </c>
      <c r="K5200" t="s">
        <v>43</v>
      </c>
      <c r="L5200" t="s">
        <v>43</v>
      </c>
      <c r="M5200" t="s">
        <v>43</v>
      </c>
      <c r="N5200" t="s">
        <v>45</v>
      </c>
      <c r="O5200" t="s">
        <v>43</v>
      </c>
      <c r="P5200" t="s">
        <v>43</v>
      </c>
      <c r="Q5200" t="s">
        <v>43</v>
      </c>
      <c r="R5200" t="s">
        <v>43</v>
      </c>
      <c r="S5200" t="s">
        <v>43</v>
      </c>
      <c r="T5200" t="s">
        <v>43</v>
      </c>
      <c r="U5200" t="s">
        <v>43</v>
      </c>
      <c r="V5200" t="s">
        <v>43</v>
      </c>
      <c r="W5200" t="s">
        <v>43</v>
      </c>
      <c r="X5200" t="s">
        <v>43</v>
      </c>
      <c r="Y5200" t="s">
        <v>43</v>
      </c>
      <c r="Z5200" t="s">
        <v>43</v>
      </c>
      <c r="AA5200" t="s">
        <v>43</v>
      </c>
      <c r="AB5200" t="s">
        <v>43</v>
      </c>
      <c r="AC5200" t="s">
        <v>43</v>
      </c>
      <c r="AD5200" t="s">
        <v>43</v>
      </c>
      <c r="AE5200" t="s">
        <v>43</v>
      </c>
      <c r="AF5200" t="s">
        <v>43</v>
      </c>
      <c r="AG5200" t="s">
        <v>43</v>
      </c>
      <c r="AH5200" t="s">
        <v>43</v>
      </c>
      <c r="AI5200" t="s">
        <v>43</v>
      </c>
      <c r="AJ5200" t="s">
        <v>43</v>
      </c>
      <c r="AK5200" t="s">
        <v>43</v>
      </c>
      <c r="AL5200" t="s">
        <v>43</v>
      </c>
      <c r="AM5200" t="s">
        <v>43</v>
      </c>
      <c r="AN5200" t="s">
        <v>43</v>
      </c>
    </row>
    <row r="5201" spans="1:40" x14ac:dyDescent="0.3">
      <c r="A5201" s="1">
        <v>46210.397337962961</v>
      </c>
      <c r="B5201" t="s">
        <v>40</v>
      </c>
      <c r="C5201" t="s">
        <v>41</v>
      </c>
      <c r="D5201" s="1">
        <v>46210.400081018517</v>
      </c>
      <c r="E5201" t="s">
        <v>42</v>
      </c>
      <c r="F5201" t="s">
        <v>43</v>
      </c>
      <c r="G5201" t="s">
        <v>43</v>
      </c>
      <c r="H5201" t="s">
        <v>43</v>
      </c>
      <c r="I5201" t="s">
        <v>2956</v>
      </c>
      <c r="J5201" t="s">
        <v>43</v>
      </c>
      <c r="K5201" t="s">
        <v>43</v>
      </c>
      <c r="L5201" t="s">
        <v>43</v>
      </c>
      <c r="M5201" t="s">
        <v>43</v>
      </c>
      <c r="N5201" t="s">
        <v>45</v>
      </c>
      <c r="O5201" t="s">
        <v>43</v>
      </c>
      <c r="P5201" t="s">
        <v>43</v>
      </c>
      <c r="Q5201" t="s">
        <v>43</v>
      </c>
      <c r="R5201" t="s">
        <v>43</v>
      </c>
      <c r="S5201" t="s">
        <v>43</v>
      </c>
      <c r="T5201" t="s">
        <v>43</v>
      </c>
      <c r="U5201" t="s">
        <v>43</v>
      </c>
      <c r="V5201" t="s">
        <v>43</v>
      </c>
      <c r="W5201" t="s">
        <v>43</v>
      </c>
      <c r="X5201" t="s">
        <v>43</v>
      </c>
      <c r="Y5201" t="s">
        <v>43</v>
      </c>
      <c r="Z5201" t="s">
        <v>43</v>
      </c>
      <c r="AA5201" t="s">
        <v>43</v>
      </c>
      <c r="AB5201" t="s">
        <v>43</v>
      </c>
      <c r="AC5201" t="s">
        <v>43</v>
      </c>
      <c r="AD5201" t="s">
        <v>43</v>
      </c>
      <c r="AE5201" t="s">
        <v>43</v>
      </c>
      <c r="AF5201" t="s">
        <v>43</v>
      </c>
      <c r="AG5201" t="s">
        <v>43</v>
      </c>
      <c r="AH5201" t="s">
        <v>43</v>
      </c>
      <c r="AI5201" t="s">
        <v>43</v>
      </c>
      <c r="AJ5201" t="s">
        <v>43</v>
      </c>
      <c r="AK5201" t="s">
        <v>43</v>
      </c>
      <c r="AL5201" t="s">
        <v>43</v>
      </c>
      <c r="AM5201" t="s">
        <v>43</v>
      </c>
      <c r="AN5201" t="str">
        <f>HYPERLINK("https://www.google.com/maps?q=10.83223915,79.84022522","Open Location")</f>
        <v>Open Location</v>
      </c>
    </row>
    <row r="5202" spans="1:40" x14ac:dyDescent="0.3">
      <c r="A5202" s="1">
        <v>46210.397222222222</v>
      </c>
      <c r="B5202" t="s">
        <v>40</v>
      </c>
      <c r="C5202" t="s">
        <v>41</v>
      </c>
      <c r="D5202" s="1">
        <v>46210.400150462963</v>
      </c>
      <c r="E5202" t="s">
        <v>42</v>
      </c>
      <c r="F5202" t="s">
        <v>43</v>
      </c>
      <c r="G5202" t="s">
        <v>43</v>
      </c>
      <c r="H5202" t="s">
        <v>43</v>
      </c>
      <c r="I5202" t="s">
        <v>2957</v>
      </c>
      <c r="J5202" t="s">
        <v>43</v>
      </c>
      <c r="K5202" t="s">
        <v>43</v>
      </c>
      <c r="L5202" t="s">
        <v>43</v>
      </c>
      <c r="M5202" t="s">
        <v>43</v>
      </c>
      <c r="N5202" t="s">
        <v>45</v>
      </c>
      <c r="O5202" t="s">
        <v>43</v>
      </c>
      <c r="P5202" t="s">
        <v>43</v>
      </c>
      <c r="Q5202" t="s">
        <v>43</v>
      </c>
      <c r="R5202" t="s">
        <v>43</v>
      </c>
      <c r="S5202" t="s">
        <v>43</v>
      </c>
      <c r="T5202" t="s">
        <v>43</v>
      </c>
      <c r="U5202" t="s">
        <v>43</v>
      </c>
      <c r="V5202" t="s">
        <v>43</v>
      </c>
      <c r="W5202" t="s">
        <v>43</v>
      </c>
      <c r="X5202" t="s">
        <v>43</v>
      </c>
      <c r="Y5202" t="s">
        <v>43</v>
      </c>
      <c r="Z5202" t="s">
        <v>43</v>
      </c>
      <c r="AA5202" t="s">
        <v>43</v>
      </c>
      <c r="AB5202" t="s">
        <v>43</v>
      </c>
      <c r="AC5202" t="s">
        <v>43</v>
      </c>
      <c r="AD5202" t="s">
        <v>43</v>
      </c>
      <c r="AE5202" t="s">
        <v>43</v>
      </c>
      <c r="AF5202" t="s">
        <v>43</v>
      </c>
      <c r="AG5202" t="s">
        <v>43</v>
      </c>
      <c r="AH5202" t="s">
        <v>43</v>
      </c>
      <c r="AI5202" t="s">
        <v>43</v>
      </c>
      <c r="AJ5202" t="s">
        <v>43</v>
      </c>
      <c r="AK5202" t="s">
        <v>43</v>
      </c>
      <c r="AL5202" t="s">
        <v>43</v>
      </c>
      <c r="AM5202" t="s">
        <v>43</v>
      </c>
      <c r="AN5202" t="str">
        <f>HYPERLINK("https://www.google.com/maps?q=10.83224297,79.84023285","Open Location")</f>
        <v>Open Location</v>
      </c>
    </row>
    <row r="5203" spans="1:40" x14ac:dyDescent="0.3">
      <c r="A5203" s="1">
        <v>46210.397106481483</v>
      </c>
      <c r="B5203" t="s">
        <v>40</v>
      </c>
      <c r="C5203" t="s">
        <v>41</v>
      </c>
      <c r="D5203" s="1">
        <v>46210.400081018517</v>
      </c>
      <c r="E5203" t="s">
        <v>42</v>
      </c>
      <c r="F5203" t="s">
        <v>43</v>
      </c>
      <c r="G5203" t="s">
        <v>43</v>
      </c>
      <c r="H5203" t="s">
        <v>43</v>
      </c>
      <c r="I5203" t="s">
        <v>2814</v>
      </c>
      <c r="J5203" t="s">
        <v>43</v>
      </c>
      <c r="K5203" t="s">
        <v>43</v>
      </c>
      <c r="L5203" t="s">
        <v>43</v>
      </c>
      <c r="M5203" t="s">
        <v>43</v>
      </c>
      <c r="N5203" t="s">
        <v>45</v>
      </c>
      <c r="O5203" t="s">
        <v>43</v>
      </c>
      <c r="P5203" t="s">
        <v>43</v>
      </c>
      <c r="Q5203" t="s">
        <v>43</v>
      </c>
      <c r="R5203" t="s">
        <v>43</v>
      </c>
      <c r="S5203" t="s">
        <v>43</v>
      </c>
      <c r="T5203" t="s">
        <v>43</v>
      </c>
      <c r="U5203" t="s">
        <v>43</v>
      </c>
      <c r="V5203" t="s">
        <v>43</v>
      </c>
      <c r="W5203" t="s">
        <v>43</v>
      </c>
      <c r="X5203" t="s">
        <v>43</v>
      </c>
      <c r="Y5203" t="s">
        <v>43</v>
      </c>
      <c r="Z5203" t="s">
        <v>43</v>
      </c>
      <c r="AA5203" t="s">
        <v>43</v>
      </c>
      <c r="AB5203" t="s">
        <v>43</v>
      </c>
      <c r="AC5203" t="s">
        <v>43</v>
      </c>
      <c r="AD5203" t="s">
        <v>43</v>
      </c>
      <c r="AE5203" t="s">
        <v>43</v>
      </c>
      <c r="AF5203" t="s">
        <v>43</v>
      </c>
      <c r="AG5203" t="s">
        <v>43</v>
      </c>
      <c r="AH5203" t="s">
        <v>43</v>
      </c>
      <c r="AI5203" t="s">
        <v>43</v>
      </c>
      <c r="AJ5203" t="s">
        <v>43</v>
      </c>
      <c r="AK5203" t="s">
        <v>43</v>
      </c>
      <c r="AL5203" t="s">
        <v>43</v>
      </c>
      <c r="AM5203" t="s">
        <v>43</v>
      </c>
      <c r="AN5203" t="str">
        <f>HYPERLINK("https://www.google.com/maps?q=10.83224392,79.84022522","Open Location")</f>
        <v>Open Location</v>
      </c>
    </row>
    <row r="5204" spans="1:40" x14ac:dyDescent="0.3">
      <c r="A5204" s="1">
        <v>46210.396990740737</v>
      </c>
      <c r="B5204" t="s">
        <v>40</v>
      </c>
      <c r="C5204" t="s">
        <v>41</v>
      </c>
      <c r="D5204" s="1">
        <v>46210.399861111109</v>
      </c>
      <c r="E5204" t="s">
        <v>42</v>
      </c>
      <c r="F5204" t="s">
        <v>43</v>
      </c>
      <c r="G5204" t="s">
        <v>43</v>
      </c>
      <c r="H5204" t="s">
        <v>43</v>
      </c>
      <c r="I5204" t="s">
        <v>2958</v>
      </c>
      <c r="J5204" t="s">
        <v>43</v>
      </c>
      <c r="K5204" t="s">
        <v>43</v>
      </c>
      <c r="L5204" t="s">
        <v>43</v>
      </c>
      <c r="M5204" t="s">
        <v>43</v>
      </c>
      <c r="N5204" t="s">
        <v>45</v>
      </c>
      <c r="O5204" t="s">
        <v>43</v>
      </c>
      <c r="P5204" t="s">
        <v>43</v>
      </c>
      <c r="Q5204" t="s">
        <v>43</v>
      </c>
      <c r="R5204" t="s">
        <v>43</v>
      </c>
      <c r="S5204" t="s">
        <v>43</v>
      </c>
      <c r="T5204" t="s">
        <v>43</v>
      </c>
      <c r="U5204" t="s">
        <v>43</v>
      </c>
      <c r="V5204" t="s">
        <v>43</v>
      </c>
      <c r="W5204" t="s">
        <v>43</v>
      </c>
      <c r="X5204" t="s">
        <v>43</v>
      </c>
      <c r="Y5204" t="s">
        <v>43</v>
      </c>
      <c r="Z5204" t="s">
        <v>43</v>
      </c>
      <c r="AA5204" t="s">
        <v>43</v>
      </c>
      <c r="AB5204" t="s">
        <v>43</v>
      </c>
      <c r="AC5204" t="s">
        <v>43</v>
      </c>
      <c r="AD5204" t="s">
        <v>43</v>
      </c>
      <c r="AE5204" t="s">
        <v>43</v>
      </c>
      <c r="AF5204" t="s">
        <v>43</v>
      </c>
      <c r="AG5204" t="s">
        <v>43</v>
      </c>
      <c r="AH5204" t="s">
        <v>43</v>
      </c>
      <c r="AI5204" t="s">
        <v>43</v>
      </c>
      <c r="AJ5204" t="s">
        <v>43</v>
      </c>
      <c r="AK5204" t="s">
        <v>43</v>
      </c>
      <c r="AL5204" t="s">
        <v>43</v>
      </c>
      <c r="AM5204" t="s">
        <v>43</v>
      </c>
      <c r="AN5204" t="str">
        <f>HYPERLINK("https://www.google.com/maps?q=10.83224583,79.84022522","Open Location")</f>
        <v>Open Location</v>
      </c>
    </row>
    <row r="5205" spans="1:40" x14ac:dyDescent="0.3">
      <c r="A5205" s="1">
        <v>46210.396874999999</v>
      </c>
      <c r="B5205" t="s">
        <v>40</v>
      </c>
      <c r="C5205" t="s">
        <v>41</v>
      </c>
      <c r="D5205" s="1">
        <v>46210.400150462963</v>
      </c>
      <c r="E5205" t="s">
        <v>42</v>
      </c>
      <c r="F5205" t="s">
        <v>43</v>
      </c>
      <c r="G5205" t="s">
        <v>43</v>
      </c>
      <c r="H5205" t="s">
        <v>43</v>
      </c>
      <c r="I5205" t="s">
        <v>2959</v>
      </c>
      <c r="J5205" t="s">
        <v>43</v>
      </c>
      <c r="K5205" t="s">
        <v>43</v>
      </c>
      <c r="L5205" t="s">
        <v>43</v>
      </c>
      <c r="M5205" t="s">
        <v>43</v>
      </c>
      <c r="N5205" t="s">
        <v>45</v>
      </c>
      <c r="O5205" t="s">
        <v>43</v>
      </c>
      <c r="P5205" t="s">
        <v>43</v>
      </c>
      <c r="Q5205" t="s">
        <v>43</v>
      </c>
      <c r="R5205" t="s">
        <v>43</v>
      </c>
      <c r="S5205" t="s">
        <v>43</v>
      </c>
      <c r="T5205" t="s">
        <v>43</v>
      </c>
      <c r="U5205" t="s">
        <v>43</v>
      </c>
      <c r="V5205" t="s">
        <v>43</v>
      </c>
      <c r="W5205" t="s">
        <v>43</v>
      </c>
      <c r="X5205" t="s">
        <v>43</v>
      </c>
      <c r="Y5205" t="s">
        <v>43</v>
      </c>
      <c r="Z5205" t="s">
        <v>43</v>
      </c>
      <c r="AA5205" t="s">
        <v>43</v>
      </c>
      <c r="AB5205" t="s">
        <v>43</v>
      </c>
      <c r="AC5205" t="s">
        <v>43</v>
      </c>
      <c r="AD5205" t="s">
        <v>43</v>
      </c>
      <c r="AE5205" t="s">
        <v>43</v>
      </c>
      <c r="AF5205" t="s">
        <v>43</v>
      </c>
      <c r="AG5205" t="s">
        <v>43</v>
      </c>
      <c r="AH5205" t="s">
        <v>43</v>
      </c>
      <c r="AI5205" t="s">
        <v>43</v>
      </c>
      <c r="AJ5205" t="s">
        <v>43</v>
      </c>
      <c r="AK5205" t="s">
        <v>43</v>
      </c>
      <c r="AL5205" t="s">
        <v>43</v>
      </c>
      <c r="AM5205" t="s">
        <v>43</v>
      </c>
      <c r="AN5205" t="str">
        <f>HYPERLINK("https://www.google.com/maps?q=10.83224487,79.84023285","Open Location")</f>
        <v>Open Location</v>
      </c>
    </row>
    <row r="5206" spans="1:40" x14ac:dyDescent="0.3">
      <c r="A5206" s="1">
        <v>46210.39675925926</v>
      </c>
      <c r="B5206" t="s">
        <v>40</v>
      </c>
      <c r="C5206" t="s">
        <v>41</v>
      </c>
      <c r="D5206" s="1">
        <v>46210.400104166663</v>
      </c>
      <c r="E5206" t="s">
        <v>42</v>
      </c>
      <c r="F5206" t="s">
        <v>43</v>
      </c>
      <c r="G5206" t="s">
        <v>43</v>
      </c>
      <c r="H5206" t="s">
        <v>43</v>
      </c>
      <c r="I5206" t="s">
        <v>43</v>
      </c>
      <c r="J5206" t="s">
        <v>43</v>
      </c>
      <c r="K5206" t="s">
        <v>43</v>
      </c>
      <c r="L5206" t="s">
        <v>43</v>
      </c>
      <c r="M5206" t="s">
        <v>43</v>
      </c>
      <c r="N5206" t="s">
        <v>45</v>
      </c>
      <c r="O5206" t="s">
        <v>43</v>
      </c>
      <c r="P5206" t="s">
        <v>43</v>
      </c>
      <c r="Q5206" t="s">
        <v>43</v>
      </c>
      <c r="R5206" t="s">
        <v>43</v>
      </c>
      <c r="S5206" t="s">
        <v>43</v>
      </c>
      <c r="T5206" t="s">
        <v>43</v>
      </c>
      <c r="U5206" t="s">
        <v>43</v>
      </c>
      <c r="V5206" t="s">
        <v>43</v>
      </c>
      <c r="W5206" t="s">
        <v>43</v>
      </c>
      <c r="X5206" t="s">
        <v>43</v>
      </c>
      <c r="Y5206" t="s">
        <v>43</v>
      </c>
      <c r="Z5206" t="s">
        <v>43</v>
      </c>
      <c r="AA5206" t="s">
        <v>43</v>
      </c>
      <c r="AB5206" t="s">
        <v>43</v>
      </c>
      <c r="AC5206" t="s">
        <v>43</v>
      </c>
      <c r="AD5206" t="s">
        <v>43</v>
      </c>
      <c r="AE5206" t="s">
        <v>43</v>
      </c>
      <c r="AF5206" t="s">
        <v>43</v>
      </c>
      <c r="AG5206" t="s">
        <v>43</v>
      </c>
      <c r="AH5206" t="s">
        <v>43</v>
      </c>
      <c r="AI5206" t="s">
        <v>43</v>
      </c>
      <c r="AJ5206" t="s">
        <v>43</v>
      </c>
      <c r="AK5206" t="s">
        <v>43</v>
      </c>
      <c r="AL5206" t="s">
        <v>43</v>
      </c>
      <c r="AM5206" t="s">
        <v>43</v>
      </c>
      <c r="AN5206" t="s">
        <v>43</v>
      </c>
    </row>
    <row r="5207" spans="1:40" x14ac:dyDescent="0.3">
      <c r="A5207" s="1">
        <v>46210.396643518521</v>
      </c>
      <c r="B5207" t="s">
        <v>40</v>
      </c>
      <c r="C5207" t="s">
        <v>41</v>
      </c>
      <c r="D5207" s="1">
        <v>46210.399583333332</v>
      </c>
      <c r="E5207" t="s">
        <v>42</v>
      </c>
      <c r="F5207" t="s">
        <v>43</v>
      </c>
      <c r="G5207" t="s">
        <v>43</v>
      </c>
      <c r="H5207" t="s">
        <v>43</v>
      </c>
      <c r="I5207" t="s">
        <v>2957</v>
      </c>
      <c r="J5207" t="s">
        <v>43</v>
      </c>
      <c r="K5207" t="s">
        <v>43</v>
      </c>
      <c r="L5207" t="s">
        <v>43</v>
      </c>
      <c r="M5207" t="s">
        <v>43</v>
      </c>
      <c r="N5207" t="s">
        <v>45</v>
      </c>
      <c r="O5207" t="s">
        <v>43</v>
      </c>
      <c r="P5207" t="s">
        <v>43</v>
      </c>
      <c r="Q5207" t="s">
        <v>43</v>
      </c>
      <c r="R5207" t="s">
        <v>43</v>
      </c>
      <c r="S5207" t="s">
        <v>43</v>
      </c>
      <c r="T5207" t="s">
        <v>43</v>
      </c>
      <c r="U5207" t="s">
        <v>43</v>
      </c>
      <c r="V5207" t="s">
        <v>43</v>
      </c>
      <c r="W5207" t="s">
        <v>43</v>
      </c>
      <c r="X5207" t="s">
        <v>43</v>
      </c>
      <c r="Y5207" t="s">
        <v>43</v>
      </c>
      <c r="Z5207" t="s">
        <v>43</v>
      </c>
      <c r="AA5207" t="s">
        <v>43</v>
      </c>
      <c r="AB5207" t="s">
        <v>43</v>
      </c>
      <c r="AC5207" t="s">
        <v>43</v>
      </c>
      <c r="AD5207" t="s">
        <v>43</v>
      </c>
      <c r="AE5207" t="s">
        <v>43</v>
      </c>
      <c r="AF5207" t="s">
        <v>43</v>
      </c>
      <c r="AG5207" t="s">
        <v>43</v>
      </c>
      <c r="AH5207" t="s">
        <v>43</v>
      </c>
      <c r="AI5207" t="s">
        <v>43</v>
      </c>
      <c r="AJ5207" t="s">
        <v>43</v>
      </c>
      <c r="AK5207" t="s">
        <v>43</v>
      </c>
      <c r="AL5207" t="s">
        <v>43</v>
      </c>
      <c r="AM5207" t="s">
        <v>43</v>
      </c>
      <c r="AN5207" t="str">
        <f>HYPERLINK("https://www.google.com/maps?q=10.83224297,79.84023285","Open Location")</f>
        <v>Open Location</v>
      </c>
    </row>
    <row r="5208" spans="1:40" x14ac:dyDescent="0.3">
      <c r="A5208" s="1">
        <v>46210.396527777775</v>
      </c>
      <c r="B5208" t="s">
        <v>40</v>
      </c>
      <c r="C5208" t="s">
        <v>41</v>
      </c>
      <c r="D5208" s="1">
        <v>46210.399537037039</v>
      </c>
      <c r="E5208" t="s">
        <v>42</v>
      </c>
      <c r="F5208" t="s">
        <v>43</v>
      </c>
      <c r="G5208" t="s">
        <v>43</v>
      </c>
      <c r="H5208" t="s">
        <v>43</v>
      </c>
      <c r="I5208" t="s">
        <v>2957</v>
      </c>
      <c r="J5208" t="s">
        <v>43</v>
      </c>
      <c r="K5208" t="s">
        <v>43</v>
      </c>
      <c r="L5208" t="s">
        <v>43</v>
      </c>
      <c r="M5208" t="s">
        <v>43</v>
      </c>
      <c r="N5208" t="s">
        <v>45</v>
      </c>
      <c r="O5208" t="s">
        <v>43</v>
      </c>
      <c r="P5208" t="s">
        <v>43</v>
      </c>
      <c r="Q5208" t="s">
        <v>43</v>
      </c>
      <c r="R5208" t="s">
        <v>43</v>
      </c>
      <c r="S5208" t="s">
        <v>43</v>
      </c>
      <c r="T5208" t="s">
        <v>43</v>
      </c>
      <c r="U5208" t="s">
        <v>43</v>
      </c>
      <c r="V5208" t="s">
        <v>43</v>
      </c>
      <c r="W5208" t="s">
        <v>43</v>
      </c>
      <c r="X5208" t="s">
        <v>43</v>
      </c>
      <c r="Y5208" t="s">
        <v>43</v>
      </c>
      <c r="Z5208" t="s">
        <v>43</v>
      </c>
      <c r="AA5208" t="s">
        <v>43</v>
      </c>
      <c r="AB5208" t="s">
        <v>43</v>
      </c>
      <c r="AC5208" t="s">
        <v>43</v>
      </c>
      <c r="AD5208" t="s">
        <v>43</v>
      </c>
      <c r="AE5208" t="s">
        <v>43</v>
      </c>
      <c r="AF5208" t="s">
        <v>43</v>
      </c>
      <c r="AG5208" t="s">
        <v>43</v>
      </c>
      <c r="AH5208" t="s">
        <v>43</v>
      </c>
      <c r="AI5208" t="s">
        <v>43</v>
      </c>
      <c r="AJ5208" t="s">
        <v>43</v>
      </c>
      <c r="AK5208" t="s">
        <v>43</v>
      </c>
      <c r="AL5208" t="s">
        <v>43</v>
      </c>
      <c r="AM5208" t="s">
        <v>43</v>
      </c>
      <c r="AN5208" t="str">
        <f>HYPERLINK("https://www.google.com/maps?q=10.83224297,79.84023285","Open Location")</f>
        <v>Open Location</v>
      </c>
    </row>
    <row r="5209" spans="1:40" x14ac:dyDescent="0.3">
      <c r="A5209" s="1">
        <v>46210.396412037036</v>
      </c>
      <c r="B5209" t="s">
        <v>40</v>
      </c>
      <c r="C5209" t="s">
        <v>41</v>
      </c>
      <c r="D5209" s="1">
        <v>46210.399710648147</v>
      </c>
      <c r="E5209" t="s">
        <v>42</v>
      </c>
      <c r="F5209" t="s">
        <v>43</v>
      </c>
      <c r="G5209" t="s">
        <v>43</v>
      </c>
      <c r="H5209" t="s">
        <v>43</v>
      </c>
      <c r="I5209" t="s">
        <v>2960</v>
      </c>
      <c r="J5209" t="s">
        <v>43</v>
      </c>
      <c r="K5209" t="s">
        <v>43</v>
      </c>
      <c r="L5209" t="s">
        <v>43</v>
      </c>
      <c r="M5209" t="s">
        <v>43</v>
      </c>
      <c r="N5209" t="s">
        <v>45</v>
      </c>
      <c r="O5209" t="s">
        <v>43</v>
      </c>
      <c r="P5209" t="s">
        <v>43</v>
      </c>
      <c r="Q5209" t="s">
        <v>43</v>
      </c>
      <c r="R5209" t="s">
        <v>43</v>
      </c>
      <c r="S5209" t="s">
        <v>43</v>
      </c>
      <c r="T5209" t="s">
        <v>43</v>
      </c>
      <c r="U5209" t="s">
        <v>43</v>
      </c>
      <c r="V5209" t="s">
        <v>43</v>
      </c>
      <c r="W5209" t="s">
        <v>43</v>
      </c>
      <c r="X5209" t="s">
        <v>43</v>
      </c>
      <c r="Y5209" t="s">
        <v>43</v>
      </c>
      <c r="Z5209" t="s">
        <v>43</v>
      </c>
      <c r="AA5209" t="s">
        <v>43</v>
      </c>
      <c r="AB5209" t="s">
        <v>43</v>
      </c>
      <c r="AC5209" t="s">
        <v>43</v>
      </c>
      <c r="AD5209" t="s">
        <v>43</v>
      </c>
      <c r="AE5209" t="s">
        <v>43</v>
      </c>
      <c r="AF5209" t="s">
        <v>43</v>
      </c>
      <c r="AG5209" t="s">
        <v>43</v>
      </c>
      <c r="AH5209" t="s">
        <v>43</v>
      </c>
      <c r="AI5209" t="s">
        <v>43</v>
      </c>
      <c r="AJ5209" t="s">
        <v>43</v>
      </c>
      <c r="AK5209" t="s">
        <v>43</v>
      </c>
      <c r="AL5209" t="s">
        <v>43</v>
      </c>
      <c r="AM5209" t="s">
        <v>43</v>
      </c>
      <c r="AN5209" t="str">
        <f>HYPERLINK("https://www.google.com/maps?q=10.83223915,79.84023285","Open Location")</f>
        <v>Open Location</v>
      </c>
    </row>
    <row r="5210" spans="1:40" x14ac:dyDescent="0.3">
      <c r="A5210" s="1">
        <v>46210.396296296298</v>
      </c>
      <c r="B5210" t="s">
        <v>40</v>
      </c>
      <c r="C5210" t="s">
        <v>41</v>
      </c>
      <c r="D5210" s="1">
        <v>46210.399351851855</v>
      </c>
      <c r="E5210" t="s">
        <v>42</v>
      </c>
      <c r="F5210" t="s">
        <v>43</v>
      </c>
      <c r="G5210" t="s">
        <v>43</v>
      </c>
      <c r="H5210" t="s">
        <v>43</v>
      </c>
      <c r="I5210" t="s">
        <v>43</v>
      </c>
      <c r="J5210" t="s">
        <v>43</v>
      </c>
      <c r="K5210" t="s">
        <v>43</v>
      </c>
      <c r="L5210" t="s">
        <v>43</v>
      </c>
      <c r="M5210" t="s">
        <v>43</v>
      </c>
      <c r="N5210" t="s">
        <v>45</v>
      </c>
      <c r="O5210" t="s">
        <v>43</v>
      </c>
      <c r="P5210" t="s">
        <v>43</v>
      </c>
      <c r="Q5210" t="s">
        <v>43</v>
      </c>
      <c r="R5210" t="s">
        <v>43</v>
      </c>
      <c r="S5210" t="s">
        <v>43</v>
      </c>
      <c r="T5210" t="s">
        <v>43</v>
      </c>
      <c r="U5210" t="s">
        <v>43</v>
      </c>
      <c r="V5210" t="s">
        <v>43</v>
      </c>
      <c r="W5210" t="s">
        <v>43</v>
      </c>
      <c r="X5210" t="s">
        <v>43</v>
      </c>
      <c r="Y5210" t="s">
        <v>43</v>
      </c>
      <c r="Z5210" t="s">
        <v>43</v>
      </c>
      <c r="AA5210" t="s">
        <v>43</v>
      </c>
      <c r="AB5210" t="s">
        <v>43</v>
      </c>
      <c r="AC5210" t="s">
        <v>43</v>
      </c>
      <c r="AD5210" t="s">
        <v>43</v>
      </c>
      <c r="AE5210" t="s">
        <v>43</v>
      </c>
      <c r="AF5210" t="s">
        <v>43</v>
      </c>
      <c r="AG5210" t="s">
        <v>43</v>
      </c>
      <c r="AH5210" t="s">
        <v>43</v>
      </c>
      <c r="AI5210" t="s">
        <v>43</v>
      </c>
      <c r="AJ5210" t="s">
        <v>43</v>
      </c>
      <c r="AK5210" t="s">
        <v>43</v>
      </c>
      <c r="AL5210" t="s">
        <v>43</v>
      </c>
      <c r="AM5210" t="s">
        <v>43</v>
      </c>
      <c r="AN5210" t="s">
        <v>43</v>
      </c>
    </row>
    <row r="5211" spans="1:40" x14ac:dyDescent="0.3">
      <c r="A5211" s="1">
        <v>46210.396180555559</v>
      </c>
      <c r="B5211" t="s">
        <v>40</v>
      </c>
      <c r="C5211" t="s">
        <v>41</v>
      </c>
      <c r="D5211" s="1">
        <v>46210.39912037037</v>
      </c>
      <c r="E5211" t="s">
        <v>42</v>
      </c>
      <c r="F5211" t="s">
        <v>43</v>
      </c>
      <c r="G5211" t="s">
        <v>43</v>
      </c>
      <c r="H5211" t="s">
        <v>43</v>
      </c>
      <c r="I5211" t="s">
        <v>2739</v>
      </c>
      <c r="J5211" t="s">
        <v>43</v>
      </c>
      <c r="K5211" t="s">
        <v>43</v>
      </c>
      <c r="L5211" t="s">
        <v>43</v>
      </c>
      <c r="M5211" t="s">
        <v>43</v>
      </c>
      <c r="N5211" t="s">
        <v>45</v>
      </c>
      <c r="O5211" t="s">
        <v>43</v>
      </c>
      <c r="P5211" t="s">
        <v>43</v>
      </c>
      <c r="Q5211" t="s">
        <v>43</v>
      </c>
      <c r="R5211" t="s">
        <v>43</v>
      </c>
      <c r="S5211" t="s">
        <v>43</v>
      </c>
      <c r="T5211" t="s">
        <v>43</v>
      </c>
      <c r="U5211" t="s">
        <v>43</v>
      </c>
      <c r="V5211" t="s">
        <v>43</v>
      </c>
      <c r="W5211" t="s">
        <v>43</v>
      </c>
      <c r="X5211" t="s">
        <v>43</v>
      </c>
      <c r="Y5211" t="s">
        <v>43</v>
      </c>
      <c r="Z5211" t="s">
        <v>43</v>
      </c>
      <c r="AA5211" t="s">
        <v>43</v>
      </c>
      <c r="AB5211" t="s">
        <v>43</v>
      </c>
      <c r="AC5211" t="s">
        <v>43</v>
      </c>
      <c r="AD5211" t="s">
        <v>43</v>
      </c>
      <c r="AE5211" t="s">
        <v>43</v>
      </c>
      <c r="AF5211" t="s">
        <v>43</v>
      </c>
      <c r="AG5211" t="s">
        <v>43</v>
      </c>
      <c r="AH5211" t="s">
        <v>43</v>
      </c>
      <c r="AI5211" t="s">
        <v>43</v>
      </c>
      <c r="AJ5211" t="s">
        <v>43</v>
      </c>
      <c r="AK5211" t="s">
        <v>43</v>
      </c>
      <c r="AL5211" t="s">
        <v>43</v>
      </c>
      <c r="AM5211" t="s">
        <v>43</v>
      </c>
      <c r="AN5211" t="str">
        <f>HYPERLINK("https://www.google.com/maps?q=10.83224106,79.84023285","Open Location")</f>
        <v>Open Location</v>
      </c>
    </row>
    <row r="5212" spans="1:40" x14ac:dyDescent="0.3">
      <c r="A5212" s="1">
        <v>46210.396064814813</v>
      </c>
      <c r="B5212" t="s">
        <v>40</v>
      </c>
      <c r="C5212" t="s">
        <v>41</v>
      </c>
      <c r="D5212" s="1">
        <v>46210.399016203701</v>
      </c>
      <c r="E5212" t="s">
        <v>42</v>
      </c>
      <c r="F5212" t="s">
        <v>43</v>
      </c>
      <c r="G5212" t="s">
        <v>43</v>
      </c>
      <c r="H5212" t="s">
        <v>43</v>
      </c>
      <c r="I5212" t="s">
        <v>2945</v>
      </c>
      <c r="J5212" t="s">
        <v>43</v>
      </c>
      <c r="K5212" t="s">
        <v>43</v>
      </c>
      <c r="L5212" t="s">
        <v>43</v>
      </c>
      <c r="M5212" t="s">
        <v>43</v>
      </c>
      <c r="N5212" t="s">
        <v>45</v>
      </c>
      <c r="O5212" t="s">
        <v>43</v>
      </c>
      <c r="P5212" t="s">
        <v>43</v>
      </c>
      <c r="Q5212" t="s">
        <v>43</v>
      </c>
      <c r="R5212" t="s">
        <v>43</v>
      </c>
      <c r="S5212" t="s">
        <v>43</v>
      </c>
      <c r="T5212" t="s">
        <v>43</v>
      </c>
      <c r="U5212" t="s">
        <v>43</v>
      </c>
      <c r="V5212" t="s">
        <v>43</v>
      </c>
      <c r="W5212" t="s">
        <v>43</v>
      </c>
      <c r="X5212" t="s">
        <v>43</v>
      </c>
      <c r="Y5212" t="s">
        <v>43</v>
      </c>
      <c r="Z5212" t="s">
        <v>43</v>
      </c>
      <c r="AA5212" t="s">
        <v>43</v>
      </c>
      <c r="AB5212" t="s">
        <v>43</v>
      </c>
      <c r="AC5212" t="s">
        <v>43</v>
      </c>
      <c r="AD5212" t="s">
        <v>43</v>
      </c>
      <c r="AE5212" t="s">
        <v>43</v>
      </c>
      <c r="AF5212" t="s">
        <v>43</v>
      </c>
      <c r="AG5212" t="s">
        <v>43</v>
      </c>
      <c r="AH5212" t="s">
        <v>43</v>
      </c>
      <c r="AI5212" t="s">
        <v>43</v>
      </c>
      <c r="AJ5212" t="s">
        <v>43</v>
      </c>
      <c r="AK5212" t="s">
        <v>43</v>
      </c>
      <c r="AL5212" t="s">
        <v>43</v>
      </c>
      <c r="AM5212" t="s">
        <v>43</v>
      </c>
      <c r="AN5212" t="str">
        <f>HYPERLINK("https://www.google.com/maps?q=10.83224201,79.84022522","Open Location")</f>
        <v>Open Location</v>
      </c>
    </row>
    <row r="5213" spans="1:40" x14ac:dyDescent="0.3">
      <c r="A5213" s="1">
        <v>46210.395949074074</v>
      </c>
      <c r="B5213" t="s">
        <v>40</v>
      </c>
      <c r="C5213" t="s">
        <v>41</v>
      </c>
      <c r="D5213" s="1">
        <v>46210.398784722223</v>
      </c>
      <c r="E5213" t="s">
        <v>42</v>
      </c>
      <c r="F5213" t="s">
        <v>43</v>
      </c>
      <c r="G5213" t="s">
        <v>43</v>
      </c>
      <c r="H5213" t="s">
        <v>43</v>
      </c>
      <c r="I5213" t="s">
        <v>2813</v>
      </c>
      <c r="J5213" t="s">
        <v>43</v>
      </c>
      <c r="K5213" t="s">
        <v>43</v>
      </c>
      <c r="L5213" t="s">
        <v>43</v>
      </c>
      <c r="M5213" t="s">
        <v>43</v>
      </c>
      <c r="N5213" t="s">
        <v>45</v>
      </c>
      <c r="O5213" t="s">
        <v>43</v>
      </c>
      <c r="P5213" t="s">
        <v>43</v>
      </c>
      <c r="Q5213" t="s">
        <v>43</v>
      </c>
      <c r="R5213" t="s">
        <v>43</v>
      </c>
      <c r="S5213" t="s">
        <v>43</v>
      </c>
      <c r="T5213" t="s">
        <v>43</v>
      </c>
      <c r="U5213" t="s">
        <v>43</v>
      </c>
      <c r="V5213" t="s">
        <v>43</v>
      </c>
      <c r="W5213" t="s">
        <v>43</v>
      </c>
      <c r="X5213" t="s">
        <v>43</v>
      </c>
      <c r="Y5213" t="s">
        <v>43</v>
      </c>
      <c r="Z5213" t="s">
        <v>43</v>
      </c>
      <c r="AA5213" t="s">
        <v>43</v>
      </c>
      <c r="AB5213" t="s">
        <v>43</v>
      </c>
      <c r="AC5213" t="s">
        <v>43</v>
      </c>
      <c r="AD5213" t="s">
        <v>43</v>
      </c>
      <c r="AE5213" t="s">
        <v>43</v>
      </c>
      <c r="AF5213" t="s">
        <v>43</v>
      </c>
      <c r="AG5213" t="s">
        <v>43</v>
      </c>
      <c r="AH5213" t="s">
        <v>43</v>
      </c>
      <c r="AI5213" t="s">
        <v>43</v>
      </c>
      <c r="AJ5213" t="s">
        <v>43</v>
      </c>
      <c r="AK5213" t="s">
        <v>43</v>
      </c>
      <c r="AL5213" t="s">
        <v>43</v>
      </c>
      <c r="AM5213" t="s">
        <v>43</v>
      </c>
      <c r="AN5213" t="str">
        <f>HYPERLINK("https://www.google.com/maps?q=10.83224297,79.84022522","Open Location")</f>
        <v>Open Location</v>
      </c>
    </row>
    <row r="5214" spans="1:40" x14ac:dyDescent="0.3">
      <c r="A5214" s="1">
        <v>46210.395833333336</v>
      </c>
      <c r="B5214" t="s">
        <v>40</v>
      </c>
      <c r="C5214" t="s">
        <v>41</v>
      </c>
      <c r="D5214" s="1">
        <v>46210.398738425924</v>
      </c>
      <c r="E5214" t="s">
        <v>42</v>
      </c>
      <c r="F5214" t="s">
        <v>43</v>
      </c>
      <c r="G5214" t="s">
        <v>43</v>
      </c>
      <c r="H5214" t="s">
        <v>43</v>
      </c>
      <c r="I5214" t="s">
        <v>2945</v>
      </c>
      <c r="J5214" t="s">
        <v>43</v>
      </c>
      <c r="K5214" t="s">
        <v>43</v>
      </c>
      <c r="L5214" t="s">
        <v>43</v>
      </c>
      <c r="M5214" t="s">
        <v>43</v>
      </c>
      <c r="N5214" t="s">
        <v>45</v>
      </c>
      <c r="O5214" t="s">
        <v>43</v>
      </c>
      <c r="P5214" t="s">
        <v>43</v>
      </c>
      <c r="Q5214" t="s">
        <v>43</v>
      </c>
      <c r="R5214" t="s">
        <v>43</v>
      </c>
      <c r="S5214" t="s">
        <v>43</v>
      </c>
      <c r="T5214" t="s">
        <v>43</v>
      </c>
      <c r="U5214" t="s">
        <v>43</v>
      </c>
      <c r="V5214" t="s">
        <v>43</v>
      </c>
      <c r="W5214" t="s">
        <v>43</v>
      </c>
      <c r="X5214" t="s">
        <v>43</v>
      </c>
      <c r="Y5214" t="s">
        <v>43</v>
      </c>
      <c r="Z5214" t="s">
        <v>43</v>
      </c>
      <c r="AA5214" t="s">
        <v>43</v>
      </c>
      <c r="AB5214" t="s">
        <v>43</v>
      </c>
      <c r="AC5214" t="s">
        <v>43</v>
      </c>
      <c r="AD5214" t="s">
        <v>43</v>
      </c>
      <c r="AE5214" t="s">
        <v>43</v>
      </c>
      <c r="AF5214" t="s">
        <v>43</v>
      </c>
      <c r="AG5214" t="s">
        <v>43</v>
      </c>
      <c r="AH5214" t="s">
        <v>43</v>
      </c>
      <c r="AI5214" t="s">
        <v>43</v>
      </c>
      <c r="AJ5214" t="s">
        <v>43</v>
      </c>
      <c r="AK5214" t="s">
        <v>43</v>
      </c>
      <c r="AL5214" t="s">
        <v>43</v>
      </c>
      <c r="AM5214" t="s">
        <v>43</v>
      </c>
      <c r="AN5214" t="str">
        <f>HYPERLINK("https://www.google.com/maps?q=10.83224201,79.84022522","Open Location")</f>
        <v>Open Location</v>
      </c>
    </row>
    <row r="5215" spans="1:40" x14ac:dyDescent="0.3">
      <c r="A5215" s="1">
        <v>46210.39571759259</v>
      </c>
      <c r="B5215" t="s">
        <v>40</v>
      </c>
      <c r="C5215" t="s">
        <v>41</v>
      </c>
      <c r="D5215" s="1">
        <v>46210.398379629631</v>
      </c>
      <c r="E5215" t="s">
        <v>42</v>
      </c>
      <c r="F5215" t="s">
        <v>43</v>
      </c>
      <c r="G5215" t="s">
        <v>43</v>
      </c>
      <c r="H5215" t="s">
        <v>43</v>
      </c>
      <c r="I5215" t="s">
        <v>2741</v>
      </c>
      <c r="J5215" t="s">
        <v>43</v>
      </c>
      <c r="K5215" t="s">
        <v>43</v>
      </c>
      <c r="L5215" t="s">
        <v>43</v>
      </c>
      <c r="M5215" t="s">
        <v>43</v>
      </c>
      <c r="N5215" t="s">
        <v>45</v>
      </c>
      <c r="O5215" t="s">
        <v>43</v>
      </c>
      <c r="P5215" t="s">
        <v>43</v>
      </c>
      <c r="Q5215" t="s">
        <v>43</v>
      </c>
      <c r="R5215" t="s">
        <v>43</v>
      </c>
      <c r="S5215" t="s">
        <v>43</v>
      </c>
      <c r="T5215" t="s">
        <v>43</v>
      </c>
      <c r="U5215" t="s">
        <v>43</v>
      </c>
      <c r="V5215" t="s">
        <v>43</v>
      </c>
      <c r="W5215" t="s">
        <v>43</v>
      </c>
      <c r="X5215" t="s">
        <v>43</v>
      </c>
      <c r="Y5215" t="s">
        <v>43</v>
      </c>
      <c r="Z5215" t="s">
        <v>43</v>
      </c>
      <c r="AA5215" t="s">
        <v>43</v>
      </c>
      <c r="AB5215" t="s">
        <v>43</v>
      </c>
      <c r="AC5215" t="s">
        <v>43</v>
      </c>
      <c r="AD5215" t="s">
        <v>43</v>
      </c>
      <c r="AE5215" t="s">
        <v>43</v>
      </c>
      <c r="AF5215" t="s">
        <v>43</v>
      </c>
      <c r="AG5215" t="s">
        <v>43</v>
      </c>
      <c r="AH5215" t="s">
        <v>43</v>
      </c>
      <c r="AI5215" t="s">
        <v>43</v>
      </c>
      <c r="AJ5215" t="s">
        <v>43</v>
      </c>
      <c r="AK5215" t="s">
        <v>43</v>
      </c>
      <c r="AL5215" t="s">
        <v>43</v>
      </c>
      <c r="AM5215" t="s">
        <v>43</v>
      </c>
      <c r="AN5215" t="str">
        <f>HYPERLINK("https://www.google.com/maps?q=10.8322401,79.84021759","Open Location")</f>
        <v>Open Location</v>
      </c>
    </row>
    <row r="5216" spans="1:40" x14ac:dyDescent="0.3">
      <c r="A5216" s="1">
        <v>46210.395601851851</v>
      </c>
      <c r="B5216" t="s">
        <v>40</v>
      </c>
      <c r="C5216" t="s">
        <v>41</v>
      </c>
      <c r="D5216" s="1">
        <v>46210.398506944446</v>
      </c>
      <c r="E5216" t="s">
        <v>42</v>
      </c>
      <c r="F5216" t="s">
        <v>43</v>
      </c>
      <c r="G5216" t="s">
        <v>43</v>
      </c>
      <c r="H5216" t="s">
        <v>43</v>
      </c>
      <c r="I5216" t="s">
        <v>43</v>
      </c>
      <c r="J5216" t="s">
        <v>43</v>
      </c>
      <c r="K5216" t="s">
        <v>43</v>
      </c>
      <c r="L5216" t="s">
        <v>43</v>
      </c>
      <c r="M5216" t="s">
        <v>43</v>
      </c>
      <c r="N5216" t="s">
        <v>45</v>
      </c>
      <c r="O5216" t="s">
        <v>43</v>
      </c>
      <c r="P5216" t="s">
        <v>43</v>
      </c>
      <c r="Q5216" t="s">
        <v>43</v>
      </c>
      <c r="R5216" t="s">
        <v>43</v>
      </c>
      <c r="S5216" t="s">
        <v>43</v>
      </c>
      <c r="T5216" t="s">
        <v>43</v>
      </c>
      <c r="U5216" t="s">
        <v>43</v>
      </c>
      <c r="V5216" t="s">
        <v>43</v>
      </c>
      <c r="W5216" t="s">
        <v>43</v>
      </c>
      <c r="X5216" t="s">
        <v>43</v>
      </c>
      <c r="Y5216" t="s">
        <v>43</v>
      </c>
      <c r="Z5216" t="s">
        <v>43</v>
      </c>
      <c r="AA5216" t="s">
        <v>43</v>
      </c>
      <c r="AB5216" t="s">
        <v>43</v>
      </c>
      <c r="AC5216" t="s">
        <v>43</v>
      </c>
      <c r="AD5216" t="s">
        <v>43</v>
      </c>
      <c r="AE5216" t="s">
        <v>43</v>
      </c>
      <c r="AF5216" t="s">
        <v>43</v>
      </c>
      <c r="AG5216" t="s">
        <v>43</v>
      </c>
      <c r="AH5216" t="s">
        <v>43</v>
      </c>
      <c r="AI5216" t="s">
        <v>43</v>
      </c>
      <c r="AJ5216" t="s">
        <v>43</v>
      </c>
      <c r="AK5216" t="s">
        <v>43</v>
      </c>
      <c r="AL5216" t="s">
        <v>43</v>
      </c>
      <c r="AM5216" t="s">
        <v>43</v>
      </c>
      <c r="AN5216" t="s">
        <v>43</v>
      </c>
    </row>
    <row r="5217" spans="1:40" x14ac:dyDescent="0.3">
      <c r="A5217" s="1">
        <v>46210.395486111112</v>
      </c>
      <c r="B5217" t="s">
        <v>40</v>
      </c>
      <c r="C5217" t="s">
        <v>41</v>
      </c>
      <c r="D5217" s="1">
        <v>46210.398333333331</v>
      </c>
      <c r="E5217" t="s">
        <v>42</v>
      </c>
      <c r="F5217" t="s">
        <v>43</v>
      </c>
      <c r="G5217" t="s">
        <v>43</v>
      </c>
      <c r="H5217" t="s">
        <v>43</v>
      </c>
      <c r="I5217" t="s">
        <v>2941</v>
      </c>
      <c r="J5217" t="s">
        <v>43</v>
      </c>
      <c r="K5217" t="s">
        <v>43</v>
      </c>
      <c r="L5217" t="s">
        <v>43</v>
      </c>
      <c r="M5217" t="s">
        <v>43</v>
      </c>
      <c r="N5217" t="s">
        <v>45</v>
      </c>
      <c r="O5217" t="s">
        <v>43</v>
      </c>
      <c r="P5217" t="s">
        <v>43</v>
      </c>
      <c r="Q5217" t="s">
        <v>43</v>
      </c>
      <c r="R5217" t="s">
        <v>43</v>
      </c>
      <c r="S5217" t="s">
        <v>43</v>
      </c>
      <c r="T5217" t="s">
        <v>43</v>
      </c>
      <c r="U5217" t="s">
        <v>43</v>
      </c>
      <c r="V5217" t="s">
        <v>43</v>
      </c>
      <c r="W5217" t="s">
        <v>43</v>
      </c>
      <c r="X5217" t="s">
        <v>43</v>
      </c>
      <c r="Y5217" t="s">
        <v>43</v>
      </c>
      <c r="Z5217" t="s">
        <v>43</v>
      </c>
      <c r="AA5217" t="s">
        <v>43</v>
      </c>
      <c r="AB5217" t="s">
        <v>43</v>
      </c>
      <c r="AC5217" t="s">
        <v>43</v>
      </c>
      <c r="AD5217" t="s">
        <v>43</v>
      </c>
      <c r="AE5217" t="s">
        <v>43</v>
      </c>
      <c r="AF5217" t="s">
        <v>43</v>
      </c>
      <c r="AG5217" t="s">
        <v>43</v>
      </c>
      <c r="AH5217" t="s">
        <v>43</v>
      </c>
      <c r="AI5217" t="s">
        <v>43</v>
      </c>
      <c r="AJ5217" t="s">
        <v>43</v>
      </c>
      <c r="AK5217" t="s">
        <v>43</v>
      </c>
      <c r="AL5217" t="s">
        <v>43</v>
      </c>
      <c r="AM5217" t="s">
        <v>43</v>
      </c>
      <c r="AN5217" t="str">
        <f>HYPERLINK("https://www.google.com/maps?q=10.83223629,79.84021759","Open Location")</f>
        <v>Open Location</v>
      </c>
    </row>
    <row r="5218" spans="1:40" x14ac:dyDescent="0.3">
      <c r="A5218" s="1">
        <v>46210.395370370374</v>
      </c>
      <c r="B5218" t="s">
        <v>40</v>
      </c>
      <c r="C5218" t="s">
        <v>41</v>
      </c>
      <c r="D5218" s="1">
        <v>46210.398298611108</v>
      </c>
      <c r="E5218" t="s">
        <v>42</v>
      </c>
      <c r="F5218" t="s">
        <v>43</v>
      </c>
      <c r="G5218" t="s">
        <v>43</v>
      </c>
      <c r="H5218" t="s">
        <v>43</v>
      </c>
      <c r="I5218" t="s">
        <v>2961</v>
      </c>
      <c r="J5218" t="s">
        <v>43</v>
      </c>
      <c r="K5218" t="s">
        <v>43</v>
      </c>
      <c r="L5218" t="s">
        <v>43</v>
      </c>
      <c r="M5218" t="s">
        <v>43</v>
      </c>
      <c r="N5218" t="s">
        <v>45</v>
      </c>
      <c r="O5218" t="s">
        <v>43</v>
      </c>
      <c r="P5218" t="s">
        <v>43</v>
      </c>
      <c r="Q5218" t="s">
        <v>43</v>
      </c>
      <c r="R5218" t="s">
        <v>43</v>
      </c>
      <c r="S5218" t="s">
        <v>43</v>
      </c>
      <c r="T5218" t="s">
        <v>43</v>
      </c>
      <c r="U5218" t="s">
        <v>43</v>
      </c>
      <c r="V5218" t="s">
        <v>43</v>
      </c>
      <c r="W5218" t="s">
        <v>43</v>
      </c>
      <c r="X5218" t="s">
        <v>43</v>
      </c>
      <c r="Y5218" t="s">
        <v>43</v>
      </c>
      <c r="Z5218" t="s">
        <v>43</v>
      </c>
      <c r="AA5218" t="s">
        <v>43</v>
      </c>
      <c r="AB5218" t="s">
        <v>43</v>
      </c>
      <c r="AC5218" t="s">
        <v>43</v>
      </c>
      <c r="AD5218" t="s">
        <v>43</v>
      </c>
      <c r="AE5218" t="s">
        <v>43</v>
      </c>
      <c r="AF5218" t="s">
        <v>43</v>
      </c>
      <c r="AG5218" t="s">
        <v>43</v>
      </c>
      <c r="AH5218" t="s">
        <v>43</v>
      </c>
      <c r="AI5218" t="s">
        <v>43</v>
      </c>
      <c r="AJ5218" t="s">
        <v>43</v>
      </c>
      <c r="AK5218" t="s">
        <v>43</v>
      </c>
      <c r="AL5218" t="s">
        <v>43</v>
      </c>
      <c r="AM5218" t="s">
        <v>43</v>
      </c>
      <c r="AN5218" t="str">
        <f>HYPERLINK("https://www.google.com/maps?q=10.83223057,79.84020996","Open Location")</f>
        <v>Open Location</v>
      </c>
    </row>
    <row r="5219" spans="1:40" x14ac:dyDescent="0.3">
      <c r="A5219" s="1">
        <v>46210.395254629628</v>
      </c>
      <c r="B5219" t="s">
        <v>40</v>
      </c>
      <c r="C5219" t="s">
        <v>41</v>
      </c>
      <c r="D5219" s="1">
        <v>46210.398298611108</v>
      </c>
      <c r="E5219" t="s">
        <v>42</v>
      </c>
      <c r="F5219" t="s">
        <v>43</v>
      </c>
      <c r="G5219" t="s">
        <v>43</v>
      </c>
      <c r="H5219" t="s">
        <v>43</v>
      </c>
      <c r="I5219" t="s">
        <v>2961</v>
      </c>
      <c r="J5219" t="s">
        <v>43</v>
      </c>
      <c r="K5219" t="s">
        <v>43</v>
      </c>
      <c r="L5219" t="s">
        <v>43</v>
      </c>
      <c r="M5219" t="s">
        <v>43</v>
      </c>
      <c r="N5219" t="s">
        <v>45</v>
      </c>
      <c r="O5219" t="s">
        <v>43</v>
      </c>
      <c r="P5219" t="s">
        <v>43</v>
      </c>
      <c r="Q5219" t="s">
        <v>43</v>
      </c>
      <c r="R5219" t="s">
        <v>43</v>
      </c>
      <c r="S5219" t="s">
        <v>43</v>
      </c>
      <c r="T5219" t="s">
        <v>43</v>
      </c>
      <c r="U5219" t="s">
        <v>43</v>
      </c>
      <c r="V5219" t="s">
        <v>43</v>
      </c>
      <c r="W5219" t="s">
        <v>43</v>
      </c>
      <c r="X5219" t="s">
        <v>43</v>
      </c>
      <c r="Y5219" t="s">
        <v>43</v>
      </c>
      <c r="Z5219" t="s">
        <v>43</v>
      </c>
      <c r="AA5219" t="s">
        <v>43</v>
      </c>
      <c r="AB5219" t="s">
        <v>43</v>
      </c>
      <c r="AC5219" t="s">
        <v>43</v>
      </c>
      <c r="AD5219" t="s">
        <v>43</v>
      </c>
      <c r="AE5219" t="s">
        <v>43</v>
      </c>
      <c r="AF5219" t="s">
        <v>43</v>
      </c>
      <c r="AG5219" t="s">
        <v>43</v>
      </c>
      <c r="AH5219" t="s">
        <v>43</v>
      </c>
      <c r="AI5219" t="s">
        <v>43</v>
      </c>
      <c r="AJ5219" t="s">
        <v>43</v>
      </c>
      <c r="AK5219" t="s">
        <v>43</v>
      </c>
      <c r="AL5219" t="s">
        <v>43</v>
      </c>
      <c r="AM5219" t="s">
        <v>43</v>
      </c>
      <c r="AN5219" t="str">
        <f>HYPERLINK("https://www.google.com/maps?q=10.83223057,79.84020996","Open Location")</f>
        <v>Open Location</v>
      </c>
    </row>
    <row r="5220" spans="1:40" x14ac:dyDescent="0.3">
      <c r="A5220" s="1">
        <v>46210.395138888889</v>
      </c>
      <c r="B5220" t="s">
        <v>40</v>
      </c>
      <c r="C5220" t="s">
        <v>41</v>
      </c>
      <c r="D5220" s="1">
        <v>46210.398148148146</v>
      </c>
      <c r="E5220" t="s">
        <v>42</v>
      </c>
      <c r="F5220" t="s">
        <v>43</v>
      </c>
      <c r="G5220" t="s">
        <v>43</v>
      </c>
      <c r="H5220" t="s">
        <v>43</v>
      </c>
      <c r="I5220" t="s">
        <v>2962</v>
      </c>
      <c r="J5220" t="s">
        <v>43</v>
      </c>
      <c r="K5220" t="s">
        <v>43</v>
      </c>
      <c r="L5220" t="s">
        <v>43</v>
      </c>
      <c r="M5220" t="s">
        <v>43</v>
      </c>
      <c r="N5220" t="s">
        <v>45</v>
      </c>
      <c r="O5220" t="s">
        <v>43</v>
      </c>
      <c r="P5220" t="s">
        <v>43</v>
      </c>
      <c r="Q5220" t="s">
        <v>43</v>
      </c>
      <c r="R5220" t="s">
        <v>43</v>
      </c>
      <c r="S5220" t="s">
        <v>43</v>
      </c>
      <c r="T5220" t="s">
        <v>43</v>
      </c>
      <c r="U5220" t="s">
        <v>43</v>
      </c>
      <c r="V5220" t="s">
        <v>43</v>
      </c>
      <c r="W5220" t="s">
        <v>43</v>
      </c>
      <c r="X5220" t="s">
        <v>43</v>
      </c>
      <c r="Y5220" t="s">
        <v>43</v>
      </c>
      <c r="Z5220" t="s">
        <v>43</v>
      </c>
      <c r="AA5220" t="s">
        <v>43</v>
      </c>
      <c r="AB5220" t="s">
        <v>43</v>
      </c>
      <c r="AC5220" t="s">
        <v>43</v>
      </c>
      <c r="AD5220" t="s">
        <v>43</v>
      </c>
      <c r="AE5220" t="s">
        <v>43</v>
      </c>
      <c r="AF5220" t="s">
        <v>43</v>
      </c>
      <c r="AG5220" t="s">
        <v>43</v>
      </c>
      <c r="AH5220" t="s">
        <v>43</v>
      </c>
      <c r="AI5220" t="s">
        <v>43</v>
      </c>
      <c r="AJ5220" t="s">
        <v>43</v>
      </c>
      <c r="AK5220" t="s">
        <v>43</v>
      </c>
      <c r="AL5220" t="s">
        <v>43</v>
      </c>
      <c r="AM5220" t="s">
        <v>43</v>
      </c>
      <c r="AN5220" t="str">
        <f>HYPERLINK("https://www.google.com/maps?q=10.83223534,79.84020233","Open Location")</f>
        <v>Open Location</v>
      </c>
    </row>
    <row r="5221" spans="1:40" x14ac:dyDescent="0.3">
      <c r="A5221" s="1">
        <v>46210.39502314815</v>
      </c>
      <c r="B5221" t="s">
        <v>40</v>
      </c>
      <c r="C5221" t="s">
        <v>41</v>
      </c>
      <c r="D5221" s="1">
        <v>46210.397905092592</v>
      </c>
      <c r="E5221" t="s">
        <v>42</v>
      </c>
      <c r="F5221" t="s">
        <v>43</v>
      </c>
      <c r="G5221" t="s">
        <v>43</v>
      </c>
      <c r="H5221" t="s">
        <v>43</v>
      </c>
      <c r="I5221" t="s">
        <v>43</v>
      </c>
      <c r="J5221" t="s">
        <v>43</v>
      </c>
      <c r="K5221" t="s">
        <v>43</v>
      </c>
      <c r="L5221" t="s">
        <v>43</v>
      </c>
      <c r="M5221" t="s">
        <v>43</v>
      </c>
      <c r="N5221" t="s">
        <v>45</v>
      </c>
      <c r="O5221" t="s">
        <v>43</v>
      </c>
      <c r="P5221" t="s">
        <v>43</v>
      </c>
      <c r="Q5221" t="s">
        <v>43</v>
      </c>
      <c r="R5221" t="s">
        <v>43</v>
      </c>
      <c r="S5221" t="s">
        <v>43</v>
      </c>
      <c r="T5221" t="s">
        <v>43</v>
      </c>
      <c r="U5221" t="s">
        <v>43</v>
      </c>
      <c r="V5221" t="s">
        <v>43</v>
      </c>
      <c r="W5221" t="s">
        <v>43</v>
      </c>
      <c r="X5221" t="s">
        <v>43</v>
      </c>
      <c r="Y5221" t="s">
        <v>43</v>
      </c>
      <c r="Z5221" t="s">
        <v>43</v>
      </c>
      <c r="AA5221" t="s">
        <v>43</v>
      </c>
      <c r="AB5221" t="s">
        <v>43</v>
      </c>
      <c r="AC5221" t="s">
        <v>43</v>
      </c>
      <c r="AD5221" t="s">
        <v>43</v>
      </c>
      <c r="AE5221" t="s">
        <v>43</v>
      </c>
      <c r="AF5221" t="s">
        <v>43</v>
      </c>
      <c r="AG5221" t="s">
        <v>43</v>
      </c>
      <c r="AH5221" t="s">
        <v>43</v>
      </c>
      <c r="AI5221" t="s">
        <v>43</v>
      </c>
      <c r="AJ5221" t="s">
        <v>43</v>
      </c>
      <c r="AK5221" t="s">
        <v>43</v>
      </c>
      <c r="AL5221" t="s">
        <v>43</v>
      </c>
      <c r="AM5221" t="s">
        <v>43</v>
      </c>
      <c r="AN5221" t="s">
        <v>43</v>
      </c>
    </row>
    <row r="5222" spans="1:40" x14ac:dyDescent="0.3">
      <c r="A5222" s="1">
        <v>46210.394907407404</v>
      </c>
      <c r="B5222" t="s">
        <v>40</v>
      </c>
      <c r="C5222" t="s">
        <v>41</v>
      </c>
      <c r="D5222" s="1">
        <v>46210.397997685184</v>
      </c>
      <c r="E5222" t="s">
        <v>42</v>
      </c>
      <c r="F5222" t="s">
        <v>43</v>
      </c>
      <c r="G5222" t="s">
        <v>43</v>
      </c>
      <c r="H5222" t="s">
        <v>43</v>
      </c>
      <c r="I5222" t="s">
        <v>2963</v>
      </c>
      <c r="J5222" t="s">
        <v>43</v>
      </c>
      <c r="K5222" t="s">
        <v>43</v>
      </c>
      <c r="L5222" t="s">
        <v>43</v>
      </c>
      <c r="M5222" t="s">
        <v>43</v>
      </c>
      <c r="N5222" t="s">
        <v>45</v>
      </c>
      <c r="O5222" t="s">
        <v>43</v>
      </c>
      <c r="P5222" t="s">
        <v>43</v>
      </c>
      <c r="Q5222" t="s">
        <v>43</v>
      </c>
      <c r="R5222" t="s">
        <v>43</v>
      </c>
      <c r="S5222" t="s">
        <v>43</v>
      </c>
      <c r="T5222" t="s">
        <v>43</v>
      </c>
      <c r="U5222" t="s">
        <v>43</v>
      </c>
      <c r="V5222" t="s">
        <v>43</v>
      </c>
      <c r="W5222" t="s">
        <v>43</v>
      </c>
      <c r="X5222" t="s">
        <v>43</v>
      </c>
      <c r="Y5222" t="s">
        <v>43</v>
      </c>
      <c r="Z5222" t="s">
        <v>43</v>
      </c>
      <c r="AA5222" t="s">
        <v>43</v>
      </c>
      <c r="AB5222" t="s">
        <v>43</v>
      </c>
      <c r="AC5222" t="s">
        <v>43</v>
      </c>
      <c r="AD5222" t="s">
        <v>43</v>
      </c>
      <c r="AE5222" t="s">
        <v>43</v>
      </c>
      <c r="AF5222" t="s">
        <v>43</v>
      </c>
      <c r="AG5222" t="s">
        <v>43</v>
      </c>
      <c r="AH5222" t="s">
        <v>43</v>
      </c>
      <c r="AI5222" t="s">
        <v>43</v>
      </c>
      <c r="AJ5222" t="s">
        <v>43</v>
      </c>
      <c r="AK5222" t="s">
        <v>43</v>
      </c>
      <c r="AL5222" t="s">
        <v>43</v>
      </c>
      <c r="AM5222" t="s">
        <v>43</v>
      </c>
      <c r="AN5222" t="str">
        <f>HYPERLINK("https://www.google.com/maps?q=10.8322401,79.84020996","Open Location")</f>
        <v>Open Location</v>
      </c>
    </row>
    <row r="5223" spans="1:40" x14ac:dyDescent="0.3">
      <c r="A5223" s="1">
        <v>46210.394791666666</v>
      </c>
      <c r="B5223" t="s">
        <v>40</v>
      </c>
      <c r="C5223" t="s">
        <v>41</v>
      </c>
      <c r="D5223" s="1">
        <v>46210.39770833333</v>
      </c>
      <c r="E5223" t="s">
        <v>42</v>
      </c>
      <c r="F5223" t="s">
        <v>43</v>
      </c>
      <c r="G5223" t="s">
        <v>43</v>
      </c>
      <c r="H5223" t="s">
        <v>43</v>
      </c>
      <c r="I5223" t="s">
        <v>2758</v>
      </c>
      <c r="J5223" t="s">
        <v>43</v>
      </c>
      <c r="K5223" t="s">
        <v>43</v>
      </c>
      <c r="L5223" t="s">
        <v>43</v>
      </c>
      <c r="M5223" t="s">
        <v>43</v>
      </c>
      <c r="N5223" t="s">
        <v>45</v>
      </c>
      <c r="O5223" t="s">
        <v>43</v>
      </c>
      <c r="P5223" t="s">
        <v>43</v>
      </c>
      <c r="Q5223" t="s">
        <v>43</v>
      </c>
      <c r="R5223" t="s">
        <v>43</v>
      </c>
      <c r="S5223" t="s">
        <v>43</v>
      </c>
      <c r="T5223" t="s">
        <v>43</v>
      </c>
      <c r="U5223" t="s">
        <v>43</v>
      </c>
      <c r="V5223" t="s">
        <v>43</v>
      </c>
      <c r="W5223" t="s">
        <v>43</v>
      </c>
      <c r="X5223" t="s">
        <v>43</v>
      </c>
      <c r="Y5223" t="s">
        <v>43</v>
      </c>
      <c r="Z5223" t="s">
        <v>43</v>
      </c>
      <c r="AA5223" t="s">
        <v>43</v>
      </c>
      <c r="AB5223" t="s">
        <v>43</v>
      </c>
      <c r="AC5223" t="s">
        <v>43</v>
      </c>
      <c r="AD5223" t="s">
        <v>43</v>
      </c>
      <c r="AE5223" t="s">
        <v>43</v>
      </c>
      <c r="AF5223" t="s">
        <v>43</v>
      </c>
      <c r="AG5223" t="s">
        <v>43</v>
      </c>
      <c r="AH5223" t="s">
        <v>43</v>
      </c>
      <c r="AI5223" t="s">
        <v>43</v>
      </c>
      <c r="AJ5223" t="s">
        <v>43</v>
      </c>
      <c r="AK5223" t="s">
        <v>43</v>
      </c>
      <c r="AL5223" t="s">
        <v>43</v>
      </c>
      <c r="AM5223" t="s">
        <v>43</v>
      </c>
      <c r="AN5223" t="str">
        <f>HYPERLINK("https://www.google.com/maps?q=10.83224487,79.84020233","Open Location")</f>
        <v>Open Location</v>
      </c>
    </row>
    <row r="5224" spans="1:40" x14ac:dyDescent="0.3">
      <c r="A5224" s="1">
        <v>46210.394675925927</v>
      </c>
      <c r="B5224" t="s">
        <v>40</v>
      </c>
      <c r="C5224" t="s">
        <v>41</v>
      </c>
      <c r="D5224" s="1">
        <v>46210.397800925923</v>
      </c>
      <c r="E5224" t="s">
        <v>42</v>
      </c>
      <c r="F5224" t="s">
        <v>43</v>
      </c>
      <c r="G5224" t="s">
        <v>43</v>
      </c>
      <c r="H5224" t="s">
        <v>43</v>
      </c>
      <c r="I5224" t="s">
        <v>2964</v>
      </c>
      <c r="J5224" t="s">
        <v>43</v>
      </c>
      <c r="K5224" t="s">
        <v>43</v>
      </c>
      <c r="L5224" t="s">
        <v>43</v>
      </c>
      <c r="M5224" t="s">
        <v>43</v>
      </c>
      <c r="N5224" t="s">
        <v>45</v>
      </c>
      <c r="O5224" t="s">
        <v>43</v>
      </c>
      <c r="P5224" t="s">
        <v>43</v>
      </c>
      <c r="Q5224" t="s">
        <v>43</v>
      </c>
      <c r="R5224" t="s">
        <v>43</v>
      </c>
      <c r="S5224" t="s">
        <v>43</v>
      </c>
      <c r="T5224" t="s">
        <v>43</v>
      </c>
      <c r="U5224" t="s">
        <v>43</v>
      </c>
      <c r="V5224" t="s">
        <v>43</v>
      </c>
      <c r="W5224" t="s">
        <v>43</v>
      </c>
      <c r="X5224" t="s">
        <v>43</v>
      </c>
      <c r="Y5224" t="s">
        <v>43</v>
      </c>
      <c r="Z5224" t="s">
        <v>43</v>
      </c>
      <c r="AA5224" t="s">
        <v>43</v>
      </c>
      <c r="AB5224" t="s">
        <v>43</v>
      </c>
      <c r="AC5224" t="s">
        <v>43</v>
      </c>
      <c r="AD5224" t="s">
        <v>43</v>
      </c>
      <c r="AE5224" t="s">
        <v>43</v>
      </c>
      <c r="AF5224" t="s">
        <v>43</v>
      </c>
      <c r="AG5224" t="s">
        <v>43</v>
      </c>
      <c r="AH5224" t="s">
        <v>43</v>
      </c>
      <c r="AI5224" t="s">
        <v>43</v>
      </c>
      <c r="AJ5224" t="s">
        <v>43</v>
      </c>
      <c r="AK5224" t="s">
        <v>43</v>
      </c>
      <c r="AL5224" t="s">
        <v>43</v>
      </c>
      <c r="AM5224" t="s">
        <v>43</v>
      </c>
      <c r="AN5224" t="str">
        <f>HYPERLINK("https://www.google.com/maps?q=10.83224678,79.84020233","Open Location")</f>
        <v>Open Location</v>
      </c>
    </row>
    <row r="5225" spans="1:40" x14ac:dyDescent="0.3">
      <c r="A5225" s="1">
        <v>46210.394560185188</v>
      </c>
      <c r="B5225" t="s">
        <v>40</v>
      </c>
      <c r="C5225" t="s">
        <v>41</v>
      </c>
      <c r="D5225" s="1">
        <v>46210.397800925923</v>
      </c>
      <c r="E5225" t="s">
        <v>42</v>
      </c>
      <c r="F5225" t="s">
        <v>43</v>
      </c>
      <c r="G5225" t="s">
        <v>43</v>
      </c>
      <c r="H5225" t="s">
        <v>43</v>
      </c>
      <c r="I5225" t="s">
        <v>2756</v>
      </c>
      <c r="J5225" t="s">
        <v>43</v>
      </c>
      <c r="K5225" t="s">
        <v>43</v>
      </c>
      <c r="L5225" t="s">
        <v>43</v>
      </c>
      <c r="M5225" t="s">
        <v>43</v>
      </c>
      <c r="N5225" t="s">
        <v>45</v>
      </c>
      <c r="O5225" t="s">
        <v>43</v>
      </c>
      <c r="P5225" t="s">
        <v>43</v>
      </c>
      <c r="Q5225" t="s">
        <v>43</v>
      </c>
      <c r="R5225" t="s">
        <v>43</v>
      </c>
      <c r="S5225" t="s">
        <v>43</v>
      </c>
      <c r="T5225" t="s">
        <v>43</v>
      </c>
      <c r="U5225" t="s">
        <v>43</v>
      </c>
      <c r="V5225" t="s">
        <v>43</v>
      </c>
      <c r="W5225" t="s">
        <v>43</v>
      </c>
      <c r="X5225" t="s">
        <v>43</v>
      </c>
      <c r="Y5225" t="s">
        <v>43</v>
      </c>
      <c r="Z5225" t="s">
        <v>43</v>
      </c>
      <c r="AA5225" t="s">
        <v>43</v>
      </c>
      <c r="AB5225" t="s">
        <v>43</v>
      </c>
      <c r="AC5225" t="s">
        <v>43</v>
      </c>
      <c r="AD5225" t="s">
        <v>43</v>
      </c>
      <c r="AE5225" t="s">
        <v>43</v>
      </c>
      <c r="AF5225" t="s">
        <v>43</v>
      </c>
      <c r="AG5225" t="s">
        <v>43</v>
      </c>
      <c r="AH5225" t="s">
        <v>43</v>
      </c>
      <c r="AI5225" t="s">
        <v>43</v>
      </c>
      <c r="AJ5225" t="s">
        <v>43</v>
      </c>
      <c r="AK5225" t="s">
        <v>43</v>
      </c>
      <c r="AL5225" t="s">
        <v>43</v>
      </c>
      <c r="AM5225" t="s">
        <v>43</v>
      </c>
      <c r="AN5225" t="str">
        <f>HYPERLINK("https://www.google.com/maps?q=10.83224201,79.84020233","Open Location")</f>
        <v>Open Location</v>
      </c>
    </row>
    <row r="5226" spans="1:40" x14ac:dyDescent="0.3">
      <c r="A5226" s="1">
        <v>46210.394444444442</v>
      </c>
      <c r="B5226" t="s">
        <v>40</v>
      </c>
      <c r="C5226" t="s">
        <v>41</v>
      </c>
      <c r="D5226" s="1">
        <v>46210.397673611114</v>
      </c>
      <c r="E5226" t="s">
        <v>42</v>
      </c>
      <c r="F5226" t="s">
        <v>43</v>
      </c>
      <c r="G5226" t="s">
        <v>43</v>
      </c>
      <c r="H5226" t="s">
        <v>43</v>
      </c>
      <c r="I5226" t="s">
        <v>2756</v>
      </c>
      <c r="J5226" t="s">
        <v>43</v>
      </c>
      <c r="K5226" t="s">
        <v>43</v>
      </c>
      <c r="L5226" t="s">
        <v>43</v>
      </c>
      <c r="M5226" t="s">
        <v>43</v>
      </c>
      <c r="N5226" t="s">
        <v>45</v>
      </c>
      <c r="O5226" t="s">
        <v>43</v>
      </c>
      <c r="P5226" t="s">
        <v>43</v>
      </c>
      <c r="Q5226" t="s">
        <v>43</v>
      </c>
      <c r="R5226" t="s">
        <v>43</v>
      </c>
      <c r="S5226" t="s">
        <v>43</v>
      </c>
      <c r="T5226" t="s">
        <v>43</v>
      </c>
      <c r="U5226" t="s">
        <v>43</v>
      </c>
      <c r="V5226" t="s">
        <v>43</v>
      </c>
      <c r="W5226" t="s">
        <v>43</v>
      </c>
      <c r="X5226" t="s">
        <v>43</v>
      </c>
      <c r="Y5226" t="s">
        <v>43</v>
      </c>
      <c r="Z5226" t="s">
        <v>43</v>
      </c>
      <c r="AA5226" t="s">
        <v>43</v>
      </c>
      <c r="AB5226" t="s">
        <v>43</v>
      </c>
      <c r="AC5226" t="s">
        <v>43</v>
      </c>
      <c r="AD5226" t="s">
        <v>43</v>
      </c>
      <c r="AE5226" t="s">
        <v>43</v>
      </c>
      <c r="AF5226" t="s">
        <v>43</v>
      </c>
      <c r="AG5226" t="s">
        <v>43</v>
      </c>
      <c r="AH5226" t="s">
        <v>43</v>
      </c>
      <c r="AI5226" t="s">
        <v>43</v>
      </c>
      <c r="AJ5226" t="s">
        <v>43</v>
      </c>
      <c r="AK5226" t="s">
        <v>43</v>
      </c>
      <c r="AL5226" t="s">
        <v>43</v>
      </c>
      <c r="AM5226" t="s">
        <v>43</v>
      </c>
      <c r="AN5226" t="str">
        <f>HYPERLINK("https://www.google.com/maps?q=10.83224201,79.84020233","Open Location")</f>
        <v>Open Location</v>
      </c>
    </row>
    <row r="5227" spans="1:40" x14ac:dyDescent="0.3">
      <c r="A5227" s="1">
        <v>46210.394328703704</v>
      </c>
      <c r="B5227" t="s">
        <v>40</v>
      </c>
      <c r="C5227" t="s">
        <v>41</v>
      </c>
      <c r="D5227" s="1">
        <v>46210.397106481483</v>
      </c>
      <c r="E5227" t="s">
        <v>42</v>
      </c>
      <c r="F5227" t="s">
        <v>43</v>
      </c>
      <c r="G5227" t="s">
        <v>43</v>
      </c>
      <c r="H5227" t="s">
        <v>43</v>
      </c>
      <c r="I5227" t="s">
        <v>43</v>
      </c>
      <c r="J5227" t="s">
        <v>43</v>
      </c>
      <c r="K5227" t="s">
        <v>43</v>
      </c>
      <c r="L5227" t="s">
        <v>43</v>
      </c>
      <c r="M5227" t="s">
        <v>43</v>
      </c>
      <c r="N5227" t="s">
        <v>45</v>
      </c>
      <c r="O5227" t="s">
        <v>43</v>
      </c>
      <c r="P5227" t="s">
        <v>43</v>
      </c>
      <c r="Q5227" t="s">
        <v>43</v>
      </c>
      <c r="R5227" t="s">
        <v>43</v>
      </c>
      <c r="S5227" t="s">
        <v>43</v>
      </c>
      <c r="T5227" t="s">
        <v>43</v>
      </c>
      <c r="U5227" t="s">
        <v>43</v>
      </c>
      <c r="V5227" t="s">
        <v>43</v>
      </c>
      <c r="W5227" t="s">
        <v>43</v>
      </c>
      <c r="X5227" t="s">
        <v>43</v>
      </c>
      <c r="Y5227" t="s">
        <v>43</v>
      </c>
      <c r="Z5227" t="s">
        <v>43</v>
      </c>
      <c r="AA5227" t="s">
        <v>43</v>
      </c>
      <c r="AB5227" t="s">
        <v>43</v>
      </c>
      <c r="AC5227" t="s">
        <v>43</v>
      </c>
      <c r="AD5227" t="s">
        <v>43</v>
      </c>
      <c r="AE5227" t="s">
        <v>43</v>
      </c>
      <c r="AF5227" t="s">
        <v>43</v>
      </c>
      <c r="AG5227" t="s">
        <v>43</v>
      </c>
      <c r="AH5227" t="s">
        <v>43</v>
      </c>
      <c r="AI5227" t="s">
        <v>43</v>
      </c>
      <c r="AJ5227" t="s">
        <v>43</v>
      </c>
      <c r="AK5227" t="s">
        <v>43</v>
      </c>
      <c r="AL5227" t="s">
        <v>43</v>
      </c>
      <c r="AM5227" t="s">
        <v>43</v>
      </c>
      <c r="AN5227" t="s">
        <v>43</v>
      </c>
    </row>
    <row r="5228" spans="1:40" x14ac:dyDescent="0.3">
      <c r="A5228" s="1">
        <v>46210.394212962965</v>
      </c>
      <c r="B5228" t="s">
        <v>40</v>
      </c>
      <c r="C5228" t="s">
        <v>41</v>
      </c>
      <c r="D5228" s="1">
        <v>46210.397106481483</v>
      </c>
      <c r="E5228" t="s">
        <v>42</v>
      </c>
      <c r="F5228" t="s">
        <v>43</v>
      </c>
      <c r="G5228" t="s">
        <v>43</v>
      </c>
      <c r="H5228" t="s">
        <v>43</v>
      </c>
      <c r="I5228" t="s">
        <v>2751</v>
      </c>
      <c r="J5228" t="s">
        <v>43</v>
      </c>
      <c r="K5228" t="s">
        <v>43</v>
      </c>
      <c r="L5228" t="s">
        <v>43</v>
      </c>
      <c r="M5228" t="s">
        <v>43</v>
      </c>
      <c r="N5228" t="s">
        <v>45</v>
      </c>
      <c r="O5228" t="s">
        <v>43</v>
      </c>
      <c r="P5228" t="s">
        <v>43</v>
      </c>
      <c r="Q5228" t="s">
        <v>43</v>
      </c>
      <c r="R5228" t="s">
        <v>43</v>
      </c>
      <c r="S5228" t="s">
        <v>43</v>
      </c>
      <c r="T5228" t="s">
        <v>43</v>
      </c>
      <c r="U5228" t="s">
        <v>43</v>
      </c>
      <c r="V5228" t="s">
        <v>43</v>
      </c>
      <c r="W5228" t="s">
        <v>43</v>
      </c>
      <c r="X5228" t="s">
        <v>43</v>
      </c>
      <c r="Y5228" t="s">
        <v>43</v>
      </c>
      <c r="Z5228" t="s">
        <v>43</v>
      </c>
      <c r="AA5228" t="s">
        <v>43</v>
      </c>
      <c r="AB5228" t="s">
        <v>43</v>
      </c>
      <c r="AC5228" t="s">
        <v>43</v>
      </c>
      <c r="AD5228" t="s">
        <v>43</v>
      </c>
      <c r="AE5228" t="s">
        <v>43</v>
      </c>
      <c r="AF5228" t="s">
        <v>43</v>
      </c>
      <c r="AG5228" t="s">
        <v>43</v>
      </c>
      <c r="AH5228" t="s">
        <v>43</v>
      </c>
      <c r="AI5228" t="s">
        <v>43</v>
      </c>
      <c r="AJ5228" t="s">
        <v>43</v>
      </c>
      <c r="AK5228" t="s">
        <v>43</v>
      </c>
      <c r="AL5228" t="s">
        <v>43</v>
      </c>
      <c r="AM5228" t="s">
        <v>43</v>
      </c>
      <c r="AN5228" t="str">
        <f>HYPERLINK("https://www.google.com/maps?q=10.83224297,79.84020996","Open Location")</f>
        <v>Open Location</v>
      </c>
    </row>
    <row r="5229" spans="1:40" x14ac:dyDescent="0.3">
      <c r="A5229" s="1">
        <v>46210.394097222219</v>
      </c>
      <c r="B5229" t="s">
        <v>40</v>
      </c>
      <c r="C5229" t="s">
        <v>41</v>
      </c>
      <c r="D5229" s="1">
        <v>46210.397083333337</v>
      </c>
      <c r="E5229" t="s">
        <v>42</v>
      </c>
      <c r="F5229" t="s">
        <v>43</v>
      </c>
      <c r="G5229" t="s">
        <v>43</v>
      </c>
      <c r="H5229" t="s">
        <v>43</v>
      </c>
      <c r="I5229" t="s">
        <v>2938</v>
      </c>
      <c r="J5229" t="s">
        <v>43</v>
      </c>
      <c r="K5229" t="s">
        <v>43</v>
      </c>
      <c r="L5229" t="s">
        <v>43</v>
      </c>
      <c r="M5229" t="s">
        <v>43</v>
      </c>
      <c r="N5229" t="s">
        <v>45</v>
      </c>
      <c r="O5229" t="s">
        <v>43</v>
      </c>
      <c r="P5229" t="s">
        <v>43</v>
      </c>
      <c r="Q5229" t="s">
        <v>43</v>
      </c>
      <c r="R5229" t="s">
        <v>43</v>
      </c>
      <c r="S5229" t="s">
        <v>43</v>
      </c>
      <c r="T5229" t="s">
        <v>43</v>
      </c>
      <c r="U5229" t="s">
        <v>43</v>
      </c>
      <c r="V5229" t="s">
        <v>43</v>
      </c>
      <c r="W5229" t="s">
        <v>43</v>
      </c>
      <c r="X5229" t="s">
        <v>43</v>
      </c>
      <c r="Y5229" t="s">
        <v>43</v>
      </c>
      <c r="Z5229" t="s">
        <v>43</v>
      </c>
      <c r="AA5229" t="s">
        <v>43</v>
      </c>
      <c r="AB5229" t="s">
        <v>43</v>
      </c>
      <c r="AC5229" t="s">
        <v>43</v>
      </c>
      <c r="AD5229" t="s">
        <v>43</v>
      </c>
      <c r="AE5229" t="s">
        <v>43</v>
      </c>
      <c r="AF5229" t="s">
        <v>43</v>
      </c>
      <c r="AG5229" t="s">
        <v>43</v>
      </c>
      <c r="AH5229" t="s">
        <v>43</v>
      </c>
      <c r="AI5229" t="s">
        <v>43</v>
      </c>
      <c r="AJ5229" t="s">
        <v>43</v>
      </c>
      <c r="AK5229" t="s">
        <v>43</v>
      </c>
      <c r="AL5229" t="s">
        <v>43</v>
      </c>
      <c r="AM5229" t="s">
        <v>43</v>
      </c>
      <c r="AN5229" t="str">
        <f>HYPERLINK("https://www.google.com/maps?q=10.83224487,79.84020996","Open Location")</f>
        <v>Open Location</v>
      </c>
    </row>
    <row r="5230" spans="1:40" x14ac:dyDescent="0.3">
      <c r="A5230" s="1">
        <v>46210.39398148148</v>
      </c>
      <c r="B5230" t="s">
        <v>40</v>
      </c>
      <c r="C5230" t="s">
        <v>41</v>
      </c>
      <c r="D5230" s="1">
        <v>46210.396793981483</v>
      </c>
      <c r="E5230" t="s">
        <v>42</v>
      </c>
      <c r="F5230" t="s">
        <v>43</v>
      </c>
      <c r="G5230" t="s">
        <v>43</v>
      </c>
      <c r="H5230" t="s">
        <v>43</v>
      </c>
      <c r="I5230" t="s">
        <v>2938</v>
      </c>
      <c r="J5230" t="s">
        <v>43</v>
      </c>
      <c r="K5230" t="s">
        <v>43</v>
      </c>
      <c r="L5230" t="s">
        <v>43</v>
      </c>
      <c r="M5230" t="s">
        <v>43</v>
      </c>
      <c r="N5230" t="s">
        <v>45</v>
      </c>
      <c r="O5230" t="s">
        <v>43</v>
      </c>
      <c r="P5230" t="s">
        <v>43</v>
      </c>
      <c r="Q5230" t="s">
        <v>43</v>
      </c>
      <c r="R5230" t="s">
        <v>43</v>
      </c>
      <c r="S5230" t="s">
        <v>43</v>
      </c>
      <c r="T5230" t="s">
        <v>43</v>
      </c>
      <c r="U5230" t="s">
        <v>43</v>
      </c>
      <c r="V5230" t="s">
        <v>43</v>
      </c>
      <c r="W5230" t="s">
        <v>43</v>
      </c>
      <c r="X5230" t="s">
        <v>43</v>
      </c>
      <c r="Y5230" t="s">
        <v>43</v>
      </c>
      <c r="Z5230" t="s">
        <v>43</v>
      </c>
      <c r="AA5230" t="s">
        <v>43</v>
      </c>
      <c r="AB5230" t="s">
        <v>43</v>
      </c>
      <c r="AC5230" t="s">
        <v>43</v>
      </c>
      <c r="AD5230" t="s">
        <v>43</v>
      </c>
      <c r="AE5230" t="s">
        <v>43</v>
      </c>
      <c r="AF5230" t="s">
        <v>43</v>
      </c>
      <c r="AG5230" t="s">
        <v>43</v>
      </c>
      <c r="AH5230" t="s">
        <v>43</v>
      </c>
      <c r="AI5230" t="s">
        <v>43</v>
      </c>
      <c r="AJ5230" t="s">
        <v>43</v>
      </c>
      <c r="AK5230" t="s">
        <v>43</v>
      </c>
      <c r="AL5230" t="s">
        <v>43</v>
      </c>
      <c r="AM5230" t="s">
        <v>43</v>
      </c>
      <c r="AN5230" t="str">
        <f>HYPERLINK("https://www.google.com/maps?q=10.83224487,79.84020996","Open Location")</f>
        <v>Open Location</v>
      </c>
    </row>
    <row r="5231" spans="1:40" x14ac:dyDescent="0.3">
      <c r="A5231" s="1">
        <v>46210.393865740742</v>
      </c>
      <c r="B5231" t="s">
        <v>40</v>
      </c>
      <c r="C5231" t="s">
        <v>41</v>
      </c>
      <c r="D5231" s="1">
        <v>46210.396736111114</v>
      </c>
      <c r="E5231" t="s">
        <v>42</v>
      </c>
      <c r="F5231" t="s">
        <v>43</v>
      </c>
      <c r="G5231" t="s">
        <v>43</v>
      </c>
      <c r="H5231" t="s">
        <v>43</v>
      </c>
      <c r="I5231" t="s">
        <v>2954</v>
      </c>
      <c r="J5231" t="s">
        <v>43</v>
      </c>
      <c r="K5231" t="s">
        <v>43</v>
      </c>
      <c r="L5231" t="s">
        <v>43</v>
      </c>
      <c r="M5231" t="s">
        <v>43</v>
      </c>
      <c r="N5231" t="s">
        <v>45</v>
      </c>
      <c r="O5231" t="s">
        <v>43</v>
      </c>
      <c r="P5231" t="s">
        <v>43</v>
      </c>
      <c r="Q5231" t="s">
        <v>43</v>
      </c>
      <c r="R5231" t="s">
        <v>43</v>
      </c>
      <c r="S5231" t="s">
        <v>43</v>
      </c>
      <c r="T5231" t="s">
        <v>43</v>
      </c>
      <c r="U5231" t="s">
        <v>43</v>
      </c>
      <c r="V5231" t="s">
        <v>43</v>
      </c>
      <c r="W5231" t="s">
        <v>43</v>
      </c>
      <c r="X5231" t="s">
        <v>43</v>
      </c>
      <c r="Y5231" t="s">
        <v>43</v>
      </c>
      <c r="Z5231" t="s">
        <v>43</v>
      </c>
      <c r="AA5231" t="s">
        <v>43</v>
      </c>
      <c r="AB5231" t="s">
        <v>43</v>
      </c>
      <c r="AC5231" t="s">
        <v>43</v>
      </c>
      <c r="AD5231" t="s">
        <v>43</v>
      </c>
      <c r="AE5231" t="s">
        <v>43</v>
      </c>
      <c r="AF5231" t="s">
        <v>43</v>
      </c>
      <c r="AG5231" t="s">
        <v>43</v>
      </c>
      <c r="AH5231" t="s">
        <v>43</v>
      </c>
      <c r="AI5231" t="s">
        <v>43</v>
      </c>
      <c r="AJ5231" t="s">
        <v>43</v>
      </c>
      <c r="AK5231" t="s">
        <v>43</v>
      </c>
      <c r="AL5231" t="s">
        <v>43</v>
      </c>
      <c r="AM5231" t="s">
        <v>43</v>
      </c>
      <c r="AN5231" t="str">
        <f>HYPERLINK("https://www.google.com/maps?q=10.83224106,79.84020996","Open Location")</f>
        <v>Open Location</v>
      </c>
    </row>
    <row r="5232" spans="1:40" x14ac:dyDescent="0.3">
      <c r="A5232" s="1">
        <v>46210.393750000003</v>
      </c>
      <c r="B5232" t="s">
        <v>40</v>
      </c>
      <c r="C5232" t="s">
        <v>41</v>
      </c>
      <c r="D5232" s="1">
        <v>46210.396724537037</v>
      </c>
      <c r="E5232" t="s">
        <v>42</v>
      </c>
      <c r="F5232" t="s">
        <v>43</v>
      </c>
      <c r="G5232" t="s">
        <v>43</v>
      </c>
      <c r="H5232" t="s">
        <v>43</v>
      </c>
      <c r="I5232" t="s">
        <v>2965</v>
      </c>
      <c r="J5232" t="s">
        <v>43</v>
      </c>
      <c r="K5232" t="s">
        <v>43</v>
      </c>
      <c r="L5232" t="s">
        <v>43</v>
      </c>
      <c r="M5232" t="s">
        <v>43</v>
      </c>
      <c r="N5232" t="s">
        <v>45</v>
      </c>
      <c r="O5232" t="s">
        <v>43</v>
      </c>
      <c r="P5232" t="s">
        <v>43</v>
      </c>
      <c r="Q5232" t="s">
        <v>43</v>
      </c>
      <c r="R5232" t="s">
        <v>43</v>
      </c>
      <c r="S5232" t="s">
        <v>43</v>
      </c>
      <c r="T5232" t="s">
        <v>43</v>
      </c>
      <c r="U5232" t="s">
        <v>43</v>
      </c>
      <c r="V5232" t="s">
        <v>43</v>
      </c>
      <c r="W5232" t="s">
        <v>43</v>
      </c>
      <c r="X5232" t="s">
        <v>43</v>
      </c>
      <c r="Y5232" t="s">
        <v>43</v>
      </c>
      <c r="Z5232" t="s">
        <v>43</v>
      </c>
      <c r="AA5232" t="s">
        <v>43</v>
      </c>
      <c r="AB5232" t="s">
        <v>43</v>
      </c>
      <c r="AC5232" t="s">
        <v>43</v>
      </c>
      <c r="AD5232" t="s">
        <v>43</v>
      </c>
      <c r="AE5232" t="s">
        <v>43</v>
      </c>
      <c r="AF5232" t="s">
        <v>43</v>
      </c>
      <c r="AG5232" t="s">
        <v>43</v>
      </c>
      <c r="AH5232" t="s">
        <v>43</v>
      </c>
      <c r="AI5232" t="s">
        <v>43</v>
      </c>
      <c r="AJ5232" t="s">
        <v>43</v>
      </c>
      <c r="AK5232" t="s">
        <v>43</v>
      </c>
      <c r="AL5232" t="s">
        <v>43</v>
      </c>
      <c r="AM5232" t="s">
        <v>43</v>
      </c>
      <c r="AN5232" t="str">
        <f>HYPERLINK("https://www.google.com/maps?q=10.83223915,79.84021759","Open Location")</f>
        <v>Open Location</v>
      </c>
    </row>
    <row r="5233" spans="1:40" x14ac:dyDescent="0.3">
      <c r="A5233" s="1">
        <v>46210.393634259257</v>
      </c>
      <c r="B5233" t="s">
        <v>40</v>
      </c>
      <c r="C5233" t="s">
        <v>41</v>
      </c>
      <c r="D5233" s="1">
        <v>46210.396585648145</v>
      </c>
      <c r="E5233" t="s">
        <v>42</v>
      </c>
      <c r="F5233" t="s">
        <v>43</v>
      </c>
      <c r="G5233" t="s">
        <v>43</v>
      </c>
      <c r="H5233" t="s">
        <v>43</v>
      </c>
      <c r="I5233" t="s">
        <v>43</v>
      </c>
      <c r="J5233" t="s">
        <v>43</v>
      </c>
      <c r="K5233" t="s">
        <v>43</v>
      </c>
      <c r="L5233" t="s">
        <v>43</v>
      </c>
      <c r="M5233" t="s">
        <v>43</v>
      </c>
      <c r="N5233" t="s">
        <v>45</v>
      </c>
      <c r="O5233" t="s">
        <v>43</v>
      </c>
      <c r="P5233" t="s">
        <v>43</v>
      </c>
      <c r="Q5233" t="s">
        <v>43</v>
      </c>
      <c r="R5233" t="s">
        <v>43</v>
      </c>
      <c r="S5233" t="s">
        <v>43</v>
      </c>
      <c r="T5233" t="s">
        <v>43</v>
      </c>
      <c r="U5233" t="s">
        <v>43</v>
      </c>
      <c r="V5233" t="s">
        <v>43</v>
      </c>
      <c r="W5233" t="s">
        <v>43</v>
      </c>
      <c r="X5233" t="s">
        <v>43</v>
      </c>
      <c r="Y5233" t="s">
        <v>43</v>
      </c>
      <c r="Z5233" t="s">
        <v>43</v>
      </c>
      <c r="AA5233" t="s">
        <v>43</v>
      </c>
      <c r="AB5233" t="s">
        <v>43</v>
      </c>
      <c r="AC5233" t="s">
        <v>43</v>
      </c>
      <c r="AD5233" t="s">
        <v>43</v>
      </c>
      <c r="AE5233" t="s">
        <v>43</v>
      </c>
      <c r="AF5233" t="s">
        <v>43</v>
      </c>
      <c r="AG5233" t="s">
        <v>43</v>
      </c>
      <c r="AH5233" t="s">
        <v>43</v>
      </c>
      <c r="AI5233" t="s">
        <v>43</v>
      </c>
      <c r="AJ5233" t="s">
        <v>43</v>
      </c>
      <c r="AK5233" t="s">
        <v>43</v>
      </c>
      <c r="AL5233" t="s">
        <v>43</v>
      </c>
      <c r="AM5233" t="s">
        <v>43</v>
      </c>
      <c r="AN5233" t="s">
        <v>43</v>
      </c>
    </row>
    <row r="5234" spans="1:40" x14ac:dyDescent="0.3">
      <c r="A5234" s="1">
        <v>46210.393518518518</v>
      </c>
      <c r="B5234" t="s">
        <v>40</v>
      </c>
      <c r="C5234" t="s">
        <v>41</v>
      </c>
      <c r="D5234" s="1">
        <v>46210.396469907406</v>
      </c>
      <c r="E5234" t="s">
        <v>42</v>
      </c>
      <c r="F5234" t="s">
        <v>43</v>
      </c>
      <c r="G5234" t="s">
        <v>43</v>
      </c>
      <c r="H5234" t="s">
        <v>43</v>
      </c>
      <c r="I5234" t="s">
        <v>2965</v>
      </c>
      <c r="J5234" t="s">
        <v>43</v>
      </c>
      <c r="K5234" t="s">
        <v>43</v>
      </c>
      <c r="L5234" t="s">
        <v>43</v>
      </c>
      <c r="M5234" t="s">
        <v>43</v>
      </c>
      <c r="N5234" t="s">
        <v>45</v>
      </c>
      <c r="O5234" t="s">
        <v>43</v>
      </c>
      <c r="P5234" t="s">
        <v>43</v>
      </c>
      <c r="Q5234" t="s">
        <v>43</v>
      </c>
      <c r="R5234" t="s">
        <v>43</v>
      </c>
      <c r="S5234" t="s">
        <v>43</v>
      </c>
      <c r="T5234" t="s">
        <v>43</v>
      </c>
      <c r="U5234" t="s">
        <v>43</v>
      </c>
      <c r="V5234" t="s">
        <v>43</v>
      </c>
      <c r="W5234" t="s">
        <v>43</v>
      </c>
      <c r="X5234" t="s">
        <v>43</v>
      </c>
      <c r="Y5234" t="s">
        <v>43</v>
      </c>
      <c r="Z5234" t="s">
        <v>43</v>
      </c>
      <c r="AA5234" t="s">
        <v>43</v>
      </c>
      <c r="AB5234" t="s">
        <v>43</v>
      </c>
      <c r="AC5234" t="s">
        <v>43</v>
      </c>
      <c r="AD5234" t="s">
        <v>43</v>
      </c>
      <c r="AE5234" t="s">
        <v>43</v>
      </c>
      <c r="AF5234" t="s">
        <v>43</v>
      </c>
      <c r="AG5234" t="s">
        <v>43</v>
      </c>
      <c r="AH5234" t="s">
        <v>43</v>
      </c>
      <c r="AI5234" t="s">
        <v>43</v>
      </c>
      <c r="AJ5234" t="s">
        <v>43</v>
      </c>
      <c r="AK5234" t="s">
        <v>43</v>
      </c>
      <c r="AL5234" t="s">
        <v>43</v>
      </c>
      <c r="AM5234" t="s">
        <v>43</v>
      </c>
      <c r="AN5234" t="str">
        <f>HYPERLINK("https://www.google.com/maps?q=10.83223915,79.84021759","Open Location")</f>
        <v>Open Location</v>
      </c>
    </row>
    <row r="5235" spans="1:40" x14ac:dyDescent="0.3">
      <c r="A5235" s="1">
        <v>46210.39340277778</v>
      </c>
      <c r="B5235" t="s">
        <v>40</v>
      </c>
      <c r="C5235" t="s">
        <v>41</v>
      </c>
      <c r="D5235" s="1">
        <v>46210.396365740744</v>
      </c>
      <c r="E5235" t="s">
        <v>42</v>
      </c>
      <c r="F5235" t="s">
        <v>43</v>
      </c>
      <c r="G5235" t="s">
        <v>43</v>
      </c>
      <c r="H5235" t="s">
        <v>43</v>
      </c>
      <c r="I5235" t="s">
        <v>2966</v>
      </c>
      <c r="J5235" t="s">
        <v>43</v>
      </c>
      <c r="K5235" t="s">
        <v>43</v>
      </c>
      <c r="L5235" t="s">
        <v>43</v>
      </c>
      <c r="M5235" t="s">
        <v>43</v>
      </c>
      <c r="N5235" t="s">
        <v>45</v>
      </c>
      <c r="O5235" t="s">
        <v>43</v>
      </c>
      <c r="P5235" t="s">
        <v>43</v>
      </c>
      <c r="Q5235" t="s">
        <v>43</v>
      </c>
      <c r="R5235" t="s">
        <v>43</v>
      </c>
      <c r="S5235" t="s">
        <v>43</v>
      </c>
      <c r="T5235" t="s">
        <v>43</v>
      </c>
      <c r="U5235" t="s">
        <v>43</v>
      </c>
      <c r="V5235" t="s">
        <v>43</v>
      </c>
      <c r="W5235" t="s">
        <v>43</v>
      </c>
      <c r="X5235" t="s">
        <v>43</v>
      </c>
      <c r="Y5235" t="s">
        <v>43</v>
      </c>
      <c r="Z5235" t="s">
        <v>43</v>
      </c>
      <c r="AA5235" t="s">
        <v>43</v>
      </c>
      <c r="AB5235" t="s">
        <v>43</v>
      </c>
      <c r="AC5235" t="s">
        <v>43</v>
      </c>
      <c r="AD5235" t="s">
        <v>43</v>
      </c>
      <c r="AE5235" t="s">
        <v>43</v>
      </c>
      <c r="AF5235" t="s">
        <v>43</v>
      </c>
      <c r="AG5235" t="s">
        <v>43</v>
      </c>
      <c r="AH5235" t="s">
        <v>43</v>
      </c>
      <c r="AI5235" t="s">
        <v>43</v>
      </c>
      <c r="AJ5235" t="s">
        <v>43</v>
      </c>
      <c r="AK5235" t="s">
        <v>43</v>
      </c>
      <c r="AL5235" t="s">
        <v>43</v>
      </c>
      <c r="AM5235" t="s">
        <v>43</v>
      </c>
      <c r="AN5235" t="str">
        <f>HYPERLINK("https://www.google.com/maps?q=10.83223915,79.84020996","Open Location")</f>
        <v>Open Location</v>
      </c>
    </row>
    <row r="5236" spans="1:40" x14ac:dyDescent="0.3">
      <c r="A5236" s="1">
        <v>46210.393287037034</v>
      </c>
      <c r="B5236" t="s">
        <v>40</v>
      </c>
      <c r="C5236" t="s">
        <v>41</v>
      </c>
      <c r="D5236" s="1">
        <v>46210.396284722221</v>
      </c>
      <c r="E5236" t="s">
        <v>42</v>
      </c>
      <c r="F5236" t="s">
        <v>43</v>
      </c>
      <c r="G5236" t="s">
        <v>43</v>
      </c>
      <c r="H5236" t="s">
        <v>43</v>
      </c>
      <c r="I5236" t="s">
        <v>2963</v>
      </c>
      <c r="J5236" t="s">
        <v>43</v>
      </c>
      <c r="K5236" t="s">
        <v>43</v>
      </c>
      <c r="L5236" t="s">
        <v>43</v>
      </c>
      <c r="M5236" t="s">
        <v>43</v>
      </c>
      <c r="N5236" t="s">
        <v>45</v>
      </c>
      <c r="O5236" t="s">
        <v>43</v>
      </c>
      <c r="P5236" t="s">
        <v>43</v>
      </c>
      <c r="Q5236" t="s">
        <v>43</v>
      </c>
      <c r="R5236" t="s">
        <v>43</v>
      </c>
      <c r="S5236" t="s">
        <v>43</v>
      </c>
      <c r="T5236" t="s">
        <v>43</v>
      </c>
      <c r="U5236" t="s">
        <v>43</v>
      </c>
      <c r="V5236" t="s">
        <v>43</v>
      </c>
      <c r="W5236" t="s">
        <v>43</v>
      </c>
      <c r="X5236" t="s">
        <v>43</v>
      </c>
      <c r="Y5236" t="s">
        <v>43</v>
      </c>
      <c r="Z5236" t="s">
        <v>43</v>
      </c>
      <c r="AA5236" t="s">
        <v>43</v>
      </c>
      <c r="AB5236" t="s">
        <v>43</v>
      </c>
      <c r="AC5236" t="s">
        <v>43</v>
      </c>
      <c r="AD5236" t="s">
        <v>43</v>
      </c>
      <c r="AE5236" t="s">
        <v>43</v>
      </c>
      <c r="AF5236" t="s">
        <v>43</v>
      </c>
      <c r="AG5236" t="s">
        <v>43</v>
      </c>
      <c r="AH5236" t="s">
        <v>43</v>
      </c>
      <c r="AI5236" t="s">
        <v>43</v>
      </c>
      <c r="AJ5236" t="s">
        <v>43</v>
      </c>
      <c r="AK5236" t="s">
        <v>43</v>
      </c>
      <c r="AL5236" t="s">
        <v>43</v>
      </c>
      <c r="AM5236" t="s">
        <v>43</v>
      </c>
      <c r="AN5236" t="str">
        <f>HYPERLINK("https://www.google.com/maps?q=10.8322401,79.84020996","Open Location")</f>
        <v>Open Location</v>
      </c>
    </row>
    <row r="5237" spans="1:40" x14ac:dyDescent="0.3">
      <c r="A5237" s="1">
        <v>46210.393171296295</v>
      </c>
      <c r="B5237" t="s">
        <v>40</v>
      </c>
      <c r="C5237" t="s">
        <v>41</v>
      </c>
      <c r="D5237" s="1">
        <v>46210.395879629628</v>
      </c>
      <c r="E5237" t="s">
        <v>42</v>
      </c>
      <c r="F5237" t="s">
        <v>43</v>
      </c>
      <c r="G5237" t="s">
        <v>43</v>
      </c>
      <c r="H5237" t="s">
        <v>43</v>
      </c>
      <c r="I5237" t="s">
        <v>2693</v>
      </c>
      <c r="J5237" t="s">
        <v>43</v>
      </c>
      <c r="K5237" t="s">
        <v>43</v>
      </c>
      <c r="L5237" t="s">
        <v>43</v>
      </c>
      <c r="M5237" t="s">
        <v>43</v>
      </c>
      <c r="N5237" t="s">
        <v>45</v>
      </c>
      <c r="O5237" t="s">
        <v>43</v>
      </c>
      <c r="P5237" t="s">
        <v>43</v>
      </c>
      <c r="Q5237" t="s">
        <v>43</v>
      </c>
      <c r="R5237" t="s">
        <v>43</v>
      </c>
      <c r="S5237" t="s">
        <v>43</v>
      </c>
      <c r="T5237" t="s">
        <v>43</v>
      </c>
      <c r="U5237" t="s">
        <v>43</v>
      </c>
      <c r="V5237" t="s">
        <v>43</v>
      </c>
      <c r="W5237" t="s">
        <v>43</v>
      </c>
      <c r="X5237" t="s">
        <v>43</v>
      </c>
      <c r="Y5237" t="s">
        <v>43</v>
      </c>
      <c r="Z5237" t="s">
        <v>43</v>
      </c>
      <c r="AA5237" t="s">
        <v>43</v>
      </c>
      <c r="AB5237" t="s">
        <v>43</v>
      </c>
      <c r="AC5237" t="s">
        <v>43</v>
      </c>
      <c r="AD5237" t="s">
        <v>43</v>
      </c>
      <c r="AE5237" t="s">
        <v>43</v>
      </c>
      <c r="AF5237" t="s">
        <v>43</v>
      </c>
      <c r="AG5237" t="s">
        <v>43</v>
      </c>
      <c r="AH5237" t="s">
        <v>43</v>
      </c>
      <c r="AI5237" t="s">
        <v>43</v>
      </c>
      <c r="AJ5237" t="s">
        <v>43</v>
      </c>
      <c r="AK5237" t="s">
        <v>43</v>
      </c>
      <c r="AL5237" t="s">
        <v>43</v>
      </c>
      <c r="AM5237" t="s">
        <v>43</v>
      </c>
      <c r="AN5237" t="str">
        <f>HYPERLINK("https://www.google.com/maps?q=10.83224678,79.84020996","Open Location")</f>
        <v>Open Location</v>
      </c>
    </row>
    <row r="5238" spans="1:40" x14ac:dyDescent="0.3">
      <c r="A5238" s="1">
        <v>46210.393055555556</v>
      </c>
      <c r="B5238" t="s">
        <v>40</v>
      </c>
      <c r="C5238" t="s">
        <v>41</v>
      </c>
      <c r="D5238" s="1">
        <v>46210.395937499998</v>
      </c>
      <c r="E5238" t="s">
        <v>42</v>
      </c>
      <c r="F5238" t="s">
        <v>43</v>
      </c>
      <c r="G5238" t="s">
        <v>43</v>
      </c>
      <c r="H5238" t="s">
        <v>43</v>
      </c>
      <c r="I5238" t="s">
        <v>43</v>
      </c>
      <c r="J5238" t="s">
        <v>43</v>
      </c>
      <c r="K5238" t="s">
        <v>43</v>
      </c>
      <c r="L5238" t="s">
        <v>43</v>
      </c>
      <c r="M5238" t="s">
        <v>43</v>
      </c>
      <c r="N5238" t="s">
        <v>45</v>
      </c>
      <c r="O5238" t="s">
        <v>43</v>
      </c>
      <c r="P5238" t="s">
        <v>43</v>
      </c>
      <c r="Q5238" t="s">
        <v>43</v>
      </c>
      <c r="R5238" t="s">
        <v>43</v>
      </c>
      <c r="S5238" t="s">
        <v>43</v>
      </c>
      <c r="T5238" t="s">
        <v>43</v>
      </c>
      <c r="U5238" t="s">
        <v>43</v>
      </c>
      <c r="V5238" t="s">
        <v>43</v>
      </c>
      <c r="W5238" t="s">
        <v>43</v>
      </c>
      <c r="X5238" t="s">
        <v>43</v>
      </c>
      <c r="Y5238" t="s">
        <v>43</v>
      </c>
      <c r="Z5238" t="s">
        <v>43</v>
      </c>
      <c r="AA5238" t="s">
        <v>43</v>
      </c>
      <c r="AB5238" t="s">
        <v>43</v>
      </c>
      <c r="AC5238" t="s">
        <v>43</v>
      </c>
      <c r="AD5238" t="s">
        <v>43</v>
      </c>
      <c r="AE5238" t="s">
        <v>43</v>
      </c>
      <c r="AF5238" t="s">
        <v>43</v>
      </c>
      <c r="AG5238" t="s">
        <v>43</v>
      </c>
      <c r="AH5238" t="s">
        <v>43</v>
      </c>
      <c r="AI5238" t="s">
        <v>43</v>
      </c>
      <c r="AJ5238" t="s">
        <v>43</v>
      </c>
      <c r="AK5238" t="s">
        <v>43</v>
      </c>
      <c r="AL5238" t="s">
        <v>43</v>
      </c>
      <c r="AM5238" t="s">
        <v>43</v>
      </c>
      <c r="AN5238" t="s">
        <v>43</v>
      </c>
    </row>
    <row r="5239" spans="1:40" x14ac:dyDescent="0.3">
      <c r="A5239" s="1">
        <v>46210.392939814818</v>
      </c>
      <c r="B5239" t="s">
        <v>40</v>
      </c>
      <c r="C5239" t="s">
        <v>41</v>
      </c>
      <c r="D5239" s="1">
        <v>46210.395810185182</v>
      </c>
      <c r="E5239" t="s">
        <v>42</v>
      </c>
      <c r="F5239" t="s">
        <v>43</v>
      </c>
      <c r="G5239" t="s">
        <v>43</v>
      </c>
      <c r="H5239" t="s">
        <v>43</v>
      </c>
      <c r="I5239" t="s">
        <v>2822</v>
      </c>
      <c r="J5239" t="s">
        <v>43</v>
      </c>
      <c r="K5239" t="s">
        <v>43</v>
      </c>
      <c r="L5239" t="s">
        <v>43</v>
      </c>
      <c r="M5239" t="s">
        <v>43</v>
      </c>
      <c r="N5239" t="s">
        <v>45</v>
      </c>
      <c r="O5239" t="s">
        <v>43</v>
      </c>
      <c r="P5239" t="s">
        <v>43</v>
      </c>
      <c r="Q5239" t="s">
        <v>43</v>
      </c>
      <c r="R5239" t="s">
        <v>43</v>
      </c>
      <c r="S5239" t="s">
        <v>43</v>
      </c>
      <c r="T5239" t="s">
        <v>43</v>
      </c>
      <c r="U5239" t="s">
        <v>43</v>
      </c>
      <c r="V5239" t="s">
        <v>43</v>
      </c>
      <c r="W5239" t="s">
        <v>43</v>
      </c>
      <c r="X5239" t="s">
        <v>43</v>
      </c>
      <c r="Y5239" t="s">
        <v>43</v>
      </c>
      <c r="Z5239" t="s">
        <v>43</v>
      </c>
      <c r="AA5239" t="s">
        <v>43</v>
      </c>
      <c r="AB5239" t="s">
        <v>43</v>
      </c>
      <c r="AC5239" t="s">
        <v>43</v>
      </c>
      <c r="AD5239" t="s">
        <v>43</v>
      </c>
      <c r="AE5239" t="s">
        <v>43</v>
      </c>
      <c r="AF5239" t="s">
        <v>43</v>
      </c>
      <c r="AG5239" t="s">
        <v>43</v>
      </c>
      <c r="AH5239" t="s">
        <v>43</v>
      </c>
      <c r="AI5239" t="s">
        <v>43</v>
      </c>
      <c r="AJ5239" t="s">
        <v>43</v>
      </c>
      <c r="AK5239" t="s">
        <v>43</v>
      </c>
      <c r="AL5239" t="s">
        <v>43</v>
      </c>
      <c r="AM5239" t="s">
        <v>43</v>
      </c>
      <c r="AN5239" t="str">
        <f>HYPERLINK("https://www.google.com/maps?q=10.83224869,79.84020996","Open Location")</f>
        <v>Open Location</v>
      </c>
    </row>
    <row r="5240" spans="1:40" x14ac:dyDescent="0.3">
      <c r="A5240" s="1">
        <v>46210.392824074072</v>
      </c>
      <c r="B5240" t="s">
        <v>40</v>
      </c>
      <c r="C5240" t="s">
        <v>41</v>
      </c>
      <c r="D5240" s="1">
        <v>46210.395937499998</v>
      </c>
      <c r="E5240" t="s">
        <v>42</v>
      </c>
      <c r="F5240" t="s">
        <v>43</v>
      </c>
      <c r="G5240" t="s">
        <v>43</v>
      </c>
      <c r="H5240" t="s">
        <v>43</v>
      </c>
      <c r="I5240" t="s">
        <v>2748</v>
      </c>
      <c r="J5240" t="s">
        <v>43</v>
      </c>
      <c r="K5240" t="s">
        <v>43</v>
      </c>
      <c r="L5240" t="s">
        <v>43</v>
      </c>
      <c r="M5240" t="s">
        <v>43</v>
      </c>
      <c r="N5240" t="s">
        <v>45</v>
      </c>
      <c r="O5240" t="s">
        <v>43</v>
      </c>
      <c r="P5240" t="s">
        <v>43</v>
      </c>
      <c r="Q5240" t="s">
        <v>43</v>
      </c>
      <c r="R5240" t="s">
        <v>43</v>
      </c>
      <c r="S5240" t="s">
        <v>43</v>
      </c>
      <c r="T5240" t="s">
        <v>43</v>
      </c>
      <c r="U5240" t="s">
        <v>43</v>
      </c>
      <c r="V5240" t="s">
        <v>43</v>
      </c>
      <c r="W5240" t="s">
        <v>43</v>
      </c>
      <c r="X5240" t="s">
        <v>43</v>
      </c>
      <c r="Y5240" t="s">
        <v>43</v>
      </c>
      <c r="Z5240" t="s">
        <v>43</v>
      </c>
      <c r="AA5240" t="s">
        <v>43</v>
      </c>
      <c r="AB5240" t="s">
        <v>43</v>
      </c>
      <c r="AC5240" t="s">
        <v>43</v>
      </c>
      <c r="AD5240" t="s">
        <v>43</v>
      </c>
      <c r="AE5240" t="s">
        <v>43</v>
      </c>
      <c r="AF5240" t="s">
        <v>43</v>
      </c>
      <c r="AG5240" t="s">
        <v>43</v>
      </c>
      <c r="AH5240" t="s">
        <v>43</v>
      </c>
      <c r="AI5240" t="s">
        <v>43</v>
      </c>
      <c r="AJ5240" t="s">
        <v>43</v>
      </c>
      <c r="AK5240" t="s">
        <v>43</v>
      </c>
      <c r="AL5240" t="s">
        <v>43</v>
      </c>
      <c r="AM5240" t="s">
        <v>43</v>
      </c>
      <c r="AN5240" t="str">
        <f>HYPERLINK("https://www.google.com/maps?q=10.83224869,79.84021759","Open Location")</f>
        <v>Open Location</v>
      </c>
    </row>
    <row r="5241" spans="1:40" x14ac:dyDescent="0.3">
      <c r="A5241" s="1">
        <v>46210.392708333333</v>
      </c>
      <c r="B5241" t="s">
        <v>40</v>
      </c>
      <c r="C5241" t="s">
        <v>41</v>
      </c>
      <c r="D5241" s="1">
        <v>46210.395555555559</v>
      </c>
      <c r="E5241" t="s">
        <v>42</v>
      </c>
      <c r="F5241" t="s">
        <v>43</v>
      </c>
      <c r="G5241" t="s">
        <v>43</v>
      </c>
      <c r="H5241" t="s">
        <v>43</v>
      </c>
      <c r="I5241" t="s">
        <v>2823</v>
      </c>
      <c r="J5241" t="s">
        <v>43</v>
      </c>
      <c r="K5241" t="s">
        <v>43</v>
      </c>
      <c r="L5241" t="s">
        <v>43</v>
      </c>
      <c r="M5241" t="s">
        <v>43</v>
      </c>
      <c r="N5241" t="s">
        <v>45</v>
      </c>
      <c r="O5241" t="s">
        <v>43</v>
      </c>
      <c r="P5241" t="s">
        <v>43</v>
      </c>
      <c r="Q5241" t="s">
        <v>43</v>
      </c>
      <c r="R5241" t="s">
        <v>43</v>
      </c>
      <c r="S5241" t="s">
        <v>43</v>
      </c>
      <c r="T5241" t="s">
        <v>43</v>
      </c>
      <c r="U5241" t="s">
        <v>43</v>
      </c>
      <c r="V5241" t="s">
        <v>43</v>
      </c>
      <c r="W5241" t="s">
        <v>43</v>
      </c>
      <c r="X5241" t="s">
        <v>43</v>
      </c>
      <c r="Y5241" t="s">
        <v>43</v>
      </c>
      <c r="Z5241" t="s">
        <v>43</v>
      </c>
      <c r="AA5241" t="s">
        <v>43</v>
      </c>
      <c r="AB5241" t="s">
        <v>43</v>
      </c>
      <c r="AC5241" t="s">
        <v>43</v>
      </c>
      <c r="AD5241" t="s">
        <v>43</v>
      </c>
      <c r="AE5241" t="s">
        <v>43</v>
      </c>
      <c r="AF5241" t="s">
        <v>43</v>
      </c>
      <c r="AG5241" t="s">
        <v>43</v>
      </c>
      <c r="AH5241" t="s">
        <v>43</v>
      </c>
      <c r="AI5241" t="s">
        <v>43</v>
      </c>
      <c r="AJ5241" t="s">
        <v>43</v>
      </c>
      <c r="AK5241" t="s">
        <v>43</v>
      </c>
      <c r="AL5241" t="s">
        <v>43</v>
      </c>
      <c r="AM5241" t="s">
        <v>43</v>
      </c>
      <c r="AN5241" t="str">
        <f>HYPERLINK("https://www.google.com/maps?q=10.8322506,79.84021759","Open Location")</f>
        <v>Open Location</v>
      </c>
    </row>
    <row r="5242" spans="1:40" x14ac:dyDescent="0.3">
      <c r="A5242" s="1">
        <v>46210.392592592594</v>
      </c>
      <c r="B5242" t="s">
        <v>40</v>
      </c>
      <c r="C5242" t="s">
        <v>41</v>
      </c>
      <c r="D5242" s="1">
        <v>46210.395798611113</v>
      </c>
      <c r="E5242" t="s">
        <v>42</v>
      </c>
      <c r="F5242" t="s">
        <v>43</v>
      </c>
      <c r="G5242" t="s">
        <v>43</v>
      </c>
      <c r="H5242" t="s">
        <v>43</v>
      </c>
      <c r="I5242" t="s">
        <v>2697</v>
      </c>
      <c r="J5242" t="s">
        <v>43</v>
      </c>
      <c r="K5242" t="s">
        <v>43</v>
      </c>
      <c r="L5242" t="s">
        <v>43</v>
      </c>
      <c r="M5242" t="s">
        <v>43</v>
      </c>
      <c r="N5242" t="s">
        <v>45</v>
      </c>
      <c r="O5242" t="s">
        <v>43</v>
      </c>
      <c r="P5242" t="s">
        <v>43</v>
      </c>
      <c r="Q5242" t="s">
        <v>43</v>
      </c>
      <c r="R5242" t="s">
        <v>43</v>
      </c>
      <c r="S5242" t="s">
        <v>43</v>
      </c>
      <c r="T5242" t="s">
        <v>43</v>
      </c>
      <c r="U5242" t="s">
        <v>43</v>
      </c>
      <c r="V5242" t="s">
        <v>43</v>
      </c>
      <c r="W5242" t="s">
        <v>43</v>
      </c>
      <c r="X5242" t="s">
        <v>43</v>
      </c>
      <c r="Y5242" t="s">
        <v>43</v>
      </c>
      <c r="Z5242" t="s">
        <v>43</v>
      </c>
      <c r="AA5242" t="s">
        <v>43</v>
      </c>
      <c r="AB5242" t="s">
        <v>43</v>
      </c>
      <c r="AC5242" t="s">
        <v>43</v>
      </c>
      <c r="AD5242" t="s">
        <v>43</v>
      </c>
      <c r="AE5242" t="s">
        <v>43</v>
      </c>
      <c r="AF5242" t="s">
        <v>43</v>
      </c>
      <c r="AG5242" t="s">
        <v>43</v>
      </c>
      <c r="AH5242" t="s">
        <v>43</v>
      </c>
      <c r="AI5242" t="s">
        <v>43</v>
      </c>
      <c r="AJ5242" t="s">
        <v>43</v>
      </c>
      <c r="AK5242" t="s">
        <v>43</v>
      </c>
      <c r="AL5242" t="s">
        <v>43</v>
      </c>
      <c r="AM5242" t="s">
        <v>43</v>
      </c>
      <c r="AN5242" t="str">
        <f>HYPERLINK("https://www.google.com/maps?q=10.83225632,79.84022522","Open Location")</f>
        <v>Open Location</v>
      </c>
    </row>
    <row r="5243" spans="1:40" x14ac:dyDescent="0.3">
      <c r="A5243" s="1">
        <v>46210.392476851855</v>
      </c>
      <c r="B5243" t="s">
        <v>40</v>
      </c>
      <c r="C5243" t="s">
        <v>41</v>
      </c>
      <c r="D5243" s="1">
        <v>46210.395416666666</v>
      </c>
      <c r="E5243" t="s">
        <v>42</v>
      </c>
      <c r="F5243" t="s">
        <v>43</v>
      </c>
      <c r="G5243" t="s">
        <v>43</v>
      </c>
      <c r="H5243" t="s">
        <v>43</v>
      </c>
      <c r="I5243" t="s">
        <v>2695</v>
      </c>
      <c r="J5243" t="s">
        <v>43</v>
      </c>
      <c r="K5243" t="s">
        <v>43</v>
      </c>
      <c r="L5243" t="s">
        <v>43</v>
      </c>
      <c r="M5243" t="s">
        <v>43</v>
      </c>
      <c r="N5243" t="s">
        <v>45</v>
      </c>
      <c r="O5243" t="s">
        <v>43</v>
      </c>
      <c r="P5243" t="s">
        <v>43</v>
      </c>
      <c r="Q5243" t="s">
        <v>43</v>
      </c>
      <c r="R5243" t="s">
        <v>43</v>
      </c>
      <c r="S5243" t="s">
        <v>43</v>
      </c>
      <c r="T5243" t="s">
        <v>43</v>
      </c>
      <c r="U5243" t="s">
        <v>43</v>
      </c>
      <c r="V5243" t="s">
        <v>43</v>
      </c>
      <c r="W5243" t="s">
        <v>43</v>
      </c>
      <c r="X5243" t="s">
        <v>43</v>
      </c>
      <c r="Y5243" t="s">
        <v>43</v>
      </c>
      <c r="Z5243" t="s">
        <v>43</v>
      </c>
      <c r="AA5243" t="s">
        <v>43</v>
      </c>
      <c r="AB5243" t="s">
        <v>43</v>
      </c>
      <c r="AC5243" t="s">
        <v>43</v>
      </c>
      <c r="AD5243" t="s">
        <v>43</v>
      </c>
      <c r="AE5243" t="s">
        <v>43</v>
      </c>
      <c r="AF5243" t="s">
        <v>43</v>
      </c>
      <c r="AG5243" t="s">
        <v>43</v>
      </c>
      <c r="AH5243" t="s">
        <v>43</v>
      </c>
      <c r="AI5243" t="s">
        <v>43</v>
      </c>
      <c r="AJ5243" t="s">
        <v>43</v>
      </c>
      <c r="AK5243" t="s">
        <v>43</v>
      </c>
      <c r="AL5243" t="s">
        <v>43</v>
      </c>
      <c r="AM5243" t="s">
        <v>43</v>
      </c>
      <c r="AN5243" t="str">
        <f>HYPERLINK("https://www.google.com/maps?q=10.83225346,79.84022522","Open Location")</f>
        <v>Open Location</v>
      </c>
    </row>
    <row r="5244" spans="1:40" x14ac:dyDescent="0.3">
      <c r="A5244" s="1">
        <v>46210.392361111109</v>
      </c>
      <c r="B5244" t="s">
        <v>40</v>
      </c>
      <c r="C5244" t="s">
        <v>41</v>
      </c>
      <c r="D5244" s="1">
        <v>46210.395405092589</v>
      </c>
      <c r="E5244" t="s">
        <v>42</v>
      </c>
      <c r="F5244" t="s">
        <v>43</v>
      </c>
      <c r="G5244" t="s">
        <v>43</v>
      </c>
      <c r="H5244" t="s">
        <v>43</v>
      </c>
      <c r="I5244" t="s">
        <v>43</v>
      </c>
      <c r="J5244" t="s">
        <v>43</v>
      </c>
      <c r="K5244" t="s">
        <v>43</v>
      </c>
      <c r="L5244" t="s">
        <v>43</v>
      </c>
      <c r="M5244" t="s">
        <v>43</v>
      </c>
      <c r="N5244" t="s">
        <v>45</v>
      </c>
      <c r="O5244" t="s">
        <v>43</v>
      </c>
      <c r="P5244" t="s">
        <v>43</v>
      </c>
      <c r="Q5244" t="s">
        <v>43</v>
      </c>
      <c r="R5244" t="s">
        <v>43</v>
      </c>
      <c r="S5244" t="s">
        <v>43</v>
      </c>
      <c r="T5244" t="s">
        <v>43</v>
      </c>
      <c r="U5244" t="s">
        <v>43</v>
      </c>
      <c r="V5244" t="s">
        <v>43</v>
      </c>
      <c r="W5244" t="s">
        <v>43</v>
      </c>
      <c r="X5244" t="s">
        <v>43</v>
      </c>
      <c r="Y5244" t="s">
        <v>43</v>
      </c>
      <c r="Z5244" t="s">
        <v>43</v>
      </c>
      <c r="AA5244" t="s">
        <v>43</v>
      </c>
      <c r="AB5244" t="s">
        <v>43</v>
      </c>
      <c r="AC5244" t="s">
        <v>43</v>
      </c>
      <c r="AD5244" t="s">
        <v>43</v>
      </c>
      <c r="AE5244" t="s">
        <v>43</v>
      </c>
      <c r="AF5244" t="s">
        <v>43</v>
      </c>
      <c r="AG5244" t="s">
        <v>43</v>
      </c>
      <c r="AH5244" t="s">
        <v>43</v>
      </c>
      <c r="AI5244" t="s">
        <v>43</v>
      </c>
      <c r="AJ5244" t="s">
        <v>43</v>
      </c>
      <c r="AK5244" t="s">
        <v>43</v>
      </c>
      <c r="AL5244" t="s">
        <v>43</v>
      </c>
      <c r="AM5244" t="s">
        <v>43</v>
      </c>
      <c r="AN5244" t="s">
        <v>43</v>
      </c>
    </row>
    <row r="5245" spans="1:40" x14ac:dyDescent="0.3">
      <c r="A5245" s="1">
        <v>46210.392245370371</v>
      </c>
      <c r="B5245" t="s">
        <v>40</v>
      </c>
      <c r="C5245" t="s">
        <v>41</v>
      </c>
      <c r="D5245" s="1">
        <v>46210.39508101852</v>
      </c>
      <c r="E5245" t="s">
        <v>42</v>
      </c>
      <c r="F5245" t="s">
        <v>43</v>
      </c>
      <c r="G5245" t="s">
        <v>43</v>
      </c>
      <c r="H5245" t="s">
        <v>43</v>
      </c>
      <c r="I5245" t="s">
        <v>2785</v>
      </c>
      <c r="J5245" t="s">
        <v>43</v>
      </c>
      <c r="K5245" t="s">
        <v>43</v>
      </c>
      <c r="L5245" t="s">
        <v>43</v>
      </c>
      <c r="M5245" t="s">
        <v>43</v>
      </c>
      <c r="N5245" t="s">
        <v>45</v>
      </c>
      <c r="O5245" t="s">
        <v>43</v>
      </c>
      <c r="P5245" t="s">
        <v>43</v>
      </c>
      <c r="Q5245" t="s">
        <v>43</v>
      </c>
      <c r="R5245" t="s">
        <v>43</v>
      </c>
      <c r="S5245" t="s">
        <v>43</v>
      </c>
      <c r="T5245" t="s">
        <v>43</v>
      </c>
      <c r="U5245" t="s">
        <v>43</v>
      </c>
      <c r="V5245" t="s">
        <v>43</v>
      </c>
      <c r="W5245" t="s">
        <v>43</v>
      </c>
      <c r="X5245" t="s">
        <v>43</v>
      </c>
      <c r="Y5245" t="s">
        <v>43</v>
      </c>
      <c r="Z5245" t="s">
        <v>43</v>
      </c>
      <c r="AA5245" t="s">
        <v>43</v>
      </c>
      <c r="AB5245" t="s">
        <v>43</v>
      </c>
      <c r="AC5245" t="s">
        <v>43</v>
      </c>
      <c r="AD5245" t="s">
        <v>43</v>
      </c>
      <c r="AE5245" t="s">
        <v>43</v>
      </c>
      <c r="AF5245" t="s">
        <v>43</v>
      </c>
      <c r="AG5245" t="s">
        <v>43</v>
      </c>
      <c r="AH5245" t="s">
        <v>43</v>
      </c>
      <c r="AI5245" t="s">
        <v>43</v>
      </c>
      <c r="AJ5245" t="s">
        <v>43</v>
      </c>
      <c r="AK5245" t="s">
        <v>43</v>
      </c>
      <c r="AL5245" t="s">
        <v>43</v>
      </c>
      <c r="AM5245" t="s">
        <v>43</v>
      </c>
      <c r="AN5245" t="str">
        <f>HYPERLINK("https://www.google.com/maps?q=10.83224964,79.84022522","Open Location")</f>
        <v>Open Location</v>
      </c>
    </row>
    <row r="5246" spans="1:40" x14ac:dyDescent="0.3">
      <c r="A5246" s="1">
        <v>46210.392129629632</v>
      </c>
      <c r="B5246" t="s">
        <v>40</v>
      </c>
      <c r="C5246" t="s">
        <v>41</v>
      </c>
      <c r="D5246" s="1">
        <v>46210.39508101852</v>
      </c>
      <c r="E5246" t="s">
        <v>42</v>
      </c>
      <c r="F5246" t="s">
        <v>43</v>
      </c>
      <c r="G5246" t="s">
        <v>43</v>
      </c>
      <c r="H5246" t="s">
        <v>43</v>
      </c>
      <c r="I5246" t="s">
        <v>2815</v>
      </c>
      <c r="J5246" t="s">
        <v>43</v>
      </c>
      <c r="K5246" t="s">
        <v>43</v>
      </c>
      <c r="L5246" t="s">
        <v>43</v>
      </c>
      <c r="M5246" t="s">
        <v>43</v>
      </c>
      <c r="N5246" t="s">
        <v>45</v>
      </c>
      <c r="O5246" t="s">
        <v>43</v>
      </c>
      <c r="P5246" t="s">
        <v>43</v>
      </c>
      <c r="Q5246" t="s">
        <v>43</v>
      </c>
      <c r="R5246" t="s">
        <v>43</v>
      </c>
      <c r="S5246" t="s">
        <v>43</v>
      </c>
      <c r="T5246" t="s">
        <v>43</v>
      </c>
      <c r="U5246" t="s">
        <v>43</v>
      </c>
      <c r="V5246" t="s">
        <v>43</v>
      </c>
      <c r="W5246" t="s">
        <v>43</v>
      </c>
      <c r="X5246" t="s">
        <v>43</v>
      </c>
      <c r="Y5246" t="s">
        <v>43</v>
      </c>
      <c r="Z5246" t="s">
        <v>43</v>
      </c>
      <c r="AA5246" t="s">
        <v>43</v>
      </c>
      <c r="AB5246" t="s">
        <v>43</v>
      </c>
      <c r="AC5246" t="s">
        <v>43</v>
      </c>
      <c r="AD5246" t="s">
        <v>43</v>
      </c>
      <c r="AE5246" t="s">
        <v>43</v>
      </c>
      <c r="AF5246" t="s">
        <v>43</v>
      </c>
      <c r="AG5246" t="s">
        <v>43</v>
      </c>
      <c r="AH5246" t="s">
        <v>43</v>
      </c>
      <c r="AI5246" t="s">
        <v>43</v>
      </c>
      <c r="AJ5246" t="s">
        <v>43</v>
      </c>
      <c r="AK5246" t="s">
        <v>43</v>
      </c>
      <c r="AL5246" t="s">
        <v>43</v>
      </c>
      <c r="AM5246" t="s">
        <v>43</v>
      </c>
      <c r="AN5246" t="str">
        <f>HYPERLINK("https://www.google.com/maps?q=10.83224964,79.84023285","Open Location")</f>
        <v>Open Location</v>
      </c>
    </row>
    <row r="5247" spans="1:40" x14ac:dyDescent="0.3">
      <c r="A5247" s="1">
        <v>46210.392013888886</v>
      </c>
      <c r="B5247" t="s">
        <v>40</v>
      </c>
      <c r="C5247" t="s">
        <v>41</v>
      </c>
      <c r="D5247" s="1">
        <v>46210.395057870373</v>
      </c>
      <c r="E5247" t="s">
        <v>42</v>
      </c>
      <c r="F5247" t="s">
        <v>43</v>
      </c>
      <c r="G5247" t="s">
        <v>43</v>
      </c>
      <c r="H5247" t="s">
        <v>43</v>
      </c>
      <c r="I5247" t="s">
        <v>2967</v>
      </c>
      <c r="J5247" t="s">
        <v>43</v>
      </c>
      <c r="K5247" t="s">
        <v>43</v>
      </c>
      <c r="L5247" t="s">
        <v>43</v>
      </c>
      <c r="M5247" t="s">
        <v>43</v>
      </c>
      <c r="N5247" t="s">
        <v>45</v>
      </c>
      <c r="O5247" t="s">
        <v>43</v>
      </c>
      <c r="P5247" t="s">
        <v>43</v>
      </c>
      <c r="Q5247" t="s">
        <v>43</v>
      </c>
      <c r="R5247" t="s">
        <v>43</v>
      </c>
      <c r="S5247" t="s">
        <v>43</v>
      </c>
      <c r="T5247" t="s">
        <v>43</v>
      </c>
      <c r="U5247" t="s">
        <v>43</v>
      </c>
      <c r="V5247" t="s">
        <v>43</v>
      </c>
      <c r="W5247" t="s">
        <v>43</v>
      </c>
      <c r="X5247" t="s">
        <v>43</v>
      </c>
      <c r="Y5247" t="s">
        <v>43</v>
      </c>
      <c r="Z5247" t="s">
        <v>43</v>
      </c>
      <c r="AA5247" t="s">
        <v>43</v>
      </c>
      <c r="AB5247" t="s">
        <v>43</v>
      </c>
      <c r="AC5247" t="s">
        <v>43</v>
      </c>
      <c r="AD5247" t="s">
        <v>43</v>
      </c>
      <c r="AE5247" t="s">
        <v>43</v>
      </c>
      <c r="AF5247" t="s">
        <v>43</v>
      </c>
      <c r="AG5247" t="s">
        <v>43</v>
      </c>
      <c r="AH5247" t="s">
        <v>43</v>
      </c>
      <c r="AI5247" t="s">
        <v>43</v>
      </c>
      <c r="AJ5247" t="s">
        <v>43</v>
      </c>
      <c r="AK5247" t="s">
        <v>43</v>
      </c>
      <c r="AL5247" t="s">
        <v>43</v>
      </c>
      <c r="AM5247" t="s">
        <v>43</v>
      </c>
      <c r="AN5247" t="str">
        <f>HYPERLINK("https://www.google.com/maps?q=10.83224583,79.84023285","Open Location")</f>
        <v>Open Location</v>
      </c>
    </row>
    <row r="5248" spans="1:40" x14ac:dyDescent="0.3">
      <c r="A5248" s="1">
        <v>46210.391898148147</v>
      </c>
      <c r="B5248" t="s">
        <v>40</v>
      </c>
      <c r="C5248" t="s">
        <v>41</v>
      </c>
      <c r="D5248" s="1">
        <v>46210.394942129627</v>
      </c>
      <c r="E5248" t="s">
        <v>42</v>
      </c>
      <c r="F5248" t="s">
        <v>43</v>
      </c>
      <c r="G5248" t="s">
        <v>43</v>
      </c>
      <c r="H5248" t="s">
        <v>43</v>
      </c>
      <c r="I5248" t="s">
        <v>2739</v>
      </c>
      <c r="J5248" t="s">
        <v>43</v>
      </c>
      <c r="K5248" t="s">
        <v>43</v>
      </c>
      <c r="L5248" t="s">
        <v>43</v>
      </c>
      <c r="M5248" t="s">
        <v>43</v>
      </c>
      <c r="N5248" t="s">
        <v>45</v>
      </c>
      <c r="O5248" t="s">
        <v>43</v>
      </c>
      <c r="P5248" t="s">
        <v>43</v>
      </c>
      <c r="Q5248" t="s">
        <v>43</v>
      </c>
      <c r="R5248" t="s">
        <v>43</v>
      </c>
      <c r="S5248" t="s">
        <v>43</v>
      </c>
      <c r="T5248" t="s">
        <v>43</v>
      </c>
      <c r="U5248" t="s">
        <v>43</v>
      </c>
      <c r="V5248" t="s">
        <v>43</v>
      </c>
      <c r="W5248" t="s">
        <v>43</v>
      </c>
      <c r="X5248" t="s">
        <v>43</v>
      </c>
      <c r="Y5248" t="s">
        <v>43</v>
      </c>
      <c r="Z5248" t="s">
        <v>43</v>
      </c>
      <c r="AA5248" t="s">
        <v>43</v>
      </c>
      <c r="AB5248" t="s">
        <v>43</v>
      </c>
      <c r="AC5248" t="s">
        <v>43</v>
      </c>
      <c r="AD5248" t="s">
        <v>43</v>
      </c>
      <c r="AE5248" t="s">
        <v>43</v>
      </c>
      <c r="AF5248" t="s">
        <v>43</v>
      </c>
      <c r="AG5248" t="s">
        <v>43</v>
      </c>
      <c r="AH5248" t="s">
        <v>43</v>
      </c>
      <c r="AI5248" t="s">
        <v>43</v>
      </c>
      <c r="AJ5248" t="s">
        <v>43</v>
      </c>
      <c r="AK5248" t="s">
        <v>43</v>
      </c>
      <c r="AL5248" t="s">
        <v>43</v>
      </c>
      <c r="AM5248" t="s">
        <v>43</v>
      </c>
      <c r="AN5248" t="str">
        <f>HYPERLINK("https://www.google.com/maps?q=10.83224106,79.84023285","Open Location")</f>
        <v>Open Location</v>
      </c>
    </row>
    <row r="5249" spans="1:40" x14ac:dyDescent="0.3">
      <c r="A5249" s="1">
        <v>46210.391782407409</v>
      </c>
      <c r="B5249" t="s">
        <v>40</v>
      </c>
      <c r="C5249" t="s">
        <v>41</v>
      </c>
      <c r="D5249" s="1">
        <v>46210.394594907404</v>
      </c>
      <c r="E5249" t="s">
        <v>42</v>
      </c>
      <c r="F5249" t="s">
        <v>43</v>
      </c>
      <c r="G5249" t="s">
        <v>43</v>
      </c>
      <c r="H5249" t="s">
        <v>43</v>
      </c>
      <c r="I5249" t="s">
        <v>2968</v>
      </c>
      <c r="J5249" t="s">
        <v>43</v>
      </c>
      <c r="K5249" t="s">
        <v>43</v>
      </c>
      <c r="L5249" t="s">
        <v>43</v>
      </c>
      <c r="M5249" t="s">
        <v>43</v>
      </c>
      <c r="N5249" t="s">
        <v>45</v>
      </c>
      <c r="O5249" t="s">
        <v>43</v>
      </c>
      <c r="P5249" t="s">
        <v>43</v>
      </c>
      <c r="Q5249" t="s">
        <v>43</v>
      </c>
      <c r="R5249" t="s">
        <v>43</v>
      </c>
      <c r="S5249" t="s">
        <v>43</v>
      </c>
      <c r="T5249" t="s">
        <v>43</v>
      </c>
      <c r="U5249" t="s">
        <v>43</v>
      </c>
      <c r="V5249" t="s">
        <v>43</v>
      </c>
      <c r="W5249" t="s">
        <v>43</v>
      </c>
      <c r="X5249" t="s">
        <v>43</v>
      </c>
      <c r="Y5249" t="s">
        <v>43</v>
      </c>
      <c r="Z5249" t="s">
        <v>43</v>
      </c>
      <c r="AA5249" t="s">
        <v>43</v>
      </c>
      <c r="AB5249" t="s">
        <v>43</v>
      </c>
      <c r="AC5249" t="s">
        <v>43</v>
      </c>
      <c r="AD5249" t="s">
        <v>43</v>
      </c>
      <c r="AE5249" t="s">
        <v>43</v>
      </c>
      <c r="AF5249" t="s">
        <v>43</v>
      </c>
      <c r="AG5249" t="s">
        <v>43</v>
      </c>
      <c r="AH5249" t="s">
        <v>43</v>
      </c>
      <c r="AI5249" t="s">
        <v>43</v>
      </c>
      <c r="AJ5249" t="s">
        <v>43</v>
      </c>
      <c r="AK5249" t="s">
        <v>43</v>
      </c>
      <c r="AL5249" t="s">
        <v>43</v>
      </c>
      <c r="AM5249" t="s">
        <v>43</v>
      </c>
      <c r="AN5249" t="str">
        <f>HYPERLINK("https://www.google.com/maps?q=10.8322401,79.84023285","Open Location")</f>
        <v>Open Location</v>
      </c>
    </row>
    <row r="5250" spans="1:40" x14ac:dyDescent="0.3">
      <c r="A5250" s="1">
        <v>46210.39166666667</v>
      </c>
      <c r="B5250" t="s">
        <v>40</v>
      </c>
      <c r="C5250" t="s">
        <v>41</v>
      </c>
      <c r="D5250" s="1">
        <v>46210.394571759258</v>
      </c>
      <c r="E5250" t="s">
        <v>42</v>
      </c>
      <c r="F5250" t="s">
        <v>43</v>
      </c>
      <c r="G5250" t="s">
        <v>43</v>
      </c>
      <c r="H5250" t="s">
        <v>43</v>
      </c>
      <c r="I5250" t="s">
        <v>43</v>
      </c>
      <c r="J5250" t="s">
        <v>43</v>
      </c>
      <c r="K5250" t="s">
        <v>43</v>
      </c>
      <c r="L5250" t="s">
        <v>43</v>
      </c>
      <c r="M5250" t="s">
        <v>43</v>
      </c>
      <c r="N5250" t="s">
        <v>45</v>
      </c>
      <c r="O5250" t="s">
        <v>43</v>
      </c>
      <c r="P5250" t="s">
        <v>43</v>
      </c>
      <c r="Q5250" t="s">
        <v>43</v>
      </c>
      <c r="R5250" t="s">
        <v>43</v>
      </c>
      <c r="S5250" t="s">
        <v>43</v>
      </c>
      <c r="T5250" t="s">
        <v>43</v>
      </c>
      <c r="U5250" t="s">
        <v>43</v>
      </c>
      <c r="V5250" t="s">
        <v>43</v>
      </c>
      <c r="W5250" t="s">
        <v>43</v>
      </c>
      <c r="X5250" t="s">
        <v>43</v>
      </c>
      <c r="Y5250" t="s">
        <v>43</v>
      </c>
      <c r="Z5250" t="s">
        <v>43</v>
      </c>
      <c r="AA5250" t="s">
        <v>43</v>
      </c>
      <c r="AB5250" t="s">
        <v>43</v>
      </c>
      <c r="AC5250" t="s">
        <v>43</v>
      </c>
      <c r="AD5250" t="s">
        <v>43</v>
      </c>
      <c r="AE5250" t="s">
        <v>43</v>
      </c>
      <c r="AF5250" t="s">
        <v>43</v>
      </c>
      <c r="AG5250" t="s">
        <v>43</v>
      </c>
      <c r="AH5250" t="s">
        <v>43</v>
      </c>
      <c r="AI5250" t="s">
        <v>43</v>
      </c>
      <c r="AJ5250" t="s">
        <v>43</v>
      </c>
      <c r="AK5250" t="s">
        <v>43</v>
      </c>
      <c r="AL5250" t="s">
        <v>43</v>
      </c>
      <c r="AM5250" t="s">
        <v>43</v>
      </c>
      <c r="AN5250" t="s">
        <v>43</v>
      </c>
    </row>
    <row r="5251" spans="1:40" x14ac:dyDescent="0.3">
      <c r="A5251" s="1">
        <v>46210.391550925924</v>
      </c>
      <c r="B5251" t="s">
        <v>40</v>
      </c>
      <c r="C5251" t="s">
        <v>41</v>
      </c>
      <c r="D5251" s="1">
        <v>46210.394363425927</v>
      </c>
      <c r="E5251" t="s">
        <v>42</v>
      </c>
      <c r="F5251" t="s">
        <v>43</v>
      </c>
      <c r="G5251" t="s">
        <v>43</v>
      </c>
      <c r="H5251" t="s">
        <v>43</v>
      </c>
      <c r="I5251" t="s">
        <v>2969</v>
      </c>
      <c r="J5251" t="s">
        <v>43</v>
      </c>
      <c r="K5251" t="s">
        <v>43</v>
      </c>
      <c r="L5251" t="s">
        <v>43</v>
      </c>
      <c r="M5251" t="s">
        <v>43</v>
      </c>
      <c r="N5251" t="s">
        <v>45</v>
      </c>
      <c r="O5251" t="s">
        <v>43</v>
      </c>
      <c r="P5251" t="s">
        <v>43</v>
      </c>
      <c r="Q5251" t="s">
        <v>43</v>
      </c>
      <c r="R5251" t="s">
        <v>43</v>
      </c>
      <c r="S5251" t="s">
        <v>43</v>
      </c>
      <c r="T5251" t="s">
        <v>43</v>
      </c>
      <c r="U5251" t="s">
        <v>43</v>
      </c>
      <c r="V5251" t="s">
        <v>43</v>
      </c>
      <c r="W5251" t="s">
        <v>43</v>
      </c>
      <c r="X5251" t="s">
        <v>43</v>
      </c>
      <c r="Y5251" t="s">
        <v>43</v>
      </c>
      <c r="Z5251" t="s">
        <v>43</v>
      </c>
      <c r="AA5251" t="s">
        <v>43</v>
      </c>
      <c r="AB5251" t="s">
        <v>43</v>
      </c>
      <c r="AC5251" t="s">
        <v>43</v>
      </c>
      <c r="AD5251" t="s">
        <v>43</v>
      </c>
      <c r="AE5251" t="s">
        <v>43</v>
      </c>
      <c r="AF5251" t="s">
        <v>43</v>
      </c>
      <c r="AG5251" t="s">
        <v>43</v>
      </c>
      <c r="AH5251" t="s">
        <v>43</v>
      </c>
      <c r="AI5251" t="s">
        <v>43</v>
      </c>
      <c r="AJ5251" t="s">
        <v>43</v>
      </c>
      <c r="AK5251" t="s">
        <v>43</v>
      </c>
      <c r="AL5251" t="s">
        <v>43</v>
      </c>
      <c r="AM5251" t="s">
        <v>43</v>
      </c>
      <c r="AN5251" t="str">
        <f>HYPERLINK("https://www.google.com/maps?q=10.8322382,79.84023285","Open Location")</f>
        <v>Open Location</v>
      </c>
    </row>
    <row r="5252" spans="1:40" x14ac:dyDescent="0.3">
      <c r="A5252" s="1">
        <v>46210.391435185185</v>
      </c>
      <c r="B5252" t="s">
        <v>40</v>
      </c>
      <c r="C5252" t="s">
        <v>41</v>
      </c>
      <c r="D5252" s="1">
        <v>46210.394733796296</v>
      </c>
      <c r="E5252" t="s">
        <v>42</v>
      </c>
      <c r="F5252" t="s">
        <v>43</v>
      </c>
      <c r="G5252" t="s">
        <v>43</v>
      </c>
      <c r="H5252" t="s">
        <v>43</v>
      </c>
      <c r="I5252" t="s">
        <v>2941</v>
      </c>
      <c r="J5252" t="s">
        <v>43</v>
      </c>
      <c r="K5252" t="s">
        <v>43</v>
      </c>
      <c r="L5252" t="s">
        <v>43</v>
      </c>
      <c r="M5252" t="s">
        <v>43</v>
      </c>
      <c r="N5252" t="s">
        <v>45</v>
      </c>
      <c r="O5252" t="s">
        <v>43</v>
      </c>
      <c r="P5252" t="s">
        <v>43</v>
      </c>
      <c r="Q5252" t="s">
        <v>43</v>
      </c>
      <c r="R5252" t="s">
        <v>43</v>
      </c>
      <c r="S5252" t="s">
        <v>43</v>
      </c>
      <c r="T5252" t="s">
        <v>43</v>
      </c>
      <c r="U5252" t="s">
        <v>43</v>
      </c>
      <c r="V5252" t="s">
        <v>43</v>
      </c>
      <c r="W5252" t="s">
        <v>43</v>
      </c>
      <c r="X5252" t="s">
        <v>43</v>
      </c>
      <c r="Y5252" t="s">
        <v>43</v>
      </c>
      <c r="Z5252" t="s">
        <v>43</v>
      </c>
      <c r="AA5252" t="s">
        <v>43</v>
      </c>
      <c r="AB5252" t="s">
        <v>43</v>
      </c>
      <c r="AC5252" t="s">
        <v>43</v>
      </c>
      <c r="AD5252" t="s">
        <v>43</v>
      </c>
      <c r="AE5252" t="s">
        <v>43</v>
      </c>
      <c r="AF5252" t="s">
        <v>43</v>
      </c>
      <c r="AG5252" t="s">
        <v>43</v>
      </c>
      <c r="AH5252" t="s">
        <v>43</v>
      </c>
      <c r="AI5252" t="s">
        <v>43</v>
      </c>
      <c r="AJ5252" t="s">
        <v>43</v>
      </c>
      <c r="AK5252" t="s">
        <v>43</v>
      </c>
      <c r="AL5252" t="s">
        <v>43</v>
      </c>
      <c r="AM5252" t="s">
        <v>43</v>
      </c>
      <c r="AN5252" t="str">
        <f>HYPERLINK("https://www.google.com/maps?q=10.83223629,79.84021759","Open Location")</f>
        <v>Open Location</v>
      </c>
    </row>
    <row r="5253" spans="1:40" x14ac:dyDescent="0.3">
      <c r="A5253" s="1">
        <v>46210.391319444447</v>
      </c>
      <c r="B5253" t="s">
        <v>40</v>
      </c>
      <c r="C5253" t="s">
        <v>41</v>
      </c>
      <c r="D5253" s="1">
        <v>46210.393993055557</v>
      </c>
      <c r="E5253" t="s">
        <v>42</v>
      </c>
      <c r="F5253" t="s">
        <v>43</v>
      </c>
      <c r="G5253" t="s">
        <v>43</v>
      </c>
      <c r="H5253" t="s">
        <v>43</v>
      </c>
      <c r="I5253" t="s">
        <v>2965</v>
      </c>
      <c r="J5253" t="s">
        <v>43</v>
      </c>
      <c r="K5253" t="s">
        <v>43</v>
      </c>
      <c r="L5253" t="s">
        <v>43</v>
      </c>
      <c r="M5253" t="s">
        <v>43</v>
      </c>
      <c r="N5253" t="s">
        <v>45</v>
      </c>
      <c r="O5253" t="s">
        <v>43</v>
      </c>
      <c r="P5253" t="s">
        <v>43</v>
      </c>
      <c r="Q5253" t="s">
        <v>43</v>
      </c>
      <c r="R5253" t="s">
        <v>43</v>
      </c>
      <c r="S5253" t="s">
        <v>43</v>
      </c>
      <c r="T5253" t="s">
        <v>43</v>
      </c>
      <c r="U5253" t="s">
        <v>43</v>
      </c>
      <c r="V5253" t="s">
        <v>43</v>
      </c>
      <c r="W5253" t="s">
        <v>43</v>
      </c>
      <c r="X5253" t="s">
        <v>43</v>
      </c>
      <c r="Y5253" t="s">
        <v>43</v>
      </c>
      <c r="Z5253" t="s">
        <v>43</v>
      </c>
      <c r="AA5253" t="s">
        <v>43</v>
      </c>
      <c r="AB5253" t="s">
        <v>43</v>
      </c>
      <c r="AC5253" t="s">
        <v>43</v>
      </c>
      <c r="AD5253" t="s">
        <v>43</v>
      </c>
      <c r="AE5253" t="s">
        <v>43</v>
      </c>
      <c r="AF5253" t="s">
        <v>43</v>
      </c>
      <c r="AG5253" t="s">
        <v>43</v>
      </c>
      <c r="AH5253" t="s">
        <v>43</v>
      </c>
      <c r="AI5253" t="s">
        <v>43</v>
      </c>
      <c r="AJ5253" t="s">
        <v>43</v>
      </c>
      <c r="AK5253" t="s">
        <v>43</v>
      </c>
      <c r="AL5253" t="s">
        <v>43</v>
      </c>
      <c r="AM5253" t="s">
        <v>43</v>
      </c>
      <c r="AN5253" t="str">
        <f>HYPERLINK("https://www.google.com/maps?q=10.83223915,79.84021759","Open Location")</f>
        <v>Open Location</v>
      </c>
    </row>
    <row r="5254" spans="1:40" x14ac:dyDescent="0.3">
      <c r="A5254" s="1">
        <v>46210.391203703701</v>
      </c>
      <c r="B5254" t="s">
        <v>40</v>
      </c>
      <c r="C5254" t="s">
        <v>41</v>
      </c>
      <c r="D5254" s="1">
        <v>46210.394363425927</v>
      </c>
      <c r="E5254" t="s">
        <v>42</v>
      </c>
      <c r="F5254" t="s">
        <v>43</v>
      </c>
      <c r="G5254" t="s">
        <v>43</v>
      </c>
      <c r="H5254" t="s">
        <v>43</v>
      </c>
      <c r="I5254" t="s">
        <v>2970</v>
      </c>
      <c r="J5254" t="s">
        <v>43</v>
      </c>
      <c r="K5254" t="s">
        <v>43</v>
      </c>
      <c r="L5254" t="s">
        <v>43</v>
      </c>
      <c r="M5254" t="s">
        <v>43</v>
      </c>
      <c r="N5254" t="s">
        <v>45</v>
      </c>
      <c r="O5254" t="s">
        <v>43</v>
      </c>
      <c r="P5254" t="s">
        <v>43</v>
      </c>
      <c r="Q5254" t="s">
        <v>43</v>
      </c>
      <c r="R5254" t="s">
        <v>43</v>
      </c>
      <c r="S5254" t="s">
        <v>43</v>
      </c>
      <c r="T5254" t="s">
        <v>43</v>
      </c>
      <c r="U5254" t="s">
        <v>43</v>
      </c>
      <c r="V5254" t="s">
        <v>43</v>
      </c>
      <c r="W5254" t="s">
        <v>43</v>
      </c>
      <c r="X5254" t="s">
        <v>43</v>
      </c>
      <c r="Y5254" t="s">
        <v>43</v>
      </c>
      <c r="Z5254" t="s">
        <v>43</v>
      </c>
      <c r="AA5254" t="s">
        <v>43</v>
      </c>
      <c r="AB5254" t="s">
        <v>43</v>
      </c>
      <c r="AC5254" t="s">
        <v>43</v>
      </c>
      <c r="AD5254" t="s">
        <v>43</v>
      </c>
      <c r="AE5254" t="s">
        <v>43</v>
      </c>
      <c r="AF5254" t="s">
        <v>43</v>
      </c>
      <c r="AG5254" t="s">
        <v>43</v>
      </c>
      <c r="AH5254" t="s">
        <v>43</v>
      </c>
      <c r="AI5254" t="s">
        <v>43</v>
      </c>
      <c r="AJ5254" t="s">
        <v>43</v>
      </c>
      <c r="AK5254" t="s">
        <v>43</v>
      </c>
      <c r="AL5254" t="s">
        <v>43</v>
      </c>
      <c r="AM5254" t="s">
        <v>43</v>
      </c>
      <c r="AN5254" t="str">
        <f>HYPERLINK("https://www.google.com/maps?q=10.83224106,79.84022522","Open Location")</f>
        <v>Open Location</v>
      </c>
    </row>
    <row r="5255" spans="1:40" x14ac:dyDescent="0.3">
      <c r="A5255" s="1">
        <v>46210.391087962962</v>
      </c>
      <c r="B5255" t="s">
        <v>40</v>
      </c>
      <c r="C5255" t="s">
        <v>41</v>
      </c>
      <c r="D5255" s="1">
        <v>46210.394108796296</v>
      </c>
      <c r="E5255" t="s">
        <v>42</v>
      </c>
      <c r="F5255" t="s">
        <v>43</v>
      </c>
      <c r="G5255" t="s">
        <v>43</v>
      </c>
      <c r="H5255" t="s">
        <v>43</v>
      </c>
      <c r="I5255" t="s">
        <v>43</v>
      </c>
      <c r="J5255" t="s">
        <v>43</v>
      </c>
      <c r="K5255" t="s">
        <v>43</v>
      </c>
      <c r="L5255" t="s">
        <v>43</v>
      </c>
      <c r="M5255" t="s">
        <v>43</v>
      </c>
      <c r="N5255" t="s">
        <v>45</v>
      </c>
      <c r="O5255" t="s">
        <v>43</v>
      </c>
      <c r="P5255" t="s">
        <v>43</v>
      </c>
      <c r="Q5255" t="s">
        <v>43</v>
      </c>
      <c r="R5255" t="s">
        <v>43</v>
      </c>
      <c r="S5255" t="s">
        <v>43</v>
      </c>
      <c r="T5255" t="s">
        <v>43</v>
      </c>
      <c r="U5255" t="s">
        <v>43</v>
      </c>
      <c r="V5255" t="s">
        <v>43</v>
      </c>
      <c r="W5255" t="s">
        <v>43</v>
      </c>
      <c r="X5255" t="s">
        <v>43</v>
      </c>
      <c r="Y5255" t="s">
        <v>43</v>
      </c>
      <c r="Z5255" t="s">
        <v>43</v>
      </c>
      <c r="AA5255" t="s">
        <v>43</v>
      </c>
      <c r="AB5255" t="s">
        <v>43</v>
      </c>
      <c r="AC5255" t="s">
        <v>43</v>
      </c>
      <c r="AD5255" t="s">
        <v>43</v>
      </c>
      <c r="AE5255" t="s">
        <v>43</v>
      </c>
      <c r="AF5255" t="s">
        <v>43</v>
      </c>
      <c r="AG5255" t="s">
        <v>43</v>
      </c>
      <c r="AH5255" t="s">
        <v>43</v>
      </c>
      <c r="AI5255" t="s">
        <v>43</v>
      </c>
      <c r="AJ5255" t="s">
        <v>43</v>
      </c>
      <c r="AK5255" t="s">
        <v>43</v>
      </c>
      <c r="AL5255" t="s">
        <v>43</v>
      </c>
      <c r="AM5255" t="s">
        <v>43</v>
      </c>
      <c r="AN5255" t="s">
        <v>43</v>
      </c>
    </row>
    <row r="5256" spans="1:40" x14ac:dyDescent="0.3">
      <c r="A5256" s="1">
        <v>46210.390972222223</v>
      </c>
      <c r="B5256" t="s">
        <v>40</v>
      </c>
      <c r="C5256" t="s">
        <v>41</v>
      </c>
      <c r="D5256" s="1">
        <v>46210.394120370373</v>
      </c>
      <c r="E5256" t="s">
        <v>42</v>
      </c>
      <c r="F5256" t="s">
        <v>43</v>
      </c>
      <c r="G5256" t="s">
        <v>43</v>
      </c>
      <c r="H5256" t="s">
        <v>43</v>
      </c>
      <c r="I5256" t="s">
        <v>2694</v>
      </c>
      <c r="J5256" t="s">
        <v>43</v>
      </c>
      <c r="K5256" t="s">
        <v>43</v>
      </c>
      <c r="L5256" t="s">
        <v>43</v>
      </c>
      <c r="M5256" t="s">
        <v>43</v>
      </c>
      <c r="N5256" t="s">
        <v>45</v>
      </c>
      <c r="O5256" t="s">
        <v>43</v>
      </c>
      <c r="P5256" t="s">
        <v>43</v>
      </c>
      <c r="Q5256" t="s">
        <v>43</v>
      </c>
      <c r="R5256" t="s">
        <v>43</v>
      </c>
      <c r="S5256" t="s">
        <v>43</v>
      </c>
      <c r="T5256" t="s">
        <v>43</v>
      </c>
      <c r="U5256" t="s">
        <v>43</v>
      </c>
      <c r="V5256" t="s">
        <v>43</v>
      </c>
      <c r="W5256" t="s">
        <v>43</v>
      </c>
      <c r="X5256" t="s">
        <v>43</v>
      </c>
      <c r="Y5256" t="s">
        <v>43</v>
      </c>
      <c r="Z5256" t="s">
        <v>43</v>
      </c>
      <c r="AA5256" t="s">
        <v>43</v>
      </c>
      <c r="AB5256" t="s">
        <v>43</v>
      </c>
      <c r="AC5256" t="s">
        <v>43</v>
      </c>
      <c r="AD5256" t="s">
        <v>43</v>
      </c>
      <c r="AE5256" t="s">
        <v>43</v>
      </c>
      <c r="AF5256" t="s">
        <v>43</v>
      </c>
      <c r="AG5256" t="s">
        <v>43</v>
      </c>
      <c r="AH5256" t="s">
        <v>43</v>
      </c>
      <c r="AI5256" t="s">
        <v>43</v>
      </c>
      <c r="AJ5256" t="s">
        <v>43</v>
      </c>
      <c r="AK5256" t="s">
        <v>43</v>
      </c>
      <c r="AL5256" t="s">
        <v>43</v>
      </c>
      <c r="AM5256" t="s">
        <v>43</v>
      </c>
      <c r="AN5256" t="str">
        <f>HYPERLINK("https://www.google.com/maps?q=10.83224773,79.84021759","Open Location")</f>
        <v>Open Location</v>
      </c>
    </row>
    <row r="5257" spans="1:40" x14ac:dyDescent="0.3">
      <c r="A5257" s="1">
        <v>46210.390856481485</v>
      </c>
      <c r="B5257" t="s">
        <v>40</v>
      </c>
      <c r="C5257" t="s">
        <v>41</v>
      </c>
      <c r="D5257" s="1">
        <v>46210.393842592595</v>
      </c>
      <c r="E5257" t="s">
        <v>42</v>
      </c>
      <c r="F5257" t="s">
        <v>43</v>
      </c>
      <c r="G5257" t="s">
        <v>43</v>
      </c>
      <c r="H5257" t="s">
        <v>43</v>
      </c>
      <c r="I5257" t="s">
        <v>2694</v>
      </c>
      <c r="J5257" t="s">
        <v>43</v>
      </c>
      <c r="K5257" t="s">
        <v>43</v>
      </c>
      <c r="L5257" t="s">
        <v>43</v>
      </c>
      <c r="M5257" t="s">
        <v>43</v>
      </c>
      <c r="N5257" t="s">
        <v>45</v>
      </c>
      <c r="O5257" t="s">
        <v>43</v>
      </c>
      <c r="P5257" t="s">
        <v>43</v>
      </c>
      <c r="Q5257" t="s">
        <v>43</v>
      </c>
      <c r="R5257" t="s">
        <v>43</v>
      </c>
      <c r="S5257" t="s">
        <v>43</v>
      </c>
      <c r="T5257" t="s">
        <v>43</v>
      </c>
      <c r="U5257" t="s">
        <v>43</v>
      </c>
      <c r="V5257" t="s">
        <v>43</v>
      </c>
      <c r="W5257" t="s">
        <v>43</v>
      </c>
      <c r="X5257" t="s">
        <v>43</v>
      </c>
      <c r="Y5257" t="s">
        <v>43</v>
      </c>
      <c r="Z5257" t="s">
        <v>43</v>
      </c>
      <c r="AA5257" t="s">
        <v>43</v>
      </c>
      <c r="AB5257" t="s">
        <v>43</v>
      </c>
      <c r="AC5257" t="s">
        <v>43</v>
      </c>
      <c r="AD5257" t="s">
        <v>43</v>
      </c>
      <c r="AE5257" t="s">
        <v>43</v>
      </c>
      <c r="AF5257" t="s">
        <v>43</v>
      </c>
      <c r="AG5257" t="s">
        <v>43</v>
      </c>
      <c r="AH5257" t="s">
        <v>43</v>
      </c>
      <c r="AI5257" t="s">
        <v>43</v>
      </c>
      <c r="AJ5257" t="s">
        <v>43</v>
      </c>
      <c r="AK5257" t="s">
        <v>43</v>
      </c>
      <c r="AL5257" t="s">
        <v>43</v>
      </c>
      <c r="AM5257" t="s">
        <v>43</v>
      </c>
      <c r="AN5257" t="str">
        <f>HYPERLINK("https://www.google.com/maps?q=10.83224773,79.84021759","Open Location")</f>
        <v>Open Location</v>
      </c>
    </row>
    <row r="5258" spans="1:40" x14ac:dyDescent="0.3">
      <c r="A5258" s="1">
        <v>46210.390740740739</v>
      </c>
      <c r="B5258" t="s">
        <v>40</v>
      </c>
      <c r="C5258" t="s">
        <v>41</v>
      </c>
      <c r="D5258" s="1">
        <v>46210.393900462965</v>
      </c>
      <c r="E5258" t="s">
        <v>42</v>
      </c>
      <c r="F5258" t="s">
        <v>43</v>
      </c>
      <c r="G5258" t="s">
        <v>43</v>
      </c>
      <c r="H5258" t="s">
        <v>43</v>
      </c>
      <c r="I5258" t="s">
        <v>2958</v>
      </c>
      <c r="J5258" t="s">
        <v>43</v>
      </c>
      <c r="K5258" t="s">
        <v>43</v>
      </c>
      <c r="L5258" t="s">
        <v>43</v>
      </c>
      <c r="M5258" t="s">
        <v>43</v>
      </c>
      <c r="N5258" t="s">
        <v>45</v>
      </c>
      <c r="O5258" t="s">
        <v>43</v>
      </c>
      <c r="P5258" t="s">
        <v>43</v>
      </c>
      <c r="Q5258" t="s">
        <v>43</v>
      </c>
      <c r="R5258" t="s">
        <v>43</v>
      </c>
      <c r="S5258" t="s">
        <v>43</v>
      </c>
      <c r="T5258" t="s">
        <v>43</v>
      </c>
      <c r="U5258" t="s">
        <v>43</v>
      </c>
      <c r="V5258" t="s">
        <v>43</v>
      </c>
      <c r="W5258" t="s">
        <v>43</v>
      </c>
      <c r="X5258" t="s">
        <v>43</v>
      </c>
      <c r="Y5258" t="s">
        <v>43</v>
      </c>
      <c r="Z5258" t="s">
        <v>43</v>
      </c>
      <c r="AA5258" t="s">
        <v>43</v>
      </c>
      <c r="AB5258" t="s">
        <v>43</v>
      </c>
      <c r="AC5258" t="s">
        <v>43</v>
      </c>
      <c r="AD5258" t="s">
        <v>43</v>
      </c>
      <c r="AE5258" t="s">
        <v>43</v>
      </c>
      <c r="AF5258" t="s">
        <v>43</v>
      </c>
      <c r="AG5258" t="s">
        <v>43</v>
      </c>
      <c r="AH5258" t="s">
        <v>43</v>
      </c>
      <c r="AI5258" t="s">
        <v>43</v>
      </c>
      <c r="AJ5258" t="s">
        <v>43</v>
      </c>
      <c r="AK5258" t="s">
        <v>43</v>
      </c>
      <c r="AL5258" t="s">
        <v>43</v>
      </c>
      <c r="AM5258" t="s">
        <v>43</v>
      </c>
      <c r="AN5258" t="str">
        <f>HYPERLINK("https://www.google.com/maps?q=10.83224583,79.84022522","Open Location")</f>
        <v>Open Location</v>
      </c>
    </row>
    <row r="5259" spans="1:40" x14ac:dyDescent="0.3">
      <c r="A5259" s="1">
        <v>46210.390625</v>
      </c>
      <c r="B5259" t="s">
        <v>40</v>
      </c>
      <c r="C5259" t="s">
        <v>41</v>
      </c>
      <c r="D5259" s="1">
        <v>46210.393553240741</v>
      </c>
      <c r="E5259" t="s">
        <v>42</v>
      </c>
      <c r="F5259" t="s">
        <v>43</v>
      </c>
      <c r="G5259" t="s">
        <v>43</v>
      </c>
      <c r="H5259" t="s">
        <v>43</v>
      </c>
      <c r="I5259" t="s">
        <v>2971</v>
      </c>
      <c r="J5259" t="s">
        <v>43</v>
      </c>
      <c r="K5259" t="s">
        <v>43</v>
      </c>
      <c r="L5259" t="s">
        <v>43</v>
      </c>
      <c r="M5259" t="s">
        <v>43</v>
      </c>
      <c r="N5259" t="s">
        <v>45</v>
      </c>
      <c r="O5259" t="s">
        <v>43</v>
      </c>
      <c r="P5259" t="s">
        <v>43</v>
      </c>
      <c r="Q5259" t="s">
        <v>43</v>
      </c>
      <c r="R5259" t="s">
        <v>43</v>
      </c>
      <c r="S5259" t="s">
        <v>43</v>
      </c>
      <c r="T5259" t="s">
        <v>43</v>
      </c>
      <c r="U5259" t="s">
        <v>43</v>
      </c>
      <c r="V5259" t="s">
        <v>43</v>
      </c>
      <c r="W5259" t="s">
        <v>43</v>
      </c>
      <c r="X5259" t="s">
        <v>43</v>
      </c>
      <c r="Y5259" t="s">
        <v>43</v>
      </c>
      <c r="Z5259" t="s">
        <v>43</v>
      </c>
      <c r="AA5259" t="s">
        <v>43</v>
      </c>
      <c r="AB5259" t="s">
        <v>43</v>
      </c>
      <c r="AC5259" t="s">
        <v>43</v>
      </c>
      <c r="AD5259" t="s">
        <v>43</v>
      </c>
      <c r="AE5259" t="s">
        <v>43</v>
      </c>
      <c r="AF5259" t="s">
        <v>43</v>
      </c>
      <c r="AG5259" t="s">
        <v>43</v>
      </c>
      <c r="AH5259" t="s">
        <v>43</v>
      </c>
      <c r="AI5259" t="s">
        <v>43</v>
      </c>
      <c r="AJ5259" t="s">
        <v>43</v>
      </c>
      <c r="AK5259" t="s">
        <v>43</v>
      </c>
      <c r="AL5259" t="s">
        <v>43</v>
      </c>
      <c r="AM5259" t="s">
        <v>43</v>
      </c>
      <c r="AN5259" t="str">
        <f>HYPERLINK("https://www.google.com/maps?q=10.83224297,79.84021759","Open Location")</f>
        <v>Open Location</v>
      </c>
    </row>
    <row r="5260" spans="1:40" x14ac:dyDescent="0.3">
      <c r="A5260" s="1">
        <v>46210.390509259261</v>
      </c>
      <c r="B5260" t="s">
        <v>40</v>
      </c>
      <c r="C5260" t="s">
        <v>41</v>
      </c>
      <c r="D5260" s="1">
        <v>46210.393530092595</v>
      </c>
      <c r="E5260" t="s">
        <v>42</v>
      </c>
      <c r="F5260" t="s">
        <v>43</v>
      </c>
      <c r="G5260" t="s">
        <v>43</v>
      </c>
      <c r="H5260" t="s">
        <v>43</v>
      </c>
      <c r="I5260" t="s">
        <v>2972</v>
      </c>
      <c r="J5260" t="s">
        <v>43</v>
      </c>
      <c r="K5260" t="s">
        <v>43</v>
      </c>
      <c r="L5260" t="s">
        <v>43</v>
      </c>
      <c r="M5260" t="s">
        <v>43</v>
      </c>
      <c r="N5260" t="s">
        <v>45</v>
      </c>
      <c r="O5260" t="s">
        <v>43</v>
      </c>
      <c r="P5260" t="s">
        <v>43</v>
      </c>
      <c r="Q5260" t="s">
        <v>43</v>
      </c>
      <c r="R5260" t="s">
        <v>43</v>
      </c>
      <c r="S5260" t="s">
        <v>43</v>
      </c>
      <c r="T5260" t="s">
        <v>43</v>
      </c>
      <c r="U5260" t="s">
        <v>43</v>
      </c>
      <c r="V5260" t="s">
        <v>43</v>
      </c>
      <c r="W5260" t="s">
        <v>43</v>
      </c>
      <c r="X5260" t="s">
        <v>43</v>
      </c>
      <c r="Y5260" t="s">
        <v>43</v>
      </c>
      <c r="Z5260" t="s">
        <v>43</v>
      </c>
      <c r="AA5260" t="s">
        <v>43</v>
      </c>
      <c r="AB5260" t="s">
        <v>43</v>
      </c>
      <c r="AC5260" t="s">
        <v>43</v>
      </c>
      <c r="AD5260" t="s">
        <v>43</v>
      </c>
      <c r="AE5260" t="s">
        <v>43</v>
      </c>
      <c r="AF5260" t="s">
        <v>43</v>
      </c>
      <c r="AG5260" t="s">
        <v>43</v>
      </c>
      <c r="AH5260" t="s">
        <v>43</v>
      </c>
      <c r="AI5260" t="s">
        <v>43</v>
      </c>
      <c r="AJ5260" t="s">
        <v>43</v>
      </c>
      <c r="AK5260" t="s">
        <v>43</v>
      </c>
      <c r="AL5260" t="s">
        <v>43</v>
      </c>
      <c r="AM5260" t="s">
        <v>43</v>
      </c>
      <c r="AN5260" t="str">
        <f>HYPERLINK("https://www.google.com/maps?q=10.83224392,79.84021759","Open Location")</f>
        <v>Open Location</v>
      </c>
    </row>
    <row r="5261" spans="1:40" x14ac:dyDescent="0.3">
      <c r="A5261" s="1">
        <v>46210.390393518515</v>
      </c>
      <c r="B5261" t="s">
        <v>40</v>
      </c>
      <c r="C5261" t="s">
        <v>41</v>
      </c>
      <c r="D5261" s="1">
        <v>46210.393553240741</v>
      </c>
      <c r="E5261" t="s">
        <v>42</v>
      </c>
      <c r="F5261" t="s">
        <v>43</v>
      </c>
      <c r="G5261" t="s">
        <v>43</v>
      </c>
      <c r="H5261" t="s">
        <v>43</v>
      </c>
      <c r="I5261" t="s">
        <v>43</v>
      </c>
      <c r="J5261" t="s">
        <v>43</v>
      </c>
      <c r="K5261" t="s">
        <v>43</v>
      </c>
      <c r="L5261" t="s">
        <v>43</v>
      </c>
      <c r="M5261" t="s">
        <v>43</v>
      </c>
      <c r="N5261" t="s">
        <v>45</v>
      </c>
      <c r="O5261" t="s">
        <v>43</v>
      </c>
      <c r="P5261" t="s">
        <v>43</v>
      </c>
      <c r="Q5261" t="s">
        <v>43</v>
      </c>
      <c r="R5261" t="s">
        <v>43</v>
      </c>
      <c r="S5261" t="s">
        <v>43</v>
      </c>
      <c r="T5261" t="s">
        <v>43</v>
      </c>
      <c r="U5261" t="s">
        <v>43</v>
      </c>
      <c r="V5261" t="s">
        <v>43</v>
      </c>
      <c r="W5261" t="s">
        <v>43</v>
      </c>
      <c r="X5261" t="s">
        <v>43</v>
      </c>
      <c r="Y5261" t="s">
        <v>43</v>
      </c>
      <c r="Z5261" t="s">
        <v>43</v>
      </c>
      <c r="AA5261" t="s">
        <v>43</v>
      </c>
      <c r="AB5261" t="s">
        <v>43</v>
      </c>
      <c r="AC5261" t="s">
        <v>43</v>
      </c>
      <c r="AD5261" t="s">
        <v>43</v>
      </c>
      <c r="AE5261" t="s">
        <v>43</v>
      </c>
      <c r="AF5261" t="s">
        <v>43</v>
      </c>
      <c r="AG5261" t="s">
        <v>43</v>
      </c>
      <c r="AH5261" t="s">
        <v>43</v>
      </c>
      <c r="AI5261" t="s">
        <v>43</v>
      </c>
      <c r="AJ5261" t="s">
        <v>43</v>
      </c>
      <c r="AK5261" t="s">
        <v>43</v>
      </c>
      <c r="AL5261" t="s">
        <v>43</v>
      </c>
      <c r="AM5261" t="s">
        <v>43</v>
      </c>
      <c r="AN5261" t="s">
        <v>43</v>
      </c>
    </row>
    <row r="5262" spans="1:40" x14ac:dyDescent="0.3">
      <c r="A5262" s="1">
        <v>46210.390277777777</v>
      </c>
      <c r="B5262" t="s">
        <v>40</v>
      </c>
      <c r="C5262" t="s">
        <v>41</v>
      </c>
      <c r="D5262" s="1">
        <v>46210.393414351849</v>
      </c>
      <c r="E5262" t="s">
        <v>42</v>
      </c>
      <c r="F5262" t="s">
        <v>43</v>
      </c>
      <c r="G5262" t="s">
        <v>43</v>
      </c>
      <c r="H5262" t="s">
        <v>43</v>
      </c>
      <c r="I5262" t="s">
        <v>2972</v>
      </c>
      <c r="J5262" t="s">
        <v>43</v>
      </c>
      <c r="K5262" t="s">
        <v>43</v>
      </c>
      <c r="L5262" t="s">
        <v>43</v>
      </c>
      <c r="M5262" t="s">
        <v>43</v>
      </c>
      <c r="N5262" t="s">
        <v>45</v>
      </c>
      <c r="O5262" t="s">
        <v>43</v>
      </c>
      <c r="P5262" t="s">
        <v>43</v>
      </c>
      <c r="Q5262" t="s">
        <v>43</v>
      </c>
      <c r="R5262" t="s">
        <v>43</v>
      </c>
      <c r="S5262" t="s">
        <v>43</v>
      </c>
      <c r="T5262" t="s">
        <v>43</v>
      </c>
      <c r="U5262" t="s">
        <v>43</v>
      </c>
      <c r="V5262" t="s">
        <v>43</v>
      </c>
      <c r="W5262" t="s">
        <v>43</v>
      </c>
      <c r="X5262" t="s">
        <v>43</v>
      </c>
      <c r="Y5262" t="s">
        <v>43</v>
      </c>
      <c r="Z5262" t="s">
        <v>43</v>
      </c>
      <c r="AA5262" t="s">
        <v>43</v>
      </c>
      <c r="AB5262" t="s">
        <v>43</v>
      </c>
      <c r="AC5262" t="s">
        <v>43</v>
      </c>
      <c r="AD5262" t="s">
        <v>43</v>
      </c>
      <c r="AE5262" t="s">
        <v>43</v>
      </c>
      <c r="AF5262" t="s">
        <v>43</v>
      </c>
      <c r="AG5262" t="s">
        <v>43</v>
      </c>
      <c r="AH5262" t="s">
        <v>43</v>
      </c>
      <c r="AI5262" t="s">
        <v>43</v>
      </c>
      <c r="AJ5262" t="s">
        <v>43</v>
      </c>
      <c r="AK5262" t="s">
        <v>43</v>
      </c>
      <c r="AL5262" t="s">
        <v>43</v>
      </c>
      <c r="AM5262" t="s">
        <v>43</v>
      </c>
      <c r="AN5262" t="str">
        <f>HYPERLINK("https://www.google.com/maps?q=10.83224392,79.84021759","Open Location")</f>
        <v>Open Location</v>
      </c>
    </row>
    <row r="5263" spans="1:40" x14ac:dyDescent="0.3">
      <c r="A5263" s="1">
        <v>46210.390162037038</v>
      </c>
      <c r="B5263" t="s">
        <v>40</v>
      </c>
      <c r="C5263" t="s">
        <v>41</v>
      </c>
      <c r="D5263" s="1">
        <v>46210.393148148149</v>
      </c>
      <c r="E5263" t="s">
        <v>42</v>
      </c>
      <c r="F5263" t="s">
        <v>43</v>
      </c>
      <c r="G5263" t="s">
        <v>43</v>
      </c>
      <c r="H5263" t="s">
        <v>43</v>
      </c>
      <c r="I5263" t="s">
        <v>2945</v>
      </c>
      <c r="J5263" t="s">
        <v>43</v>
      </c>
      <c r="K5263" t="s">
        <v>43</v>
      </c>
      <c r="L5263" t="s">
        <v>43</v>
      </c>
      <c r="M5263" t="s">
        <v>43</v>
      </c>
      <c r="N5263" t="s">
        <v>45</v>
      </c>
      <c r="O5263" t="s">
        <v>43</v>
      </c>
      <c r="P5263" t="s">
        <v>43</v>
      </c>
      <c r="Q5263" t="s">
        <v>43</v>
      </c>
      <c r="R5263" t="s">
        <v>43</v>
      </c>
      <c r="S5263" t="s">
        <v>43</v>
      </c>
      <c r="T5263" t="s">
        <v>43</v>
      </c>
      <c r="U5263" t="s">
        <v>43</v>
      </c>
      <c r="V5263" t="s">
        <v>43</v>
      </c>
      <c r="W5263" t="s">
        <v>43</v>
      </c>
      <c r="X5263" t="s">
        <v>43</v>
      </c>
      <c r="Y5263" t="s">
        <v>43</v>
      </c>
      <c r="Z5263" t="s">
        <v>43</v>
      </c>
      <c r="AA5263" t="s">
        <v>43</v>
      </c>
      <c r="AB5263" t="s">
        <v>43</v>
      </c>
      <c r="AC5263" t="s">
        <v>43</v>
      </c>
      <c r="AD5263" t="s">
        <v>43</v>
      </c>
      <c r="AE5263" t="s">
        <v>43</v>
      </c>
      <c r="AF5263" t="s">
        <v>43</v>
      </c>
      <c r="AG5263" t="s">
        <v>43</v>
      </c>
      <c r="AH5263" t="s">
        <v>43</v>
      </c>
      <c r="AI5263" t="s">
        <v>43</v>
      </c>
      <c r="AJ5263" t="s">
        <v>43</v>
      </c>
      <c r="AK5263" t="s">
        <v>43</v>
      </c>
      <c r="AL5263" t="s">
        <v>43</v>
      </c>
      <c r="AM5263" t="s">
        <v>43</v>
      </c>
      <c r="AN5263" t="str">
        <f>HYPERLINK("https://www.google.com/maps?q=10.83224201,79.84022522","Open Location")</f>
        <v>Open Location</v>
      </c>
    </row>
    <row r="5264" spans="1:40" x14ac:dyDescent="0.3">
      <c r="A5264" s="1">
        <v>46210.390046296299</v>
      </c>
      <c r="B5264" t="s">
        <v>40</v>
      </c>
      <c r="C5264" t="s">
        <v>41</v>
      </c>
      <c r="D5264" s="1">
        <v>46210.393055555556</v>
      </c>
      <c r="E5264" t="s">
        <v>42</v>
      </c>
      <c r="F5264" t="s">
        <v>43</v>
      </c>
      <c r="G5264" t="s">
        <v>43</v>
      </c>
      <c r="H5264" t="s">
        <v>43</v>
      </c>
      <c r="I5264" t="s">
        <v>2955</v>
      </c>
      <c r="J5264" t="s">
        <v>43</v>
      </c>
      <c r="K5264" t="s">
        <v>43</v>
      </c>
      <c r="L5264" t="s">
        <v>43</v>
      </c>
      <c r="M5264" t="s">
        <v>43</v>
      </c>
      <c r="N5264" t="s">
        <v>45</v>
      </c>
      <c r="O5264" t="s">
        <v>43</v>
      </c>
      <c r="P5264" t="s">
        <v>43</v>
      </c>
      <c r="Q5264" t="s">
        <v>43</v>
      </c>
      <c r="R5264" t="s">
        <v>43</v>
      </c>
      <c r="S5264" t="s">
        <v>43</v>
      </c>
      <c r="T5264" t="s">
        <v>43</v>
      </c>
      <c r="U5264" t="s">
        <v>43</v>
      </c>
      <c r="V5264" t="s">
        <v>43</v>
      </c>
      <c r="W5264" t="s">
        <v>43</v>
      </c>
      <c r="X5264" t="s">
        <v>43</v>
      </c>
      <c r="Y5264" t="s">
        <v>43</v>
      </c>
      <c r="Z5264" t="s">
        <v>43</v>
      </c>
      <c r="AA5264" t="s">
        <v>43</v>
      </c>
      <c r="AB5264" t="s">
        <v>43</v>
      </c>
      <c r="AC5264" t="s">
        <v>43</v>
      </c>
      <c r="AD5264" t="s">
        <v>43</v>
      </c>
      <c r="AE5264" t="s">
        <v>43</v>
      </c>
      <c r="AF5264" t="s">
        <v>43</v>
      </c>
      <c r="AG5264" t="s">
        <v>43</v>
      </c>
      <c r="AH5264" t="s">
        <v>43</v>
      </c>
      <c r="AI5264" t="s">
        <v>43</v>
      </c>
      <c r="AJ5264" t="s">
        <v>43</v>
      </c>
      <c r="AK5264" t="s">
        <v>43</v>
      </c>
      <c r="AL5264" t="s">
        <v>43</v>
      </c>
      <c r="AM5264" t="s">
        <v>43</v>
      </c>
      <c r="AN5264" t="str">
        <f>HYPERLINK("https://www.google.com/maps?q=10.83224106,79.84021759","Open Location")</f>
        <v>Open Location</v>
      </c>
    </row>
    <row r="5265" spans="1:40" x14ac:dyDescent="0.3">
      <c r="A5265" s="1">
        <v>46210.389930555553</v>
      </c>
      <c r="B5265" t="s">
        <v>40</v>
      </c>
      <c r="C5265" t="s">
        <v>41</v>
      </c>
      <c r="D5265" s="1">
        <v>46210.392824074072</v>
      </c>
      <c r="E5265" t="s">
        <v>42</v>
      </c>
      <c r="F5265" t="s">
        <v>43</v>
      </c>
      <c r="G5265" t="s">
        <v>43</v>
      </c>
      <c r="H5265" t="s">
        <v>43</v>
      </c>
      <c r="I5265" t="s">
        <v>2965</v>
      </c>
      <c r="J5265" t="s">
        <v>43</v>
      </c>
      <c r="K5265" t="s">
        <v>43</v>
      </c>
      <c r="L5265" t="s">
        <v>43</v>
      </c>
      <c r="M5265" t="s">
        <v>43</v>
      </c>
      <c r="N5265" t="s">
        <v>45</v>
      </c>
      <c r="O5265" t="s">
        <v>43</v>
      </c>
      <c r="P5265" t="s">
        <v>43</v>
      </c>
      <c r="Q5265" t="s">
        <v>43</v>
      </c>
      <c r="R5265" t="s">
        <v>43</v>
      </c>
      <c r="S5265" t="s">
        <v>43</v>
      </c>
      <c r="T5265" t="s">
        <v>43</v>
      </c>
      <c r="U5265" t="s">
        <v>43</v>
      </c>
      <c r="V5265" t="s">
        <v>43</v>
      </c>
      <c r="W5265" t="s">
        <v>43</v>
      </c>
      <c r="X5265" t="s">
        <v>43</v>
      </c>
      <c r="Y5265" t="s">
        <v>43</v>
      </c>
      <c r="Z5265" t="s">
        <v>43</v>
      </c>
      <c r="AA5265" t="s">
        <v>43</v>
      </c>
      <c r="AB5265" t="s">
        <v>43</v>
      </c>
      <c r="AC5265" t="s">
        <v>43</v>
      </c>
      <c r="AD5265" t="s">
        <v>43</v>
      </c>
      <c r="AE5265" t="s">
        <v>43</v>
      </c>
      <c r="AF5265" t="s">
        <v>43</v>
      </c>
      <c r="AG5265" t="s">
        <v>43</v>
      </c>
      <c r="AH5265" t="s">
        <v>43</v>
      </c>
      <c r="AI5265" t="s">
        <v>43</v>
      </c>
      <c r="AJ5265" t="s">
        <v>43</v>
      </c>
      <c r="AK5265" t="s">
        <v>43</v>
      </c>
      <c r="AL5265" t="s">
        <v>43</v>
      </c>
      <c r="AM5265" t="s">
        <v>43</v>
      </c>
      <c r="AN5265" t="str">
        <f>HYPERLINK("https://www.google.com/maps?q=10.83223915,79.84021759","Open Location")</f>
        <v>Open Location</v>
      </c>
    </row>
    <row r="5266" spans="1:40" x14ac:dyDescent="0.3">
      <c r="A5266" s="1">
        <v>46210.389814814815</v>
      </c>
      <c r="B5266" t="s">
        <v>40</v>
      </c>
      <c r="C5266" t="s">
        <v>41</v>
      </c>
      <c r="D5266" s="1">
        <v>46210.392800925925</v>
      </c>
      <c r="E5266" t="s">
        <v>42</v>
      </c>
      <c r="F5266" t="s">
        <v>43</v>
      </c>
      <c r="G5266" t="s">
        <v>43</v>
      </c>
      <c r="H5266" t="s">
        <v>43</v>
      </c>
      <c r="I5266" t="s">
        <v>2945</v>
      </c>
      <c r="J5266" t="s">
        <v>43</v>
      </c>
      <c r="K5266" t="s">
        <v>43</v>
      </c>
      <c r="L5266" t="s">
        <v>43</v>
      </c>
      <c r="M5266" t="s">
        <v>43</v>
      </c>
      <c r="N5266" t="s">
        <v>45</v>
      </c>
      <c r="O5266" t="s">
        <v>43</v>
      </c>
      <c r="P5266" t="s">
        <v>43</v>
      </c>
      <c r="Q5266" t="s">
        <v>43</v>
      </c>
      <c r="R5266" t="s">
        <v>43</v>
      </c>
      <c r="S5266" t="s">
        <v>43</v>
      </c>
      <c r="T5266" t="s">
        <v>43</v>
      </c>
      <c r="U5266" t="s">
        <v>43</v>
      </c>
      <c r="V5266" t="s">
        <v>43</v>
      </c>
      <c r="W5266" t="s">
        <v>43</v>
      </c>
      <c r="X5266" t="s">
        <v>43</v>
      </c>
      <c r="Y5266" t="s">
        <v>43</v>
      </c>
      <c r="Z5266" t="s">
        <v>43</v>
      </c>
      <c r="AA5266" t="s">
        <v>43</v>
      </c>
      <c r="AB5266" t="s">
        <v>43</v>
      </c>
      <c r="AC5266" t="s">
        <v>43</v>
      </c>
      <c r="AD5266" t="s">
        <v>43</v>
      </c>
      <c r="AE5266" t="s">
        <v>43</v>
      </c>
      <c r="AF5266" t="s">
        <v>43</v>
      </c>
      <c r="AG5266" t="s">
        <v>43</v>
      </c>
      <c r="AH5266" t="s">
        <v>43</v>
      </c>
      <c r="AI5266" t="s">
        <v>43</v>
      </c>
      <c r="AJ5266" t="s">
        <v>43</v>
      </c>
      <c r="AK5266" t="s">
        <v>43</v>
      </c>
      <c r="AL5266" t="s">
        <v>43</v>
      </c>
      <c r="AM5266" t="s">
        <v>43</v>
      </c>
      <c r="AN5266" t="str">
        <f>HYPERLINK("https://www.google.com/maps?q=10.83224201,79.84022522","Open Location")</f>
        <v>Open Location</v>
      </c>
    </row>
    <row r="5267" spans="1:40" x14ac:dyDescent="0.3">
      <c r="A5267" s="1">
        <v>46210.389699074076</v>
      </c>
      <c r="B5267" t="s">
        <v>40</v>
      </c>
      <c r="C5267" t="s">
        <v>41</v>
      </c>
      <c r="D5267" s="1">
        <v>46210.392731481479</v>
      </c>
      <c r="E5267" t="s">
        <v>42</v>
      </c>
      <c r="F5267" t="s">
        <v>43</v>
      </c>
      <c r="G5267" t="s">
        <v>43</v>
      </c>
      <c r="H5267" t="s">
        <v>43</v>
      </c>
      <c r="I5267" t="s">
        <v>43</v>
      </c>
      <c r="J5267" t="s">
        <v>43</v>
      </c>
      <c r="K5267" t="s">
        <v>43</v>
      </c>
      <c r="L5267" t="s">
        <v>43</v>
      </c>
      <c r="M5267" t="s">
        <v>43</v>
      </c>
      <c r="N5267" t="s">
        <v>45</v>
      </c>
      <c r="O5267" t="s">
        <v>43</v>
      </c>
      <c r="P5267" t="s">
        <v>43</v>
      </c>
      <c r="Q5267" t="s">
        <v>43</v>
      </c>
      <c r="R5267" t="s">
        <v>43</v>
      </c>
      <c r="S5267" t="s">
        <v>43</v>
      </c>
      <c r="T5267" t="s">
        <v>43</v>
      </c>
      <c r="U5267" t="s">
        <v>43</v>
      </c>
      <c r="V5267" t="s">
        <v>43</v>
      </c>
      <c r="W5267" t="s">
        <v>43</v>
      </c>
      <c r="X5267" t="s">
        <v>43</v>
      </c>
      <c r="Y5267" t="s">
        <v>43</v>
      </c>
      <c r="Z5267" t="s">
        <v>43</v>
      </c>
      <c r="AA5267" t="s">
        <v>43</v>
      </c>
      <c r="AB5267" t="s">
        <v>43</v>
      </c>
      <c r="AC5267" t="s">
        <v>43</v>
      </c>
      <c r="AD5267" t="s">
        <v>43</v>
      </c>
      <c r="AE5267" t="s">
        <v>43</v>
      </c>
      <c r="AF5267" t="s">
        <v>43</v>
      </c>
      <c r="AG5267" t="s">
        <v>43</v>
      </c>
      <c r="AH5267" t="s">
        <v>43</v>
      </c>
      <c r="AI5267" t="s">
        <v>43</v>
      </c>
      <c r="AJ5267" t="s">
        <v>43</v>
      </c>
      <c r="AK5267" t="s">
        <v>43</v>
      </c>
      <c r="AL5267" t="s">
        <v>43</v>
      </c>
      <c r="AM5267" t="s">
        <v>43</v>
      </c>
      <c r="AN5267" t="s">
        <v>43</v>
      </c>
    </row>
    <row r="5268" spans="1:40" x14ac:dyDescent="0.3">
      <c r="A5268" s="1">
        <v>46210.38958333333</v>
      </c>
      <c r="B5268" t="s">
        <v>40</v>
      </c>
      <c r="C5268" t="s">
        <v>41</v>
      </c>
      <c r="D5268" s="1">
        <v>46210.392569444448</v>
      </c>
      <c r="E5268" t="s">
        <v>42</v>
      </c>
      <c r="F5268" t="s">
        <v>43</v>
      </c>
      <c r="G5268" t="s">
        <v>43</v>
      </c>
      <c r="H5268" t="s">
        <v>43</v>
      </c>
      <c r="I5268" t="s">
        <v>2973</v>
      </c>
      <c r="J5268" t="s">
        <v>43</v>
      </c>
      <c r="K5268" t="s">
        <v>43</v>
      </c>
      <c r="L5268" t="s">
        <v>43</v>
      </c>
      <c r="M5268" t="s">
        <v>43</v>
      </c>
      <c r="N5268" t="s">
        <v>45</v>
      </c>
      <c r="O5268" t="s">
        <v>43</v>
      </c>
      <c r="P5268" t="s">
        <v>43</v>
      </c>
      <c r="Q5268" t="s">
        <v>43</v>
      </c>
      <c r="R5268" t="s">
        <v>43</v>
      </c>
      <c r="S5268" t="s">
        <v>43</v>
      </c>
      <c r="T5268" t="s">
        <v>43</v>
      </c>
      <c r="U5268" t="s">
        <v>43</v>
      </c>
      <c r="V5268" t="s">
        <v>43</v>
      </c>
      <c r="W5268" t="s">
        <v>43</v>
      </c>
      <c r="X5268" t="s">
        <v>43</v>
      </c>
      <c r="Y5268" t="s">
        <v>43</v>
      </c>
      <c r="Z5268" t="s">
        <v>43</v>
      </c>
      <c r="AA5268" t="s">
        <v>43</v>
      </c>
      <c r="AB5268" t="s">
        <v>43</v>
      </c>
      <c r="AC5268" t="s">
        <v>43</v>
      </c>
      <c r="AD5268" t="s">
        <v>43</v>
      </c>
      <c r="AE5268" t="s">
        <v>43</v>
      </c>
      <c r="AF5268" t="s">
        <v>43</v>
      </c>
      <c r="AG5268" t="s">
        <v>43</v>
      </c>
      <c r="AH5268" t="s">
        <v>43</v>
      </c>
      <c r="AI5268" t="s">
        <v>43</v>
      </c>
      <c r="AJ5268" t="s">
        <v>43</v>
      </c>
      <c r="AK5268" t="s">
        <v>43</v>
      </c>
      <c r="AL5268" t="s">
        <v>43</v>
      </c>
      <c r="AM5268" t="s">
        <v>43</v>
      </c>
      <c r="AN5268" t="str">
        <f>HYPERLINK("https://www.google.com/maps?q=10.8322401,79.84022522","Open Location")</f>
        <v>Open Location</v>
      </c>
    </row>
    <row r="5269" spans="1:40" x14ac:dyDescent="0.3">
      <c r="A5269" s="1">
        <v>46210.389467592591</v>
      </c>
      <c r="B5269" t="s">
        <v>40</v>
      </c>
      <c r="C5269" t="s">
        <v>41</v>
      </c>
      <c r="D5269" s="1">
        <v>46210.392164351855</v>
      </c>
      <c r="E5269" t="s">
        <v>42</v>
      </c>
      <c r="F5269" t="s">
        <v>43</v>
      </c>
      <c r="G5269" t="s">
        <v>43</v>
      </c>
      <c r="H5269" t="s">
        <v>43</v>
      </c>
      <c r="I5269" t="s">
        <v>2974</v>
      </c>
      <c r="J5269" t="s">
        <v>43</v>
      </c>
      <c r="K5269" t="s">
        <v>43</v>
      </c>
      <c r="L5269" t="s">
        <v>43</v>
      </c>
      <c r="M5269" t="s">
        <v>43</v>
      </c>
      <c r="N5269" t="s">
        <v>45</v>
      </c>
      <c r="O5269" t="s">
        <v>43</v>
      </c>
      <c r="P5269" t="s">
        <v>43</v>
      </c>
      <c r="Q5269" t="s">
        <v>43</v>
      </c>
      <c r="R5269" t="s">
        <v>43</v>
      </c>
      <c r="S5269" t="s">
        <v>43</v>
      </c>
      <c r="T5269" t="s">
        <v>43</v>
      </c>
      <c r="U5269" t="s">
        <v>43</v>
      </c>
      <c r="V5269" t="s">
        <v>43</v>
      </c>
      <c r="W5269" t="s">
        <v>43</v>
      </c>
      <c r="X5269" t="s">
        <v>43</v>
      </c>
      <c r="Y5269" t="s">
        <v>43</v>
      </c>
      <c r="Z5269" t="s">
        <v>43</v>
      </c>
      <c r="AA5269" t="s">
        <v>43</v>
      </c>
      <c r="AB5269" t="s">
        <v>43</v>
      </c>
      <c r="AC5269" t="s">
        <v>43</v>
      </c>
      <c r="AD5269" t="s">
        <v>43</v>
      </c>
      <c r="AE5269" t="s">
        <v>43</v>
      </c>
      <c r="AF5269" t="s">
        <v>43</v>
      </c>
      <c r="AG5269" t="s">
        <v>43</v>
      </c>
      <c r="AH5269" t="s">
        <v>43</v>
      </c>
      <c r="AI5269" t="s">
        <v>43</v>
      </c>
      <c r="AJ5269" t="s">
        <v>43</v>
      </c>
      <c r="AK5269" t="s">
        <v>43</v>
      </c>
      <c r="AL5269" t="s">
        <v>43</v>
      </c>
      <c r="AM5269" t="s">
        <v>43</v>
      </c>
      <c r="AN5269" t="str">
        <f>HYPERLINK("https://www.google.com/maps?q=10.8322382,79.84022522","Open Location")</f>
        <v>Open Location</v>
      </c>
    </row>
    <row r="5270" spans="1:40" x14ac:dyDescent="0.3">
      <c r="A5270" s="1">
        <v>46210.389351851853</v>
      </c>
      <c r="B5270" t="s">
        <v>40</v>
      </c>
      <c r="C5270" t="s">
        <v>41</v>
      </c>
      <c r="D5270" s="1">
        <v>46210.392256944448</v>
      </c>
      <c r="E5270" t="s">
        <v>42</v>
      </c>
      <c r="F5270" t="s">
        <v>43</v>
      </c>
      <c r="G5270" t="s">
        <v>43</v>
      </c>
      <c r="H5270" t="s">
        <v>43</v>
      </c>
      <c r="I5270" t="s">
        <v>2970</v>
      </c>
      <c r="J5270" t="s">
        <v>43</v>
      </c>
      <c r="K5270" t="s">
        <v>43</v>
      </c>
      <c r="L5270" t="s">
        <v>43</v>
      </c>
      <c r="M5270" t="s">
        <v>43</v>
      </c>
      <c r="N5270" t="s">
        <v>45</v>
      </c>
      <c r="O5270" t="s">
        <v>43</v>
      </c>
      <c r="P5270" t="s">
        <v>43</v>
      </c>
      <c r="Q5270" t="s">
        <v>43</v>
      </c>
      <c r="R5270" t="s">
        <v>43</v>
      </c>
      <c r="S5270" t="s">
        <v>43</v>
      </c>
      <c r="T5270" t="s">
        <v>43</v>
      </c>
      <c r="U5270" t="s">
        <v>43</v>
      </c>
      <c r="V5270" t="s">
        <v>43</v>
      </c>
      <c r="W5270" t="s">
        <v>43</v>
      </c>
      <c r="X5270" t="s">
        <v>43</v>
      </c>
      <c r="Y5270" t="s">
        <v>43</v>
      </c>
      <c r="Z5270" t="s">
        <v>43</v>
      </c>
      <c r="AA5270" t="s">
        <v>43</v>
      </c>
      <c r="AB5270" t="s">
        <v>43</v>
      </c>
      <c r="AC5270" t="s">
        <v>43</v>
      </c>
      <c r="AD5270" t="s">
        <v>43</v>
      </c>
      <c r="AE5270" t="s">
        <v>43</v>
      </c>
      <c r="AF5270" t="s">
        <v>43</v>
      </c>
      <c r="AG5270" t="s">
        <v>43</v>
      </c>
      <c r="AH5270" t="s">
        <v>43</v>
      </c>
      <c r="AI5270" t="s">
        <v>43</v>
      </c>
      <c r="AJ5270" t="s">
        <v>43</v>
      </c>
      <c r="AK5270" t="s">
        <v>43</v>
      </c>
      <c r="AL5270" t="s">
        <v>43</v>
      </c>
      <c r="AM5270" t="s">
        <v>43</v>
      </c>
      <c r="AN5270" t="str">
        <f>HYPERLINK("https://www.google.com/maps?q=10.83224106,79.84022522","Open Location")</f>
        <v>Open Location</v>
      </c>
    </row>
    <row r="5271" spans="1:40" x14ac:dyDescent="0.3">
      <c r="A5271" s="1">
        <v>46210.389236111114</v>
      </c>
      <c r="B5271" t="s">
        <v>40</v>
      </c>
      <c r="C5271" t="s">
        <v>41</v>
      </c>
      <c r="D5271" s="1">
        <v>46210.392094907409</v>
      </c>
      <c r="E5271" t="s">
        <v>42</v>
      </c>
      <c r="F5271" t="s">
        <v>43</v>
      </c>
      <c r="G5271" t="s">
        <v>43</v>
      </c>
      <c r="H5271" t="s">
        <v>43</v>
      </c>
      <c r="I5271" t="s">
        <v>2958</v>
      </c>
      <c r="J5271" t="s">
        <v>43</v>
      </c>
      <c r="K5271" t="s">
        <v>43</v>
      </c>
      <c r="L5271" t="s">
        <v>43</v>
      </c>
      <c r="M5271" t="s">
        <v>43</v>
      </c>
      <c r="N5271" t="s">
        <v>45</v>
      </c>
      <c r="O5271" t="s">
        <v>43</v>
      </c>
      <c r="P5271" t="s">
        <v>43</v>
      </c>
      <c r="Q5271" t="s">
        <v>43</v>
      </c>
      <c r="R5271" t="s">
        <v>43</v>
      </c>
      <c r="S5271">
        <v>0</v>
      </c>
      <c r="T5271">
        <v>-40</v>
      </c>
      <c r="U5271">
        <v>43</v>
      </c>
      <c r="V5271">
        <v>0</v>
      </c>
      <c r="W5271" t="s">
        <v>43</v>
      </c>
      <c r="X5271" t="s">
        <v>43</v>
      </c>
      <c r="Y5271" t="s">
        <v>43</v>
      </c>
      <c r="Z5271" t="s">
        <v>43</v>
      </c>
      <c r="AA5271" t="s">
        <v>43</v>
      </c>
      <c r="AB5271" t="s">
        <v>43</v>
      </c>
      <c r="AC5271" t="s">
        <v>43</v>
      </c>
      <c r="AD5271" t="s">
        <v>43</v>
      </c>
      <c r="AE5271" t="s">
        <v>43</v>
      </c>
      <c r="AF5271" t="s">
        <v>43</v>
      </c>
      <c r="AG5271" t="s">
        <v>43</v>
      </c>
      <c r="AH5271" t="s">
        <v>43</v>
      </c>
      <c r="AI5271" t="s">
        <v>43</v>
      </c>
      <c r="AJ5271" t="s">
        <v>43</v>
      </c>
      <c r="AK5271" t="s">
        <v>43</v>
      </c>
      <c r="AL5271" t="s">
        <v>43</v>
      </c>
      <c r="AM5271" t="s">
        <v>43</v>
      </c>
      <c r="AN5271" t="str">
        <f>HYPERLINK("https://www.google.com/maps?q=10.83224583,79.84022522","Open Location")</f>
        <v>Open Location</v>
      </c>
    </row>
    <row r="5272" spans="1:40" x14ac:dyDescent="0.3">
      <c r="A5272" s="1">
        <v>46210.389120370368</v>
      </c>
      <c r="B5272" t="s">
        <v>40</v>
      </c>
      <c r="C5272" t="s">
        <v>41</v>
      </c>
      <c r="D5272" s="1">
        <v>46210.392060185186</v>
      </c>
      <c r="E5272" t="s">
        <v>42</v>
      </c>
      <c r="F5272" t="s">
        <v>43</v>
      </c>
      <c r="G5272" t="s">
        <v>43</v>
      </c>
      <c r="H5272" t="s">
        <v>43</v>
      </c>
      <c r="I5272" t="s">
        <v>43</v>
      </c>
      <c r="J5272" t="s">
        <v>43</v>
      </c>
      <c r="K5272" t="s">
        <v>43</v>
      </c>
      <c r="L5272" t="s">
        <v>43</v>
      </c>
      <c r="M5272" t="s">
        <v>43</v>
      </c>
      <c r="N5272" t="s">
        <v>45</v>
      </c>
      <c r="O5272" t="s">
        <v>43</v>
      </c>
      <c r="P5272" t="s">
        <v>43</v>
      </c>
      <c r="Q5272" t="s">
        <v>43</v>
      </c>
      <c r="R5272" t="s">
        <v>43</v>
      </c>
      <c r="S5272">
        <v>0</v>
      </c>
      <c r="T5272">
        <v>-40</v>
      </c>
      <c r="U5272">
        <v>43</v>
      </c>
      <c r="V5272">
        <v>0</v>
      </c>
      <c r="W5272" t="s">
        <v>43</v>
      </c>
      <c r="X5272" t="s">
        <v>43</v>
      </c>
      <c r="Y5272" t="s">
        <v>43</v>
      </c>
      <c r="Z5272" t="s">
        <v>43</v>
      </c>
      <c r="AA5272" t="s">
        <v>43</v>
      </c>
      <c r="AB5272" t="s">
        <v>43</v>
      </c>
      <c r="AC5272" t="s">
        <v>43</v>
      </c>
      <c r="AD5272" t="s">
        <v>43</v>
      </c>
      <c r="AE5272" t="s">
        <v>43</v>
      </c>
      <c r="AF5272" t="s">
        <v>43</v>
      </c>
      <c r="AG5272" t="s">
        <v>43</v>
      </c>
      <c r="AH5272" t="s">
        <v>43</v>
      </c>
      <c r="AI5272" t="s">
        <v>43</v>
      </c>
      <c r="AJ5272" t="s">
        <v>43</v>
      </c>
      <c r="AK5272" t="s">
        <v>43</v>
      </c>
      <c r="AL5272" t="s">
        <v>43</v>
      </c>
      <c r="AM5272" t="s">
        <v>43</v>
      </c>
      <c r="AN5272" t="s">
        <v>43</v>
      </c>
    </row>
    <row r="5273" spans="1:40" x14ac:dyDescent="0.3">
      <c r="A5273" s="1">
        <v>46210.389004629629</v>
      </c>
      <c r="B5273" t="s">
        <v>40</v>
      </c>
      <c r="C5273" t="s">
        <v>41</v>
      </c>
      <c r="D5273" s="1">
        <v>46210.391817129632</v>
      </c>
      <c r="E5273" t="s">
        <v>42</v>
      </c>
      <c r="F5273" t="s">
        <v>43</v>
      </c>
      <c r="G5273" t="s">
        <v>43</v>
      </c>
      <c r="H5273" t="s">
        <v>43</v>
      </c>
      <c r="I5273" t="s">
        <v>2975</v>
      </c>
      <c r="J5273" t="s">
        <v>43</v>
      </c>
      <c r="K5273" t="s">
        <v>43</v>
      </c>
      <c r="L5273" t="s">
        <v>43</v>
      </c>
      <c r="M5273" t="s">
        <v>43</v>
      </c>
      <c r="N5273" t="s">
        <v>45</v>
      </c>
      <c r="O5273" t="s">
        <v>43</v>
      </c>
      <c r="P5273" t="s">
        <v>43</v>
      </c>
      <c r="Q5273" t="s">
        <v>43</v>
      </c>
      <c r="R5273" t="s">
        <v>43</v>
      </c>
      <c r="S5273">
        <v>0</v>
      </c>
      <c r="T5273">
        <v>-40</v>
      </c>
      <c r="U5273">
        <v>44</v>
      </c>
      <c r="V5273">
        <v>0</v>
      </c>
      <c r="W5273" t="s">
        <v>43</v>
      </c>
      <c r="X5273" t="s">
        <v>43</v>
      </c>
      <c r="Y5273" t="s">
        <v>43</v>
      </c>
      <c r="Z5273" t="s">
        <v>43</v>
      </c>
      <c r="AA5273" t="s">
        <v>43</v>
      </c>
      <c r="AB5273" t="s">
        <v>43</v>
      </c>
      <c r="AC5273" t="s">
        <v>43</v>
      </c>
      <c r="AD5273" t="s">
        <v>43</v>
      </c>
      <c r="AE5273" t="s">
        <v>43</v>
      </c>
      <c r="AF5273" t="s">
        <v>43</v>
      </c>
      <c r="AG5273" t="s">
        <v>43</v>
      </c>
      <c r="AH5273" t="s">
        <v>43</v>
      </c>
      <c r="AI5273" t="s">
        <v>43</v>
      </c>
      <c r="AJ5273" t="s">
        <v>43</v>
      </c>
      <c r="AK5273" t="s">
        <v>43</v>
      </c>
      <c r="AL5273" t="s">
        <v>43</v>
      </c>
      <c r="AM5273" t="s">
        <v>43</v>
      </c>
      <c r="AN5273" t="str">
        <f>HYPERLINK("https://www.google.com/maps?q=10.83224392,79.84023285","Open Location")</f>
        <v>Open Location</v>
      </c>
    </row>
    <row r="5274" spans="1:40" x14ac:dyDescent="0.3">
      <c r="A5274" s="1">
        <v>46210.388888888891</v>
      </c>
      <c r="B5274" t="s">
        <v>40</v>
      </c>
      <c r="C5274" t="s">
        <v>41</v>
      </c>
      <c r="D5274" s="1">
        <v>46210.391898148147</v>
      </c>
      <c r="E5274" t="s">
        <v>42</v>
      </c>
      <c r="F5274" t="s">
        <v>43</v>
      </c>
      <c r="G5274" t="s">
        <v>43</v>
      </c>
      <c r="H5274" t="s">
        <v>43</v>
      </c>
      <c r="I5274" t="s">
        <v>2814</v>
      </c>
      <c r="J5274" t="s">
        <v>43</v>
      </c>
      <c r="K5274" t="s">
        <v>43</v>
      </c>
      <c r="L5274" t="s">
        <v>43</v>
      </c>
      <c r="M5274" t="s">
        <v>43</v>
      </c>
      <c r="N5274" t="s">
        <v>45</v>
      </c>
      <c r="O5274" t="s">
        <v>43</v>
      </c>
      <c r="P5274" t="s">
        <v>43</v>
      </c>
      <c r="Q5274" t="s">
        <v>43</v>
      </c>
      <c r="R5274" t="s">
        <v>43</v>
      </c>
      <c r="S5274">
        <v>0</v>
      </c>
      <c r="T5274">
        <v>-40</v>
      </c>
      <c r="U5274">
        <v>44</v>
      </c>
      <c r="V5274">
        <v>0</v>
      </c>
      <c r="W5274" t="s">
        <v>43</v>
      </c>
      <c r="X5274" t="s">
        <v>43</v>
      </c>
      <c r="Y5274" t="s">
        <v>43</v>
      </c>
      <c r="Z5274" t="s">
        <v>43</v>
      </c>
      <c r="AA5274" t="s">
        <v>43</v>
      </c>
      <c r="AB5274" t="s">
        <v>43</v>
      </c>
      <c r="AC5274" t="s">
        <v>43</v>
      </c>
      <c r="AD5274" t="s">
        <v>43</v>
      </c>
      <c r="AE5274" t="s">
        <v>43</v>
      </c>
      <c r="AF5274" t="s">
        <v>43</v>
      </c>
      <c r="AG5274" t="s">
        <v>43</v>
      </c>
      <c r="AH5274" t="s">
        <v>43</v>
      </c>
      <c r="AI5274" t="s">
        <v>43</v>
      </c>
      <c r="AJ5274" t="s">
        <v>43</v>
      </c>
      <c r="AK5274" t="s">
        <v>43</v>
      </c>
      <c r="AL5274" t="s">
        <v>43</v>
      </c>
      <c r="AM5274" t="s">
        <v>43</v>
      </c>
      <c r="AN5274" t="str">
        <f>HYPERLINK("https://www.google.com/maps?q=10.83224392,79.84022522","Open Location")</f>
        <v>Open Location</v>
      </c>
    </row>
    <row r="5275" spans="1:40" x14ac:dyDescent="0.3">
      <c r="A5275" s="1">
        <v>46210.388773148145</v>
      </c>
      <c r="B5275" t="s">
        <v>40</v>
      </c>
      <c r="C5275" t="s">
        <v>41</v>
      </c>
      <c r="D5275" s="1">
        <v>46210.391817129632</v>
      </c>
      <c r="E5275" t="s">
        <v>42</v>
      </c>
      <c r="F5275" t="s">
        <v>43</v>
      </c>
      <c r="G5275" t="s">
        <v>43</v>
      </c>
      <c r="H5275" t="s">
        <v>43</v>
      </c>
      <c r="I5275" t="s">
        <v>2814</v>
      </c>
      <c r="J5275" t="s">
        <v>43</v>
      </c>
      <c r="K5275" t="s">
        <v>43</v>
      </c>
      <c r="L5275" t="s">
        <v>43</v>
      </c>
      <c r="M5275" t="s">
        <v>43</v>
      </c>
      <c r="N5275" t="s">
        <v>45</v>
      </c>
      <c r="O5275" t="s">
        <v>43</v>
      </c>
      <c r="P5275" t="s">
        <v>43</v>
      </c>
      <c r="Q5275" t="s">
        <v>43</v>
      </c>
      <c r="R5275" t="s">
        <v>43</v>
      </c>
      <c r="S5275">
        <v>0</v>
      </c>
      <c r="T5275">
        <v>-40</v>
      </c>
      <c r="U5275">
        <v>44</v>
      </c>
      <c r="V5275">
        <v>0</v>
      </c>
      <c r="W5275" t="s">
        <v>43</v>
      </c>
      <c r="X5275" t="s">
        <v>43</v>
      </c>
      <c r="Y5275" t="s">
        <v>43</v>
      </c>
      <c r="Z5275" t="s">
        <v>43</v>
      </c>
      <c r="AA5275" t="s">
        <v>43</v>
      </c>
      <c r="AB5275" t="s">
        <v>43</v>
      </c>
      <c r="AC5275" t="s">
        <v>43</v>
      </c>
      <c r="AD5275" t="s">
        <v>43</v>
      </c>
      <c r="AE5275" t="s">
        <v>43</v>
      </c>
      <c r="AF5275" t="s">
        <v>43</v>
      </c>
      <c r="AG5275" t="s">
        <v>43</v>
      </c>
      <c r="AH5275" t="s">
        <v>43</v>
      </c>
      <c r="AI5275" t="s">
        <v>43</v>
      </c>
      <c r="AJ5275" t="s">
        <v>43</v>
      </c>
      <c r="AK5275" t="s">
        <v>43</v>
      </c>
      <c r="AL5275" t="s">
        <v>43</v>
      </c>
      <c r="AM5275" t="s">
        <v>43</v>
      </c>
      <c r="AN5275" t="str">
        <f>HYPERLINK("https://www.google.com/maps?q=10.83224392,79.84022522","Open Location")</f>
        <v>Open Location</v>
      </c>
    </row>
    <row r="5276" spans="1:40" x14ac:dyDescent="0.3">
      <c r="A5276" s="1">
        <v>46210.388657407406</v>
      </c>
      <c r="B5276" t="s">
        <v>40</v>
      </c>
      <c r="C5276" t="s">
        <v>41</v>
      </c>
      <c r="D5276" s="1">
        <v>46210.391736111109</v>
      </c>
      <c r="E5276" t="s">
        <v>42</v>
      </c>
      <c r="F5276" t="s">
        <v>43</v>
      </c>
      <c r="G5276" t="s">
        <v>43</v>
      </c>
      <c r="H5276" t="s">
        <v>43</v>
      </c>
      <c r="I5276" t="s">
        <v>2750</v>
      </c>
      <c r="J5276" t="s">
        <v>43</v>
      </c>
      <c r="K5276" t="s">
        <v>43</v>
      </c>
      <c r="L5276" t="s">
        <v>43</v>
      </c>
      <c r="M5276" t="s">
        <v>43</v>
      </c>
      <c r="N5276" t="s">
        <v>45</v>
      </c>
      <c r="O5276" t="s">
        <v>43</v>
      </c>
      <c r="P5276" t="s">
        <v>43</v>
      </c>
      <c r="Q5276" t="s">
        <v>43</v>
      </c>
      <c r="R5276" t="s">
        <v>43</v>
      </c>
      <c r="S5276">
        <v>0</v>
      </c>
      <c r="T5276">
        <v>-40</v>
      </c>
      <c r="U5276">
        <v>44</v>
      </c>
      <c r="V5276">
        <v>0</v>
      </c>
      <c r="W5276" t="s">
        <v>43</v>
      </c>
      <c r="X5276" t="s">
        <v>43</v>
      </c>
      <c r="Y5276" t="s">
        <v>43</v>
      </c>
      <c r="Z5276" t="s">
        <v>43</v>
      </c>
      <c r="AA5276" t="s">
        <v>43</v>
      </c>
      <c r="AB5276" t="s">
        <v>43</v>
      </c>
      <c r="AC5276" t="s">
        <v>43</v>
      </c>
      <c r="AD5276" t="s">
        <v>43</v>
      </c>
      <c r="AE5276" t="s">
        <v>43</v>
      </c>
      <c r="AF5276" t="s">
        <v>43</v>
      </c>
      <c r="AG5276" t="s">
        <v>43</v>
      </c>
      <c r="AH5276" t="s">
        <v>43</v>
      </c>
      <c r="AI5276" t="s">
        <v>43</v>
      </c>
      <c r="AJ5276" t="s">
        <v>43</v>
      </c>
      <c r="AK5276" t="s">
        <v>43</v>
      </c>
      <c r="AL5276" t="s">
        <v>43</v>
      </c>
      <c r="AM5276" t="s">
        <v>43</v>
      </c>
      <c r="AN5276" t="str">
        <f>HYPERLINK("https://www.google.com/maps?q=10.83224678,79.84021759","Open Location")</f>
        <v>Open Location</v>
      </c>
    </row>
    <row r="5277" spans="1:40" x14ac:dyDescent="0.3">
      <c r="A5277" s="1">
        <v>46210.388541666667</v>
      </c>
      <c r="B5277" t="s">
        <v>40</v>
      </c>
      <c r="C5277" t="s">
        <v>41</v>
      </c>
      <c r="D5277" s="1">
        <v>46210.391331018516</v>
      </c>
      <c r="E5277" t="s">
        <v>42</v>
      </c>
      <c r="F5277" t="s">
        <v>43</v>
      </c>
      <c r="G5277" t="s">
        <v>43</v>
      </c>
      <c r="H5277" t="s">
        <v>43</v>
      </c>
      <c r="I5277" t="s">
        <v>2821</v>
      </c>
      <c r="J5277" t="s">
        <v>43</v>
      </c>
      <c r="K5277" t="s">
        <v>43</v>
      </c>
      <c r="L5277" t="s">
        <v>43</v>
      </c>
      <c r="M5277" t="s">
        <v>43</v>
      </c>
      <c r="N5277" t="s">
        <v>45</v>
      </c>
      <c r="O5277" t="s">
        <v>43</v>
      </c>
      <c r="P5277" t="s">
        <v>43</v>
      </c>
      <c r="Q5277" t="s">
        <v>43</v>
      </c>
      <c r="R5277" t="s">
        <v>43</v>
      </c>
      <c r="S5277">
        <v>0</v>
      </c>
      <c r="T5277">
        <v>-40</v>
      </c>
      <c r="U5277">
        <v>44</v>
      </c>
      <c r="V5277">
        <v>0</v>
      </c>
      <c r="W5277" t="s">
        <v>43</v>
      </c>
      <c r="X5277" t="s">
        <v>43</v>
      </c>
      <c r="Y5277" t="s">
        <v>43</v>
      </c>
      <c r="Z5277" t="s">
        <v>43</v>
      </c>
      <c r="AA5277" t="s">
        <v>43</v>
      </c>
      <c r="AB5277" t="s">
        <v>43</v>
      </c>
      <c r="AC5277" t="s">
        <v>43</v>
      </c>
      <c r="AD5277" t="s">
        <v>43</v>
      </c>
      <c r="AE5277" t="s">
        <v>43</v>
      </c>
      <c r="AF5277" t="s">
        <v>43</v>
      </c>
      <c r="AG5277" t="s">
        <v>43</v>
      </c>
      <c r="AH5277" t="s">
        <v>43</v>
      </c>
      <c r="AI5277" t="s">
        <v>43</v>
      </c>
      <c r="AJ5277" t="s">
        <v>43</v>
      </c>
      <c r="AK5277" t="s">
        <v>43</v>
      </c>
      <c r="AL5277" t="s">
        <v>43</v>
      </c>
      <c r="AM5277" t="s">
        <v>43</v>
      </c>
      <c r="AN5277" t="str">
        <f>HYPERLINK("https://www.google.com/maps?q=10.83224773,79.84020996","Open Location")</f>
        <v>Open Location</v>
      </c>
    </row>
    <row r="5278" spans="1:40" x14ac:dyDescent="0.3">
      <c r="A5278" s="1">
        <v>46210.388425925928</v>
      </c>
      <c r="B5278" t="s">
        <v>40</v>
      </c>
      <c r="C5278" t="s">
        <v>41</v>
      </c>
      <c r="D5278" s="1">
        <v>46210.391412037039</v>
      </c>
      <c r="E5278" t="s">
        <v>42</v>
      </c>
      <c r="F5278" t="s">
        <v>43</v>
      </c>
      <c r="G5278" t="s">
        <v>43</v>
      </c>
      <c r="H5278" t="s">
        <v>43</v>
      </c>
      <c r="I5278" t="s">
        <v>43</v>
      </c>
      <c r="J5278" t="s">
        <v>43</v>
      </c>
      <c r="K5278" t="s">
        <v>43</v>
      </c>
      <c r="L5278" t="s">
        <v>43</v>
      </c>
      <c r="M5278" t="s">
        <v>43</v>
      </c>
      <c r="N5278" t="s">
        <v>45</v>
      </c>
      <c r="O5278" t="s">
        <v>43</v>
      </c>
      <c r="P5278" t="s">
        <v>43</v>
      </c>
      <c r="Q5278" t="s">
        <v>43</v>
      </c>
      <c r="R5278" t="s">
        <v>43</v>
      </c>
      <c r="S5278">
        <v>0</v>
      </c>
      <c r="T5278">
        <v>-40</v>
      </c>
      <c r="U5278">
        <v>44</v>
      </c>
      <c r="V5278">
        <v>0</v>
      </c>
      <c r="W5278" t="s">
        <v>43</v>
      </c>
      <c r="X5278" t="s">
        <v>43</v>
      </c>
      <c r="Y5278" t="s">
        <v>43</v>
      </c>
      <c r="Z5278" t="s">
        <v>43</v>
      </c>
      <c r="AA5278" t="s">
        <v>43</v>
      </c>
      <c r="AB5278" t="s">
        <v>43</v>
      </c>
      <c r="AC5278" t="s">
        <v>43</v>
      </c>
      <c r="AD5278" t="s">
        <v>43</v>
      </c>
      <c r="AE5278" t="s">
        <v>43</v>
      </c>
      <c r="AF5278" t="s">
        <v>43</v>
      </c>
      <c r="AG5278" t="s">
        <v>43</v>
      </c>
      <c r="AH5278" t="s">
        <v>43</v>
      </c>
      <c r="AI5278" t="s">
        <v>43</v>
      </c>
      <c r="AJ5278" t="s">
        <v>43</v>
      </c>
      <c r="AK5278" t="s">
        <v>43</v>
      </c>
      <c r="AL5278" t="s">
        <v>43</v>
      </c>
      <c r="AM5278" t="s">
        <v>43</v>
      </c>
      <c r="AN5278" t="s">
        <v>43</v>
      </c>
    </row>
    <row r="5279" spans="1:40" x14ac:dyDescent="0.3">
      <c r="A5279" s="1">
        <v>46210.388310185182</v>
      </c>
      <c r="B5279" t="s">
        <v>40</v>
      </c>
      <c r="C5279" t="s">
        <v>41</v>
      </c>
      <c r="D5279" s="1">
        <v>46210.391064814816</v>
      </c>
      <c r="E5279" t="s">
        <v>42</v>
      </c>
      <c r="F5279" t="s">
        <v>43</v>
      </c>
      <c r="G5279">
        <v>0</v>
      </c>
      <c r="H5279" t="s">
        <v>43</v>
      </c>
      <c r="I5279" t="s">
        <v>2820</v>
      </c>
      <c r="J5279" t="s">
        <v>43</v>
      </c>
      <c r="K5279" t="s">
        <v>43</v>
      </c>
      <c r="L5279" t="s">
        <v>43</v>
      </c>
      <c r="M5279" t="s">
        <v>43</v>
      </c>
      <c r="N5279" t="s">
        <v>81</v>
      </c>
      <c r="O5279" t="s">
        <v>43</v>
      </c>
      <c r="P5279">
        <v>125</v>
      </c>
      <c r="Q5279" t="s">
        <v>82</v>
      </c>
      <c r="R5279">
        <v>0</v>
      </c>
      <c r="S5279">
        <v>0</v>
      </c>
      <c r="T5279">
        <v>-40</v>
      </c>
      <c r="U5279">
        <v>44</v>
      </c>
      <c r="V5279">
        <v>0</v>
      </c>
      <c r="W5279">
        <v>29</v>
      </c>
      <c r="X5279">
        <v>29</v>
      </c>
      <c r="Y5279">
        <v>1</v>
      </c>
      <c r="Z5279">
        <v>1</v>
      </c>
      <c r="AA5279">
        <v>27</v>
      </c>
      <c r="AB5279">
        <v>2</v>
      </c>
      <c r="AC5279">
        <v>2</v>
      </c>
      <c r="AD5279">
        <v>3.2929999799999998</v>
      </c>
      <c r="AE5279">
        <v>1</v>
      </c>
      <c r="AF5279">
        <v>16</v>
      </c>
      <c r="AG5279">
        <v>3.2869999399999998</v>
      </c>
      <c r="AH5279">
        <v>4</v>
      </c>
      <c r="AI5279">
        <v>17</v>
      </c>
      <c r="AJ5279" t="s">
        <v>43</v>
      </c>
      <c r="AK5279" t="s">
        <v>43</v>
      </c>
      <c r="AL5279" t="s">
        <v>43</v>
      </c>
      <c r="AM5279" t="s">
        <v>43</v>
      </c>
      <c r="AN5279" t="str">
        <f>HYPERLINK("https://www.google.com/maps?q=10.8322506,79.84020996","Open Location")</f>
        <v>Open Location</v>
      </c>
    </row>
    <row r="5280" spans="1:40" x14ac:dyDescent="0.3">
      <c r="A5280" s="1">
        <v>46210.388194444444</v>
      </c>
      <c r="B5280" t="s">
        <v>40</v>
      </c>
      <c r="C5280" t="s">
        <v>41</v>
      </c>
      <c r="D5280" s="1">
        <v>46210.391053240739</v>
      </c>
      <c r="E5280" t="s">
        <v>42</v>
      </c>
      <c r="F5280" t="s">
        <v>43</v>
      </c>
      <c r="G5280">
        <v>0</v>
      </c>
      <c r="H5280">
        <v>33085</v>
      </c>
      <c r="I5280" t="s">
        <v>2769</v>
      </c>
      <c r="J5280">
        <v>61</v>
      </c>
      <c r="K5280">
        <v>6</v>
      </c>
      <c r="L5280">
        <v>98</v>
      </c>
      <c r="M5280">
        <v>631.29998779000005</v>
      </c>
      <c r="N5280" t="s">
        <v>85</v>
      </c>
      <c r="O5280" t="s">
        <v>43</v>
      </c>
      <c r="P5280">
        <v>124</v>
      </c>
      <c r="Q5280" t="s">
        <v>249</v>
      </c>
      <c r="R5280">
        <v>7</v>
      </c>
      <c r="S5280">
        <v>0</v>
      </c>
      <c r="T5280">
        <v>-40</v>
      </c>
      <c r="U5280">
        <v>45</v>
      </c>
      <c r="V5280">
        <v>0</v>
      </c>
      <c r="W5280">
        <v>29</v>
      </c>
      <c r="X5280">
        <v>29</v>
      </c>
      <c r="Y5280">
        <v>1</v>
      </c>
      <c r="Z5280">
        <v>1</v>
      </c>
      <c r="AA5280">
        <v>27</v>
      </c>
      <c r="AB5280">
        <v>2</v>
      </c>
      <c r="AC5280">
        <v>2</v>
      </c>
      <c r="AD5280">
        <v>3.2920000599999999</v>
      </c>
      <c r="AE5280">
        <v>1</v>
      </c>
      <c r="AF5280">
        <v>16</v>
      </c>
      <c r="AG5280">
        <v>3.28900003</v>
      </c>
      <c r="AH5280">
        <v>1</v>
      </c>
      <c r="AI5280">
        <v>39</v>
      </c>
      <c r="AJ5280">
        <v>1</v>
      </c>
      <c r="AK5280">
        <v>19</v>
      </c>
      <c r="AL5280">
        <v>36</v>
      </c>
      <c r="AM5280" t="s">
        <v>43</v>
      </c>
      <c r="AN5280" t="str">
        <f>HYPERLINK("https://www.google.com/maps?q=10.83225155,79.84020233","Open Location")</f>
        <v>Open Location</v>
      </c>
    </row>
    <row r="5281" spans="1:40" x14ac:dyDescent="0.3">
      <c r="A5281" s="1">
        <v>46210.388078703705</v>
      </c>
      <c r="B5281" t="s">
        <v>40</v>
      </c>
      <c r="C5281" t="s">
        <v>41</v>
      </c>
      <c r="D5281" s="1">
        <v>46210.390775462962</v>
      </c>
      <c r="E5281" t="s">
        <v>42</v>
      </c>
      <c r="F5281" t="s">
        <v>83</v>
      </c>
      <c r="G5281">
        <v>0</v>
      </c>
      <c r="H5281" t="s">
        <v>43</v>
      </c>
      <c r="I5281" t="s">
        <v>2677</v>
      </c>
      <c r="J5281">
        <v>61</v>
      </c>
      <c r="K5281">
        <v>12</v>
      </c>
      <c r="L5281">
        <v>98</v>
      </c>
      <c r="M5281">
        <v>631.20001220999995</v>
      </c>
      <c r="N5281" t="s">
        <v>85</v>
      </c>
      <c r="O5281" t="s">
        <v>249</v>
      </c>
      <c r="P5281">
        <v>127</v>
      </c>
      <c r="Q5281">
        <v>2</v>
      </c>
      <c r="R5281">
        <v>3</v>
      </c>
      <c r="S5281">
        <v>361</v>
      </c>
      <c r="T5281">
        <v>-40</v>
      </c>
      <c r="U5281">
        <v>44</v>
      </c>
      <c r="V5281">
        <v>-160</v>
      </c>
      <c r="W5281">
        <v>29</v>
      </c>
      <c r="X5281">
        <v>29</v>
      </c>
      <c r="Y5281">
        <v>1</v>
      </c>
      <c r="Z5281">
        <v>1</v>
      </c>
      <c r="AA5281">
        <v>27</v>
      </c>
      <c r="AB5281">
        <v>2</v>
      </c>
      <c r="AC5281">
        <v>2</v>
      </c>
      <c r="AD5281">
        <v>3.2909998900000001</v>
      </c>
      <c r="AE5281">
        <v>1</v>
      </c>
      <c r="AF5281">
        <v>16</v>
      </c>
      <c r="AG5281">
        <v>3.2869999399999998</v>
      </c>
      <c r="AH5281">
        <v>7</v>
      </c>
      <c r="AI5281">
        <v>1</v>
      </c>
      <c r="AJ5281">
        <v>1</v>
      </c>
      <c r="AK5281">
        <v>18</v>
      </c>
      <c r="AL5281">
        <v>36</v>
      </c>
      <c r="AM5281" t="s">
        <v>43</v>
      </c>
      <c r="AN5281" t="str">
        <f>HYPERLINK("https://www.google.com/maps?q=10.83224583,79.84020996","Open Location")</f>
        <v>Open Location</v>
      </c>
    </row>
    <row r="5282" spans="1:40" x14ac:dyDescent="0.3">
      <c r="A5282" s="1">
        <v>46210.387962962966</v>
      </c>
      <c r="B5282" t="s">
        <v>40</v>
      </c>
      <c r="C5282" t="s">
        <v>41</v>
      </c>
      <c r="D5282" s="1">
        <v>46210.390868055554</v>
      </c>
      <c r="E5282" t="s">
        <v>42</v>
      </c>
      <c r="F5282" t="s">
        <v>83</v>
      </c>
      <c r="G5282">
        <v>2</v>
      </c>
      <c r="H5282">
        <v>33085</v>
      </c>
      <c r="I5282" t="s">
        <v>2976</v>
      </c>
      <c r="J5282">
        <v>61</v>
      </c>
      <c r="K5282">
        <v>6</v>
      </c>
      <c r="L5282">
        <v>98</v>
      </c>
      <c r="M5282">
        <v>631.20001220999995</v>
      </c>
      <c r="N5282" t="s">
        <v>87</v>
      </c>
      <c r="O5282" t="s">
        <v>86</v>
      </c>
      <c r="P5282">
        <v>127</v>
      </c>
      <c r="Q5282">
        <v>2</v>
      </c>
      <c r="R5282">
        <v>6</v>
      </c>
      <c r="S5282">
        <v>108</v>
      </c>
      <c r="T5282">
        <v>-40</v>
      </c>
      <c r="U5282">
        <v>45</v>
      </c>
      <c r="V5282">
        <v>180</v>
      </c>
      <c r="W5282">
        <v>29</v>
      </c>
      <c r="X5282">
        <v>29</v>
      </c>
      <c r="Y5282">
        <v>1</v>
      </c>
      <c r="Z5282">
        <v>1</v>
      </c>
      <c r="AA5282">
        <v>27</v>
      </c>
      <c r="AB5282">
        <v>2</v>
      </c>
      <c r="AC5282">
        <v>2</v>
      </c>
      <c r="AD5282">
        <v>3.2909998900000001</v>
      </c>
      <c r="AE5282">
        <v>1</v>
      </c>
      <c r="AF5282">
        <v>25</v>
      </c>
      <c r="AG5282">
        <v>3.2869999399999998</v>
      </c>
      <c r="AH5282">
        <v>2</v>
      </c>
      <c r="AI5282">
        <v>6</v>
      </c>
      <c r="AJ5282">
        <v>1</v>
      </c>
      <c r="AK5282">
        <v>18</v>
      </c>
      <c r="AL5282">
        <v>36</v>
      </c>
      <c r="AM5282" t="s">
        <v>43</v>
      </c>
      <c r="AN5282" t="str">
        <f>HYPERLINK("https://www.google.com/maps?q=10.8322382,79.84015656","Open Location")</f>
        <v>Open Location</v>
      </c>
    </row>
    <row r="5283" spans="1:40" x14ac:dyDescent="0.3">
      <c r="A5283" s="1">
        <v>46210.38784722222</v>
      </c>
      <c r="B5283" t="s">
        <v>40</v>
      </c>
      <c r="C5283" t="s">
        <v>41</v>
      </c>
      <c r="D5283" s="1">
        <v>46210.3905787037</v>
      </c>
      <c r="E5283" t="s">
        <v>42</v>
      </c>
      <c r="F5283" t="s">
        <v>83</v>
      </c>
      <c r="G5283">
        <v>3</v>
      </c>
      <c r="H5283">
        <v>33085</v>
      </c>
      <c r="I5283" t="s">
        <v>2977</v>
      </c>
      <c r="J5283">
        <v>61</v>
      </c>
      <c r="K5283">
        <v>16</v>
      </c>
      <c r="L5283">
        <v>98</v>
      </c>
      <c r="M5283">
        <v>630.70001220999995</v>
      </c>
      <c r="N5283" t="s">
        <v>87</v>
      </c>
      <c r="O5283" t="s">
        <v>86</v>
      </c>
      <c r="P5283">
        <v>127</v>
      </c>
      <c r="Q5283">
        <v>2</v>
      </c>
      <c r="R5283">
        <v>15</v>
      </c>
      <c r="S5283">
        <v>523</v>
      </c>
      <c r="T5283">
        <v>-40</v>
      </c>
      <c r="U5283">
        <v>45</v>
      </c>
      <c r="V5283">
        <v>120</v>
      </c>
      <c r="W5283">
        <v>29</v>
      </c>
      <c r="X5283">
        <v>29</v>
      </c>
      <c r="Y5283">
        <v>1</v>
      </c>
      <c r="Z5283">
        <v>1</v>
      </c>
      <c r="AA5283">
        <v>27</v>
      </c>
      <c r="AB5283">
        <v>2</v>
      </c>
      <c r="AC5283">
        <v>2</v>
      </c>
      <c r="AD5283">
        <v>3.2869999399999998</v>
      </c>
      <c r="AE5283">
        <v>1</v>
      </c>
      <c r="AF5283">
        <v>16</v>
      </c>
      <c r="AG5283">
        <v>3.2820000600000001</v>
      </c>
      <c r="AH5283">
        <v>4</v>
      </c>
      <c r="AI5283">
        <v>17</v>
      </c>
      <c r="AJ5283">
        <v>1</v>
      </c>
      <c r="AK5283">
        <v>19</v>
      </c>
      <c r="AL5283">
        <v>36</v>
      </c>
      <c r="AM5283" t="s">
        <v>43</v>
      </c>
      <c r="AN5283" t="str">
        <f>HYPERLINK("https://www.google.com/maps?q=10.83225346,79.840065","Open Location")</f>
        <v>Open Location</v>
      </c>
    </row>
    <row r="5284" spans="1:40" x14ac:dyDescent="0.3">
      <c r="A5284" s="1">
        <v>46210.387731481482</v>
      </c>
      <c r="B5284" t="s">
        <v>40</v>
      </c>
      <c r="C5284" t="s">
        <v>41</v>
      </c>
      <c r="D5284" s="1">
        <v>46210.390613425923</v>
      </c>
      <c r="E5284" t="s">
        <v>42</v>
      </c>
      <c r="F5284" t="s">
        <v>83</v>
      </c>
      <c r="G5284">
        <v>0</v>
      </c>
      <c r="H5284">
        <v>33085</v>
      </c>
      <c r="I5284" t="s">
        <v>43</v>
      </c>
      <c r="J5284">
        <v>61</v>
      </c>
      <c r="K5284">
        <v>33</v>
      </c>
      <c r="L5284">
        <v>98</v>
      </c>
      <c r="M5284">
        <v>630.40002441000001</v>
      </c>
      <c r="N5284" t="s">
        <v>85</v>
      </c>
      <c r="O5284" t="s">
        <v>86</v>
      </c>
      <c r="P5284">
        <v>127</v>
      </c>
      <c r="Q5284">
        <v>2</v>
      </c>
      <c r="R5284">
        <v>0</v>
      </c>
      <c r="S5284">
        <v>656</v>
      </c>
      <c r="T5284">
        <v>-40</v>
      </c>
      <c r="U5284">
        <v>42</v>
      </c>
      <c r="V5284">
        <v>220</v>
      </c>
      <c r="W5284">
        <v>29</v>
      </c>
      <c r="X5284">
        <v>29</v>
      </c>
      <c r="Y5284">
        <v>1</v>
      </c>
      <c r="Z5284">
        <v>1</v>
      </c>
      <c r="AA5284">
        <v>27</v>
      </c>
      <c r="AB5284">
        <v>2</v>
      </c>
      <c r="AC5284">
        <v>2</v>
      </c>
      <c r="AD5284">
        <v>3.2909998900000001</v>
      </c>
      <c r="AE5284">
        <v>1</v>
      </c>
      <c r="AF5284">
        <v>16</v>
      </c>
      <c r="AG5284">
        <v>3.28600001</v>
      </c>
      <c r="AH5284">
        <v>4</v>
      </c>
      <c r="AI5284">
        <v>17</v>
      </c>
      <c r="AJ5284">
        <v>1</v>
      </c>
      <c r="AK5284">
        <v>22</v>
      </c>
      <c r="AL5284">
        <v>36</v>
      </c>
      <c r="AM5284" t="s">
        <v>43</v>
      </c>
      <c r="AN5284" t="s">
        <v>43</v>
      </c>
    </row>
    <row r="5285" spans="1:40" x14ac:dyDescent="0.3">
      <c r="A5285" s="1">
        <v>46210.387615740743</v>
      </c>
      <c r="B5285" t="s">
        <v>40</v>
      </c>
      <c r="C5285" t="s">
        <v>41</v>
      </c>
      <c r="D5285" s="1">
        <v>46210.390659722223</v>
      </c>
      <c r="E5285" t="s">
        <v>42</v>
      </c>
      <c r="F5285" t="s">
        <v>83</v>
      </c>
      <c r="G5285">
        <v>0</v>
      </c>
      <c r="H5285">
        <v>33085</v>
      </c>
      <c r="I5285" t="s">
        <v>2978</v>
      </c>
      <c r="J5285">
        <v>61</v>
      </c>
      <c r="K5285">
        <v>13</v>
      </c>
      <c r="L5285">
        <v>98</v>
      </c>
      <c r="M5285">
        <v>631.29998779000005</v>
      </c>
      <c r="N5285" t="s">
        <v>85</v>
      </c>
      <c r="O5285" t="s">
        <v>86</v>
      </c>
      <c r="P5285">
        <v>124</v>
      </c>
      <c r="Q5285" t="s">
        <v>249</v>
      </c>
      <c r="R5285">
        <v>0</v>
      </c>
      <c r="S5285">
        <v>7</v>
      </c>
      <c r="T5285">
        <v>-40</v>
      </c>
      <c r="U5285">
        <v>42</v>
      </c>
      <c r="V5285">
        <v>0</v>
      </c>
      <c r="W5285">
        <v>29</v>
      </c>
      <c r="X5285">
        <v>29</v>
      </c>
      <c r="Y5285">
        <v>1</v>
      </c>
      <c r="Z5285">
        <v>1</v>
      </c>
      <c r="AA5285">
        <v>27</v>
      </c>
      <c r="AB5285">
        <v>2</v>
      </c>
      <c r="AC5285">
        <v>2</v>
      </c>
      <c r="AD5285">
        <v>3.2929999799999998</v>
      </c>
      <c r="AE5285">
        <v>1</v>
      </c>
      <c r="AF5285">
        <v>16</v>
      </c>
      <c r="AG5285">
        <v>3.28800011</v>
      </c>
      <c r="AH5285">
        <v>4</v>
      </c>
      <c r="AI5285">
        <v>17</v>
      </c>
      <c r="AJ5285">
        <v>1</v>
      </c>
      <c r="AK5285">
        <v>20</v>
      </c>
      <c r="AL5285">
        <v>36</v>
      </c>
      <c r="AM5285" t="s">
        <v>43</v>
      </c>
      <c r="AN5285" t="str">
        <f>HYPERLINK("https://www.google.com/maps?q=10.83220959,79.84003448","Open Location")</f>
        <v>Open Location</v>
      </c>
    </row>
    <row r="5286" spans="1:40" x14ac:dyDescent="0.3">
      <c r="A5286" s="1">
        <v>46210.387499999997</v>
      </c>
      <c r="B5286" t="s">
        <v>40</v>
      </c>
      <c r="C5286" t="s">
        <v>41</v>
      </c>
      <c r="D5286" s="1">
        <v>46210.390509259261</v>
      </c>
      <c r="E5286" t="s">
        <v>42</v>
      </c>
      <c r="F5286" t="s">
        <v>83</v>
      </c>
      <c r="G5286">
        <v>0</v>
      </c>
      <c r="H5286">
        <v>33085</v>
      </c>
      <c r="I5286" t="s">
        <v>2979</v>
      </c>
      <c r="J5286">
        <v>61</v>
      </c>
      <c r="K5286">
        <v>10</v>
      </c>
      <c r="L5286">
        <v>98</v>
      </c>
      <c r="M5286">
        <v>631.29998779000005</v>
      </c>
      <c r="N5286" t="s">
        <v>85</v>
      </c>
      <c r="O5286" t="s">
        <v>249</v>
      </c>
      <c r="P5286">
        <v>124</v>
      </c>
      <c r="Q5286" t="s">
        <v>249</v>
      </c>
      <c r="R5286">
        <v>0</v>
      </c>
      <c r="S5286">
        <v>292</v>
      </c>
      <c r="T5286">
        <v>-40</v>
      </c>
      <c r="U5286">
        <v>41</v>
      </c>
      <c r="V5286">
        <v>-5</v>
      </c>
      <c r="W5286">
        <v>29</v>
      </c>
      <c r="X5286">
        <v>29</v>
      </c>
      <c r="Y5286">
        <v>1</v>
      </c>
      <c r="Z5286">
        <v>1</v>
      </c>
      <c r="AA5286">
        <v>27</v>
      </c>
      <c r="AB5286">
        <v>2</v>
      </c>
      <c r="AC5286">
        <v>2</v>
      </c>
      <c r="AD5286">
        <v>3.2929999799999998</v>
      </c>
      <c r="AE5286">
        <v>1</v>
      </c>
      <c r="AF5286">
        <v>16</v>
      </c>
      <c r="AG5286">
        <v>3.28800011</v>
      </c>
      <c r="AH5286">
        <v>4</v>
      </c>
      <c r="AI5286">
        <v>17</v>
      </c>
      <c r="AJ5286">
        <v>1</v>
      </c>
      <c r="AK5286">
        <v>18</v>
      </c>
      <c r="AL5286">
        <v>36</v>
      </c>
      <c r="AM5286" t="s">
        <v>43</v>
      </c>
      <c r="AN5286" t="str">
        <f>HYPERLINK("https://www.google.com/maps?q=10.83221626,79.84005737","Open Location")</f>
        <v>Open Location</v>
      </c>
    </row>
    <row r="5287" spans="1:40" x14ac:dyDescent="0.3">
      <c r="A5287" s="1">
        <v>46210.387384259258</v>
      </c>
      <c r="B5287" t="s">
        <v>40</v>
      </c>
      <c r="C5287" t="s">
        <v>41</v>
      </c>
      <c r="D5287" s="1">
        <v>46210.390208333331</v>
      </c>
      <c r="E5287" t="s">
        <v>42</v>
      </c>
      <c r="F5287" t="s">
        <v>83</v>
      </c>
      <c r="G5287" t="s">
        <v>43</v>
      </c>
      <c r="H5287">
        <v>33085</v>
      </c>
      <c r="I5287" t="s">
        <v>2980</v>
      </c>
      <c r="J5287">
        <v>61</v>
      </c>
      <c r="K5287">
        <v>11</v>
      </c>
      <c r="L5287">
        <v>98</v>
      </c>
      <c r="M5287">
        <v>631.70001220999995</v>
      </c>
      <c r="N5287" t="s">
        <v>45</v>
      </c>
      <c r="O5287" t="s">
        <v>249</v>
      </c>
      <c r="P5287" t="s">
        <v>43</v>
      </c>
      <c r="Q5287" t="s">
        <v>82</v>
      </c>
      <c r="R5287" t="s">
        <v>43</v>
      </c>
      <c r="S5287">
        <v>511</v>
      </c>
      <c r="T5287">
        <v>-40</v>
      </c>
      <c r="U5287">
        <v>41</v>
      </c>
      <c r="V5287">
        <v>-5</v>
      </c>
      <c r="W5287">
        <v>29</v>
      </c>
      <c r="X5287">
        <v>29</v>
      </c>
      <c r="Y5287">
        <v>1</v>
      </c>
      <c r="Z5287">
        <v>1</v>
      </c>
      <c r="AA5287">
        <v>27</v>
      </c>
      <c r="AB5287">
        <v>2</v>
      </c>
      <c r="AC5287">
        <v>2</v>
      </c>
      <c r="AD5287">
        <v>3.2950000799999999</v>
      </c>
      <c r="AE5287">
        <v>1</v>
      </c>
      <c r="AF5287">
        <v>25</v>
      </c>
      <c r="AG5287">
        <v>3.28900003</v>
      </c>
      <c r="AH5287">
        <v>5</v>
      </c>
      <c r="AI5287">
        <v>10</v>
      </c>
      <c r="AJ5287">
        <v>1</v>
      </c>
      <c r="AK5287">
        <v>25</v>
      </c>
      <c r="AL5287">
        <v>36</v>
      </c>
      <c r="AM5287" t="s">
        <v>43</v>
      </c>
      <c r="AN5287" t="str">
        <f>HYPERLINK("https://www.google.com/maps?q=10.83221531,79.84008026","Open Location")</f>
        <v>Open Location</v>
      </c>
    </row>
    <row r="5288" spans="1:40" x14ac:dyDescent="0.3">
      <c r="A5288" s="1">
        <v>46210.38726851852</v>
      </c>
      <c r="B5288" t="s">
        <v>40</v>
      </c>
      <c r="C5288" t="s">
        <v>41</v>
      </c>
      <c r="D5288" s="1">
        <v>46210.390208333331</v>
      </c>
      <c r="E5288" t="s">
        <v>42</v>
      </c>
      <c r="F5288" t="s">
        <v>83</v>
      </c>
      <c r="G5288">
        <v>0</v>
      </c>
      <c r="H5288">
        <v>33085</v>
      </c>
      <c r="I5288" t="s">
        <v>2981</v>
      </c>
      <c r="J5288">
        <v>61</v>
      </c>
      <c r="K5288">
        <v>4</v>
      </c>
      <c r="L5288">
        <v>98</v>
      </c>
      <c r="M5288">
        <v>631.79998779000005</v>
      </c>
      <c r="N5288" t="s">
        <v>81</v>
      </c>
      <c r="O5288" t="s">
        <v>82</v>
      </c>
      <c r="P5288">
        <v>125</v>
      </c>
      <c r="Q5288" t="s">
        <v>43</v>
      </c>
      <c r="R5288">
        <v>0</v>
      </c>
      <c r="S5288">
        <v>0</v>
      </c>
      <c r="T5288">
        <v>-40</v>
      </c>
      <c r="U5288">
        <v>41</v>
      </c>
      <c r="V5288">
        <v>0</v>
      </c>
      <c r="W5288">
        <v>29</v>
      </c>
      <c r="X5288">
        <v>29</v>
      </c>
      <c r="Y5288">
        <v>1</v>
      </c>
      <c r="Z5288">
        <v>1</v>
      </c>
      <c r="AA5288">
        <v>27</v>
      </c>
      <c r="AB5288">
        <v>2</v>
      </c>
      <c r="AC5288">
        <v>2</v>
      </c>
      <c r="AD5288">
        <v>3.2959999999999998</v>
      </c>
      <c r="AE5288">
        <v>1</v>
      </c>
      <c r="AF5288">
        <v>16</v>
      </c>
      <c r="AG5288">
        <v>3.2929999799999998</v>
      </c>
      <c r="AH5288">
        <v>1</v>
      </c>
      <c r="AI5288">
        <v>4</v>
      </c>
      <c r="AJ5288">
        <v>0</v>
      </c>
      <c r="AK5288">
        <v>0</v>
      </c>
      <c r="AL5288">
        <v>36</v>
      </c>
      <c r="AM5288" t="s">
        <v>43</v>
      </c>
      <c r="AN5288" t="str">
        <f>HYPERLINK("https://www.google.com/maps?q=10.83221912,79.84008026","Open Location")</f>
        <v>Open Location</v>
      </c>
    </row>
    <row r="5289" spans="1:40" x14ac:dyDescent="0.3">
      <c r="A5289" s="1">
        <v>46210.387152777781</v>
      </c>
      <c r="B5289" t="s">
        <v>40</v>
      </c>
      <c r="C5289" t="s">
        <v>41</v>
      </c>
      <c r="D5289" s="1">
        <v>46210.389918981484</v>
      </c>
      <c r="E5289" t="s">
        <v>42</v>
      </c>
      <c r="F5289" t="s">
        <v>83</v>
      </c>
      <c r="G5289">
        <v>0</v>
      </c>
      <c r="H5289" t="s">
        <v>43</v>
      </c>
      <c r="I5289" t="s">
        <v>43</v>
      </c>
      <c r="J5289">
        <v>0</v>
      </c>
      <c r="K5289">
        <v>-3200</v>
      </c>
      <c r="L5289">
        <v>0</v>
      </c>
      <c r="M5289">
        <v>0</v>
      </c>
      <c r="N5289" t="s">
        <v>81</v>
      </c>
      <c r="O5289" t="s">
        <v>82</v>
      </c>
      <c r="P5289">
        <v>125</v>
      </c>
      <c r="Q5289" t="s">
        <v>43</v>
      </c>
      <c r="R5289">
        <v>0</v>
      </c>
      <c r="S5289">
        <v>0</v>
      </c>
      <c r="T5289">
        <v>-40</v>
      </c>
      <c r="U5289">
        <v>41</v>
      </c>
      <c r="V5289">
        <v>0</v>
      </c>
      <c r="W5289" t="s">
        <v>43</v>
      </c>
      <c r="X5289" t="s">
        <v>43</v>
      </c>
      <c r="Y5289" t="s">
        <v>43</v>
      </c>
      <c r="Z5289" t="s">
        <v>43</v>
      </c>
      <c r="AA5289" t="s">
        <v>43</v>
      </c>
      <c r="AB5289" t="s">
        <v>43</v>
      </c>
      <c r="AC5289" t="s">
        <v>43</v>
      </c>
      <c r="AD5289" t="s">
        <v>43</v>
      </c>
      <c r="AE5289" t="s">
        <v>43</v>
      </c>
      <c r="AF5289" t="s">
        <v>43</v>
      </c>
      <c r="AG5289" t="s">
        <v>43</v>
      </c>
      <c r="AH5289" t="s">
        <v>43</v>
      </c>
      <c r="AI5289" t="s">
        <v>43</v>
      </c>
      <c r="AJ5289" t="s">
        <v>43</v>
      </c>
      <c r="AK5289" t="s">
        <v>43</v>
      </c>
      <c r="AL5289" t="s">
        <v>43</v>
      </c>
      <c r="AM5289" t="s">
        <v>43</v>
      </c>
      <c r="AN5289" t="s">
        <v>43</v>
      </c>
    </row>
    <row r="5290" spans="1:40" x14ac:dyDescent="0.3">
      <c r="A5290" s="1">
        <v>46210.387037037035</v>
      </c>
      <c r="B5290" t="s">
        <v>40</v>
      </c>
      <c r="C5290" t="s">
        <v>41</v>
      </c>
      <c r="D5290" s="1">
        <v>46210.389988425923</v>
      </c>
      <c r="E5290" t="s">
        <v>42</v>
      </c>
      <c r="F5290" t="s">
        <v>43</v>
      </c>
      <c r="G5290" t="s">
        <v>43</v>
      </c>
      <c r="H5290" t="s">
        <v>43</v>
      </c>
      <c r="I5290" t="s">
        <v>2982</v>
      </c>
      <c r="J5290" t="s">
        <v>43</v>
      </c>
      <c r="K5290" t="s">
        <v>43</v>
      </c>
      <c r="L5290" t="s">
        <v>43</v>
      </c>
      <c r="M5290" t="s">
        <v>43</v>
      </c>
      <c r="N5290" t="s">
        <v>45</v>
      </c>
      <c r="O5290" t="s">
        <v>43</v>
      </c>
      <c r="P5290" t="s">
        <v>43</v>
      </c>
      <c r="Q5290" t="s">
        <v>43</v>
      </c>
      <c r="R5290" t="s">
        <v>43</v>
      </c>
      <c r="S5290" t="s">
        <v>43</v>
      </c>
      <c r="T5290" t="s">
        <v>43</v>
      </c>
      <c r="U5290" t="s">
        <v>43</v>
      </c>
      <c r="V5290" t="s">
        <v>43</v>
      </c>
      <c r="W5290" t="s">
        <v>43</v>
      </c>
      <c r="X5290" t="s">
        <v>43</v>
      </c>
      <c r="Y5290" t="s">
        <v>43</v>
      </c>
      <c r="Z5290" t="s">
        <v>43</v>
      </c>
      <c r="AA5290" t="s">
        <v>43</v>
      </c>
      <c r="AB5290" t="s">
        <v>43</v>
      </c>
      <c r="AC5290" t="s">
        <v>43</v>
      </c>
      <c r="AD5290" t="s">
        <v>43</v>
      </c>
      <c r="AE5290" t="s">
        <v>43</v>
      </c>
      <c r="AF5290" t="s">
        <v>43</v>
      </c>
      <c r="AG5290" t="s">
        <v>43</v>
      </c>
      <c r="AH5290" t="s">
        <v>43</v>
      </c>
      <c r="AI5290" t="s">
        <v>43</v>
      </c>
      <c r="AJ5290" t="s">
        <v>43</v>
      </c>
      <c r="AK5290" t="s">
        <v>43</v>
      </c>
      <c r="AL5290" t="s">
        <v>43</v>
      </c>
      <c r="AM5290" t="s">
        <v>43</v>
      </c>
      <c r="AN5290" t="str">
        <f>HYPERLINK("https://www.google.com/maps?q=10.83221817,79.84008026","Open Location")</f>
        <v>Open Location</v>
      </c>
    </row>
    <row r="5291" spans="1:40" x14ac:dyDescent="0.3">
      <c r="A5291" s="1">
        <v>46210.386921296296</v>
      </c>
      <c r="B5291" t="s">
        <v>40</v>
      </c>
      <c r="C5291" t="s">
        <v>41</v>
      </c>
      <c r="D5291" s="1">
        <v>46210.389791666668</v>
      </c>
      <c r="E5291" t="s">
        <v>42</v>
      </c>
      <c r="F5291" t="s">
        <v>43</v>
      </c>
      <c r="G5291" t="s">
        <v>43</v>
      </c>
      <c r="H5291" t="s">
        <v>43</v>
      </c>
      <c r="I5291" t="s">
        <v>2983</v>
      </c>
      <c r="J5291" t="s">
        <v>43</v>
      </c>
      <c r="K5291" t="s">
        <v>43</v>
      </c>
      <c r="L5291" t="s">
        <v>43</v>
      </c>
      <c r="M5291" t="s">
        <v>43</v>
      </c>
      <c r="N5291" t="s">
        <v>45</v>
      </c>
      <c r="O5291" t="s">
        <v>43</v>
      </c>
      <c r="P5291" t="s">
        <v>43</v>
      </c>
      <c r="Q5291" t="s">
        <v>43</v>
      </c>
      <c r="R5291" t="s">
        <v>43</v>
      </c>
      <c r="S5291" t="s">
        <v>43</v>
      </c>
      <c r="T5291" t="s">
        <v>43</v>
      </c>
      <c r="U5291" t="s">
        <v>43</v>
      </c>
      <c r="V5291" t="s">
        <v>43</v>
      </c>
      <c r="W5291" t="s">
        <v>43</v>
      </c>
      <c r="X5291" t="s">
        <v>43</v>
      </c>
      <c r="Y5291" t="s">
        <v>43</v>
      </c>
      <c r="Z5291" t="s">
        <v>43</v>
      </c>
      <c r="AA5291" t="s">
        <v>43</v>
      </c>
      <c r="AB5291" t="s">
        <v>43</v>
      </c>
      <c r="AC5291" t="s">
        <v>43</v>
      </c>
      <c r="AD5291" t="s">
        <v>43</v>
      </c>
      <c r="AE5291" t="s">
        <v>43</v>
      </c>
      <c r="AF5291" t="s">
        <v>43</v>
      </c>
      <c r="AG5291" t="s">
        <v>43</v>
      </c>
      <c r="AH5291" t="s">
        <v>43</v>
      </c>
      <c r="AI5291" t="s">
        <v>43</v>
      </c>
      <c r="AJ5291" t="s">
        <v>43</v>
      </c>
      <c r="AK5291" t="s">
        <v>43</v>
      </c>
      <c r="AL5291" t="s">
        <v>43</v>
      </c>
      <c r="AM5291" t="s">
        <v>43</v>
      </c>
      <c r="AN5291" t="str">
        <f>HYPERLINK("https://www.google.com/maps?q=10.83221722,79.84008026","Open Location")</f>
        <v>Open Location</v>
      </c>
    </row>
    <row r="5292" spans="1:40" x14ac:dyDescent="0.3">
      <c r="A5292" s="1">
        <v>46210.386805555558</v>
      </c>
      <c r="B5292" t="s">
        <v>40</v>
      </c>
      <c r="C5292" t="s">
        <v>41</v>
      </c>
      <c r="D5292" s="1">
        <v>46210.389849537038</v>
      </c>
      <c r="E5292" t="s">
        <v>42</v>
      </c>
      <c r="F5292" t="s">
        <v>43</v>
      </c>
      <c r="G5292" t="s">
        <v>43</v>
      </c>
      <c r="H5292" t="s">
        <v>43</v>
      </c>
      <c r="I5292" t="s">
        <v>2984</v>
      </c>
      <c r="J5292" t="s">
        <v>43</v>
      </c>
      <c r="K5292" t="s">
        <v>43</v>
      </c>
      <c r="L5292" t="s">
        <v>43</v>
      </c>
      <c r="M5292" t="s">
        <v>43</v>
      </c>
      <c r="N5292" t="s">
        <v>45</v>
      </c>
      <c r="O5292" t="s">
        <v>43</v>
      </c>
      <c r="P5292" t="s">
        <v>43</v>
      </c>
      <c r="Q5292" t="s">
        <v>43</v>
      </c>
      <c r="R5292" t="s">
        <v>43</v>
      </c>
      <c r="S5292" t="s">
        <v>43</v>
      </c>
      <c r="T5292" t="s">
        <v>43</v>
      </c>
      <c r="U5292" t="s">
        <v>43</v>
      </c>
      <c r="V5292" t="s">
        <v>43</v>
      </c>
      <c r="W5292" t="s">
        <v>43</v>
      </c>
      <c r="X5292" t="s">
        <v>43</v>
      </c>
      <c r="Y5292" t="s">
        <v>43</v>
      </c>
      <c r="Z5292" t="s">
        <v>43</v>
      </c>
      <c r="AA5292" t="s">
        <v>43</v>
      </c>
      <c r="AB5292" t="s">
        <v>43</v>
      </c>
      <c r="AC5292" t="s">
        <v>43</v>
      </c>
      <c r="AD5292" t="s">
        <v>43</v>
      </c>
      <c r="AE5292" t="s">
        <v>43</v>
      </c>
      <c r="AF5292" t="s">
        <v>43</v>
      </c>
      <c r="AG5292" t="s">
        <v>43</v>
      </c>
      <c r="AH5292" t="s">
        <v>43</v>
      </c>
      <c r="AI5292" t="s">
        <v>43</v>
      </c>
      <c r="AJ5292" t="s">
        <v>43</v>
      </c>
      <c r="AK5292" t="s">
        <v>43</v>
      </c>
      <c r="AL5292" t="s">
        <v>43</v>
      </c>
      <c r="AM5292" t="s">
        <v>43</v>
      </c>
      <c r="AN5292" t="str">
        <f>HYPERLINK("https://www.google.com/maps?q=10.83220959,79.84007263","Open Location")</f>
        <v>Open Location</v>
      </c>
    </row>
    <row r="5293" spans="1:40" x14ac:dyDescent="0.3">
      <c r="A5293" s="1">
        <v>46210.386689814812</v>
      </c>
      <c r="B5293" t="s">
        <v>40</v>
      </c>
      <c r="C5293" t="s">
        <v>41</v>
      </c>
      <c r="D5293" s="1">
        <v>46210.389444444445</v>
      </c>
      <c r="E5293" t="s">
        <v>42</v>
      </c>
      <c r="F5293" t="s">
        <v>43</v>
      </c>
      <c r="G5293" t="s">
        <v>43</v>
      </c>
      <c r="H5293" t="s">
        <v>43</v>
      </c>
      <c r="I5293" t="s">
        <v>2985</v>
      </c>
      <c r="J5293" t="s">
        <v>43</v>
      </c>
      <c r="K5293" t="s">
        <v>43</v>
      </c>
      <c r="L5293" t="s">
        <v>43</v>
      </c>
      <c r="M5293" t="s">
        <v>43</v>
      </c>
      <c r="N5293" t="s">
        <v>45</v>
      </c>
      <c r="O5293" t="s">
        <v>43</v>
      </c>
      <c r="P5293" t="s">
        <v>43</v>
      </c>
      <c r="Q5293" t="s">
        <v>43</v>
      </c>
      <c r="R5293" t="s">
        <v>43</v>
      </c>
      <c r="S5293" t="s">
        <v>43</v>
      </c>
      <c r="T5293" t="s">
        <v>43</v>
      </c>
      <c r="U5293" t="s">
        <v>43</v>
      </c>
      <c r="V5293" t="s">
        <v>43</v>
      </c>
      <c r="W5293" t="s">
        <v>43</v>
      </c>
      <c r="X5293" t="s">
        <v>43</v>
      </c>
      <c r="Y5293" t="s">
        <v>43</v>
      </c>
      <c r="Z5293" t="s">
        <v>43</v>
      </c>
      <c r="AA5293" t="s">
        <v>43</v>
      </c>
      <c r="AB5293" t="s">
        <v>43</v>
      </c>
      <c r="AC5293" t="s">
        <v>43</v>
      </c>
      <c r="AD5293" t="s">
        <v>43</v>
      </c>
      <c r="AE5293" t="s">
        <v>43</v>
      </c>
      <c r="AF5293" t="s">
        <v>43</v>
      </c>
      <c r="AG5293" t="s">
        <v>43</v>
      </c>
      <c r="AH5293" t="s">
        <v>43</v>
      </c>
      <c r="AI5293" t="s">
        <v>43</v>
      </c>
      <c r="AJ5293" t="s">
        <v>43</v>
      </c>
      <c r="AK5293" t="s">
        <v>43</v>
      </c>
      <c r="AL5293" t="s">
        <v>43</v>
      </c>
      <c r="AM5293" t="s">
        <v>43</v>
      </c>
      <c r="AN5293" t="str">
        <f>HYPERLINK("https://www.google.com/maps?q=10.83220673,79.84007263","Open Location")</f>
        <v>Open Location</v>
      </c>
    </row>
    <row r="5294" spans="1:40" x14ac:dyDescent="0.3">
      <c r="A5294" s="1">
        <v>46210.386574074073</v>
      </c>
      <c r="B5294" t="s">
        <v>40</v>
      </c>
      <c r="C5294" t="s">
        <v>41</v>
      </c>
      <c r="D5294" s="1">
        <v>46210.389456018522</v>
      </c>
      <c r="E5294" t="s">
        <v>42</v>
      </c>
      <c r="F5294" t="s">
        <v>43</v>
      </c>
      <c r="G5294" t="s">
        <v>43</v>
      </c>
      <c r="H5294" t="s">
        <v>43</v>
      </c>
      <c r="I5294" t="s">
        <v>2986</v>
      </c>
      <c r="J5294" t="s">
        <v>43</v>
      </c>
      <c r="K5294" t="s">
        <v>43</v>
      </c>
      <c r="L5294" t="s">
        <v>43</v>
      </c>
      <c r="M5294" t="s">
        <v>43</v>
      </c>
      <c r="N5294" t="s">
        <v>45</v>
      </c>
      <c r="O5294" t="s">
        <v>43</v>
      </c>
      <c r="P5294" t="s">
        <v>43</v>
      </c>
      <c r="Q5294" t="s">
        <v>43</v>
      </c>
      <c r="R5294" t="s">
        <v>43</v>
      </c>
      <c r="S5294" t="s">
        <v>43</v>
      </c>
      <c r="T5294" t="s">
        <v>43</v>
      </c>
      <c r="U5294" t="s">
        <v>43</v>
      </c>
      <c r="V5294" t="s">
        <v>43</v>
      </c>
      <c r="W5294" t="s">
        <v>43</v>
      </c>
      <c r="X5294" t="s">
        <v>43</v>
      </c>
      <c r="Y5294" t="s">
        <v>43</v>
      </c>
      <c r="Z5294" t="s">
        <v>43</v>
      </c>
      <c r="AA5294" t="s">
        <v>43</v>
      </c>
      <c r="AB5294" t="s">
        <v>43</v>
      </c>
      <c r="AC5294" t="s">
        <v>43</v>
      </c>
      <c r="AD5294" t="s">
        <v>43</v>
      </c>
      <c r="AE5294" t="s">
        <v>43</v>
      </c>
      <c r="AF5294" t="s">
        <v>43</v>
      </c>
      <c r="AG5294" t="s">
        <v>43</v>
      </c>
      <c r="AH5294" t="s">
        <v>43</v>
      </c>
      <c r="AI5294" t="s">
        <v>43</v>
      </c>
      <c r="AJ5294" t="s">
        <v>43</v>
      </c>
      <c r="AK5294" t="s">
        <v>43</v>
      </c>
      <c r="AL5294" t="s">
        <v>43</v>
      </c>
      <c r="AM5294" t="s">
        <v>43</v>
      </c>
      <c r="AN5294" t="str">
        <f>HYPERLINK("https://www.google.com/maps?q=10.83220577,79.840065","Open Location")</f>
        <v>Open Location</v>
      </c>
    </row>
    <row r="5295" spans="1:40" x14ac:dyDescent="0.3">
      <c r="A5295" s="1">
        <v>46210.386458333334</v>
      </c>
      <c r="B5295" t="s">
        <v>40</v>
      </c>
      <c r="C5295" t="s">
        <v>41</v>
      </c>
      <c r="D5295" s="1">
        <v>46210.38925925926</v>
      </c>
      <c r="E5295" t="s">
        <v>42</v>
      </c>
      <c r="F5295" t="s">
        <v>43</v>
      </c>
      <c r="G5295" t="s">
        <v>43</v>
      </c>
      <c r="H5295" t="s">
        <v>43</v>
      </c>
      <c r="I5295" t="s">
        <v>43</v>
      </c>
      <c r="J5295" t="s">
        <v>43</v>
      </c>
      <c r="K5295" t="s">
        <v>43</v>
      </c>
      <c r="L5295" t="s">
        <v>43</v>
      </c>
      <c r="M5295" t="s">
        <v>43</v>
      </c>
      <c r="N5295" t="s">
        <v>45</v>
      </c>
      <c r="O5295" t="s">
        <v>43</v>
      </c>
      <c r="P5295" t="s">
        <v>43</v>
      </c>
      <c r="Q5295" t="s">
        <v>43</v>
      </c>
      <c r="R5295" t="s">
        <v>43</v>
      </c>
      <c r="S5295" t="s">
        <v>43</v>
      </c>
      <c r="T5295" t="s">
        <v>43</v>
      </c>
      <c r="U5295" t="s">
        <v>43</v>
      </c>
      <c r="V5295" t="s">
        <v>43</v>
      </c>
      <c r="W5295" t="s">
        <v>43</v>
      </c>
      <c r="X5295" t="s">
        <v>43</v>
      </c>
      <c r="Y5295" t="s">
        <v>43</v>
      </c>
      <c r="Z5295" t="s">
        <v>43</v>
      </c>
      <c r="AA5295" t="s">
        <v>43</v>
      </c>
      <c r="AB5295" t="s">
        <v>43</v>
      </c>
      <c r="AC5295" t="s">
        <v>43</v>
      </c>
      <c r="AD5295" t="s">
        <v>43</v>
      </c>
      <c r="AE5295" t="s">
        <v>43</v>
      </c>
      <c r="AF5295" t="s">
        <v>43</v>
      </c>
      <c r="AG5295" t="s">
        <v>43</v>
      </c>
      <c r="AH5295" t="s">
        <v>43</v>
      </c>
      <c r="AI5295" t="s">
        <v>43</v>
      </c>
      <c r="AJ5295" t="s">
        <v>43</v>
      </c>
      <c r="AK5295" t="s">
        <v>43</v>
      </c>
      <c r="AL5295" t="s">
        <v>43</v>
      </c>
      <c r="AM5295" t="s">
        <v>43</v>
      </c>
      <c r="AN5295" t="s">
        <v>43</v>
      </c>
    </row>
    <row r="5296" spans="1:40" x14ac:dyDescent="0.3">
      <c r="A5296" s="1">
        <v>46210.386342592596</v>
      </c>
      <c r="B5296" t="s">
        <v>40</v>
      </c>
      <c r="C5296" t="s">
        <v>41</v>
      </c>
      <c r="D5296" s="1">
        <v>46210.389398148145</v>
      </c>
      <c r="E5296" t="s">
        <v>42</v>
      </c>
      <c r="F5296" t="s">
        <v>43</v>
      </c>
      <c r="G5296" t="s">
        <v>43</v>
      </c>
      <c r="H5296" t="s">
        <v>43</v>
      </c>
      <c r="I5296" t="s">
        <v>2987</v>
      </c>
      <c r="J5296" t="s">
        <v>43</v>
      </c>
      <c r="K5296" t="s">
        <v>43</v>
      </c>
      <c r="L5296" t="s">
        <v>43</v>
      </c>
      <c r="M5296" t="s">
        <v>43</v>
      </c>
      <c r="N5296" t="s">
        <v>45</v>
      </c>
      <c r="O5296" t="s">
        <v>43</v>
      </c>
      <c r="P5296" t="s">
        <v>43</v>
      </c>
      <c r="Q5296" t="s">
        <v>43</v>
      </c>
      <c r="R5296" t="s">
        <v>43</v>
      </c>
      <c r="S5296" t="s">
        <v>43</v>
      </c>
      <c r="T5296" t="s">
        <v>43</v>
      </c>
      <c r="U5296" t="s">
        <v>43</v>
      </c>
      <c r="V5296" t="s">
        <v>43</v>
      </c>
      <c r="W5296" t="s">
        <v>43</v>
      </c>
      <c r="X5296" t="s">
        <v>43</v>
      </c>
      <c r="Y5296" t="s">
        <v>43</v>
      </c>
      <c r="Z5296" t="s">
        <v>43</v>
      </c>
      <c r="AA5296" t="s">
        <v>43</v>
      </c>
      <c r="AB5296" t="s">
        <v>43</v>
      </c>
      <c r="AC5296" t="s">
        <v>43</v>
      </c>
      <c r="AD5296" t="s">
        <v>43</v>
      </c>
      <c r="AE5296" t="s">
        <v>43</v>
      </c>
      <c r="AF5296" t="s">
        <v>43</v>
      </c>
      <c r="AG5296" t="s">
        <v>43</v>
      </c>
      <c r="AH5296" t="s">
        <v>43</v>
      </c>
      <c r="AI5296" t="s">
        <v>43</v>
      </c>
      <c r="AJ5296" t="s">
        <v>43</v>
      </c>
      <c r="AK5296" t="s">
        <v>43</v>
      </c>
      <c r="AL5296" t="s">
        <v>43</v>
      </c>
      <c r="AM5296" t="s">
        <v>43</v>
      </c>
      <c r="AN5296" t="str">
        <f>HYPERLINK("https://www.google.com/maps?q=10.83220482,79.84007263","Open Location")</f>
        <v>Open Location</v>
      </c>
    </row>
    <row r="5297" spans="1:40" x14ac:dyDescent="0.3">
      <c r="A5297" s="1">
        <v>46210.38622685185</v>
      </c>
      <c r="B5297" t="s">
        <v>40</v>
      </c>
      <c r="C5297" t="s">
        <v>41</v>
      </c>
      <c r="D5297" s="1">
        <v>46210.389074074075</v>
      </c>
      <c r="E5297" t="s">
        <v>42</v>
      </c>
      <c r="F5297" t="s">
        <v>43</v>
      </c>
      <c r="G5297" t="s">
        <v>43</v>
      </c>
      <c r="H5297" t="s">
        <v>43</v>
      </c>
      <c r="I5297" t="s">
        <v>2988</v>
      </c>
      <c r="J5297" t="s">
        <v>43</v>
      </c>
      <c r="K5297" t="s">
        <v>43</v>
      </c>
      <c r="L5297" t="s">
        <v>43</v>
      </c>
      <c r="M5297" t="s">
        <v>43</v>
      </c>
      <c r="N5297" t="s">
        <v>45</v>
      </c>
      <c r="O5297" t="s">
        <v>43</v>
      </c>
      <c r="P5297" t="s">
        <v>43</v>
      </c>
      <c r="Q5297" t="s">
        <v>43</v>
      </c>
      <c r="R5297" t="s">
        <v>43</v>
      </c>
      <c r="S5297" t="s">
        <v>43</v>
      </c>
      <c r="T5297" t="s">
        <v>43</v>
      </c>
      <c r="U5297" t="s">
        <v>43</v>
      </c>
      <c r="V5297" t="s">
        <v>43</v>
      </c>
      <c r="W5297" t="s">
        <v>43</v>
      </c>
      <c r="X5297" t="s">
        <v>43</v>
      </c>
      <c r="Y5297" t="s">
        <v>43</v>
      </c>
      <c r="Z5297" t="s">
        <v>43</v>
      </c>
      <c r="AA5297" t="s">
        <v>43</v>
      </c>
      <c r="AB5297" t="s">
        <v>43</v>
      </c>
      <c r="AC5297" t="s">
        <v>43</v>
      </c>
      <c r="AD5297" t="s">
        <v>43</v>
      </c>
      <c r="AE5297" t="s">
        <v>43</v>
      </c>
      <c r="AF5297" t="s">
        <v>43</v>
      </c>
      <c r="AG5297" t="s">
        <v>43</v>
      </c>
      <c r="AH5297" t="s">
        <v>43</v>
      </c>
      <c r="AI5297" t="s">
        <v>43</v>
      </c>
      <c r="AJ5297" t="s">
        <v>43</v>
      </c>
      <c r="AK5297" t="s">
        <v>43</v>
      </c>
      <c r="AL5297" t="s">
        <v>43</v>
      </c>
      <c r="AM5297" t="s">
        <v>43</v>
      </c>
      <c r="AN5297" t="str">
        <f>HYPERLINK("https://www.google.com/maps?q=10.83220196,79.84007263","Open Location")</f>
        <v>Open Location</v>
      </c>
    </row>
    <row r="5298" spans="1:40" x14ac:dyDescent="0.3">
      <c r="A5298" s="1">
        <v>46210.386111111111</v>
      </c>
      <c r="B5298" t="s">
        <v>40</v>
      </c>
      <c r="C5298" t="s">
        <v>41</v>
      </c>
      <c r="D5298" s="1">
        <v>46210.389363425929</v>
      </c>
      <c r="E5298" t="s">
        <v>42</v>
      </c>
      <c r="F5298" t="s">
        <v>43</v>
      </c>
      <c r="G5298" t="s">
        <v>43</v>
      </c>
      <c r="H5298" t="s">
        <v>43</v>
      </c>
      <c r="I5298" t="s">
        <v>2987</v>
      </c>
      <c r="J5298" t="s">
        <v>43</v>
      </c>
      <c r="K5298" t="s">
        <v>43</v>
      </c>
      <c r="L5298" t="s">
        <v>43</v>
      </c>
      <c r="M5298" t="s">
        <v>43</v>
      </c>
      <c r="N5298" t="s">
        <v>45</v>
      </c>
      <c r="O5298" t="s">
        <v>43</v>
      </c>
      <c r="P5298" t="s">
        <v>43</v>
      </c>
      <c r="Q5298" t="s">
        <v>43</v>
      </c>
      <c r="R5298" t="s">
        <v>43</v>
      </c>
      <c r="S5298" t="s">
        <v>43</v>
      </c>
      <c r="T5298" t="s">
        <v>43</v>
      </c>
      <c r="U5298" t="s">
        <v>43</v>
      </c>
      <c r="V5298" t="s">
        <v>43</v>
      </c>
      <c r="W5298" t="s">
        <v>43</v>
      </c>
      <c r="X5298" t="s">
        <v>43</v>
      </c>
      <c r="Y5298" t="s">
        <v>43</v>
      </c>
      <c r="Z5298" t="s">
        <v>43</v>
      </c>
      <c r="AA5298" t="s">
        <v>43</v>
      </c>
      <c r="AB5298" t="s">
        <v>43</v>
      </c>
      <c r="AC5298" t="s">
        <v>43</v>
      </c>
      <c r="AD5298" t="s">
        <v>43</v>
      </c>
      <c r="AE5298" t="s">
        <v>43</v>
      </c>
      <c r="AF5298" t="s">
        <v>43</v>
      </c>
      <c r="AG5298" t="s">
        <v>43</v>
      </c>
      <c r="AH5298" t="s">
        <v>43</v>
      </c>
      <c r="AI5298" t="s">
        <v>43</v>
      </c>
      <c r="AJ5298" t="s">
        <v>43</v>
      </c>
      <c r="AK5298" t="s">
        <v>43</v>
      </c>
      <c r="AL5298" t="s">
        <v>43</v>
      </c>
      <c r="AM5298" t="s">
        <v>43</v>
      </c>
      <c r="AN5298" t="str">
        <f>HYPERLINK("https://www.google.com/maps?q=10.83220482,79.84007263","Open Location")</f>
        <v>Open Location</v>
      </c>
    </row>
    <row r="5299" spans="1:40" x14ac:dyDescent="0.3">
      <c r="A5299" s="1">
        <v>46210.385995370372</v>
      </c>
      <c r="B5299" t="s">
        <v>40</v>
      </c>
      <c r="C5299" t="s">
        <v>41</v>
      </c>
      <c r="D5299" s="1">
        <v>46210.388819444444</v>
      </c>
      <c r="E5299" t="s">
        <v>42</v>
      </c>
      <c r="F5299" t="s">
        <v>43</v>
      </c>
      <c r="G5299" t="s">
        <v>43</v>
      </c>
      <c r="H5299" t="s">
        <v>43</v>
      </c>
      <c r="I5299" t="s">
        <v>2989</v>
      </c>
      <c r="J5299" t="s">
        <v>43</v>
      </c>
      <c r="K5299" t="s">
        <v>43</v>
      </c>
      <c r="L5299" t="s">
        <v>43</v>
      </c>
      <c r="M5299" t="s">
        <v>43</v>
      </c>
      <c r="N5299" t="s">
        <v>45</v>
      </c>
      <c r="O5299" t="s">
        <v>43</v>
      </c>
      <c r="P5299" t="s">
        <v>43</v>
      </c>
      <c r="Q5299" t="s">
        <v>43</v>
      </c>
      <c r="R5299" t="s">
        <v>43</v>
      </c>
      <c r="S5299" t="s">
        <v>43</v>
      </c>
      <c r="T5299" t="s">
        <v>43</v>
      </c>
      <c r="U5299" t="s">
        <v>43</v>
      </c>
      <c r="V5299" t="s">
        <v>43</v>
      </c>
      <c r="W5299" t="s">
        <v>43</v>
      </c>
      <c r="X5299" t="s">
        <v>43</v>
      </c>
      <c r="Y5299" t="s">
        <v>43</v>
      </c>
      <c r="Z5299" t="s">
        <v>43</v>
      </c>
      <c r="AA5299" t="s">
        <v>43</v>
      </c>
      <c r="AB5299" t="s">
        <v>43</v>
      </c>
      <c r="AC5299" t="s">
        <v>43</v>
      </c>
      <c r="AD5299" t="s">
        <v>43</v>
      </c>
      <c r="AE5299" t="s">
        <v>43</v>
      </c>
      <c r="AF5299" t="s">
        <v>43</v>
      </c>
      <c r="AG5299" t="s">
        <v>43</v>
      </c>
      <c r="AH5299" t="s">
        <v>43</v>
      </c>
      <c r="AI5299" t="s">
        <v>43</v>
      </c>
      <c r="AJ5299" t="s">
        <v>43</v>
      </c>
      <c r="AK5299" t="s">
        <v>43</v>
      </c>
      <c r="AL5299" t="s">
        <v>43</v>
      </c>
      <c r="AM5299" t="s">
        <v>43</v>
      </c>
      <c r="AN5299" t="str">
        <f>HYPERLINK("https://www.google.com/maps?q=10.83220577,79.84007263","Open Location")</f>
        <v>Open Location</v>
      </c>
    </row>
    <row r="5300" spans="1:40" x14ac:dyDescent="0.3">
      <c r="A5300" s="1">
        <v>46210.385879629626</v>
      </c>
      <c r="B5300" t="s">
        <v>40</v>
      </c>
      <c r="C5300" t="s">
        <v>41</v>
      </c>
      <c r="D5300" s="1">
        <v>46210.388888888891</v>
      </c>
      <c r="E5300" t="s">
        <v>42</v>
      </c>
      <c r="F5300" t="s">
        <v>43</v>
      </c>
      <c r="G5300" t="s">
        <v>43</v>
      </c>
      <c r="H5300" t="s">
        <v>43</v>
      </c>
      <c r="I5300" t="s">
        <v>2990</v>
      </c>
      <c r="J5300" t="s">
        <v>43</v>
      </c>
      <c r="K5300" t="s">
        <v>43</v>
      </c>
      <c r="L5300" t="s">
        <v>43</v>
      </c>
      <c r="M5300" t="s">
        <v>43</v>
      </c>
      <c r="N5300" t="s">
        <v>45</v>
      </c>
      <c r="O5300" t="s">
        <v>43</v>
      </c>
      <c r="P5300" t="s">
        <v>43</v>
      </c>
      <c r="Q5300" t="s">
        <v>43</v>
      </c>
      <c r="R5300" t="s">
        <v>43</v>
      </c>
      <c r="S5300" t="s">
        <v>43</v>
      </c>
      <c r="T5300" t="s">
        <v>43</v>
      </c>
      <c r="U5300" t="s">
        <v>43</v>
      </c>
      <c r="V5300" t="s">
        <v>43</v>
      </c>
      <c r="W5300" t="s">
        <v>43</v>
      </c>
      <c r="X5300" t="s">
        <v>43</v>
      </c>
      <c r="Y5300" t="s">
        <v>43</v>
      </c>
      <c r="Z5300" t="s">
        <v>43</v>
      </c>
      <c r="AA5300" t="s">
        <v>43</v>
      </c>
      <c r="AB5300" t="s">
        <v>43</v>
      </c>
      <c r="AC5300" t="s">
        <v>43</v>
      </c>
      <c r="AD5300" t="s">
        <v>43</v>
      </c>
      <c r="AE5300" t="s">
        <v>43</v>
      </c>
      <c r="AF5300" t="s">
        <v>43</v>
      </c>
      <c r="AG5300" t="s">
        <v>43</v>
      </c>
      <c r="AH5300" t="s">
        <v>43</v>
      </c>
      <c r="AI5300" t="s">
        <v>43</v>
      </c>
      <c r="AJ5300" t="s">
        <v>43</v>
      </c>
      <c r="AK5300" t="s">
        <v>43</v>
      </c>
      <c r="AL5300" t="s">
        <v>43</v>
      </c>
      <c r="AM5300" t="s">
        <v>43</v>
      </c>
      <c r="AN5300" t="str">
        <f>HYPERLINK("https://www.google.com/maps?q=10.83220863,79.84007263","Open Location")</f>
        <v>Open Location</v>
      </c>
    </row>
    <row r="5301" spans="1:40" x14ac:dyDescent="0.3">
      <c r="A5301" s="1">
        <v>46210.385763888888</v>
      </c>
      <c r="B5301" t="s">
        <v>40</v>
      </c>
      <c r="C5301" t="s">
        <v>41</v>
      </c>
      <c r="D5301" s="1">
        <v>46210.38858796296</v>
      </c>
      <c r="E5301" t="s">
        <v>42</v>
      </c>
      <c r="F5301" t="s">
        <v>43</v>
      </c>
      <c r="G5301" t="s">
        <v>43</v>
      </c>
      <c r="H5301" t="s">
        <v>43</v>
      </c>
      <c r="I5301" t="s">
        <v>43</v>
      </c>
      <c r="J5301" t="s">
        <v>43</v>
      </c>
      <c r="K5301" t="s">
        <v>43</v>
      </c>
      <c r="L5301" t="s">
        <v>43</v>
      </c>
      <c r="M5301" t="s">
        <v>43</v>
      </c>
      <c r="N5301" t="s">
        <v>45</v>
      </c>
      <c r="O5301" t="s">
        <v>43</v>
      </c>
      <c r="P5301" t="s">
        <v>43</v>
      </c>
      <c r="Q5301" t="s">
        <v>43</v>
      </c>
      <c r="R5301" t="s">
        <v>43</v>
      </c>
      <c r="S5301" t="s">
        <v>43</v>
      </c>
      <c r="T5301" t="s">
        <v>43</v>
      </c>
      <c r="U5301" t="s">
        <v>43</v>
      </c>
      <c r="V5301" t="s">
        <v>43</v>
      </c>
      <c r="W5301" t="s">
        <v>43</v>
      </c>
      <c r="X5301" t="s">
        <v>43</v>
      </c>
      <c r="Y5301" t="s">
        <v>43</v>
      </c>
      <c r="Z5301" t="s">
        <v>43</v>
      </c>
      <c r="AA5301" t="s">
        <v>43</v>
      </c>
      <c r="AB5301" t="s">
        <v>43</v>
      </c>
      <c r="AC5301" t="s">
        <v>43</v>
      </c>
      <c r="AD5301" t="s">
        <v>43</v>
      </c>
      <c r="AE5301" t="s">
        <v>43</v>
      </c>
      <c r="AF5301" t="s">
        <v>43</v>
      </c>
      <c r="AG5301" t="s">
        <v>43</v>
      </c>
      <c r="AH5301" t="s">
        <v>43</v>
      </c>
      <c r="AI5301" t="s">
        <v>43</v>
      </c>
      <c r="AJ5301" t="s">
        <v>43</v>
      </c>
      <c r="AK5301" t="s">
        <v>43</v>
      </c>
      <c r="AL5301" t="s">
        <v>43</v>
      </c>
      <c r="AM5301" t="s">
        <v>43</v>
      </c>
      <c r="AN5301" t="s">
        <v>43</v>
      </c>
    </row>
    <row r="5302" spans="1:40" x14ac:dyDescent="0.3">
      <c r="A5302" s="1">
        <v>46210.385648148149</v>
      </c>
      <c r="B5302" t="s">
        <v>40</v>
      </c>
      <c r="C5302" t="s">
        <v>41</v>
      </c>
      <c r="D5302" s="1">
        <v>46210.38863425926</v>
      </c>
      <c r="E5302" t="s">
        <v>42</v>
      </c>
      <c r="F5302" t="s">
        <v>43</v>
      </c>
      <c r="G5302" t="s">
        <v>43</v>
      </c>
      <c r="H5302" t="s">
        <v>43</v>
      </c>
      <c r="I5302" t="s">
        <v>2991</v>
      </c>
      <c r="J5302" t="s">
        <v>43</v>
      </c>
      <c r="K5302" t="s">
        <v>43</v>
      </c>
      <c r="L5302" t="s">
        <v>43</v>
      </c>
      <c r="M5302" t="s">
        <v>43</v>
      </c>
      <c r="N5302" t="s">
        <v>45</v>
      </c>
      <c r="O5302" t="s">
        <v>43</v>
      </c>
      <c r="P5302" t="s">
        <v>43</v>
      </c>
      <c r="Q5302" t="s">
        <v>43</v>
      </c>
      <c r="R5302" t="s">
        <v>43</v>
      </c>
      <c r="S5302" t="s">
        <v>43</v>
      </c>
      <c r="T5302" t="s">
        <v>43</v>
      </c>
      <c r="U5302" t="s">
        <v>43</v>
      </c>
      <c r="V5302" t="s">
        <v>43</v>
      </c>
      <c r="W5302" t="s">
        <v>43</v>
      </c>
      <c r="X5302" t="s">
        <v>43</v>
      </c>
      <c r="Y5302" t="s">
        <v>43</v>
      </c>
      <c r="Z5302" t="s">
        <v>43</v>
      </c>
      <c r="AA5302" t="s">
        <v>43</v>
      </c>
      <c r="AB5302" t="s">
        <v>43</v>
      </c>
      <c r="AC5302" t="s">
        <v>43</v>
      </c>
      <c r="AD5302" t="s">
        <v>43</v>
      </c>
      <c r="AE5302" t="s">
        <v>43</v>
      </c>
      <c r="AF5302" t="s">
        <v>43</v>
      </c>
      <c r="AG5302" t="s">
        <v>43</v>
      </c>
      <c r="AH5302" t="s">
        <v>43</v>
      </c>
      <c r="AI5302" t="s">
        <v>43</v>
      </c>
      <c r="AJ5302" t="s">
        <v>43</v>
      </c>
      <c r="AK5302" t="s">
        <v>43</v>
      </c>
      <c r="AL5302" t="s">
        <v>43</v>
      </c>
      <c r="AM5302" t="s">
        <v>43</v>
      </c>
      <c r="AN5302" t="str">
        <f>HYPERLINK("https://www.google.com/maps?q=10.83221054,79.84007263","Open Location")</f>
        <v>Open Location</v>
      </c>
    </row>
    <row r="5303" spans="1:40" x14ac:dyDescent="0.3">
      <c r="A5303" s="1">
        <v>46210.38553240741</v>
      </c>
      <c r="B5303" t="s">
        <v>40</v>
      </c>
      <c r="C5303" t="s">
        <v>41</v>
      </c>
      <c r="D5303" s="1">
        <v>46210.388460648152</v>
      </c>
      <c r="E5303" t="s">
        <v>42</v>
      </c>
      <c r="F5303" t="s">
        <v>43</v>
      </c>
      <c r="G5303" t="s">
        <v>43</v>
      </c>
      <c r="H5303" t="s">
        <v>43</v>
      </c>
      <c r="I5303" t="s">
        <v>2992</v>
      </c>
      <c r="J5303" t="s">
        <v>43</v>
      </c>
      <c r="K5303" t="s">
        <v>43</v>
      </c>
      <c r="L5303" t="s">
        <v>43</v>
      </c>
      <c r="M5303" t="s">
        <v>43</v>
      </c>
      <c r="N5303" t="s">
        <v>45</v>
      </c>
      <c r="O5303" t="s">
        <v>43</v>
      </c>
      <c r="P5303" t="s">
        <v>43</v>
      </c>
      <c r="Q5303" t="s">
        <v>43</v>
      </c>
      <c r="R5303" t="s">
        <v>43</v>
      </c>
      <c r="S5303" t="s">
        <v>43</v>
      </c>
      <c r="T5303" t="s">
        <v>43</v>
      </c>
      <c r="U5303" t="s">
        <v>43</v>
      </c>
      <c r="V5303" t="s">
        <v>43</v>
      </c>
      <c r="W5303" t="s">
        <v>43</v>
      </c>
      <c r="X5303" t="s">
        <v>43</v>
      </c>
      <c r="Y5303" t="s">
        <v>43</v>
      </c>
      <c r="Z5303" t="s">
        <v>43</v>
      </c>
      <c r="AA5303" t="s">
        <v>43</v>
      </c>
      <c r="AB5303" t="s">
        <v>43</v>
      </c>
      <c r="AC5303" t="s">
        <v>43</v>
      </c>
      <c r="AD5303" t="s">
        <v>43</v>
      </c>
      <c r="AE5303" t="s">
        <v>43</v>
      </c>
      <c r="AF5303" t="s">
        <v>43</v>
      </c>
      <c r="AG5303" t="s">
        <v>43</v>
      </c>
      <c r="AH5303" t="s">
        <v>43</v>
      </c>
      <c r="AI5303" t="s">
        <v>43</v>
      </c>
      <c r="AJ5303" t="s">
        <v>43</v>
      </c>
      <c r="AK5303" t="s">
        <v>43</v>
      </c>
      <c r="AL5303" t="s">
        <v>43</v>
      </c>
      <c r="AM5303" t="s">
        <v>43</v>
      </c>
      <c r="AN5303" t="str">
        <f>HYPERLINK("https://www.google.com/maps?q=10.83221245,79.84007263","Open Location")</f>
        <v>Open Location</v>
      </c>
    </row>
    <row r="5304" spans="1:40" x14ac:dyDescent="0.3">
      <c r="A5304" s="1">
        <v>46210.385416666664</v>
      </c>
      <c r="B5304" t="s">
        <v>40</v>
      </c>
      <c r="C5304" t="s">
        <v>41</v>
      </c>
      <c r="D5304" s="1">
        <v>46210.388402777775</v>
      </c>
      <c r="E5304" t="s">
        <v>42</v>
      </c>
      <c r="F5304" t="s">
        <v>43</v>
      </c>
      <c r="G5304" t="s">
        <v>43</v>
      </c>
      <c r="H5304" t="s">
        <v>43</v>
      </c>
      <c r="I5304" t="s">
        <v>2993</v>
      </c>
      <c r="J5304" t="s">
        <v>43</v>
      </c>
      <c r="K5304" t="s">
        <v>43</v>
      </c>
      <c r="L5304" t="s">
        <v>43</v>
      </c>
      <c r="M5304" t="s">
        <v>43</v>
      </c>
      <c r="N5304" t="s">
        <v>45</v>
      </c>
      <c r="O5304" t="s">
        <v>43</v>
      </c>
      <c r="P5304" t="s">
        <v>43</v>
      </c>
      <c r="Q5304" t="s">
        <v>43</v>
      </c>
      <c r="R5304" t="s">
        <v>43</v>
      </c>
      <c r="S5304" t="s">
        <v>43</v>
      </c>
      <c r="T5304" t="s">
        <v>43</v>
      </c>
      <c r="U5304" t="s">
        <v>43</v>
      </c>
      <c r="V5304" t="s">
        <v>43</v>
      </c>
      <c r="W5304" t="s">
        <v>43</v>
      </c>
      <c r="X5304" t="s">
        <v>43</v>
      </c>
      <c r="Y5304" t="s">
        <v>43</v>
      </c>
      <c r="Z5304" t="s">
        <v>43</v>
      </c>
      <c r="AA5304" t="s">
        <v>43</v>
      </c>
      <c r="AB5304" t="s">
        <v>43</v>
      </c>
      <c r="AC5304" t="s">
        <v>43</v>
      </c>
      <c r="AD5304" t="s">
        <v>43</v>
      </c>
      <c r="AE5304" t="s">
        <v>43</v>
      </c>
      <c r="AF5304" t="s">
        <v>43</v>
      </c>
      <c r="AG5304" t="s">
        <v>43</v>
      </c>
      <c r="AH5304" t="s">
        <v>43</v>
      </c>
      <c r="AI5304" t="s">
        <v>43</v>
      </c>
      <c r="AJ5304" t="s">
        <v>43</v>
      </c>
      <c r="AK5304" t="s">
        <v>43</v>
      </c>
      <c r="AL5304" t="s">
        <v>43</v>
      </c>
      <c r="AM5304" t="s">
        <v>43</v>
      </c>
      <c r="AN5304" t="str">
        <f>HYPERLINK("https://www.google.com/maps?q=10.8322134,79.84007263","Open Location")</f>
        <v>Open Location</v>
      </c>
    </row>
    <row r="5305" spans="1:40" x14ac:dyDescent="0.3">
      <c r="A5305" s="1">
        <v>46210.385300925926</v>
      </c>
      <c r="B5305" t="s">
        <v>40</v>
      </c>
      <c r="C5305" t="s">
        <v>41</v>
      </c>
      <c r="D5305" s="1">
        <v>46210.388206018521</v>
      </c>
      <c r="E5305" t="s">
        <v>42</v>
      </c>
      <c r="F5305" t="s">
        <v>43</v>
      </c>
      <c r="G5305" t="s">
        <v>43</v>
      </c>
      <c r="H5305" t="s">
        <v>43</v>
      </c>
      <c r="I5305" t="s">
        <v>2993</v>
      </c>
      <c r="J5305" t="s">
        <v>43</v>
      </c>
      <c r="K5305" t="s">
        <v>43</v>
      </c>
      <c r="L5305" t="s">
        <v>43</v>
      </c>
      <c r="M5305" t="s">
        <v>43</v>
      </c>
      <c r="N5305" t="s">
        <v>45</v>
      </c>
      <c r="O5305" t="s">
        <v>43</v>
      </c>
      <c r="P5305" t="s">
        <v>43</v>
      </c>
      <c r="Q5305" t="s">
        <v>43</v>
      </c>
      <c r="R5305" t="s">
        <v>43</v>
      </c>
      <c r="S5305" t="s">
        <v>43</v>
      </c>
      <c r="T5305" t="s">
        <v>43</v>
      </c>
      <c r="U5305" t="s">
        <v>43</v>
      </c>
      <c r="V5305" t="s">
        <v>43</v>
      </c>
      <c r="W5305" t="s">
        <v>43</v>
      </c>
      <c r="X5305" t="s">
        <v>43</v>
      </c>
      <c r="Y5305" t="s">
        <v>43</v>
      </c>
      <c r="Z5305" t="s">
        <v>43</v>
      </c>
      <c r="AA5305" t="s">
        <v>43</v>
      </c>
      <c r="AB5305" t="s">
        <v>43</v>
      </c>
      <c r="AC5305" t="s">
        <v>43</v>
      </c>
      <c r="AD5305" t="s">
        <v>43</v>
      </c>
      <c r="AE5305" t="s">
        <v>43</v>
      </c>
      <c r="AF5305" t="s">
        <v>43</v>
      </c>
      <c r="AG5305" t="s">
        <v>43</v>
      </c>
      <c r="AH5305" t="s">
        <v>43</v>
      </c>
      <c r="AI5305" t="s">
        <v>43</v>
      </c>
      <c r="AJ5305" t="s">
        <v>43</v>
      </c>
      <c r="AK5305" t="s">
        <v>43</v>
      </c>
      <c r="AL5305" t="s">
        <v>43</v>
      </c>
      <c r="AM5305" t="s">
        <v>43</v>
      </c>
      <c r="AN5305" t="str">
        <f>HYPERLINK("https://www.google.com/maps?q=10.8322134,79.84007263","Open Location")</f>
        <v>Open Location</v>
      </c>
    </row>
    <row r="5306" spans="1:40" x14ac:dyDescent="0.3">
      <c r="A5306" s="1">
        <v>46210.385185185187</v>
      </c>
      <c r="B5306" t="s">
        <v>40</v>
      </c>
      <c r="C5306" t="s">
        <v>41</v>
      </c>
      <c r="D5306" s="1">
        <v>46210.388206018521</v>
      </c>
      <c r="E5306" t="s">
        <v>42</v>
      </c>
      <c r="F5306" t="s">
        <v>43</v>
      </c>
      <c r="G5306" t="s">
        <v>43</v>
      </c>
      <c r="H5306" t="s">
        <v>43</v>
      </c>
      <c r="I5306" t="s">
        <v>43</v>
      </c>
      <c r="J5306" t="s">
        <v>43</v>
      </c>
      <c r="K5306" t="s">
        <v>43</v>
      </c>
      <c r="L5306" t="s">
        <v>43</v>
      </c>
      <c r="M5306" t="s">
        <v>43</v>
      </c>
      <c r="N5306" t="s">
        <v>45</v>
      </c>
      <c r="O5306" t="s">
        <v>43</v>
      </c>
      <c r="P5306" t="s">
        <v>43</v>
      </c>
      <c r="Q5306" t="s">
        <v>43</v>
      </c>
      <c r="R5306" t="s">
        <v>43</v>
      </c>
      <c r="S5306" t="s">
        <v>43</v>
      </c>
      <c r="T5306" t="s">
        <v>43</v>
      </c>
      <c r="U5306" t="s">
        <v>43</v>
      </c>
      <c r="V5306" t="s">
        <v>43</v>
      </c>
      <c r="W5306" t="s">
        <v>43</v>
      </c>
      <c r="X5306" t="s">
        <v>43</v>
      </c>
      <c r="Y5306" t="s">
        <v>43</v>
      </c>
      <c r="Z5306" t="s">
        <v>43</v>
      </c>
      <c r="AA5306" t="s">
        <v>43</v>
      </c>
      <c r="AB5306" t="s">
        <v>43</v>
      </c>
      <c r="AC5306" t="s">
        <v>43</v>
      </c>
      <c r="AD5306" t="s">
        <v>43</v>
      </c>
      <c r="AE5306" t="s">
        <v>43</v>
      </c>
      <c r="AF5306" t="s">
        <v>43</v>
      </c>
      <c r="AG5306" t="s">
        <v>43</v>
      </c>
      <c r="AH5306" t="s">
        <v>43</v>
      </c>
      <c r="AI5306" t="s">
        <v>43</v>
      </c>
      <c r="AJ5306" t="s">
        <v>43</v>
      </c>
      <c r="AK5306" t="s">
        <v>43</v>
      </c>
      <c r="AL5306" t="s">
        <v>43</v>
      </c>
      <c r="AM5306" t="s">
        <v>43</v>
      </c>
      <c r="AN5306" t="s">
        <v>43</v>
      </c>
    </row>
    <row r="5307" spans="1:40" x14ac:dyDescent="0.3">
      <c r="A5307" s="1">
        <v>46210.385069444441</v>
      </c>
      <c r="B5307" t="s">
        <v>40</v>
      </c>
      <c r="C5307" t="s">
        <v>41</v>
      </c>
      <c r="D5307" s="1">
        <v>46210.387777777774</v>
      </c>
      <c r="E5307" t="s">
        <v>42</v>
      </c>
      <c r="F5307" t="s">
        <v>43</v>
      </c>
      <c r="G5307" t="s">
        <v>43</v>
      </c>
      <c r="H5307" t="s">
        <v>43</v>
      </c>
      <c r="I5307" t="s">
        <v>2994</v>
      </c>
      <c r="J5307" t="s">
        <v>43</v>
      </c>
      <c r="K5307" t="s">
        <v>43</v>
      </c>
      <c r="L5307" t="s">
        <v>43</v>
      </c>
      <c r="M5307" t="s">
        <v>43</v>
      </c>
      <c r="N5307" t="s">
        <v>45</v>
      </c>
      <c r="O5307" t="s">
        <v>43</v>
      </c>
      <c r="P5307" t="s">
        <v>43</v>
      </c>
      <c r="Q5307" t="s">
        <v>43</v>
      </c>
      <c r="R5307" t="s">
        <v>43</v>
      </c>
      <c r="S5307" t="s">
        <v>43</v>
      </c>
      <c r="T5307" t="s">
        <v>43</v>
      </c>
      <c r="U5307" t="s">
        <v>43</v>
      </c>
      <c r="V5307" t="s">
        <v>43</v>
      </c>
      <c r="W5307" t="s">
        <v>43</v>
      </c>
      <c r="X5307" t="s">
        <v>43</v>
      </c>
      <c r="Y5307" t="s">
        <v>43</v>
      </c>
      <c r="Z5307" t="s">
        <v>43</v>
      </c>
      <c r="AA5307" t="s">
        <v>43</v>
      </c>
      <c r="AB5307" t="s">
        <v>43</v>
      </c>
      <c r="AC5307" t="s">
        <v>43</v>
      </c>
      <c r="AD5307" t="s">
        <v>43</v>
      </c>
      <c r="AE5307" t="s">
        <v>43</v>
      </c>
      <c r="AF5307" t="s">
        <v>43</v>
      </c>
      <c r="AG5307" t="s">
        <v>43</v>
      </c>
      <c r="AH5307" t="s">
        <v>43</v>
      </c>
      <c r="AI5307" t="s">
        <v>43</v>
      </c>
      <c r="AJ5307" t="s">
        <v>43</v>
      </c>
      <c r="AK5307" t="s">
        <v>43</v>
      </c>
      <c r="AL5307" t="s">
        <v>43</v>
      </c>
      <c r="AM5307" t="s">
        <v>43</v>
      </c>
      <c r="AN5307" t="str">
        <f>HYPERLINK("https://www.google.com/maps?q=10.83220959,79.84008026","Open Location")</f>
        <v>Open Location</v>
      </c>
    </row>
    <row r="5308" spans="1:40" x14ac:dyDescent="0.3">
      <c r="A5308" s="1">
        <v>46210.384953703702</v>
      </c>
      <c r="B5308" t="s">
        <v>40</v>
      </c>
      <c r="C5308" t="s">
        <v>41</v>
      </c>
      <c r="D5308" s="1">
        <v>46210.387743055559</v>
      </c>
      <c r="E5308" t="s">
        <v>42</v>
      </c>
      <c r="F5308" t="s">
        <v>43</v>
      </c>
      <c r="G5308" t="s">
        <v>43</v>
      </c>
      <c r="H5308" t="s">
        <v>43</v>
      </c>
      <c r="I5308" t="s">
        <v>2995</v>
      </c>
      <c r="J5308" t="s">
        <v>43</v>
      </c>
      <c r="K5308" t="s">
        <v>43</v>
      </c>
      <c r="L5308" t="s">
        <v>43</v>
      </c>
      <c r="M5308" t="s">
        <v>43</v>
      </c>
      <c r="N5308" t="s">
        <v>45</v>
      </c>
      <c r="O5308" t="s">
        <v>43</v>
      </c>
      <c r="P5308" t="s">
        <v>43</v>
      </c>
      <c r="Q5308" t="s">
        <v>43</v>
      </c>
      <c r="R5308" t="s">
        <v>43</v>
      </c>
      <c r="S5308" t="s">
        <v>43</v>
      </c>
      <c r="T5308" t="s">
        <v>43</v>
      </c>
      <c r="U5308" t="s">
        <v>43</v>
      </c>
      <c r="V5308" t="s">
        <v>43</v>
      </c>
      <c r="W5308" t="s">
        <v>43</v>
      </c>
      <c r="X5308" t="s">
        <v>43</v>
      </c>
      <c r="Y5308" t="s">
        <v>43</v>
      </c>
      <c r="Z5308" t="s">
        <v>43</v>
      </c>
      <c r="AA5308" t="s">
        <v>43</v>
      </c>
      <c r="AB5308" t="s">
        <v>43</v>
      </c>
      <c r="AC5308" t="s">
        <v>43</v>
      </c>
      <c r="AD5308" t="s">
        <v>43</v>
      </c>
      <c r="AE5308" t="s">
        <v>43</v>
      </c>
      <c r="AF5308" t="s">
        <v>43</v>
      </c>
      <c r="AG5308" t="s">
        <v>43</v>
      </c>
      <c r="AH5308" t="s">
        <v>43</v>
      </c>
      <c r="AI5308" t="s">
        <v>43</v>
      </c>
      <c r="AJ5308" t="s">
        <v>43</v>
      </c>
      <c r="AK5308" t="s">
        <v>43</v>
      </c>
      <c r="AL5308" t="s">
        <v>43</v>
      </c>
      <c r="AM5308" t="s">
        <v>43</v>
      </c>
      <c r="AN5308" t="str">
        <f>HYPERLINK("https://www.google.com/maps?q=10.83220768,79.84008026","Open Location")</f>
        <v>Open Location</v>
      </c>
    </row>
    <row r="5309" spans="1:40" x14ac:dyDescent="0.3">
      <c r="A5309" s="1">
        <v>46210.384837962964</v>
      </c>
      <c r="B5309" t="s">
        <v>40</v>
      </c>
      <c r="C5309" t="s">
        <v>41</v>
      </c>
      <c r="D5309" s="1">
        <v>46210.387789351851</v>
      </c>
      <c r="E5309" t="s">
        <v>42</v>
      </c>
      <c r="F5309" t="s">
        <v>43</v>
      </c>
      <c r="G5309" t="s">
        <v>43</v>
      </c>
      <c r="H5309" t="s">
        <v>43</v>
      </c>
      <c r="I5309" t="s">
        <v>2996</v>
      </c>
      <c r="J5309" t="s">
        <v>43</v>
      </c>
      <c r="K5309" t="s">
        <v>43</v>
      </c>
      <c r="L5309" t="s">
        <v>43</v>
      </c>
      <c r="M5309" t="s">
        <v>43</v>
      </c>
      <c r="N5309" t="s">
        <v>45</v>
      </c>
      <c r="O5309" t="s">
        <v>43</v>
      </c>
      <c r="P5309" t="s">
        <v>43</v>
      </c>
      <c r="Q5309" t="s">
        <v>43</v>
      </c>
      <c r="R5309" t="s">
        <v>43</v>
      </c>
      <c r="S5309" t="s">
        <v>43</v>
      </c>
      <c r="T5309" t="s">
        <v>43</v>
      </c>
      <c r="U5309" t="s">
        <v>43</v>
      </c>
      <c r="V5309" t="s">
        <v>43</v>
      </c>
      <c r="W5309" t="s">
        <v>43</v>
      </c>
      <c r="X5309" t="s">
        <v>43</v>
      </c>
      <c r="Y5309" t="s">
        <v>43</v>
      </c>
      <c r="Z5309" t="s">
        <v>43</v>
      </c>
      <c r="AA5309" t="s">
        <v>43</v>
      </c>
      <c r="AB5309" t="s">
        <v>43</v>
      </c>
      <c r="AC5309" t="s">
        <v>43</v>
      </c>
      <c r="AD5309" t="s">
        <v>43</v>
      </c>
      <c r="AE5309" t="s">
        <v>43</v>
      </c>
      <c r="AF5309" t="s">
        <v>43</v>
      </c>
      <c r="AG5309" t="s">
        <v>43</v>
      </c>
      <c r="AH5309" t="s">
        <v>43</v>
      </c>
      <c r="AI5309" t="s">
        <v>43</v>
      </c>
      <c r="AJ5309" t="s">
        <v>43</v>
      </c>
      <c r="AK5309" t="s">
        <v>43</v>
      </c>
      <c r="AL5309" t="s">
        <v>43</v>
      </c>
      <c r="AM5309" t="s">
        <v>43</v>
      </c>
      <c r="AN5309" t="str">
        <f>HYPERLINK("https://www.google.com/maps?q=10.83220482,79.84008789","Open Location")</f>
        <v>Open Location</v>
      </c>
    </row>
    <row r="5310" spans="1:40" x14ac:dyDescent="0.3">
      <c r="A5310" s="1">
        <v>46210.384722222225</v>
      </c>
      <c r="B5310" t="s">
        <v>40</v>
      </c>
      <c r="C5310" t="s">
        <v>41</v>
      </c>
      <c r="D5310" s="1">
        <v>46210.387812499997</v>
      </c>
      <c r="E5310" t="s">
        <v>42</v>
      </c>
      <c r="F5310" t="s">
        <v>43</v>
      </c>
      <c r="G5310" t="s">
        <v>43</v>
      </c>
      <c r="H5310" t="s">
        <v>43</v>
      </c>
      <c r="I5310" t="s">
        <v>2997</v>
      </c>
      <c r="J5310" t="s">
        <v>43</v>
      </c>
      <c r="K5310" t="s">
        <v>43</v>
      </c>
      <c r="L5310" t="s">
        <v>43</v>
      </c>
      <c r="M5310" t="s">
        <v>43</v>
      </c>
      <c r="N5310" t="s">
        <v>45</v>
      </c>
      <c r="O5310" t="s">
        <v>43</v>
      </c>
      <c r="P5310" t="s">
        <v>43</v>
      </c>
      <c r="Q5310" t="s">
        <v>43</v>
      </c>
      <c r="R5310" t="s">
        <v>43</v>
      </c>
      <c r="S5310" t="s">
        <v>43</v>
      </c>
      <c r="T5310" t="s">
        <v>43</v>
      </c>
      <c r="U5310" t="s">
        <v>43</v>
      </c>
      <c r="V5310" t="s">
        <v>43</v>
      </c>
      <c r="W5310" t="s">
        <v>43</v>
      </c>
      <c r="X5310" t="s">
        <v>43</v>
      </c>
      <c r="Y5310" t="s">
        <v>43</v>
      </c>
      <c r="Z5310" t="s">
        <v>43</v>
      </c>
      <c r="AA5310" t="s">
        <v>43</v>
      </c>
      <c r="AB5310" t="s">
        <v>43</v>
      </c>
      <c r="AC5310" t="s">
        <v>43</v>
      </c>
      <c r="AD5310" t="s">
        <v>43</v>
      </c>
      <c r="AE5310" t="s">
        <v>43</v>
      </c>
      <c r="AF5310" t="s">
        <v>43</v>
      </c>
      <c r="AG5310" t="s">
        <v>43</v>
      </c>
      <c r="AH5310" t="s">
        <v>43</v>
      </c>
      <c r="AI5310" t="s">
        <v>43</v>
      </c>
      <c r="AJ5310" t="s">
        <v>43</v>
      </c>
      <c r="AK5310" t="s">
        <v>43</v>
      </c>
      <c r="AL5310" t="s">
        <v>43</v>
      </c>
      <c r="AM5310" t="s">
        <v>43</v>
      </c>
      <c r="AN5310" t="str">
        <f>HYPERLINK("https://www.google.com/maps?q=10.83220196,79.84009552","Open Location")</f>
        <v>Open Location</v>
      </c>
    </row>
    <row r="5311" spans="1:40" x14ac:dyDescent="0.3">
      <c r="A5311" s="1">
        <v>46210.384606481479</v>
      </c>
      <c r="B5311" t="s">
        <v>40</v>
      </c>
      <c r="C5311" t="s">
        <v>41</v>
      </c>
      <c r="D5311" s="1">
        <v>46210.387326388889</v>
      </c>
      <c r="E5311" t="s">
        <v>42</v>
      </c>
      <c r="F5311" t="s">
        <v>43</v>
      </c>
      <c r="G5311" t="s">
        <v>43</v>
      </c>
      <c r="H5311" t="s">
        <v>43</v>
      </c>
      <c r="I5311" t="s">
        <v>2998</v>
      </c>
      <c r="J5311" t="s">
        <v>43</v>
      </c>
      <c r="K5311" t="s">
        <v>43</v>
      </c>
      <c r="L5311" t="s">
        <v>43</v>
      </c>
      <c r="M5311" t="s">
        <v>43</v>
      </c>
      <c r="N5311" t="s">
        <v>45</v>
      </c>
      <c r="O5311" t="s">
        <v>43</v>
      </c>
      <c r="P5311" t="s">
        <v>43</v>
      </c>
      <c r="Q5311" t="s">
        <v>43</v>
      </c>
      <c r="R5311" t="s">
        <v>43</v>
      </c>
      <c r="S5311" t="s">
        <v>43</v>
      </c>
      <c r="T5311" t="s">
        <v>43</v>
      </c>
      <c r="U5311" t="s">
        <v>43</v>
      </c>
      <c r="V5311" t="s">
        <v>43</v>
      </c>
      <c r="W5311" t="s">
        <v>43</v>
      </c>
      <c r="X5311" t="s">
        <v>43</v>
      </c>
      <c r="Y5311" t="s">
        <v>43</v>
      </c>
      <c r="Z5311" t="s">
        <v>43</v>
      </c>
      <c r="AA5311" t="s">
        <v>43</v>
      </c>
      <c r="AB5311" t="s">
        <v>43</v>
      </c>
      <c r="AC5311" t="s">
        <v>43</v>
      </c>
      <c r="AD5311" t="s">
        <v>43</v>
      </c>
      <c r="AE5311" t="s">
        <v>43</v>
      </c>
      <c r="AF5311" t="s">
        <v>43</v>
      </c>
      <c r="AG5311" t="s">
        <v>43</v>
      </c>
      <c r="AH5311" t="s">
        <v>43</v>
      </c>
      <c r="AI5311" t="s">
        <v>43</v>
      </c>
      <c r="AJ5311" t="s">
        <v>43</v>
      </c>
      <c r="AK5311" t="s">
        <v>43</v>
      </c>
      <c r="AL5311" t="s">
        <v>43</v>
      </c>
      <c r="AM5311" t="s">
        <v>43</v>
      </c>
      <c r="AN5311" t="str">
        <f>HYPERLINK("https://www.google.com/maps?q=10.83219814,79.84009552","Open Location")</f>
        <v>Open Location</v>
      </c>
    </row>
    <row r="5312" spans="1:40" x14ac:dyDescent="0.3">
      <c r="A5312" s="1">
        <v>46210.38449074074</v>
      </c>
      <c r="B5312" t="s">
        <v>40</v>
      </c>
      <c r="C5312" t="s">
        <v>41</v>
      </c>
      <c r="D5312" s="1">
        <v>46210.387384259258</v>
      </c>
      <c r="E5312" t="s">
        <v>42</v>
      </c>
      <c r="F5312" t="s">
        <v>43</v>
      </c>
      <c r="G5312" t="s">
        <v>43</v>
      </c>
      <c r="H5312" t="s">
        <v>43</v>
      </c>
      <c r="I5312" t="s">
        <v>43</v>
      </c>
      <c r="J5312" t="s">
        <v>43</v>
      </c>
      <c r="K5312" t="s">
        <v>43</v>
      </c>
      <c r="L5312" t="s">
        <v>43</v>
      </c>
      <c r="M5312" t="s">
        <v>43</v>
      </c>
      <c r="N5312" t="s">
        <v>45</v>
      </c>
      <c r="O5312" t="s">
        <v>43</v>
      </c>
      <c r="P5312" t="s">
        <v>43</v>
      </c>
      <c r="Q5312" t="s">
        <v>43</v>
      </c>
      <c r="R5312" t="s">
        <v>43</v>
      </c>
      <c r="S5312" t="s">
        <v>43</v>
      </c>
      <c r="T5312" t="s">
        <v>43</v>
      </c>
      <c r="U5312" t="s">
        <v>43</v>
      </c>
      <c r="V5312" t="s">
        <v>43</v>
      </c>
      <c r="W5312" t="s">
        <v>43</v>
      </c>
      <c r="X5312" t="s">
        <v>43</v>
      </c>
      <c r="Y5312" t="s">
        <v>43</v>
      </c>
      <c r="Z5312" t="s">
        <v>43</v>
      </c>
      <c r="AA5312" t="s">
        <v>43</v>
      </c>
      <c r="AB5312" t="s">
        <v>43</v>
      </c>
      <c r="AC5312" t="s">
        <v>43</v>
      </c>
      <c r="AD5312" t="s">
        <v>43</v>
      </c>
      <c r="AE5312" t="s">
        <v>43</v>
      </c>
      <c r="AF5312" t="s">
        <v>43</v>
      </c>
      <c r="AG5312" t="s">
        <v>43</v>
      </c>
      <c r="AH5312" t="s">
        <v>43</v>
      </c>
      <c r="AI5312" t="s">
        <v>43</v>
      </c>
      <c r="AJ5312" t="s">
        <v>43</v>
      </c>
      <c r="AK5312" t="s">
        <v>43</v>
      </c>
      <c r="AL5312" t="s">
        <v>43</v>
      </c>
      <c r="AM5312" t="s">
        <v>43</v>
      </c>
      <c r="AN5312" t="s">
        <v>43</v>
      </c>
    </row>
    <row r="5313" spans="1:40" x14ac:dyDescent="0.3">
      <c r="A5313" s="1">
        <v>46210.384375000001</v>
      </c>
      <c r="B5313" t="s">
        <v>40</v>
      </c>
      <c r="C5313" t="s">
        <v>41</v>
      </c>
      <c r="D5313" s="1">
        <v>46210.387361111112</v>
      </c>
      <c r="E5313" t="s">
        <v>42</v>
      </c>
      <c r="F5313" t="s">
        <v>43</v>
      </c>
      <c r="G5313" t="s">
        <v>43</v>
      </c>
      <c r="H5313" t="s">
        <v>43</v>
      </c>
      <c r="I5313" t="s">
        <v>2998</v>
      </c>
      <c r="J5313" t="s">
        <v>43</v>
      </c>
      <c r="K5313" t="s">
        <v>43</v>
      </c>
      <c r="L5313" t="s">
        <v>43</v>
      </c>
      <c r="M5313" t="s">
        <v>43</v>
      </c>
      <c r="N5313" t="s">
        <v>45</v>
      </c>
      <c r="O5313" t="s">
        <v>43</v>
      </c>
      <c r="P5313" t="s">
        <v>43</v>
      </c>
      <c r="Q5313" t="s">
        <v>43</v>
      </c>
      <c r="R5313" t="s">
        <v>43</v>
      </c>
      <c r="S5313" t="s">
        <v>43</v>
      </c>
      <c r="T5313" t="s">
        <v>43</v>
      </c>
      <c r="U5313" t="s">
        <v>43</v>
      </c>
      <c r="V5313" t="s">
        <v>43</v>
      </c>
      <c r="W5313" t="s">
        <v>43</v>
      </c>
      <c r="X5313" t="s">
        <v>43</v>
      </c>
      <c r="Y5313" t="s">
        <v>43</v>
      </c>
      <c r="Z5313" t="s">
        <v>43</v>
      </c>
      <c r="AA5313" t="s">
        <v>43</v>
      </c>
      <c r="AB5313" t="s">
        <v>43</v>
      </c>
      <c r="AC5313" t="s">
        <v>43</v>
      </c>
      <c r="AD5313" t="s">
        <v>43</v>
      </c>
      <c r="AE5313" t="s">
        <v>43</v>
      </c>
      <c r="AF5313" t="s">
        <v>43</v>
      </c>
      <c r="AG5313" t="s">
        <v>43</v>
      </c>
      <c r="AH5313" t="s">
        <v>43</v>
      </c>
      <c r="AI5313" t="s">
        <v>43</v>
      </c>
      <c r="AJ5313" t="s">
        <v>43</v>
      </c>
      <c r="AK5313" t="s">
        <v>43</v>
      </c>
      <c r="AL5313" t="s">
        <v>43</v>
      </c>
      <c r="AM5313" t="s">
        <v>43</v>
      </c>
      <c r="AN5313" t="str">
        <f>HYPERLINK("https://www.google.com/maps?q=10.83219814,79.84009552","Open Location")</f>
        <v>Open Location</v>
      </c>
    </row>
    <row r="5314" spans="1:40" x14ac:dyDescent="0.3">
      <c r="A5314" s="1">
        <v>46210.384259259263</v>
      </c>
      <c r="B5314" t="s">
        <v>40</v>
      </c>
      <c r="C5314" t="s">
        <v>41</v>
      </c>
      <c r="D5314" s="1">
        <v>46210.387326388889</v>
      </c>
      <c r="E5314" t="s">
        <v>42</v>
      </c>
      <c r="F5314" t="s">
        <v>43</v>
      </c>
      <c r="G5314" t="s">
        <v>43</v>
      </c>
      <c r="H5314" t="s">
        <v>43</v>
      </c>
      <c r="I5314" t="s">
        <v>2999</v>
      </c>
      <c r="J5314" t="s">
        <v>43</v>
      </c>
      <c r="K5314" t="s">
        <v>43</v>
      </c>
      <c r="L5314" t="s">
        <v>43</v>
      </c>
      <c r="M5314" t="s">
        <v>43</v>
      </c>
      <c r="N5314" t="s">
        <v>45</v>
      </c>
      <c r="O5314" t="s">
        <v>43</v>
      </c>
      <c r="P5314" t="s">
        <v>43</v>
      </c>
      <c r="Q5314" t="s">
        <v>43</v>
      </c>
      <c r="R5314" t="s">
        <v>43</v>
      </c>
      <c r="S5314" t="s">
        <v>43</v>
      </c>
      <c r="T5314" t="s">
        <v>43</v>
      </c>
      <c r="U5314" t="s">
        <v>43</v>
      </c>
      <c r="V5314" t="s">
        <v>43</v>
      </c>
      <c r="W5314" t="s">
        <v>43</v>
      </c>
      <c r="X5314" t="s">
        <v>43</v>
      </c>
      <c r="Y5314" t="s">
        <v>43</v>
      </c>
      <c r="Z5314" t="s">
        <v>43</v>
      </c>
      <c r="AA5314" t="s">
        <v>43</v>
      </c>
      <c r="AB5314" t="s">
        <v>43</v>
      </c>
      <c r="AC5314" t="s">
        <v>43</v>
      </c>
      <c r="AD5314" t="s">
        <v>43</v>
      </c>
      <c r="AE5314" t="s">
        <v>43</v>
      </c>
      <c r="AF5314" t="s">
        <v>43</v>
      </c>
      <c r="AG5314" t="s">
        <v>43</v>
      </c>
      <c r="AH5314" t="s">
        <v>43</v>
      </c>
      <c r="AI5314" t="s">
        <v>43</v>
      </c>
      <c r="AJ5314" t="s">
        <v>43</v>
      </c>
      <c r="AK5314" t="s">
        <v>43</v>
      </c>
      <c r="AL5314" t="s">
        <v>43</v>
      </c>
      <c r="AM5314" t="s">
        <v>43</v>
      </c>
      <c r="AN5314" t="str">
        <f>HYPERLINK("https://www.google.com/maps?q=10.83219433,79.84009552","Open Location")</f>
        <v>Open Location</v>
      </c>
    </row>
    <row r="5315" spans="1:40" x14ac:dyDescent="0.3">
      <c r="A5315" s="1">
        <v>46210.384143518517</v>
      </c>
      <c r="B5315" t="s">
        <v>40</v>
      </c>
      <c r="C5315" t="s">
        <v>41</v>
      </c>
      <c r="D5315" s="1">
        <v>46210.386840277781</v>
      </c>
      <c r="E5315" t="s">
        <v>42</v>
      </c>
      <c r="F5315" t="s">
        <v>43</v>
      </c>
      <c r="G5315" t="s">
        <v>43</v>
      </c>
      <c r="H5315" t="s">
        <v>43</v>
      </c>
      <c r="I5315" t="s">
        <v>3000</v>
      </c>
      <c r="J5315" t="s">
        <v>43</v>
      </c>
      <c r="K5315" t="s">
        <v>43</v>
      </c>
      <c r="L5315" t="s">
        <v>43</v>
      </c>
      <c r="M5315" t="s">
        <v>43</v>
      </c>
      <c r="N5315" t="s">
        <v>45</v>
      </c>
      <c r="O5315" t="s">
        <v>43</v>
      </c>
      <c r="P5315" t="s">
        <v>43</v>
      </c>
      <c r="Q5315" t="s">
        <v>43</v>
      </c>
      <c r="R5315" t="s">
        <v>43</v>
      </c>
      <c r="S5315" t="s">
        <v>43</v>
      </c>
      <c r="T5315" t="s">
        <v>43</v>
      </c>
      <c r="U5315" t="s">
        <v>43</v>
      </c>
      <c r="V5315" t="s">
        <v>43</v>
      </c>
      <c r="W5315" t="s">
        <v>43</v>
      </c>
      <c r="X5315" t="s">
        <v>43</v>
      </c>
      <c r="Y5315" t="s">
        <v>43</v>
      </c>
      <c r="Z5315" t="s">
        <v>43</v>
      </c>
      <c r="AA5315" t="s">
        <v>43</v>
      </c>
      <c r="AB5315" t="s">
        <v>43</v>
      </c>
      <c r="AC5315" t="s">
        <v>43</v>
      </c>
      <c r="AD5315" t="s">
        <v>43</v>
      </c>
      <c r="AE5315" t="s">
        <v>43</v>
      </c>
      <c r="AF5315" t="s">
        <v>43</v>
      </c>
      <c r="AG5315" t="s">
        <v>43</v>
      </c>
      <c r="AH5315" t="s">
        <v>43</v>
      </c>
      <c r="AI5315" t="s">
        <v>43</v>
      </c>
      <c r="AJ5315" t="s">
        <v>43</v>
      </c>
      <c r="AK5315" t="s">
        <v>43</v>
      </c>
      <c r="AL5315" t="s">
        <v>43</v>
      </c>
      <c r="AM5315" t="s">
        <v>43</v>
      </c>
      <c r="AN5315" t="str">
        <f>HYPERLINK("https://www.google.com/maps?q=10.83219242,79.84009552","Open Location")</f>
        <v>Open Location</v>
      </c>
    </row>
    <row r="5316" spans="1:40" x14ac:dyDescent="0.3">
      <c r="A5316" s="1">
        <v>46210.384027777778</v>
      </c>
      <c r="B5316" t="s">
        <v>40</v>
      </c>
      <c r="C5316" t="s">
        <v>41</v>
      </c>
      <c r="D5316" s="1">
        <v>46210.386793981481</v>
      </c>
      <c r="E5316" t="s">
        <v>42</v>
      </c>
      <c r="F5316" t="s">
        <v>43</v>
      </c>
      <c r="G5316" t="s">
        <v>43</v>
      </c>
      <c r="H5316" t="s">
        <v>43</v>
      </c>
      <c r="I5316" t="s">
        <v>3001</v>
      </c>
      <c r="J5316" t="s">
        <v>43</v>
      </c>
      <c r="K5316" t="s">
        <v>43</v>
      </c>
      <c r="L5316" t="s">
        <v>43</v>
      </c>
      <c r="M5316" t="s">
        <v>43</v>
      </c>
      <c r="N5316" t="s">
        <v>45</v>
      </c>
      <c r="O5316" t="s">
        <v>43</v>
      </c>
      <c r="P5316" t="s">
        <v>43</v>
      </c>
      <c r="Q5316" t="s">
        <v>43</v>
      </c>
      <c r="R5316" t="s">
        <v>43</v>
      </c>
      <c r="S5316" t="s">
        <v>43</v>
      </c>
      <c r="T5316" t="s">
        <v>43</v>
      </c>
      <c r="U5316" t="s">
        <v>43</v>
      </c>
      <c r="V5316" t="s">
        <v>43</v>
      </c>
      <c r="W5316" t="s">
        <v>43</v>
      </c>
      <c r="X5316" t="s">
        <v>43</v>
      </c>
      <c r="Y5316" t="s">
        <v>43</v>
      </c>
      <c r="Z5316" t="s">
        <v>43</v>
      </c>
      <c r="AA5316" t="s">
        <v>43</v>
      </c>
      <c r="AB5316" t="s">
        <v>43</v>
      </c>
      <c r="AC5316" t="s">
        <v>43</v>
      </c>
      <c r="AD5316" t="s">
        <v>43</v>
      </c>
      <c r="AE5316" t="s">
        <v>43</v>
      </c>
      <c r="AF5316" t="s">
        <v>43</v>
      </c>
      <c r="AG5316" t="s">
        <v>43</v>
      </c>
      <c r="AH5316" t="s">
        <v>43</v>
      </c>
      <c r="AI5316" t="s">
        <v>43</v>
      </c>
      <c r="AJ5316" t="s">
        <v>43</v>
      </c>
      <c r="AK5316" t="s">
        <v>43</v>
      </c>
      <c r="AL5316" t="s">
        <v>43</v>
      </c>
      <c r="AM5316" t="s">
        <v>43</v>
      </c>
      <c r="AN5316" t="str">
        <f>HYPERLINK("https://www.google.com/maps?q=10.83218861,79.84009552","Open Location")</f>
        <v>Open Location</v>
      </c>
    </row>
    <row r="5317" spans="1:40" x14ac:dyDescent="0.3">
      <c r="A5317" s="1">
        <v>46210.383912037039</v>
      </c>
      <c r="B5317" t="s">
        <v>40</v>
      </c>
      <c r="C5317" t="s">
        <v>41</v>
      </c>
      <c r="D5317" s="1">
        <v>46210.386944444443</v>
      </c>
      <c r="E5317" t="s">
        <v>42</v>
      </c>
      <c r="F5317" t="s">
        <v>43</v>
      </c>
      <c r="G5317" t="s">
        <v>43</v>
      </c>
      <c r="H5317" t="s">
        <v>43</v>
      </c>
      <c r="I5317" t="s">
        <v>3002</v>
      </c>
      <c r="J5317" t="s">
        <v>43</v>
      </c>
      <c r="K5317" t="s">
        <v>43</v>
      </c>
      <c r="L5317" t="s">
        <v>43</v>
      </c>
      <c r="M5317" t="s">
        <v>43</v>
      </c>
      <c r="N5317" t="s">
        <v>45</v>
      </c>
      <c r="O5317" t="s">
        <v>43</v>
      </c>
      <c r="P5317" t="s">
        <v>43</v>
      </c>
      <c r="Q5317" t="s">
        <v>43</v>
      </c>
      <c r="R5317" t="s">
        <v>43</v>
      </c>
      <c r="S5317" t="s">
        <v>43</v>
      </c>
      <c r="T5317" t="s">
        <v>43</v>
      </c>
      <c r="U5317" t="s">
        <v>43</v>
      </c>
      <c r="V5317" t="s">
        <v>43</v>
      </c>
      <c r="W5317" t="s">
        <v>43</v>
      </c>
      <c r="X5317" t="s">
        <v>43</v>
      </c>
      <c r="Y5317" t="s">
        <v>43</v>
      </c>
      <c r="Z5317" t="s">
        <v>43</v>
      </c>
      <c r="AA5317" t="s">
        <v>43</v>
      </c>
      <c r="AB5317" t="s">
        <v>43</v>
      </c>
      <c r="AC5317" t="s">
        <v>43</v>
      </c>
      <c r="AD5317" t="s">
        <v>43</v>
      </c>
      <c r="AE5317" t="s">
        <v>43</v>
      </c>
      <c r="AF5317" t="s">
        <v>43</v>
      </c>
      <c r="AG5317" t="s">
        <v>43</v>
      </c>
      <c r="AH5317" t="s">
        <v>43</v>
      </c>
      <c r="AI5317" t="s">
        <v>43</v>
      </c>
      <c r="AJ5317" t="s">
        <v>43</v>
      </c>
      <c r="AK5317" t="s">
        <v>43</v>
      </c>
      <c r="AL5317" t="s">
        <v>43</v>
      </c>
      <c r="AM5317" t="s">
        <v>43</v>
      </c>
      <c r="AN5317" t="str">
        <f>HYPERLINK("https://www.google.com/maps?q=10.83218575,79.84010315","Open Location")</f>
        <v>Open Location</v>
      </c>
    </row>
    <row r="5318" spans="1:40" x14ac:dyDescent="0.3">
      <c r="A5318" s="1">
        <v>46210.383796296293</v>
      </c>
      <c r="B5318" t="s">
        <v>40</v>
      </c>
      <c r="C5318" t="s">
        <v>41</v>
      </c>
      <c r="D5318" s="1">
        <v>46210.386643518519</v>
      </c>
      <c r="E5318" t="s">
        <v>42</v>
      </c>
      <c r="F5318" t="s">
        <v>43</v>
      </c>
      <c r="G5318" t="s">
        <v>43</v>
      </c>
      <c r="H5318" t="s">
        <v>43</v>
      </c>
      <c r="I5318" t="s">
        <v>43</v>
      </c>
      <c r="J5318" t="s">
        <v>43</v>
      </c>
      <c r="K5318" t="s">
        <v>43</v>
      </c>
      <c r="L5318" t="s">
        <v>43</v>
      </c>
      <c r="M5318" t="s">
        <v>43</v>
      </c>
      <c r="N5318" t="s">
        <v>45</v>
      </c>
      <c r="O5318" t="s">
        <v>43</v>
      </c>
      <c r="P5318" t="s">
        <v>43</v>
      </c>
      <c r="Q5318" t="s">
        <v>43</v>
      </c>
      <c r="R5318" t="s">
        <v>43</v>
      </c>
      <c r="S5318" t="s">
        <v>43</v>
      </c>
      <c r="T5318" t="s">
        <v>43</v>
      </c>
      <c r="U5318" t="s">
        <v>43</v>
      </c>
      <c r="V5318" t="s">
        <v>43</v>
      </c>
      <c r="W5318" t="s">
        <v>43</v>
      </c>
      <c r="X5318" t="s">
        <v>43</v>
      </c>
      <c r="Y5318" t="s">
        <v>43</v>
      </c>
      <c r="Z5318" t="s">
        <v>43</v>
      </c>
      <c r="AA5318" t="s">
        <v>43</v>
      </c>
      <c r="AB5318" t="s">
        <v>43</v>
      </c>
      <c r="AC5318" t="s">
        <v>43</v>
      </c>
      <c r="AD5318" t="s">
        <v>43</v>
      </c>
      <c r="AE5318" t="s">
        <v>43</v>
      </c>
      <c r="AF5318" t="s">
        <v>43</v>
      </c>
      <c r="AG5318" t="s">
        <v>43</v>
      </c>
      <c r="AH5318" t="s">
        <v>43</v>
      </c>
      <c r="AI5318" t="s">
        <v>43</v>
      </c>
      <c r="AJ5318" t="s">
        <v>43</v>
      </c>
      <c r="AK5318" t="s">
        <v>43</v>
      </c>
      <c r="AL5318" t="s">
        <v>43</v>
      </c>
      <c r="AM5318" t="s">
        <v>43</v>
      </c>
      <c r="AN5318" t="s">
        <v>43</v>
      </c>
    </row>
    <row r="5319" spans="1:40" x14ac:dyDescent="0.3">
      <c r="A5319" s="1">
        <v>46210.383680555555</v>
      </c>
      <c r="B5319" t="s">
        <v>40</v>
      </c>
      <c r="C5319" t="s">
        <v>41</v>
      </c>
      <c r="D5319" s="1">
        <v>46210.386504629627</v>
      </c>
      <c r="E5319" t="s">
        <v>42</v>
      </c>
      <c r="F5319" t="s">
        <v>43</v>
      </c>
      <c r="G5319" t="s">
        <v>43</v>
      </c>
      <c r="H5319" t="s">
        <v>43</v>
      </c>
      <c r="I5319" t="s">
        <v>3003</v>
      </c>
      <c r="J5319" t="s">
        <v>43</v>
      </c>
      <c r="K5319" t="s">
        <v>43</v>
      </c>
      <c r="L5319" t="s">
        <v>43</v>
      </c>
      <c r="M5319" t="s">
        <v>43</v>
      </c>
      <c r="N5319" t="s">
        <v>45</v>
      </c>
      <c r="O5319" t="s">
        <v>43</v>
      </c>
      <c r="P5319" t="s">
        <v>43</v>
      </c>
      <c r="Q5319" t="s">
        <v>43</v>
      </c>
      <c r="R5319" t="s">
        <v>43</v>
      </c>
      <c r="S5319" t="s">
        <v>43</v>
      </c>
      <c r="T5319" t="s">
        <v>43</v>
      </c>
      <c r="U5319" t="s">
        <v>43</v>
      </c>
      <c r="V5319" t="s">
        <v>43</v>
      </c>
      <c r="W5319" t="s">
        <v>43</v>
      </c>
      <c r="X5319" t="s">
        <v>43</v>
      </c>
      <c r="Y5319" t="s">
        <v>43</v>
      </c>
      <c r="Z5319" t="s">
        <v>43</v>
      </c>
      <c r="AA5319" t="s">
        <v>43</v>
      </c>
      <c r="AB5319" t="s">
        <v>43</v>
      </c>
      <c r="AC5319" t="s">
        <v>43</v>
      </c>
      <c r="AD5319" t="s">
        <v>43</v>
      </c>
      <c r="AE5319" t="s">
        <v>43</v>
      </c>
      <c r="AF5319" t="s">
        <v>43</v>
      </c>
      <c r="AG5319" t="s">
        <v>43</v>
      </c>
      <c r="AH5319" t="s">
        <v>43</v>
      </c>
      <c r="AI5319" t="s">
        <v>43</v>
      </c>
      <c r="AJ5319" t="s">
        <v>43</v>
      </c>
      <c r="AK5319" t="s">
        <v>43</v>
      </c>
      <c r="AL5319" t="s">
        <v>43</v>
      </c>
      <c r="AM5319" t="s">
        <v>43</v>
      </c>
      <c r="AN5319" t="str">
        <f>HYPERLINK("https://www.google.com/maps?q=10.83218479,79.84011078","Open Location")</f>
        <v>Open Location</v>
      </c>
    </row>
    <row r="5320" spans="1:40" x14ac:dyDescent="0.3">
      <c r="A5320" s="1">
        <v>46210.383564814816</v>
      </c>
      <c r="B5320" t="s">
        <v>40</v>
      </c>
      <c r="C5320" t="s">
        <v>41</v>
      </c>
      <c r="D5320" s="1">
        <v>46210.38658564815</v>
      </c>
      <c r="E5320" t="s">
        <v>42</v>
      </c>
      <c r="F5320" t="s">
        <v>43</v>
      </c>
      <c r="G5320" t="s">
        <v>43</v>
      </c>
      <c r="H5320" t="s">
        <v>43</v>
      </c>
      <c r="I5320" t="s">
        <v>3004</v>
      </c>
      <c r="J5320" t="s">
        <v>43</v>
      </c>
      <c r="K5320" t="s">
        <v>43</v>
      </c>
      <c r="L5320" t="s">
        <v>43</v>
      </c>
      <c r="M5320" t="s">
        <v>43</v>
      </c>
      <c r="N5320" t="s">
        <v>45</v>
      </c>
      <c r="O5320" t="s">
        <v>43</v>
      </c>
      <c r="P5320" t="s">
        <v>43</v>
      </c>
      <c r="Q5320" t="s">
        <v>43</v>
      </c>
      <c r="R5320" t="s">
        <v>43</v>
      </c>
      <c r="S5320" t="s">
        <v>43</v>
      </c>
      <c r="T5320" t="s">
        <v>43</v>
      </c>
      <c r="U5320" t="s">
        <v>43</v>
      </c>
      <c r="V5320" t="s">
        <v>43</v>
      </c>
      <c r="W5320" t="s">
        <v>43</v>
      </c>
      <c r="X5320" t="s">
        <v>43</v>
      </c>
      <c r="Y5320" t="s">
        <v>43</v>
      </c>
      <c r="Z5320" t="s">
        <v>43</v>
      </c>
      <c r="AA5320" t="s">
        <v>43</v>
      </c>
      <c r="AB5320" t="s">
        <v>43</v>
      </c>
      <c r="AC5320" t="s">
        <v>43</v>
      </c>
      <c r="AD5320" t="s">
        <v>43</v>
      </c>
      <c r="AE5320" t="s">
        <v>43</v>
      </c>
      <c r="AF5320" t="s">
        <v>43</v>
      </c>
      <c r="AG5320" t="s">
        <v>43</v>
      </c>
      <c r="AH5320" t="s">
        <v>43</v>
      </c>
      <c r="AI5320" t="s">
        <v>43</v>
      </c>
      <c r="AJ5320" t="s">
        <v>43</v>
      </c>
      <c r="AK5320" t="s">
        <v>43</v>
      </c>
      <c r="AL5320" t="s">
        <v>43</v>
      </c>
      <c r="AM5320" t="s">
        <v>43</v>
      </c>
      <c r="AN5320" t="str">
        <f>HYPERLINK("https://www.google.com/maps?q=10.83218288,79.84011078","Open Location")</f>
        <v>Open Location</v>
      </c>
    </row>
    <row r="5321" spans="1:40" x14ac:dyDescent="0.3">
      <c r="A5321" s="1">
        <v>46210.383449074077</v>
      </c>
      <c r="B5321" t="s">
        <v>40</v>
      </c>
      <c r="C5321" t="s">
        <v>41</v>
      </c>
      <c r="D5321" s="1">
        <v>46210.38658564815</v>
      </c>
      <c r="E5321" t="s">
        <v>42</v>
      </c>
      <c r="F5321" t="s">
        <v>43</v>
      </c>
      <c r="G5321" t="s">
        <v>43</v>
      </c>
      <c r="H5321" t="s">
        <v>43</v>
      </c>
      <c r="I5321" t="s">
        <v>3004</v>
      </c>
      <c r="J5321" t="s">
        <v>43</v>
      </c>
      <c r="K5321" t="s">
        <v>43</v>
      </c>
      <c r="L5321" t="s">
        <v>43</v>
      </c>
      <c r="M5321" t="s">
        <v>43</v>
      </c>
      <c r="N5321" t="s">
        <v>45</v>
      </c>
      <c r="O5321" t="s">
        <v>43</v>
      </c>
      <c r="P5321" t="s">
        <v>43</v>
      </c>
      <c r="Q5321" t="s">
        <v>43</v>
      </c>
      <c r="R5321" t="s">
        <v>43</v>
      </c>
      <c r="S5321" t="s">
        <v>43</v>
      </c>
      <c r="T5321" t="s">
        <v>43</v>
      </c>
      <c r="U5321" t="s">
        <v>43</v>
      </c>
      <c r="V5321" t="s">
        <v>43</v>
      </c>
      <c r="W5321" t="s">
        <v>43</v>
      </c>
      <c r="X5321" t="s">
        <v>43</v>
      </c>
      <c r="Y5321" t="s">
        <v>43</v>
      </c>
      <c r="Z5321" t="s">
        <v>43</v>
      </c>
      <c r="AA5321" t="s">
        <v>43</v>
      </c>
      <c r="AB5321" t="s">
        <v>43</v>
      </c>
      <c r="AC5321" t="s">
        <v>43</v>
      </c>
      <c r="AD5321" t="s">
        <v>43</v>
      </c>
      <c r="AE5321" t="s">
        <v>43</v>
      </c>
      <c r="AF5321" t="s">
        <v>43</v>
      </c>
      <c r="AG5321" t="s">
        <v>43</v>
      </c>
      <c r="AH5321" t="s">
        <v>43</v>
      </c>
      <c r="AI5321" t="s">
        <v>43</v>
      </c>
      <c r="AJ5321" t="s">
        <v>43</v>
      </c>
      <c r="AK5321" t="s">
        <v>43</v>
      </c>
      <c r="AL5321" t="s">
        <v>43</v>
      </c>
      <c r="AM5321" t="s">
        <v>43</v>
      </c>
      <c r="AN5321" t="str">
        <f>HYPERLINK("https://www.google.com/maps?q=10.83218288,79.84011078","Open Location")</f>
        <v>Open Location</v>
      </c>
    </row>
    <row r="5322" spans="1:40" x14ac:dyDescent="0.3">
      <c r="A5322" s="1">
        <v>46210.383333333331</v>
      </c>
      <c r="B5322" t="s">
        <v>40</v>
      </c>
      <c r="C5322" t="s">
        <v>41</v>
      </c>
      <c r="D5322" s="1">
        <v>46210.38658564815</v>
      </c>
      <c r="E5322" t="s">
        <v>42</v>
      </c>
      <c r="F5322" t="s">
        <v>43</v>
      </c>
      <c r="G5322" t="s">
        <v>43</v>
      </c>
      <c r="H5322" t="s">
        <v>43</v>
      </c>
      <c r="I5322" t="s">
        <v>3004</v>
      </c>
      <c r="J5322" t="s">
        <v>43</v>
      </c>
      <c r="K5322" t="s">
        <v>43</v>
      </c>
      <c r="L5322" t="s">
        <v>43</v>
      </c>
      <c r="M5322" t="s">
        <v>43</v>
      </c>
      <c r="N5322" t="s">
        <v>45</v>
      </c>
      <c r="O5322" t="s">
        <v>43</v>
      </c>
      <c r="P5322" t="s">
        <v>43</v>
      </c>
      <c r="Q5322" t="s">
        <v>43</v>
      </c>
      <c r="R5322" t="s">
        <v>43</v>
      </c>
      <c r="S5322" t="s">
        <v>43</v>
      </c>
      <c r="T5322" t="s">
        <v>43</v>
      </c>
      <c r="U5322" t="s">
        <v>43</v>
      </c>
      <c r="V5322" t="s">
        <v>43</v>
      </c>
      <c r="W5322" t="s">
        <v>43</v>
      </c>
      <c r="X5322" t="s">
        <v>43</v>
      </c>
      <c r="Y5322" t="s">
        <v>43</v>
      </c>
      <c r="Z5322" t="s">
        <v>43</v>
      </c>
      <c r="AA5322" t="s">
        <v>43</v>
      </c>
      <c r="AB5322" t="s">
        <v>43</v>
      </c>
      <c r="AC5322" t="s">
        <v>43</v>
      </c>
      <c r="AD5322" t="s">
        <v>43</v>
      </c>
      <c r="AE5322" t="s">
        <v>43</v>
      </c>
      <c r="AF5322" t="s">
        <v>43</v>
      </c>
      <c r="AG5322" t="s">
        <v>43</v>
      </c>
      <c r="AH5322" t="s">
        <v>43</v>
      </c>
      <c r="AI5322" t="s">
        <v>43</v>
      </c>
      <c r="AJ5322" t="s">
        <v>43</v>
      </c>
      <c r="AK5322" t="s">
        <v>43</v>
      </c>
      <c r="AL5322" t="s">
        <v>43</v>
      </c>
      <c r="AM5322" t="s">
        <v>43</v>
      </c>
      <c r="AN5322" t="str">
        <f>HYPERLINK("https://www.google.com/maps?q=10.83218288,79.84011078","Open Location")</f>
        <v>Open Location</v>
      </c>
    </row>
    <row r="5323" spans="1:40" x14ac:dyDescent="0.3">
      <c r="A5323" s="1">
        <v>46210.383217592593</v>
      </c>
      <c r="B5323" t="s">
        <v>40</v>
      </c>
      <c r="C5323" t="s">
        <v>41</v>
      </c>
      <c r="D5323" s="1">
        <v>46210.386087962965</v>
      </c>
      <c r="E5323" t="s">
        <v>42</v>
      </c>
      <c r="F5323" t="s">
        <v>43</v>
      </c>
      <c r="G5323" t="s">
        <v>43</v>
      </c>
      <c r="H5323" t="s">
        <v>43</v>
      </c>
      <c r="I5323" t="s">
        <v>43</v>
      </c>
      <c r="J5323" t="s">
        <v>43</v>
      </c>
      <c r="K5323" t="s">
        <v>43</v>
      </c>
      <c r="L5323" t="s">
        <v>43</v>
      </c>
      <c r="M5323" t="s">
        <v>43</v>
      </c>
      <c r="N5323" t="s">
        <v>45</v>
      </c>
      <c r="O5323" t="s">
        <v>43</v>
      </c>
      <c r="P5323" t="s">
        <v>43</v>
      </c>
      <c r="Q5323" t="s">
        <v>43</v>
      </c>
      <c r="R5323" t="s">
        <v>43</v>
      </c>
      <c r="S5323" t="s">
        <v>43</v>
      </c>
      <c r="T5323" t="s">
        <v>43</v>
      </c>
      <c r="U5323" t="s">
        <v>43</v>
      </c>
      <c r="V5323" t="s">
        <v>43</v>
      </c>
      <c r="W5323" t="s">
        <v>43</v>
      </c>
      <c r="X5323" t="s">
        <v>43</v>
      </c>
      <c r="Y5323" t="s">
        <v>43</v>
      </c>
      <c r="Z5323" t="s">
        <v>43</v>
      </c>
      <c r="AA5323" t="s">
        <v>43</v>
      </c>
      <c r="AB5323" t="s">
        <v>43</v>
      </c>
      <c r="AC5323" t="s">
        <v>43</v>
      </c>
      <c r="AD5323" t="s">
        <v>43</v>
      </c>
      <c r="AE5323" t="s">
        <v>43</v>
      </c>
      <c r="AF5323" t="s">
        <v>43</v>
      </c>
      <c r="AG5323" t="s">
        <v>43</v>
      </c>
      <c r="AH5323" t="s">
        <v>43</v>
      </c>
      <c r="AI5323" t="s">
        <v>43</v>
      </c>
      <c r="AJ5323" t="s">
        <v>43</v>
      </c>
      <c r="AK5323" t="s">
        <v>43</v>
      </c>
      <c r="AL5323" t="s">
        <v>43</v>
      </c>
      <c r="AM5323" t="s">
        <v>43</v>
      </c>
      <c r="AN5323" t="s">
        <v>43</v>
      </c>
    </row>
    <row r="5324" spans="1:40" x14ac:dyDescent="0.3">
      <c r="A5324" s="1">
        <v>46210.383101851854</v>
      </c>
      <c r="B5324" t="s">
        <v>40</v>
      </c>
      <c r="C5324" t="s">
        <v>41</v>
      </c>
      <c r="D5324" s="1">
        <v>46210.386145833334</v>
      </c>
      <c r="E5324" t="s">
        <v>42</v>
      </c>
      <c r="F5324" t="s">
        <v>43</v>
      </c>
      <c r="G5324" t="s">
        <v>43</v>
      </c>
      <c r="H5324" t="s">
        <v>43</v>
      </c>
      <c r="I5324" t="s">
        <v>3003</v>
      </c>
      <c r="J5324" t="s">
        <v>43</v>
      </c>
      <c r="K5324" t="s">
        <v>43</v>
      </c>
      <c r="L5324" t="s">
        <v>43</v>
      </c>
      <c r="M5324" t="s">
        <v>43</v>
      </c>
      <c r="N5324" t="s">
        <v>45</v>
      </c>
      <c r="O5324" t="s">
        <v>43</v>
      </c>
      <c r="P5324" t="s">
        <v>43</v>
      </c>
      <c r="Q5324" t="s">
        <v>43</v>
      </c>
      <c r="R5324" t="s">
        <v>43</v>
      </c>
      <c r="S5324" t="s">
        <v>43</v>
      </c>
      <c r="T5324" t="s">
        <v>43</v>
      </c>
      <c r="U5324" t="s">
        <v>43</v>
      </c>
      <c r="V5324" t="s">
        <v>43</v>
      </c>
      <c r="W5324" t="s">
        <v>43</v>
      </c>
      <c r="X5324" t="s">
        <v>43</v>
      </c>
      <c r="Y5324" t="s">
        <v>43</v>
      </c>
      <c r="Z5324" t="s">
        <v>43</v>
      </c>
      <c r="AA5324" t="s">
        <v>43</v>
      </c>
      <c r="AB5324" t="s">
        <v>43</v>
      </c>
      <c r="AC5324" t="s">
        <v>43</v>
      </c>
      <c r="AD5324" t="s">
        <v>43</v>
      </c>
      <c r="AE5324" t="s">
        <v>43</v>
      </c>
      <c r="AF5324" t="s">
        <v>43</v>
      </c>
      <c r="AG5324" t="s">
        <v>43</v>
      </c>
      <c r="AH5324" t="s">
        <v>43</v>
      </c>
      <c r="AI5324" t="s">
        <v>43</v>
      </c>
      <c r="AJ5324" t="s">
        <v>43</v>
      </c>
      <c r="AK5324" t="s">
        <v>43</v>
      </c>
      <c r="AL5324" t="s">
        <v>43</v>
      </c>
      <c r="AM5324" t="s">
        <v>43</v>
      </c>
      <c r="AN5324" t="str">
        <f>HYPERLINK("https://www.google.com/maps?q=10.83218479,79.84011078","Open Location")</f>
        <v>Open Location</v>
      </c>
    </row>
    <row r="5325" spans="1:40" x14ac:dyDescent="0.3">
      <c r="A5325" s="1">
        <v>46210.382986111108</v>
      </c>
      <c r="B5325" t="s">
        <v>40</v>
      </c>
      <c r="C5325" t="s">
        <v>41</v>
      </c>
      <c r="D5325" s="1">
        <v>46210.385740740741</v>
      </c>
      <c r="E5325" t="s">
        <v>42</v>
      </c>
      <c r="F5325" t="s">
        <v>43</v>
      </c>
      <c r="G5325" t="s">
        <v>43</v>
      </c>
      <c r="H5325" t="s">
        <v>43</v>
      </c>
      <c r="I5325" t="s">
        <v>3005</v>
      </c>
      <c r="J5325" t="s">
        <v>43</v>
      </c>
      <c r="K5325" t="s">
        <v>43</v>
      </c>
      <c r="L5325" t="s">
        <v>43</v>
      </c>
      <c r="M5325" t="s">
        <v>43</v>
      </c>
      <c r="N5325" t="s">
        <v>45</v>
      </c>
      <c r="O5325" t="s">
        <v>43</v>
      </c>
      <c r="P5325" t="s">
        <v>43</v>
      </c>
      <c r="Q5325" t="s">
        <v>43</v>
      </c>
      <c r="R5325" t="s">
        <v>43</v>
      </c>
      <c r="S5325" t="s">
        <v>43</v>
      </c>
      <c r="T5325" t="s">
        <v>43</v>
      </c>
      <c r="U5325" t="s">
        <v>43</v>
      </c>
      <c r="V5325" t="s">
        <v>43</v>
      </c>
      <c r="W5325" t="s">
        <v>43</v>
      </c>
      <c r="X5325" t="s">
        <v>43</v>
      </c>
      <c r="Y5325" t="s">
        <v>43</v>
      </c>
      <c r="Z5325" t="s">
        <v>43</v>
      </c>
      <c r="AA5325" t="s">
        <v>43</v>
      </c>
      <c r="AB5325" t="s">
        <v>43</v>
      </c>
      <c r="AC5325" t="s">
        <v>43</v>
      </c>
      <c r="AD5325" t="s">
        <v>43</v>
      </c>
      <c r="AE5325" t="s">
        <v>43</v>
      </c>
      <c r="AF5325" t="s">
        <v>43</v>
      </c>
      <c r="AG5325" t="s">
        <v>43</v>
      </c>
      <c r="AH5325" t="s">
        <v>43</v>
      </c>
      <c r="AI5325" t="s">
        <v>43</v>
      </c>
      <c r="AJ5325" t="s">
        <v>43</v>
      </c>
      <c r="AK5325" t="s">
        <v>43</v>
      </c>
      <c r="AL5325" t="s">
        <v>43</v>
      </c>
      <c r="AM5325" t="s">
        <v>43</v>
      </c>
      <c r="AN5325" t="str">
        <f>HYPERLINK("https://www.google.com/maps?q=10.83219624,79.84009552","Open Location")</f>
        <v>Open Location</v>
      </c>
    </row>
    <row r="5326" spans="1:40" x14ac:dyDescent="0.3">
      <c r="A5326" s="1">
        <v>46210.382870370369</v>
      </c>
      <c r="B5326" t="s">
        <v>40</v>
      </c>
      <c r="C5326" t="s">
        <v>41</v>
      </c>
      <c r="D5326" s="1">
        <v>46210.386099537034</v>
      </c>
      <c r="E5326" t="s">
        <v>42</v>
      </c>
      <c r="F5326" t="s">
        <v>43</v>
      </c>
      <c r="G5326" t="s">
        <v>43</v>
      </c>
      <c r="H5326" t="s">
        <v>43</v>
      </c>
      <c r="I5326" t="s">
        <v>3006</v>
      </c>
      <c r="J5326" t="s">
        <v>43</v>
      </c>
      <c r="K5326" t="s">
        <v>43</v>
      </c>
      <c r="L5326" t="s">
        <v>43</v>
      </c>
      <c r="M5326" t="s">
        <v>43</v>
      </c>
      <c r="N5326" t="s">
        <v>45</v>
      </c>
      <c r="O5326" t="s">
        <v>43</v>
      </c>
      <c r="P5326" t="s">
        <v>43</v>
      </c>
      <c r="Q5326" t="s">
        <v>43</v>
      </c>
      <c r="R5326" t="s">
        <v>43</v>
      </c>
      <c r="S5326" t="s">
        <v>43</v>
      </c>
      <c r="T5326" t="s">
        <v>43</v>
      </c>
      <c r="U5326" t="s">
        <v>43</v>
      </c>
      <c r="V5326" t="s">
        <v>43</v>
      </c>
      <c r="W5326" t="s">
        <v>43</v>
      </c>
      <c r="X5326" t="s">
        <v>43</v>
      </c>
      <c r="Y5326" t="s">
        <v>43</v>
      </c>
      <c r="Z5326" t="s">
        <v>43</v>
      </c>
      <c r="AA5326" t="s">
        <v>43</v>
      </c>
      <c r="AB5326" t="s">
        <v>43</v>
      </c>
      <c r="AC5326" t="s">
        <v>43</v>
      </c>
      <c r="AD5326" t="s">
        <v>43</v>
      </c>
      <c r="AE5326" t="s">
        <v>43</v>
      </c>
      <c r="AF5326" t="s">
        <v>43</v>
      </c>
      <c r="AG5326" t="s">
        <v>43</v>
      </c>
      <c r="AH5326" t="s">
        <v>43</v>
      </c>
      <c r="AI5326" t="s">
        <v>43</v>
      </c>
      <c r="AJ5326" t="s">
        <v>43</v>
      </c>
      <c r="AK5326" t="s">
        <v>43</v>
      </c>
      <c r="AL5326" t="s">
        <v>43</v>
      </c>
      <c r="AM5326" t="s">
        <v>43</v>
      </c>
      <c r="AN5326" t="str">
        <f>HYPERLINK("https://www.google.com/maps?q=10.83219719,79.84009552","Open Location")</f>
        <v>Open Location</v>
      </c>
    </row>
    <row r="5327" spans="1:40" x14ac:dyDescent="0.3">
      <c r="A5327" s="1">
        <v>46210.382754629631</v>
      </c>
      <c r="B5327" t="s">
        <v>40</v>
      </c>
      <c r="C5327" t="s">
        <v>41</v>
      </c>
      <c r="D5327" s="1">
        <v>46210.385763888888</v>
      </c>
      <c r="E5327" t="s">
        <v>42</v>
      </c>
      <c r="F5327" t="s">
        <v>43</v>
      </c>
      <c r="G5327" t="s">
        <v>43</v>
      </c>
      <c r="H5327" t="s">
        <v>43</v>
      </c>
      <c r="I5327" t="s">
        <v>43</v>
      </c>
      <c r="J5327" t="s">
        <v>43</v>
      </c>
      <c r="K5327" t="s">
        <v>43</v>
      </c>
      <c r="L5327" t="s">
        <v>43</v>
      </c>
      <c r="M5327" t="s">
        <v>43</v>
      </c>
      <c r="N5327" t="s">
        <v>45</v>
      </c>
      <c r="O5327" t="s">
        <v>43</v>
      </c>
      <c r="P5327" t="s">
        <v>43</v>
      </c>
      <c r="Q5327" t="s">
        <v>43</v>
      </c>
      <c r="R5327" t="s">
        <v>43</v>
      </c>
      <c r="S5327" t="s">
        <v>43</v>
      </c>
      <c r="T5327" t="s">
        <v>43</v>
      </c>
      <c r="U5327" t="s">
        <v>43</v>
      </c>
      <c r="V5327" t="s">
        <v>43</v>
      </c>
      <c r="W5327" t="s">
        <v>43</v>
      </c>
      <c r="X5327" t="s">
        <v>43</v>
      </c>
      <c r="Y5327" t="s">
        <v>43</v>
      </c>
      <c r="Z5327" t="s">
        <v>43</v>
      </c>
      <c r="AA5327" t="s">
        <v>43</v>
      </c>
      <c r="AB5327" t="s">
        <v>43</v>
      </c>
      <c r="AC5327" t="s">
        <v>43</v>
      </c>
      <c r="AD5327" t="s">
        <v>43</v>
      </c>
      <c r="AE5327" t="s">
        <v>43</v>
      </c>
      <c r="AF5327" t="s">
        <v>43</v>
      </c>
      <c r="AG5327" t="s">
        <v>43</v>
      </c>
      <c r="AH5327" t="s">
        <v>43</v>
      </c>
      <c r="AI5327" t="s">
        <v>43</v>
      </c>
      <c r="AJ5327" t="s">
        <v>43</v>
      </c>
      <c r="AK5327" t="s">
        <v>43</v>
      </c>
      <c r="AL5327" t="s">
        <v>43</v>
      </c>
      <c r="AM5327" t="s">
        <v>43</v>
      </c>
      <c r="AN5327" t="s">
        <v>43</v>
      </c>
    </row>
    <row r="5328" spans="1:40" x14ac:dyDescent="0.3">
      <c r="A5328" s="1">
        <v>46210.382638888892</v>
      </c>
      <c r="B5328" t="s">
        <v>40</v>
      </c>
      <c r="C5328" t="s">
        <v>41</v>
      </c>
      <c r="D5328" s="1">
        <v>46210.385752314818</v>
      </c>
      <c r="E5328" t="s">
        <v>42</v>
      </c>
      <c r="F5328" t="s">
        <v>43</v>
      </c>
      <c r="G5328" t="s">
        <v>43</v>
      </c>
      <c r="H5328" t="s">
        <v>43</v>
      </c>
      <c r="I5328" t="s">
        <v>3007</v>
      </c>
      <c r="J5328" t="s">
        <v>43</v>
      </c>
      <c r="K5328" t="s">
        <v>43</v>
      </c>
      <c r="L5328" t="s">
        <v>43</v>
      </c>
      <c r="M5328" t="s">
        <v>43</v>
      </c>
      <c r="N5328" t="s">
        <v>45</v>
      </c>
      <c r="O5328" t="s">
        <v>43</v>
      </c>
      <c r="P5328" t="s">
        <v>43</v>
      </c>
      <c r="Q5328" t="s">
        <v>43</v>
      </c>
      <c r="R5328" t="s">
        <v>43</v>
      </c>
      <c r="S5328" t="s">
        <v>43</v>
      </c>
      <c r="T5328" t="s">
        <v>43</v>
      </c>
      <c r="U5328" t="s">
        <v>43</v>
      </c>
      <c r="V5328" t="s">
        <v>43</v>
      </c>
      <c r="W5328" t="s">
        <v>43</v>
      </c>
      <c r="X5328" t="s">
        <v>43</v>
      </c>
      <c r="Y5328" t="s">
        <v>43</v>
      </c>
      <c r="Z5328" t="s">
        <v>43</v>
      </c>
      <c r="AA5328" t="s">
        <v>43</v>
      </c>
      <c r="AB5328" t="s">
        <v>43</v>
      </c>
      <c r="AC5328" t="s">
        <v>43</v>
      </c>
      <c r="AD5328" t="s">
        <v>43</v>
      </c>
      <c r="AE5328" t="s">
        <v>43</v>
      </c>
      <c r="AF5328" t="s">
        <v>43</v>
      </c>
      <c r="AG5328" t="s">
        <v>43</v>
      </c>
      <c r="AH5328" t="s">
        <v>43</v>
      </c>
      <c r="AI5328" t="s">
        <v>43</v>
      </c>
      <c r="AJ5328" t="s">
        <v>43</v>
      </c>
      <c r="AK5328" t="s">
        <v>43</v>
      </c>
      <c r="AL5328" t="s">
        <v>43</v>
      </c>
      <c r="AM5328" t="s">
        <v>43</v>
      </c>
      <c r="AN5328" t="str">
        <f>HYPERLINK("https://www.google.com/maps?q=10.83219814,79.84008789","Open Location")</f>
        <v>Open Location</v>
      </c>
    </row>
    <row r="5329" spans="1:40" x14ac:dyDescent="0.3">
      <c r="A5329" s="1">
        <v>46210.382523148146</v>
      </c>
      <c r="B5329" t="s">
        <v>40</v>
      </c>
      <c r="C5329" t="s">
        <v>41</v>
      </c>
      <c r="D5329" s="1">
        <v>46210.385289351849</v>
      </c>
      <c r="E5329" t="s">
        <v>42</v>
      </c>
      <c r="F5329" t="s">
        <v>43</v>
      </c>
      <c r="G5329" t="s">
        <v>43</v>
      </c>
      <c r="H5329" t="s">
        <v>43</v>
      </c>
      <c r="I5329" t="s">
        <v>43</v>
      </c>
      <c r="J5329" t="s">
        <v>43</v>
      </c>
      <c r="K5329" t="s">
        <v>43</v>
      </c>
      <c r="L5329" t="s">
        <v>43</v>
      </c>
      <c r="M5329" t="s">
        <v>43</v>
      </c>
      <c r="N5329" t="s">
        <v>45</v>
      </c>
      <c r="O5329" t="s">
        <v>43</v>
      </c>
      <c r="P5329" t="s">
        <v>43</v>
      </c>
      <c r="Q5329" t="s">
        <v>43</v>
      </c>
      <c r="R5329" t="s">
        <v>43</v>
      </c>
      <c r="S5329" t="s">
        <v>43</v>
      </c>
      <c r="T5329" t="s">
        <v>43</v>
      </c>
      <c r="U5329" t="s">
        <v>43</v>
      </c>
      <c r="V5329" t="s">
        <v>43</v>
      </c>
      <c r="W5329" t="s">
        <v>43</v>
      </c>
      <c r="X5329" t="s">
        <v>43</v>
      </c>
      <c r="Y5329" t="s">
        <v>43</v>
      </c>
      <c r="Z5329" t="s">
        <v>43</v>
      </c>
      <c r="AA5329" t="s">
        <v>43</v>
      </c>
      <c r="AB5329" t="s">
        <v>43</v>
      </c>
      <c r="AC5329" t="s">
        <v>43</v>
      </c>
      <c r="AD5329" t="s">
        <v>43</v>
      </c>
      <c r="AE5329" t="s">
        <v>43</v>
      </c>
      <c r="AF5329" t="s">
        <v>43</v>
      </c>
      <c r="AG5329" t="s">
        <v>43</v>
      </c>
      <c r="AH5329" t="s">
        <v>43</v>
      </c>
      <c r="AI5329" t="s">
        <v>43</v>
      </c>
      <c r="AJ5329" t="s">
        <v>43</v>
      </c>
      <c r="AK5329" t="s">
        <v>43</v>
      </c>
      <c r="AL5329" t="s">
        <v>43</v>
      </c>
      <c r="AM5329" t="s">
        <v>43</v>
      </c>
      <c r="AN5329" t="s">
        <v>43</v>
      </c>
    </row>
    <row r="5330" spans="1:40" x14ac:dyDescent="0.3">
      <c r="A5330" s="1">
        <v>46210.382407407407</v>
      </c>
      <c r="B5330" t="s">
        <v>40</v>
      </c>
      <c r="C5330" t="s">
        <v>41</v>
      </c>
      <c r="D5330" s="1">
        <v>46210.385358796295</v>
      </c>
      <c r="E5330" t="s">
        <v>42</v>
      </c>
      <c r="F5330" t="s">
        <v>43</v>
      </c>
      <c r="G5330" t="s">
        <v>43</v>
      </c>
      <c r="H5330" t="s">
        <v>43</v>
      </c>
      <c r="I5330" t="s">
        <v>3008</v>
      </c>
      <c r="J5330" t="s">
        <v>43</v>
      </c>
      <c r="K5330" t="s">
        <v>43</v>
      </c>
      <c r="L5330" t="s">
        <v>43</v>
      </c>
      <c r="M5330" t="s">
        <v>43</v>
      </c>
      <c r="N5330" t="s">
        <v>45</v>
      </c>
      <c r="O5330" t="s">
        <v>43</v>
      </c>
      <c r="P5330" t="s">
        <v>43</v>
      </c>
      <c r="Q5330" t="s">
        <v>43</v>
      </c>
      <c r="R5330" t="s">
        <v>43</v>
      </c>
      <c r="S5330" t="s">
        <v>43</v>
      </c>
      <c r="T5330" t="s">
        <v>43</v>
      </c>
      <c r="U5330" t="s">
        <v>43</v>
      </c>
      <c r="V5330" t="s">
        <v>43</v>
      </c>
      <c r="W5330" t="s">
        <v>43</v>
      </c>
      <c r="X5330" t="s">
        <v>43</v>
      </c>
      <c r="Y5330" t="s">
        <v>43</v>
      </c>
      <c r="Z5330" t="s">
        <v>43</v>
      </c>
      <c r="AA5330" t="s">
        <v>43</v>
      </c>
      <c r="AB5330" t="s">
        <v>43</v>
      </c>
      <c r="AC5330" t="s">
        <v>43</v>
      </c>
      <c r="AD5330" t="s">
        <v>43</v>
      </c>
      <c r="AE5330" t="s">
        <v>43</v>
      </c>
      <c r="AF5330" t="s">
        <v>43</v>
      </c>
      <c r="AG5330" t="s">
        <v>43</v>
      </c>
      <c r="AH5330" t="s">
        <v>43</v>
      </c>
      <c r="AI5330" t="s">
        <v>43</v>
      </c>
      <c r="AJ5330" t="s">
        <v>43</v>
      </c>
      <c r="AK5330" t="s">
        <v>43</v>
      </c>
      <c r="AL5330" t="s">
        <v>43</v>
      </c>
      <c r="AM5330" t="s">
        <v>43</v>
      </c>
      <c r="AN5330" t="str">
        <f>HYPERLINK("https://www.google.com/maps?q=10.83219528,79.84008789","Open Location")</f>
        <v>Open Location</v>
      </c>
    </row>
    <row r="5331" spans="1:40" x14ac:dyDescent="0.3">
      <c r="A5331" s="1">
        <v>46210.382291666669</v>
      </c>
      <c r="B5331" t="s">
        <v>40</v>
      </c>
      <c r="C5331" t="s">
        <v>41</v>
      </c>
      <c r="D5331" s="1">
        <v>46210.38517361111</v>
      </c>
      <c r="E5331" t="s">
        <v>42</v>
      </c>
      <c r="F5331" t="s">
        <v>43</v>
      </c>
      <c r="G5331" t="s">
        <v>43</v>
      </c>
      <c r="H5331" t="s">
        <v>43</v>
      </c>
      <c r="I5331" t="s">
        <v>3009</v>
      </c>
      <c r="J5331" t="s">
        <v>43</v>
      </c>
      <c r="K5331" t="s">
        <v>43</v>
      </c>
      <c r="L5331" t="s">
        <v>43</v>
      </c>
      <c r="M5331" t="s">
        <v>43</v>
      </c>
      <c r="N5331" t="s">
        <v>45</v>
      </c>
      <c r="O5331" t="s">
        <v>43</v>
      </c>
      <c r="P5331" t="s">
        <v>43</v>
      </c>
      <c r="Q5331" t="s">
        <v>43</v>
      </c>
      <c r="R5331" t="s">
        <v>43</v>
      </c>
      <c r="S5331" t="s">
        <v>43</v>
      </c>
      <c r="T5331" t="s">
        <v>43</v>
      </c>
      <c r="U5331" t="s">
        <v>43</v>
      </c>
      <c r="V5331" t="s">
        <v>43</v>
      </c>
      <c r="W5331" t="s">
        <v>43</v>
      </c>
      <c r="X5331" t="s">
        <v>43</v>
      </c>
      <c r="Y5331" t="s">
        <v>43</v>
      </c>
      <c r="Z5331" t="s">
        <v>43</v>
      </c>
      <c r="AA5331" t="s">
        <v>43</v>
      </c>
      <c r="AB5331" t="s">
        <v>43</v>
      </c>
      <c r="AC5331" t="s">
        <v>43</v>
      </c>
      <c r="AD5331" t="s">
        <v>43</v>
      </c>
      <c r="AE5331" t="s">
        <v>43</v>
      </c>
      <c r="AF5331" t="s">
        <v>43</v>
      </c>
      <c r="AG5331" t="s">
        <v>43</v>
      </c>
      <c r="AH5331" t="s">
        <v>43</v>
      </c>
      <c r="AI5331" t="s">
        <v>43</v>
      </c>
      <c r="AJ5331" t="s">
        <v>43</v>
      </c>
      <c r="AK5331" t="s">
        <v>43</v>
      </c>
      <c r="AL5331" t="s">
        <v>43</v>
      </c>
      <c r="AM5331" t="s">
        <v>43</v>
      </c>
      <c r="AN5331" t="str">
        <f>HYPERLINK("https://www.google.com/maps?q=10.8321991,79.84008026","Open Location")</f>
        <v>Open Location</v>
      </c>
    </row>
    <row r="5332" spans="1:40" x14ac:dyDescent="0.3">
      <c r="A5332" s="1">
        <v>46210.382175925923</v>
      </c>
      <c r="B5332" t="s">
        <v>40</v>
      </c>
      <c r="C5332" t="s">
        <v>41</v>
      </c>
      <c r="D5332" s="1">
        <v>46210.385381944441</v>
      </c>
      <c r="E5332" t="s">
        <v>42</v>
      </c>
      <c r="F5332" t="s">
        <v>43</v>
      </c>
      <c r="G5332" t="s">
        <v>43</v>
      </c>
      <c r="H5332" t="s">
        <v>43</v>
      </c>
      <c r="I5332" t="s">
        <v>3009</v>
      </c>
      <c r="J5332" t="s">
        <v>43</v>
      </c>
      <c r="K5332" t="s">
        <v>43</v>
      </c>
      <c r="L5332" t="s">
        <v>43</v>
      </c>
      <c r="M5332" t="s">
        <v>43</v>
      </c>
      <c r="N5332" t="s">
        <v>45</v>
      </c>
      <c r="O5332" t="s">
        <v>43</v>
      </c>
      <c r="P5332" t="s">
        <v>43</v>
      </c>
      <c r="Q5332" t="s">
        <v>43</v>
      </c>
      <c r="R5332" t="s">
        <v>43</v>
      </c>
      <c r="S5332" t="s">
        <v>43</v>
      </c>
      <c r="T5332" t="s">
        <v>43</v>
      </c>
      <c r="U5332" t="s">
        <v>43</v>
      </c>
      <c r="V5332" t="s">
        <v>43</v>
      </c>
      <c r="W5332" t="s">
        <v>43</v>
      </c>
      <c r="X5332" t="s">
        <v>43</v>
      </c>
      <c r="Y5332" t="s">
        <v>43</v>
      </c>
      <c r="Z5332" t="s">
        <v>43</v>
      </c>
      <c r="AA5332" t="s">
        <v>43</v>
      </c>
      <c r="AB5332" t="s">
        <v>43</v>
      </c>
      <c r="AC5332" t="s">
        <v>43</v>
      </c>
      <c r="AD5332" t="s">
        <v>43</v>
      </c>
      <c r="AE5332" t="s">
        <v>43</v>
      </c>
      <c r="AF5332" t="s">
        <v>43</v>
      </c>
      <c r="AG5332" t="s">
        <v>43</v>
      </c>
      <c r="AH5332" t="s">
        <v>43</v>
      </c>
      <c r="AI5332" t="s">
        <v>43</v>
      </c>
      <c r="AJ5332" t="s">
        <v>43</v>
      </c>
      <c r="AK5332" t="s">
        <v>43</v>
      </c>
      <c r="AL5332" t="s">
        <v>43</v>
      </c>
      <c r="AM5332" t="s">
        <v>43</v>
      </c>
      <c r="AN5332" t="str">
        <f>HYPERLINK("https://www.google.com/maps?q=10.8321991,79.84008026","Open Location")</f>
        <v>Open Location</v>
      </c>
    </row>
    <row r="5333" spans="1:40" x14ac:dyDescent="0.3">
      <c r="A5333" s="1">
        <v>46210.382060185184</v>
      </c>
      <c r="B5333" t="s">
        <v>40</v>
      </c>
      <c r="C5333" t="s">
        <v>41</v>
      </c>
      <c r="D5333" s="1">
        <v>46210.384884259256</v>
      </c>
      <c r="E5333" t="s">
        <v>42</v>
      </c>
      <c r="F5333" t="s">
        <v>43</v>
      </c>
      <c r="G5333" t="s">
        <v>43</v>
      </c>
      <c r="H5333" t="s">
        <v>43</v>
      </c>
      <c r="I5333" t="s">
        <v>43</v>
      </c>
      <c r="J5333" t="s">
        <v>43</v>
      </c>
      <c r="K5333" t="s">
        <v>43</v>
      </c>
      <c r="L5333" t="s">
        <v>43</v>
      </c>
      <c r="M5333" t="s">
        <v>43</v>
      </c>
      <c r="N5333" t="s">
        <v>45</v>
      </c>
      <c r="O5333" t="s">
        <v>43</v>
      </c>
      <c r="P5333" t="s">
        <v>43</v>
      </c>
      <c r="Q5333" t="s">
        <v>43</v>
      </c>
      <c r="R5333" t="s">
        <v>43</v>
      </c>
      <c r="S5333" t="s">
        <v>43</v>
      </c>
      <c r="T5333" t="s">
        <v>43</v>
      </c>
      <c r="U5333" t="s">
        <v>43</v>
      </c>
      <c r="V5333" t="s">
        <v>43</v>
      </c>
      <c r="W5333" t="s">
        <v>43</v>
      </c>
      <c r="X5333" t="s">
        <v>43</v>
      </c>
      <c r="Y5333" t="s">
        <v>43</v>
      </c>
      <c r="Z5333" t="s">
        <v>43</v>
      </c>
      <c r="AA5333" t="s">
        <v>43</v>
      </c>
      <c r="AB5333" t="s">
        <v>43</v>
      </c>
      <c r="AC5333" t="s">
        <v>43</v>
      </c>
      <c r="AD5333" t="s">
        <v>43</v>
      </c>
      <c r="AE5333" t="s">
        <v>43</v>
      </c>
      <c r="AF5333" t="s">
        <v>43</v>
      </c>
      <c r="AG5333" t="s">
        <v>43</v>
      </c>
      <c r="AH5333" t="s">
        <v>43</v>
      </c>
      <c r="AI5333" t="s">
        <v>43</v>
      </c>
      <c r="AJ5333" t="s">
        <v>43</v>
      </c>
      <c r="AK5333" t="s">
        <v>43</v>
      </c>
      <c r="AL5333" t="s">
        <v>43</v>
      </c>
      <c r="AM5333" t="s">
        <v>43</v>
      </c>
      <c r="AN5333" t="s">
        <v>43</v>
      </c>
    </row>
    <row r="5334" spans="1:40" x14ac:dyDescent="0.3">
      <c r="A5334" s="1">
        <v>46210.381944444445</v>
      </c>
      <c r="B5334" t="s">
        <v>40</v>
      </c>
      <c r="C5334" t="s">
        <v>41</v>
      </c>
      <c r="D5334" s="1">
        <v>46210.384988425925</v>
      </c>
      <c r="E5334" t="s">
        <v>42</v>
      </c>
      <c r="F5334" t="s">
        <v>43</v>
      </c>
      <c r="G5334" t="s">
        <v>43</v>
      </c>
      <c r="H5334" t="s">
        <v>43</v>
      </c>
      <c r="I5334" t="s">
        <v>3010</v>
      </c>
      <c r="J5334" t="s">
        <v>43</v>
      </c>
      <c r="K5334" t="s">
        <v>43</v>
      </c>
      <c r="L5334" t="s">
        <v>43</v>
      </c>
      <c r="M5334" t="s">
        <v>43</v>
      </c>
      <c r="N5334" t="s">
        <v>45</v>
      </c>
      <c r="O5334" t="s">
        <v>43</v>
      </c>
      <c r="P5334" t="s">
        <v>43</v>
      </c>
      <c r="Q5334" t="s">
        <v>43</v>
      </c>
      <c r="R5334" t="s">
        <v>43</v>
      </c>
      <c r="S5334" t="s">
        <v>43</v>
      </c>
      <c r="T5334" t="s">
        <v>43</v>
      </c>
      <c r="U5334" t="s">
        <v>43</v>
      </c>
      <c r="V5334" t="s">
        <v>43</v>
      </c>
      <c r="W5334" t="s">
        <v>43</v>
      </c>
      <c r="X5334" t="s">
        <v>43</v>
      </c>
      <c r="Y5334" t="s">
        <v>43</v>
      </c>
      <c r="Z5334" t="s">
        <v>43</v>
      </c>
      <c r="AA5334" t="s">
        <v>43</v>
      </c>
      <c r="AB5334" t="s">
        <v>43</v>
      </c>
      <c r="AC5334" t="s">
        <v>43</v>
      </c>
      <c r="AD5334" t="s">
        <v>43</v>
      </c>
      <c r="AE5334" t="s">
        <v>43</v>
      </c>
      <c r="AF5334" t="s">
        <v>43</v>
      </c>
      <c r="AG5334" t="s">
        <v>43</v>
      </c>
      <c r="AH5334" t="s">
        <v>43</v>
      </c>
      <c r="AI5334" t="s">
        <v>43</v>
      </c>
      <c r="AJ5334" t="s">
        <v>43</v>
      </c>
      <c r="AK5334" t="s">
        <v>43</v>
      </c>
      <c r="AL5334" t="s">
        <v>43</v>
      </c>
      <c r="AM5334" t="s">
        <v>43</v>
      </c>
      <c r="AN5334" t="str">
        <f>HYPERLINK("https://www.google.com/maps?q=10.83220005,79.84008026","Open Location")</f>
        <v>Open Location</v>
      </c>
    </row>
    <row r="5335" spans="1:40" x14ac:dyDescent="0.3">
      <c r="A5335" s="1">
        <v>46210.381828703707</v>
      </c>
      <c r="B5335" t="s">
        <v>40</v>
      </c>
      <c r="C5335" t="s">
        <v>41</v>
      </c>
      <c r="D5335" s="1">
        <v>46210.384618055556</v>
      </c>
      <c r="E5335" t="s">
        <v>42</v>
      </c>
      <c r="F5335" t="s">
        <v>43</v>
      </c>
      <c r="G5335" t="s">
        <v>43</v>
      </c>
      <c r="H5335" t="s">
        <v>43</v>
      </c>
      <c r="I5335" t="s">
        <v>3011</v>
      </c>
      <c r="J5335" t="s">
        <v>43</v>
      </c>
      <c r="K5335" t="s">
        <v>43</v>
      </c>
      <c r="L5335" t="s">
        <v>43</v>
      </c>
      <c r="M5335" t="s">
        <v>43</v>
      </c>
      <c r="N5335" t="s">
        <v>45</v>
      </c>
      <c r="O5335" t="s">
        <v>43</v>
      </c>
      <c r="P5335" t="s">
        <v>43</v>
      </c>
      <c r="Q5335" t="s">
        <v>43</v>
      </c>
      <c r="R5335" t="s">
        <v>43</v>
      </c>
      <c r="S5335" t="s">
        <v>43</v>
      </c>
      <c r="T5335" t="s">
        <v>43</v>
      </c>
      <c r="U5335" t="s">
        <v>43</v>
      </c>
      <c r="V5335" t="s">
        <v>43</v>
      </c>
      <c r="W5335" t="s">
        <v>43</v>
      </c>
      <c r="X5335" t="s">
        <v>43</v>
      </c>
      <c r="Y5335" t="s">
        <v>43</v>
      </c>
      <c r="Z5335" t="s">
        <v>43</v>
      </c>
      <c r="AA5335" t="s">
        <v>43</v>
      </c>
      <c r="AB5335" t="s">
        <v>43</v>
      </c>
      <c r="AC5335" t="s">
        <v>43</v>
      </c>
      <c r="AD5335" t="s">
        <v>43</v>
      </c>
      <c r="AE5335" t="s">
        <v>43</v>
      </c>
      <c r="AF5335" t="s">
        <v>43</v>
      </c>
      <c r="AG5335" t="s">
        <v>43</v>
      </c>
      <c r="AH5335" t="s">
        <v>43</v>
      </c>
      <c r="AI5335" t="s">
        <v>43</v>
      </c>
      <c r="AJ5335" t="s">
        <v>43</v>
      </c>
      <c r="AK5335" t="s">
        <v>43</v>
      </c>
      <c r="AL5335" t="s">
        <v>43</v>
      </c>
      <c r="AM5335" t="s">
        <v>43</v>
      </c>
      <c r="AN5335" t="str">
        <f>HYPERLINK("https://www.google.com/maps?q=10.832201,79.84008026","Open Location")</f>
        <v>Open Location</v>
      </c>
    </row>
    <row r="5336" spans="1:40" x14ac:dyDescent="0.3">
      <c r="A5336" s="1">
        <v>46210.381712962961</v>
      </c>
      <c r="B5336" t="s">
        <v>40</v>
      </c>
      <c r="C5336" t="s">
        <v>41</v>
      </c>
      <c r="D5336" s="1">
        <v>46210.384814814817</v>
      </c>
      <c r="E5336" t="s">
        <v>42</v>
      </c>
      <c r="F5336" t="s">
        <v>43</v>
      </c>
      <c r="G5336" t="s">
        <v>43</v>
      </c>
      <c r="H5336" t="s">
        <v>43</v>
      </c>
      <c r="I5336" t="s">
        <v>3011</v>
      </c>
      <c r="J5336" t="s">
        <v>43</v>
      </c>
      <c r="K5336" t="s">
        <v>43</v>
      </c>
      <c r="L5336" t="s">
        <v>43</v>
      </c>
      <c r="M5336" t="s">
        <v>43</v>
      </c>
      <c r="N5336" t="s">
        <v>45</v>
      </c>
      <c r="O5336" t="s">
        <v>43</v>
      </c>
      <c r="P5336" t="s">
        <v>43</v>
      </c>
      <c r="Q5336" t="s">
        <v>43</v>
      </c>
      <c r="R5336" t="s">
        <v>43</v>
      </c>
      <c r="S5336" t="s">
        <v>43</v>
      </c>
      <c r="T5336" t="s">
        <v>43</v>
      </c>
      <c r="U5336" t="s">
        <v>43</v>
      </c>
      <c r="V5336" t="s">
        <v>43</v>
      </c>
      <c r="W5336" t="s">
        <v>43</v>
      </c>
      <c r="X5336" t="s">
        <v>43</v>
      </c>
      <c r="Y5336" t="s">
        <v>43</v>
      </c>
      <c r="Z5336" t="s">
        <v>43</v>
      </c>
      <c r="AA5336" t="s">
        <v>43</v>
      </c>
      <c r="AB5336" t="s">
        <v>43</v>
      </c>
      <c r="AC5336" t="s">
        <v>43</v>
      </c>
      <c r="AD5336" t="s">
        <v>43</v>
      </c>
      <c r="AE5336" t="s">
        <v>43</v>
      </c>
      <c r="AF5336" t="s">
        <v>43</v>
      </c>
      <c r="AG5336" t="s">
        <v>43</v>
      </c>
      <c r="AH5336" t="s">
        <v>43</v>
      </c>
      <c r="AI5336" t="s">
        <v>43</v>
      </c>
      <c r="AJ5336" t="s">
        <v>43</v>
      </c>
      <c r="AK5336" t="s">
        <v>43</v>
      </c>
      <c r="AL5336" t="s">
        <v>43</v>
      </c>
      <c r="AM5336" t="s">
        <v>43</v>
      </c>
      <c r="AN5336" t="str">
        <f>HYPERLINK("https://www.google.com/maps?q=10.832201,79.84008026","Open Location")</f>
        <v>Open Location</v>
      </c>
    </row>
    <row r="5337" spans="1:40" x14ac:dyDescent="0.3">
      <c r="A5337" s="1">
        <v>46210.381597222222</v>
      </c>
      <c r="B5337" t="s">
        <v>40</v>
      </c>
      <c r="C5337" t="s">
        <v>41</v>
      </c>
      <c r="D5337" s="1">
        <v>46210.384467592594</v>
      </c>
      <c r="E5337" t="s">
        <v>42</v>
      </c>
      <c r="F5337" t="s">
        <v>43</v>
      </c>
      <c r="G5337" t="s">
        <v>43</v>
      </c>
      <c r="H5337" t="s">
        <v>43</v>
      </c>
      <c r="I5337" t="s">
        <v>3009</v>
      </c>
      <c r="J5337" t="s">
        <v>43</v>
      </c>
      <c r="K5337" t="s">
        <v>43</v>
      </c>
      <c r="L5337" t="s">
        <v>43</v>
      </c>
      <c r="M5337" t="s">
        <v>43</v>
      </c>
      <c r="N5337" t="s">
        <v>45</v>
      </c>
      <c r="O5337" t="s">
        <v>43</v>
      </c>
      <c r="P5337" t="s">
        <v>43</v>
      </c>
      <c r="Q5337" t="s">
        <v>43</v>
      </c>
      <c r="R5337" t="s">
        <v>43</v>
      </c>
      <c r="S5337" t="s">
        <v>43</v>
      </c>
      <c r="T5337" t="s">
        <v>43</v>
      </c>
      <c r="U5337" t="s">
        <v>43</v>
      </c>
      <c r="V5337" t="s">
        <v>43</v>
      </c>
      <c r="W5337" t="s">
        <v>43</v>
      </c>
      <c r="X5337" t="s">
        <v>43</v>
      </c>
      <c r="Y5337" t="s">
        <v>43</v>
      </c>
      <c r="Z5337" t="s">
        <v>43</v>
      </c>
      <c r="AA5337" t="s">
        <v>43</v>
      </c>
      <c r="AB5337" t="s">
        <v>43</v>
      </c>
      <c r="AC5337" t="s">
        <v>43</v>
      </c>
      <c r="AD5337" t="s">
        <v>43</v>
      </c>
      <c r="AE5337" t="s">
        <v>43</v>
      </c>
      <c r="AF5337" t="s">
        <v>43</v>
      </c>
      <c r="AG5337" t="s">
        <v>43</v>
      </c>
      <c r="AH5337" t="s">
        <v>43</v>
      </c>
      <c r="AI5337" t="s">
        <v>43</v>
      </c>
      <c r="AJ5337" t="s">
        <v>43</v>
      </c>
      <c r="AK5337" t="s">
        <v>43</v>
      </c>
      <c r="AL5337" t="s">
        <v>43</v>
      </c>
      <c r="AM5337" t="s">
        <v>43</v>
      </c>
      <c r="AN5337" t="str">
        <f>HYPERLINK("https://www.google.com/maps?q=10.8321991,79.84008026","Open Location")</f>
        <v>Open Location</v>
      </c>
    </row>
    <row r="5338" spans="1:40" x14ac:dyDescent="0.3">
      <c r="A5338" s="1">
        <v>46210.381481481483</v>
      </c>
      <c r="B5338" t="s">
        <v>40</v>
      </c>
      <c r="C5338" t="s">
        <v>41</v>
      </c>
      <c r="D5338" s="1">
        <v>46210.384618055556</v>
      </c>
      <c r="E5338" t="s">
        <v>42</v>
      </c>
      <c r="F5338" t="s">
        <v>43</v>
      </c>
      <c r="G5338" t="s">
        <v>43</v>
      </c>
      <c r="H5338" t="s">
        <v>43</v>
      </c>
      <c r="I5338" t="s">
        <v>3012</v>
      </c>
      <c r="J5338" t="s">
        <v>43</v>
      </c>
      <c r="K5338" t="s">
        <v>43</v>
      </c>
      <c r="L5338" t="s">
        <v>43</v>
      </c>
      <c r="M5338" t="s">
        <v>43</v>
      </c>
      <c r="N5338" t="s">
        <v>45</v>
      </c>
      <c r="O5338" t="s">
        <v>43</v>
      </c>
      <c r="P5338" t="s">
        <v>43</v>
      </c>
      <c r="Q5338" t="s">
        <v>43</v>
      </c>
      <c r="R5338" t="s">
        <v>43</v>
      </c>
      <c r="S5338" t="s">
        <v>43</v>
      </c>
      <c r="T5338" t="s">
        <v>43</v>
      </c>
      <c r="U5338" t="s">
        <v>43</v>
      </c>
      <c r="V5338" t="s">
        <v>43</v>
      </c>
      <c r="W5338" t="s">
        <v>43</v>
      </c>
      <c r="X5338" t="s">
        <v>43</v>
      </c>
      <c r="Y5338" t="s">
        <v>43</v>
      </c>
      <c r="Z5338" t="s">
        <v>43</v>
      </c>
      <c r="AA5338" t="s">
        <v>43</v>
      </c>
      <c r="AB5338" t="s">
        <v>43</v>
      </c>
      <c r="AC5338" t="s">
        <v>43</v>
      </c>
      <c r="AD5338" t="s">
        <v>43</v>
      </c>
      <c r="AE5338" t="s">
        <v>43</v>
      </c>
      <c r="AF5338" t="s">
        <v>43</v>
      </c>
      <c r="AG5338" t="s">
        <v>43</v>
      </c>
      <c r="AH5338" t="s">
        <v>43</v>
      </c>
      <c r="AI5338" t="s">
        <v>43</v>
      </c>
      <c r="AJ5338" t="s">
        <v>43</v>
      </c>
      <c r="AK5338" t="s">
        <v>43</v>
      </c>
      <c r="AL5338" t="s">
        <v>43</v>
      </c>
      <c r="AM5338" t="s">
        <v>43</v>
      </c>
      <c r="AN5338" t="str">
        <f>HYPERLINK("https://www.google.com/maps?q=10.83219337,79.84008026","Open Location")</f>
        <v>Open Location</v>
      </c>
    </row>
    <row r="5339" spans="1:40" x14ac:dyDescent="0.3">
      <c r="A5339" s="1">
        <v>46210.381365740737</v>
      </c>
      <c r="B5339" t="s">
        <v>40</v>
      </c>
      <c r="C5339" t="s">
        <v>41</v>
      </c>
      <c r="D5339" s="1">
        <v>46210.384270833332</v>
      </c>
      <c r="E5339" t="s">
        <v>42</v>
      </c>
      <c r="F5339" t="s">
        <v>43</v>
      </c>
      <c r="G5339" t="s">
        <v>43</v>
      </c>
      <c r="H5339" t="s">
        <v>43</v>
      </c>
      <c r="I5339" t="s">
        <v>43</v>
      </c>
      <c r="J5339" t="s">
        <v>43</v>
      </c>
      <c r="K5339" t="s">
        <v>43</v>
      </c>
      <c r="L5339" t="s">
        <v>43</v>
      </c>
      <c r="M5339" t="s">
        <v>43</v>
      </c>
      <c r="N5339" t="s">
        <v>45</v>
      </c>
      <c r="O5339" t="s">
        <v>43</v>
      </c>
      <c r="P5339" t="s">
        <v>43</v>
      </c>
      <c r="Q5339" t="s">
        <v>43</v>
      </c>
      <c r="R5339" t="s">
        <v>43</v>
      </c>
      <c r="S5339" t="s">
        <v>43</v>
      </c>
      <c r="T5339" t="s">
        <v>43</v>
      </c>
      <c r="U5339" t="s">
        <v>43</v>
      </c>
      <c r="V5339" t="s">
        <v>43</v>
      </c>
      <c r="W5339" t="s">
        <v>43</v>
      </c>
      <c r="X5339" t="s">
        <v>43</v>
      </c>
      <c r="Y5339" t="s">
        <v>43</v>
      </c>
      <c r="Z5339" t="s">
        <v>43</v>
      </c>
      <c r="AA5339" t="s">
        <v>43</v>
      </c>
      <c r="AB5339" t="s">
        <v>43</v>
      </c>
      <c r="AC5339" t="s">
        <v>43</v>
      </c>
      <c r="AD5339" t="s">
        <v>43</v>
      </c>
      <c r="AE5339" t="s">
        <v>43</v>
      </c>
      <c r="AF5339" t="s">
        <v>43</v>
      </c>
      <c r="AG5339" t="s">
        <v>43</v>
      </c>
      <c r="AH5339" t="s">
        <v>43</v>
      </c>
      <c r="AI5339" t="s">
        <v>43</v>
      </c>
      <c r="AJ5339" t="s">
        <v>43</v>
      </c>
      <c r="AK5339" t="s">
        <v>43</v>
      </c>
      <c r="AL5339" t="s">
        <v>43</v>
      </c>
      <c r="AM5339" t="s">
        <v>43</v>
      </c>
      <c r="AN5339" t="s">
        <v>43</v>
      </c>
    </row>
    <row r="5340" spans="1:40" x14ac:dyDescent="0.3">
      <c r="A5340" s="1">
        <v>46210.381249999999</v>
      </c>
      <c r="B5340" t="s">
        <v>40</v>
      </c>
      <c r="C5340" t="s">
        <v>41</v>
      </c>
      <c r="D5340" s="1">
        <v>46210.384270833332</v>
      </c>
      <c r="E5340" t="s">
        <v>42</v>
      </c>
      <c r="F5340" t="s">
        <v>43</v>
      </c>
      <c r="G5340" t="s">
        <v>43</v>
      </c>
      <c r="H5340" t="s">
        <v>43</v>
      </c>
      <c r="I5340" t="s">
        <v>3013</v>
      </c>
      <c r="J5340" t="s">
        <v>43</v>
      </c>
      <c r="K5340" t="s">
        <v>43</v>
      </c>
      <c r="L5340" t="s">
        <v>43</v>
      </c>
      <c r="M5340" t="s">
        <v>43</v>
      </c>
      <c r="N5340" t="s">
        <v>45</v>
      </c>
      <c r="O5340" t="s">
        <v>43</v>
      </c>
      <c r="P5340" t="s">
        <v>43</v>
      </c>
      <c r="Q5340" t="s">
        <v>43</v>
      </c>
      <c r="R5340" t="s">
        <v>43</v>
      </c>
      <c r="S5340" t="s">
        <v>43</v>
      </c>
      <c r="T5340" t="s">
        <v>43</v>
      </c>
      <c r="U5340" t="s">
        <v>43</v>
      </c>
      <c r="V5340" t="s">
        <v>43</v>
      </c>
      <c r="W5340" t="s">
        <v>43</v>
      </c>
      <c r="X5340" t="s">
        <v>43</v>
      </c>
      <c r="Y5340" t="s">
        <v>43</v>
      </c>
      <c r="Z5340" t="s">
        <v>43</v>
      </c>
      <c r="AA5340" t="s">
        <v>43</v>
      </c>
      <c r="AB5340" t="s">
        <v>43</v>
      </c>
      <c r="AC5340" t="s">
        <v>43</v>
      </c>
      <c r="AD5340" t="s">
        <v>43</v>
      </c>
      <c r="AE5340" t="s">
        <v>43</v>
      </c>
      <c r="AF5340" t="s">
        <v>43</v>
      </c>
      <c r="AG5340" t="s">
        <v>43</v>
      </c>
      <c r="AH5340" t="s">
        <v>43</v>
      </c>
      <c r="AI5340" t="s">
        <v>43</v>
      </c>
      <c r="AJ5340" t="s">
        <v>43</v>
      </c>
      <c r="AK5340" t="s">
        <v>43</v>
      </c>
      <c r="AL5340" t="s">
        <v>43</v>
      </c>
      <c r="AM5340" t="s">
        <v>43</v>
      </c>
      <c r="AN5340" t="str">
        <f>HYPERLINK("https://www.google.com/maps?q=10.83218479,79.84008026","Open Location")</f>
        <v>Open Location</v>
      </c>
    </row>
    <row r="5341" spans="1:40" x14ac:dyDescent="0.3">
      <c r="A5341" s="1">
        <v>46210.38113425926</v>
      </c>
      <c r="B5341" t="s">
        <v>40</v>
      </c>
      <c r="C5341" t="s">
        <v>41</v>
      </c>
      <c r="D5341" s="1">
        <v>46210.384085648147</v>
      </c>
      <c r="E5341" t="s">
        <v>42</v>
      </c>
      <c r="F5341" t="s">
        <v>43</v>
      </c>
      <c r="G5341" t="s">
        <v>43</v>
      </c>
      <c r="H5341" t="s">
        <v>43</v>
      </c>
      <c r="I5341" t="s">
        <v>3014</v>
      </c>
      <c r="J5341" t="s">
        <v>43</v>
      </c>
      <c r="K5341" t="s">
        <v>43</v>
      </c>
      <c r="L5341" t="s">
        <v>43</v>
      </c>
      <c r="M5341" t="s">
        <v>43</v>
      </c>
      <c r="N5341" t="s">
        <v>45</v>
      </c>
      <c r="O5341" t="s">
        <v>43</v>
      </c>
      <c r="P5341" t="s">
        <v>43</v>
      </c>
      <c r="Q5341" t="s">
        <v>43</v>
      </c>
      <c r="R5341" t="s">
        <v>43</v>
      </c>
      <c r="S5341" t="s">
        <v>43</v>
      </c>
      <c r="T5341" t="s">
        <v>43</v>
      </c>
      <c r="U5341" t="s">
        <v>43</v>
      </c>
      <c r="V5341" t="s">
        <v>43</v>
      </c>
      <c r="W5341" t="s">
        <v>43</v>
      </c>
      <c r="X5341" t="s">
        <v>43</v>
      </c>
      <c r="Y5341" t="s">
        <v>43</v>
      </c>
      <c r="Z5341" t="s">
        <v>43</v>
      </c>
      <c r="AA5341" t="s">
        <v>43</v>
      </c>
      <c r="AB5341" t="s">
        <v>43</v>
      </c>
      <c r="AC5341" t="s">
        <v>43</v>
      </c>
      <c r="AD5341" t="s">
        <v>43</v>
      </c>
      <c r="AE5341" t="s">
        <v>43</v>
      </c>
      <c r="AF5341" t="s">
        <v>43</v>
      </c>
      <c r="AG5341" t="s">
        <v>43</v>
      </c>
      <c r="AH5341" t="s">
        <v>43</v>
      </c>
      <c r="AI5341" t="s">
        <v>43</v>
      </c>
      <c r="AJ5341" t="s">
        <v>43</v>
      </c>
      <c r="AK5341" t="s">
        <v>43</v>
      </c>
      <c r="AL5341" t="s">
        <v>43</v>
      </c>
      <c r="AM5341" t="s">
        <v>43</v>
      </c>
      <c r="AN5341" t="str">
        <f>HYPERLINK("https://www.google.com/maps?q=10.83218193,79.84007263","Open Location")</f>
        <v>Open Location</v>
      </c>
    </row>
    <row r="5342" spans="1:40" x14ac:dyDescent="0.3">
      <c r="A5342" s="1">
        <v>46210.381018518521</v>
      </c>
      <c r="B5342" t="s">
        <v>40</v>
      </c>
      <c r="C5342" t="s">
        <v>41</v>
      </c>
      <c r="D5342" s="1">
        <v>46210.384016203701</v>
      </c>
      <c r="E5342" t="s">
        <v>42</v>
      </c>
      <c r="F5342" t="s">
        <v>43</v>
      </c>
      <c r="G5342" t="s">
        <v>43</v>
      </c>
      <c r="H5342" t="s">
        <v>43</v>
      </c>
      <c r="I5342" t="s">
        <v>3015</v>
      </c>
      <c r="J5342" t="s">
        <v>43</v>
      </c>
      <c r="K5342" t="s">
        <v>43</v>
      </c>
      <c r="L5342" t="s">
        <v>43</v>
      </c>
      <c r="M5342" t="s">
        <v>43</v>
      </c>
      <c r="N5342" t="s">
        <v>45</v>
      </c>
      <c r="O5342" t="s">
        <v>43</v>
      </c>
      <c r="P5342" t="s">
        <v>43</v>
      </c>
      <c r="Q5342" t="s">
        <v>43</v>
      </c>
      <c r="R5342" t="s">
        <v>43</v>
      </c>
      <c r="S5342" t="s">
        <v>43</v>
      </c>
      <c r="T5342" t="s">
        <v>43</v>
      </c>
      <c r="U5342" t="s">
        <v>43</v>
      </c>
      <c r="V5342" t="s">
        <v>43</v>
      </c>
      <c r="W5342" t="s">
        <v>43</v>
      </c>
      <c r="X5342" t="s">
        <v>43</v>
      </c>
      <c r="Y5342" t="s">
        <v>43</v>
      </c>
      <c r="Z5342" t="s">
        <v>43</v>
      </c>
      <c r="AA5342" t="s">
        <v>43</v>
      </c>
      <c r="AB5342" t="s">
        <v>43</v>
      </c>
      <c r="AC5342" t="s">
        <v>43</v>
      </c>
      <c r="AD5342" t="s">
        <v>43</v>
      </c>
      <c r="AE5342" t="s">
        <v>43</v>
      </c>
      <c r="AF5342" t="s">
        <v>43</v>
      </c>
      <c r="AG5342" t="s">
        <v>43</v>
      </c>
      <c r="AH5342" t="s">
        <v>43</v>
      </c>
      <c r="AI5342" t="s">
        <v>43</v>
      </c>
      <c r="AJ5342" t="s">
        <v>43</v>
      </c>
      <c r="AK5342" t="s">
        <v>43</v>
      </c>
      <c r="AL5342" t="s">
        <v>43</v>
      </c>
      <c r="AM5342" t="s">
        <v>43</v>
      </c>
      <c r="AN5342" t="str">
        <f>HYPERLINK("https://www.google.com/maps?q=10.83218098,79.840065","Open Location")</f>
        <v>Open Location</v>
      </c>
    </row>
    <row r="5343" spans="1:40" x14ac:dyDescent="0.3">
      <c r="A5343" s="1">
        <v>46210.380902777775</v>
      </c>
      <c r="B5343" t="s">
        <v>40</v>
      </c>
      <c r="C5343" t="s">
        <v>41</v>
      </c>
      <c r="D5343" s="1">
        <v>46210.383877314816</v>
      </c>
      <c r="E5343" t="s">
        <v>42</v>
      </c>
      <c r="F5343" t="s">
        <v>43</v>
      </c>
      <c r="G5343" t="s">
        <v>43</v>
      </c>
      <c r="H5343" t="s">
        <v>43</v>
      </c>
      <c r="I5343" t="s">
        <v>3014</v>
      </c>
      <c r="J5343" t="s">
        <v>43</v>
      </c>
      <c r="K5343" t="s">
        <v>43</v>
      </c>
      <c r="L5343" t="s">
        <v>43</v>
      </c>
      <c r="M5343" t="s">
        <v>43</v>
      </c>
      <c r="N5343" t="s">
        <v>45</v>
      </c>
      <c r="O5343" t="s">
        <v>43</v>
      </c>
      <c r="P5343" t="s">
        <v>43</v>
      </c>
      <c r="Q5343" t="s">
        <v>43</v>
      </c>
      <c r="R5343" t="s">
        <v>43</v>
      </c>
      <c r="S5343" t="s">
        <v>43</v>
      </c>
      <c r="T5343" t="s">
        <v>43</v>
      </c>
      <c r="U5343" t="s">
        <v>43</v>
      </c>
      <c r="V5343" t="s">
        <v>43</v>
      </c>
      <c r="W5343" t="s">
        <v>43</v>
      </c>
      <c r="X5343" t="s">
        <v>43</v>
      </c>
      <c r="Y5343" t="s">
        <v>43</v>
      </c>
      <c r="Z5343" t="s">
        <v>43</v>
      </c>
      <c r="AA5343" t="s">
        <v>43</v>
      </c>
      <c r="AB5343" t="s">
        <v>43</v>
      </c>
      <c r="AC5343" t="s">
        <v>43</v>
      </c>
      <c r="AD5343" t="s">
        <v>43</v>
      </c>
      <c r="AE5343" t="s">
        <v>43</v>
      </c>
      <c r="AF5343" t="s">
        <v>43</v>
      </c>
      <c r="AG5343" t="s">
        <v>43</v>
      </c>
      <c r="AH5343" t="s">
        <v>43</v>
      </c>
      <c r="AI5343" t="s">
        <v>43</v>
      </c>
      <c r="AJ5343" t="s">
        <v>43</v>
      </c>
      <c r="AK5343" t="s">
        <v>43</v>
      </c>
      <c r="AL5343" t="s">
        <v>43</v>
      </c>
      <c r="AM5343" t="s">
        <v>43</v>
      </c>
      <c r="AN5343" t="str">
        <f>HYPERLINK("https://www.google.com/maps?q=10.83218193,79.84007263","Open Location")</f>
        <v>Open Location</v>
      </c>
    </row>
    <row r="5344" spans="1:40" x14ac:dyDescent="0.3">
      <c r="A5344" s="1">
        <v>46210.380787037036</v>
      </c>
      <c r="B5344" t="s">
        <v>40</v>
      </c>
      <c r="C5344" t="s">
        <v>41</v>
      </c>
      <c r="D5344" s="1">
        <v>46210.38386574074</v>
      </c>
      <c r="E5344" t="s">
        <v>42</v>
      </c>
      <c r="F5344" t="s">
        <v>43</v>
      </c>
      <c r="G5344" t="s">
        <v>43</v>
      </c>
      <c r="H5344" t="s">
        <v>43</v>
      </c>
      <c r="I5344" t="s">
        <v>3016</v>
      </c>
      <c r="J5344" t="s">
        <v>43</v>
      </c>
      <c r="K5344" t="s">
        <v>43</v>
      </c>
      <c r="L5344" t="s">
        <v>43</v>
      </c>
      <c r="M5344" t="s">
        <v>43</v>
      </c>
      <c r="N5344" t="s">
        <v>45</v>
      </c>
      <c r="O5344" t="s">
        <v>43</v>
      </c>
      <c r="P5344" t="s">
        <v>43</v>
      </c>
      <c r="Q5344" t="s">
        <v>43</v>
      </c>
      <c r="R5344" t="s">
        <v>43</v>
      </c>
      <c r="S5344" t="s">
        <v>43</v>
      </c>
      <c r="T5344" t="s">
        <v>43</v>
      </c>
      <c r="U5344" t="s">
        <v>43</v>
      </c>
      <c r="V5344" t="s">
        <v>43</v>
      </c>
      <c r="W5344" t="s">
        <v>43</v>
      </c>
      <c r="X5344" t="s">
        <v>43</v>
      </c>
      <c r="Y5344" t="s">
        <v>43</v>
      </c>
      <c r="Z5344" t="s">
        <v>43</v>
      </c>
      <c r="AA5344" t="s">
        <v>43</v>
      </c>
      <c r="AB5344" t="s">
        <v>43</v>
      </c>
      <c r="AC5344" t="s">
        <v>43</v>
      </c>
      <c r="AD5344" t="s">
        <v>43</v>
      </c>
      <c r="AE5344" t="s">
        <v>43</v>
      </c>
      <c r="AF5344" t="s">
        <v>43</v>
      </c>
      <c r="AG5344" t="s">
        <v>43</v>
      </c>
      <c r="AH5344" t="s">
        <v>43</v>
      </c>
      <c r="AI5344" t="s">
        <v>43</v>
      </c>
      <c r="AJ5344" t="s">
        <v>43</v>
      </c>
      <c r="AK5344" t="s">
        <v>43</v>
      </c>
      <c r="AL5344" t="s">
        <v>43</v>
      </c>
      <c r="AM5344" t="s">
        <v>43</v>
      </c>
      <c r="AN5344" t="str">
        <f>HYPERLINK("https://www.google.com/maps?q=10.83218098,79.84007263","Open Location")</f>
        <v>Open Location</v>
      </c>
    </row>
    <row r="5345" spans="1:40" x14ac:dyDescent="0.3">
      <c r="A5345" s="1">
        <v>46210.380671296298</v>
      </c>
      <c r="B5345" t="s">
        <v>40</v>
      </c>
      <c r="C5345" t="s">
        <v>41</v>
      </c>
      <c r="D5345" s="1">
        <v>46210.38349537037</v>
      </c>
      <c r="E5345" t="s">
        <v>42</v>
      </c>
      <c r="F5345" t="s">
        <v>43</v>
      </c>
      <c r="G5345" t="s">
        <v>43</v>
      </c>
      <c r="H5345" t="s">
        <v>43</v>
      </c>
      <c r="I5345" t="s">
        <v>43</v>
      </c>
      <c r="J5345" t="s">
        <v>43</v>
      </c>
      <c r="K5345" t="s">
        <v>43</v>
      </c>
      <c r="L5345" t="s">
        <v>43</v>
      </c>
      <c r="M5345" t="s">
        <v>43</v>
      </c>
      <c r="N5345" t="s">
        <v>45</v>
      </c>
      <c r="O5345" t="s">
        <v>43</v>
      </c>
      <c r="P5345" t="s">
        <v>43</v>
      </c>
      <c r="Q5345" t="s">
        <v>43</v>
      </c>
      <c r="R5345" t="s">
        <v>43</v>
      </c>
      <c r="S5345" t="s">
        <v>43</v>
      </c>
      <c r="T5345" t="s">
        <v>43</v>
      </c>
      <c r="U5345" t="s">
        <v>43</v>
      </c>
      <c r="V5345" t="s">
        <v>43</v>
      </c>
      <c r="W5345" t="s">
        <v>43</v>
      </c>
      <c r="X5345" t="s">
        <v>43</v>
      </c>
      <c r="Y5345" t="s">
        <v>43</v>
      </c>
      <c r="Z5345" t="s">
        <v>43</v>
      </c>
      <c r="AA5345" t="s">
        <v>43</v>
      </c>
      <c r="AB5345" t="s">
        <v>43</v>
      </c>
      <c r="AC5345" t="s">
        <v>43</v>
      </c>
      <c r="AD5345" t="s">
        <v>43</v>
      </c>
      <c r="AE5345" t="s">
        <v>43</v>
      </c>
      <c r="AF5345" t="s">
        <v>43</v>
      </c>
      <c r="AG5345" t="s">
        <v>43</v>
      </c>
      <c r="AH5345" t="s">
        <v>43</v>
      </c>
      <c r="AI5345" t="s">
        <v>43</v>
      </c>
      <c r="AJ5345" t="s">
        <v>43</v>
      </c>
      <c r="AK5345" t="s">
        <v>43</v>
      </c>
      <c r="AL5345" t="s">
        <v>43</v>
      </c>
      <c r="AM5345" t="s">
        <v>43</v>
      </c>
      <c r="AN5345" t="s">
        <v>43</v>
      </c>
    </row>
    <row r="5346" spans="1:40" x14ac:dyDescent="0.3">
      <c r="A5346" s="1">
        <v>46210.380555555559</v>
      </c>
      <c r="B5346" t="s">
        <v>40</v>
      </c>
      <c r="C5346" t="s">
        <v>41</v>
      </c>
      <c r="D5346" s="1">
        <v>46210.38349537037</v>
      </c>
      <c r="E5346" t="s">
        <v>42</v>
      </c>
      <c r="F5346" t="s">
        <v>43</v>
      </c>
      <c r="G5346" t="s">
        <v>43</v>
      </c>
      <c r="H5346" t="s">
        <v>43</v>
      </c>
      <c r="I5346" t="s">
        <v>3014</v>
      </c>
      <c r="J5346" t="s">
        <v>43</v>
      </c>
      <c r="K5346" t="s">
        <v>43</v>
      </c>
      <c r="L5346" t="s">
        <v>43</v>
      </c>
      <c r="M5346" t="s">
        <v>43</v>
      </c>
      <c r="N5346" t="s">
        <v>45</v>
      </c>
      <c r="O5346" t="s">
        <v>43</v>
      </c>
      <c r="P5346" t="s">
        <v>43</v>
      </c>
      <c r="Q5346" t="s">
        <v>43</v>
      </c>
      <c r="R5346" t="s">
        <v>43</v>
      </c>
      <c r="S5346" t="s">
        <v>43</v>
      </c>
      <c r="T5346" t="s">
        <v>43</v>
      </c>
      <c r="U5346" t="s">
        <v>43</v>
      </c>
      <c r="V5346" t="s">
        <v>43</v>
      </c>
      <c r="W5346" t="s">
        <v>43</v>
      </c>
      <c r="X5346" t="s">
        <v>43</v>
      </c>
      <c r="Y5346" t="s">
        <v>43</v>
      </c>
      <c r="Z5346" t="s">
        <v>43</v>
      </c>
      <c r="AA5346" t="s">
        <v>43</v>
      </c>
      <c r="AB5346" t="s">
        <v>43</v>
      </c>
      <c r="AC5346" t="s">
        <v>43</v>
      </c>
      <c r="AD5346" t="s">
        <v>43</v>
      </c>
      <c r="AE5346" t="s">
        <v>43</v>
      </c>
      <c r="AF5346" t="s">
        <v>43</v>
      </c>
      <c r="AG5346" t="s">
        <v>43</v>
      </c>
      <c r="AH5346" t="s">
        <v>43</v>
      </c>
      <c r="AI5346" t="s">
        <v>43</v>
      </c>
      <c r="AJ5346" t="s">
        <v>43</v>
      </c>
      <c r="AK5346" t="s">
        <v>43</v>
      </c>
      <c r="AL5346" t="s">
        <v>43</v>
      </c>
      <c r="AM5346" t="s">
        <v>43</v>
      </c>
      <c r="AN5346" t="str">
        <f>HYPERLINK("https://www.google.com/maps?q=10.83218193,79.84007263","Open Location")</f>
        <v>Open Location</v>
      </c>
    </row>
    <row r="5347" spans="1:40" x14ac:dyDescent="0.3">
      <c r="A5347" s="1">
        <v>46210.380439814813</v>
      </c>
      <c r="B5347" t="s">
        <v>40</v>
      </c>
      <c r="C5347" t="s">
        <v>41</v>
      </c>
      <c r="D5347" s="1">
        <v>46210.383599537039</v>
      </c>
      <c r="E5347" t="s">
        <v>42</v>
      </c>
      <c r="F5347" t="s">
        <v>43</v>
      </c>
      <c r="G5347" t="s">
        <v>43</v>
      </c>
      <c r="H5347" t="s">
        <v>43</v>
      </c>
      <c r="I5347" t="s">
        <v>3017</v>
      </c>
      <c r="J5347" t="s">
        <v>43</v>
      </c>
      <c r="K5347" t="s">
        <v>43</v>
      </c>
      <c r="L5347" t="s">
        <v>43</v>
      </c>
      <c r="M5347" t="s">
        <v>43</v>
      </c>
      <c r="N5347" t="s">
        <v>45</v>
      </c>
      <c r="O5347" t="s">
        <v>43</v>
      </c>
      <c r="P5347" t="s">
        <v>43</v>
      </c>
      <c r="Q5347" t="s">
        <v>43</v>
      </c>
      <c r="R5347" t="s">
        <v>43</v>
      </c>
      <c r="S5347" t="s">
        <v>43</v>
      </c>
      <c r="T5347" t="s">
        <v>43</v>
      </c>
      <c r="U5347" t="s">
        <v>43</v>
      </c>
      <c r="V5347" t="s">
        <v>43</v>
      </c>
      <c r="W5347" t="s">
        <v>43</v>
      </c>
      <c r="X5347" t="s">
        <v>43</v>
      </c>
      <c r="Y5347" t="s">
        <v>43</v>
      </c>
      <c r="Z5347" t="s">
        <v>43</v>
      </c>
      <c r="AA5347" t="s">
        <v>43</v>
      </c>
      <c r="AB5347" t="s">
        <v>43</v>
      </c>
      <c r="AC5347" t="s">
        <v>43</v>
      </c>
      <c r="AD5347" t="s">
        <v>43</v>
      </c>
      <c r="AE5347" t="s">
        <v>43</v>
      </c>
      <c r="AF5347" t="s">
        <v>43</v>
      </c>
      <c r="AG5347" t="s">
        <v>43</v>
      </c>
      <c r="AH5347" t="s">
        <v>43</v>
      </c>
      <c r="AI5347" t="s">
        <v>43</v>
      </c>
      <c r="AJ5347" t="s">
        <v>43</v>
      </c>
      <c r="AK5347" t="s">
        <v>43</v>
      </c>
      <c r="AL5347" t="s">
        <v>43</v>
      </c>
      <c r="AM5347" t="s">
        <v>43</v>
      </c>
      <c r="AN5347" t="str">
        <f>HYPERLINK("https://www.google.com/maps?q=10.83218193,79.84008026","Open Location")</f>
        <v>Open Location</v>
      </c>
    </row>
    <row r="5348" spans="1:40" x14ac:dyDescent="0.3">
      <c r="A5348" s="1">
        <v>46210.380324074074</v>
      </c>
      <c r="B5348" t="s">
        <v>40</v>
      </c>
      <c r="C5348" t="s">
        <v>41</v>
      </c>
      <c r="D5348" s="1">
        <v>46210.383460648147</v>
      </c>
      <c r="E5348" t="s">
        <v>42</v>
      </c>
      <c r="F5348" t="s">
        <v>43</v>
      </c>
      <c r="G5348" t="s">
        <v>43</v>
      </c>
      <c r="H5348" t="s">
        <v>43</v>
      </c>
      <c r="I5348" t="s">
        <v>3018</v>
      </c>
      <c r="J5348" t="s">
        <v>43</v>
      </c>
      <c r="K5348" t="s">
        <v>43</v>
      </c>
      <c r="L5348" t="s">
        <v>43</v>
      </c>
      <c r="M5348" t="s">
        <v>43</v>
      </c>
      <c r="N5348" t="s">
        <v>45</v>
      </c>
      <c r="O5348" t="s">
        <v>43</v>
      </c>
      <c r="P5348" t="s">
        <v>43</v>
      </c>
      <c r="Q5348" t="s">
        <v>43</v>
      </c>
      <c r="R5348" t="s">
        <v>43</v>
      </c>
      <c r="S5348" t="s">
        <v>43</v>
      </c>
      <c r="T5348" t="s">
        <v>43</v>
      </c>
      <c r="U5348" t="s">
        <v>43</v>
      </c>
      <c r="V5348" t="s">
        <v>43</v>
      </c>
      <c r="W5348" t="s">
        <v>43</v>
      </c>
      <c r="X5348" t="s">
        <v>43</v>
      </c>
      <c r="Y5348" t="s">
        <v>43</v>
      </c>
      <c r="Z5348" t="s">
        <v>43</v>
      </c>
      <c r="AA5348" t="s">
        <v>43</v>
      </c>
      <c r="AB5348" t="s">
        <v>43</v>
      </c>
      <c r="AC5348" t="s">
        <v>43</v>
      </c>
      <c r="AD5348" t="s">
        <v>43</v>
      </c>
      <c r="AE5348" t="s">
        <v>43</v>
      </c>
      <c r="AF5348" t="s">
        <v>43</v>
      </c>
      <c r="AG5348" t="s">
        <v>43</v>
      </c>
      <c r="AH5348" t="s">
        <v>43</v>
      </c>
      <c r="AI5348" t="s">
        <v>43</v>
      </c>
      <c r="AJ5348" t="s">
        <v>43</v>
      </c>
      <c r="AK5348" t="s">
        <v>43</v>
      </c>
      <c r="AL5348" t="s">
        <v>43</v>
      </c>
      <c r="AM5348" t="s">
        <v>43</v>
      </c>
      <c r="AN5348" t="str">
        <f>HYPERLINK("https://www.google.com/maps?q=10.83217907,79.84008026","Open Location")</f>
        <v>Open Location</v>
      </c>
    </row>
    <row r="5349" spans="1:40" x14ac:dyDescent="0.3">
      <c r="A5349" s="1">
        <v>46210.380208333336</v>
      </c>
      <c r="B5349" t="s">
        <v>40</v>
      </c>
      <c r="C5349" t="s">
        <v>41</v>
      </c>
      <c r="D5349" s="1">
        <v>46210.3830787037</v>
      </c>
      <c r="E5349" t="s">
        <v>42</v>
      </c>
      <c r="F5349" t="s">
        <v>43</v>
      </c>
      <c r="G5349" t="s">
        <v>43</v>
      </c>
      <c r="H5349" t="s">
        <v>43</v>
      </c>
      <c r="I5349" t="s">
        <v>3019</v>
      </c>
      <c r="J5349" t="s">
        <v>43</v>
      </c>
      <c r="K5349" t="s">
        <v>43</v>
      </c>
      <c r="L5349" t="s">
        <v>43</v>
      </c>
      <c r="M5349" t="s">
        <v>43</v>
      </c>
      <c r="N5349" t="s">
        <v>45</v>
      </c>
      <c r="O5349" t="s">
        <v>43</v>
      </c>
      <c r="P5349" t="s">
        <v>43</v>
      </c>
      <c r="Q5349" t="s">
        <v>43</v>
      </c>
      <c r="R5349" t="s">
        <v>43</v>
      </c>
      <c r="S5349" t="s">
        <v>43</v>
      </c>
      <c r="T5349" t="s">
        <v>43</v>
      </c>
      <c r="U5349" t="s">
        <v>43</v>
      </c>
      <c r="V5349" t="s">
        <v>43</v>
      </c>
      <c r="W5349" t="s">
        <v>43</v>
      </c>
      <c r="X5349" t="s">
        <v>43</v>
      </c>
      <c r="Y5349" t="s">
        <v>43</v>
      </c>
      <c r="Z5349" t="s">
        <v>43</v>
      </c>
      <c r="AA5349" t="s">
        <v>43</v>
      </c>
      <c r="AB5349" t="s">
        <v>43</v>
      </c>
      <c r="AC5349" t="s">
        <v>43</v>
      </c>
      <c r="AD5349" t="s">
        <v>43</v>
      </c>
      <c r="AE5349" t="s">
        <v>43</v>
      </c>
      <c r="AF5349" t="s">
        <v>43</v>
      </c>
      <c r="AG5349" t="s">
        <v>43</v>
      </c>
      <c r="AH5349" t="s">
        <v>43</v>
      </c>
      <c r="AI5349" t="s">
        <v>43</v>
      </c>
      <c r="AJ5349" t="s">
        <v>43</v>
      </c>
      <c r="AK5349" t="s">
        <v>43</v>
      </c>
      <c r="AL5349" t="s">
        <v>43</v>
      </c>
      <c r="AM5349" t="s">
        <v>43</v>
      </c>
      <c r="AN5349" t="str">
        <f>HYPERLINK("https://www.google.com/maps?q=10.83217907,79.84008789","Open Location")</f>
        <v>Open Location</v>
      </c>
    </row>
    <row r="5350" spans="1:40" x14ac:dyDescent="0.3">
      <c r="A5350" s="1">
        <v>46210.38009259259</v>
      </c>
      <c r="B5350" t="s">
        <v>40</v>
      </c>
      <c r="C5350" t="s">
        <v>41</v>
      </c>
      <c r="D5350" s="1">
        <v>46210.3830787037</v>
      </c>
      <c r="E5350" t="s">
        <v>42</v>
      </c>
      <c r="F5350" t="s">
        <v>43</v>
      </c>
      <c r="G5350" t="s">
        <v>43</v>
      </c>
      <c r="H5350" t="s">
        <v>43</v>
      </c>
      <c r="I5350" t="s">
        <v>43</v>
      </c>
      <c r="J5350" t="s">
        <v>43</v>
      </c>
      <c r="K5350" t="s">
        <v>43</v>
      </c>
      <c r="L5350" t="s">
        <v>43</v>
      </c>
      <c r="M5350" t="s">
        <v>43</v>
      </c>
      <c r="N5350" t="s">
        <v>45</v>
      </c>
      <c r="O5350" t="s">
        <v>43</v>
      </c>
      <c r="P5350" t="s">
        <v>43</v>
      </c>
      <c r="Q5350" t="s">
        <v>43</v>
      </c>
      <c r="R5350" t="s">
        <v>43</v>
      </c>
      <c r="S5350" t="s">
        <v>43</v>
      </c>
      <c r="T5350" t="s">
        <v>43</v>
      </c>
      <c r="U5350" t="s">
        <v>43</v>
      </c>
      <c r="V5350" t="s">
        <v>43</v>
      </c>
      <c r="W5350" t="s">
        <v>43</v>
      </c>
      <c r="X5350" t="s">
        <v>43</v>
      </c>
      <c r="Y5350" t="s">
        <v>43</v>
      </c>
      <c r="Z5350" t="s">
        <v>43</v>
      </c>
      <c r="AA5350" t="s">
        <v>43</v>
      </c>
      <c r="AB5350" t="s">
        <v>43</v>
      </c>
      <c r="AC5350" t="s">
        <v>43</v>
      </c>
      <c r="AD5350" t="s">
        <v>43</v>
      </c>
      <c r="AE5350" t="s">
        <v>43</v>
      </c>
      <c r="AF5350" t="s">
        <v>43</v>
      </c>
      <c r="AG5350" t="s">
        <v>43</v>
      </c>
      <c r="AH5350" t="s">
        <v>43</v>
      </c>
      <c r="AI5350" t="s">
        <v>43</v>
      </c>
      <c r="AJ5350" t="s">
        <v>43</v>
      </c>
      <c r="AK5350" t="s">
        <v>43</v>
      </c>
      <c r="AL5350" t="s">
        <v>43</v>
      </c>
      <c r="AM5350" t="s">
        <v>43</v>
      </c>
      <c r="AN5350" t="s">
        <v>43</v>
      </c>
    </row>
    <row r="5351" spans="1:40" x14ac:dyDescent="0.3">
      <c r="A5351" s="1">
        <v>46210.379976851851</v>
      </c>
      <c r="B5351" t="s">
        <v>40</v>
      </c>
      <c r="C5351" t="s">
        <v>41</v>
      </c>
      <c r="D5351" s="1">
        <v>46210.382824074077</v>
      </c>
      <c r="E5351" t="s">
        <v>42</v>
      </c>
      <c r="F5351" t="s">
        <v>43</v>
      </c>
      <c r="G5351" t="s">
        <v>43</v>
      </c>
      <c r="H5351" t="s">
        <v>43</v>
      </c>
      <c r="I5351" t="s">
        <v>3020</v>
      </c>
      <c r="J5351" t="s">
        <v>43</v>
      </c>
      <c r="K5351" t="s">
        <v>43</v>
      </c>
      <c r="L5351" t="s">
        <v>43</v>
      </c>
      <c r="M5351" t="s">
        <v>43</v>
      </c>
      <c r="N5351" t="s">
        <v>45</v>
      </c>
      <c r="O5351" t="s">
        <v>43</v>
      </c>
      <c r="P5351" t="s">
        <v>43</v>
      </c>
      <c r="Q5351" t="s">
        <v>43</v>
      </c>
      <c r="R5351" t="s">
        <v>43</v>
      </c>
      <c r="S5351" t="s">
        <v>43</v>
      </c>
      <c r="T5351" t="s">
        <v>43</v>
      </c>
      <c r="U5351" t="s">
        <v>43</v>
      </c>
      <c r="V5351" t="s">
        <v>43</v>
      </c>
      <c r="W5351" t="s">
        <v>43</v>
      </c>
      <c r="X5351" t="s">
        <v>43</v>
      </c>
      <c r="Y5351" t="s">
        <v>43</v>
      </c>
      <c r="Z5351" t="s">
        <v>43</v>
      </c>
      <c r="AA5351" t="s">
        <v>43</v>
      </c>
      <c r="AB5351" t="s">
        <v>43</v>
      </c>
      <c r="AC5351" t="s">
        <v>43</v>
      </c>
      <c r="AD5351" t="s">
        <v>43</v>
      </c>
      <c r="AE5351" t="s">
        <v>43</v>
      </c>
      <c r="AF5351" t="s">
        <v>43</v>
      </c>
      <c r="AG5351" t="s">
        <v>43</v>
      </c>
      <c r="AH5351" t="s">
        <v>43</v>
      </c>
      <c r="AI5351" t="s">
        <v>43</v>
      </c>
      <c r="AJ5351" t="s">
        <v>43</v>
      </c>
      <c r="AK5351" t="s">
        <v>43</v>
      </c>
      <c r="AL5351" t="s">
        <v>43</v>
      </c>
      <c r="AM5351" t="s">
        <v>43</v>
      </c>
      <c r="AN5351" t="str">
        <f>HYPERLINK("https://www.google.com/maps?q=10.83217716,79.84008026","Open Location")</f>
        <v>Open Location</v>
      </c>
    </row>
    <row r="5352" spans="1:40" x14ac:dyDescent="0.3">
      <c r="A5352" s="1">
        <v>46210.379861111112</v>
      </c>
      <c r="B5352" t="s">
        <v>40</v>
      </c>
      <c r="C5352" t="s">
        <v>41</v>
      </c>
      <c r="D5352" s="1">
        <v>46210.383171296293</v>
      </c>
      <c r="E5352" t="s">
        <v>42</v>
      </c>
      <c r="F5352" t="s">
        <v>43</v>
      </c>
      <c r="G5352" t="s">
        <v>43</v>
      </c>
      <c r="H5352" t="s">
        <v>43</v>
      </c>
      <c r="I5352" t="s">
        <v>3021</v>
      </c>
      <c r="J5352" t="s">
        <v>43</v>
      </c>
      <c r="K5352" t="s">
        <v>43</v>
      </c>
      <c r="L5352" t="s">
        <v>43</v>
      </c>
      <c r="M5352" t="s">
        <v>43</v>
      </c>
      <c r="N5352" t="s">
        <v>45</v>
      </c>
      <c r="O5352" t="s">
        <v>43</v>
      </c>
      <c r="P5352" t="s">
        <v>43</v>
      </c>
      <c r="Q5352" t="s">
        <v>43</v>
      </c>
      <c r="R5352" t="s">
        <v>43</v>
      </c>
      <c r="S5352" t="s">
        <v>43</v>
      </c>
      <c r="T5352" t="s">
        <v>43</v>
      </c>
      <c r="U5352" t="s">
        <v>43</v>
      </c>
      <c r="V5352" t="s">
        <v>43</v>
      </c>
      <c r="W5352" t="s">
        <v>43</v>
      </c>
      <c r="X5352" t="s">
        <v>43</v>
      </c>
      <c r="Y5352" t="s">
        <v>43</v>
      </c>
      <c r="Z5352" t="s">
        <v>43</v>
      </c>
      <c r="AA5352" t="s">
        <v>43</v>
      </c>
      <c r="AB5352" t="s">
        <v>43</v>
      </c>
      <c r="AC5352" t="s">
        <v>43</v>
      </c>
      <c r="AD5352" t="s">
        <v>43</v>
      </c>
      <c r="AE5352" t="s">
        <v>43</v>
      </c>
      <c r="AF5352" t="s">
        <v>43</v>
      </c>
      <c r="AG5352" t="s">
        <v>43</v>
      </c>
      <c r="AH5352" t="s">
        <v>43</v>
      </c>
      <c r="AI5352" t="s">
        <v>43</v>
      </c>
      <c r="AJ5352" t="s">
        <v>43</v>
      </c>
      <c r="AK5352" t="s">
        <v>43</v>
      </c>
      <c r="AL5352" t="s">
        <v>43</v>
      </c>
      <c r="AM5352" t="s">
        <v>43</v>
      </c>
      <c r="AN5352" t="str">
        <f>HYPERLINK("https://www.google.com/maps?q=10.83217621,79.84007263","Open Location")</f>
        <v>Open Location</v>
      </c>
    </row>
    <row r="5353" spans="1:40" x14ac:dyDescent="0.3">
      <c r="A5353" s="1">
        <v>46210.379745370374</v>
      </c>
      <c r="B5353" t="s">
        <v>40</v>
      </c>
      <c r="C5353" t="s">
        <v>41</v>
      </c>
      <c r="D5353" s="1">
        <v>46210.382557870369</v>
      </c>
      <c r="E5353" t="s">
        <v>42</v>
      </c>
      <c r="F5353" t="s">
        <v>43</v>
      </c>
      <c r="G5353" t="s">
        <v>43</v>
      </c>
      <c r="H5353" t="s">
        <v>43</v>
      </c>
      <c r="I5353" t="s">
        <v>3022</v>
      </c>
      <c r="J5353" t="s">
        <v>43</v>
      </c>
      <c r="K5353" t="s">
        <v>43</v>
      </c>
      <c r="L5353" t="s">
        <v>43</v>
      </c>
      <c r="M5353" t="s">
        <v>43</v>
      </c>
      <c r="N5353" t="s">
        <v>45</v>
      </c>
      <c r="O5353" t="s">
        <v>43</v>
      </c>
      <c r="P5353" t="s">
        <v>43</v>
      </c>
      <c r="Q5353" t="s">
        <v>43</v>
      </c>
      <c r="R5353" t="s">
        <v>43</v>
      </c>
      <c r="S5353" t="s">
        <v>43</v>
      </c>
      <c r="T5353" t="s">
        <v>43</v>
      </c>
      <c r="U5353" t="s">
        <v>43</v>
      </c>
      <c r="V5353" t="s">
        <v>43</v>
      </c>
      <c r="W5353" t="s">
        <v>43</v>
      </c>
      <c r="X5353" t="s">
        <v>43</v>
      </c>
      <c r="Y5353" t="s">
        <v>43</v>
      </c>
      <c r="Z5353" t="s">
        <v>43</v>
      </c>
      <c r="AA5353" t="s">
        <v>43</v>
      </c>
      <c r="AB5353" t="s">
        <v>43</v>
      </c>
      <c r="AC5353" t="s">
        <v>43</v>
      </c>
      <c r="AD5353" t="s">
        <v>43</v>
      </c>
      <c r="AE5353" t="s">
        <v>43</v>
      </c>
      <c r="AF5353" t="s">
        <v>43</v>
      </c>
      <c r="AG5353" t="s">
        <v>43</v>
      </c>
      <c r="AH5353" t="s">
        <v>43</v>
      </c>
      <c r="AI5353" t="s">
        <v>43</v>
      </c>
      <c r="AJ5353" t="s">
        <v>43</v>
      </c>
      <c r="AK5353" t="s">
        <v>43</v>
      </c>
      <c r="AL5353" t="s">
        <v>43</v>
      </c>
      <c r="AM5353" t="s">
        <v>43</v>
      </c>
      <c r="AN5353" t="str">
        <f>HYPERLINK("https://www.google.com/maps?q=10.83217525,79.840065","Open Location")</f>
        <v>Open Location</v>
      </c>
    </row>
    <row r="5354" spans="1:40" x14ac:dyDescent="0.3">
      <c r="A5354" s="1">
        <v>46210.379629629628</v>
      </c>
      <c r="B5354" t="s">
        <v>40</v>
      </c>
      <c r="C5354" t="s">
        <v>41</v>
      </c>
      <c r="D5354" s="1">
        <v>46210.382557870369</v>
      </c>
      <c r="E5354" t="s">
        <v>42</v>
      </c>
      <c r="F5354" t="s">
        <v>43</v>
      </c>
      <c r="G5354" t="s">
        <v>43</v>
      </c>
      <c r="H5354" t="s">
        <v>43</v>
      </c>
      <c r="I5354" t="s">
        <v>3023</v>
      </c>
      <c r="J5354" t="s">
        <v>43</v>
      </c>
      <c r="K5354" t="s">
        <v>43</v>
      </c>
      <c r="L5354" t="s">
        <v>43</v>
      </c>
      <c r="M5354" t="s">
        <v>43</v>
      </c>
      <c r="N5354" t="s">
        <v>45</v>
      </c>
      <c r="O5354" t="s">
        <v>43</v>
      </c>
      <c r="P5354" t="s">
        <v>43</v>
      </c>
      <c r="Q5354" t="s">
        <v>43</v>
      </c>
      <c r="R5354" t="s">
        <v>43</v>
      </c>
      <c r="S5354" t="s">
        <v>43</v>
      </c>
      <c r="T5354" t="s">
        <v>43</v>
      </c>
      <c r="U5354" t="s">
        <v>43</v>
      </c>
      <c r="V5354" t="s">
        <v>43</v>
      </c>
      <c r="W5354" t="s">
        <v>43</v>
      </c>
      <c r="X5354" t="s">
        <v>43</v>
      </c>
      <c r="Y5354" t="s">
        <v>43</v>
      </c>
      <c r="Z5354" t="s">
        <v>43</v>
      </c>
      <c r="AA5354" t="s">
        <v>43</v>
      </c>
      <c r="AB5354" t="s">
        <v>43</v>
      </c>
      <c r="AC5354" t="s">
        <v>43</v>
      </c>
      <c r="AD5354" t="s">
        <v>43</v>
      </c>
      <c r="AE5354" t="s">
        <v>43</v>
      </c>
      <c r="AF5354" t="s">
        <v>43</v>
      </c>
      <c r="AG5354" t="s">
        <v>43</v>
      </c>
      <c r="AH5354" t="s">
        <v>43</v>
      </c>
      <c r="AI5354" t="s">
        <v>43</v>
      </c>
      <c r="AJ5354" t="s">
        <v>43</v>
      </c>
      <c r="AK5354" t="s">
        <v>43</v>
      </c>
      <c r="AL5354" t="s">
        <v>43</v>
      </c>
      <c r="AM5354" t="s">
        <v>43</v>
      </c>
      <c r="AN5354" t="str">
        <f>HYPERLINK("https://www.google.com/maps?q=10.83217621,79.840065","Open Location")</f>
        <v>Open Location</v>
      </c>
    </row>
    <row r="5355" spans="1:40" x14ac:dyDescent="0.3">
      <c r="A5355" s="1">
        <v>46210.379513888889</v>
      </c>
      <c r="B5355" t="s">
        <v>40</v>
      </c>
      <c r="C5355" t="s">
        <v>41</v>
      </c>
      <c r="D5355" s="1">
        <v>46210.382557870369</v>
      </c>
      <c r="E5355" t="s">
        <v>42</v>
      </c>
      <c r="F5355" t="s">
        <v>43</v>
      </c>
      <c r="G5355" t="s">
        <v>43</v>
      </c>
      <c r="H5355" t="s">
        <v>43</v>
      </c>
      <c r="I5355" t="s">
        <v>3024</v>
      </c>
      <c r="J5355" t="s">
        <v>43</v>
      </c>
      <c r="K5355" t="s">
        <v>43</v>
      </c>
      <c r="L5355" t="s">
        <v>43</v>
      </c>
      <c r="M5355" t="s">
        <v>43</v>
      </c>
      <c r="N5355" t="s">
        <v>45</v>
      </c>
      <c r="O5355" t="s">
        <v>43</v>
      </c>
      <c r="P5355" t="s">
        <v>43</v>
      </c>
      <c r="Q5355" t="s">
        <v>43</v>
      </c>
      <c r="R5355" t="s">
        <v>43</v>
      </c>
      <c r="S5355" t="s">
        <v>43</v>
      </c>
      <c r="T5355" t="s">
        <v>43</v>
      </c>
      <c r="U5355" t="s">
        <v>43</v>
      </c>
      <c r="V5355" t="s">
        <v>43</v>
      </c>
      <c r="W5355" t="s">
        <v>43</v>
      </c>
      <c r="X5355" t="s">
        <v>43</v>
      </c>
      <c r="Y5355" t="s">
        <v>43</v>
      </c>
      <c r="Z5355" t="s">
        <v>43</v>
      </c>
      <c r="AA5355" t="s">
        <v>43</v>
      </c>
      <c r="AB5355" t="s">
        <v>43</v>
      </c>
      <c r="AC5355" t="s">
        <v>43</v>
      </c>
      <c r="AD5355" t="s">
        <v>43</v>
      </c>
      <c r="AE5355" t="s">
        <v>43</v>
      </c>
      <c r="AF5355" t="s">
        <v>43</v>
      </c>
      <c r="AG5355" t="s">
        <v>43</v>
      </c>
      <c r="AH5355" t="s">
        <v>43</v>
      </c>
      <c r="AI5355" t="s">
        <v>43</v>
      </c>
      <c r="AJ5355" t="s">
        <v>43</v>
      </c>
      <c r="AK5355" t="s">
        <v>43</v>
      </c>
      <c r="AL5355" t="s">
        <v>43</v>
      </c>
      <c r="AM5355" t="s">
        <v>43</v>
      </c>
      <c r="AN5355" t="str">
        <f>HYPERLINK("https://www.google.com/maps?q=10.83217907,79.840065","Open Location")</f>
        <v>Open Location</v>
      </c>
    </row>
    <row r="5356" spans="1:40" x14ac:dyDescent="0.3">
      <c r="A5356" s="1">
        <v>46210.37939814815</v>
      </c>
      <c r="B5356" t="s">
        <v>40</v>
      </c>
      <c r="C5356" t="s">
        <v>41</v>
      </c>
      <c r="D5356" s="1">
        <v>46210.382326388892</v>
      </c>
      <c r="E5356" t="s">
        <v>42</v>
      </c>
      <c r="F5356" t="s">
        <v>43</v>
      </c>
      <c r="G5356" t="s">
        <v>43</v>
      </c>
      <c r="H5356" t="s">
        <v>43</v>
      </c>
      <c r="I5356" t="s">
        <v>43</v>
      </c>
      <c r="J5356" t="s">
        <v>43</v>
      </c>
      <c r="K5356" t="s">
        <v>43</v>
      </c>
      <c r="L5356" t="s">
        <v>43</v>
      </c>
      <c r="M5356" t="s">
        <v>43</v>
      </c>
      <c r="N5356" t="s">
        <v>45</v>
      </c>
      <c r="O5356" t="s">
        <v>43</v>
      </c>
      <c r="P5356" t="s">
        <v>43</v>
      </c>
      <c r="Q5356" t="s">
        <v>43</v>
      </c>
      <c r="R5356" t="s">
        <v>43</v>
      </c>
      <c r="S5356" t="s">
        <v>43</v>
      </c>
      <c r="T5356" t="s">
        <v>43</v>
      </c>
      <c r="U5356" t="s">
        <v>43</v>
      </c>
      <c r="V5356" t="s">
        <v>43</v>
      </c>
      <c r="W5356" t="s">
        <v>43</v>
      </c>
      <c r="X5356" t="s">
        <v>43</v>
      </c>
      <c r="Y5356" t="s">
        <v>43</v>
      </c>
      <c r="Z5356" t="s">
        <v>43</v>
      </c>
      <c r="AA5356" t="s">
        <v>43</v>
      </c>
      <c r="AB5356" t="s">
        <v>43</v>
      </c>
      <c r="AC5356" t="s">
        <v>43</v>
      </c>
      <c r="AD5356" t="s">
        <v>43</v>
      </c>
      <c r="AE5356" t="s">
        <v>43</v>
      </c>
      <c r="AF5356" t="s">
        <v>43</v>
      </c>
      <c r="AG5356" t="s">
        <v>43</v>
      </c>
      <c r="AH5356" t="s">
        <v>43</v>
      </c>
      <c r="AI5356" t="s">
        <v>43</v>
      </c>
      <c r="AJ5356" t="s">
        <v>43</v>
      </c>
      <c r="AK5356" t="s">
        <v>43</v>
      </c>
      <c r="AL5356" t="s">
        <v>43</v>
      </c>
      <c r="AM5356" t="s">
        <v>43</v>
      </c>
      <c r="AN5356" t="s">
        <v>43</v>
      </c>
    </row>
    <row r="5357" spans="1:40" x14ac:dyDescent="0.3">
      <c r="A5357" s="1">
        <v>46210.379282407404</v>
      </c>
      <c r="B5357" t="s">
        <v>40</v>
      </c>
      <c r="C5357" t="s">
        <v>41</v>
      </c>
      <c r="D5357" s="1">
        <v>46210.382291666669</v>
      </c>
      <c r="E5357" t="s">
        <v>42</v>
      </c>
      <c r="F5357" t="s">
        <v>43</v>
      </c>
      <c r="G5357" t="s">
        <v>43</v>
      </c>
      <c r="H5357" t="s">
        <v>43</v>
      </c>
      <c r="I5357" t="s">
        <v>3025</v>
      </c>
      <c r="J5357" t="s">
        <v>43</v>
      </c>
      <c r="K5357" t="s">
        <v>43</v>
      </c>
      <c r="L5357" t="s">
        <v>43</v>
      </c>
      <c r="M5357" t="s">
        <v>43</v>
      </c>
      <c r="N5357" t="s">
        <v>45</v>
      </c>
      <c r="O5357" t="s">
        <v>43</v>
      </c>
      <c r="P5357" t="s">
        <v>43</v>
      </c>
      <c r="Q5357" t="s">
        <v>43</v>
      </c>
      <c r="R5357" t="s">
        <v>43</v>
      </c>
      <c r="S5357" t="s">
        <v>43</v>
      </c>
      <c r="T5357" t="s">
        <v>43</v>
      </c>
      <c r="U5357" t="s">
        <v>43</v>
      </c>
      <c r="V5357" t="s">
        <v>43</v>
      </c>
      <c r="W5357" t="s">
        <v>43</v>
      </c>
      <c r="X5357" t="s">
        <v>43</v>
      </c>
      <c r="Y5357" t="s">
        <v>43</v>
      </c>
      <c r="Z5357" t="s">
        <v>43</v>
      </c>
      <c r="AA5357" t="s">
        <v>43</v>
      </c>
      <c r="AB5357" t="s">
        <v>43</v>
      </c>
      <c r="AC5357" t="s">
        <v>43</v>
      </c>
      <c r="AD5357" t="s">
        <v>43</v>
      </c>
      <c r="AE5357" t="s">
        <v>43</v>
      </c>
      <c r="AF5357" t="s">
        <v>43</v>
      </c>
      <c r="AG5357" t="s">
        <v>43</v>
      </c>
      <c r="AH5357" t="s">
        <v>43</v>
      </c>
      <c r="AI5357" t="s">
        <v>43</v>
      </c>
      <c r="AJ5357" t="s">
        <v>43</v>
      </c>
      <c r="AK5357" t="s">
        <v>43</v>
      </c>
      <c r="AL5357" t="s">
        <v>43</v>
      </c>
      <c r="AM5357" t="s">
        <v>43</v>
      </c>
      <c r="AN5357" t="str">
        <f>HYPERLINK("https://www.google.com/maps?q=10.83218193,79.84005737","Open Location")</f>
        <v>Open Location</v>
      </c>
    </row>
    <row r="5358" spans="1:40" x14ac:dyDescent="0.3">
      <c r="A5358" s="1">
        <v>46210.379166666666</v>
      </c>
      <c r="B5358" t="s">
        <v>40</v>
      </c>
      <c r="C5358" t="s">
        <v>41</v>
      </c>
      <c r="D5358" s="1">
        <v>46210.382256944446</v>
      </c>
      <c r="E5358" t="s">
        <v>42</v>
      </c>
      <c r="F5358" t="s">
        <v>43</v>
      </c>
      <c r="G5358" t="s">
        <v>43</v>
      </c>
      <c r="H5358" t="s">
        <v>43</v>
      </c>
      <c r="I5358" t="s">
        <v>3025</v>
      </c>
      <c r="J5358" t="s">
        <v>43</v>
      </c>
      <c r="K5358" t="s">
        <v>43</v>
      </c>
      <c r="L5358" t="s">
        <v>43</v>
      </c>
      <c r="M5358" t="s">
        <v>43</v>
      </c>
      <c r="N5358" t="s">
        <v>45</v>
      </c>
      <c r="O5358" t="s">
        <v>43</v>
      </c>
      <c r="P5358" t="s">
        <v>43</v>
      </c>
      <c r="Q5358" t="s">
        <v>43</v>
      </c>
      <c r="R5358" t="s">
        <v>43</v>
      </c>
      <c r="S5358" t="s">
        <v>43</v>
      </c>
      <c r="T5358" t="s">
        <v>43</v>
      </c>
      <c r="U5358" t="s">
        <v>43</v>
      </c>
      <c r="V5358" t="s">
        <v>43</v>
      </c>
      <c r="W5358" t="s">
        <v>43</v>
      </c>
      <c r="X5358" t="s">
        <v>43</v>
      </c>
      <c r="Y5358" t="s">
        <v>43</v>
      </c>
      <c r="Z5358" t="s">
        <v>43</v>
      </c>
      <c r="AA5358" t="s">
        <v>43</v>
      </c>
      <c r="AB5358" t="s">
        <v>43</v>
      </c>
      <c r="AC5358" t="s">
        <v>43</v>
      </c>
      <c r="AD5358" t="s">
        <v>43</v>
      </c>
      <c r="AE5358" t="s">
        <v>43</v>
      </c>
      <c r="AF5358" t="s">
        <v>43</v>
      </c>
      <c r="AG5358" t="s">
        <v>43</v>
      </c>
      <c r="AH5358" t="s">
        <v>43</v>
      </c>
      <c r="AI5358" t="s">
        <v>43</v>
      </c>
      <c r="AJ5358" t="s">
        <v>43</v>
      </c>
      <c r="AK5358" t="s">
        <v>43</v>
      </c>
      <c r="AL5358" t="s">
        <v>43</v>
      </c>
      <c r="AM5358" t="s">
        <v>43</v>
      </c>
      <c r="AN5358" t="str">
        <f>HYPERLINK("https://www.google.com/maps?q=10.83218193,79.84005737","Open Location")</f>
        <v>Open Location</v>
      </c>
    </row>
    <row r="5359" spans="1:40" x14ac:dyDescent="0.3">
      <c r="A5359" s="1">
        <v>46210.379050925927</v>
      </c>
      <c r="B5359" t="s">
        <v>40</v>
      </c>
      <c r="C5359" t="s">
        <v>41</v>
      </c>
      <c r="D5359" s="1">
        <v>46210.382118055553</v>
      </c>
      <c r="E5359" t="s">
        <v>42</v>
      </c>
      <c r="F5359" t="s">
        <v>43</v>
      </c>
      <c r="G5359" t="s">
        <v>43</v>
      </c>
      <c r="H5359" t="s">
        <v>43</v>
      </c>
      <c r="I5359" t="s">
        <v>3026</v>
      </c>
      <c r="J5359" t="s">
        <v>43</v>
      </c>
      <c r="K5359" t="s">
        <v>43</v>
      </c>
      <c r="L5359" t="s">
        <v>43</v>
      </c>
      <c r="M5359" t="s">
        <v>43</v>
      </c>
      <c r="N5359" t="s">
        <v>45</v>
      </c>
      <c r="O5359" t="s">
        <v>43</v>
      </c>
      <c r="P5359" t="s">
        <v>43</v>
      </c>
      <c r="Q5359" t="s">
        <v>43</v>
      </c>
      <c r="R5359" t="s">
        <v>43</v>
      </c>
      <c r="S5359" t="s">
        <v>43</v>
      </c>
      <c r="T5359" t="s">
        <v>43</v>
      </c>
      <c r="U5359" t="s">
        <v>43</v>
      </c>
      <c r="V5359" t="s">
        <v>43</v>
      </c>
      <c r="W5359" t="s">
        <v>43</v>
      </c>
      <c r="X5359" t="s">
        <v>43</v>
      </c>
      <c r="Y5359" t="s">
        <v>43</v>
      </c>
      <c r="Z5359" t="s">
        <v>43</v>
      </c>
      <c r="AA5359" t="s">
        <v>43</v>
      </c>
      <c r="AB5359" t="s">
        <v>43</v>
      </c>
      <c r="AC5359" t="s">
        <v>43</v>
      </c>
      <c r="AD5359" t="s">
        <v>43</v>
      </c>
      <c r="AE5359" t="s">
        <v>43</v>
      </c>
      <c r="AF5359" t="s">
        <v>43</v>
      </c>
      <c r="AG5359" t="s">
        <v>43</v>
      </c>
      <c r="AH5359" t="s">
        <v>43</v>
      </c>
      <c r="AI5359" t="s">
        <v>43</v>
      </c>
      <c r="AJ5359" t="s">
        <v>43</v>
      </c>
      <c r="AK5359" t="s">
        <v>43</v>
      </c>
      <c r="AL5359" t="s">
        <v>43</v>
      </c>
      <c r="AM5359" t="s">
        <v>43</v>
      </c>
      <c r="AN5359" t="str">
        <f>HYPERLINK("https://www.google.com/maps?q=10.83218575,79.840065","Open Location")</f>
        <v>Open Location</v>
      </c>
    </row>
    <row r="5360" spans="1:40" x14ac:dyDescent="0.3">
      <c r="A5360" s="1">
        <v>46210.378935185188</v>
      </c>
      <c r="B5360" t="s">
        <v>40</v>
      </c>
      <c r="C5360" t="s">
        <v>41</v>
      </c>
      <c r="D5360" s="1">
        <v>46210.382268518515</v>
      </c>
      <c r="E5360" t="s">
        <v>42</v>
      </c>
      <c r="F5360" t="s">
        <v>43</v>
      </c>
      <c r="G5360" t="s">
        <v>43</v>
      </c>
      <c r="H5360" t="s">
        <v>43</v>
      </c>
      <c r="I5360" t="s">
        <v>3027</v>
      </c>
      <c r="J5360" t="s">
        <v>43</v>
      </c>
      <c r="K5360" t="s">
        <v>43</v>
      </c>
      <c r="L5360" t="s">
        <v>43</v>
      </c>
      <c r="M5360" t="s">
        <v>43</v>
      </c>
      <c r="N5360" t="s">
        <v>45</v>
      </c>
      <c r="O5360" t="s">
        <v>43</v>
      </c>
      <c r="P5360" t="s">
        <v>43</v>
      </c>
      <c r="Q5360" t="s">
        <v>43</v>
      </c>
      <c r="R5360" t="s">
        <v>43</v>
      </c>
      <c r="S5360" t="s">
        <v>43</v>
      </c>
      <c r="T5360" t="s">
        <v>43</v>
      </c>
      <c r="U5360" t="s">
        <v>43</v>
      </c>
      <c r="V5360" t="s">
        <v>43</v>
      </c>
      <c r="W5360" t="s">
        <v>43</v>
      </c>
      <c r="X5360" t="s">
        <v>43</v>
      </c>
      <c r="Y5360" t="s">
        <v>43</v>
      </c>
      <c r="Z5360" t="s">
        <v>43</v>
      </c>
      <c r="AA5360" t="s">
        <v>43</v>
      </c>
      <c r="AB5360" t="s">
        <v>43</v>
      </c>
      <c r="AC5360" t="s">
        <v>43</v>
      </c>
      <c r="AD5360" t="s">
        <v>43</v>
      </c>
      <c r="AE5360" t="s">
        <v>43</v>
      </c>
      <c r="AF5360" t="s">
        <v>43</v>
      </c>
      <c r="AG5360" t="s">
        <v>43</v>
      </c>
      <c r="AH5360" t="s">
        <v>43</v>
      </c>
      <c r="AI5360" t="s">
        <v>43</v>
      </c>
      <c r="AJ5360" t="s">
        <v>43</v>
      </c>
      <c r="AK5360" t="s">
        <v>43</v>
      </c>
      <c r="AL5360" t="s">
        <v>43</v>
      </c>
      <c r="AM5360" t="s">
        <v>43</v>
      </c>
      <c r="AN5360" t="str">
        <f>HYPERLINK("https://www.google.com/maps?q=10.83218956,79.840065","Open Location")</f>
        <v>Open Location</v>
      </c>
    </row>
    <row r="5361" spans="1:40" x14ac:dyDescent="0.3">
      <c r="A5361" s="1">
        <v>46210.378819444442</v>
      </c>
      <c r="B5361" t="s">
        <v>40</v>
      </c>
      <c r="C5361" t="s">
        <v>41</v>
      </c>
      <c r="D5361" s="1">
        <v>46210.381909722222</v>
      </c>
      <c r="E5361" t="s">
        <v>42</v>
      </c>
      <c r="F5361" t="s">
        <v>43</v>
      </c>
      <c r="G5361" t="s">
        <v>43</v>
      </c>
      <c r="H5361" t="s">
        <v>43</v>
      </c>
      <c r="I5361" t="s">
        <v>3028</v>
      </c>
      <c r="J5361" t="s">
        <v>43</v>
      </c>
      <c r="K5361" t="s">
        <v>43</v>
      </c>
      <c r="L5361" t="s">
        <v>43</v>
      </c>
      <c r="M5361" t="s">
        <v>43</v>
      </c>
      <c r="N5361" t="s">
        <v>45</v>
      </c>
      <c r="O5361" t="s">
        <v>43</v>
      </c>
      <c r="P5361" t="s">
        <v>43</v>
      </c>
      <c r="Q5361" t="s">
        <v>43</v>
      </c>
      <c r="R5361" t="s">
        <v>43</v>
      </c>
      <c r="S5361" t="s">
        <v>43</v>
      </c>
      <c r="T5361" t="s">
        <v>43</v>
      </c>
      <c r="U5361" t="s">
        <v>43</v>
      </c>
      <c r="V5361" t="s">
        <v>43</v>
      </c>
      <c r="W5361" t="s">
        <v>43</v>
      </c>
      <c r="X5361" t="s">
        <v>43</v>
      </c>
      <c r="Y5361" t="s">
        <v>43</v>
      </c>
      <c r="Z5361" t="s">
        <v>43</v>
      </c>
      <c r="AA5361" t="s">
        <v>43</v>
      </c>
      <c r="AB5361" t="s">
        <v>43</v>
      </c>
      <c r="AC5361" t="s">
        <v>43</v>
      </c>
      <c r="AD5361" t="s">
        <v>43</v>
      </c>
      <c r="AE5361" t="s">
        <v>43</v>
      </c>
      <c r="AF5361" t="s">
        <v>43</v>
      </c>
      <c r="AG5361" t="s">
        <v>43</v>
      </c>
      <c r="AH5361" t="s">
        <v>43</v>
      </c>
      <c r="AI5361" t="s">
        <v>43</v>
      </c>
      <c r="AJ5361" t="s">
        <v>43</v>
      </c>
      <c r="AK5361" t="s">
        <v>43</v>
      </c>
      <c r="AL5361" t="s">
        <v>43</v>
      </c>
      <c r="AM5361" t="s">
        <v>43</v>
      </c>
      <c r="AN5361" t="str">
        <f>HYPERLINK("https://www.google.com/maps?q=10.83219242,79.840065","Open Location")</f>
        <v>Open Location</v>
      </c>
    </row>
    <row r="5362" spans="1:40" x14ac:dyDescent="0.3">
      <c r="A5362" s="1">
        <v>46210.378703703704</v>
      </c>
      <c r="B5362" t="s">
        <v>40</v>
      </c>
      <c r="C5362" t="s">
        <v>41</v>
      </c>
      <c r="D5362" s="1">
        <v>46210.381550925929</v>
      </c>
      <c r="E5362" t="s">
        <v>42</v>
      </c>
      <c r="F5362" t="s">
        <v>43</v>
      </c>
      <c r="G5362" t="s">
        <v>43</v>
      </c>
      <c r="H5362" t="s">
        <v>43</v>
      </c>
      <c r="I5362" t="s">
        <v>43</v>
      </c>
      <c r="J5362" t="s">
        <v>43</v>
      </c>
      <c r="K5362" t="s">
        <v>43</v>
      </c>
      <c r="L5362" t="s">
        <v>43</v>
      </c>
      <c r="M5362" t="s">
        <v>43</v>
      </c>
      <c r="N5362" t="s">
        <v>45</v>
      </c>
      <c r="O5362" t="s">
        <v>43</v>
      </c>
      <c r="P5362" t="s">
        <v>43</v>
      </c>
      <c r="Q5362" t="s">
        <v>43</v>
      </c>
      <c r="R5362" t="s">
        <v>43</v>
      </c>
      <c r="S5362" t="s">
        <v>43</v>
      </c>
      <c r="T5362" t="s">
        <v>43</v>
      </c>
      <c r="U5362" t="s">
        <v>43</v>
      </c>
      <c r="V5362" t="s">
        <v>43</v>
      </c>
      <c r="W5362" t="s">
        <v>43</v>
      </c>
      <c r="X5362" t="s">
        <v>43</v>
      </c>
      <c r="Y5362" t="s">
        <v>43</v>
      </c>
      <c r="Z5362" t="s">
        <v>43</v>
      </c>
      <c r="AA5362" t="s">
        <v>43</v>
      </c>
      <c r="AB5362" t="s">
        <v>43</v>
      </c>
      <c r="AC5362" t="s">
        <v>43</v>
      </c>
      <c r="AD5362" t="s">
        <v>43</v>
      </c>
      <c r="AE5362" t="s">
        <v>43</v>
      </c>
      <c r="AF5362" t="s">
        <v>43</v>
      </c>
      <c r="AG5362" t="s">
        <v>43</v>
      </c>
      <c r="AH5362" t="s">
        <v>43</v>
      </c>
      <c r="AI5362" t="s">
        <v>43</v>
      </c>
      <c r="AJ5362" t="s">
        <v>43</v>
      </c>
      <c r="AK5362" t="s">
        <v>43</v>
      </c>
      <c r="AL5362" t="s">
        <v>43</v>
      </c>
      <c r="AM5362" t="s">
        <v>43</v>
      </c>
      <c r="AN5362" t="s">
        <v>43</v>
      </c>
    </row>
    <row r="5363" spans="1:40" x14ac:dyDescent="0.3">
      <c r="A5363" s="1">
        <v>46210.378587962965</v>
      </c>
      <c r="B5363" t="s">
        <v>40</v>
      </c>
      <c r="C5363" t="s">
        <v>41</v>
      </c>
      <c r="D5363" s="1">
        <v>46210.381620370368</v>
      </c>
      <c r="E5363" t="s">
        <v>42</v>
      </c>
      <c r="F5363" t="s">
        <v>43</v>
      </c>
      <c r="G5363" t="s">
        <v>43</v>
      </c>
      <c r="H5363" t="s">
        <v>43</v>
      </c>
      <c r="I5363" t="s">
        <v>3029</v>
      </c>
      <c r="J5363" t="s">
        <v>43</v>
      </c>
      <c r="K5363" t="s">
        <v>43</v>
      </c>
      <c r="L5363" t="s">
        <v>43</v>
      </c>
      <c r="M5363" t="s">
        <v>43</v>
      </c>
      <c r="N5363" t="s">
        <v>45</v>
      </c>
      <c r="O5363" t="s">
        <v>43</v>
      </c>
      <c r="P5363" t="s">
        <v>43</v>
      </c>
      <c r="Q5363" t="s">
        <v>43</v>
      </c>
      <c r="R5363" t="s">
        <v>43</v>
      </c>
      <c r="S5363" t="s">
        <v>43</v>
      </c>
      <c r="T5363" t="s">
        <v>43</v>
      </c>
      <c r="U5363" t="s">
        <v>43</v>
      </c>
      <c r="V5363" t="s">
        <v>43</v>
      </c>
      <c r="W5363" t="s">
        <v>43</v>
      </c>
      <c r="X5363" t="s">
        <v>43</v>
      </c>
      <c r="Y5363" t="s">
        <v>43</v>
      </c>
      <c r="Z5363" t="s">
        <v>43</v>
      </c>
      <c r="AA5363" t="s">
        <v>43</v>
      </c>
      <c r="AB5363" t="s">
        <v>43</v>
      </c>
      <c r="AC5363" t="s">
        <v>43</v>
      </c>
      <c r="AD5363" t="s">
        <v>43</v>
      </c>
      <c r="AE5363" t="s">
        <v>43</v>
      </c>
      <c r="AF5363" t="s">
        <v>43</v>
      </c>
      <c r="AG5363" t="s">
        <v>43</v>
      </c>
      <c r="AH5363" t="s">
        <v>43</v>
      </c>
      <c r="AI5363" t="s">
        <v>43</v>
      </c>
      <c r="AJ5363" t="s">
        <v>43</v>
      </c>
      <c r="AK5363" t="s">
        <v>43</v>
      </c>
      <c r="AL5363" t="s">
        <v>43</v>
      </c>
      <c r="AM5363" t="s">
        <v>43</v>
      </c>
      <c r="AN5363" t="str">
        <f>HYPERLINK("https://www.google.com/maps?q=10.83218765,79.84007263","Open Location")</f>
        <v>Open Location</v>
      </c>
    </row>
    <row r="5364" spans="1:40" x14ac:dyDescent="0.3">
      <c r="A5364" s="1">
        <v>46210.378472222219</v>
      </c>
      <c r="B5364" t="s">
        <v>40</v>
      </c>
      <c r="C5364" t="s">
        <v>41</v>
      </c>
      <c r="D5364" s="1">
        <v>46210.381481481483</v>
      </c>
      <c r="E5364" t="s">
        <v>42</v>
      </c>
      <c r="F5364" t="s">
        <v>43</v>
      </c>
      <c r="G5364" t="s">
        <v>43</v>
      </c>
      <c r="H5364" t="s">
        <v>43</v>
      </c>
      <c r="I5364" t="s">
        <v>3030</v>
      </c>
      <c r="J5364" t="s">
        <v>43</v>
      </c>
      <c r="K5364" t="s">
        <v>43</v>
      </c>
      <c r="L5364" t="s">
        <v>43</v>
      </c>
      <c r="M5364" t="s">
        <v>43</v>
      </c>
      <c r="N5364" t="s">
        <v>45</v>
      </c>
      <c r="O5364" t="s">
        <v>43</v>
      </c>
      <c r="P5364" t="s">
        <v>43</v>
      </c>
      <c r="Q5364" t="s">
        <v>43</v>
      </c>
      <c r="R5364" t="s">
        <v>43</v>
      </c>
      <c r="S5364" t="s">
        <v>43</v>
      </c>
      <c r="T5364" t="s">
        <v>43</v>
      </c>
      <c r="U5364" t="s">
        <v>43</v>
      </c>
      <c r="V5364" t="s">
        <v>43</v>
      </c>
      <c r="W5364" t="s">
        <v>43</v>
      </c>
      <c r="X5364" t="s">
        <v>43</v>
      </c>
      <c r="Y5364" t="s">
        <v>43</v>
      </c>
      <c r="Z5364" t="s">
        <v>43</v>
      </c>
      <c r="AA5364" t="s">
        <v>43</v>
      </c>
      <c r="AB5364" t="s">
        <v>43</v>
      </c>
      <c r="AC5364" t="s">
        <v>43</v>
      </c>
      <c r="AD5364" t="s">
        <v>43</v>
      </c>
      <c r="AE5364" t="s">
        <v>43</v>
      </c>
      <c r="AF5364" t="s">
        <v>43</v>
      </c>
      <c r="AG5364" t="s">
        <v>43</v>
      </c>
      <c r="AH5364" t="s">
        <v>43</v>
      </c>
      <c r="AI5364" t="s">
        <v>43</v>
      </c>
      <c r="AJ5364" t="s">
        <v>43</v>
      </c>
      <c r="AK5364" t="s">
        <v>43</v>
      </c>
      <c r="AL5364" t="s">
        <v>43</v>
      </c>
      <c r="AM5364" t="s">
        <v>43</v>
      </c>
      <c r="AN5364" t="str">
        <f>HYPERLINK("https://www.google.com/maps?q=10.83218861,79.84007263","Open Location")</f>
        <v>Open Location</v>
      </c>
    </row>
    <row r="5365" spans="1:40" x14ac:dyDescent="0.3">
      <c r="A5365" s="1">
        <v>46210.37835648148</v>
      </c>
      <c r="B5365" t="s">
        <v>40</v>
      </c>
      <c r="C5365" t="s">
        <v>41</v>
      </c>
      <c r="D5365" s="1">
        <v>46210.381354166668</v>
      </c>
      <c r="E5365" t="s">
        <v>42</v>
      </c>
      <c r="F5365" t="s">
        <v>43</v>
      </c>
      <c r="G5365" t="s">
        <v>43</v>
      </c>
      <c r="H5365" t="s">
        <v>43</v>
      </c>
      <c r="I5365" t="s">
        <v>3031</v>
      </c>
      <c r="J5365" t="s">
        <v>43</v>
      </c>
      <c r="K5365" t="s">
        <v>43</v>
      </c>
      <c r="L5365" t="s">
        <v>43</v>
      </c>
      <c r="M5365" t="s">
        <v>43</v>
      </c>
      <c r="N5365" t="s">
        <v>45</v>
      </c>
      <c r="O5365" t="s">
        <v>43</v>
      </c>
      <c r="P5365" t="s">
        <v>43</v>
      </c>
      <c r="Q5365" t="s">
        <v>43</v>
      </c>
      <c r="R5365" t="s">
        <v>43</v>
      </c>
      <c r="S5365" t="s">
        <v>43</v>
      </c>
      <c r="T5365" t="s">
        <v>43</v>
      </c>
      <c r="U5365" t="s">
        <v>43</v>
      </c>
      <c r="V5365" t="s">
        <v>43</v>
      </c>
      <c r="W5365" t="s">
        <v>43</v>
      </c>
      <c r="X5365" t="s">
        <v>43</v>
      </c>
      <c r="Y5365" t="s">
        <v>43</v>
      </c>
      <c r="Z5365" t="s">
        <v>43</v>
      </c>
      <c r="AA5365" t="s">
        <v>43</v>
      </c>
      <c r="AB5365" t="s">
        <v>43</v>
      </c>
      <c r="AC5365" t="s">
        <v>43</v>
      </c>
      <c r="AD5365" t="s">
        <v>43</v>
      </c>
      <c r="AE5365" t="s">
        <v>43</v>
      </c>
      <c r="AF5365" t="s">
        <v>43</v>
      </c>
      <c r="AG5365" t="s">
        <v>43</v>
      </c>
      <c r="AH5365" t="s">
        <v>43</v>
      </c>
      <c r="AI5365" t="s">
        <v>43</v>
      </c>
      <c r="AJ5365" t="s">
        <v>43</v>
      </c>
      <c r="AK5365" t="s">
        <v>43</v>
      </c>
      <c r="AL5365" t="s">
        <v>43</v>
      </c>
      <c r="AM5365" t="s">
        <v>43</v>
      </c>
      <c r="AN5365" t="str">
        <f>HYPERLINK("https://www.google.com/maps?q=10.83219147,79.84008026","Open Location")</f>
        <v>Open Location</v>
      </c>
    </row>
    <row r="5366" spans="1:40" x14ac:dyDescent="0.3">
      <c r="A5366" s="1">
        <v>46210.378240740742</v>
      </c>
      <c r="B5366" t="s">
        <v>40</v>
      </c>
      <c r="C5366" t="s">
        <v>41</v>
      </c>
      <c r="D5366" s="1">
        <v>46210.381469907406</v>
      </c>
      <c r="E5366" t="s">
        <v>42</v>
      </c>
      <c r="F5366" t="s">
        <v>43</v>
      </c>
      <c r="G5366" t="s">
        <v>43</v>
      </c>
      <c r="H5366" t="s">
        <v>43</v>
      </c>
      <c r="I5366" t="s">
        <v>3032</v>
      </c>
      <c r="J5366" t="s">
        <v>43</v>
      </c>
      <c r="K5366" t="s">
        <v>43</v>
      </c>
      <c r="L5366" t="s">
        <v>43</v>
      </c>
      <c r="M5366" t="s">
        <v>43</v>
      </c>
      <c r="N5366" t="s">
        <v>45</v>
      </c>
      <c r="O5366" t="s">
        <v>43</v>
      </c>
      <c r="P5366" t="s">
        <v>43</v>
      </c>
      <c r="Q5366" t="s">
        <v>43</v>
      </c>
      <c r="R5366" t="s">
        <v>43</v>
      </c>
      <c r="S5366" t="s">
        <v>43</v>
      </c>
      <c r="T5366" t="s">
        <v>43</v>
      </c>
      <c r="U5366" t="s">
        <v>43</v>
      </c>
      <c r="V5366" t="s">
        <v>43</v>
      </c>
      <c r="W5366" t="s">
        <v>43</v>
      </c>
      <c r="X5366" t="s">
        <v>43</v>
      </c>
      <c r="Y5366" t="s">
        <v>43</v>
      </c>
      <c r="Z5366" t="s">
        <v>43</v>
      </c>
      <c r="AA5366" t="s">
        <v>43</v>
      </c>
      <c r="AB5366" t="s">
        <v>43</v>
      </c>
      <c r="AC5366" t="s">
        <v>43</v>
      </c>
      <c r="AD5366" t="s">
        <v>43</v>
      </c>
      <c r="AE5366" t="s">
        <v>43</v>
      </c>
      <c r="AF5366" t="s">
        <v>43</v>
      </c>
      <c r="AG5366" t="s">
        <v>43</v>
      </c>
      <c r="AH5366" t="s">
        <v>43</v>
      </c>
      <c r="AI5366" t="s">
        <v>43</v>
      </c>
      <c r="AJ5366" t="s">
        <v>43</v>
      </c>
      <c r="AK5366" t="s">
        <v>43</v>
      </c>
      <c r="AL5366" t="s">
        <v>43</v>
      </c>
      <c r="AM5366" t="s">
        <v>43</v>
      </c>
      <c r="AN5366" t="str">
        <f>HYPERLINK("https://www.google.com/maps?q=10.83219242,79.84008789","Open Location")</f>
        <v>Open Location</v>
      </c>
    </row>
    <row r="5367" spans="1:40" x14ac:dyDescent="0.3">
      <c r="A5367" s="1">
        <v>46210.378125000003</v>
      </c>
      <c r="B5367" t="s">
        <v>40</v>
      </c>
      <c r="C5367" t="s">
        <v>41</v>
      </c>
      <c r="D5367" s="1">
        <v>46210.380995370368</v>
      </c>
      <c r="E5367" t="s">
        <v>42</v>
      </c>
      <c r="F5367" t="s">
        <v>43</v>
      </c>
      <c r="G5367" t="s">
        <v>43</v>
      </c>
      <c r="H5367" t="s">
        <v>43</v>
      </c>
      <c r="I5367" t="s">
        <v>43</v>
      </c>
      <c r="J5367" t="s">
        <v>43</v>
      </c>
      <c r="K5367" t="s">
        <v>43</v>
      </c>
      <c r="L5367" t="s">
        <v>43</v>
      </c>
      <c r="M5367" t="s">
        <v>43</v>
      </c>
      <c r="N5367" t="s">
        <v>45</v>
      </c>
      <c r="O5367" t="s">
        <v>43</v>
      </c>
      <c r="P5367" t="s">
        <v>43</v>
      </c>
      <c r="Q5367" t="s">
        <v>43</v>
      </c>
      <c r="R5367" t="s">
        <v>43</v>
      </c>
      <c r="S5367" t="s">
        <v>43</v>
      </c>
      <c r="T5367" t="s">
        <v>43</v>
      </c>
      <c r="U5367" t="s">
        <v>43</v>
      </c>
      <c r="V5367" t="s">
        <v>43</v>
      </c>
      <c r="W5367" t="s">
        <v>43</v>
      </c>
      <c r="X5367" t="s">
        <v>43</v>
      </c>
      <c r="Y5367" t="s">
        <v>43</v>
      </c>
      <c r="Z5367" t="s">
        <v>43</v>
      </c>
      <c r="AA5367" t="s">
        <v>43</v>
      </c>
      <c r="AB5367" t="s">
        <v>43</v>
      </c>
      <c r="AC5367" t="s">
        <v>43</v>
      </c>
      <c r="AD5367" t="s">
        <v>43</v>
      </c>
      <c r="AE5367" t="s">
        <v>43</v>
      </c>
      <c r="AF5367" t="s">
        <v>43</v>
      </c>
      <c r="AG5367" t="s">
        <v>43</v>
      </c>
      <c r="AH5367" t="s">
        <v>43</v>
      </c>
      <c r="AI5367" t="s">
        <v>43</v>
      </c>
      <c r="AJ5367" t="s">
        <v>43</v>
      </c>
      <c r="AK5367" t="s">
        <v>43</v>
      </c>
      <c r="AL5367" t="s">
        <v>43</v>
      </c>
      <c r="AM5367" t="s">
        <v>43</v>
      </c>
      <c r="AN5367" t="s">
        <v>43</v>
      </c>
    </row>
    <row r="5368" spans="1:40" x14ac:dyDescent="0.3">
      <c r="A5368" s="1">
        <v>46210.378009259257</v>
      </c>
      <c r="B5368" t="s">
        <v>40</v>
      </c>
      <c r="C5368" t="s">
        <v>41</v>
      </c>
      <c r="D5368" s="1">
        <v>46210.380995370368</v>
      </c>
      <c r="E5368" t="s">
        <v>42</v>
      </c>
      <c r="F5368" t="s">
        <v>43</v>
      </c>
      <c r="G5368" t="s">
        <v>43</v>
      </c>
      <c r="H5368" t="s">
        <v>43</v>
      </c>
      <c r="I5368" t="s">
        <v>2999</v>
      </c>
      <c r="J5368" t="s">
        <v>43</v>
      </c>
      <c r="K5368" t="s">
        <v>43</v>
      </c>
      <c r="L5368" t="s">
        <v>43</v>
      </c>
      <c r="M5368" t="s">
        <v>43</v>
      </c>
      <c r="N5368" t="s">
        <v>45</v>
      </c>
      <c r="O5368" t="s">
        <v>43</v>
      </c>
      <c r="P5368" t="s">
        <v>43</v>
      </c>
      <c r="Q5368" t="s">
        <v>43</v>
      </c>
      <c r="R5368" t="s">
        <v>43</v>
      </c>
      <c r="S5368" t="s">
        <v>43</v>
      </c>
      <c r="T5368" t="s">
        <v>43</v>
      </c>
      <c r="U5368" t="s">
        <v>43</v>
      </c>
      <c r="V5368" t="s">
        <v>43</v>
      </c>
      <c r="W5368" t="s">
        <v>43</v>
      </c>
      <c r="X5368" t="s">
        <v>43</v>
      </c>
      <c r="Y5368" t="s">
        <v>43</v>
      </c>
      <c r="Z5368" t="s">
        <v>43</v>
      </c>
      <c r="AA5368" t="s">
        <v>43</v>
      </c>
      <c r="AB5368" t="s">
        <v>43</v>
      </c>
      <c r="AC5368" t="s">
        <v>43</v>
      </c>
      <c r="AD5368" t="s">
        <v>43</v>
      </c>
      <c r="AE5368" t="s">
        <v>43</v>
      </c>
      <c r="AF5368" t="s">
        <v>43</v>
      </c>
      <c r="AG5368" t="s">
        <v>43</v>
      </c>
      <c r="AH5368" t="s">
        <v>43</v>
      </c>
      <c r="AI5368" t="s">
        <v>43</v>
      </c>
      <c r="AJ5368" t="s">
        <v>43</v>
      </c>
      <c r="AK5368" t="s">
        <v>43</v>
      </c>
      <c r="AL5368" t="s">
        <v>43</v>
      </c>
      <c r="AM5368" t="s">
        <v>43</v>
      </c>
      <c r="AN5368" t="str">
        <f>HYPERLINK("https://www.google.com/maps?q=10.83219433,79.84009552","Open Location")</f>
        <v>Open Location</v>
      </c>
    </row>
    <row r="5369" spans="1:40" x14ac:dyDescent="0.3">
      <c r="A5369" s="1">
        <v>46210.377893518518</v>
      </c>
      <c r="B5369" t="s">
        <v>40</v>
      </c>
      <c r="C5369" t="s">
        <v>41</v>
      </c>
      <c r="D5369" s="1">
        <v>46210.380972222221</v>
      </c>
      <c r="E5369" t="s">
        <v>42</v>
      </c>
      <c r="F5369" t="s">
        <v>43</v>
      </c>
      <c r="G5369" t="s">
        <v>43</v>
      </c>
      <c r="H5369" t="s">
        <v>43</v>
      </c>
      <c r="I5369" t="s">
        <v>3006</v>
      </c>
      <c r="J5369" t="s">
        <v>43</v>
      </c>
      <c r="K5369" t="s">
        <v>43</v>
      </c>
      <c r="L5369" t="s">
        <v>43</v>
      </c>
      <c r="M5369" t="s">
        <v>43</v>
      </c>
      <c r="N5369" t="s">
        <v>45</v>
      </c>
      <c r="O5369" t="s">
        <v>43</v>
      </c>
      <c r="P5369" t="s">
        <v>43</v>
      </c>
      <c r="Q5369" t="s">
        <v>43</v>
      </c>
      <c r="R5369" t="s">
        <v>43</v>
      </c>
      <c r="S5369" t="s">
        <v>43</v>
      </c>
      <c r="T5369" t="s">
        <v>43</v>
      </c>
      <c r="U5369" t="s">
        <v>43</v>
      </c>
      <c r="V5369" t="s">
        <v>43</v>
      </c>
      <c r="W5369" t="s">
        <v>43</v>
      </c>
      <c r="X5369" t="s">
        <v>43</v>
      </c>
      <c r="Y5369" t="s">
        <v>43</v>
      </c>
      <c r="Z5369" t="s">
        <v>43</v>
      </c>
      <c r="AA5369" t="s">
        <v>43</v>
      </c>
      <c r="AB5369" t="s">
        <v>43</v>
      </c>
      <c r="AC5369" t="s">
        <v>43</v>
      </c>
      <c r="AD5369" t="s">
        <v>43</v>
      </c>
      <c r="AE5369" t="s">
        <v>43</v>
      </c>
      <c r="AF5369" t="s">
        <v>43</v>
      </c>
      <c r="AG5369" t="s">
        <v>43</v>
      </c>
      <c r="AH5369" t="s">
        <v>43</v>
      </c>
      <c r="AI5369" t="s">
        <v>43</v>
      </c>
      <c r="AJ5369" t="s">
        <v>43</v>
      </c>
      <c r="AK5369" t="s">
        <v>43</v>
      </c>
      <c r="AL5369" t="s">
        <v>43</v>
      </c>
      <c r="AM5369" t="s">
        <v>43</v>
      </c>
      <c r="AN5369" t="str">
        <f>HYPERLINK("https://www.google.com/maps?q=10.83219719,79.84009552","Open Location")</f>
        <v>Open Location</v>
      </c>
    </row>
    <row r="5370" spans="1:40" x14ac:dyDescent="0.3">
      <c r="A5370" s="1">
        <v>46210.37777777778</v>
      </c>
      <c r="B5370" t="s">
        <v>40</v>
      </c>
      <c r="C5370" t="s">
        <v>41</v>
      </c>
      <c r="D5370" s="1">
        <v>46210.38077546296</v>
      </c>
      <c r="E5370" t="s">
        <v>42</v>
      </c>
      <c r="F5370" t="s">
        <v>43</v>
      </c>
      <c r="G5370" t="s">
        <v>43</v>
      </c>
      <c r="H5370" t="s">
        <v>43</v>
      </c>
      <c r="I5370" t="s">
        <v>3033</v>
      </c>
      <c r="J5370" t="s">
        <v>43</v>
      </c>
      <c r="K5370" t="s">
        <v>43</v>
      </c>
      <c r="L5370" t="s">
        <v>43</v>
      </c>
      <c r="M5370" t="s">
        <v>43</v>
      </c>
      <c r="N5370" t="s">
        <v>45</v>
      </c>
      <c r="O5370" t="s">
        <v>43</v>
      </c>
      <c r="P5370" t="s">
        <v>43</v>
      </c>
      <c r="Q5370" t="s">
        <v>43</v>
      </c>
      <c r="R5370" t="s">
        <v>43</v>
      </c>
      <c r="S5370" t="s">
        <v>43</v>
      </c>
      <c r="T5370" t="s">
        <v>43</v>
      </c>
      <c r="U5370" t="s">
        <v>43</v>
      </c>
      <c r="V5370" t="s">
        <v>43</v>
      </c>
      <c r="W5370" t="s">
        <v>43</v>
      </c>
      <c r="X5370" t="s">
        <v>43</v>
      </c>
      <c r="Y5370" t="s">
        <v>43</v>
      </c>
      <c r="Z5370" t="s">
        <v>43</v>
      </c>
      <c r="AA5370" t="s">
        <v>43</v>
      </c>
      <c r="AB5370" t="s">
        <v>43</v>
      </c>
      <c r="AC5370" t="s">
        <v>43</v>
      </c>
      <c r="AD5370" t="s">
        <v>43</v>
      </c>
      <c r="AE5370" t="s">
        <v>43</v>
      </c>
      <c r="AF5370" t="s">
        <v>43</v>
      </c>
      <c r="AG5370" t="s">
        <v>43</v>
      </c>
      <c r="AH5370" t="s">
        <v>43</v>
      </c>
      <c r="AI5370" t="s">
        <v>43</v>
      </c>
      <c r="AJ5370" t="s">
        <v>43</v>
      </c>
      <c r="AK5370" t="s">
        <v>43</v>
      </c>
      <c r="AL5370" t="s">
        <v>43</v>
      </c>
      <c r="AM5370" t="s">
        <v>43</v>
      </c>
      <c r="AN5370" t="str">
        <f>HYPERLINK("https://www.google.com/maps?q=10.83219814,79.84010315","Open Location")</f>
        <v>Open Location</v>
      </c>
    </row>
    <row r="5371" spans="1:40" x14ac:dyDescent="0.3">
      <c r="A5371" s="1">
        <v>46210.377662037034</v>
      </c>
      <c r="B5371" t="s">
        <v>40</v>
      </c>
      <c r="C5371" t="s">
        <v>41</v>
      </c>
      <c r="D5371" s="1">
        <v>46210.380972222221</v>
      </c>
      <c r="E5371" t="s">
        <v>42</v>
      </c>
      <c r="F5371" t="s">
        <v>43</v>
      </c>
      <c r="G5371" t="s">
        <v>43</v>
      </c>
      <c r="H5371" t="s">
        <v>43</v>
      </c>
      <c r="I5371" t="s">
        <v>3034</v>
      </c>
      <c r="J5371" t="s">
        <v>43</v>
      </c>
      <c r="K5371" t="s">
        <v>43</v>
      </c>
      <c r="L5371" t="s">
        <v>43</v>
      </c>
      <c r="M5371" t="s">
        <v>43</v>
      </c>
      <c r="N5371" t="s">
        <v>45</v>
      </c>
      <c r="O5371" t="s">
        <v>43</v>
      </c>
      <c r="P5371" t="s">
        <v>43</v>
      </c>
      <c r="Q5371" t="s">
        <v>43</v>
      </c>
      <c r="R5371" t="s">
        <v>43</v>
      </c>
      <c r="S5371" t="s">
        <v>43</v>
      </c>
      <c r="T5371" t="s">
        <v>43</v>
      </c>
      <c r="U5371" t="s">
        <v>43</v>
      </c>
      <c r="V5371" t="s">
        <v>43</v>
      </c>
      <c r="W5371" t="s">
        <v>43</v>
      </c>
      <c r="X5371" t="s">
        <v>43</v>
      </c>
      <c r="Y5371" t="s">
        <v>43</v>
      </c>
      <c r="Z5371" t="s">
        <v>43</v>
      </c>
      <c r="AA5371" t="s">
        <v>43</v>
      </c>
      <c r="AB5371" t="s">
        <v>43</v>
      </c>
      <c r="AC5371" t="s">
        <v>43</v>
      </c>
      <c r="AD5371" t="s">
        <v>43</v>
      </c>
      <c r="AE5371" t="s">
        <v>43</v>
      </c>
      <c r="AF5371" t="s">
        <v>43</v>
      </c>
      <c r="AG5371" t="s">
        <v>43</v>
      </c>
      <c r="AH5371" t="s">
        <v>43</v>
      </c>
      <c r="AI5371" t="s">
        <v>43</v>
      </c>
      <c r="AJ5371" t="s">
        <v>43</v>
      </c>
      <c r="AK5371" t="s">
        <v>43</v>
      </c>
      <c r="AL5371" t="s">
        <v>43</v>
      </c>
      <c r="AM5371" t="s">
        <v>43</v>
      </c>
      <c r="AN5371" t="str">
        <f>HYPERLINK("https://www.google.com/maps?q=10.83219814,79.84011078","Open Location")</f>
        <v>Open Location</v>
      </c>
    </row>
    <row r="5372" spans="1:40" x14ac:dyDescent="0.3">
      <c r="A5372" s="1">
        <v>46210.377546296295</v>
      </c>
      <c r="B5372" t="s">
        <v>40</v>
      </c>
      <c r="C5372" t="s">
        <v>41</v>
      </c>
      <c r="D5372" s="1">
        <v>46210.38071759259</v>
      </c>
      <c r="E5372" t="s">
        <v>42</v>
      </c>
      <c r="F5372" t="s">
        <v>43</v>
      </c>
      <c r="G5372" t="s">
        <v>43</v>
      </c>
      <c r="H5372" t="s">
        <v>43</v>
      </c>
      <c r="I5372" t="s">
        <v>3035</v>
      </c>
      <c r="J5372" t="s">
        <v>43</v>
      </c>
      <c r="K5372" t="s">
        <v>43</v>
      </c>
      <c r="L5372" t="s">
        <v>43</v>
      </c>
      <c r="M5372" t="s">
        <v>43</v>
      </c>
      <c r="N5372" t="s">
        <v>45</v>
      </c>
      <c r="O5372" t="s">
        <v>43</v>
      </c>
      <c r="P5372" t="s">
        <v>43</v>
      </c>
      <c r="Q5372" t="s">
        <v>43</v>
      </c>
      <c r="R5372" t="s">
        <v>43</v>
      </c>
      <c r="S5372" t="s">
        <v>43</v>
      </c>
      <c r="T5372" t="s">
        <v>43</v>
      </c>
      <c r="U5372" t="s">
        <v>43</v>
      </c>
      <c r="V5372" t="s">
        <v>43</v>
      </c>
      <c r="W5372" t="s">
        <v>43</v>
      </c>
      <c r="X5372" t="s">
        <v>43</v>
      </c>
      <c r="Y5372" t="s">
        <v>43</v>
      </c>
      <c r="Z5372" t="s">
        <v>43</v>
      </c>
      <c r="AA5372" t="s">
        <v>43</v>
      </c>
      <c r="AB5372" t="s">
        <v>43</v>
      </c>
      <c r="AC5372" t="s">
        <v>43</v>
      </c>
      <c r="AD5372" t="s">
        <v>43</v>
      </c>
      <c r="AE5372" t="s">
        <v>43</v>
      </c>
      <c r="AF5372" t="s">
        <v>43</v>
      </c>
      <c r="AG5372" t="s">
        <v>43</v>
      </c>
      <c r="AH5372" t="s">
        <v>43</v>
      </c>
      <c r="AI5372" t="s">
        <v>43</v>
      </c>
      <c r="AJ5372" t="s">
        <v>43</v>
      </c>
      <c r="AK5372" t="s">
        <v>43</v>
      </c>
      <c r="AL5372" t="s">
        <v>43</v>
      </c>
      <c r="AM5372" t="s">
        <v>43</v>
      </c>
      <c r="AN5372" t="str">
        <f>HYPERLINK("https://www.google.com/maps?q=10.83220387,79.84011841","Open Location")</f>
        <v>Open Location</v>
      </c>
    </row>
    <row r="5373" spans="1:40" x14ac:dyDescent="0.3">
      <c r="A5373" s="1">
        <v>46210.377430555556</v>
      </c>
      <c r="B5373" t="s">
        <v>40</v>
      </c>
      <c r="C5373" t="s">
        <v>41</v>
      </c>
      <c r="D5373" s="1">
        <v>46210.380358796298</v>
      </c>
      <c r="E5373" t="s">
        <v>42</v>
      </c>
      <c r="F5373" t="s">
        <v>43</v>
      </c>
      <c r="G5373" t="s">
        <v>43</v>
      </c>
      <c r="H5373" t="s">
        <v>43</v>
      </c>
      <c r="I5373" t="s">
        <v>43</v>
      </c>
      <c r="J5373" t="s">
        <v>43</v>
      </c>
      <c r="K5373" t="s">
        <v>43</v>
      </c>
      <c r="L5373" t="s">
        <v>43</v>
      </c>
      <c r="M5373" t="s">
        <v>43</v>
      </c>
      <c r="N5373" t="s">
        <v>45</v>
      </c>
      <c r="O5373" t="s">
        <v>43</v>
      </c>
      <c r="P5373" t="s">
        <v>43</v>
      </c>
      <c r="Q5373" t="s">
        <v>43</v>
      </c>
      <c r="R5373" t="s">
        <v>43</v>
      </c>
      <c r="S5373" t="s">
        <v>43</v>
      </c>
      <c r="T5373" t="s">
        <v>43</v>
      </c>
      <c r="U5373" t="s">
        <v>43</v>
      </c>
      <c r="V5373" t="s">
        <v>43</v>
      </c>
      <c r="W5373" t="s">
        <v>43</v>
      </c>
      <c r="X5373" t="s">
        <v>43</v>
      </c>
      <c r="Y5373" t="s">
        <v>43</v>
      </c>
      <c r="Z5373" t="s">
        <v>43</v>
      </c>
      <c r="AA5373" t="s">
        <v>43</v>
      </c>
      <c r="AB5373" t="s">
        <v>43</v>
      </c>
      <c r="AC5373" t="s">
        <v>43</v>
      </c>
      <c r="AD5373" t="s">
        <v>43</v>
      </c>
      <c r="AE5373" t="s">
        <v>43</v>
      </c>
      <c r="AF5373" t="s">
        <v>43</v>
      </c>
      <c r="AG5373" t="s">
        <v>43</v>
      </c>
      <c r="AH5373" t="s">
        <v>43</v>
      </c>
      <c r="AI5373" t="s">
        <v>43</v>
      </c>
      <c r="AJ5373" t="s">
        <v>43</v>
      </c>
      <c r="AK5373" t="s">
        <v>43</v>
      </c>
      <c r="AL5373" t="s">
        <v>43</v>
      </c>
      <c r="AM5373" t="s">
        <v>43</v>
      </c>
      <c r="AN5373" t="s">
        <v>43</v>
      </c>
    </row>
    <row r="5374" spans="1:40" x14ac:dyDescent="0.3">
      <c r="A5374" s="1">
        <v>46210.377314814818</v>
      </c>
      <c r="B5374" t="s">
        <v>40</v>
      </c>
      <c r="C5374" t="s">
        <v>41</v>
      </c>
      <c r="D5374" s="1">
        <v>46210.380347222221</v>
      </c>
      <c r="E5374" t="s">
        <v>42</v>
      </c>
      <c r="F5374" t="s">
        <v>43</v>
      </c>
      <c r="G5374" t="s">
        <v>43</v>
      </c>
      <c r="H5374" t="s">
        <v>43</v>
      </c>
      <c r="I5374" t="s">
        <v>3036</v>
      </c>
      <c r="J5374" t="s">
        <v>43</v>
      </c>
      <c r="K5374" t="s">
        <v>43</v>
      </c>
      <c r="L5374" t="s">
        <v>43</v>
      </c>
      <c r="M5374" t="s">
        <v>43</v>
      </c>
      <c r="N5374" t="s">
        <v>45</v>
      </c>
      <c r="O5374" t="s">
        <v>43</v>
      </c>
      <c r="P5374" t="s">
        <v>43</v>
      </c>
      <c r="Q5374" t="s">
        <v>43</v>
      </c>
      <c r="R5374" t="s">
        <v>43</v>
      </c>
      <c r="S5374" t="s">
        <v>43</v>
      </c>
      <c r="T5374" t="s">
        <v>43</v>
      </c>
      <c r="U5374" t="s">
        <v>43</v>
      </c>
      <c r="V5374" t="s">
        <v>43</v>
      </c>
      <c r="W5374" t="s">
        <v>43</v>
      </c>
      <c r="X5374" t="s">
        <v>43</v>
      </c>
      <c r="Y5374" t="s">
        <v>43</v>
      </c>
      <c r="Z5374" t="s">
        <v>43</v>
      </c>
      <c r="AA5374" t="s">
        <v>43</v>
      </c>
      <c r="AB5374" t="s">
        <v>43</v>
      </c>
      <c r="AC5374" t="s">
        <v>43</v>
      </c>
      <c r="AD5374" t="s">
        <v>43</v>
      </c>
      <c r="AE5374" t="s">
        <v>43</v>
      </c>
      <c r="AF5374" t="s">
        <v>43</v>
      </c>
      <c r="AG5374" t="s">
        <v>43</v>
      </c>
      <c r="AH5374" t="s">
        <v>43</v>
      </c>
      <c r="AI5374" t="s">
        <v>43</v>
      </c>
      <c r="AJ5374" t="s">
        <v>43</v>
      </c>
      <c r="AK5374" t="s">
        <v>43</v>
      </c>
      <c r="AL5374" t="s">
        <v>43</v>
      </c>
      <c r="AM5374" t="s">
        <v>43</v>
      </c>
      <c r="AN5374" t="str">
        <f>HYPERLINK("https://www.google.com/maps?q=10.83220673,79.84011841","Open Location")</f>
        <v>Open Location</v>
      </c>
    </row>
    <row r="5375" spans="1:40" x14ac:dyDescent="0.3">
      <c r="A5375" s="1">
        <v>46210.377199074072</v>
      </c>
      <c r="B5375" t="s">
        <v>40</v>
      </c>
      <c r="C5375" t="s">
        <v>41</v>
      </c>
      <c r="D5375" s="1">
        <v>46210.380115740743</v>
      </c>
      <c r="E5375" t="s">
        <v>42</v>
      </c>
      <c r="F5375" t="s">
        <v>43</v>
      </c>
      <c r="G5375" t="s">
        <v>43</v>
      </c>
      <c r="H5375" t="s">
        <v>43</v>
      </c>
      <c r="I5375" t="s">
        <v>3036</v>
      </c>
      <c r="J5375" t="s">
        <v>43</v>
      </c>
      <c r="K5375" t="s">
        <v>43</v>
      </c>
      <c r="L5375" t="s">
        <v>43</v>
      </c>
      <c r="M5375" t="s">
        <v>43</v>
      </c>
      <c r="N5375" t="s">
        <v>45</v>
      </c>
      <c r="O5375" t="s">
        <v>43</v>
      </c>
      <c r="P5375" t="s">
        <v>43</v>
      </c>
      <c r="Q5375" t="s">
        <v>43</v>
      </c>
      <c r="R5375" t="s">
        <v>43</v>
      </c>
      <c r="S5375" t="s">
        <v>43</v>
      </c>
      <c r="T5375" t="s">
        <v>43</v>
      </c>
      <c r="U5375" t="s">
        <v>43</v>
      </c>
      <c r="V5375" t="s">
        <v>43</v>
      </c>
      <c r="W5375" t="s">
        <v>43</v>
      </c>
      <c r="X5375" t="s">
        <v>43</v>
      </c>
      <c r="Y5375" t="s">
        <v>43</v>
      </c>
      <c r="Z5375" t="s">
        <v>43</v>
      </c>
      <c r="AA5375" t="s">
        <v>43</v>
      </c>
      <c r="AB5375" t="s">
        <v>43</v>
      </c>
      <c r="AC5375" t="s">
        <v>43</v>
      </c>
      <c r="AD5375" t="s">
        <v>43</v>
      </c>
      <c r="AE5375" t="s">
        <v>43</v>
      </c>
      <c r="AF5375" t="s">
        <v>43</v>
      </c>
      <c r="AG5375" t="s">
        <v>43</v>
      </c>
      <c r="AH5375" t="s">
        <v>43</v>
      </c>
      <c r="AI5375" t="s">
        <v>43</v>
      </c>
      <c r="AJ5375" t="s">
        <v>43</v>
      </c>
      <c r="AK5375" t="s">
        <v>43</v>
      </c>
      <c r="AL5375" t="s">
        <v>43</v>
      </c>
      <c r="AM5375" t="s">
        <v>43</v>
      </c>
      <c r="AN5375" t="str">
        <f>HYPERLINK("https://www.google.com/maps?q=10.83220673,79.84011841","Open Location")</f>
        <v>Open Location</v>
      </c>
    </row>
    <row r="5376" spans="1:40" x14ac:dyDescent="0.3">
      <c r="A5376" s="1">
        <v>46210.377083333333</v>
      </c>
      <c r="B5376" t="s">
        <v>40</v>
      </c>
      <c r="C5376" t="s">
        <v>41</v>
      </c>
      <c r="D5376" s="1">
        <v>46210.380104166667</v>
      </c>
      <c r="E5376" t="s">
        <v>42</v>
      </c>
      <c r="F5376" t="s">
        <v>43</v>
      </c>
      <c r="G5376" t="s">
        <v>43</v>
      </c>
      <c r="H5376" t="s">
        <v>43</v>
      </c>
      <c r="I5376" t="s">
        <v>3035</v>
      </c>
      <c r="J5376" t="s">
        <v>43</v>
      </c>
      <c r="K5376" t="s">
        <v>43</v>
      </c>
      <c r="L5376" t="s">
        <v>43</v>
      </c>
      <c r="M5376" t="s">
        <v>43</v>
      </c>
      <c r="N5376" t="s">
        <v>45</v>
      </c>
      <c r="O5376" t="s">
        <v>43</v>
      </c>
      <c r="P5376" t="s">
        <v>43</v>
      </c>
      <c r="Q5376" t="s">
        <v>43</v>
      </c>
      <c r="R5376" t="s">
        <v>43</v>
      </c>
      <c r="S5376" t="s">
        <v>43</v>
      </c>
      <c r="T5376" t="s">
        <v>43</v>
      </c>
      <c r="U5376" t="s">
        <v>43</v>
      </c>
      <c r="V5376" t="s">
        <v>43</v>
      </c>
      <c r="W5376" t="s">
        <v>43</v>
      </c>
      <c r="X5376" t="s">
        <v>43</v>
      </c>
      <c r="Y5376" t="s">
        <v>43</v>
      </c>
      <c r="Z5376" t="s">
        <v>43</v>
      </c>
      <c r="AA5376" t="s">
        <v>43</v>
      </c>
      <c r="AB5376" t="s">
        <v>43</v>
      </c>
      <c r="AC5376" t="s">
        <v>43</v>
      </c>
      <c r="AD5376" t="s">
        <v>43</v>
      </c>
      <c r="AE5376" t="s">
        <v>43</v>
      </c>
      <c r="AF5376" t="s">
        <v>43</v>
      </c>
      <c r="AG5376" t="s">
        <v>43</v>
      </c>
      <c r="AH5376" t="s">
        <v>43</v>
      </c>
      <c r="AI5376" t="s">
        <v>43</v>
      </c>
      <c r="AJ5376" t="s">
        <v>43</v>
      </c>
      <c r="AK5376" t="s">
        <v>43</v>
      </c>
      <c r="AL5376" t="s">
        <v>43</v>
      </c>
      <c r="AM5376" t="s">
        <v>43</v>
      </c>
      <c r="AN5376" t="str">
        <f>HYPERLINK("https://www.google.com/maps?q=10.83220387,79.84011841","Open Location")</f>
        <v>Open Location</v>
      </c>
    </row>
    <row r="5377" spans="1:40" x14ac:dyDescent="0.3">
      <c r="A5377" s="1">
        <v>46210.376967592594</v>
      </c>
      <c r="B5377" t="s">
        <v>40</v>
      </c>
      <c r="C5377" t="s">
        <v>41</v>
      </c>
      <c r="D5377" s="1">
        <v>46210.379918981482</v>
      </c>
      <c r="E5377" t="s">
        <v>42</v>
      </c>
      <c r="F5377" t="s">
        <v>43</v>
      </c>
      <c r="G5377" t="s">
        <v>43</v>
      </c>
      <c r="H5377" t="s">
        <v>43</v>
      </c>
      <c r="I5377" t="s">
        <v>3037</v>
      </c>
      <c r="J5377" t="s">
        <v>43</v>
      </c>
      <c r="K5377" t="s">
        <v>43</v>
      </c>
      <c r="L5377" t="s">
        <v>43</v>
      </c>
      <c r="M5377" t="s">
        <v>43</v>
      </c>
      <c r="N5377" t="s">
        <v>45</v>
      </c>
      <c r="O5377" t="s">
        <v>43</v>
      </c>
      <c r="P5377" t="s">
        <v>43</v>
      </c>
      <c r="Q5377" t="s">
        <v>43</v>
      </c>
      <c r="R5377" t="s">
        <v>43</v>
      </c>
      <c r="S5377" t="s">
        <v>43</v>
      </c>
      <c r="T5377" t="s">
        <v>43</v>
      </c>
      <c r="U5377" t="s">
        <v>43</v>
      </c>
      <c r="V5377" t="s">
        <v>43</v>
      </c>
      <c r="W5377" t="s">
        <v>43</v>
      </c>
      <c r="X5377" t="s">
        <v>43</v>
      </c>
      <c r="Y5377" t="s">
        <v>43</v>
      </c>
      <c r="Z5377" t="s">
        <v>43</v>
      </c>
      <c r="AA5377" t="s">
        <v>43</v>
      </c>
      <c r="AB5377" t="s">
        <v>43</v>
      </c>
      <c r="AC5377" t="s">
        <v>43</v>
      </c>
      <c r="AD5377" t="s">
        <v>43</v>
      </c>
      <c r="AE5377" t="s">
        <v>43</v>
      </c>
      <c r="AF5377" t="s">
        <v>43</v>
      </c>
      <c r="AG5377" t="s">
        <v>43</v>
      </c>
      <c r="AH5377" t="s">
        <v>43</v>
      </c>
      <c r="AI5377" t="s">
        <v>43</v>
      </c>
      <c r="AJ5377" t="s">
        <v>43</v>
      </c>
      <c r="AK5377" t="s">
        <v>43</v>
      </c>
      <c r="AL5377" t="s">
        <v>43</v>
      </c>
      <c r="AM5377" t="s">
        <v>43</v>
      </c>
      <c r="AN5377" t="str">
        <f>HYPERLINK("https://www.google.com/maps?q=10.83220387,79.84011078","Open Location")</f>
        <v>Open Location</v>
      </c>
    </row>
    <row r="5378" spans="1:40" x14ac:dyDescent="0.3">
      <c r="A5378" s="1">
        <v>46210.376851851855</v>
      </c>
      <c r="B5378" t="s">
        <v>40</v>
      </c>
      <c r="C5378" t="s">
        <v>41</v>
      </c>
      <c r="D5378" s="1">
        <v>46210.379953703705</v>
      </c>
      <c r="E5378" t="s">
        <v>42</v>
      </c>
      <c r="F5378" t="s">
        <v>43</v>
      </c>
      <c r="G5378" t="s">
        <v>43</v>
      </c>
      <c r="H5378" t="s">
        <v>43</v>
      </c>
      <c r="I5378" t="s">
        <v>3038</v>
      </c>
      <c r="J5378" t="s">
        <v>43</v>
      </c>
      <c r="K5378" t="s">
        <v>43</v>
      </c>
      <c r="L5378" t="s">
        <v>43</v>
      </c>
      <c r="M5378" t="s">
        <v>43</v>
      </c>
      <c r="N5378" t="s">
        <v>45</v>
      </c>
      <c r="O5378" t="s">
        <v>43</v>
      </c>
      <c r="P5378" t="s">
        <v>43</v>
      </c>
      <c r="Q5378" t="s">
        <v>43</v>
      </c>
      <c r="R5378" t="s">
        <v>43</v>
      </c>
      <c r="S5378" t="s">
        <v>43</v>
      </c>
      <c r="T5378" t="s">
        <v>43</v>
      </c>
      <c r="U5378" t="s">
        <v>43</v>
      </c>
      <c r="V5378" t="s">
        <v>43</v>
      </c>
      <c r="W5378" t="s">
        <v>43</v>
      </c>
      <c r="X5378" t="s">
        <v>43</v>
      </c>
      <c r="Y5378" t="s">
        <v>43</v>
      </c>
      <c r="Z5378" t="s">
        <v>43</v>
      </c>
      <c r="AA5378" t="s">
        <v>43</v>
      </c>
      <c r="AB5378" t="s">
        <v>43</v>
      </c>
      <c r="AC5378" t="s">
        <v>43</v>
      </c>
      <c r="AD5378" t="s">
        <v>43</v>
      </c>
      <c r="AE5378" t="s">
        <v>43</v>
      </c>
      <c r="AF5378" t="s">
        <v>43</v>
      </c>
      <c r="AG5378" t="s">
        <v>43</v>
      </c>
      <c r="AH5378" t="s">
        <v>43</v>
      </c>
      <c r="AI5378" t="s">
        <v>43</v>
      </c>
      <c r="AJ5378" t="s">
        <v>43</v>
      </c>
      <c r="AK5378" t="s">
        <v>43</v>
      </c>
      <c r="AL5378" t="s">
        <v>43</v>
      </c>
      <c r="AM5378" t="s">
        <v>43</v>
      </c>
      <c r="AN5378" t="str">
        <f>HYPERLINK("https://www.google.com/maps?q=10.83220291,79.84011078","Open Location")</f>
        <v>Open Location</v>
      </c>
    </row>
    <row r="5379" spans="1:40" x14ac:dyDescent="0.3">
      <c r="A5379" s="1">
        <v>46210.376736111109</v>
      </c>
      <c r="B5379" t="s">
        <v>40</v>
      </c>
      <c r="C5379" t="s">
        <v>41</v>
      </c>
      <c r="D5379" s="1">
        <v>46210.379976851851</v>
      </c>
      <c r="E5379" t="s">
        <v>42</v>
      </c>
      <c r="F5379" t="s">
        <v>43</v>
      </c>
      <c r="G5379" t="s">
        <v>43</v>
      </c>
      <c r="H5379" t="s">
        <v>43</v>
      </c>
      <c r="I5379" t="s">
        <v>43</v>
      </c>
      <c r="J5379" t="s">
        <v>43</v>
      </c>
      <c r="K5379" t="s">
        <v>43</v>
      </c>
      <c r="L5379" t="s">
        <v>43</v>
      </c>
      <c r="M5379" t="s">
        <v>43</v>
      </c>
      <c r="N5379" t="s">
        <v>45</v>
      </c>
      <c r="O5379" t="s">
        <v>43</v>
      </c>
      <c r="P5379" t="s">
        <v>43</v>
      </c>
      <c r="Q5379" t="s">
        <v>43</v>
      </c>
      <c r="R5379" t="s">
        <v>43</v>
      </c>
      <c r="S5379" t="s">
        <v>43</v>
      </c>
      <c r="T5379" t="s">
        <v>43</v>
      </c>
      <c r="U5379" t="s">
        <v>43</v>
      </c>
      <c r="V5379" t="s">
        <v>43</v>
      </c>
      <c r="W5379" t="s">
        <v>43</v>
      </c>
      <c r="X5379" t="s">
        <v>43</v>
      </c>
      <c r="Y5379" t="s">
        <v>43</v>
      </c>
      <c r="Z5379" t="s">
        <v>43</v>
      </c>
      <c r="AA5379" t="s">
        <v>43</v>
      </c>
      <c r="AB5379" t="s">
        <v>43</v>
      </c>
      <c r="AC5379" t="s">
        <v>43</v>
      </c>
      <c r="AD5379" t="s">
        <v>43</v>
      </c>
      <c r="AE5379" t="s">
        <v>43</v>
      </c>
      <c r="AF5379" t="s">
        <v>43</v>
      </c>
      <c r="AG5379" t="s">
        <v>43</v>
      </c>
      <c r="AH5379" t="s">
        <v>43</v>
      </c>
      <c r="AI5379" t="s">
        <v>43</v>
      </c>
      <c r="AJ5379" t="s">
        <v>43</v>
      </c>
      <c r="AK5379" t="s">
        <v>43</v>
      </c>
      <c r="AL5379" t="s">
        <v>43</v>
      </c>
      <c r="AM5379" t="s">
        <v>43</v>
      </c>
      <c r="AN5379" t="s">
        <v>43</v>
      </c>
    </row>
    <row r="5380" spans="1:40" x14ac:dyDescent="0.3">
      <c r="A5380" s="1">
        <v>46210.376620370371</v>
      </c>
      <c r="B5380" t="s">
        <v>40</v>
      </c>
      <c r="C5380" t="s">
        <v>41</v>
      </c>
      <c r="D5380" s="1">
        <v>46210.379710648151</v>
      </c>
      <c r="E5380" t="s">
        <v>42</v>
      </c>
      <c r="F5380" t="s">
        <v>43</v>
      </c>
      <c r="G5380" t="s">
        <v>43</v>
      </c>
      <c r="H5380" t="s">
        <v>43</v>
      </c>
      <c r="I5380" t="s">
        <v>3037</v>
      </c>
      <c r="J5380" t="s">
        <v>43</v>
      </c>
      <c r="K5380" t="s">
        <v>43</v>
      </c>
      <c r="L5380" t="s">
        <v>43</v>
      </c>
      <c r="M5380" t="s">
        <v>43</v>
      </c>
      <c r="N5380" t="s">
        <v>45</v>
      </c>
      <c r="O5380" t="s">
        <v>43</v>
      </c>
      <c r="P5380" t="s">
        <v>43</v>
      </c>
      <c r="Q5380" t="s">
        <v>43</v>
      </c>
      <c r="R5380" t="s">
        <v>43</v>
      </c>
      <c r="S5380" t="s">
        <v>43</v>
      </c>
      <c r="T5380" t="s">
        <v>43</v>
      </c>
      <c r="U5380" t="s">
        <v>43</v>
      </c>
      <c r="V5380" t="s">
        <v>43</v>
      </c>
      <c r="W5380" t="s">
        <v>43</v>
      </c>
      <c r="X5380" t="s">
        <v>43</v>
      </c>
      <c r="Y5380" t="s">
        <v>43</v>
      </c>
      <c r="Z5380" t="s">
        <v>43</v>
      </c>
      <c r="AA5380" t="s">
        <v>43</v>
      </c>
      <c r="AB5380" t="s">
        <v>43</v>
      </c>
      <c r="AC5380" t="s">
        <v>43</v>
      </c>
      <c r="AD5380" t="s">
        <v>43</v>
      </c>
      <c r="AE5380" t="s">
        <v>43</v>
      </c>
      <c r="AF5380" t="s">
        <v>43</v>
      </c>
      <c r="AG5380" t="s">
        <v>43</v>
      </c>
      <c r="AH5380" t="s">
        <v>43</v>
      </c>
      <c r="AI5380" t="s">
        <v>43</v>
      </c>
      <c r="AJ5380" t="s">
        <v>43</v>
      </c>
      <c r="AK5380" t="s">
        <v>43</v>
      </c>
      <c r="AL5380" t="s">
        <v>43</v>
      </c>
      <c r="AM5380" t="s">
        <v>43</v>
      </c>
      <c r="AN5380" t="str">
        <f>HYPERLINK("https://www.google.com/maps?q=10.83220387,79.84011078","Open Location")</f>
        <v>Open Location</v>
      </c>
    </row>
    <row r="5381" spans="1:40" x14ac:dyDescent="0.3">
      <c r="A5381" s="1">
        <v>46210.376504629632</v>
      </c>
      <c r="B5381" t="s">
        <v>40</v>
      </c>
      <c r="C5381" t="s">
        <v>41</v>
      </c>
      <c r="D5381" s="1">
        <v>46210.37939814815</v>
      </c>
      <c r="E5381" t="s">
        <v>42</v>
      </c>
      <c r="F5381" t="s">
        <v>43</v>
      </c>
      <c r="G5381" t="s">
        <v>43</v>
      </c>
      <c r="H5381" t="s">
        <v>43</v>
      </c>
      <c r="I5381" t="s">
        <v>3039</v>
      </c>
      <c r="J5381" t="s">
        <v>43</v>
      </c>
      <c r="K5381" t="s">
        <v>43</v>
      </c>
      <c r="L5381" t="s">
        <v>43</v>
      </c>
      <c r="M5381" t="s">
        <v>43</v>
      </c>
      <c r="N5381" t="s">
        <v>45</v>
      </c>
      <c r="O5381" t="s">
        <v>43</v>
      </c>
      <c r="P5381" t="s">
        <v>43</v>
      </c>
      <c r="Q5381" t="s">
        <v>43</v>
      </c>
      <c r="R5381" t="s">
        <v>43</v>
      </c>
      <c r="S5381" t="s">
        <v>43</v>
      </c>
      <c r="T5381" t="s">
        <v>43</v>
      </c>
      <c r="U5381" t="s">
        <v>43</v>
      </c>
      <c r="V5381" t="s">
        <v>43</v>
      </c>
      <c r="W5381" t="s">
        <v>43</v>
      </c>
      <c r="X5381" t="s">
        <v>43</v>
      </c>
      <c r="Y5381" t="s">
        <v>43</v>
      </c>
      <c r="Z5381" t="s">
        <v>43</v>
      </c>
      <c r="AA5381" t="s">
        <v>43</v>
      </c>
      <c r="AB5381" t="s">
        <v>43</v>
      </c>
      <c r="AC5381" t="s">
        <v>43</v>
      </c>
      <c r="AD5381" t="s">
        <v>43</v>
      </c>
      <c r="AE5381" t="s">
        <v>43</v>
      </c>
      <c r="AF5381" t="s">
        <v>43</v>
      </c>
      <c r="AG5381" t="s">
        <v>43</v>
      </c>
      <c r="AH5381" t="s">
        <v>43</v>
      </c>
      <c r="AI5381" t="s">
        <v>43</v>
      </c>
      <c r="AJ5381" t="s">
        <v>43</v>
      </c>
      <c r="AK5381" t="s">
        <v>43</v>
      </c>
      <c r="AL5381" t="s">
        <v>43</v>
      </c>
      <c r="AM5381" t="s">
        <v>43</v>
      </c>
      <c r="AN5381" t="str">
        <f>HYPERLINK("https://www.google.com/maps?q=10.83220673,79.84011078","Open Location")</f>
        <v>Open Location</v>
      </c>
    </row>
    <row r="5382" spans="1:40" x14ac:dyDescent="0.3">
      <c r="A5382" s="1">
        <v>46210.376388888886</v>
      </c>
      <c r="B5382" t="s">
        <v>40</v>
      </c>
      <c r="C5382" t="s">
        <v>41</v>
      </c>
      <c r="D5382" s="1">
        <v>46210.379340277781</v>
      </c>
      <c r="E5382" t="s">
        <v>42</v>
      </c>
      <c r="F5382" t="s">
        <v>43</v>
      </c>
      <c r="G5382" t="s">
        <v>43</v>
      </c>
      <c r="H5382" t="s">
        <v>43</v>
      </c>
      <c r="I5382" t="s">
        <v>3040</v>
      </c>
      <c r="J5382" t="s">
        <v>43</v>
      </c>
      <c r="K5382" t="s">
        <v>43</v>
      </c>
      <c r="L5382" t="s">
        <v>43</v>
      </c>
      <c r="M5382" t="s">
        <v>43</v>
      </c>
      <c r="N5382" t="s">
        <v>45</v>
      </c>
      <c r="O5382" t="s">
        <v>43</v>
      </c>
      <c r="P5382" t="s">
        <v>43</v>
      </c>
      <c r="Q5382" t="s">
        <v>43</v>
      </c>
      <c r="R5382" t="s">
        <v>43</v>
      </c>
      <c r="S5382" t="s">
        <v>43</v>
      </c>
      <c r="T5382" t="s">
        <v>43</v>
      </c>
      <c r="U5382" t="s">
        <v>43</v>
      </c>
      <c r="V5382" t="s">
        <v>43</v>
      </c>
      <c r="W5382" t="s">
        <v>43</v>
      </c>
      <c r="X5382" t="s">
        <v>43</v>
      </c>
      <c r="Y5382" t="s">
        <v>43</v>
      </c>
      <c r="Z5382" t="s">
        <v>43</v>
      </c>
      <c r="AA5382" t="s">
        <v>43</v>
      </c>
      <c r="AB5382" t="s">
        <v>43</v>
      </c>
      <c r="AC5382" t="s">
        <v>43</v>
      </c>
      <c r="AD5382" t="s">
        <v>43</v>
      </c>
      <c r="AE5382" t="s">
        <v>43</v>
      </c>
      <c r="AF5382" t="s">
        <v>43</v>
      </c>
      <c r="AG5382" t="s">
        <v>43</v>
      </c>
      <c r="AH5382" t="s">
        <v>43</v>
      </c>
      <c r="AI5382" t="s">
        <v>43</v>
      </c>
      <c r="AJ5382" t="s">
        <v>43</v>
      </c>
      <c r="AK5382" t="s">
        <v>43</v>
      </c>
      <c r="AL5382" t="s">
        <v>43</v>
      </c>
      <c r="AM5382" t="s">
        <v>43</v>
      </c>
      <c r="AN5382" t="str">
        <f>HYPERLINK("https://www.google.com/maps?q=10.83220768,79.84010315","Open Location")</f>
        <v>Open Location</v>
      </c>
    </row>
    <row r="5383" spans="1:40" x14ac:dyDescent="0.3">
      <c r="A5383" s="1">
        <v>46210.376273148147</v>
      </c>
      <c r="B5383" t="s">
        <v>40</v>
      </c>
      <c r="C5383" t="s">
        <v>41</v>
      </c>
      <c r="D5383" s="1">
        <v>46210.379108796296</v>
      </c>
      <c r="E5383" t="s">
        <v>42</v>
      </c>
      <c r="F5383" t="s">
        <v>43</v>
      </c>
      <c r="G5383" t="s">
        <v>43</v>
      </c>
      <c r="H5383" t="s">
        <v>43</v>
      </c>
      <c r="I5383" t="s">
        <v>3041</v>
      </c>
      <c r="J5383" t="s">
        <v>43</v>
      </c>
      <c r="K5383" t="s">
        <v>43</v>
      </c>
      <c r="L5383" t="s">
        <v>43</v>
      </c>
      <c r="M5383" t="s">
        <v>43</v>
      </c>
      <c r="N5383" t="s">
        <v>45</v>
      </c>
      <c r="O5383" t="s">
        <v>43</v>
      </c>
      <c r="P5383" t="s">
        <v>43</v>
      </c>
      <c r="Q5383" t="s">
        <v>43</v>
      </c>
      <c r="R5383" t="s">
        <v>43</v>
      </c>
      <c r="S5383" t="s">
        <v>43</v>
      </c>
      <c r="T5383" t="s">
        <v>43</v>
      </c>
      <c r="U5383" t="s">
        <v>43</v>
      </c>
      <c r="V5383" t="s">
        <v>43</v>
      </c>
      <c r="W5383" t="s">
        <v>43</v>
      </c>
      <c r="X5383" t="s">
        <v>43</v>
      </c>
      <c r="Y5383" t="s">
        <v>43</v>
      </c>
      <c r="Z5383" t="s">
        <v>43</v>
      </c>
      <c r="AA5383" t="s">
        <v>43</v>
      </c>
      <c r="AB5383" t="s">
        <v>43</v>
      </c>
      <c r="AC5383" t="s">
        <v>43</v>
      </c>
      <c r="AD5383" t="s">
        <v>43</v>
      </c>
      <c r="AE5383" t="s">
        <v>43</v>
      </c>
      <c r="AF5383" t="s">
        <v>43</v>
      </c>
      <c r="AG5383" t="s">
        <v>43</v>
      </c>
      <c r="AH5383" t="s">
        <v>43</v>
      </c>
      <c r="AI5383" t="s">
        <v>43</v>
      </c>
      <c r="AJ5383" t="s">
        <v>43</v>
      </c>
      <c r="AK5383" t="s">
        <v>43</v>
      </c>
      <c r="AL5383" t="s">
        <v>43</v>
      </c>
      <c r="AM5383" t="s">
        <v>43</v>
      </c>
      <c r="AN5383" t="str">
        <f>HYPERLINK("https://www.google.com/maps?q=10.83220673,79.84009552","Open Location")</f>
        <v>Open Location</v>
      </c>
    </row>
    <row r="5384" spans="1:40" x14ac:dyDescent="0.3">
      <c r="A5384" s="1">
        <v>46210.376157407409</v>
      </c>
      <c r="B5384" t="s">
        <v>40</v>
      </c>
      <c r="C5384" t="s">
        <v>41</v>
      </c>
      <c r="D5384" s="1">
        <v>46210.379131944443</v>
      </c>
      <c r="E5384" t="s">
        <v>42</v>
      </c>
      <c r="F5384" t="s">
        <v>43</v>
      </c>
      <c r="G5384" t="s">
        <v>43</v>
      </c>
      <c r="H5384" t="s">
        <v>43</v>
      </c>
      <c r="I5384" t="s">
        <v>43</v>
      </c>
      <c r="J5384" t="s">
        <v>43</v>
      </c>
      <c r="K5384" t="s">
        <v>43</v>
      </c>
      <c r="L5384" t="s">
        <v>43</v>
      </c>
      <c r="M5384" t="s">
        <v>43</v>
      </c>
      <c r="N5384" t="s">
        <v>45</v>
      </c>
      <c r="O5384" t="s">
        <v>43</v>
      </c>
      <c r="P5384" t="s">
        <v>43</v>
      </c>
      <c r="Q5384" t="s">
        <v>43</v>
      </c>
      <c r="R5384" t="s">
        <v>43</v>
      </c>
      <c r="S5384" t="s">
        <v>43</v>
      </c>
      <c r="T5384" t="s">
        <v>43</v>
      </c>
      <c r="U5384" t="s">
        <v>43</v>
      </c>
      <c r="V5384" t="s">
        <v>43</v>
      </c>
      <c r="W5384" t="s">
        <v>43</v>
      </c>
      <c r="X5384" t="s">
        <v>43</v>
      </c>
      <c r="Y5384" t="s">
        <v>43</v>
      </c>
      <c r="Z5384" t="s">
        <v>43</v>
      </c>
      <c r="AA5384" t="s">
        <v>43</v>
      </c>
      <c r="AB5384" t="s">
        <v>43</v>
      </c>
      <c r="AC5384" t="s">
        <v>43</v>
      </c>
      <c r="AD5384" t="s">
        <v>43</v>
      </c>
      <c r="AE5384" t="s">
        <v>43</v>
      </c>
      <c r="AF5384" t="s">
        <v>43</v>
      </c>
      <c r="AG5384" t="s">
        <v>43</v>
      </c>
      <c r="AH5384" t="s">
        <v>43</v>
      </c>
      <c r="AI5384" t="s">
        <v>43</v>
      </c>
      <c r="AJ5384" t="s">
        <v>43</v>
      </c>
      <c r="AK5384" t="s">
        <v>43</v>
      </c>
      <c r="AL5384" t="s">
        <v>43</v>
      </c>
      <c r="AM5384" t="s">
        <v>43</v>
      </c>
      <c r="AN5384" t="s">
        <v>43</v>
      </c>
    </row>
    <row r="5385" spans="1:40" x14ac:dyDescent="0.3">
      <c r="A5385" s="1">
        <v>46210.37604166667</v>
      </c>
      <c r="B5385" t="s">
        <v>40</v>
      </c>
      <c r="C5385" t="s">
        <v>41</v>
      </c>
      <c r="D5385" s="1">
        <v>46210.37908564815</v>
      </c>
      <c r="E5385" t="s">
        <v>42</v>
      </c>
      <c r="F5385" t="s">
        <v>43</v>
      </c>
      <c r="G5385" t="s">
        <v>43</v>
      </c>
      <c r="H5385" t="s">
        <v>43</v>
      </c>
      <c r="I5385" t="s">
        <v>3042</v>
      </c>
      <c r="J5385" t="s">
        <v>43</v>
      </c>
      <c r="K5385" t="s">
        <v>43</v>
      </c>
      <c r="L5385" t="s">
        <v>43</v>
      </c>
      <c r="M5385" t="s">
        <v>43</v>
      </c>
      <c r="N5385" t="s">
        <v>45</v>
      </c>
      <c r="O5385" t="s">
        <v>43</v>
      </c>
      <c r="P5385" t="s">
        <v>43</v>
      </c>
      <c r="Q5385" t="s">
        <v>43</v>
      </c>
      <c r="R5385" t="s">
        <v>43</v>
      </c>
      <c r="S5385" t="s">
        <v>43</v>
      </c>
      <c r="T5385" t="s">
        <v>43</v>
      </c>
      <c r="U5385" t="s">
        <v>43</v>
      </c>
      <c r="V5385" t="s">
        <v>43</v>
      </c>
      <c r="W5385" t="s">
        <v>43</v>
      </c>
      <c r="X5385" t="s">
        <v>43</v>
      </c>
      <c r="Y5385" t="s">
        <v>43</v>
      </c>
      <c r="Z5385" t="s">
        <v>43</v>
      </c>
      <c r="AA5385" t="s">
        <v>43</v>
      </c>
      <c r="AB5385" t="s">
        <v>43</v>
      </c>
      <c r="AC5385" t="s">
        <v>43</v>
      </c>
      <c r="AD5385" t="s">
        <v>43</v>
      </c>
      <c r="AE5385" t="s">
        <v>43</v>
      </c>
      <c r="AF5385" t="s">
        <v>43</v>
      </c>
      <c r="AG5385" t="s">
        <v>43</v>
      </c>
      <c r="AH5385" t="s">
        <v>43</v>
      </c>
      <c r="AI5385" t="s">
        <v>43</v>
      </c>
      <c r="AJ5385" t="s">
        <v>43</v>
      </c>
      <c r="AK5385" t="s">
        <v>43</v>
      </c>
      <c r="AL5385" t="s">
        <v>43</v>
      </c>
      <c r="AM5385" t="s">
        <v>43</v>
      </c>
      <c r="AN5385" t="str">
        <f>HYPERLINK("https://www.google.com/maps?q=10.83221054,79.84009552","Open Location")</f>
        <v>Open Location</v>
      </c>
    </row>
    <row r="5386" spans="1:40" x14ac:dyDescent="0.3">
      <c r="A5386" s="1">
        <v>46210.375925925924</v>
      </c>
      <c r="B5386" t="s">
        <v>40</v>
      </c>
      <c r="C5386" t="s">
        <v>41</v>
      </c>
      <c r="D5386" s="1">
        <v>46210.378993055558</v>
      </c>
      <c r="E5386" t="s">
        <v>42</v>
      </c>
      <c r="F5386" t="s">
        <v>43</v>
      </c>
      <c r="G5386" t="s">
        <v>43</v>
      </c>
      <c r="H5386" t="s">
        <v>43</v>
      </c>
      <c r="I5386" t="s">
        <v>3043</v>
      </c>
      <c r="J5386" t="s">
        <v>43</v>
      </c>
      <c r="K5386" t="s">
        <v>43</v>
      </c>
      <c r="L5386" t="s">
        <v>43</v>
      </c>
      <c r="M5386" t="s">
        <v>43</v>
      </c>
      <c r="N5386" t="s">
        <v>45</v>
      </c>
      <c r="O5386" t="s">
        <v>43</v>
      </c>
      <c r="P5386" t="s">
        <v>43</v>
      </c>
      <c r="Q5386" t="s">
        <v>43</v>
      </c>
      <c r="R5386" t="s">
        <v>43</v>
      </c>
      <c r="S5386" t="s">
        <v>43</v>
      </c>
      <c r="T5386" t="s">
        <v>43</v>
      </c>
      <c r="U5386" t="s">
        <v>43</v>
      </c>
      <c r="V5386" t="s">
        <v>43</v>
      </c>
      <c r="W5386" t="s">
        <v>43</v>
      </c>
      <c r="X5386" t="s">
        <v>43</v>
      </c>
      <c r="Y5386" t="s">
        <v>43</v>
      </c>
      <c r="Z5386" t="s">
        <v>43</v>
      </c>
      <c r="AA5386" t="s">
        <v>43</v>
      </c>
      <c r="AB5386" t="s">
        <v>43</v>
      </c>
      <c r="AC5386" t="s">
        <v>43</v>
      </c>
      <c r="AD5386" t="s">
        <v>43</v>
      </c>
      <c r="AE5386" t="s">
        <v>43</v>
      </c>
      <c r="AF5386" t="s">
        <v>43</v>
      </c>
      <c r="AG5386" t="s">
        <v>43</v>
      </c>
      <c r="AH5386" t="s">
        <v>43</v>
      </c>
      <c r="AI5386" t="s">
        <v>43</v>
      </c>
      <c r="AJ5386" t="s">
        <v>43</v>
      </c>
      <c r="AK5386" t="s">
        <v>43</v>
      </c>
      <c r="AL5386" t="s">
        <v>43</v>
      </c>
      <c r="AM5386" t="s">
        <v>43</v>
      </c>
      <c r="AN5386" t="str">
        <f>HYPERLINK("https://www.google.com/maps?q=10.8322134,79.84009552","Open Location")</f>
        <v>Open Location</v>
      </c>
    </row>
    <row r="5387" spans="1:40" x14ac:dyDescent="0.3">
      <c r="A5387" s="1">
        <v>46210.375810185185</v>
      </c>
      <c r="B5387" t="s">
        <v>40</v>
      </c>
      <c r="C5387" t="s">
        <v>41</v>
      </c>
      <c r="D5387" s="1">
        <v>46210.378657407404</v>
      </c>
      <c r="E5387" t="s">
        <v>42</v>
      </c>
      <c r="F5387" t="s">
        <v>43</v>
      </c>
      <c r="G5387" t="s">
        <v>43</v>
      </c>
      <c r="H5387" t="s">
        <v>43</v>
      </c>
      <c r="I5387" t="s">
        <v>3044</v>
      </c>
      <c r="J5387" t="s">
        <v>43</v>
      </c>
      <c r="K5387" t="s">
        <v>43</v>
      </c>
      <c r="L5387" t="s">
        <v>43</v>
      </c>
      <c r="M5387" t="s">
        <v>43</v>
      </c>
      <c r="N5387" t="s">
        <v>45</v>
      </c>
      <c r="O5387" t="s">
        <v>43</v>
      </c>
      <c r="P5387" t="s">
        <v>43</v>
      </c>
      <c r="Q5387" t="s">
        <v>43</v>
      </c>
      <c r="R5387" t="s">
        <v>43</v>
      </c>
      <c r="S5387" t="s">
        <v>43</v>
      </c>
      <c r="T5387" t="s">
        <v>43</v>
      </c>
      <c r="U5387" t="s">
        <v>43</v>
      </c>
      <c r="V5387" t="s">
        <v>43</v>
      </c>
      <c r="W5387" t="s">
        <v>43</v>
      </c>
      <c r="X5387" t="s">
        <v>43</v>
      </c>
      <c r="Y5387" t="s">
        <v>43</v>
      </c>
      <c r="Z5387" t="s">
        <v>43</v>
      </c>
      <c r="AA5387" t="s">
        <v>43</v>
      </c>
      <c r="AB5387" t="s">
        <v>43</v>
      </c>
      <c r="AC5387" t="s">
        <v>43</v>
      </c>
      <c r="AD5387" t="s">
        <v>43</v>
      </c>
      <c r="AE5387" t="s">
        <v>43</v>
      </c>
      <c r="AF5387" t="s">
        <v>43</v>
      </c>
      <c r="AG5387" t="s">
        <v>43</v>
      </c>
      <c r="AH5387" t="s">
        <v>43</v>
      </c>
      <c r="AI5387" t="s">
        <v>43</v>
      </c>
      <c r="AJ5387" t="s">
        <v>43</v>
      </c>
      <c r="AK5387" t="s">
        <v>43</v>
      </c>
      <c r="AL5387" t="s">
        <v>43</v>
      </c>
      <c r="AM5387" t="s">
        <v>43</v>
      </c>
      <c r="AN5387" t="str">
        <f>HYPERLINK("https://www.google.com/maps?q=10.83221436,79.84010315","Open Location")</f>
        <v>Open Location</v>
      </c>
    </row>
    <row r="5388" spans="1:40" x14ac:dyDescent="0.3">
      <c r="A5388" s="1">
        <v>46210.375694444447</v>
      </c>
      <c r="B5388" t="s">
        <v>40</v>
      </c>
      <c r="C5388" t="s">
        <v>41</v>
      </c>
      <c r="D5388" s="1">
        <v>46210.378750000003</v>
      </c>
      <c r="E5388" t="s">
        <v>42</v>
      </c>
      <c r="F5388" t="s">
        <v>43</v>
      </c>
      <c r="G5388" t="s">
        <v>43</v>
      </c>
      <c r="H5388" t="s">
        <v>43</v>
      </c>
      <c r="I5388" t="s">
        <v>3045</v>
      </c>
      <c r="J5388" t="s">
        <v>43</v>
      </c>
      <c r="K5388" t="s">
        <v>43</v>
      </c>
      <c r="L5388" t="s">
        <v>43</v>
      </c>
      <c r="M5388" t="s">
        <v>43</v>
      </c>
      <c r="N5388" t="s">
        <v>45</v>
      </c>
      <c r="O5388" t="s">
        <v>43</v>
      </c>
      <c r="P5388" t="s">
        <v>43</v>
      </c>
      <c r="Q5388" t="s">
        <v>43</v>
      </c>
      <c r="R5388" t="s">
        <v>43</v>
      </c>
      <c r="S5388" t="s">
        <v>43</v>
      </c>
      <c r="T5388" t="s">
        <v>43</v>
      </c>
      <c r="U5388" t="s">
        <v>43</v>
      </c>
      <c r="V5388" t="s">
        <v>43</v>
      </c>
      <c r="W5388" t="s">
        <v>43</v>
      </c>
      <c r="X5388" t="s">
        <v>43</v>
      </c>
      <c r="Y5388" t="s">
        <v>43</v>
      </c>
      <c r="Z5388" t="s">
        <v>43</v>
      </c>
      <c r="AA5388" t="s">
        <v>43</v>
      </c>
      <c r="AB5388" t="s">
        <v>43</v>
      </c>
      <c r="AC5388" t="s">
        <v>43</v>
      </c>
      <c r="AD5388" t="s">
        <v>43</v>
      </c>
      <c r="AE5388" t="s">
        <v>43</v>
      </c>
      <c r="AF5388" t="s">
        <v>43</v>
      </c>
      <c r="AG5388" t="s">
        <v>43</v>
      </c>
      <c r="AH5388" t="s">
        <v>43</v>
      </c>
      <c r="AI5388" t="s">
        <v>43</v>
      </c>
      <c r="AJ5388" t="s">
        <v>43</v>
      </c>
      <c r="AK5388" t="s">
        <v>43</v>
      </c>
      <c r="AL5388" t="s">
        <v>43</v>
      </c>
      <c r="AM5388" t="s">
        <v>43</v>
      </c>
      <c r="AN5388" t="str">
        <f>HYPERLINK("https://www.google.com/maps?q=10.8322134,79.84011078","Open Location")</f>
        <v>Open Location</v>
      </c>
    </row>
    <row r="5389" spans="1:40" x14ac:dyDescent="0.3">
      <c r="A5389" s="1">
        <v>46210.375578703701</v>
      </c>
      <c r="B5389" t="s">
        <v>40</v>
      </c>
      <c r="C5389" t="s">
        <v>41</v>
      </c>
      <c r="D5389" s="1">
        <v>46210.378321759257</v>
      </c>
      <c r="E5389" t="s">
        <v>42</v>
      </c>
      <c r="F5389" t="s">
        <v>43</v>
      </c>
      <c r="G5389" t="s">
        <v>43</v>
      </c>
      <c r="H5389" t="s">
        <v>43</v>
      </c>
      <c r="I5389" t="s">
        <v>3046</v>
      </c>
      <c r="J5389" t="s">
        <v>43</v>
      </c>
      <c r="K5389" t="s">
        <v>43</v>
      </c>
      <c r="L5389" t="s">
        <v>43</v>
      </c>
      <c r="M5389" t="s">
        <v>43</v>
      </c>
      <c r="N5389" t="s">
        <v>45</v>
      </c>
      <c r="O5389" t="s">
        <v>43</v>
      </c>
      <c r="P5389" t="s">
        <v>43</v>
      </c>
      <c r="Q5389" t="s">
        <v>43</v>
      </c>
      <c r="R5389" t="s">
        <v>43</v>
      </c>
      <c r="S5389" t="s">
        <v>43</v>
      </c>
      <c r="T5389" t="s">
        <v>43</v>
      </c>
      <c r="U5389" t="s">
        <v>43</v>
      </c>
      <c r="V5389" t="s">
        <v>43</v>
      </c>
      <c r="W5389" t="s">
        <v>43</v>
      </c>
      <c r="X5389" t="s">
        <v>43</v>
      </c>
      <c r="Y5389" t="s">
        <v>43</v>
      </c>
      <c r="Z5389" t="s">
        <v>43</v>
      </c>
      <c r="AA5389" t="s">
        <v>43</v>
      </c>
      <c r="AB5389" t="s">
        <v>43</v>
      </c>
      <c r="AC5389" t="s">
        <v>43</v>
      </c>
      <c r="AD5389" t="s">
        <v>43</v>
      </c>
      <c r="AE5389" t="s">
        <v>43</v>
      </c>
      <c r="AF5389" t="s">
        <v>43</v>
      </c>
      <c r="AG5389" t="s">
        <v>43</v>
      </c>
      <c r="AH5389" t="s">
        <v>43</v>
      </c>
      <c r="AI5389" t="s">
        <v>43</v>
      </c>
      <c r="AJ5389" t="s">
        <v>43</v>
      </c>
      <c r="AK5389" t="s">
        <v>43</v>
      </c>
      <c r="AL5389" t="s">
        <v>43</v>
      </c>
      <c r="AM5389" t="s">
        <v>43</v>
      </c>
      <c r="AN5389" t="str">
        <f>HYPERLINK("https://www.google.com/maps?q=10.83221245,79.84011841","Open Location")</f>
        <v>Open Location</v>
      </c>
    </row>
    <row r="5390" spans="1:40" x14ac:dyDescent="0.3">
      <c r="A5390" s="1">
        <v>46210.375462962962</v>
      </c>
      <c r="B5390" t="s">
        <v>40</v>
      </c>
      <c r="C5390" t="s">
        <v>41</v>
      </c>
      <c r="D5390" s="1">
        <v>46210.378541666665</v>
      </c>
      <c r="E5390" t="s">
        <v>42</v>
      </c>
      <c r="F5390" t="s">
        <v>43</v>
      </c>
      <c r="G5390" t="s">
        <v>43</v>
      </c>
      <c r="H5390" t="s">
        <v>43</v>
      </c>
      <c r="I5390" t="s">
        <v>43</v>
      </c>
      <c r="J5390" t="s">
        <v>43</v>
      </c>
      <c r="K5390" t="s">
        <v>43</v>
      </c>
      <c r="L5390" t="s">
        <v>43</v>
      </c>
      <c r="M5390" t="s">
        <v>43</v>
      </c>
      <c r="N5390" t="s">
        <v>45</v>
      </c>
      <c r="O5390" t="s">
        <v>43</v>
      </c>
      <c r="P5390" t="s">
        <v>43</v>
      </c>
      <c r="Q5390" t="s">
        <v>43</v>
      </c>
      <c r="R5390" t="s">
        <v>43</v>
      </c>
      <c r="S5390" t="s">
        <v>43</v>
      </c>
      <c r="T5390" t="s">
        <v>43</v>
      </c>
      <c r="U5390" t="s">
        <v>43</v>
      </c>
      <c r="V5390" t="s">
        <v>43</v>
      </c>
      <c r="W5390" t="s">
        <v>43</v>
      </c>
      <c r="X5390" t="s">
        <v>43</v>
      </c>
      <c r="Y5390" t="s">
        <v>43</v>
      </c>
      <c r="Z5390" t="s">
        <v>43</v>
      </c>
      <c r="AA5390" t="s">
        <v>43</v>
      </c>
      <c r="AB5390" t="s">
        <v>43</v>
      </c>
      <c r="AC5390" t="s">
        <v>43</v>
      </c>
      <c r="AD5390" t="s">
        <v>43</v>
      </c>
      <c r="AE5390" t="s">
        <v>43</v>
      </c>
      <c r="AF5390" t="s">
        <v>43</v>
      </c>
      <c r="AG5390" t="s">
        <v>43</v>
      </c>
      <c r="AH5390" t="s">
        <v>43</v>
      </c>
      <c r="AI5390" t="s">
        <v>43</v>
      </c>
      <c r="AJ5390" t="s">
        <v>43</v>
      </c>
      <c r="AK5390" t="s">
        <v>43</v>
      </c>
      <c r="AL5390" t="s">
        <v>43</v>
      </c>
      <c r="AM5390" t="s">
        <v>43</v>
      </c>
      <c r="AN5390" t="s">
        <v>43</v>
      </c>
    </row>
    <row r="5391" spans="1:40" x14ac:dyDescent="0.3">
      <c r="A5391" s="1">
        <v>46210.375347222223</v>
      </c>
      <c r="B5391" t="s">
        <v>40</v>
      </c>
      <c r="C5391" t="s">
        <v>41</v>
      </c>
      <c r="D5391" s="1">
        <v>46210.378125000003</v>
      </c>
      <c r="E5391" t="s">
        <v>42</v>
      </c>
      <c r="F5391" t="s">
        <v>43</v>
      </c>
      <c r="G5391" t="s">
        <v>43</v>
      </c>
      <c r="H5391" t="s">
        <v>43</v>
      </c>
      <c r="I5391" t="s">
        <v>3047</v>
      </c>
      <c r="J5391" t="s">
        <v>43</v>
      </c>
      <c r="K5391" t="s">
        <v>43</v>
      </c>
      <c r="L5391" t="s">
        <v>43</v>
      </c>
      <c r="M5391" t="s">
        <v>43</v>
      </c>
      <c r="N5391" t="s">
        <v>45</v>
      </c>
      <c r="O5391" t="s">
        <v>43</v>
      </c>
      <c r="P5391" t="s">
        <v>43</v>
      </c>
      <c r="Q5391" t="s">
        <v>43</v>
      </c>
      <c r="R5391" t="s">
        <v>43</v>
      </c>
      <c r="S5391" t="s">
        <v>43</v>
      </c>
      <c r="T5391" t="s">
        <v>43</v>
      </c>
      <c r="U5391" t="s">
        <v>43</v>
      </c>
      <c r="V5391" t="s">
        <v>43</v>
      </c>
      <c r="W5391" t="s">
        <v>43</v>
      </c>
      <c r="X5391" t="s">
        <v>43</v>
      </c>
      <c r="Y5391" t="s">
        <v>43</v>
      </c>
      <c r="Z5391" t="s">
        <v>43</v>
      </c>
      <c r="AA5391" t="s">
        <v>43</v>
      </c>
      <c r="AB5391" t="s">
        <v>43</v>
      </c>
      <c r="AC5391" t="s">
        <v>43</v>
      </c>
      <c r="AD5391" t="s">
        <v>43</v>
      </c>
      <c r="AE5391" t="s">
        <v>43</v>
      </c>
      <c r="AF5391" t="s">
        <v>43</v>
      </c>
      <c r="AG5391" t="s">
        <v>43</v>
      </c>
      <c r="AH5391" t="s">
        <v>43</v>
      </c>
      <c r="AI5391" t="s">
        <v>43</v>
      </c>
      <c r="AJ5391" t="s">
        <v>43</v>
      </c>
      <c r="AK5391" t="s">
        <v>43</v>
      </c>
      <c r="AL5391" t="s">
        <v>43</v>
      </c>
      <c r="AM5391" t="s">
        <v>43</v>
      </c>
      <c r="AN5391" t="str">
        <f>HYPERLINK("https://www.google.com/maps?q=10.83220959,79.84012604","Open Location")</f>
        <v>Open Location</v>
      </c>
    </row>
    <row r="5392" spans="1:40" x14ac:dyDescent="0.3">
      <c r="A5392" s="1">
        <v>46210.375231481485</v>
      </c>
      <c r="B5392" t="s">
        <v>40</v>
      </c>
      <c r="C5392" t="s">
        <v>41</v>
      </c>
      <c r="D5392" s="1">
        <v>46210.378182870372</v>
      </c>
      <c r="E5392" t="s">
        <v>42</v>
      </c>
      <c r="F5392" t="s">
        <v>43</v>
      </c>
      <c r="G5392" t="s">
        <v>43</v>
      </c>
      <c r="H5392" t="s">
        <v>43</v>
      </c>
      <c r="I5392" t="s">
        <v>3048</v>
      </c>
      <c r="J5392" t="s">
        <v>43</v>
      </c>
      <c r="K5392" t="s">
        <v>43</v>
      </c>
      <c r="L5392" t="s">
        <v>43</v>
      </c>
      <c r="M5392" t="s">
        <v>43</v>
      </c>
      <c r="N5392" t="s">
        <v>45</v>
      </c>
      <c r="O5392" t="s">
        <v>43</v>
      </c>
      <c r="P5392" t="s">
        <v>43</v>
      </c>
      <c r="Q5392" t="s">
        <v>43</v>
      </c>
      <c r="R5392" t="s">
        <v>43</v>
      </c>
      <c r="S5392" t="s">
        <v>43</v>
      </c>
      <c r="T5392" t="s">
        <v>43</v>
      </c>
      <c r="U5392" t="s">
        <v>43</v>
      </c>
      <c r="V5392" t="s">
        <v>43</v>
      </c>
      <c r="W5392" t="s">
        <v>43</v>
      </c>
      <c r="X5392" t="s">
        <v>43</v>
      </c>
      <c r="Y5392" t="s">
        <v>43</v>
      </c>
      <c r="Z5392" t="s">
        <v>43</v>
      </c>
      <c r="AA5392" t="s">
        <v>43</v>
      </c>
      <c r="AB5392" t="s">
        <v>43</v>
      </c>
      <c r="AC5392" t="s">
        <v>43</v>
      </c>
      <c r="AD5392" t="s">
        <v>43</v>
      </c>
      <c r="AE5392" t="s">
        <v>43</v>
      </c>
      <c r="AF5392" t="s">
        <v>43</v>
      </c>
      <c r="AG5392" t="s">
        <v>43</v>
      </c>
      <c r="AH5392" t="s">
        <v>43</v>
      </c>
      <c r="AI5392" t="s">
        <v>43</v>
      </c>
      <c r="AJ5392" t="s">
        <v>43</v>
      </c>
      <c r="AK5392" t="s">
        <v>43</v>
      </c>
      <c r="AL5392" t="s">
        <v>43</v>
      </c>
      <c r="AM5392" t="s">
        <v>43</v>
      </c>
      <c r="AN5392" t="str">
        <f>HYPERLINK("https://www.google.com/maps?q=10.83220577,79.84012604","Open Location")</f>
        <v>Open Location</v>
      </c>
    </row>
    <row r="5393" spans="1:40" x14ac:dyDescent="0.3">
      <c r="A5393" s="1">
        <v>46210.375115740739</v>
      </c>
      <c r="B5393" t="s">
        <v>40</v>
      </c>
      <c r="C5393" t="s">
        <v>41</v>
      </c>
      <c r="D5393" s="1">
        <v>46210.377974537034</v>
      </c>
      <c r="E5393" t="s">
        <v>42</v>
      </c>
      <c r="F5393" t="s">
        <v>43</v>
      </c>
      <c r="G5393" t="s">
        <v>43</v>
      </c>
      <c r="H5393" t="s">
        <v>43</v>
      </c>
      <c r="I5393" t="s">
        <v>3049</v>
      </c>
      <c r="J5393" t="s">
        <v>43</v>
      </c>
      <c r="K5393" t="s">
        <v>43</v>
      </c>
      <c r="L5393" t="s">
        <v>43</v>
      </c>
      <c r="M5393" t="s">
        <v>43</v>
      </c>
      <c r="N5393" t="s">
        <v>45</v>
      </c>
      <c r="O5393" t="s">
        <v>43</v>
      </c>
      <c r="P5393" t="s">
        <v>43</v>
      </c>
      <c r="Q5393" t="s">
        <v>43</v>
      </c>
      <c r="R5393" t="s">
        <v>43</v>
      </c>
      <c r="S5393" t="s">
        <v>43</v>
      </c>
      <c r="T5393" t="s">
        <v>43</v>
      </c>
      <c r="U5393" t="s">
        <v>43</v>
      </c>
      <c r="V5393" t="s">
        <v>43</v>
      </c>
      <c r="W5393" t="s">
        <v>43</v>
      </c>
      <c r="X5393" t="s">
        <v>43</v>
      </c>
      <c r="Y5393" t="s">
        <v>43</v>
      </c>
      <c r="Z5393" t="s">
        <v>43</v>
      </c>
      <c r="AA5393" t="s">
        <v>43</v>
      </c>
      <c r="AB5393" t="s">
        <v>43</v>
      </c>
      <c r="AC5393" t="s">
        <v>43</v>
      </c>
      <c r="AD5393" t="s">
        <v>43</v>
      </c>
      <c r="AE5393" t="s">
        <v>43</v>
      </c>
      <c r="AF5393" t="s">
        <v>43</v>
      </c>
      <c r="AG5393" t="s">
        <v>43</v>
      </c>
      <c r="AH5393" t="s">
        <v>43</v>
      </c>
      <c r="AI5393" t="s">
        <v>43</v>
      </c>
      <c r="AJ5393" t="s">
        <v>43</v>
      </c>
      <c r="AK5393" t="s">
        <v>43</v>
      </c>
      <c r="AL5393" t="s">
        <v>43</v>
      </c>
      <c r="AM5393" t="s">
        <v>43</v>
      </c>
      <c r="AN5393" t="str">
        <f>HYPERLINK("https://www.google.com/maps?q=10.83220291,79.84013367","Open Location")</f>
        <v>Open Location</v>
      </c>
    </row>
    <row r="5394" spans="1:40" x14ac:dyDescent="0.3">
      <c r="A5394" s="1">
        <v>46210.375</v>
      </c>
      <c r="B5394" t="s">
        <v>40</v>
      </c>
      <c r="C5394" t="s">
        <v>41</v>
      </c>
      <c r="D5394" s="1">
        <v>46210.377974537034</v>
      </c>
      <c r="E5394" t="s">
        <v>42</v>
      </c>
      <c r="F5394" t="s">
        <v>43</v>
      </c>
      <c r="G5394" t="s">
        <v>43</v>
      </c>
      <c r="H5394" t="s">
        <v>43</v>
      </c>
      <c r="I5394" t="s">
        <v>3050</v>
      </c>
      <c r="J5394" t="s">
        <v>43</v>
      </c>
      <c r="K5394" t="s">
        <v>43</v>
      </c>
      <c r="L5394" t="s">
        <v>43</v>
      </c>
      <c r="M5394" t="s">
        <v>43</v>
      </c>
      <c r="N5394" t="s">
        <v>45</v>
      </c>
      <c r="O5394" t="s">
        <v>43</v>
      </c>
      <c r="P5394" t="s">
        <v>43</v>
      </c>
      <c r="Q5394" t="s">
        <v>43</v>
      </c>
      <c r="R5394" t="s">
        <v>43</v>
      </c>
      <c r="S5394" t="s">
        <v>43</v>
      </c>
      <c r="T5394" t="s">
        <v>43</v>
      </c>
      <c r="U5394" t="s">
        <v>43</v>
      </c>
      <c r="V5394" t="s">
        <v>43</v>
      </c>
      <c r="W5394" t="s">
        <v>43</v>
      </c>
      <c r="X5394" t="s">
        <v>43</v>
      </c>
      <c r="Y5394" t="s">
        <v>43</v>
      </c>
      <c r="Z5394" t="s">
        <v>43</v>
      </c>
      <c r="AA5394" t="s">
        <v>43</v>
      </c>
      <c r="AB5394" t="s">
        <v>43</v>
      </c>
      <c r="AC5394" t="s">
        <v>43</v>
      </c>
      <c r="AD5394" t="s">
        <v>43</v>
      </c>
      <c r="AE5394" t="s">
        <v>43</v>
      </c>
      <c r="AF5394" t="s">
        <v>43</v>
      </c>
      <c r="AG5394" t="s">
        <v>43</v>
      </c>
      <c r="AH5394" t="s">
        <v>43</v>
      </c>
      <c r="AI5394" t="s">
        <v>43</v>
      </c>
      <c r="AJ5394" t="s">
        <v>43</v>
      </c>
      <c r="AK5394" t="s">
        <v>43</v>
      </c>
      <c r="AL5394" t="s">
        <v>43</v>
      </c>
      <c r="AM5394" t="s">
        <v>43</v>
      </c>
      <c r="AN5394" t="str">
        <f>HYPERLINK("https://www.google.com/maps?q=10.83220577,79.84013367","Open Location")</f>
        <v>Open Location</v>
      </c>
    </row>
    <row r="5395" spans="1:40" x14ac:dyDescent="0.3">
      <c r="A5395" s="1">
        <v>46210.374884259261</v>
      </c>
      <c r="B5395" t="s">
        <v>40</v>
      </c>
      <c r="C5395" t="s">
        <v>41</v>
      </c>
      <c r="D5395" s="1">
        <v>46210.37777777778</v>
      </c>
      <c r="E5395" t="s">
        <v>42</v>
      </c>
      <c r="F5395" t="s">
        <v>43</v>
      </c>
      <c r="G5395" t="s">
        <v>43</v>
      </c>
      <c r="H5395" t="s">
        <v>43</v>
      </c>
      <c r="I5395" t="s">
        <v>3051</v>
      </c>
      <c r="J5395" t="s">
        <v>43</v>
      </c>
      <c r="K5395" t="s">
        <v>43</v>
      </c>
      <c r="L5395" t="s">
        <v>43</v>
      </c>
      <c r="M5395" t="s">
        <v>43</v>
      </c>
      <c r="N5395" t="s">
        <v>45</v>
      </c>
      <c r="O5395" t="s">
        <v>43</v>
      </c>
      <c r="P5395" t="s">
        <v>43</v>
      </c>
      <c r="Q5395" t="s">
        <v>43</v>
      </c>
      <c r="R5395" t="s">
        <v>43</v>
      </c>
      <c r="S5395" t="s">
        <v>43</v>
      </c>
      <c r="T5395" t="s">
        <v>43</v>
      </c>
      <c r="U5395" t="s">
        <v>43</v>
      </c>
      <c r="V5395" t="s">
        <v>43</v>
      </c>
      <c r="W5395" t="s">
        <v>43</v>
      </c>
      <c r="X5395" t="s">
        <v>43</v>
      </c>
      <c r="Y5395" t="s">
        <v>43</v>
      </c>
      <c r="Z5395" t="s">
        <v>43</v>
      </c>
      <c r="AA5395" t="s">
        <v>43</v>
      </c>
      <c r="AB5395" t="s">
        <v>43</v>
      </c>
      <c r="AC5395" t="s">
        <v>43</v>
      </c>
      <c r="AD5395" t="s">
        <v>43</v>
      </c>
      <c r="AE5395" t="s">
        <v>43</v>
      </c>
      <c r="AF5395" t="s">
        <v>43</v>
      </c>
      <c r="AG5395" t="s">
        <v>43</v>
      </c>
      <c r="AH5395" t="s">
        <v>43</v>
      </c>
      <c r="AI5395" t="s">
        <v>43</v>
      </c>
      <c r="AJ5395" t="s">
        <v>43</v>
      </c>
      <c r="AK5395" t="s">
        <v>43</v>
      </c>
      <c r="AL5395" t="s">
        <v>43</v>
      </c>
      <c r="AM5395" t="s">
        <v>43</v>
      </c>
      <c r="AN5395" t="str">
        <f>HYPERLINK("https://www.google.com/maps?q=10.83220863,79.8401413","Open Location")</f>
        <v>Open Location</v>
      </c>
    </row>
    <row r="5396" spans="1:40" x14ac:dyDescent="0.3">
      <c r="A5396" s="1">
        <v>46210.374768518515</v>
      </c>
      <c r="B5396" t="s">
        <v>40</v>
      </c>
      <c r="C5396" t="s">
        <v>41</v>
      </c>
      <c r="D5396" s="1">
        <v>46210.377766203703</v>
      </c>
      <c r="E5396" t="s">
        <v>42</v>
      </c>
      <c r="F5396" t="s">
        <v>43</v>
      </c>
      <c r="G5396" t="s">
        <v>43</v>
      </c>
      <c r="H5396" t="s">
        <v>43</v>
      </c>
      <c r="I5396" t="s">
        <v>43</v>
      </c>
      <c r="J5396" t="s">
        <v>43</v>
      </c>
      <c r="K5396" t="s">
        <v>43</v>
      </c>
      <c r="L5396" t="s">
        <v>43</v>
      </c>
      <c r="M5396" t="s">
        <v>43</v>
      </c>
      <c r="N5396" t="s">
        <v>45</v>
      </c>
      <c r="O5396" t="s">
        <v>43</v>
      </c>
      <c r="P5396" t="s">
        <v>43</v>
      </c>
      <c r="Q5396" t="s">
        <v>43</v>
      </c>
      <c r="R5396" t="s">
        <v>43</v>
      </c>
      <c r="S5396" t="s">
        <v>43</v>
      </c>
      <c r="T5396" t="s">
        <v>43</v>
      </c>
      <c r="U5396" t="s">
        <v>43</v>
      </c>
      <c r="V5396" t="s">
        <v>43</v>
      </c>
      <c r="W5396" t="s">
        <v>43</v>
      </c>
      <c r="X5396" t="s">
        <v>43</v>
      </c>
      <c r="Y5396" t="s">
        <v>43</v>
      </c>
      <c r="Z5396" t="s">
        <v>43</v>
      </c>
      <c r="AA5396" t="s">
        <v>43</v>
      </c>
      <c r="AB5396" t="s">
        <v>43</v>
      </c>
      <c r="AC5396" t="s">
        <v>43</v>
      </c>
      <c r="AD5396" t="s">
        <v>43</v>
      </c>
      <c r="AE5396" t="s">
        <v>43</v>
      </c>
      <c r="AF5396" t="s">
        <v>43</v>
      </c>
      <c r="AG5396" t="s">
        <v>43</v>
      </c>
      <c r="AH5396" t="s">
        <v>43</v>
      </c>
      <c r="AI5396" t="s">
        <v>43</v>
      </c>
      <c r="AJ5396" t="s">
        <v>43</v>
      </c>
      <c r="AK5396" t="s">
        <v>43</v>
      </c>
      <c r="AL5396" t="s">
        <v>43</v>
      </c>
      <c r="AM5396" t="s">
        <v>43</v>
      </c>
      <c r="AN5396" t="s">
        <v>43</v>
      </c>
    </row>
    <row r="5397" spans="1:40" x14ac:dyDescent="0.3">
      <c r="A5397" s="1">
        <v>46210.374652777777</v>
      </c>
      <c r="B5397" t="s">
        <v>40</v>
      </c>
      <c r="C5397" t="s">
        <v>41</v>
      </c>
      <c r="D5397" s="1">
        <v>46210.377372685187</v>
      </c>
      <c r="E5397" t="s">
        <v>42</v>
      </c>
      <c r="F5397" t="s">
        <v>43</v>
      </c>
      <c r="G5397" t="s">
        <v>43</v>
      </c>
      <c r="H5397" t="s">
        <v>43</v>
      </c>
      <c r="I5397" t="s">
        <v>3052</v>
      </c>
      <c r="J5397" t="s">
        <v>43</v>
      </c>
      <c r="K5397" t="s">
        <v>43</v>
      </c>
      <c r="L5397" t="s">
        <v>43</v>
      </c>
      <c r="M5397" t="s">
        <v>43</v>
      </c>
      <c r="N5397" t="s">
        <v>45</v>
      </c>
      <c r="O5397" t="s">
        <v>43</v>
      </c>
      <c r="P5397" t="s">
        <v>43</v>
      </c>
      <c r="Q5397" t="s">
        <v>43</v>
      </c>
      <c r="R5397" t="s">
        <v>43</v>
      </c>
      <c r="S5397" t="s">
        <v>43</v>
      </c>
      <c r="T5397" t="s">
        <v>43</v>
      </c>
      <c r="U5397" t="s">
        <v>43</v>
      </c>
      <c r="V5397" t="s">
        <v>43</v>
      </c>
      <c r="W5397" t="s">
        <v>43</v>
      </c>
      <c r="X5397" t="s">
        <v>43</v>
      </c>
      <c r="Y5397" t="s">
        <v>43</v>
      </c>
      <c r="Z5397" t="s">
        <v>43</v>
      </c>
      <c r="AA5397" t="s">
        <v>43</v>
      </c>
      <c r="AB5397" t="s">
        <v>43</v>
      </c>
      <c r="AC5397" t="s">
        <v>43</v>
      </c>
      <c r="AD5397" t="s">
        <v>43</v>
      </c>
      <c r="AE5397" t="s">
        <v>43</v>
      </c>
      <c r="AF5397" t="s">
        <v>43</v>
      </c>
      <c r="AG5397" t="s">
        <v>43</v>
      </c>
      <c r="AH5397" t="s">
        <v>43</v>
      </c>
      <c r="AI5397" t="s">
        <v>43</v>
      </c>
      <c r="AJ5397" t="s">
        <v>43</v>
      </c>
      <c r="AK5397" t="s">
        <v>43</v>
      </c>
      <c r="AL5397" t="s">
        <v>43</v>
      </c>
      <c r="AM5397" t="s">
        <v>43</v>
      </c>
      <c r="AN5397" t="str">
        <f>HYPERLINK("https://www.google.com/maps?q=10.83220959,79.8401413","Open Location")</f>
        <v>Open Location</v>
      </c>
    </row>
    <row r="5398" spans="1:40" x14ac:dyDescent="0.3">
      <c r="A5398" s="1">
        <v>46210.374537037038</v>
      </c>
      <c r="B5398" t="s">
        <v>40</v>
      </c>
      <c r="C5398" t="s">
        <v>41</v>
      </c>
      <c r="D5398" s="1">
        <v>46210.377581018518</v>
      </c>
      <c r="E5398" t="s">
        <v>42</v>
      </c>
      <c r="F5398" t="s">
        <v>43</v>
      </c>
      <c r="G5398" t="s">
        <v>43</v>
      </c>
      <c r="H5398" t="s">
        <v>43</v>
      </c>
      <c r="I5398" t="s">
        <v>3052</v>
      </c>
      <c r="J5398" t="s">
        <v>43</v>
      </c>
      <c r="K5398" t="s">
        <v>43</v>
      </c>
      <c r="L5398" t="s">
        <v>43</v>
      </c>
      <c r="M5398" t="s">
        <v>43</v>
      </c>
      <c r="N5398" t="s">
        <v>45</v>
      </c>
      <c r="O5398" t="s">
        <v>43</v>
      </c>
      <c r="P5398" t="s">
        <v>43</v>
      </c>
      <c r="Q5398" t="s">
        <v>43</v>
      </c>
      <c r="R5398" t="s">
        <v>43</v>
      </c>
      <c r="S5398" t="s">
        <v>43</v>
      </c>
      <c r="T5398" t="s">
        <v>43</v>
      </c>
      <c r="U5398" t="s">
        <v>43</v>
      </c>
      <c r="V5398" t="s">
        <v>43</v>
      </c>
      <c r="W5398" t="s">
        <v>43</v>
      </c>
      <c r="X5398" t="s">
        <v>43</v>
      </c>
      <c r="Y5398" t="s">
        <v>43</v>
      </c>
      <c r="Z5398" t="s">
        <v>43</v>
      </c>
      <c r="AA5398" t="s">
        <v>43</v>
      </c>
      <c r="AB5398" t="s">
        <v>43</v>
      </c>
      <c r="AC5398" t="s">
        <v>43</v>
      </c>
      <c r="AD5398" t="s">
        <v>43</v>
      </c>
      <c r="AE5398" t="s">
        <v>43</v>
      </c>
      <c r="AF5398" t="s">
        <v>43</v>
      </c>
      <c r="AG5398" t="s">
        <v>43</v>
      </c>
      <c r="AH5398" t="s">
        <v>43</v>
      </c>
      <c r="AI5398" t="s">
        <v>43</v>
      </c>
      <c r="AJ5398" t="s">
        <v>43</v>
      </c>
      <c r="AK5398" t="s">
        <v>43</v>
      </c>
      <c r="AL5398" t="s">
        <v>43</v>
      </c>
      <c r="AM5398" t="s">
        <v>43</v>
      </c>
      <c r="AN5398" t="str">
        <f>HYPERLINK("https://www.google.com/maps?q=10.83220959,79.8401413","Open Location")</f>
        <v>Open Location</v>
      </c>
    </row>
    <row r="5399" spans="1:40" x14ac:dyDescent="0.3">
      <c r="A5399" s="1">
        <v>46210.374421296299</v>
      </c>
      <c r="B5399" t="s">
        <v>40</v>
      </c>
      <c r="C5399" t="s">
        <v>41</v>
      </c>
      <c r="D5399" s="1">
        <v>46210.377233796295</v>
      </c>
      <c r="E5399" t="s">
        <v>42</v>
      </c>
      <c r="F5399" t="s">
        <v>43</v>
      </c>
      <c r="G5399" t="s">
        <v>43</v>
      </c>
      <c r="H5399" t="s">
        <v>43</v>
      </c>
      <c r="I5399" t="s">
        <v>3051</v>
      </c>
      <c r="J5399" t="s">
        <v>43</v>
      </c>
      <c r="K5399" t="s">
        <v>43</v>
      </c>
      <c r="L5399" t="s">
        <v>43</v>
      </c>
      <c r="M5399" t="s">
        <v>43</v>
      </c>
      <c r="N5399" t="s">
        <v>45</v>
      </c>
      <c r="O5399" t="s">
        <v>43</v>
      </c>
      <c r="P5399" t="s">
        <v>43</v>
      </c>
      <c r="Q5399" t="s">
        <v>43</v>
      </c>
      <c r="R5399" t="s">
        <v>43</v>
      </c>
      <c r="S5399" t="s">
        <v>43</v>
      </c>
      <c r="T5399" t="s">
        <v>43</v>
      </c>
      <c r="U5399" t="s">
        <v>43</v>
      </c>
      <c r="V5399" t="s">
        <v>43</v>
      </c>
      <c r="W5399" t="s">
        <v>43</v>
      </c>
      <c r="X5399" t="s">
        <v>43</v>
      </c>
      <c r="Y5399" t="s">
        <v>43</v>
      </c>
      <c r="Z5399" t="s">
        <v>43</v>
      </c>
      <c r="AA5399" t="s">
        <v>43</v>
      </c>
      <c r="AB5399" t="s">
        <v>43</v>
      </c>
      <c r="AC5399" t="s">
        <v>43</v>
      </c>
      <c r="AD5399" t="s">
        <v>43</v>
      </c>
      <c r="AE5399" t="s">
        <v>43</v>
      </c>
      <c r="AF5399" t="s">
        <v>43</v>
      </c>
      <c r="AG5399" t="s">
        <v>43</v>
      </c>
      <c r="AH5399" t="s">
        <v>43</v>
      </c>
      <c r="AI5399" t="s">
        <v>43</v>
      </c>
      <c r="AJ5399" t="s">
        <v>43</v>
      </c>
      <c r="AK5399" t="s">
        <v>43</v>
      </c>
      <c r="AL5399" t="s">
        <v>43</v>
      </c>
      <c r="AM5399" t="s">
        <v>43</v>
      </c>
      <c r="AN5399" t="str">
        <f>HYPERLINK("https://www.google.com/maps?q=10.83220863,79.8401413","Open Location")</f>
        <v>Open Location</v>
      </c>
    </row>
    <row r="5400" spans="1:40" x14ac:dyDescent="0.3">
      <c r="A5400" s="1">
        <v>46210.374305555553</v>
      </c>
      <c r="B5400" t="s">
        <v>40</v>
      </c>
      <c r="C5400" t="s">
        <v>41</v>
      </c>
      <c r="D5400" s="1">
        <v>46210.377314814818</v>
      </c>
      <c r="E5400" t="s">
        <v>42</v>
      </c>
      <c r="F5400" t="s">
        <v>43</v>
      </c>
      <c r="G5400" t="s">
        <v>43</v>
      </c>
      <c r="H5400" t="s">
        <v>43</v>
      </c>
      <c r="I5400" t="s">
        <v>3051</v>
      </c>
      <c r="J5400" t="s">
        <v>43</v>
      </c>
      <c r="K5400" t="s">
        <v>43</v>
      </c>
      <c r="L5400" t="s">
        <v>43</v>
      </c>
      <c r="M5400" t="s">
        <v>43</v>
      </c>
      <c r="N5400" t="s">
        <v>45</v>
      </c>
      <c r="O5400" t="s">
        <v>43</v>
      </c>
      <c r="P5400" t="s">
        <v>43</v>
      </c>
      <c r="Q5400" t="s">
        <v>43</v>
      </c>
      <c r="R5400" t="s">
        <v>43</v>
      </c>
      <c r="S5400" t="s">
        <v>43</v>
      </c>
      <c r="T5400" t="s">
        <v>43</v>
      </c>
      <c r="U5400" t="s">
        <v>43</v>
      </c>
      <c r="V5400" t="s">
        <v>43</v>
      </c>
      <c r="W5400" t="s">
        <v>43</v>
      </c>
      <c r="X5400" t="s">
        <v>43</v>
      </c>
      <c r="Y5400" t="s">
        <v>43</v>
      </c>
      <c r="Z5400" t="s">
        <v>43</v>
      </c>
      <c r="AA5400" t="s">
        <v>43</v>
      </c>
      <c r="AB5400" t="s">
        <v>43</v>
      </c>
      <c r="AC5400" t="s">
        <v>43</v>
      </c>
      <c r="AD5400" t="s">
        <v>43</v>
      </c>
      <c r="AE5400" t="s">
        <v>43</v>
      </c>
      <c r="AF5400" t="s">
        <v>43</v>
      </c>
      <c r="AG5400" t="s">
        <v>43</v>
      </c>
      <c r="AH5400" t="s">
        <v>43</v>
      </c>
      <c r="AI5400" t="s">
        <v>43</v>
      </c>
      <c r="AJ5400" t="s">
        <v>43</v>
      </c>
      <c r="AK5400" t="s">
        <v>43</v>
      </c>
      <c r="AL5400" t="s">
        <v>43</v>
      </c>
      <c r="AM5400" t="s">
        <v>43</v>
      </c>
      <c r="AN5400" t="str">
        <f>HYPERLINK("https://www.google.com/maps?q=10.83220863,79.8401413","Open Location")</f>
        <v>Open Location</v>
      </c>
    </row>
    <row r="5401" spans="1:40" x14ac:dyDescent="0.3">
      <c r="A5401" s="1">
        <v>46210.374189814815</v>
      </c>
      <c r="B5401" t="s">
        <v>40</v>
      </c>
      <c r="C5401" t="s">
        <v>41</v>
      </c>
      <c r="D5401" s="1">
        <v>46210.376921296294</v>
      </c>
      <c r="E5401" t="s">
        <v>42</v>
      </c>
      <c r="F5401" t="s">
        <v>43</v>
      </c>
      <c r="G5401" t="s">
        <v>43</v>
      </c>
      <c r="H5401" t="s">
        <v>43</v>
      </c>
      <c r="I5401" t="s">
        <v>43</v>
      </c>
      <c r="J5401" t="s">
        <v>43</v>
      </c>
      <c r="K5401" t="s">
        <v>43</v>
      </c>
      <c r="L5401" t="s">
        <v>43</v>
      </c>
      <c r="M5401" t="s">
        <v>43</v>
      </c>
      <c r="N5401" t="s">
        <v>45</v>
      </c>
      <c r="O5401" t="s">
        <v>43</v>
      </c>
      <c r="P5401" t="s">
        <v>43</v>
      </c>
      <c r="Q5401" t="s">
        <v>43</v>
      </c>
      <c r="R5401" t="s">
        <v>43</v>
      </c>
      <c r="S5401" t="s">
        <v>43</v>
      </c>
      <c r="T5401" t="s">
        <v>43</v>
      </c>
      <c r="U5401" t="s">
        <v>43</v>
      </c>
      <c r="V5401" t="s">
        <v>43</v>
      </c>
      <c r="W5401" t="s">
        <v>43</v>
      </c>
      <c r="X5401" t="s">
        <v>43</v>
      </c>
      <c r="Y5401" t="s">
        <v>43</v>
      </c>
      <c r="Z5401" t="s">
        <v>43</v>
      </c>
      <c r="AA5401" t="s">
        <v>43</v>
      </c>
      <c r="AB5401" t="s">
        <v>43</v>
      </c>
      <c r="AC5401" t="s">
        <v>43</v>
      </c>
      <c r="AD5401" t="s">
        <v>43</v>
      </c>
      <c r="AE5401" t="s">
        <v>43</v>
      </c>
      <c r="AF5401" t="s">
        <v>43</v>
      </c>
      <c r="AG5401" t="s">
        <v>43</v>
      </c>
      <c r="AH5401" t="s">
        <v>43</v>
      </c>
      <c r="AI5401" t="s">
        <v>43</v>
      </c>
      <c r="AJ5401" t="s">
        <v>43</v>
      </c>
      <c r="AK5401" t="s">
        <v>43</v>
      </c>
      <c r="AL5401" t="s">
        <v>43</v>
      </c>
      <c r="AM5401" t="s">
        <v>43</v>
      </c>
      <c r="AN5401" t="s">
        <v>43</v>
      </c>
    </row>
    <row r="5402" spans="1:40" x14ac:dyDescent="0.3">
      <c r="A5402" s="1">
        <v>46210.374074074076</v>
      </c>
      <c r="B5402" t="s">
        <v>40</v>
      </c>
      <c r="C5402" t="s">
        <v>41</v>
      </c>
      <c r="D5402" s="1">
        <v>46210.376979166664</v>
      </c>
      <c r="E5402" t="s">
        <v>42</v>
      </c>
      <c r="F5402" t="s">
        <v>43</v>
      </c>
      <c r="G5402" t="s">
        <v>43</v>
      </c>
      <c r="H5402" t="s">
        <v>43</v>
      </c>
      <c r="I5402" t="s">
        <v>3053</v>
      </c>
      <c r="J5402" t="s">
        <v>43</v>
      </c>
      <c r="K5402" t="s">
        <v>43</v>
      </c>
      <c r="L5402" t="s">
        <v>43</v>
      </c>
      <c r="M5402" t="s">
        <v>43</v>
      </c>
      <c r="N5402" t="s">
        <v>45</v>
      </c>
      <c r="O5402" t="s">
        <v>43</v>
      </c>
      <c r="P5402" t="s">
        <v>43</v>
      </c>
      <c r="Q5402" t="s">
        <v>43</v>
      </c>
      <c r="R5402" t="s">
        <v>43</v>
      </c>
      <c r="S5402" t="s">
        <v>43</v>
      </c>
      <c r="T5402" t="s">
        <v>43</v>
      </c>
      <c r="U5402" t="s">
        <v>43</v>
      </c>
      <c r="V5402" t="s">
        <v>43</v>
      </c>
      <c r="W5402" t="s">
        <v>43</v>
      </c>
      <c r="X5402" t="s">
        <v>43</v>
      </c>
      <c r="Y5402" t="s">
        <v>43</v>
      </c>
      <c r="Z5402" t="s">
        <v>43</v>
      </c>
      <c r="AA5402" t="s">
        <v>43</v>
      </c>
      <c r="AB5402" t="s">
        <v>43</v>
      </c>
      <c r="AC5402" t="s">
        <v>43</v>
      </c>
      <c r="AD5402" t="s">
        <v>43</v>
      </c>
      <c r="AE5402" t="s">
        <v>43</v>
      </c>
      <c r="AF5402" t="s">
        <v>43</v>
      </c>
      <c r="AG5402" t="s">
        <v>43</v>
      </c>
      <c r="AH5402" t="s">
        <v>43</v>
      </c>
      <c r="AI5402" t="s">
        <v>43</v>
      </c>
      <c r="AJ5402" t="s">
        <v>43</v>
      </c>
      <c r="AK5402" t="s">
        <v>43</v>
      </c>
      <c r="AL5402" t="s">
        <v>43</v>
      </c>
      <c r="AM5402" t="s">
        <v>43</v>
      </c>
      <c r="AN5402" t="str">
        <f>HYPERLINK("https://www.google.com/maps?q=10.83220673,79.84013367","Open Location")</f>
        <v>Open Location</v>
      </c>
    </row>
    <row r="5403" spans="1:40" x14ac:dyDescent="0.3">
      <c r="A5403" s="1">
        <v>46210.37395833333</v>
      </c>
      <c r="B5403" t="s">
        <v>40</v>
      </c>
      <c r="C5403" t="s">
        <v>41</v>
      </c>
      <c r="D5403" s="1">
        <v>46210.376712962963</v>
      </c>
      <c r="E5403" t="s">
        <v>42</v>
      </c>
      <c r="F5403" t="s">
        <v>43</v>
      </c>
      <c r="G5403" t="s">
        <v>43</v>
      </c>
      <c r="H5403" t="s">
        <v>43</v>
      </c>
      <c r="I5403" t="s">
        <v>3050</v>
      </c>
      <c r="J5403" t="s">
        <v>43</v>
      </c>
      <c r="K5403" t="s">
        <v>43</v>
      </c>
      <c r="L5403" t="s">
        <v>43</v>
      </c>
      <c r="M5403" t="s">
        <v>43</v>
      </c>
      <c r="N5403" t="s">
        <v>45</v>
      </c>
      <c r="O5403" t="s">
        <v>43</v>
      </c>
      <c r="P5403" t="s">
        <v>43</v>
      </c>
      <c r="Q5403" t="s">
        <v>43</v>
      </c>
      <c r="R5403" t="s">
        <v>43</v>
      </c>
      <c r="S5403" t="s">
        <v>43</v>
      </c>
      <c r="T5403" t="s">
        <v>43</v>
      </c>
      <c r="U5403" t="s">
        <v>43</v>
      </c>
      <c r="V5403" t="s">
        <v>43</v>
      </c>
      <c r="W5403" t="s">
        <v>43</v>
      </c>
      <c r="X5403" t="s">
        <v>43</v>
      </c>
      <c r="Y5403" t="s">
        <v>43</v>
      </c>
      <c r="Z5403" t="s">
        <v>43</v>
      </c>
      <c r="AA5403" t="s">
        <v>43</v>
      </c>
      <c r="AB5403" t="s">
        <v>43</v>
      </c>
      <c r="AC5403" t="s">
        <v>43</v>
      </c>
      <c r="AD5403" t="s">
        <v>43</v>
      </c>
      <c r="AE5403" t="s">
        <v>43</v>
      </c>
      <c r="AF5403" t="s">
        <v>43</v>
      </c>
      <c r="AG5403" t="s">
        <v>43</v>
      </c>
      <c r="AH5403" t="s">
        <v>43</v>
      </c>
      <c r="AI5403" t="s">
        <v>43</v>
      </c>
      <c r="AJ5403" t="s">
        <v>43</v>
      </c>
      <c r="AK5403" t="s">
        <v>43</v>
      </c>
      <c r="AL5403" t="s">
        <v>43</v>
      </c>
      <c r="AM5403" t="s">
        <v>43</v>
      </c>
      <c r="AN5403" t="str">
        <f>HYPERLINK("https://www.google.com/maps?q=10.83220577,79.84013367","Open Location")</f>
        <v>Open Location</v>
      </c>
    </row>
    <row r="5404" spans="1:40" x14ac:dyDescent="0.3">
      <c r="A5404" s="1">
        <v>46210.373842592591</v>
      </c>
      <c r="B5404" t="s">
        <v>40</v>
      </c>
      <c r="C5404" t="s">
        <v>41</v>
      </c>
      <c r="D5404" s="1">
        <v>46210.376747685186</v>
      </c>
      <c r="E5404" t="s">
        <v>42</v>
      </c>
      <c r="F5404" t="s">
        <v>43</v>
      </c>
      <c r="G5404" t="s">
        <v>43</v>
      </c>
      <c r="H5404" t="s">
        <v>43</v>
      </c>
      <c r="I5404" t="s">
        <v>3054</v>
      </c>
      <c r="J5404" t="s">
        <v>43</v>
      </c>
      <c r="K5404" t="s">
        <v>43</v>
      </c>
      <c r="L5404" t="s">
        <v>43</v>
      </c>
      <c r="M5404" t="s">
        <v>43</v>
      </c>
      <c r="N5404" t="s">
        <v>45</v>
      </c>
      <c r="O5404" t="s">
        <v>43</v>
      </c>
      <c r="P5404" t="s">
        <v>43</v>
      </c>
      <c r="Q5404" t="s">
        <v>43</v>
      </c>
      <c r="R5404" t="s">
        <v>43</v>
      </c>
      <c r="S5404" t="s">
        <v>43</v>
      </c>
      <c r="T5404" t="s">
        <v>43</v>
      </c>
      <c r="U5404" t="s">
        <v>43</v>
      </c>
      <c r="V5404" t="s">
        <v>43</v>
      </c>
      <c r="W5404" t="s">
        <v>43</v>
      </c>
      <c r="X5404" t="s">
        <v>43</v>
      </c>
      <c r="Y5404" t="s">
        <v>43</v>
      </c>
      <c r="Z5404" t="s">
        <v>43</v>
      </c>
      <c r="AA5404" t="s">
        <v>43</v>
      </c>
      <c r="AB5404" t="s">
        <v>43</v>
      </c>
      <c r="AC5404" t="s">
        <v>43</v>
      </c>
      <c r="AD5404" t="s">
        <v>43</v>
      </c>
      <c r="AE5404" t="s">
        <v>43</v>
      </c>
      <c r="AF5404" t="s">
        <v>43</v>
      </c>
      <c r="AG5404" t="s">
        <v>43</v>
      </c>
      <c r="AH5404" t="s">
        <v>43</v>
      </c>
      <c r="AI5404" t="s">
        <v>43</v>
      </c>
      <c r="AJ5404" t="s">
        <v>43</v>
      </c>
      <c r="AK5404" t="s">
        <v>43</v>
      </c>
      <c r="AL5404" t="s">
        <v>43</v>
      </c>
      <c r="AM5404" t="s">
        <v>43</v>
      </c>
      <c r="AN5404" t="str">
        <f>HYPERLINK("https://www.google.com/maps?q=10.83220196,79.8401413","Open Location")</f>
        <v>Open Location</v>
      </c>
    </row>
    <row r="5405" spans="1:40" x14ac:dyDescent="0.3">
      <c r="A5405" s="1">
        <v>46210.373726851853</v>
      </c>
      <c r="B5405" t="s">
        <v>40</v>
      </c>
      <c r="C5405" t="s">
        <v>41</v>
      </c>
      <c r="D5405" s="1">
        <v>46210.376736111109</v>
      </c>
      <c r="E5405" t="s">
        <v>42</v>
      </c>
      <c r="F5405" t="s">
        <v>43</v>
      </c>
      <c r="G5405" t="s">
        <v>43</v>
      </c>
      <c r="H5405" t="s">
        <v>43</v>
      </c>
      <c r="I5405" t="s">
        <v>3055</v>
      </c>
      <c r="J5405" t="s">
        <v>43</v>
      </c>
      <c r="K5405" t="s">
        <v>43</v>
      </c>
      <c r="L5405" t="s">
        <v>43</v>
      </c>
      <c r="M5405" t="s">
        <v>43</v>
      </c>
      <c r="N5405" t="s">
        <v>45</v>
      </c>
      <c r="O5405" t="s">
        <v>43</v>
      </c>
      <c r="P5405" t="s">
        <v>43</v>
      </c>
      <c r="Q5405" t="s">
        <v>43</v>
      </c>
      <c r="R5405" t="s">
        <v>43</v>
      </c>
      <c r="S5405" t="s">
        <v>43</v>
      </c>
      <c r="T5405" t="s">
        <v>43</v>
      </c>
      <c r="U5405" t="s">
        <v>43</v>
      </c>
      <c r="V5405" t="s">
        <v>43</v>
      </c>
      <c r="W5405" t="s">
        <v>43</v>
      </c>
      <c r="X5405" t="s">
        <v>43</v>
      </c>
      <c r="Y5405" t="s">
        <v>43</v>
      </c>
      <c r="Z5405" t="s">
        <v>43</v>
      </c>
      <c r="AA5405" t="s">
        <v>43</v>
      </c>
      <c r="AB5405" t="s">
        <v>43</v>
      </c>
      <c r="AC5405" t="s">
        <v>43</v>
      </c>
      <c r="AD5405" t="s">
        <v>43</v>
      </c>
      <c r="AE5405" t="s">
        <v>43</v>
      </c>
      <c r="AF5405" t="s">
        <v>43</v>
      </c>
      <c r="AG5405" t="s">
        <v>43</v>
      </c>
      <c r="AH5405" t="s">
        <v>43</v>
      </c>
      <c r="AI5405" t="s">
        <v>43</v>
      </c>
      <c r="AJ5405" t="s">
        <v>43</v>
      </c>
      <c r="AK5405" t="s">
        <v>43</v>
      </c>
      <c r="AL5405" t="s">
        <v>43</v>
      </c>
      <c r="AM5405" t="s">
        <v>43</v>
      </c>
      <c r="AN5405" t="str">
        <f>HYPERLINK("https://www.google.com/maps?q=10.83220005,79.8401413","Open Location")</f>
        <v>Open Location</v>
      </c>
    </row>
    <row r="5406" spans="1:40" x14ac:dyDescent="0.3">
      <c r="A5406" s="1">
        <v>46210.373611111114</v>
      </c>
      <c r="B5406" t="s">
        <v>40</v>
      </c>
      <c r="C5406" t="s">
        <v>41</v>
      </c>
      <c r="D5406" s="1">
        <v>46210.376979166664</v>
      </c>
      <c r="E5406" t="s">
        <v>42</v>
      </c>
      <c r="F5406" t="s">
        <v>43</v>
      </c>
      <c r="G5406" t="s">
        <v>43</v>
      </c>
      <c r="H5406" t="s">
        <v>43</v>
      </c>
      <c r="I5406" t="s">
        <v>3056</v>
      </c>
      <c r="J5406" t="s">
        <v>43</v>
      </c>
      <c r="K5406" t="s">
        <v>43</v>
      </c>
      <c r="L5406" t="s">
        <v>43</v>
      </c>
      <c r="M5406" t="s">
        <v>43</v>
      </c>
      <c r="N5406" t="s">
        <v>45</v>
      </c>
      <c r="O5406" t="s">
        <v>43</v>
      </c>
      <c r="P5406" t="s">
        <v>43</v>
      </c>
      <c r="Q5406" t="s">
        <v>43</v>
      </c>
      <c r="R5406" t="s">
        <v>43</v>
      </c>
      <c r="S5406" t="s">
        <v>43</v>
      </c>
      <c r="T5406" t="s">
        <v>43</v>
      </c>
      <c r="U5406" t="s">
        <v>43</v>
      </c>
      <c r="V5406" t="s">
        <v>43</v>
      </c>
      <c r="W5406" t="s">
        <v>43</v>
      </c>
      <c r="X5406" t="s">
        <v>43</v>
      </c>
      <c r="Y5406" t="s">
        <v>43</v>
      </c>
      <c r="Z5406" t="s">
        <v>43</v>
      </c>
      <c r="AA5406" t="s">
        <v>43</v>
      </c>
      <c r="AB5406" t="s">
        <v>43</v>
      </c>
      <c r="AC5406" t="s">
        <v>43</v>
      </c>
      <c r="AD5406" t="s">
        <v>43</v>
      </c>
      <c r="AE5406" t="s">
        <v>43</v>
      </c>
      <c r="AF5406" t="s">
        <v>43</v>
      </c>
      <c r="AG5406" t="s">
        <v>43</v>
      </c>
      <c r="AH5406" t="s">
        <v>43</v>
      </c>
      <c r="AI5406" t="s">
        <v>43</v>
      </c>
      <c r="AJ5406" t="s">
        <v>43</v>
      </c>
      <c r="AK5406" t="s">
        <v>43</v>
      </c>
      <c r="AL5406" t="s">
        <v>43</v>
      </c>
      <c r="AM5406" t="s">
        <v>43</v>
      </c>
      <c r="AN5406" t="str">
        <f>HYPERLINK("https://www.google.com/maps?q=10.8321991,79.84013367","Open Location")</f>
        <v>Open Location</v>
      </c>
    </row>
    <row r="5407" spans="1:40" x14ac:dyDescent="0.3">
      <c r="A5407" s="1">
        <v>46210.373495370368</v>
      </c>
      <c r="B5407" t="s">
        <v>40</v>
      </c>
      <c r="C5407" t="s">
        <v>41</v>
      </c>
      <c r="D5407" s="1">
        <v>46210.376504629632</v>
      </c>
      <c r="E5407" t="s">
        <v>42</v>
      </c>
      <c r="F5407" t="s">
        <v>43</v>
      </c>
      <c r="G5407" t="s">
        <v>43</v>
      </c>
      <c r="H5407" t="s">
        <v>43</v>
      </c>
      <c r="I5407" t="s">
        <v>43</v>
      </c>
      <c r="J5407" t="s">
        <v>43</v>
      </c>
      <c r="K5407" t="s">
        <v>43</v>
      </c>
      <c r="L5407" t="s">
        <v>43</v>
      </c>
      <c r="M5407" t="s">
        <v>43</v>
      </c>
      <c r="N5407" t="s">
        <v>45</v>
      </c>
      <c r="O5407" t="s">
        <v>43</v>
      </c>
      <c r="P5407" t="s">
        <v>43</v>
      </c>
      <c r="Q5407" t="s">
        <v>43</v>
      </c>
      <c r="R5407" t="s">
        <v>43</v>
      </c>
      <c r="S5407" t="s">
        <v>43</v>
      </c>
      <c r="T5407" t="s">
        <v>43</v>
      </c>
      <c r="U5407" t="s">
        <v>43</v>
      </c>
      <c r="V5407" t="s">
        <v>43</v>
      </c>
      <c r="W5407" t="s">
        <v>43</v>
      </c>
      <c r="X5407" t="s">
        <v>43</v>
      </c>
      <c r="Y5407" t="s">
        <v>43</v>
      </c>
      <c r="Z5407" t="s">
        <v>43</v>
      </c>
      <c r="AA5407" t="s">
        <v>43</v>
      </c>
      <c r="AB5407" t="s">
        <v>43</v>
      </c>
      <c r="AC5407" t="s">
        <v>43</v>
      </c>
      <c r="AD5407" t="s">
        <v>43</v>
      </c>
      <c r="AE5407" t="s">
        <v>43</v>
      </c>
      <c r="AF5407" t="s">
        <v>43</v>
      </c>
      <c r="AG5407" t="s">
        <v>43</v>
      </c>
      <c r="AH5407" t="s">
        <v>43</v>
      </c>
      <c r="AI5407" t="s">
        <v>43</v>
      </c>
      <c r="AJ5407" t="s">
        <v>43</v>
      </c>
      <c r="AK5407" t="s">
        <v>43</v>
      </c>
      <c r="AL5407" t="s">
        <v>43</v>
      </c>
      <c r="AM5407" t="s">
        <v>43</v>
      </c>
      <c r="AN5407" t="s">
        <v>43</v>
      </c>
    </row>
    <row r="5408" spans="1:40" x14ac:dyDescent="0.3">
      <c r="A5408" s="1">
        <v>46210.373379629629</v>
      </c>
      <c r="B5408" t="s">
        <v>40</v>
      </c>
      <c r="C5408" t="s">
        <v>41</v>
      </c>
      <c r="D5408" s="1">
        <v>46210.376585648148</v>
      </c>
      <c r="E5408" t="s">
        <v>42</v>
      </c>
      <c r="F5408" t="s">
        <v>43</v>
      </c>
      <c r="G5408" t="s">
        <v>43</v>
      </c>
      <c r="H5408" t="s">
        <v>43</v>
      </c>
      <c r="I5408" t="s">
        <v>3057</v>
      </c>
      <c r="J5408" t="s">
        <v>43</v>
      </c>
      <c r="K5408" t="s">
        <v>43</v>
      </c>
      <c r="L5408" t="s">
        <v>43</v>
      </c>
      <c r="M5408" t="s">
        <v>43</v>
      </c>
      <c r="N5408" t="s">
        <v>45</v>
      </c>
      <c r="O5408" t="s">
        <v>43</v>
      </c>
      <c r="P5408" t="s">
        <v>43</v>
      </c>
      <c r="Q5408" t="s">
        <v>43</v>
      </c>
      <c r="R5408" t="s">
        <v>43</v>
      </c>
      <c r="S5408" t="s">
        <v>43</v>
      </c>
      <c r="T5408" t="s">
        <v>43</v>
      </c>
      <c r="U5408" t="s">
        <v>43</v>
      </c>
      <c r="V5408" t="s">
        <v>43</v>
      </c>
      <c r="W5408" t="s">
        <v>43</v>
      </c>
      <c r="X5408" t="s">
        <v>43</v>
      </c>
      <c r="Y5408" t="s">
        <v>43</v>
      </c>
      <c r="Z5408" t="s">
        <v>43</v>
      </c>
      <c r="AA5408" t="s">
        <v>43</v>
      </c>
      <c r="AB5408" t="s">
        <v>43</v>
      </c>
      <c r="AC5408" t="s">
        <v>43</v>
      </c>
      <c r="AD5408" t="s">
        <v>43</v>
      </c>
      <c r="AE5408" t="s">
        <v>43</v>
      </c>
      <c r="AF5408" t="s">
        <v>43</v>
      </c>
      <c r="AG5408" t="s">
        <v>43</v>
      </c>
      <c r="AH5408" t="s">
        <v>43</v>
      </c>
      <c r="AI5408" t="s">
        <v>43</v>
      </c>
      <c r="AJ5408" t="s">
        <v>43</v>
      </c>
      <c r="AK5408" t="s">
        <v>43</v>
      </c>
      <c r="AL5408" t="s">
        <v>43</v>
      </c>
      <c r="AM5408" t="s">
        <v>43</v>
      </c>
      <c r="AN5408" t="str">
        <f>HYPERLINK("https://www.google.com/maps?q=10.83219719,79.8401413","Open Location")</f>
        <v>Open Location</v>
      </c>
    </row>
    <row r="5409" spans="1:40" x14ac:dyDescent="0.3">
      <c r="A5409" s="1">
        <v>46210.373263888891</v>
      </c>
      <c r="B5409" t="s">
        <v>40</v>
      </c>
      <c r="C5409" t="s">
        <v>41</v>
      </c>
      <c r="D5409" s="1">
        <v>46210.376122685186</v>
      </c>
      <c r="E5409" t="s">
        <v>42</v>
      </c>
      <c r="F5409" t="s">
        <v>43</v>
      </c>
      <c r="G5409" t="s">
        <v>43</v>
      </c>
      <c r="H5409" t="s">
        <v>43</v>
      </c>
      <c r="I5409" t="s">
        <v>3058</v>
      </c>
      <c r="J5409" t="s">
        <v>43</v>
      </c>
      <c r="K5409" t="s">
        <v>43</v>
      </c>
      <c r="L5409" t="s">
        <v>43</v>
      </c>
      <c r="M5409" t="s">
        <v>43</v>
      </c>
      <c r="N5409" t="s">
        <v>45</v>
      </c>
      <c r="O5409" t="s">
        <v>43</v>
      </c>
      <c r="P5409" t="s">
        <v>43</v>
      </c>
      <c r="Q5409" t="s">
        <v>43</v>
      </c>
      <c r="R5409" t="s">
        <v>43</v>
      </c>
      <c r="S5409" t="s">
        <v>43</v>
      </c>
      <c r="T5409" t="s">
        <v>43</v>
      </c>
      <c r="U5409" t="s">
        <v>43</v>
      </c>
      <c r="V5409" t="s">
        <v>43</v>
      </c>
      <c r="W5409" t="s">
        <v>43</v>
      </c>
      <c r="X5409" t="s">
        <v>43</v>
      </c>
      <c r="Y5409" t="s">
        <v>43</v>
      </c>
      <c r="Z5409" t="s">
        <v>43</v>
      </c>
      <c r="AA5409" t="s">
        <v>43</v>
      </c>
      <c r="AB5409" t="s">
        <v>43</v>
      </c>
      <c r="AC5409" t="s">
        <v>43</v>
      </c>
      <c r="AD5409" t="s">
        <v>43</v>
      </c>
      <c r="AE5409" t="s">
        <v>43</v>
      </c>
      <c r="AF5409" t="s">
        <v>43</v>
      </c>
      <c r="AG5409" t="s">
        <v>43</v>
      </c>
      <c r="AH5409" t="s">
        <v>43</v>
      </c>
      <c r="AI5409" t="s">
        <v>43</v>
      </c>
      <c r="AJ5409" t="s">
        <v>43</v>
      </c>
      <c r="AK5409" t="s">
        <v>43</v>
      </c>
      <c r="AL5409" t="s">
        <v>43</v>
      </c>
      <c r="AM5409" t="s">
        <v>43</v>
      </c>
      <c r="AN5409" t="str">
        <f>HYPERLINK("https://www.google.com/maps?q=10.83219528,79.8401413","Open Location")</f>
        <v>Open Location</v>
      </c>
    </row>
    <row r="5410" spans="1:40" x14ac:dyDescent="0.3">
      <c r="A5410" s="1">
        <v>46210.373148148145</v>
      </c>
      <c r="B5410" t="s">
        <v>40</v>
      </c>
      <c r="C5410" t="s">
        <v>41</v>
      </c>
      <c r="D5410" s="1">
        <v>46210.376099537039</v>
      </c>
      <c r="E5410" t="s">
        <v>42</v>
      </c>
      <c r="F5410" t="s">
        <v>43</v>
      </c>
      <c r="G5410" t="s">
        <v>43</v>
      </c>
      <c r="H5410" t="s">
        <v>43</v>
      </c>
      <c r="I5410" t="s">
        <v>3059</v>
      </c>
      <c r="J5410" t="s">
        <v>43</v>
      </c>
      <c r="K5410" t="s">
        <v>43</v>
      </c>
      <c r="L5410" t="s">
        <v>43</v>
      </c>
      <c r="M5410" t="s">
        <v>43</v>
      </c>
      <c r="N5410" t="s">
        <v>45</v>
      </c>
      <c r="O5410" t="s">
        <v>43</v>
      </c>
      <c r="P5410" t="s">
        <v>43</v>
      </c>
      <c r="Q5410" t="s">
        <v>43</v>
      </c>
      <c r="R5410" t="s">
        <v>43</v>
      </c>
      <c r="S5410" t="s">
        <v>43</v>
      </c>
      <c r="T5410" t="s">
        <v>43</v>
      </c>
      <c r="U5410" t="s">
        <v>43</v>
      </c>
      <c r="V5410" t="s">
        <v>43</v>
      </c>
      <c r="W5410" t="s">
        <v>43</v>
      </c>
      <c r="X5410" t="s">
        <v>43</v>
      </c>
      <c r="Y5410" t="s">
        <v>43</v>
      </c>
      <c r="Z5410" t="s">
        <v>43</v>
      </c>
      <c r="AA5410" t="s">
        <v>43</v>
      </c>
      <c r="AB5410" t="s">
        <v>43</v>
      </c>
      <c r="AC5410" t="s">
        <v>43</v>
      </c>
      <c r="AD5410" t="s">
        <v>43</v>
      </c>
      <c r="AE5410" t="s">
        <v>43</v>
      </c>
      <c r="AF5410" t="s">
        <v>43</v>
      </c>
      <c r="AG5410" t="s">
        <v>43</v>
      </c>
      <c r="AH5410" t="s">
        <v>43</v>
      </c>
      <c r="AI5410" t="s">
        <v>43</v>
      </c>
      <c r="AJ5410" t="s">
        <v>43</v>
      </c>
      <c r="AK5410" t="s">
        <v>43</v>
      </c>
      <c r="AL5410" t="s">
        <v>43</v>
      </c>
      <c r="AM5410" t="s">
        <v>43</v>
      </c>
      <c r="AN5410" t="str">
        <f>HYPERLINK("https://www.google.com/maps?q=10.83219528,79.84014893","Open Location")</f>
        <v>Open Location</v>
      </c>
    </row>
    <row r="5411" spans="1:40" x14ac:dyDescent="0.3">
      <c r="A5411" s="1">
        <v>46210.373032407406</v>
      </c>
      <c r="B5411" t="s">
        <v>40</v>
      </c>
      <c r="C5411" t="s">
        <v>41</v>
      </c>
      <c r="D5411" s="1">
        <v>46210.375810185185</v>
      </c>
      <c r="E5411" t="s">
        <v>42</v>
      </c>
      <c r="F5411" t="s">
        <v>43</v>
      </c>
      <c r="G5411" t="s">
        <v>43</v>
      </c>
      <c r="H5411" t="s">
        <v>43</v>
      </c>
      <c r="I5411" t="s">
        <v>3060</v>
      </c>
      <c r="J5411" t="s">
        <v>43</v>
      </c>
      <c r="K5411" t="s">
        <v>43</v>
      </c>
      <c r="L5411" t="s">
        <v>43</v>
      </c>
      <c r="M5411" t="s">
        <v>43</v>
      </c>
      <c r="N5411" t="s">
        <v>45</v>
      </c>
      <c r="O5411" t="s">
        <v>43</v>
      </c>
      <c r="P5411" t="s">
        <v>43</v>
      </c>
      <c r="Q5411" t="s">
        <v>43</v>
      </c>
      <c r="R5411" t="s">
        <v>43</v>
      </c>
      <c r="S5411" t="s">
        <v>43</v>
      </c>
      <c r="T5411" t="s">
        <v>43</v>
      </c>
      <c r="U5411" t="s">
        <v>43</v>
      </c>
      <c r="V5411" t="s">
        <v>43</v>
      </c>
      <c r="W5411" t="s">
        <v>43</v>
      </c>
      <c r="X5411" t="s">
        <v>43</v>
      </c>
      <c r="Y5411" t="s">
        <v>43</v>
      </c>
      <c r="Z5411" t="s">
        <v>43</v>
      </c>
      <c r="AA5411" t="s">
        <v>43</v>
      </c>
      <c r="AB5411" t="s">
        <v>43</v>
      </c>
      <c r="AC5411" t="s">
        <v>43</v>
      </c>
      <c r="AD5411" t="s">
        <v>43</v>
      </c>
      <c r="AE5411" t="s">
        <v>43</v>
      </c>
      <c r="AF5411" t="s">
        <v>43</v>
      </c>
      <c r="AG5411" t="s">
        <v>43</v>
      </c>
      <c r="AH5411" t="s">
        <v>43</v>
      </c>
      <c r="AI5411" t="s">
        <v>43</v>
      </c>
      <c r="AJ5411" t="s">
        <v>43</v>
      </c>
      <c r="AK5411" t="s">
        <v>43</v>
      </c>
      <c r="AL5411" t="s">
        <v>43</v>
      </c>
      <c r="AM5411" t="s">
        <v>43</v>
      </c>
      <c r="AN5411" t="str">
        <f>HYPERLINK("https://www.google.com/maps?q=10.8321991,79.8401413","Open Location")</f>
        <v>Open Location</v>
      </c>
    </row>
    <row r="5412" spans="1:40" x14ac:dyDescent="0.3">
      <c r="A5412" s="1">
        <v>46210.372916666667</v>
      </c>
      <c r="B5412" t="s">
        <v>40</v>
      </c>
      <c r="C5412" t="s">
        <v>41</v>
      </c>
      <c r="D5412" s="1">
        <v>46210.375937500001</v>
      </c>
      <c r="E5412" t="s">
        <v>42</v>
      </c>
      <c r="F5412" t="s">
        <v>43</v>
      </c>
      <c r="G5412" t="s">
        <v>43</v>
      </c>
      <c r="H5412" t="s">
        <v>43</v>
      </c>
      <c r="I5412" t="s">
        <v>3061</v>
      </c>
      <c r="J5412" t="s">
        <v>43</v>
      </c>
      <c r="K5412" t="s">
        <v>43</v>
      </c>
      <c r="L5412" t="s">
        <v>43</v>
      </c>
      <c r="M5412" t="s">
        <v>43</v>
      </c>
      <c r="N5412" t="s">
        <v>45</v>
      </c>
      <c r="O5412" t="s">
        <v>43</v>
      </c>
      <c r="P5412" t="s">
        <v>43</v>
      </c>
      <c r="Q5412" t="s">
        <v>43</v>
      </c>
      <c r="R5412" t="s">
        <v>43</v>
      </c>
      <c r="S5412" t="s">
        <v>43</v>
      </c>
      <c r="T5412" t="s">
        <v>43</v>
      </c>
      <c r="U5412" t="s">
        <v>43</v>
      </c>
      <c r="V5412" t="s">
        <v>43</v>
      </c>
      <c r="W5412" t="s">
        <v>43</v>
      </c>
      <c r="X5412" t="s">
        <v>43</v>
      </c>
      <c r="Y5412" t="s">
        <v>43</v>
      </c>
      <c r="Z5412" t="s">
        <v>43</v>
      </c>
      <c r="AA5412" t="s">
        <v>43</v>
      </c>
      <c r="AB5412" t="s">
        <v>43</v>
      </c>
      <c r="AC5412" t="s">
        <v>43</v>
      </c>
      <c r="AD5412" t="s">
        <v>43</v>
      </c>
      <c r="AE5412" t="s">
        <v>43</v>
      </c>
      <c r="AF5412" t="s">
        <v>43</v>
      </c>
      <c r="AG5412" t="s">
        <v>43</v>
      </c>
      <c r="AH5412" t="s">
        <v>43</v>
      </c>
      <c r="AI5412" t="s">
        <v>43</v>
      </c>
      <c r="AJ5412" t="s">
        <v>43</v>
      </c>
      <c r="AK5412" t="s">
        <v>43</v>
      </c>
      <c r="AL5412" t="s">
        <v>43</v>
      </c>
      <c r="AM5412" t="s">
        <v>43</v>
      </c>
      <c r="AN5412" t="str">
        <f>HYPERLINK("https://www.google.com/maps?q=10.832201,79.8401413","Open Location")</f>
        <v>Open Location</v>
      </c>
    </row>
    <row r="5413" spans="1:40" x14ac:dyDescent="0.3">
      <c r="A5413" s="1">
        <v>46210.372800925928</v>
      </c>
      <c r="B5413" t="s">
        <v>40</v>
      </c>
      <c r="C5413" t="s">
        <v>41</v>
      </c>
      <c r="D5413" s="1">
        <v>46210.375636574077</v>
      </c>
      <c r="E5413" t="s">
        <v>42</v>
      </c>
      <c r="F5413" t="s">
        <v>43</v>
      </c>
      <c r="G5413" t="s">
        <v>43</v>
      </c>
      <c r="H5413" t="s">
        <v>43</v>
      </c>
      <c r="I5413" t="s">
        <v>43</v>
      </c>
      <c r="J5413" t="s">
        <v>43</v>
      </c>
      <c r="K5413" t="s">
        <v>43</v>
      </c>
      <c r="L5413" t="s">
        <v>43</v>
      </c>
      <c r="M5413" t="s">
        <v>43</v>
      </c>
      <c r="N5413" t="s">
        <v>45</v>
      </c>
      <c r="O5413" t="s">
        <v>43</v>
      </c>
      <c r="P5413" t="s">
        <v>43</v>
      </c>
      <c r="Q5413" t="s">
        <v>43</v>
      </c>
      <c r="R5413" t="s">
        <v>43</v>
      </c>
      <c r="S5413" t="s">
        <v>43</v>
      </c>
      <c r="T5413" t="s">
        <v>43</v>
      </c>
      <c r="U5413" t="s">
        <v>43</v>
      </c>
      <c r="V5413" t="s">
        <v>43</v>
      </c>
      <c r="W5413" t="s">
        <v>43</v>
      </c>
      <c r="X5413" t="s">
        <v>43</v>
      </c>
      <c r="Y5413" t="s">
        <v>43</v>
      </c>
      <c r="Z5413" t="s">
        <v>43</v>
      </c>
      <c r="AA5413" t="s">
        <v>43</v>
      </c>
      <c r="AB5413" t="s">
        <v>43</v>
      </c>
      <c r="AC5413" t="s">
        <v>43</v>
      </c>
      <c r="AD5413" t="s">
        <v>43</v>
      </c>
      <c r="AE5413" t="s">
        <v>43</v>
      </c>
      <c r="AF5413" t="s">
        <v>43</v>
      </c>
      <c r="AG5413" t="s">
        <v>43</v>
      </c>
      <c r="AH5413" t="s">
        <v>43</v>
      </c>
      <c r="AI5413" t="s">
        <v>43</v>
      </c>
      <c r="AJ5413" t="s">
        <v>43</v>
      </c>
      <c r="AK5413" t="s">
        <v>43</v>
      </c>
      <c r="AL5413" t="s">
        <v>43</v>
      </c>
      <c r="AM5413" t="s">
        <v>43</v>
      </c>
      <c r="AN5413" t="s">
        <v>43</v>
      </c>
    </row>
    <row r="5414" spans="1:40" x14ac:dyDescent="0.3">
      <c r="A5414" s="1">
        <v>46210.372685185182</v>
      </c>
      <c r="B5414" t="s">
        <v>40</v>
      </c>
      <c r="C5414" t="s">
        <v>41</v>
      </c>
      <c r="D5414" s="1">
        <v>46210.375763888886</v>
      </c>
      <c r="E5414" t="s">
        <v>42</v>
      </c>
      <c r="F5414" t="s">
        <v>43</v>
      </c>
      <c r="G5414" t="s">
        <v>43</v>
      </c>
      <c r="H5414" t="s">
        <v>43</v>
      </c>
      <c r="I5414" t="s">
        <v>3062</v>
      </c>
      <c r="J5414" t="s">
        <v>43</v>
      </c>
      <c r="K5414" t="s">
        <v>43</v>
      </c>
      <c r="L5414" t="s">
        <v>43</v>
      </c>
      <c r="M5414" t="s">
        <v>43</v>
      </c>
      <c r="N5414" t="s">
        <v>45</v>
      </c>
      <c r="O5414" t="s">
        <v>43</v>
      </c>
      <c r="P5414" t="s">
        <v>43</v>
      </c>
      <c r="Q5414" t="s">
        <v>43</v>
      </c>
      <c r="R5414" t="s">
        <v>43</v>
      </c>
      <c r="S5414" t="s">
        <v>43</v>
      </c>
      <c r="T5414" t="s">
        <v>43</v>
      </c>
      <c r="U5414" t="s">
        <v>43</v>
      </c>
      <c r="V5414" t="s">
        <v>43</v>
      </c>
      <c r="W5414" t="s">
        <v>43</v>
      </c>
      <c r="X5414" t="s">
        <v>43</v>
      </c>
      <c r="Y5414" t="s">
        <v>43</v>
      </c>
      <c r="Z5414" t="s">
        <v>43</v>
      </c>
      <c r="AA5414" t="s">
        <v>43</v>
      </c>
      <c r="AB5414" t="s">
        <v>43</v>
      </c>
      <c r="AC5414" t="s">
        <v>43</v>
      </c>
      <c r="AD5414" t="s">
        <v>43</v>
      </c>
      <c r="AE5414" t="s">
        <v>43</v>
      </c>
      <c r="AF5414" t="s">
        <v>43</v>
      </c>
      <c r="AG5414" t="s">
        <v>43</v>
      </c>
      <c r="AH5414" t="s">
        <v>43</v>
      </c>
      <c r="AI5414" t="s">
        <v>43</v>
      </c>
      <c r="AJ5414" t="s">
        <v>43</v>
      </c>
      <c r="AK5414" t="s">
        <v>43</v>
      </c>
      <c r="AL5414" t="s">
        <v>43</v>
      </c>
      <c r="AM5414" t="s">
        <v>43</v>
      </c>
      <c r="AN5414" t="str">
        <f>HYPERLINK("https://www.google.com/maps?q=10.83220005,79.84013367","Open Location")</f>
        <v>Open Location</v>
      </c>
    </row>
    <row r="5415" spans="1:40" x14ac:dyDescent="0.3">
      <c r="A5415" s="1">
        <v>46210.372569444444</v>
      </c>
      <c r="B5415" t="s">
        <v>40</v>
      </c>
      <c r="C5415" t="s">
        <v>41</v>
      </c>
      <c r="D5415" s="1">
        <v>46210.375578703701</v>
      </c>
      <c r="E5415" t="s">
        <v>42</v>
      </c>
      <c r="F5415" t="s">
        <v>43</v>
      </c>
      <c r="G5415" t="s">
        <v>43</v>
      </c>
      <c r="H5415" t="s">
        <v>43</v>
      </c>
      <c r="I5415" t="s">
        <v>3063</v>
      </c>
      <c r="J5415" t="s">
        <v>43</v>
      </c>
      <c r="K5415" t="s">
        <v>43</v>
      </c>
      <c r="L5415" t="s">
        <v>43</v>
      </c>
      <c r="M5415" t="s">
        <v>43</v>
      </c>
      <c r="N5415" t="s">
        <v>45</v>
      </c>
      <c r="O5415" t="s">
        <v>43</v>
      </c>
      <c r="P5415" t="s">
        <v>43</v>
      </c>
      <c r="Q5415" t="s">
        <v>43</v>
      </c>
      <c r="R5415" t="s">
        <v>43</v>
      </c>
      <c r="S5415" t="s">
        <v>43</v>
      </c>
      <c r="T5415" t="s">
        <v>43</v>
      </c>
      <c r="U5415" t="s">
        <v>43</v>
      </c>
      <c r="V5415" t="s">
        <v>43</v>
      </c>
      <c r="W5415" t="s">
        <v>43</v>
      </c>
      <c r="X5415" t="s">
        <v>43</v>
      </c>
      <c r="Y5415" t="s">
        <v>43</v>
      </c>
      <c r="Z5415" t="s">
        <v>43</v>
      </c>
      <c r="AA5415" t="s">
        <v>43</v>
      </c>
      <c r="AB5415" t="s">
        <v>43</v>
      </c>
      <c r="AC5415" t="s">
        <v>43</v>
      </c>
      <c r="AD5415" t="s">
        <v>43</v>
      </c>
      <c r="AE5415" t="s">
        <v>43</v>
      </c>
      <c r="AF5415" t="s">
        <v>43</v>
      </c>
      <c r="AG5415" t="s">
        <v>43</v>
      </c>
      <c r="AH5415" t="s">
        <v>43</v>
      </c>
      <c r="AI5415" t="s">
        <v>43</v>
      </c>
      <c r="AJ5415" t="s">
        <v>43</v>
      </c>
      <c r="AK5415" t="s">
        <v>43</v>
      </c>
      <c r="AL5415" t="s">
        <v>43</v>
      </c>
      <c r="AM5415" t="s">
        <v>43</v>
      </c>
      <c r="AN5415" t="str">
        <f>HYPERLINK("https://www.google.com/maps?q=10.8321991,79.84012604","Open Location")</f>
        <v>Open Location</v>
      </c>
    </row>
    <row r="5416" spans="1:40" x14ac:dyDescent="0.3">
      <c r="A5416" s="1">
        <v>46210.372453703705</v>
      </c>
      <c r="B5416" t="s">
        <v>40</v>
      </c>
      <c r="C5416" t="s">
        <v>41</v>
      </c>
      <c r="D5416" s="1">
        <v>46210.375740740739</v>
      </c>
      <c r="E5416" t="s">
        <v>42</v>
      </c>
      <c r="F5416" t="s">
        <v>43</v>
      </c>
      <c r="G5416" t="s">
        <v>43</v>
      </c>
      <c r="H5416" t="s">
        <v>43</v>
      </c>
      <c r="I5416" t="s">
        <v>3064</v>
      </c>
      <c r="J5416" t="s">
        <v>43</v>
      </c>
      <c r="K5416" t="s">
        <v>43</v>
      </c>
      <c r="L5416" t="s">
        <v>43</v>
      </c>
      <c r="M5416" t="s">
        <v>43</v>
      </c>
      <c r="N5416" t="s">
        <v>45</v>
      </c>
      <c r="O5416" t="s">
        <v>43</v>
      </c>
      <c r="P5416" t="s">
        <v>43</v>
      </c>
      <c r="Q5416" t="s">
        <v>43</v>
      </c>
      <c r="R5416" t="s">
        <v>43</v>
      </c>
      <c r="S5416" t="s">
        <v>43</v>
      </c>
      <c r="T5416" t="s">
        <v>43</v>
      </c>
      <c r="U5416" t="s">
        <v>43</v>
      </c>
      <c r="V5416" t="s">
        <v>43</v>
      </c>
      <c r="W5416" t="s">
        <v>43</v>
      </c>
      <c r="X5416" t="s">
        <v>43</v>
      </c>
      <c r="Y5416" t="s">
        <v>43</v>
      </c>
      <c r="Z5416" t="s">
        <v>43</v>
      </c>
      <c r="AA5416" t="s">
        <v>43</v>
      </c>
      <c r="AB5416" t="s">
        <v>43</v>
      </c>
      <c r="AC5416" t="s">
        <v>43</v>
      </c>
      <c r="AD5416" t="s">
        <v>43</v>
      </c>
      <c r="AE5416" t="s">
        <v>43</v>
      </c>
      <c r="AF5416" t="s">
        <v>43</v>
      </c>
      <c r="AG5416" t="s">
        <v>43</v>
      </c>
      <c r="AH5416" t="s">
        <v>43</v>
      </c>
      <c r="AI5416" t="s">
        <v>43</v>
      </c>
      <c r="AJ5416" t="s">
        <v>43</v>
      </c>
      <c r="AK5416" t="s">
        <v>43</v>
      </c>
      <c r="AL5416" t="s">
        <v>43</v>
      </c>
      <c r="AM5416" t="s">
        <v>43</v>
      </c>
      <c r="AN5416" t="str">
        <f>HYPERLINK("https://www.google.com/maps?q=10.8321991,79.84011841","Open Location")</f>
        <v>Open Location</v>
      </c>
    </row>
    <row r="5417" spans="1:40" x14ac:dyDescent="0.3">
      <c r="A5417" s="1">
        <v>46210.372337962966</v>
      </c>
      <c r="B5417" t="s">
        <v>40</v>
      </c>
      <c r="C5417" t="s">
        <v>41</v>
      </c>
      <c r="D5417" s="1">
        <v>46210.375358796293</v>
      </c>
      <c r="E5417" t="s">
        <v>42</v>
      </c>
      <c r="F5417" t="s">
        <v>43</v>
      </c>
      <c r="G5417" t="s">
        <v>43</v>
      </c>
      <c r="H5417" t="s">
        <v>43</v>
      </c>
      <c r="I5417" t="s">
        <v>3065</v>
      </c>
      <c r="J5417" t="s">
        <v>43</v>
      </c>
      <c r="K5417" t="s">
        <v>43</v>
      </c>
      <c r="L5417" t="s">
        <v>43</v>
      </c>
      <c r="M5417" t="s">
        <v>43</v>
      </c>
      <c r="N5417" t="s">
        <v>45</v>
      </c>
      <c r="O5417" t="s">
        <v>43</v>
      </c>
      <c r="P5417" t="s">
        <v>43</v>
      </c>
      <c r="Q5417" t="s">
        <v>43</v>
      </c>
      <c r="R5417" t="s">
        <v>43</v>
      </c>
      <c r="S5417" t="s">
        <v>43</v>
      </c>
      <c r="T5417" t="s">
        <v>43</v>
      </c>
      <c r="U5417" t="s">
        <v>43</v>
      </c>
      <c r="V5417" t="s">
        <v>43</v>
      </c>
      <c r="W5417" t="s">
        <v>43</v>
      </c>
      <c r="X5417" t="s">
        <v>43</v>
      </c>
      <c r="Y5417" t="s">
        <v>43</v>
      </c>
      <c r="Z5417" t="s">
        <v>43</v>
      </c>
      <c r="AA5417" t="s">
        <v>43</v>
      </c>
      <c r="AB5417" t="s">
        <v>43</v>
      </c>
      <c r="AC5417" t="s">
        <v>43</v>
      </c>
      <c r="AD5417" t="s">
        <v>43</v>
      </c>
      <c r="AE5417" t="s">
        <v>43</v>
      </c>
      <c r="AF5417" t="s">
        <v>43</v>
      </c>
      <c r="AG5417" t="s">
        <v>43</v>
      </c>
      <c r="AH5417" t="s">
        <v>43</v>
      </c>
      <c r="AI5417" t="s">
        <v>43</v>
      </c>
      <c r="AJ5417" t="s">
        <v>43</v>
      </c>
      <c r="AK5417" t="s">
        <v>43</v>
      </c>
      <c r="AL5417" t="s">
        <v>43</v>
      </c>
      <c r="AM5417" t="s">
        <v>43</v>
      </c>
      <c r="AN5417" t="str">
        <f>HYPERLINK("https://www.google.com/maps?q=10.83220005,79.84011841","Open Location")</f>
        <v>Open Location</v>
      </c>
    </row>
    <row r="5418" spans="1:40" x14ac:dyDescent="0.3">
      <c r="A5418" s="1">
        <v>46210.37222222222</v>
      </c>
      <c r="B5418" t="s">
        <v>40</v>
      </c>
      <c r="C5418" t="s">
        <v>41</v>
      </c>
      <c r="D5418" s="1">
        <v>46210.375428240739</v>
      </c>
      <c r="E5418" t="s">
        <v>42</v>
      </c>
      <c r="F5418" t="s">
        <v>43</v>
      </c>
      <c r="G5418" t="s">
        <v>43</v>
      </c>
      <c r="H5418" t="s">
        <v>43</v>
      </c>
      <c r="I5418" t="s">
        <v>43</v>
      </c>
      <c r="J5418" t="s">
        <v>43</v>
      </c>
      <c r="K5418" t="s">
        <v>43</v>
      </c>
      <c r="L5418" t="s">
        <v>43</v>
      </c>
      <c r="M5418" t="s">
        <v>43</v>
      </c>
      <c r="N5418" t="s">
        <v>45</v>
      </c>
      <c r="O5418" t="s">
        <v>43</v>
      </c>
      <c r="P5418" t="s">
        <v>43</v>
      </c>
      <c r="Q5418" t="s">
        <v>43</v>
      </c>
      <c r="R5418" t="s">
        <v>43</v>
      </c>
      <c r="S5418" t="s">
        <v>43</v>
      </c>
      <c r="T5418" t="s">
        <v>43</v>
      </c>
      <c r="U5418" t="s">
        <v>43</v>
      </c>
      <c r="V5418" t="s">
        <v>43</v>
      </c>
      <c r="W5418" t="s">
        <v>43</v>
      </c>
      <c r="X5418" t="s">
        <v>43</v>
      </c>
      <c r="Y5418" t="s">
        <v>43</v>
      </c>
      <c r="Z5418" t="s">
        <v>43</v>
      </c>
      <c r="AA5418" t="s">
        <v>43</v>
      </c>
      <c r="AB5418" t="s">
        <v>43</v>
      </c>
      <c r="AC5418" t="s">
        <v>43</v>
      </c>
      <c r="AD5418" t="s">
        <v>43</v>
      </c>
      <c r="AE5418" t="s">
        <v>43</v>
      </c>
      <c r="AF5418" t="s">
        <v>43</v>
      </c>
      <c r="AG5418" t="s">
        <v>43</v>
      </c>
      <c r="AH5418" t="s">
        <v>43</v>
      </c>
      <c r="AI5418" t="s">
        <v>43</v>
      </c>
      <c r="AJ5418" t="s">
        <v>43</v>
      </c>
      <c r="AK5418" t="s">
        <v>43</v>
      </c>
      <c r="AL5418" t="s">
        <v>43</v>
      </c>
      <c r="AM5418" t="s">
        <v>43</v>
      </c>
      <c r="AN5418" t="s">
        <v>43</v>
      </c>
    </row>
    <row r="5419" spans="1:40" x14ac:dyDescent="0.3">
      <c r="A5419" s="1">
        <v>46210.372106481482</v>
      </c>
      <c r="B5419" t="s">
        <v>40</v>
      </c>
      <c r="C5419" t="s">
        <v>41</v>
      </c>
      <c r="D5419" s="1">
        <v>46210.375196759262</v>
      </c>
      <c r="E5419" t="s">
        <v>42</v>
      </c>
      <c r="F5419" t="s">
        <v>43</v>
      </c>
      <c r="G5419" t="s">
        <v>43</v>
      </c>
      <c r="H5419" t="s">
        <v>43</v>
      </c>
      <c r="I5419" t="s">
        <v>3066</v>
      </c>
      <c r="J5419" t="s">
        <v>43</v>
      </c>
      <c r="K5419" t="s">
        <v>43</v>
      </c>
      <c r="L5419" t="s">
        <v>43</v>
      </c>
      <c r="M5419" t="s">
        <v>43</v>
      </c>
      <c r="N5419" t="s">
        <v>45</v>
      </c>
      <c r="O5419" t="s">
        <v>43</v>
      </c>
      <c r="P5419" t="s">
        <v>43</v>
      </c>
      <c r="Q5419" t="s">
        <v>43</v>
      </c>
      <c r="R5419" t="s">
        <v>43</v>
      </c>
      <c r="S5419" t="s">
        <v>43</v>
      </c>
      <c r="T5419" t="s">
        <v>43</v>
      </c>
      <c r="U5419" t="s">
        <v>43</v>
      </c>
      <c r="V5419" t="s">
        <v>43</v>
      </c>
      <c r="W5419" t="s">
        <v>43</v>
      </c>
      <c r="X5419" t="s">
        <v>43</v>
      </c>
      <c r="Y5419" t="s">
        <v>43</v>
      </c>
      <c r="Z5419" t="s">
        <v>43</v>
      </c>
      <c r="AA5419" t="s">
        <v>43</v>
      </c>
      <c r="AB5419" t="s">
        <v>43</v>
      </c>
      <c r="AC5419" t="s">
        <v>43</v>
      </c>
      <c r="AD5419" t="s">
        <v>43</v>
      </c>
      <c r="AE5419" t="s">
        <v>43</v>
      </c>
      <c r="AF5419" t="s">
        <v>43</v>
      </c>
      <c r="AG5419" t="s">
        <v>43</v>
      </c>
      <c r="AH5419" t="s">
        <v>43</v>
      </c>
      <c r="AI5419" t="s">
        <v>43</v>
      </c>
      <c r="AJ5419" t="s">
        <v>43</v>
      </c>
      <c r="AK5419" t="s">
        <v>43</v>
      </c>
      <c r="AL5419" t="s">
        <v>43</v>
      </c>
      <c r="AM5419" t="s">
        <v>43</v>
      </c>
      <c r="AN5419" t="str">
        <f>HYPERLINK("https://www.google.com/maps?q=10.8321991,79.84011078","Open Location")</f>
        <v>Open Location</v>
      </c>
    </row>
    <row r="5420" spans="1:40" x14ac:dyDescent="0.3">
      <c r="A5420" s="1">
        <v>46210.371990740743</v>
      </c>
      <c r="B5420" t="s">
        <v>40</v>
      </c>
      <c r="C5420" t="s">
        <v>41</v>
      </c>
      <c r="D5420" s="1">
        <v>46210.375196759262</v>
      </c>
      <c r="E5420" t="s">
        <v>42</v>
      </c>
      <c r="F5420" t="s">
        <v>43</v>
      </c>
      <c r="G5420" t="s">
        <v>43</v>
      </c>
      <c r="H5420" t="s">
        <v>43</v>
      </c>
      <c r="I5420" t="s">
        <v>3067</v>
      </c>
      <c r="J5420" t="s">
        <v>43</v>
      </c>
      <c r="K5420" t="s">
        <v>43</v>
      </c>
      <c r="L5420" t="s">
        <v>43</v>
      </c>
      <c r="M5420" t="s">
        <v>43</v>
      </c>
      <c r="N5420" t="s">
        <v>45</v>
      </c>
      <c r="O5420" t="s">
        <v>43</v>
      </c>
      <c r="P5420" t="s">
        <v>43</v>
      </c>
      <c r="Q5420" t="s">
        <v>43</v>
      </c>
      <c r="R5420" t="s">
        <v>43</v>
      </c>
      <c r="S5420">
        <v>0</v>
      </c>
      <c r="T5420">
        <v>-40</v>
      </c>
      <c r="U5420">
        <v>45</v>
      </c>
      <c r="V5420">
        <v>0</v>
      </c>
      <c r="W5420" t="s">
        <v>43</v>
      </c>
      <c r="X5420" t="s">
        <v>43</v>
      </c>
      <c r="Y5420" t="s">
        <v>43</v>
      </c>
      <c r="Z5420" t="s">
        <v>43</v>
      </c>
      <c r="AA5420" t="s">
        <v>43</v>
      </c>
      <c r="AB5420" t="s">
        <v>43</v>
      </c>
      <c r="AC5420" t="s">
        <v>43</v>
      </c>
      <c r="AD5420" t="s">
        <v>43</v>
      </c>
      <c r="AE5420" t="s">
        <v>43</v>
      </c>
      <c r="AF5420" t="s">
        <v>43</v>
      </c>
      <c r="AG5420" t="s">
        <v>43</v>
      </c>
      <c r="AH5420" t="s">
        <v>43</v>
      </c>
      <c r="AI5420" t="s">
        <v>43</v>
      </c>
      <c r="AJ5420" t="s">
        <v>43</v>
      </c>
      <c r="AK5420" t="s">
        <v>43</v>
      </c>
      <c r="AL5420" t="s">
        <v>43</v>
      </c>
      <c r="AM5420" t="s">
        <v>43</v>
      </c>
      <c r="AN5420" t="str">
        <f>HYPERLINK("https://www.google.com/maps?q=10.83219719,79.84011078","Open Location")</f>
        <v>Open Location</v>
      </c>
    </row>
    <row r="5421" spans="1:40" x14ac:dyDescent="0.3">
      <c r="A5421" s="1">
        <v>46210.371874999997</v>
      </c>
      <c r="B5421" t="s">
        <v>40</v>
      </c>
      <c r="C5421" t="s">
        <v>41</v>
      </c>
      <c r="D5421" s="1">
        <v>46210.374722222223</v>
      </c>
      <c r="E5421" t="s">
        <v>42</v>
      </c>
      <c r="F5421" t="s">
        <v>43</v>
      </c>
      <c r="G5421" t="s">
        <v>43</v>
      </c>
      <c r="H5421" t="s">
        <v>43</v>
      </c>
      <c r="I5421" t="s">
        <v>3068</v>
      </c>
      <c r="J5421" t="s">
        <v>43</v>
      </c>
      <c r="K5421" t="s">
        <v>43</v>
      </c>
      <c r="L5421" t="s">
        <v>43</v>
      </c>
      <c r="M5421" t="s">
        <v>43</v>
      </c>
      <c r="N5421" t="s">
        <v>45</v>
      </c>
      <c r="O5421" t="s">
        <v>43</v>
      </c>
      <c r="P5421" t="s">
        <v>43</v>
      </c>
      <c r="Q5421" t="s">
        <v>43</v>
      </c>
      <c r="R5421" t="s">
        <v>43</v>
      </c>
      <c r="S5421">
        <v>0</v>
      </c>
      <c r="T5421">
        <v>-40</v>
      </c>
      <c r="U5421">
        <v>45</v>
      </c>
      <c r="V5421">
        <v>0</v>
      </c>
      <c r="W5421" t="s">
        <v>43</v>
      </c>
      <c r="X5421" t="s">
        <v>43</v>
      </c>
      <c r="Y5421" t="s">
        <v>43</v>
      </c>
      <c r="Z5421" t="s">
        <v>43</v>
      </c>
      <c r="AA5421" t="s">
        <v>43</v>
      </c>
      <c r="AB5421" t="s">
        <v>43</v>
      </c>
      <c r="AC5421" t="s">
        <v>43</v>
      </c>
      <c r="AD5421" t="s">
        <v>43</v>
      </c>
      <c r="AE5421" t="s">
        <v>43</v>
      </c>
      <c r="AF5421" t="s">
        <v>43</v>
      </c>
      <c r="AG5421" t="s">
        <v>43</v>
      </c>
      <c r="AH5421" t="s">
        <v>43</v>
      </c>
      <c r="AI5421" t="s">
        <v>43</v>
      </c>
      <c r="AJ5421" t="s">
        <v>43</v>
      </c>
      <c r="AK5421" t="s">
        <v>43</v>
      </c>
      <c r="AL5421" t="s">
        <v>43</v>
      </c>
      <c r="AM5421" t="s">
        <v>43</v>
      </c>
      <c r="AN5421" t="str">
        <f>HYPERLINK("https://www.google.com/maps?q=10.83219624,79.84010315","Open Location")</f>
        <v>Open Location</v>
      </c>
    </row>
    <row r="5422" spans="1:40" x14ac:dyDescent="0.3">
      <c r="A5422" s="1">
        <v>46210.371759259258</v>
      </c>
      <c r="B5422" t="s">
        <v>40</v>
      </c>
      <c r="C5422" t="s">
        <v>41</v>
      </c>
      <c r="D5422" s="1">
        <v>46210.374722222223</v>
      </c>
      <c r="E5422" t="s">
        <v>42</v>
      </c>
      <c r="F5422" t="s">
        <v>43</v>
      </c>
      <c r="G5422" t="s">
        <v>43</v>
      </c>
      <c r="H5422" t="s">
        <v>43</v>
      </c>
      <c r="I5422" t="s">
        <v>3069</v>
      </c>
      <c r="J5422" t="s">
        <v>43</v>
      </c>
      <c r="K5422" t="s">
        <v>43</v>
      </c>
      <c r="L5422" t="s">
        <v>43</v>
      </c>
      <c r="M5422" t="s">
        <v>43</v>
      </c>
      <c r="N5422" t="s">
        <v>45</v>
      </c>
      <c r="O5422" t="s">
        <v>43</v>
      </c>
      <c r="P5422" t="s">
        <v>43</v>
      </c>
      <c r="Q5422" t="s">
        <v>43</v>
      </c>
      <c r="R5422" t="s">
        <v>43</v>
      </c>
      <c r="S5422">
        <v>0</v>
      </c>
      <c r="T5422">
        <v>-40</v>
      </c>
      <c r="U5422">
        <v>45</v>
      </c>
      <c r="V5422">
        <v>0</v>
      </c>
      <c r="W5422" t="s">
        <v>43</v>
      </c>
      <c r="X5422" t="s">
        <v>43</v>
      </c>
      <c r="Y5422" t="s">
        <v>43</v>
      </c>
      <c r="Z5422" t="s">
        <v>43</v>
      </c>
      <c r="AA5422" t="s">
        <v>43</v>
      </c>
      <c r="AB5422" t="s">
        <v>43</v>
      </c>
      <c r="AC5422" t="s">
        <v>43</v>
      </c>
      <c r="AD5422" t="s">
        <v>43</v>
      </c>
      <c r="AE5422" t="s">
        <v>43</v>
      </c>
      <c r="AF5422" t="s">
        <v>43</v>
      </c>
      <c r="AG5422" t="s">
        <v>43</v>
      </c>
      <c r="AH5422" t="s">
        <v>43</v>
      </c>
      <c r="AI5422" t="s">
        <v>43</v>
      </c>
      <c r="AJ5422" t="s">
        <v>43</v>
      </c>
      <c r="AK5422" t="s">
        <v>43</v>
      </c>
      <c r="AL5422" t="s">
        <v>43</v>
      </c>
      <c r="AM5422" t="s">
        <v>43</v>
      </c>
      <c r="AN5422" t="str">
        <f>HYPERLINK("https://www.google.com/maps?q=10.83219147,79.84010315","Open Location")</f>
        <v>Open Location</v>
      </c>
    </row>
    <row r="5423" spans="1:40" x14ac:dyDescent="0.3">
      <c r="A5423" s="1">
        <v>46210.37164351852</v>
      </c>
      <c r="B5423" t="s">
        <v>40</v>
      </c>
      <c r="C5423" t="s">
        <v>41</v>
      </c>
      <c r="D5423" s="1">
        <v>46210.374502314815</v>
      </c>
      <c r="E5423" t="s">
        <v>42</v>
      </c>
      <c r="F5423" t="s">
        <v>43</v>
      </c>
      <c r="G5423" t="s">
        <v>43</v>
      </c>
      <c r="H5423" t="s">
        <v>43</v>
      </c>
      <c r="I5423" t="s">
        <v>3070</v>
      </c>
      <c r="J5423" t="s">
        <v>43</v>
      </c>
      <c r="K5423" t="s">
        <v>43</v>
      </c>
      <c r="L5423" t="s">
        <v>43</v>
      </c>
      <c r="M5423" t="s">
        <v>43</v>
      </c>
      <c r="N5423" t="s">
        <v>45</v>
      </c>
      <c r="O5423" t="s">
        <v>43</v>
      </c>
      <c r="P5423" t="s">
        <v>43</v>
      </c>
      <c r="Q5423" t="s">
        <v>43</v>
      </c>
      <c r="R5423" t="s">
        <v>43</v>
      </c>
      <c r="S5423">
        <v>0</v>
      </c>
      <c r="T5423">
        <v>-40</v>
      </c>
      <c r="U5423">
        <v>45</v>
      </c>
      <c r="V5423">
        <v>0</v>
      </c>
      <c r="W5423" t="s">
        <v>43</v>
      </c>
      <c r="X5423" t="s">
        <v>43</v>
      </c>
      <c r="Y5423" t="s">
        <v>43</v>
      </c>
      <c r="Z5423" t="s">
        <v>43</v>
      </c>
      <c r="AA5423" t="s">
        <v>43</v>
      </c>
      <c r="AB5423" t="s">
        <v>43</v>
      </c>
      <c r="AC5423" t="s">
        <v>43</v>
      </c>
      <c r="AD5423" t="s">
        <v>43</v>
      </c>
      <c r="AE5423" t="s">
        <v>43</v>
      </c>
      <c r="AF5423" t="s">
        <v>43</v>
      </c>
      <c r="AG5423" t="s">
        <v>43</v>
      </c>
      <c r="AH5423" t="s">
        <v>43</v>
      </c>
      <c r="AI5423" t="s">
        <v>43</v>
      </c>
      <c r="AJ5423" t="s">
        <v>43</v>
      </c>
      <c r="AK5423" t="s">
        <v>43</v>
      </c>
      <c r="AL5423" t="s">
        <v>43</v>
      </c>
      <c r="AM5423" t="s">
        <v>43</v>
      </c>
      <c r="AN5423" t="str">
        <f>HYPERLINK("https://www.google.com/maps?q=10.8321867,79.84010315","Open Location")</f>
        <v>Open Location</v>
      </c>
    </row>
    <row r="5424" spans="1:40" x14ac:dyDescent="0.3">
      <c r="A5424" s="1">
        <v>46210.371527777781</v>
      </c>
      <c r="B5424" t="s">
        <v>40</v>
      </c>
      <c r="C5424" t="s">
        <v>41</v>
      </c>
      <c r="D5424" s="1">
        <v>46210.374583333331</v>
      </c>
      <c r="E5424" t="s">
        <v>42</v>
      </c>
      <c r="F5424" t="s">
        <v>43</v>
      </c>
      <c r="G5424" t="s">
        <v>43</v>
      </c>
      <c r="H5424" t="s">
        <v>43</v>
      </c>
      <c r="I5424" t="s">
        <v>43</v>
      </c>
      <c r="J5424" t="s">
        <v>43</v>
      </c>
      <c r="K5424" t="s">
        <v>43</v>
      </c>
      <c r="L5424" t="s">
        <v>43</v>
      </c>
      <c r="M5424" t="s">
        <v>43</v>
      </c>
      <c r="N5424" t="s">
        <v>45</v>
      </c>
      <c r="O5424" t="s">
        <v>43</v>
      </c>
      <c r="P5424" t="s">
        <v>43</v>
      </c>
      <c r="Q5424" t="s">
        <v>43</v>
      </c>
      <c r="R5424" t="s">
        <v>43</v>
      </c>
      <c r="S5424">
        <v>0</v>
      </c>
      <c r="T5424">
        <v>-40</v>
      </c>
      <c r="U5424">
        <v>45</v>
      </c>
      <c r="V5424">
        <v>0</v>
      </c>
      <c r="W5424" t="s">
        <v>43</v>
      </c>
      <c r="X5424" t="s">
        <v>43</v>
      </c>
      <c r="Y5424" t="s">
        <v>43</v>
      </c>
      <c r="Z5424" t="s">
        <v>43</v>
      </c>
      <c r="AA5424" t="s">
        <v>43</v>
      </c>
      <c r="AB5424" t="s">
        <v>43</v>
      </c>
      <c r="AC5424" t="s">
        <v>43</v>
      </c>
      <c r="AD5424" t="s">
        <v>43</v>
      </c>
      <c r="AE5424" t="s">
        <v>43</v>
      </c>
      <c r="AF5424" t="s">
        <v>43</v>
      </c>
      <c r="AG5424" t="s">
        <v>43</v>
      </c>
      <c r="AH5424" t="s">
        <v>43</v>
      </c>
      <c r="AI5424" t="s">
        <v>43</v>
      </c>
      <c r="AJ5424" t="s">
        <v>43</v>
      </c>
      <c r="AK5424" t="s">
        <v>43</v>
      </c>
      <c r="AL5424" t="s">
        <v>43</v>
      </c>
      <c r="AM5424" t="s">
        <v>43</v>
      </c>
      <c r="AN5424" t="s">
        <v>43</v>
      </c>
    </row>
    <row r="5425" spans="1:40" x14ac:dyDescent="0.3">
      <c r="A5425" s="1">
        <v>46210.371412037035</v>
      </c>
      <c r="B5425" t="s">
        <v>40</v>
      </c>
      <c r="C5425" t="s">
        <v>41</v>
      </c>
      <c r="D5425" s="1">
        <v>46210.374108796299</v>
      </c>
      <c r="E5425" t="s">
        <v>42</v>
      </c>
      <c r="F5425" t="s">
        <v>43</v>
      </c>
      <c r="G5425" t="s">
        <v>43</v>
      </c>
      <c r="H5425" t="s">
        <v>43</v>
      </c>
      <c r="I5425" t="s">
        <v>3071</v>
      </c>
      <c r="J5425" t="s">
        <v>43</v>
      </c>
      <c r="K5425" t="s">
        <v>43</v>
      </c>
      <c r="L5425" t="s">
        <v>43</v>
      </c>
      <c r="M5425" t="s">
        <v>43</v>
      </c>
      <c r="N5425" t="s">
        <v>45</v>
      </c>
      <c r="O5425" t="s">
        <v>43</v>
      </c>
      <c r="P5425" t="s">
        <v>43</v>
      </c>
      <c r="Q5425" t="s">
        <v>43</v>
      </c>
      <c r="R5425" t="s">
        <v>43</v>
      </c>
      <c r="S5425">
        <v>0</v>
      </c>
      <c r="T5425">
        <v>-40</v>
      </c>
      <c r="U5425">
        <v>45</v>
      </c>
      <c r="V5425">
        <v>0</v>
      </c>
      <c r="W5425" t="s">
        <v>43</v>
      </c>
      <c r="X5425" t="s">
        <v>43</v>
      </c>
      <c r="Y5425" t="s">
        <v>43</v>
      </c>
      <c r="Z5425" t="s">
        <v>43</v>
      </c>
      <c r="AA5425" t="s">
        <v>43</v>
      </c>
      <c r="AB5425" t="s">
        <v>43</v>
      </c>
      <c r="AC5425" t="s">
        <v>43</v>
      </c>
      <c r="AD5425" t="s">
        <v>43</v>
      </c>
      <c r="AE5425" t="s">
        <v>43</v>
      </c>
      <c r="AF5425" t="s">
        <v>43</v>
      </c>
      <c r="AG5425" t="s">
        <v>43</v>
      </c>
      <c r="AH5425" t="s">
        <v>43</v>
      </c>
      <c r="AI5425" t="s">
        <v>43</v>
      </c>
      <c r="AJ5425" t="s">
        <v>43</v>
      </c>
      <c r="AK5425" t="s">
        <v>43</v>
      </c>
      <c r="AL5425" t="s">
        <v>43</v>
      </c>
      <c r="AM5425" t="s">
        <v>43</v>
      </c>
      <c r="AN5425" t="str">
        <f>HYPERLINK("https://www.google.com/maps?q=10.83219147,79.84009552","Open Location")</f>
        <v>Open Location</v>
      </c>
    </row>
    <row r="5426" spans="1:40" x14ac:dyDescent="0.3">
      <c r="A5426" s="1">
        <v>46210.371296296296</v>
      </c>
      <c r="B5426" t="s">
        <v>40</v>
      </c>
      <c r="C5426" t="s">
        <v>41</v>
      </c>
      <c r="D5426" s="1">
        <v>46210.374351851853</v>
      </c>
      <c r="E5426" t="s">
        <v>42</v>
      </c>
      <c r="F5426" t="s">
        <v>43</v>
      </c>
      <c r="G5426" t="s">
        <v>43</v>
      </c>
      <c r="H5426" t="s">
        <v>43</v>
      </c>
      <c r="I5426" t="s">
        <v>3072</v>
      </c>
      <c r="J5426" t="s">
        <v>43</v>
      </c>
      <c r="K5426" t="s">
        <v>43</v>
      </c>
      <c r="L5426" t="s">
        <v>43</v>
      </c>
      <c r="M5426" t="s">
        <v>43</v>
      </c>
      <c r="N5426" t="s">
        <v>45</v>
      </c>
      <c r="O5426" t="s">
        <v>43</v>
      </c>
      <c r="P5426" t="s">
        <v>43</v>
      </c>
      <c r="Q5426" t="s">
        <v>43</v>
      </c>
      <c r="R5426" t="s">
        <v>43</v>
      </c>
      <c r="S5426">
        <v>0</v>
      </c>
      <c r="T5426">
        <v>-40</v>
      </c>
      <c r="U5426">
        <v>45</v>
      </c>
      <c r="V5426">
        <v>0</v>
      </c>
      <c r="W5426" t="s">
        <v>43</v>
      </c>
      <c r="X5426" t="s">
        <v>43</v>
      </c>
      <c r="Y5426" t="s">
        <v>43</v>
      </c>
      <c r="Z5426" t="s">
        <v>43</v>
      </c>
      <c r="AA5426" t="s">
        <v>43</v>
      </c>
      <c r="AB5426" t="s">
        <v>43</v>
      </c>
      <c r="AC5426" t="s">
        <v>43</v>
      </c>
      <c r="AD5426" t="s">
        <v>43</v>
      </c>
      <c r="AE5426" t="s">
        <v>43</v>
      </c>
      <c r="AF5426" t="s">
        <v>43</v>
      </c>
      <c r="AG5426" t="s">
        <v>43</v>
      </c>
      <c r="AH5426" t="s">
        <v>43</v>
      </c>
      <c r="AI5426" t="s">
        <v>43</v>
      </c>
      <c r="AJ5426" t="s">
        <v>43</v>
      </c>
      <c r="AK5426" t="s">
        <v>43</v>
      </c>
      <c r="AL5426" t="s">
        <v>43</v>
      </c>
      <c r="AM5426" t="s">
        <v>43</v>
      </c>
      <c r="AN5426" t="str">
        <f>HYPERLINK("https://www.google.com/maps?q=10.83219624,79.84008789","Open Location")</f>
        <v>Open Location</v>
      </c>
    </row>
    <row r="5427" spans="1:40" x14ac:dyDescent="0.3">
      <c r="A5427" s="1">
        <v>46210.371180555558</v>
      </c>
      <c r="B5427" t="s">
        <v>40</v>
      </c>
      <c r="C5427" t="s">
        <v>41</v>
      </c>
      <c r="D5427" s="1">
        <v>46210.374131944445</v>
      </c>
      <c r="E5427" t="s">
        <v>42</v>
      </c>
      <c r="F5427" t="s">
        <v>43</v>
      </c>
      <c r="G5427" t="s">
        <v>43</v>
      </c>
      <c r="H5427" t="s">
        <v>43</v>
      </c>
      <c r="I5427" t="s">
        <v>3011</v>
      </c>
      <c r="J5427" t="s">
        <v>43</v>
      </c>
      <c r="K5427" t="s">
        <v>43</v>
      </c>
      <c r="L5427" t="s">
        <v>43</v>
      </c>
      <c r="M5427" t="s">
        <v>43</v>
      </c>
      <c r="N5427" t="s">
        <v>45</v>
      </c>
      <c r="O5427" t="s">
        <v>43</v>
      </c>
      <c r="P5427" t="s">
        <v>43</v>
      </c>
      <c r="Q5427" t="s">
        <v>43</v>
      </c>
      <c r="R5427" t="s">
        <v>43</v>
      </c>
      <c r="S5427">
        <v>0</v>
      </c>
      <c r="T5427">
        <v>-40</v>
      </c>
      <c r="U5427">
        <v>45</v>
      </c>
      <c r="V5427">
        <v>0</v>
      </c>
      <c r="W5427" t="s">
        <v>43</v>
      </c>
      <c r="X5427" t="s">
        <v>43</v>
      </c>
      <c r="Y5427" t="s">
        <v>43</v>
      </c>
      <c r="Z5427" t="s">
        <v>43</v>
      </c>
      <c r="AA5427" t="s">
        <v>43</v>
      </c>
      <c r="AB5427" t="s">
        <v>43</v>
      </c>
      <c r="AC5427" t="s">
        <v>43</v>
      </c>
      <c r="AD5427" t="s">
        <v>43</v>
      </c>
      <c r="AE5427" t="s">
        <v>43</v>
      </c>
      <c r="AF5427" t="s">
        <v>43</v>
      </c>
      <c r="AG5427" t="s">
        <v>43</v>
      </c>
      <c r="AH5427" t="s">
        <v>43</v>
      </c>
      <c r="AI5427" t="s">
        <v>43</v>
      </c>
      <c r="AJ5427" t="s">
        <v>43</v>
      </c>
      <c r="AK5427" t="s">
        <v>43</v>
      </c>
      <c r="AL5427" t="s">
        <v>43</v>
      </c>
      <c r="AM5427" t="s">
        <v>43</v>
      </c>
      <c r="AN5427" t="str">
        <f>HYPERLINK("https://www.google.com/maps?q=10.832201,79.84008026","Open Location")</f>
        <v>Open Location</v>
      </c>
    </row>
    <row r="5428" spans="1:40" x14ac:dyDescent="0.3">
      <c r="A5428" s="1">
        <v>46210.371064814812</v>
      </c>
      <c r="B5428" t="s">
        <v>40</v>
      </c>
      <c r="C5428" t="s">
        <v>41</v>
      </c>
      <c r="D5428" s="1">
        <v>46210.374212962961</v>
      </c>
      <c r="E5428" t="s">
        <v>42</v>
      </c>
      <c r="F5428" t="s">
        <v>43</v>
      </c>
      <c r="G5428" t="s">
        <v>43</v>
      </c>
      <c r="H5428" t="s">
        <v>43</v>
      </c>
      <c r="I5428" t="s">
        <v>3073</v>
      </c>
      <c r="J5428" t="s">
        <v>43</v>
      </c>
      <c r="K5428" t="s">
        <v>43</v>
      </c>
      <c r="L5428" t="s">
        <v>43</v>
      </c>
      <c r="M5428" t="s">
        <v>43</v>
      </c>
      <c r="N5428" t="s">
        <v>45</v>
      </c>
      <c r="O5428" t="s">
        <v>43</v>
      </c>
      <c r="P5428" t="s">
        <v>43</v>
      </c>
      <c r="Q5428" t="s">
        <v>43</v>
      </c>
      <c r="R5428" t="s">
        <v>43</v>
      </c>
      <c r="S5428">
        <v>0</v>
      </c>
      <c r="T5428">
        <v>-40</v>
      </c>
      <c r="U5428">
        <v>46</v>
      </c>
      <c r="V5428">
        <v>0</v>
      </c>
      <c r="W5428" t="s">
        <v>43</v>
      </c>
      <c r="X5428" t="s">
        <v>43</v>
      </c>
      <c r="Y5428" t="s">
        <v>43</v>
      </c>
      <c r="Z5428" t="s">
        <v>43</v>
      </c>
      <c r="AA5428" t="s">
        <v>43</v>
      </c>
      <c r="AB5428" t="s">
        <v>43</v>
      </c>
      <c r="AC5428" t="s">
        <v>43</v>
      </c>
      <c r="AD5428" t="s">
        <v>43</v>
      </c>
      <c r="AE5428" t="s">
        <v>43</v>
      </c>
      <c r="AF5428" t="s">
        <v>43</v>
      </c>
      <c r="AG5428" t="s">
        <v>43</v>
      </c>
      <c r="AH5428" t="s">
        <v>43</v>
      </c>
      <c r="AI5428" t="s">
        <v>43</v>
      </c>
      <c r="AJ5428" t="s">
        <v>43</v>
      </c>
      <c r="AK5428" t="s">
        <v>43</v>
      </c>
      <c r="AL5428" t="s">
        <v>43</v>
      </c>
      <c r="AM5428" t="s">
        <v>43</v>
      </c>
      <c r="AN5428" t="str">
        <f>HYPERLINK("https://www.google.com/maps?q=10.83220768,79.84007263","Open Location")</f>
        <v>Open Location</v>
      </c>
    </row>
    <row r="5429" spans="1:40" x14ac:dyDescent="0.3">
      <c r="A5429" s="1">
        <v>46210.370949074073</v>
      </c>
      <c r="B5429" t="s">
        <v>40</v>
      </c>
      <c r="C5429" t="s">
        <v>41</v>
      </c>
      <c r="D5429" s="1">
        <v>46210.373807870368</v>
      </c>
      <c r="E5429" t="s">
        <v>42</v>
      </c>
      <c r="F5429" t="s">
        <v>83</v>
      </c>
      <c r="G5429">
        <v>0</v>
      </c>
      <c r="H5429" t="s">
        <v>43</v>
      </c>
      <c r="I5429" t="s">
        <v>3074</v>
      </c>
      <c r="J5429">
        <v>61</v>
      </c>
      <c r="K5429">
        <v>2</v>
      </c>
      <c r="L5429">
        <v>98</v>
      </c>
      <c r="M5429">
        <v>629.59997558999999</v>
      </c>
      <c r="N5429" t="s">
        <v>81</v>
      </c>
      <c r="O5429" t="s">
        <v>82</v>
      </c>
      <c r="P5429">
        <v>125</v>
      </c>
      <c r="Q5429" t="s">
        <v>82</v>
      </c>
      <c r="R5429">
        <v>0</v>
      </c>
      <c r="S5429">
        <v>0</v>
      </c>
      <c r="T5429">
        <v>-40</v>
      </c>
      <c r="U5429">
        <v>46</v>
      </c>
      <c r="V5429">
        <v>0</v>
      </c>
      <c r="W5429">
        <v>29</v>
      </c>
      <c r="X5429">
        <v>29</v>
      </c>
      <c r="Y5429">
        <v>1</v>
      </c>
      <c r="Z5429">
        <v>1</v>
      </c>
      <c r="AA5429">
        <v>27</v>
      </c>
      <c r="AB5429">
        <v>2</v>
      </c>
      <c r="AC5429">
        <v>2</v>
      </c>
      <c r="AD5429">
        <v>3.28600001</v>
      </c>
      <c r="AE5429">
        <v>1</v>
      </c>
      <c r="AF5429">
        <v>16</v>
      </c>
      <c r="AG5429">
        <v>3.2820000600000001</v>
      </c>
      <c r="AH5429">
        <v>2</v>
      </c>
      <c r="AI5429">
        <v>22</v>
      </c>
      <c r="AJ5429" t="s">
        <v>43</v>
      </c>
      <c r="AK5429" t="s">
        <v>43</v>
      </c>
      <c r="AL5429" t="s">
        <v>43</v>
      </c>
      <c r="AM5429" t="s">
        <v>43</v>
      </c>
      <c r="AN5429" t="str">
        <f>HYPERLINK("https://www.google.com/maps?q=10.83220673,79.84008026","Open Location")</f>
        <v>Open Location</v>
      </c>
    </row>
    <row r="5430" spans="1:40" x14ac:dyDescent="0.3">
      <c r="A5430" s="1">
        <v>46210.370833333334</v>
      </c>
      <c r="B5430" t="s">
        <v>40</v>
      </c>
      <c r="C5430" t="s">
        <v>41</v>
      </c>
      <c r="D5430" s="1">
        <v>46210.373692129629</v>
      </c>
      <c r="E5430" t="s">
        <v>42</v>
      </c>
      <c r="F5430" t="s">
        <v>83</v>
      </c>
      <c r="G5430">
        <v>3</v>
      </c>
      <c r="H5430">
        <v>33085</v>
      </c>
      <c r="I5430" t="s">
        <v>43</v>
      </c>
      <c r="J5430">
        <v>61</v>
      </c>
      <c r="K5430">
        <v>44</v>
      </c>
      <c r="L5430">
        <v>98</v>
      </c>
      <c r="M5430">
        <v>628.29998779000005</v>
      </c>
      <c r="N5430" t="s">
        <v>87</v>
      </c>
      <c r="O5430" t="s">
        <v>86</v>
      </c>
      <c r="P5430">
        <v>127</v>
      </c>
      <c r="Q5430">
        <v>2</v>
      </c>
      <c r="R5430">
        <v>3</v>
      </c>
      <c r="S5430">
        <v>710</v>
      </c>
      <c r="T5430">
        <v>-40</v>
      </c>
      <c r="U5430">
        <v>48</v>
      </c>
      <c r="V5430">
        <v>320</v>
      </c>
      <c r="W5430">
        <v>29</v>
      </c>
      <c r="X5430">
        <v>29</v>
      </c>
      <c r="Y5430">
        <v>1</v>
      </c>
      <c r="Z5430">
        <v>1</v>
      </c>
      <c r="AA5430">
        <v>27</v>
      </c>
      <c r="AB5430">
        <v>2</v>
      </c>
      <c r="AC5430">
        <v>2</v>
      </c>
      <c r="AD5430">
        <v>3.2839999199999999</v>
      </c>
      <c r="AE5430">
        <v>1</v>
      </c>
      <c r="AF5430">
        <v>16</v>
      </c>
      <c r="AG5430">
        <v>3.2790000400000001</v>
      </c>
      <c r="AH5430">
        <v>7</v>
      </c>
      <c r="AI5430">
        <v>1</v>
      </c>
      <c r="AJ5430">
        <v>1</v>
      </c>
      <c r="AK5430">
        <v>17</v>
      </c>
      <c r="AL5430">
        <v>38</v>
      </c>
      <c r="AM5430" t="s">
        <v>43</v>
      </c>
      <c r="AN5430" t="s">
        <v>43</v>
      </c>
    </row>
    <row r="5431" spans="1:40" x14ac:dyDescent="0.3">
      <c r="A5431" s="1">
        <v>46210.370717592596</v>
      </c>
      <c r="B5431" t="s">
        <v>40</v>
      </c>
      <c r="C5431" t="s">
        <v>41</v>
      </c>
      <c r="D5431" s="1">
        <v>46210.373715277776</v>
      </c>
      <c r="E5431" t="s">
        <v>42</v>
      </c>
      <c r="F5431" t="s">
        <v>83</v>
      </c>
      <c r="G5431">
        <v>2</v>
      </c>
      <c r="H5431">
        <v>33085</v>
      </c>
      <c r="I5431" t="s">
        <v>3075</v>
      </c>
      <c r="J5431">
        <v>61</v>
      </c>
      <c r="K5431">
        <v>39</v>
      </c>
      <c r="L5431">
        <v>98</v>
      </c>
      <c r="M5431">
        <v>628.59997558999999</v>
      </c>
      <c r="N5431" t="s">
        <v>87</v>
      </c>
      <c r="O5431" t="s">
        <v>86</v>
      </c>
      <c r="P5431">
        <v>127</v>
      </c>
      <c r="Q5431">
        <v>2</v>
      </c>
      <c r="R5431">
        <v>8</v>
      </c>
      <c r="S5431">
        <v>770</v>
      </c>
      <c r="T5431">
        <v>-40</v>
      </c>
      <c r="U5431">
        <v>46</v>
      </c>
      <c r="V5431">
        <v>160</v>
      </c>
      <c r="W5431">
        <v>29</v>
      </c>
      <c r="X5431">
        <v>29</v>
      </c>
      <c r="Y5431">
        <v>1</v>
      </c>
      <c r="Z5431">
        <v>1</v>
      </c>
      <c r="AA5431">
        <v>27</v>
      </c>
      <c r="AB5431">
        <v>2</v>
      </c>
      <c r="AC5431">
        <v>2</v>
      </c>
      <c r="AD5431">
        <v>3.27699995</v>
      </c>
      <c r="AE5431">
        <v>1</v>
      </c>
      <c r="AF5431">
        <v>16</v>
      </c>
      <c r="AG5431">
        <v>3.27099991</v>
      </c>
      <c r="AH5431">
        <v>4</v>
      </c>
      <c r="AI5431">
        <v>17</v>
      </c>
      <c r="AJ5431">
        <v>1</v>
      </c>
      <c r="AK5431">
        <v>18</v>
      </c>
      <c r="AL5431">
        <v>38</v>
      </c>
      <c r="AM5431" t="s">
        <v>43</v>
      </c>
      <c r="AN5431" t="str">
        <f>HYPERLINK("https://www.google.com/maps?q=10.83219719,79.8400116","Open Location")</f>
        <v>Open Location</v>
      </c>
    </row>
    <row r="5432" spans="1:40" x14ac:dyDescent="0.3">
      <c r="A5432" s="1">
        <v>46210.37060185185</v>
      </c>
      <c r="B5432" t="s">
        <v>40</v>
      </c>
      <c r="C5432" t="s">
        <v>41</v>
      </c>
      <c r="D5432" s="1">
        <v>46210.373715277776</v>
      </c>
      <c r="E5432" t="s">
        <v>42</v>
      </c>
      <c r="F5432" t="s">
        <v>83</v>
      </c>
      <c r="G5432">
        <v>7</v>
      </c>
      <c r="H5432">
        <v>33085</v>
      </c>
      <c r="I5432" t="s">
        <v>3076</v>
      </c>
      <c r="J5432">
        <v>61</v>
      </c>
      <c r="K5432">
        <v>10</v>
      </c>
      <c r="L5432">
        <v>98</v>
      </c>
      <c r="M5432">
        <v>629.20001220999995</v>
      </c>
      <c r="N5432" t="s">
        <v>87</v>
      </c>
      <c r="O5432" t="s">
        <v>86</v>
      </c>
      <c r="P5432">
        <v>128</v>
      </c>
      <c r="Q5432">
        <v>3</v>
      </c>
      <c r="R5432">
        <v>0</v>
      </c>
      <c r="S5432">
        <v>958</v>
      </c>
      <c r="T5432">
        <v>-40</v>
      </c>
      <c r="U5432">
        <v>46</v>
      </c>
      <c r="V5432">
        <v>5</v>
      </c>
      <c r="W5432">
        <v>29</v>
      </c>
      <c r="X5432">
        <v>29</v>
      </c>
      <c r="Y5432">
        <v>1</v>
      </c>
      <c r="Z5432">
        <v>1</v>
      </c>
      <c r="AA5432">
        <v>27</v>
      </c>
      <c r="AB5432">
        <v>2</v>
      </c>
      <c r="AC5432">
        <v>2</v>
      </c>
      <c r="AD5432">
        <v>3.28299999</v>
      </c>
      <c r="AE5432">
        <v>1</v>
      </c>
      <c r="AF5432">
        <v>16</v>
      </c>
      <c r="AG5432">
        <v>3.2780001200000002</v>
      </c>
      <c r="AH5432">
        <v>4</v>
      </c>
      <c r="AI5432">
        <v>17</v>
      </c>
      <c r="AJ5432">
        <v>1</v>
      </c>
      <c r="AK5432">
        <v>18</v>
      </c>
      <c r="AL5432">
        <v>38</v>
      </c>
      <c r="AM5432" t="s">
        <v>43</v>
      </c>
      <c r="AN5432" t="str">
        <f>HYPERLINK("https://www.google.com/maps?q=10.8321209,79.83989716","Open Location")</f>
        <v>Open Location</v>
      </c>
    </row>
    <row r="5433" spans="1:40" x14ac:dyDescent="0.3">
      <c r="A5433" s="1">
        <v>46210.370486111111</v>
      </c>
      <c r="B5433" t="s">
        <v>40</v>
      </c>
      <c r="C5433" t="s">
        <v>41</v>
      </c>
      <c r="D5433" s="1">
        <v>46210.373298611114</v>
      </c>
      <c r="E5433" t="s">
        <v>42</v>
      </c>
      <c r="F5433" t="s">
        <v>83</v>
      </c>
      <c r="G5433">
        <v>9</v>
      </c>
      <c r="H5433">
        <v>33085</v>
      </c>
      <c r="I5433" t="s">
        <v>3077</v>
      </c>
      <c r="J5433">
        <v>61</v>
      </c>
      <c r="K5433">
        <v>47</v>
      </c>
      <c r="L5433">
        <v>98</v>
      </c>
      <c r="M5433">
        <v>627.79998779000005</v>
      </c>
      <c r="N5433" t="s">
        <v>87</v>
      </c>
      <c r="O5433" t="s">
        <v>86</v>
      </c>
      <c r="P5433">
        <v>128</v>
      </c>
      <c r="Q5433">
        <v>3</v>
      </c>
      <c r="R5433">
        <v>23</v>
      </c>
      <c r="S5433">
        <v>1151</v>
      </c>
      <c r="T5433">
        <v>-40</v>
      </c>
      <c r="U5433">
        <v>47</v>
      </c>
      <c r="V5433">
        <v>220</v>
      </c>
      <c r="W5433">
        <v>29</v>
      </c>
      <c r="X5433">
        <v>29</v>
      </c>
      <c r="Y5433">
        <v>1</v>
      </c>
      <c r="Z5433">
        <v>1</v>
      </c>
      <c r="AA5433">
        <v>27</v>
      </c>
      <c r="AB5433">
        <v>2</v>
      </c>
      <c r="AC5433">
        <v>2</v>
      </c>
      <c r="AD5433">
        <v>3.2780001200000002</v>
      </c>
      <c r="AE5433">
        <v>1</v>
      </c>
      <c r="AF5433">
        <v>16</v>
      </c>
      <c r="AG5433">
        <v>3.2720000699999998</v>
      </c>
      <c r="AH5433">
        <v>4</v>
      </c>
      <c r="AI5433">
        <v>17</v>
      </c>
      <c r="AJ5433">
        <v>1</v>
      </c>
      <c r="AK5433">
        <v>17</v>
      </c>
      <c r="AL5433">
        <v>38</v>
      </c>
      <c r="AM5433" t="s">
        <v>43</v>
      </c>
      <c r="AN5433" t="str">
        <f>HYPERLINK("https://www.google.com/maps?q=10.83185005,79.83988953","Open Location")</f>
        <v>Open Location</v>
      </c>
    </row>
    <row r="5434" spans="1:40" x14ac:dyDescent="0.3">
      <c r="A5434" s="1">
        <v>46210.370370370372</v>
      </c>
      <c r="B5434" t="s">
        <v>40</v>
      </c>
      <c r="C5434" t="s">
        <v>41</v>
      </c>
      <c r="D5434" s="1">
        <v>46210.373263888891</v>
      </c>
      <c r="E5434" t="s">
        <v>42</v>
      </c>
      <c r="F5434" t="s">
        <v>83</v>
      </c>
      <c r="G5434">
        <v>10</v>
      </c>
      <c r="H5434" t="s">
        <v>43</v>
      </c>
      <c r="I5434" t="s">
        <v>3078</v>
      </c>
      <c r="J5434">
        <v>61</v>
      </c>
      <c r="K5434">
        <v>48</v>
      </c>
      <c r="L5434">
        <v>98</v>
      </c>
      <c r="M5434">
        <v>628</v>
      </c>
      <c r="N5434" t="s">
        <v>87</v>
      </c>
      <c r="O5434" t="s">
        <v>86</v>
      </c>
      <c r="P5434">
        <v>128</v>
      </c>
      <c r="Q5434">
        <v>3</v>
      </c>
      <c r="R5434">
        <v>28</v>
      </c>
      <c r="S5434">
        <v>1205</v>
      </c>
      <c r="T5434">
        <v>-40</v>
      </c>
      <c r="U5434">
        <v>47</v>
      </c>
      <c r="V5434">
        <v>220</v>
      </c>
      <c r="W5434">
        <v>29</v>
      </c>
      <c r="X5434">
        <v>29</v>
      </c>
      <c r="Y5434">
        <v>1</v>
      </c>
      <c r="Z5434">
        <v>1</v>
      </c>
      <c r="AA5434">
        <v>27</v>
      </c>
      <c r="AB5434">
        <v>2</v>
      </c>
      <c r="AC5434">
        <v>2</v>
      </c>
      <c r="AD5434">
        <v>3.2760000200000001</v>
      </c>
      <c r="AE5434">
        <v>1</v>
      </c>
      <c r="AF5434">
        <v>16</v>
      </c>
      <c r="AG5434">
        <v>3.2690000499999998</v>
      </c>
      <c r="AH5434">
        <v>4</v>
      </c>
      <c r="AI5434">
        <v>24</v>
      </c>
      <c r="AJ5434">
        <v>1</v>
      </c>
      <c r="AK5434">
        <v>17</v>
      </c>
      <c r="AL5434">
        <v>38</v>
      </c>
      <c r="AM5434" t="s">
        <v>43</v>
      </c>
      <c r="AN5434" t="str">
        <f>HYPERLINK("https://www.google.com/maps?q=10.83167362,79.84009552","Open Location")</f>
        <v>Open Location</v>
      </c>
    </row>
    <row r="5435" spans="1:40" x14ac:dyDescent="0.3">
      <c r="A5435" s="1">
        <v>46210.370254629626</v>
      </c>
      <c r="B5435" t="s">
        <v>40</v>
      </c>
      <c r="C5435" t="s">
        <v>41</v>
      </c>
      <c r="D5435" s="1">
        <v>46210.373136574075</v>
      </c>
      <c r="E5435" t="s">
        <v>42</v>
      </c>
      <c r="F5435" t="s">
        <v>83</v>
      </c>
      <c r="G5435">
        <v>9</v>
      </c>
      <c r="H5435">
        <v>33085</v>
      </c>
      <c r="I5435" t="s">
        <v>43</v>
      </c>
      <c r="J5435">
        <v>61</v>
      </c>
      <c r="K5435">
        <v>35</v>
      </c>
      <c r="L5435">
        <v>98</v>
      </c>
      <c r="M5435">
        <v>628.59997558999999</v>
      </c>
      <c r="N5435" t="s">
        <v>87</v>
      </c>
      <c r="O5435" t="s">
        <v>86</v>
      </c>
      <c r="P5435">
        <v>128</v>
      </c>
      <c r="Q5435">
        <v>3</v>
      </c>
      <c r="R5435">
        <v>19</v>
      </c>
      <c r="S5435">
        <v>1204</v>
      </c>
      <c r="T5435">
        <v>-40</v>
      </c>
      <c r="U5435">
        <v>47</v>
      </c>
      <c r="V5435">
        <v>160</v>
      </c>
      <c r="W5435">
        <v>29</v>
      </c>
      <c r="X5435">
        <v>29</v>
      </c>
      <c r="Y5435">
        <v>1</v>
      </c>
      <c r="Z5435">
        <v>1</v>
      </c>
      <c r="AA5435">
        <v>27</v>
      </c>
      <c r="AB5435">
        <v>2</v>
      </c>
      <c r="AC5435">
        <v>2</v>
      </c>
      <c r="AD5435">
        <v>3.2790000400000001</v>
      </c>
      <c r="AE5435">
        <v>1</v>
      </c>
      <c r="AF5435">
        <v>16</v>
      </c>
      <c r="AG5435">
        <v>3.2730000000000001</v>
      </c>
      <c r="AH5435">
        <v>6</v>
      </c>
      <c r="AI5435">
        <v>24</v>
      </c>
      <c r="AJ5435">
        <v>1</v>
      </c>
      <c r="AK5435">
        <v>17</v>
      </c>
      <c r="AL5435">
        <v>38</v>
      </c>
      <c r="AM5435" t="s">
        <v>43</v>
      </c>
      <c r="AN5435" t="s">
        <v>43</v>
      </c>
    </row>
    <row r="5436" spans="1:40" x14ac:dyDescent="0.3">
      <c r="A5436" s="1">
        <v>46210.370138888888</v>
      </c>
      <c r="B5436" t="s">
        <v>40</v>
      </c>
      <c r="C5436" t="s">
        <v>41</v>
      </c>
      <c r="D5436" s="1">
        <v>46210.37296296296</v>
      </c>
      <c r="E5436" t="s">
        <v>42</v>
      </c>
      <c r="F5436" t="s">
        <v>83</v>
      </c>
      <c r="G5436">
        <v>9</v>
      </c>
      <c r="H5436">
        <v>33084</v>
      </c>
      <c r="I5436" t="s">
        <v>3079</v>
      </c>
      <c r="J5436">
        <v>61</v>
      </c>
      <c r="K5436">
        <v>23</v>
      </c>
      <c r="L5436">
        <v>98</v>
      </c>
      <c r="M5436">
        <v>629.09997558999999</v>
      </c>
      <c r="N5436" t="s">
        <v>87</v>
      </c>
      <c r="O5436" t="s">
        <v>86</v>
      </c>
      <c r="P5436">
        <v>128</v>
      </c>
      <c r="Q5436">
        <v>3</v>
      </c>
      <c r="R5436">
        <v>7</v>
      </c>
      <c r="S5436">
        <v>1168</v>
      </c>
      <c r="T5436">
        <v>-40</v>
      </c>
      <c r="U5436">
        <v>46</v>
      </c>
      <c r="V5436">
        <v>100</v>
      </c>
      <c r="W5436">
        <v>29</v>
      </c>
      <c r="X5436">
        <v>29</v>
      </c>
      <c r="Y5436">
        <v>1</v>
      </c>
      <c r="Z5436">
        <v>1</v>
      </c>
      <c r="AA5436">
        <v>27</v>
      </c>
      <c r="AB5436">
        <v>2</v>
      </c>
      <c r="AC5436">
        <v>2</v>
      </c>
      <c r="AD5436">
        <v>3.28299999</v>
      </c>
      <c r="AE5436">
        <v>1</v>
      </c>
      <c r="AF5436">
        <v>16</v>
      </c>
      <c r="AG5436">
        <v>3.2780001200000002</v>
      </c>
      <c r="AH5436">
        <v>7</v>
      </c>
      <c r="AI5436">
        <v>1</v>
      </c>
      <c r="AJ5436">
        <v>1</v>
      </c>
      <c r="AK5436">
        <v>17</v>
      </c>
      <c r="AL5436">
        <v>38</v>
      </c>
      <c r="AM5436" t="s">
        <v>43</v>
      </c>
      <c r="AN5436" t="str">
        <f>HYPERLINK("https://www.google.com/maps?q=10.83187008,79.84026337","Open Location")</f>
        <v>Open Location</v>
      </c>
    </row>
    <row r="5437" spans="1:40" x14ac:dyDescent="0.3">
      <c r="A5437" s="1">
        <v>46210.370023148149</v>
      </c>
      <c r="B5437" t="s">
        <v>40</v>
      </c>
      <c r="C5437" t="s">
        <v>41</v>
      </c>
      <c r="D5437" s="1">
        <v>46210.372766203705</v>
      </c>
      <c r="E5437" t="s">
        <v>42</v>
      </c>
      <c r="F5437" t="s">
        <v>83</v>
      </c>
      <c r="G5437">
        <v>9</v>
      </c>
      <c r="H5437">
        <v>33084</v>
      </c>
      <c r="I5437" t="s">
        <v>3080</v>
      </c>
      <c r="J5437">
        <v>61</v>
      </c>
      <c r="K5437">
        <v>-3</v>
      </c>
      <c r="L5437">
        <v>98</v>
      </c>
      <c r="M5437">
        <v>629.90002441000001</v>
      </c>
      <c r="N5437" t="s">
        <v>87</v>
      </c>
      <c r="O5437" t="s">
        <v>86</v>
      </c>
      <c r="P5437">
        <v>128</v>
      </c>
      <c r="Q5437">
        <v>3</v>
      </c>
      <c r="R5437">
        <v>-9</v>
      </c>
      <c r="S5437">
        <v>1296</v>
      </c>
      <c r="T5437">
        <v>-40</v>
      </c>
      <c r="U5437">
        <v>46</v>
      </c>
      <c r="V5437">
        <v>-68</v>
      </c>
      <c r="W5437">
        <v>29</v>
      </c>
      <c r="X5437">
        <v>29</v>
      </c>
      <c r="Y5437">
        <v>1</v>
      </c>
      <c r="Z5437">
        <v>1</v>
      </c>
      <c r="AA5437">
        <v>27</v>
      </c>
      <c r="AB5437">
        <v>2</v>
      </c>
      <c r="AC5437">
        <v>2</v>
      </c>
      <c r="AD5437">
        <v>3.28800011</v>
      </c>
      <c r="AE5437">
        <v>1</v>
      </c>
      <c r="AF5437">
        <v>16</v>
      </c>
      <c r="AG5437">
        <v>3.2839999199999999</v>
      </c>
      <c r="AH5437">
        <v>2</v>
      </c>
      <c r="AI5437">
        <v>6</v>
      </c>
      <c r="AJ5437">
        <v>1</v>
      </c>
      <c r="AK5437">
        <v>17</v>
      </c>
      <c r="AL5437">
        <v>38</v>
      </c>
      <c r="AM5437" t="s">
        <v>43</v>
      </c>
      <c r="AN5437" t="str">
        <f>HYPERLINK("https://www.google.com/maps?q=10.83215714,79.84028625","Open Location")</f>
        <v>Open Location</v>
      </c>
    </row>
    <row r="5438" spans="1:40" x14ac:dyDescent="0.3">
      <c r="A5438" s="1">
        <v>46210.36990740741</v>
      </c>
      <c r="B5438" t="s">
        <v>40</v>
      </c>
      <c r="C5438" t="s">
        <v>41</v>
      </c>
      <c r="D5438" s="1">
        <v>46210.372777777775</v>
      </c>
      <c r="E5438" t="s">
        <v>42</v>
      </c>
      <c r="F5438" t="s">
        <v>83</v>
      </c>
      <c r="G5438">
        <v>9</v>
      </c>
      <c r="H5438">
        <v>33084</v>
      </c>
      <c r="I5438" t="s">
        <v>3081</v>
      </c>
      <c r="J5438">
        <v>61</v>
      </c>
      <c r="K5438">
        <v>52</v>
      </c>
      <c r="L5438">
        <v>98</v>
      </c>
      <c r="M5438">
        <v>627.29998779000005</v>
      </c>
      <c r="N5438" t="s">
        <v>87</v>
      </c>
      <c r="O5438" t="s">
        <v>86</v>
      </c>
      <c r="P5438">
        <v>128</v>
      </c>
      <c r="Q5438">
        <v>3</v>
      </c>
      <c r="R5438">
        <v>30</v>
      </c>
      <c r="S5438">
        <v>1180</v>
      </c>
      <c r="T5438">
        <v>-40</v>
      </c>
      <c r="U5438">
        <v>48</v>
      </c>
      <c r="V5438">
        <v>240</v>
      </c>
      <c r="W5438">
        <v>29</v>
      </c>
      <c r="X5438">
        <v>29</v>
      </c>
      <c r="Y5438">
        <v>1</v>
      </c>
      <c r="Z5438">
        <v>1</v>
      </c>
      <c r="AA5438">
        <v>27</v>
      </c>
      <c r="AB5438">
        <v>2</v>
      </c>
      <c r="AC5438">
        <v>2</v>
      </c>
      <c r="AD5438">
        <v>3.2780001200000002</v>
      </c>
      <c r="AE5438">
        <v>5</v>
      </c>
      <c r="AF5438">
        <v>38</v>
      </c>
      <c r="AG5438">
        <v>3.27099991</v>
      </c>
      <c r="AH5438">
        <v>4</v>
      </c>
      <c r="AI5438">
        <v>24</v>
      </c>
      <c r="AJ5438">
        <v>1</v>
      </c>
      <c r="AK5438">
        <v>17</v>
      </c>
      <c r="AL5438">
        <v>37</v>
      </c>
      <c r="AM5438" t="s">
        <v>43</v>
      </c>
      <c r="AN5438" t="str">
        <f>HYPERLINK("https://www.google.com/maps?q=10.83246231,79.84030914","Open Location")</f>
        <v>Open Location</v>
      </c>
    </row>
    <row r="5439" spans="1:40" x14ac:dyDescent="0.3">
      <c r="A5439" s="1">
        <v>46210.369791666664</v>
      </c>
      <c r="B5439" t="s">
        <v>40</v>
      </c>
      <c r="C5439" t="s">
        <v>41</v>
      </c>
      <c r="D5439" s="1">
        <v>46210.372881944444</v>
      </c>
      <c r="E5439" t="s">
        <v>42</v>
      </c>
      <c r="F5439" t="s">
        <v>83</v>
      </c>
      <c r="G5439">
        <v>7</v>
      </c>
      <c r="H5439">
        <v>33084</v>
      </c>
      <c r="I5439" t="s">
        <v>3082</v>
      </c>
      <c r="J5439">
        <v>62</v>
      </c>
      <c r="K5439">
        <v>5</v>
      </c>
      <c r="L5439">
        <v>98</v>
      </c>
      <c r="M5439">
        <v>630.40002441000001</v>
      </c>
      <c r="N5439" t="s">
        <v>87</v>
      </c>
      <c r="O5439" t="s">
        <v>86</v>
      </c>
      <c r="P5439">
        <v>128</v>
      </c>
      <c r="Q5439">
        <v>3</v>
      </c>
      <c r="R5439">
        <v>12</v>
      </c>
      <c r="S5439">
        <v>1021</v>
      </c>
      <c r="T5439">
        <v>-40</v>
      </c>
      <c r="U5439">
        <v>46</v>
      </c>
      <c r="V5439">
        <v>5</v>
      </c>
      <c r="W5439">
        <v>29</v>
      </c>
      <c r="X5439">
        <v>29</v>
      </c>
      <c r="Y5439">
        <v>1</v>
      </c>
      <c r="Z5439">
        <v>1</v>
      </c>
      <c r="AA5439">
        <v>27</v>
      </c>
      <c r="AB5439">
        <v>2</v>
      </c>
      <c r="AC5439">
        <v>2</v>
      </c>
      <c r="AD5439">
        <v>3.2809998999999999</v>
      </c>
      <c r="AE5439">
        <v>5</v>
      </c>
      <c r="AF5439">
        <v>38</v>
      </c>
      <c r="AG5439">
        <v>3.27399993</v>
      </c>
      <c r="AH5439">
        <v>7</v>
      </c>
      <c r="AI5439">
        <v>1</v>
      </c>
      <c r="AJ5439">
        <v>1</v>
      </c>
      <c r="AK5439">
        <v>17</v>
      </c>
      <c r="AL5439">
        <v>37</v>
      </c>
      <c r="AM5439" t="s">
        <v>43</v>
      </c>
      <c r="AN5439" t="str">
        <f>HYPERLINK("https://www.google.com/maps?q=10.83271885,79.84037781","Open Location")</f>
        <v>Open Location</v>
      </c>
    </row>
    <row r="5440" spans="1:40" x14ac:dyDescent="0.3">
      <c r="A5440" s="1">
        <v>46210.369675925926</v>
      </c>
      <c r="B5440" t="s">
        <v>40</v>
      </c>
      <c r="C5440" t="s">
        <v>41</v>
      </c>
      <c r="D5440" s="1">
        <v>46210.372881944444</v>
      </c>
      <c r="E5440" t="s">
        <v>42</v>
      </c>
      <c r="F5440" t="s">
        <v>83</v>
      </c>
      <c r="G5440">
        <v>9</v>
      </c>
      <c r="H5440">
        <v>33084</v>
      </c>
      <c r="I5440" t="s">
        <v>3083</v>
      </c>
      <c r="J5440">
        <v>62</v>
      </c>
      <c r="K5440">
        <v>-5</v>
      </c>
      <c r="L5440">
        <v>98</v>
      </c>
      <c r="M5440">
        <v>630.20001220999995</v>
      </c>
      <c r="N5440" t="s">
        <v>87</v>
      </c>
      <c r="O5440" t="s">
        <v>86</v>
      </c>
      <c r="P5440">
        <v>128</v>
      </c>
      <c r="Q5440">
        <v>3</v>
      </c>
      <c r="R5440">
        <v>-6</v>
      </c>
      <c r="S5440">
        <v>1292</v>
      </c>
      <c r="T5440">
        <v>-40</v>
      </c>
      <c r="U5440">
        <v>46</v>
      </c>
      <c r="V5440">
        <v>-68</v>
      </c>
      <c r="W5440">
        <v>29</v>
      </c>
      <c r="X5440">
        <v>29</v>
      </c>
      <c r="Y5440">
        <v>1</v>
      </c>
      <c r="Z5440">
        <v>1</v>
      </c>
      <c r="AA5440">
        <v>27</v>
      </c>
      <c r="AB5440">
        <v>2</v>
      </c>
      <c r="AC5440">
        <v>2</v>
      </c>
      <c r="AD5440">
        <v>3.2820000600000001</v>
      </c>
      <c r="AE5440">
        <v>1</v>
      </c>
      <c r="AF5440">
        <v>16</v>
      </c>
      <c r="AG5440">
        <v>3.27699995</v>
      </c>
      <c r="AH5440">
        <v>4</v>
      </c>
      <c r="AI5440">
        <v>17</v>
      </c>
      <c r="AJ5440">
        <v>1</v>
      </c>
      <c r="AK5440">
        <v>17</v>
      </c>
      <c r="AL5440">
        <v>37</v>
      </c>
      <c r="AM5440" t="s">
        <v>43</v>
      </c>
      <c r="AN5440" t="str">
        <f>HYPERLINK("https://www.google.com/maps?q=10.83270645,79.84067535","Open Location")</f>
        <v>Open Location</v>
      </c>
    </row>
    <row r="5441" spans="1:40" x14ac:dyDescent="0.3">
      <c r="A5441" s="1">
        <v>46210.369560185187</v>
      </c>
      <c r="B5441" t="s">
        <v>40</v>
      </c>
      <c r="C5441" t="s">
        <v>41</v>
      </c>
      <c r="D5441" s="1">
        <v>46210.372731481482</v>
      </c>
      <c r="E5441" t="s">
        <v>42</v>
      </c>
      <c r="F5441" t="s">
        <v>83</v>
      </c>
      <c r="G5441">
        <v>10</v>
      </c>
      <c r="H5441">
        <v>33084</v>
      </c>
      <c r="I5441" t="s">
        <v>43</v>
      </c>
      <c r="J5441">
        <v>62</v>
      </c>
      <c r="K5441">
        <v>-6</v>
      </c>
      <c r="L5441">
        <v>98</v>
      </c>
      <c r="M5441">
        <v>630.59997558999999</v>
      </c>
      <c r="N5441" t="s">
        <v>87</v>
      </c>
      <c r="O5441" t="s">
        <v>86</v>
      </c>
      <c r="P5441">
        <v>128</v>
      </c>
      <c r="Q5441">
        <v>3</v>
      </c>
      <c r="R5441">
        <v>-10</v>
      </c>
      <c r="S5441">
        <v>1360</v>
      </c>
      <c r="T5441">
        <v>-40</v>
      </c>
      <c r="U5441">
        <v>46</v>
      </c>
      <c r="V5441">
        <v>-68</v>
      </c>
      <c r="W5441">
        <v>29</v>
      </c>
      <c r="X5441">
        <v>29</v>
      </c>
      <c r="Y5441">
        <v>1</v>
      </c>
      <c r="Z5441">
        <v>1</v>
      </c>
      <c r="AA5441">
        <v>27</v>
      </c>
      <c r="AB5441">
        <v>2</v>
      </c>
      <c r="AC5441">
        <v>2</v>
      </c>
      <c r="AD5441">
        <v>3.28900003</v>
      </c>
      <c r="AE5441">
        <v>1</v>
      </c>
      <c r="AF5441">
        <v>16</v>
      </c>
      <c r="AG5441">
        <v>3.2839999199999999</v>
      </c>
      <c r="AH5441">
        <v>5</v>
      </c>
      <c r="AI5441">
        <v>10</v>
      </c>
      <c r="AJ5441">
        <v>1</v>
      </c>
      <c r="AK5441">
        <v>17</v>
      </c>
      <c r="AL5441">
        <v>37</v>
      </c>
      <c r="AM5441" t="s">
        <v>43</v>
      </c>
      <c r="AN5441" t="s">
        <v>43</v>
      </c>
    </row>
    <row r="5442" spans="1:40" x14ac:dyDescent="0.3">
      <c r="A5442" s="1">
        <v>46210.369444444441</v>
      </c>
      <c r="B5442" t="s">
        <v>40</v>
      </c>
      <c r="C5442" t="s">
        <v>41</v>
      </c>
      <c r="D5442" s="1">
        <v>46210.372569444444</v>
      </c>
      <c r="E5442" t="s">
        <v>42</v>
      </c>
      <c r="F5442" t="s">
        <v>83</v>
      </c>
      <c r="G5442">
        <v>6</v>
      </c>
      <c r="H5442">
        <v>33084</v>
      </c>
      <c r="I5442" t="s">
        <v>3084</v>
      </c>
      <c r="J5442">
        <v>62</v>
      </c>
      <c r="K5442">
        <v>79</v>
      </c>
      <c r="L5442">
        <v>98</v>
      </c>
      <c r="M5442">
        <v>627.29998779000005</v>
      </c>
      <c r="N5442" t="s">
        <v>87</v>
      </c>
      <c r="O5442" t="s">
        <v>86</v>
      </c>
      <c r="P5442">
        <v>127</v>
      </c>
      <c r="Q5442">
        <v>2</v>
      </c>
      <c r="R5442">
        <v>45</v>
      </c>
      <c r="S5442">
        <v>890</v>
      </c>
      <c r="T5442">
        <v>-40</v>
      </c>
      <c r="U5442">
        <v>47</v>
      </c>
      <c r="V5442">
        <v>540</v>
      </c>
      <c r="W5442">
        <v>29</v>
      </c>
      <c r="X5442">
        <v>29</v>
      </c>
      <c r="Y5442">
        <v>1</v>
      </c>
      <c r="Z5442">
        <v>1</v>
      </c>
      <c r="AA5442">
        <v>27</v>
      </c>
      <c r="AB5442">
        <v>2</v>
      </c>
      <c r="AC5442">
        <v>2</v>
      </c>
      <c r="AD5442">
        <v>3.2750001000000002</v>
      </c>
      <c r="AE5442">
        <v>5</v>
      </c>
      <c r="AF5442">
        <v>38</v>
      </c>
      <c r="AG5442">
        <v>3.2660000299999998</v>
      </c>
      <c r="AH5442">
        <v>4</v>
      </c>
      <c r="AI5442">
        <v>17</v>
      </c>
      <c r="AJ5442">
        <v>1</v>
      </c>
      <c r="AK5442">
        <v>17</v>
      </c>
      <c r="AL5442">
        <v>37</v>
      </c>
      <c r="AM5442" t="s">
        <v>43</v>
      </c>
      <c r="AN5442" t="str">
        <f>HYPERLINK("https://www.google.com/maps?q=10.8326292,79.84098053","Open Location")</f>
        <v>Open Location</v>
      </c>
    </row>
    <row r="5443" spans="1:40" x14ac:dyDescent="0.3">
      <c r="A5443" s="1">
        <v>46210.369328703702</v>
      </c>
      <c r="B5443" t="s">
        <v>40</v>
      </c>
      <c r="C5443" t="s">
        <v>41</v>
      </c>
      <c r="D5443" s="1">
        <v>46210.372106481482</v>
      </c>
      <c r="E5443" t="s">
        <v>42</v>
      </c>
      <c r="F5443" t="s">
        <v>83</v>
      </c>
      <c r="G5443">
        <v>0</v>
      </c>
      <c r="H5443">
        <v>33084</v>
      </c>
      <c r="I5443" t="s">
        <v>3085</v>
      </c>
      <c r="J5443">
        <v>62</v>
      </c>
      <c r="K5443">
        <v>2</v>
      </c>
      <c r="L5443">
        <v>98</v>
      </c>
      <c r="M5443">
        <v>630.5</v>
      </c>
      <c r="N5443" t="s">
        <v>85</v>
      </c>
      <c r="O5443" t="s">
        <v>86</v>
      </c>
      <c r="P5443">
        <v>127</v>
      </c>
      <c r="Q5443">
        <v>2</v>
      </c>
      <c r="R5443">
        <v>0</v>
      </c>
      <c r="S5443">
        <v>0</v>
      </c>
      <c r="T5443">
        <v>-40</v>
      </c>
      <c r="U5443">
        <v>45</v>
      </c>
      <c r="V5443">
        <v>-11</v>
      </c>
      <c r="W5443">
        <v>29</v>
      </c>
      <c r="X5443">
        <v>29</v>
      </c>
      <c r="Y5443">
        <v>1</v>
      </c>
      <c r="Z5443">
        <v>1</v>
      </c>
      <c r="AA5443">
        <v>27</v>
      </c>
      <c r="AB5443">
        <v>2</v>
      </c>
      <c r="AC5443">
        <v>2</v>
      </c>
      <c r="AD5443">
        <v>3.2899999599999998</v>
      </c>
      <c r="AE5443">
        <v>1</v>
      </c>
      <c r="AF5443">
        <v>25</v>
      </c>
      <c r="AG5443">
        <v>3.28500009</v>
      </c>
      <c r="AH5443">
        <v>7</v>
      </c>
      <c r="AI5443">
        <v>1</v>
      </c>
      <c r="AJ5443">
        <v>1</v>
      </c>
      <c r="AK5443">
        <v>18</v>
      </c>
      <c r="AL5443">
        <v>37</v>
      </c>
      <c r="AM5443" t="s">
        <v>43</v>
      </c>
      <c r="AN5443" t="str">
        <f>HYPERLINK("https://www.google.com/maps?q=10.83260632,79.84108734","Open Location")</f>
        <v>Open Location</v>
      </c>
    </row>
    <row r="5444" spans="1:40" x14ac:dyDescent="0.3">
      <c r="A5444" s="1">
        <v>46210.369212962964</v>
      </c>
      <c r="B5444" t="s">
        <v>40</v>
      </c>
      <c r="C5444" t="s">
        <v>41</v>
      </c>
      <c r="D5444" s="1">
        <v>46210.372106481482</v>
      </c>
      <c r="E5444" t="s">
        <v>42</v>
      </c>
      <c r="F5444" t="s">
        <v>83</v>
      </c>
      <c r="G5444">
        <v>0</v>
      </c>
      <c r="H5444">
        <v>33084</v>
      </c>
      <c r="I5444" t="s">
        <v>3086</v>
      </c>
      <c r="J5444">
        <v>62</v>
      </c>
      <c r="K5444">
        <v>2</v>
      </c>
      <c r="L5444">
        <v>98</v>
      </c>
      <c r="M5444">
        <v>630.70001220999995</v>
      </c>
      <c r="N5444" t="s">
        <v>85</v>
      </c>
      <c r="O5444" t="s">
        <v>86</v>
      </c>
      <c r="P5444">
        <v>127</v>
      </c>
      <c r="Q5444">
        <v>2</v>
      </c>
      <c r="R5444">
        <v>0</v>
      </c>
      <c r="S5444">
        <v>190</v>
      </c>
      <c r="T5444">
        <v>-40</v>
      </c>
      <c r="U5444">
        <v>45</v>
      </c>
      <c r="V5444">
        <v>5</v>
      </c>
      <c r="W5444">
        <v>29</v>
      </c>
      <c r="X5444">
        <v>29</v>
      </c>
      <c r="Y5444">
        <v>1</v>
      </c>
      <c r="Z5444">
        <v>1</v>
      </c>
      <c r="AA5444">
        <v>27</v>
      </c>
      <c r="AB5444">
        <v>2</v>
      </c>
      <c r="AC5444">
        <v>2</v>
      </c>
      <c r="AD5444">
        <v>3.28900003</v>
      </c>
      <c r="AE5444">
        <v>1</v>
      </c>
      <c r="AF5444">
        <v>16</v>
      </c>
      <c r="AG5444">
        <v>3.28500009</v>
      </c>
      <c r="AH5444">
        <v>2</v>
      </c>
      <c r="AI5444">
        <v>40</v>
      </c>
      <c r="AJ5444">
        <v>1</v>
      </c>
      <c r="AK5444">
        <v>18</v>
      </c>
      <c r="AL5444">
        <v>37</v>
      </c>
      <c r="AM5444" t="s">
        <v>43</v>
      </c>
      <c r="AN5444" t="str">
        <f>HYPERLINK("https://www.google.com/maps?q=10.83260345,79.84109497","Open Location")</f>
        <v>Open Location</v>
      </c>
    </row>
    <row r="5445" spans="1:40" x14ac:dyDescent="0.3">
      <c r="A5445" s="1">
        <v>46210.369097222225</v>
      </c>
      <c r="B5445" t="s">
        <v>40</v>
      </c>
      <c r="C5445" t="s">
        <v>41</v>
      </c>
      <c r="D5445" s="1">
        <v>46210.371932870374</v>
      </c>
      <c r="E5445" t="s">
        <v>42</v>
      </c>
      <c r="F5445" t="s">
        <v>83</v>
      </c>
      <c r="G5445">
        <v>10</v>
      </c>
      <c r="H5445">
        <v>33084</v>
      </c>
      <c r="I5445" t="s">
        <v>3087</v>
      </c>
      <c r="J5445">
        <v>62</v>
      </c>
      <c r="K5445">
        <v>4</v>
      </c>
      <c r="L5445">
        <v>98</v>
      </c>
      <c r="M5445">
        <v>630.90002441000001</v>
      </c>
      <c r="N5445" t="s">
        <v>87</v>
      </c>
      <c r="O5445" t="s">
        <v>86</v>
      </c>
      <c r="P5445">
        <v>128</v>
      </c>
      <c r="Q5445">
        <v>3</v>
      </c>
      <c r="R5445">
        <v>-10</v>
      </c>
      <c r="S5445">
        <v>1274</v>
      </c>
      <c r="T5445">
        <v>-40</v>
      </c>
      <c r="U5445">
        <v>45</v>
      </c>
      <c r="V5445">
        <v>-52</v>
      </c>
      <c r="W5445">
        <v>29</v>
      </c>
      <c r="X5445">
        <v>29</v>
      </c>
      <c r="Y5445">
        <v>1</v>
      </c>
      <c r="Z5445">
        <v>1</v>
      </c>
      <c r="AA5445">
        <v>27</v>
      </c>
      <c r="AB5445">
        <v>2</v>
      </c>
      <c r="AC5445">
        <v>2</v>
      </c>
      <c r="AD5445">
        <v>3.2909998900000001</v>
      </c>
      <c r="AE5445">
        <v>1</v>
      </c>
      <c r="AF5445">
        <v>16</v>
      </c>
      <c r="AG5445">
        <v>3.2869999399999998</v>
      </c>
      <c r="AH5445">
        <v>2</v>
      </c>
      <c r="AI5445">
        <v>6</v>
      </c>
      <c r="AJ5445">
        <v>1</v>
      </c>
      <c r="AK5445">
        <v>17</v>
      </c>
      <c r="AL5445">
        <v>37</v>
      </c>
      <c r="AM5445" t="s">
        <v>43</v>
      </c>
      <c r="AN5445" t="str">
        <f>HYPERLINK("https://www.google.com/maps?q=10.83254528,79.84130859","Open Location")</f>
        <v>Open Location</v>
      </c>
    </row>
    <row r="5446" spans="1:40" x14ac:dyDescent="0.3">
      <c r="A5446" s="1">
        <v>46210.368981481479</v>
      </c>
      <c r="B5446" t="s">
        <v>40</v>
      </c>
      <c r="C5446" t="s">
        <v>41</v>
      </c>
      <c r="D5446" s="1">
        <v>46210.371944444443</v>
      </c>
      <c r="E5446" t="s">
        <v>42</v>
      </c>
      <c r="F5446" t="s">
        <v>83</v>
      </c>
      <c r="G5446">
        <v>9</v>
      </c>
      <c r="H5446">
        <v>33084</v>
      </c>
      <c r="I5446" t="s">
        <v>3088</v>
      </c>
      <c r="J5446">
        <v>62</v>
      </c>
      <c r="K5446">
        <v>-10</v>
      </c>
      <c r="L5446">
        <v>98</v>
      </c>
      <c r="M5446">
        <v>631.70001220999995</v>
      </c>
      <c r="N5446" t="s">
        <v>87</v>
      </c>
      <c r="O5446" t="s">
        <v>86</v>
      </c>
      <c r="P5446">
        <v>129</v>
      </c>
      <c r="Q5446">
        <v>3</v>
      </c>
      <c r="R5446">
        <v>0</v>
      </c>
      <c r="S5446">
        <v>736</v>
      </c>
      <c r="T5446">
        <v>-40</v>
      </c>
      <c r="U5446">
        <v>45</v>
      </c>
      <c r="V5446">
        <v>-112</v>
      </c>
      <c r="W5446">
        <v>29</v>
      </c>
      <c r="X5446">
        <v>29</v>
      </c>
      <c r="Y5446">
        <v>1</v>
      </c>
      <c r="Z5446">
        <v>1</v>
      </c>
      <c r="AA5446">
        <v>27</v>
      </c>
      <c r="AB5446">
        <v>2</v>
      </c>
      <c r="AC5446">
        <v>2</v>
      </c>
      <c r="AD5446">
        <v>3.27699995</v>
      </c>
      <c r="AE5446">
        <v>5</v>
      </c>
      <c r="AF5446">
        <v>38</v>
      </c>
      <c r="AG5446">
        <v>3.2690000499999998</v>
      </c>
      <c r="AH5446">
        <v>4</v>
      </c>
      <c r="AI5446">
        <v>24</v>
      </c>
      <c r="AJ5446">
        <v>1</v>
      </c>
      <c r="AK5446">
        <v>17</v>
      </c>
      <c r="AL5446">
        <v>37</v>
      </c>
      <c r="AM5446" t="s">
        <v>43</v>
      </c>
      <c r="AN5446" t="str">
        <f>HYPERLINK("https://www.google.com/maps?q=10.83242226,79.84164429","Open Location")</f>
        <v>Open Location</v>
      </c>
    </row>
    <row r="5447" spans="1:40" x14ac:dyDescent="0.3">
      <c r="A5447" s="1">
        <v>46210.36886574074</v>
      </c>
      <c r="B5447" t="s">
        <v>40</v>
      </c>
      <c r="C5447" t="s">
        <v>41</v>
      </c>
      <c r="D5447" s="1">
        <v>46210.371782407405</v>
      </c>
      <c r="E5447" t="s">
        <v>42</v>
      </c>
      <c r="F5447" t="s">
        <v>83</v>
      </c>
      <c r="G5447">
        <v>14</v>
      </c>
      <c r="H5447">
        <v>33084</v>
      </c>
      <c r="I5447" t="s">
        <v>43</v>
      </c>
      <c r="J5447">
        <v>62</v>
      </c>
      <c r="K5447">
        <v>2</v>
      </c>
      <c r="L5447">
        <v>98</v>
      </c>
      <c r="M5447">
        <v>631.29998779000005</v>
      </c>
      <c r="N5447" t="s">
        <v>87</v>
      </c>
      <c r="O5447" t="s">
        <v>86</v>
      </c>
      <c r="P5447">
        <v>129</v>
      </c>
      <c r="Q5447">
        <v>4</v>
      </c>
      <c r="R5447">
        <v>-13</v>
      </c>
      <c r="S5447">
        <v>1014</v>
      </c>
      <c r="T5447">
        <v>-40</v>
      </c>
      <c r="U5447">
        <v>45</v>
      </c>
      <c r="V5447">
        <v>-44</v>
      </c>
      <c r="W5447">
        <v>29</v>
      </c>
      <c r="X5447">
        <v>29</v>
      </c>
      <c r="Y5447">
        <v>1</v>
      </c>
      <c r="Z5447">
        <v>1</v>
      </c>
      <c r="AA5447">
        <v>27</v>
      </c>
      <c r="AB5447">
        <v>2</v>
      </c>
      <c r="AC5447">
        <v>2</v>
      </c>
      <c r="AD5447">
        <v>3.2920000599999999</v>
      </c>
      <c r="AE5447">
        <v>1</v>
      </c>
      <c r="AF5447">
        <v>25</v>
      </c>
      <c r="AG5447">
        <v>3.28800011</v>
      </c>
      <c r="AH5447">
        <v>1</v>
      </c>
      <c r="AI5447">
        <v>4</v>
      </c>
      <c r="AJ5447">
        <v>1</v>
      </c>
      <c r="AK5447">
        <v>17</v>
      </c>
      <c r="AL5447">
        <v>37</v>
      </c>
      <c r="AM5447" t="s">
        <v>43</v>
      </c>
      <c r="AN5447" t="s">
        <v>43</v>
      </c>
    </row>
    <row r="5448" spans="1:40" x14ac:dyDescent="0.3">
      <c r="A5448" s="1">
        <v>46210.368750000001</v>
      </c>
      <c r="B5448" t="s">
        <v>40</v>
      </c>
      <c r="C5448" t="s">
        <v>41</v>
      </c>
      <c r="D5448" s="1">
        <v>46210.371493055558</v>
      </c>
      <c r="E5448" t="s">
        <v>43</v>
      </c>
      <c r="F5448" t="s">
        <v>83</v>
      </c>
      <c r="G5448">
        <v>13</v>
      </c>
      <c r="H5448" t="s">
        <v>43</v>
      </c>
      <c r="I5448" t="s">
        <v>3089</v>
      </c>
      <c r="J5448">
        <v>62</v>
      </c>
      <c r="K5448">
        <v>-15</v>
      </c>
      <c r="L5448">
        <v>98</v>
      </c>
      <c r="M5448">
        <v>630.90002441000001</v>
      </c>
      <c r="N5448" t="s">
        <v>87</v>
      </c>
      <c r="O5448" t="s">
        <v>86</v>
      </c>
      <c r="P5448">
        <v>129</v>
      </c>
      <c r="Q5448">
        <v>4</v>
      </c>
      <c r="R5448">
        <v>-12</v>
      </c>
      <c r="S5448">
        <v>1027</v>
      </c>
      <c r="T5448">
        <v>-40</v>
      </c>
      <c r="U5448">
        <v>45</v>
      </c>
      <c r="V5448">
        <v>-112</v>
      </c>
      <c r="W5448">
        <v>29</v>
      </c>
      <c r="X5448">
        <v>29</v>
      </c>
      <c r="Y5448">
        <v>1</v>
      </c>
      <c r="Z5448">
        <v>1</v>
      </c>
      <c r="AA5448">
        <v>27</v>
      </c>
      <c r="AB5448">
        <v>2</v>
      </c>
      <c r="AC5448">
        <v>2</v>
      </c>
      <c r="AD5448">
        <v>3.2909998900000001</v>
      </c>
      <c r="AE5448">
        <v>1</v>
      </c>
      <c r="AF5448">
        <v>16</v>
      </c>
      <c r="AG5448">
        <v>3.2869999399999998</v>
      </c>
      <c r="AH5448">
        <v>2</v>
      </c>
      <c r="AI5448">
        <v>39</v>
      </c>
      <c r="AJ5448">
        <v>1</v>
      </c>
      <c r="AK5448">
        <v>17</v>
      </c>
      <c r="AL5448">
        <v>37</v>
      </c>
      <c r="AM5448" t="s">
        <v>43</v>
      </c>
      <c r="AN5448" t="str">
        <f>HYPERLINK("https://www.google.com/maps?q=10.83214188,79.84199524","Open Location")</f>
        <v>Open Location</v>
      </c>
    </row>
    <row r="5449" spans="1:40" x14ac:dyDescent="0.3">
      <c r="A5449" s="1">
        <v>46210.368634259263</v>
      </c>
      <c r="B5449" t="s">
        <v>40</v>
      </c>
      <c r="C5449" t="s">
        <v>41</v>
      </c>
      <c r="D5449" s="1">
        <v>46210.371365740742</v>
      </c>
      <c r="E5449" t="s">
        <v>42</v>
      </c>
      <c r="F5449" t="s">
        <v>83</v>
      </c>
      <c r="G5449">
        <v>15</v>
      </c>
      <c r="H5449">
        <v>33084</v>
      </c>
      <c r="I5449" t="s">
        <v>3090</v>
      </c>
      <c r="J5449">
        <v>62</v>
      </c>
      <c r="K5449">
        <v>-18</v>
      </c>
      <c r="L5449">
        <v>98</v>
      </c>
      <c r="M5449">
        <v>630.79998779000005</v>
      </c>
      <c r="N5449" t="s">
        <v>87</v>
      </c>
      <c r="O5449" t="s">
        <v>86</v>
      </c>
      <c r="P5449">
        <v>129</v>
      </c>
      <c r="Q5449">
        <v>4</v>
      </c>
      <c r="R5449">
        <v>-13</v>
      </c>
      <c r="S5449">
        <v>1169</v>
      </c>
      <c r="T5449">
        <v>-40</v>
      </c>
      <c r="U5449">
        <v>45</v>
      </c>
      <c r="V5449">
        <v>-112</v>
      </c>
      <c r="W5449">
        <v>29</v>
      </c>
      <c r="X5449">
        <v>29</v>
      </c>
      <c r="Y5449">
        <v>1</v>
      </c>
      <c r="Z5449">
        <v>1</v>
      </c>
      <c r="AA5449">
        <v>27</v>
      </c>
      <c r="AB5449">
        <v>2</v>
      </c>
      <c r="AC5449">
        <v>2</v>
      </c>
      <c r="AD5449">
        <v>3.2899999599999998</v>
      </c>
      <c r="AE5449">
        <v>1</v>
      </c>
      <c r="AF5449">
        <v>16</v>
      </c>
      <c r="AG5449">
        <v>3.28600001</v>
      </c>
      <c r="AH5449">
        <v>2</v>
      </c>
      <c r="AI5449">
        <v>6</v>
      </c>
      <c r="AJ5449">
        <v>1</v>
      </c>
      <c r="AK5449">
        <v>17</v>
      </c>
      <c r="AL5449">
        <v>37</v>
      </c>
      <c r="AM5449" t="s">
        <v>43</v>
      </c>
      <c r="AN5449" t="str">
        <f>HYPERLINK("https://www.google.com/maps?q=10.83172226,79.84212494","Open Location")</f>
        <v>Open Location</v>
      </c>
    </row>
    <row r="5450" spans="1:40" x14ac:dyDescent="0.3">
      <c r="A5450" s="1">
        <v>46210.368518518517</v>
      </c>
      <c r="B5450" t="s">
        <v>40</v>
      </c>
      <c r="C5450" t="s">
        <v>41</v>
      </c>
      <c r="D5450" s="1">
        <v>46210.371365740742</v>
      </c>
      <c r="E5450" t="s">
        <v>42</v>
      </c>
      <c r="F5450" t="s">
        <v>83</v>
      </c>
      <c r="G5450">
        <v>15</v>
      </c>
      <c r="H5450">
        <v>33084</v>
      </c>
      <c r="I5450" t="s">
        <v>3091</v>
      </c>
      <c r="J5450">
        <v>62</v>
      </c>
      <c r="K5450">
        <v>49</v>
      </c>
      <c r="L5450">
        <v>98</v>
      </c>
      <c r="M5450">
        <v>627.59997558999999</v>
      </c>
      <c r="N5450" t="s">
        <v>87</v>
      </c>
      <c r="O5450" t="s">
        <v>86</v>
      </c>
      <c r="P5450">
        <v>129</v>
      </c>
      <c r="Q5450">
        <v>4</v>
      </c>
      <c r="R5450">
        <v>29</v>
      </c>
      <c r="S5450">
        <v>1138</v>
      </c>
      <c r="T5450">
        <v>-40</v>
      </c>
      <c r="U5450">
        <v>46</v>
      </c>
      <c r="V5450">
        <v>240</v>
      </c>
      <c r="W5450">
        <v>29</v>
      </c>
      <c r="X5450">
        <v>29</v>
      </c>
      <c r="Y5450">
        <v>1</v>
      </c>
      <c r="Z5450">
        <v>1</v>
      </c>
      <c r="AA5450">
        <v>27</v>
      </c>
      <c r="AB5450">
        <v>2</v>
      </c>
      <c r="AC5450">
        <v>2</v>
      </c>
      <c r="AD5450">
        <v>3.27699995</v>
      </c>
      <c r="AE5450">
        <v>5</v>
      </c>
      <c r="AF5450">
        <v>38</v>
      </c>
      <c r="AG5450">
        <v>3.2699999800000001</v>
      </c>
      <c r="AH5450">
        <v>4</v>
      </c>
      <c r="AI5450">
        <v>24</v>
      </c>
      <c r="AJ5450">
        <v>1</v>
      </c>
      <c r="AK5450">
        <v>17</v>
      </c>
      <c r="AL5450">
        <v>37</v>
      </c>
      <c r="AM5450" t="s">
        <v>43</v>
      </c>
      <c r="AN5450" t="str">
        <f>HYPERLINK("https://www.google.com/maps?q=10.83132076,79.84236908","Open Location")</f>
        <v>Open Location</v>
      </c>
    </row>
    <row r="5451" spans="1:40" x14ac:dyDescent="0.3">
      <c r="A5451" s="1">
        <v>46210.368402777778</v>
      </c>
      <c r="B5451" t="s">
        <v>40</v>
      </c>
      <c r="C5451" t="s">
        <v>41</v>
      </c>
      <c r="D5451" s="1">
        <v>46210.371180555558</v>
      </c>
      <c r="E5451" t="s">
        <v>42</v>
      </c>
      <c r="F5451" t="s">
        <v>83</v>
      </c>
      <c r="G5451">
        <v>15</v>
      </c>
      <c r="H5451">
        <v>33084</v>
      </c>
      <c r="I5451" t="s">
        <v>3092</v>
      </c>
      <c r="J5451">
        <v>62</v>
      </c>
      <c r="K5451">
        <v>15</v>
      </c>
      <c r="L5451">
        <v>98</v>
      </c>
      <c r="M5451">
        <v>629.29998779000005</v>
      </c>
      <c r="N5451" t="s">
        <v>87</v>
      </c>
      <c r="O5451" t="s">
        <v>86</v>
      </c>
      <c r="P5451">
        <v>129</v>
      </c>
      <c r="Q5451">
        <v>4</v>
      </c>
      <c r="R5451">
        <v>19</v>
      </c>
      <c r="S5451">
        <v>1165</v>
      </c>
      <c r="T5451">
        <v>-40</v>
      </c>
      <c r="U5451">
        <v>46</v>
      </c>
      <c r="V5451">
        <v>80</v>
      </c>
      <c r="W5451">
        <v>29</v>
      </c>
      <c r="X5451">
        <v>29</v>
      </c>
      <c r="Y5451">
        <v>1</v>
      </c>
      <c r="Z5451">
        <v>1</v>
      </c>
      <c r="AA5451">
        <v>27</v>
      </c>
      <c r="AB5451">
        <v>2</v>
      </c>
      <c r="AC5451">
        <v>2</v>
      </c>
      <c r="AD5451">
        <v>3.2790000400000001</v>
      </c>
      <c r="AE5451">
        <v>1</v>
      </c>
      <c r="AF5451">
        <v>16</v>
      </c>
      <c r="AG5451">
        <v>3.2730000000000001</v>
      </c>
      <c r="AH5451">
        <v>7</v>
      </c>
      <c r="AI5451">
        <v>1</v>
      </c>
      <c r="AJ5451">
        <v>1</v>
      </c>
      <c r="AK5451">
        <v>17</v>
      </c>
      <c r="AL5451">
        <v>37</v>
      </c>
      <c r="AM5451" t="s">
        <v>43</v>
      </c>
      <c r="AN5451" t="str">
        <f>HYPERLINK("https://www.google.com/maps?q=10.83115864,79.84278107","Open Location")</f>
        <v>Open Location</v>
      </c>
    </row>
    <row r="5452" spans="1:40" x14ac:dyDescent="0.3">
      <c r="A5452" s="1">
        <v>46210.368287037039</v>
      </c>
      <c r="B5452" t="s">
        <v>40</v>
      </c>
      <c r="C5452" t="s">
        <v>41</v>
      </c>
      <c r="D5452" s="1">
        <v>46210.371157407404</v>
      </c>
      <c r="E5452" t="s">
        <v>42</v>
      </c>
      <c r="F5452" t="s">
        <v>83</v>
      </c>
      <c r="G5452">
        <v>15</v>
      </c>
      <c r="H5452">
        <v>33084</v>
      </c>
      <c r="I5452" t="s">
        <v>43</v>
      </c>
      <c r="J5452">
        <v>62</v>
      </c>
      <c r="K5452">
        <v>71</v>
      </c>
      <c r="L5452">
        <v>98</v>
      </c>
      <c r="M5452">
        <v>626.79998779000005</v>
      </c>
      <c r="N5452" t="s">
        <v>87</v>
      </c>
      <c r="O5452" t="s">
        <v>86</v>
      </c>
      <c r="P5452">
        <v>129</v>
      </c>
      <c r="Q5452">
        <v>4</v>
      </c>
      <c r="R5452">
        <v>42</v>
      </c>
      <c r="S5452">
        <v>1112</v>
      </c>
      <c r="T5452">
        <v>-40</v>
      </c>
      <c r="U5452">
        <v>47</v>
      </c>
      <c r="V5452">
        <v>360</v>
      </c>
      <c r="W5452">
        <v>29</v>
      </c>
      <c r="X5452">
        <v>29</v>
      </c>
      <c r="Y5452">
        <v>1</v>
      </c>
      <c r="Z5452">
        <v>1</v>
      </c>
      <c r="AA5452">
        <v>27</v>
      </c>
      <c r="AB5452">
        <v>2</v>
      </c>
      <c r="AC5452">
        <v>2</v>
      </c>
      <c r="AD5452">
        <v>3.2750001000000002</v>
      </c>
      <c r="AE5452">
        <v>5</v>
      </c>
      <c r="AF5452">
        <v>38</v>
      </c>
      <c r="AG5452">
        <v>3.2669999600000001</v>
      </c>
      <c r="AH5452">
        <v>4</v>
      </c>
      <c r="AI5452">
        <v>24</v>
      </c>
      <c r="AJ5452">
        <v>1</v>
      </c>
      <c r="AK5452">
        <v>17</v>
      </c>
      <c r="AL5452">
        <v>37</v>
      </c>
      <c r="AM5452" t="s">
        <v>43</v>
      </c>
      <c r="AN5452" t="s">
        <v>43</v>
      </c>
    </row>
    <row r="5453" spans="1:40" x14ac:dyDescent="0.3">
      <c r="A5453" s="1">
        <v>46210.368171296293</v>
      </c>
      <c r="B5453" t="s">
        <v>40</v>
      </c>
      <c r="C5453" t="s">
        <v>41</v>
      </c>
      <c r="D5453" s="1">
        <v>46210.370949074073</v>
      </c>
      <c r="E5453" t="s">
        <v>42</v>
      </c>
      <c r="F5453" t="s">
        <v>83</v>
      </c>
      <c r="G5453">
        <v>12</v>
      </c>
      <c r="H5453">
        <v>33084</v>
      </c>
      <c r="I5453" t="s">
        <v>3093</v>
      </c>
      <c r="J5453">
        <v>62</v>
      </c>
      <c r="K5453">
        <v>48</v>
      </c>
      <c r="L5453">
        <v>98</v>
      </c>
      <c r="M5453">
        <v>627.79998779000005</v>
      </c>
      <c r="N5453" t="s">
        <v>87</v>
      </c>
      <c r="O5453" t="s">
        <v>86</v>
      </c>
      <c r="P5453">
        <v>129</v>
      </c>
      <c r="Q5453">
        <v>4</v>
      </c>
      <c r="R5453">
        <v>27</v>
      </c>
      <c r="S5453">
        <v>949</v>
      </c>
      <c r="T5453">
        <v>-40</v>
      </c>
      <c r="U5453">
        <v>46</v>
      </c>
      <c r="V5453">
        <v>280</v>
      </c>
      <c r="W5453">
        <v>29</v>
      </c>
      <c r="X5453">
        <v>29</v>
      </c>
      <c r="Y5453">
        <v>1</v>
      </c>
      <c r="Z5453">
        <v>1</v>
      </c>
      <c r="AA5453">
        <v>27</v>
      </c>
      <c r="AB5453">
        <v>2</v>
      </c>
      <c r="AC5453">
        <v>2</v>
      </c>
      <c r="AD5453">
        <v>3.2780001200000002</v>
      </c>
      <c r="AE5453">
        <v>5</v>
      </c>
      <c r="AF5453">
        <v>38</v>
      </c>
      <c r="AG5453">
        <v>3.27099991</v>
      </c>
      <c r="AH5453">
        <v>4</v>
      </c>
      <c r="AI5453">
        <v>24</v>
      </c>
      <c r="AJ5453">
        <v>1</v>
      </c>
      <c r="AK5453">
        <v>17</v>
      </c>
      <c r="AL5453">
        <v>37</v>
      </c>
      <c r="AM5453" t="s">
        <v>43</v>
      </c>
      <c r="AN5453" t="str">
        <f>HYPERLINK("https://www.google.com/maps?q=10.83116913,79.84322357","Open Location")</f>
        <v>Open Location</v>
      </c>
    </row>
    <row r="5454" spans="1:40" x14ac:dyDescent="0.3">
      <c r="A5454" s="1">
        <v>46210.368055555555</v>
      </c>
      <c r="B5454" t="s">
        <v>40</v>
      </c>
      <c r="C5454" t="s">
        <v>41</v>
      </c>
      <c r="D5454" s="1">
        <v>46210.370833333334</v>
      </c>
      <c r="E5454" t="s">
        <v>43</v>
      </c>
      <c r="F5454" t="s">
        <v>83</v>
      </c>
      <c r="G5454">
        <v>15</v>
      </c>
      <c r="H5454">
        <v>33084</v>
      </c>
      <c r="I5454" t="s">
        <v>3094</v>
      </c>
      <c r="J5454">
        <v>62</v>
      </c>
      <c r="K5454">
        <v>12</v>
      </c>
      <c r="L5454">
        <v>98</v>
      </c>
      <c r="M5454">
        <v>629.90002441000001</v>
      </c>
      <c r="N5454" t="s">
        <v>87</v>
      </c>
      <c r="O5454" t="s">
        <v>86</v>
      </c>
      <c r="P5454">
        <v>129</v>
      </c>
      <c r="Q5454">
        <v>4</v>
      </c>
      <c r="R5454">
        <v>9</v>
      </c>
      <c r="S5454">
        <v>1750</v>
      </c>
      <c r="T5454">
        <v>-40</v>
      </c>
      <c r="U5454">
        <v>46</v>
      </c>
      <c r="V5454">
        <v>0</v>
      </c>
      <c r="W5454">
        <v>29</v>
      </c>
      <c r="X5454">
        <v>29</v>
      </c>
      <c r="Y5454">
        <v>1</v>
      </c>
      <c r="Z5454">
        <v>1</v>
      </c>
      <c r="AA5454">
        <v>27</v>
      </c>
      <c r="AB5454">
        <v>2</v>
      </c>
      <c r="AC5454">
        <v>2</v>
      </c>
      <c r="AD5454">
        <v>3.2820000600000001</v>
      </c>
      <c r="AE5454">
        <v>1</v>
      </c>
      <c r="AF5454">
        <v>16</v>
      </c>
      <c r="AG5454">
        <v>3.2760000200000001</v>
      </c>
      <c r="AH5454">
        <v>7</v>
      </c>
      <c r="AI5454">
        <v>1</v>
      </c>
      <c r="AJ5454">
        <v>1</v>
      </c>
      <c r="AK5454">
        <v>18</v>
      </c>
      <c r="AL5454">
        <v>37</v>
      </c>
      <c r="AM5454" t="s">
        <v>43</v>
      </c>
      <c r="AN5454" t="str">
        <f>HYPERLINK("https://www.google.com/maps?q=10.8311758,79.84363556","Open Location")</f>
        <v>Open Location</v>
      </c>
    </row>
    <row r="5455" spans="1:40" x14ac:dyDescent="0.3">
      <c r="A5455" s="1">
        <v>46210.367939814816</v>
      </c>
      <c r="B5455" t="s">
        <v>40</v>
      </c>
      <c r="C5455" t="s">
        <v>41</v>
      </c>
      <c r="D5455" s="1">
        <v>46210.370752314811</v>
      </c>
      <c r="E5455" t="s">
        <v>42</v>
      </c>
      <c r="F5455" t="s">
        <v>83</v>
      </c>
      <c r="G5455">
        <v>11</v>
      </c>
      <c r="H5455">
        <v>33084</v>
      </c>
      <c r="I5455" t="s">
        <v>3095</v>
      </c>
      <c r="J5455">
        <v>62</v>
      </c>
      <c r="K5455">
        <v>82</v>
      </c>
      <c r="L5455">
        <v>98</v>
      </c>
      <c r="M5455">
        <v>626.59997558999999</v>
      </c>
      <c r="N5455" t="s">
        <v>87</v>
      </c>
      <c r="O5455" t="s">
        <v>86</v>
      </c>
      <c r="P5455">
        <v>128</v>
      </c>
      <c r="Q5455">
        <v>3</v>
      </c>
      <c r="R5455">
        <v>45</v>
      </c>
      <c r="S5455">
        <v>1387</v>
      </c>
      <c r="T5455">
        <v>-40</v>
      </c>
      <c r="U5455">
        <v>46</v>
      </c>
      <c r="V5455">
        <v>340</v>
      </c>
      <c r="W5455">
        <v>29</v>
      </c>
      <c r="X5455">
        <v>29</v>
      </c>
      <c r="Y5455">
        <v>1</v>
      </c>
      <c r="Z5455">
        <v>1</v>
      </c>
      <c r="AA5455">
        <v>27</v>
      </c>
      <c r="AB5455">
        <v>2</v>
      </c>
      <c r="AC5455">
        <v>2</v>
      </c>
      <c r="AD5455">
        <v>3.27399993</v>
      </c>
      <c r="AE5455">
        <v>5</v>
      </c>
      <c r="AF5455">
        <v>38</v>
      </c>
      <c r="AG5455">
        <v>3.2660000299999998</v>
      </c>
      <c r="AH5455">
        <v>4</v>
      </c>
      <c r="AI5455">
        <v>24</v>
      </c>
      <c r="AJ5455">
        <v>1</v>
      </c>
      <c r="AK5455">
        <v>17</v>
      </c>
      <c r="AL5455">
        <v>37</v>
      </c>
      <c r="AM5455" t="s">
        <v>43</v>
      </c>
      <c r="AN5455" t="str">
        <f>HYPERLINK("https://www.google.com/maps?q=10.83119297,79.84403992","Open Location")</f>
        <v>Open Location</v>
      </c>
    </row>
    <row r="5456" spans="1:40" x14ac:dyDescent="0.3">
      <c r="A5456" s="1">
        <v>46210.367824074077</v>
      </c>
      <c r="B5456" t="s">
        <v>40</v>
      </c>
      <c r="C5456" t="s">
        <v>41</v>
      </c>
      <c r="D5456" s="1">
        <v>46210.370775462965</v>
      </c>
      <c r="E5456" t="s">
        <v>42</v>
      </c>
      <c r="F5456" t="s">
        <v>83</v>
      </c>
      <c r="G5456">
        <v>6</v>
      </c>
      <c r="H5456">
        <v>33084</v>
      </c>
      <c r="I5456" t="s">
        <v>3096</v>
      </c>
      <c r="J5456">
        <v>62</v>
      </c>
      <c r="K5456">
        <v>35</v>
      </c>
      <c r="L5456">
        <v>98</v>
      </c>
      <c r="M5456">
        <v>628.70001220999995</v>
      </c>
      <c r="N5456" t="s">
        <v>87</v>
      </c>
      <c r="O5456" t="s">
        <v>86</v>
      </c>
      <c r="P5456">
        <v>127</v>
      </c>
      <c r="Q5456">
        <v>2</v>
      </c>
      <c r="R5456">
        <v>20</v>
      </c>
      <c r="S5456">
        <v>1161</v>
      </c>
      <c r="T5456">
        <v>-40</v>
      </c>
      <c r="U5456">
        <v>45</v>
      </c>
      <c r="V5456">
        <v>160</v>
      </c>
      <c r="W5456">
        <v>29</v>
      </c>
      <c r="X5456">
        <v>29</v>
      </c>
      <c r="Y5456">
        <v>1</v>
      </c>
      <c r="Z5456">
        <v>1</v>
      </c>
      <c r="AA5456">
        <v>27</v>
      </c>
      <c r="AB5456">
        <v>2</v>
      </c>
      <c r="AC5456">
        <v>2</v>
      </c>
      <c r="AD5456">
        <v>3.2809998999999999</v>
      </c>
      <c r="AE5456">
        <v>1</v>
      </c>
      <c r="AF5456">
        <v>16</v>
      </c>
      <c r="AG5456">
        <v>3.2750001000000002</v>
      </c>
      <c r="AH5456">
        <v>6</v>
      </c>
      <c r="AI5456">
        <v>24</v>
      </c>
      <c r="AJ5456">
        <v>1</v>
      </c>
      <c r="AK5456">
        <v>17</v>
      </c>
      <c r="AL5456">
        <v>37</v>
      </c>
      <c r="AM5456" t="s">
        <v>43</v>
      </c>
      <c r="AN5456" t="str">
        <f>HYPERLINK("https://www.google.com/maps?q=10.83121586,79.84430695","Open Location")</f>
        <v>Open Location</v>
      </c>
    </row>
    <row r="5457" spans="1:40" x14ac:dyDescent="0.3">
      <c r="A5457" s="1">
        <v>46210.367708333331</v>
      </c>
      <c r="B5457" t="s">
        <v>40</v>
      </c>
      <c r="C5457" t="s">
        <v>41</v>
      </c>
      <c r="D5457" s="1">
        <v>46210.370462962965</v>
      </c>
      <c r="E5457" t="s">
        <v>42</v>
      </c>
      <c r="F5457" t="s">
        <v>83</v>
      </c>
      <c r="G5457">
        <v>7</v>
      </c>
      <c r="H5457">
        <v>33084</v>
      </c>
      <c r="I5457" t="s">
        <v>43</v>
      </c>
      <c r="J5457">
        <v>62</v>
      </c>
      <c r="K5457">
        <v>37</v>
      </c>
      <c r="L5457">
        <v>98</v>
      </c>
      <c r="M5457">
        <v>628.40002441000001</v>
      </c>
      <c r="N5457" t="s">
        <v>87</v>
      </c>
      <c r="O5457" t="s">
        <v>86</v>
      </c>
      <c r="P5457">
        <v>127</v>
      </c>
      <c r="Q5457">
        <v>2</v>
      </c>
      <c r="R5457">
        <v>0</v>
      </c>
      <c r="S5457">
        <v>1623</v>
      </c>
      <c r="T5457">
        <v>-40</v>
      </c>
      <c r="U5457">
        <v>45</v>
      </c>
      <c r="V5457">
        <v>140</v>
      </c>
      <c r="W5457">
        <v>29</v>
      </c>
      <c r="X5457">
        <v>29</v>
      </c>
      <c r="Y5457">
        <v>1</v>
      </c>
      <c r="Z5457">
        <v>1</v>
      </c>
      <c r="AA5457">
        <v>27</v>
      </c>
      <c r="AB5457">
        <v>2</v>
      </c>
      <c r="AC5457">
        <v>2</v>
      </c>
      <c r="AD5457">
        <v>3.28600001</v>
      </c>
      <c r="AE5457">
        <v>1</v>
      </c>
      <c r="AF5457">
        <v>16</v>
      </c>
      <c r="AG5457">
        <v>3.2809998999999999</v>
      </c>
      <c r="AH5457">
        <v>7</v>
      </c>
      <c r="AI5457">
        <v>1</v>
      </c>
      <c r="AJ5457">
        <v>1</v>
      </c>
      <c r="AK5457">
        <v>17</v>
      </c>
      <c r="AL5457">
        <v>36</v>
      </c>
      <c r="AM5457" t="s">
        <v>43</v>
      </c>
      <c r="AN5457" t="s">
        <v>43</v>
      </c>
    </row>
    <row r="5458" spans="1:40" x14ac:dyDescent="0.3">
      <c r="A5458" s="1">
        <v>46210.367592592593</v>
      </c>
      <c r="B5458" t="s">
        <v>40</v>
      </c>
      <c r="C5458" t="s">
        <v>41</v>
      </c>
      <c r="D5458" s="1">
        <v>46210.370462962965</v>
      </c>
      <c r="E5458" t="s">
        <v>43</v>
      </c>
      <c r="F5458" t="s">
        <v>83</v>
      </c>
      <c r="G5458">
        <v>5</v>
      </c>
      <c r="H5458">
        <v>33084</v>
      </c>
      <c r="I5458" t="s">
        <v>43</v>
      </c>
      <c r="J5458">
        <v>62</v>
      </c>
      <c r="K5458">
        <v>10</v>
      </c>
      <c r="L5458">
        <v>98</v>
      </c>
      <c r="M5458">
        <v>629.70001220999995</v>
      </c>
      <c r="N5458" t="s">
        <v>87</v>
      </c>
      <c r="O5458" t="s">
        <v>86</v>
      </c>
      <c r="P5458">
        <v>127</v>
      </c>
      <c r="Q5458">
        <v>2</v>
      </c>
      <c r="R5458">
        <v>23</v>
      </c>
      <c r="S5458">
        <v>1290</v>
      </c>
      <c r="T5458">
        <v>-40</v>
      </c>
      <c r="U5458">
        <v>45</v>
      </c>
      <c r="V5458">
        <v>53</v>
      </c>
      <c r="W5458">
        <v>29</v>
      </c>
      <c r="X5458">
        <v>29</v>
      </c>
      <c r="Y5458">
        <v>1</v>
      </c>
      <c r="Z5458">
        <v>1</v>
      </c>
      <c r="AA5458">
        <v>27</v>
      </c>
      <c r="AB5458">
        <v>2</v>
      </c>
      <c r="AC5458">
        <v>2</v>
      </c>
      <c r="AD5458">
        <v>3.2809998999999999</v>
      </c>
      <c r="AE5458">
        <v>1</v>
      </c>
      <c r="AF5458">
        <v>16</v>
      </c>
      <c r="AG5458">
        <v>3.2750001000000002</v>
      </c>
      <c r="AH5458">
        <v>7</v>
      </c>
      <c r="AI5458">
        <v>1</v>
      </c>
      <c r="AJ5458">
        <v>1</v>
      </c>
      <c r="AK5458">
        <v>17</v>
      </c>
      <c r="AL5458">
        <v>36</v>
      </c>
      <c r="AM5458" t="s">
        <v>43</v>
      </c>
      <c r="AN5458" t="s">
        <v>43</v>
      </c>
    </row>
    <row r="5459" spans="1:40" x14ac:dyDescent="0.3">
      <c r="A5459" s="1">
        <v>46210.367476851854</v>
      </c>
      <c r="B5459" t="s">
        <v>40</v>
      </c>
      <c r="C5459" t="s">
        <v>41</v>
      </c>
      <c r="D5459" s="1">
        <v>46210.370208333334</v>
      </c>
      <c r="E5459" t="s">
        <v>42</v>
      </c>
      <c r="F5459" t="s">
        <v>83</v>
      </c>
      <c r="G5459">
        <v>7</v>
      </c>
      <c r="H5459" t="s">
        <v>43</v>
      </c>
      <c r="I5459" t="s">
        <v>3097</v>
      </c>
      <c r="J5459">
        <v>62</v>
      </c>
      <c r="K5459">
        <v>39</v>
      </c>
      <c r="L5459">
        <v>98</v>
      </c>
      <c r="M5459">
        <v>628.5</v>
      </c>
      <c r="N5459" t="s">
        <v>87</v>
      </c>
      <c r="O5459" t="s">
        <v>86</v>
      </c>
      <c r="P5459">
        <v>127</v>
      </c>
      <c r="Q5459">
        <v>2</v>
      </c>
      <c r="R5459">
        <v>25</v>
      </c>
      <c r="S5459">
        <v>1497</v>
      </c>
      <c r="T5459">
        <v>-40</v>
      </c>
      <c r="U5459">
        <v>46</v>
      </c>
      <c r="V5459">
        <v>120</v>
      </c>
      <c r="W5459">
        <v>29</v>
      </c>
      <c r="X5459">
        <v>29</v>
      </c>
      <c r="Y5459">
        <v>1</v>
      </c>
      <c r="Z5459">
        <v>1</v>
      </c>
      <c r="AA5459">
        <v>27</v>
      </c>
      <c r="AB5459">
        <v>2</v>
      </c>
      <c r="AC5459">
        <v>2</v>
      </c>
      <c r="AD5459">
        <v>3.2780001200000002</v>
      </c>
      <c r="AE5459">
        <v>1</v>
      </c>
      <c r="AF5459">
        <v>25</v>
      </c>
      <c r="AG5459">
        <v>3.27099991</v>
      </c>
      <c r="AH5459">
        <v>4</v>
      </c>
      <c r="AI5459">
        <v>17</v>
      </c>
      <c r="AJ5459">
        <v>1</v>
      </c>
      <c r="AK5459">
        <v>17</v>
      </c>
      <c r="AL5459">
        <v>36</v>
      </c>
      <c r="AM5459" t="s">
        <v>43</v>
      </c>
      <c r="AN5459" t="str">
        <f>HYPERLINK("https://www.google.com/maps?q=10.83124924,79.84473419","Open Location")</f>
        <v>Open Location</v>
      </c>
    </row>
    <row r="5460" spans="1:40" x14ac:dyDescent="0.3">
      <c r="A5460" s="1">
        <v>46210.367361111108</v>
      </c>
      <c r="B5460" t="s">
        <v>40</v>
      </c>
      <c r="C5460" t="s">
        <v>41</v>
      </c>
      <c r="D5460" s="1">
        <v>46210.370092592595</v>
      </c>
      <c r="E5460" t="s">
        <v>43</v>
      </c>
      <c r="F5460" t="s">
        <v>83</v>
      </c>
      <c r="G5460">
        <v>7</v>
      </c>
      <c r="H5460">
        <v>33084</v>
      </c>
      <c r="I5460" t="s">
        <v>3098</v>
      </c>
      <c r="J5460">
        <v>62</v>
      </c>
      <c r="K5460">
        <v>93</v>
      </c>
      <c r="L5460">
        <v>98</v>
      </c>
      <c r="M5460">
        <v>627.40002441000001</v>
      </c>
      <c r="N5460" t="s">
        <v>87</v>
      </c>
      <c r="O5460" t="s">
        <v>86</v>
      </c>
      <c r="P5460">
        <v>127</v>
      </c>
      <c r="Q5460">
        <v>2</v>
      </c>
      <c r="R5460">
        <v>38</v>
      </c>
      <c r="S5460">
        <v>1287</v>
      </c>
      <c r="T5460">
        <v>-40</v>
      </c>
      <c r="U5460">
        <v>46</v>
      </c>
      <c r="V5460">
        <v>380</v>
      </c>
      <c r="W5460">
        <v>29</v>
      </c>
      <c r="X5460">
        <v>29</v>
      </c>
      <c r="Y5460">
        <v>1</v>
      </c>
      <c r="Z5460">
        <v>1</v>
      </c>
      <c r="AA5460">
        <v>27</v>
      </c>
      <c r="AB5460">
        <v>2</v>
      </c>
      <c r="AC5460">
        <v>2</v>
      </c>
      <c r="AD5460">
        <v>3.2780001200000002</v>
      </c>
      <c r="AE5460">
        <v>5</v>
      </c>
      <c r="AF5460">
        <v>38</v>
      </c>
      <c r="AG5460">
        <v>3.2699999800000001</v>
      </c>
      <c r="AH5460">
        <v>7</v>
      </c>
      <c r="AI5460">
        <v>1</v>
      </c>
      <c r="AJ5460">
        <v>1</v>
      </c>
      <c r="AK5460">
        <v>17</v>
      </c>
      <c r="AL5460">
        <v>36</v>
      </c>
      <c r="AM5460" t="s">
        <v>43</v>
      </c>
      <c r="AN5460" t="str">
        <f>HYPERLINK("https://www.google.com/maps?q=10.83126545,79.84495544","Open Location")</f>
        <v>Open Location</v>
      </c>
    </row>
    <row r="5461" spans="1:40" x14ac:dyDescent="0.3">
      <c r="A5461" s="1">
        <v>46210.367245370369</v>
      </c>
      <c r="B5461" t="s">
        <v>40</v>
      </c>
      <c r="C5461" t="s">
        <v>41</v>
      </c>
      <c r="D5461" s="1">
        <v>46210.370092592595</v>
      </c>
      <c r="E5461" t="s">
        <v>42</v>
      </c>
      <c r="F5461" t="s">
        <v>83</v>
      </c>
      <c r="G5461">
        <v>5</v>
      </c>
      <c r="H5461">
        <v>33084</v>
      </c>
      <c r="I5461" t="s">
        <v>3099</v>
      </c>
      <c r="J5461">
        <v>62</v>
      </c>
      <c r="K5461">
        <v>60</v>
      </c>
      <c r="L5461">
        <v>98</v>
      </c>
      <c r="M5461">
        <v>629.09997558999999</v>
      </c>
      <c r="N5461" t="s">
        <v>87</v>
      </c>
      <c r="O5461" t="s">
        <v>86</v>
      </c>
      <c r="P5461">
        <v>127</v>
      </c>
      <c r="Q5461">
        <v>2</v>
      </c>
      <c r="R5461">
        <v>29</v>
      </c>
      <c r="S5461">
        <v>745</v>
      </c>
      <c r="T5461">
        <v>-40</v>
      </c>
      <c r="U5461">
        <v>46</v>
      </c>
      <c r="V5461">
        <v>375</v>
      </c>
      <c r="W5461">
        <v>29</v>
      </c>
      <c r="X5461">
        <v>29</v>
      </c>
      <c r="Y5461">
        <v>1</v>
      </c>
      <c r="Z5461">
        <v>1</v>
      </c>
      <c r="AA5461">
        <v>27</v>
      </c>
      <c r="AB5461">
        <v>2</v>
      </c>
      <c r="AC5461">
        <v>2</v>
      </c>
      <c r="AD5461">
        <v>3.2820000600000001</v>
      </c>
      <c r="AE5461">
        <v>5</v>
      </c>
      <c r="AF5461">
        <v>38</v>
      </c>
      <c r="AG5461">
        <v>3.27399993</v>
      </c>
      <c r="AH5461">
        <v>4</v>
      </c>
      <c r="AI5461">
        <v>17</v>
      </c>
      <c r="AJ5461">
        <v>1</v>
      </c>
      <c r="AK5461">
        <v>17</v>
      </c>
      <c r="AL5461">
        <v>36</v>
      </c>
      <c r="AM5461" t="s">
        <v>43</v>
      </c>
      <c r="AN5461" t="str">
        <f>HYPERLINK("https://www.google.com/maps?q=10.8311739,79.84513092","Open Location")</f>
        <v>Open Location</v>
      </c>
    </row>
    <row r="5462" spans="1:40" x14ac:dyDescent="0.3">
      <c r="A5462" s="1">
        <v>46210.367129629631</v>
      </c>
      <c r="B5462" t="s">
        <v>40</v>
      </c>
      <c r="C5462" t="s">
        <v>41</v>
      </c>
      <c r="D5462" s="1">
        <v>46210.370081018518</v>
      </c>
      <c r="E5462" t="s">
        <v>42</v>
      </c>
      <c r="F5462" t="s">
        <v>83</v>
      </c>
      <c r="G5462">
        <v>0</v>
      </c>
      <c r="H5462">
        <v>33084</v>
      </c>
      <c r="I5462" t="s">
        <v>3100</v>
      </c>
      <c r="J5462">
        <v>62</v>
      </c>
      <c r="K5462">
        <v>2</v>
      </c>
      <c r="L5462">
        <v>98</v>
      </c>
      <c r="M5462">
        <v>631.59997558999999</v>
      </c>
      <c r="N5462" t="s">
        <v>85</v>
      </c>
      <c r="O5462" t="s">
        <v>82</v>
      </c>
      <c r="P5462">
        <v>125</v>
      </c>
      <c r="Q5462" t="s">
        <v>82</v>
      </c>
      <c r="R5462">
        <v>0</v>
      </c>
      <c r="S5462">
        <v>0</v>
      </c>
      <c r="T5462">
        <v>-40</v>
      </c>
      <c r="U5462">
        <v>44</v>
      </c>
      <c r="V5462">
        <v>0</v>
      </c>
      <c r="W5462">
        <v>29</v>
      </c>
      <c r="X5462">
        <v>29</v>
      </c>
      <c r="Y5462">
        <v>1</v>
      </c>
      <c r="Z5462">
        <v>1</v>
      </c>
      <c r="AA5462">
        <v>27</v>
      </c>
      <c r="AB5462">
        <v>2</v>
      </c>
      <c r="AC5462">
        <v>2</v>
      </c>
      <c r="AD5462">
        <v>3.2929999799999998</v>
      </c>
      <c r="AE5462">
        <v>1</v>
      </c>
      <c r="AF5462">
        <v>16</v>
      </c>
      <c r="AG5462">
        <v>3.28900003</v>
      </c>
      <c r="AH5462">
        <v>1</v>
      </c>
      <c r="AI5462">
        <v>39</v>
      </c>
      <c r="AJ5462">
        <v>1</v>
      </c>
      <c r="AK5462">
        <v>17</v>
      </c>
      <c r="AL5462">
        <v>36</v>
      </c>
      <c r="AM5462" t="s">
        <v>43</v>
      </c>
      <c r="AN5462" t="str">
        <f>HYPERLINK("https://www.google.com/maps?q=10.83115101,79.84514618","Open Location")</f>
        <v>Open Location</v>
      </c>
    </row>
    <row r="5463" spans="1:40" x14ac:dyDescent="0.3">
      <c r="A5463" s="1">
        <v>46210.367013888892</v>
      </c>
      <c r="B5463" t="s">
        <v>40</v>
      </c>
      <c r="C5463" t="s">
        <v>41</v>
      </c>
      <c r="D5463" s="1">
        <v>46210.36990740741</v>
      </c>
      <c r="E5463" t="s">
        <v>42</v>
      </c>
      <c r="F5463" t="s">
        <v>83</v>
      </c>
      <c r="G5463">
        <v>0</v>
      </c>
      <c r="H5463">
        <v>33084</v>
      </c>
      <c r="I5463" t="s">
        <v>43</v>
      </c>
      <c r="J5463">
        <v>62</v>
      </c>
      <c r="K5463">
        <v>2</v>
      </c>
      <c r="L5463">
        <v>98</v>
      </c>
      <c r="M5463">
        <v>631</v>
      </c>
      <c r="N5463" t="s">
        <v>85</v>
      </c>
      <c r="O5463" t="s">
        <v>82</v>
      </c>
      <c r="P5463">
        <v>125</v>
      </c>
      <c r="Q5463" t="s">
        <v>82</v>
      </c>
      <c r="R5463">
        <v>0</v>
      </c>
      <c r="S5463">
        <v>0</v>
      </c>
      <c r="T5463">
        <v>-40</v>
      </c>
      <c r="U5463">
        <v>44</v>
      </c>
      <c r="V5463">
        <v>0</v>
      </c>
      <c r="W5463">
        <v>29</v>
      </c>
      <c r="X5463">
        <v>29</v>
      </c>
      <c r="Y5463">
        <v>1</v>
      </c>
      <c r="Z5463">
        <v>1</v>
      </c>
      <c r="AA5463">
        <v>27</v>
      </c>
      <c r="AB5463">
        <v>2</v>
      </c>
      <c r="AC5463">
        <v>2</v>
      </c>
      <c r="AD5463">
        <v>3.2929999799999998</v>
      </c>
      <c r="AE5463">
        <v>1</v>
      </c>
      <c r="AF5463">
        <v>16</v>
      </c>
      <c r="AG5463">
        <v>3.28900003</v>
      </c>
      <c r="AH5463">
        <v>1</v>
      </c>
      <c r="AI5463">
        <v>39</v>
      </c>
      <c r="AJ5463">
        <v>1</v>
      </c>
      <c r="AK5463">
        <v>17</v>
      </c>
      <c r="AL5463">
        <v>36</v>
      </c>
      <c r="AM5463" t="s">
        <v>43</v>
      </c>
      <c r="AN5463" t="s">
        <v>43</v>
      </c>
    </row>
    <row r="5464" spans="1:40" x14ac:dyDescent="0.3">
      <c r="A5464" s="1">
        <v>46210.366898148146</v>
      </c>
      <c r="B5464" t="s">
        <v>40</v>
      </c>
      <c r="C5464" t="s">
        <v>41</v>
      </c>
      <c r="D5464" s="1">
        <v>46210.369618055556</v>
      </c>
      <c r="E5464" t="s">
        <v>43</v>
      </c>
      <c r="F5464" t="s">
        <v>83</v>
      </c>
      <c r="G5464">
        <v>0</v>
      </c>
      <c r="H5464">
        <v>33084</v>
      </c>
      <c r="I5464" t="s">
        <v>43</v>
      </c>
      <c r="J5464">
        <v>62</v>
      </c>
      <c r="K5464">
        <v>2</v>
      </c>
      <c r="L5464">
        <v>98</v>
      </c>
      <c r="M5464">
        <v>631.79998779000005</v>
      </c>
      <c r="N5464" t="s">
        <v>85</v>
      </c>
      <c r="O5464" t="s">
        <v>82</v>
      </c>
      <c r="P5464">
        <v>125</v>
      </c>
      <c r="Q5464" t="s">
        <v>82</v>
      </c>
      <c r="R5464">
        <v>0</v>
      </c>
      <c r="S5464">
        <v>0</v>
      </c>
      <c r="T5464">
        <v>-40</v>
      </c>
      <c r="U5464">
        <v>44</v>
      </c>
      <c r="V5464">
        <v>0</v>
      </c>
      <c r="W5464">
        <v>29</v>
      </c>
      <c r="X5464">
        <v>29</v>
      </c>
      <c r="Y5464">
        <v>1</v>
      </c>
      <c r="Z5464">
        <v>1</v>
      </c>
      <c r="AA5464">
        <v>27</v>
      </c>
      <c r="AB5464">
        <v>2</v>
      </c>
      <c r="AC5464">
        <v>2</v>
      </c>
      <c r="AD5464">
        <v>3.2929999799999998</v>
      </c>
      <c r="AE5464">
        <v>1</v>
      </c>
      <c r="AF5464">
        <v>16</v>
      </c>
      <c r="AG5464">
        <v>3.28800011</v>
      </c>
      <c r="AH5464">
        <v>7</v>
      </c>
      <c r="AI5464">
        <v>1</v>
      </c>
      <c r="AJ5464">
        <v>1</v>
      </c>
      <c r="AK5464">
        <v>17</v>
      </c>
      <c r="AL5464">
        <v>36</v>
      </c>
      <c r="AM5464" t="s">
        <v>43</v>
      </c>
      <c r="AN5464" t="s">
        <v>43</v>
      </c>
    </row>
    <row r="5465" spans="1:40" x14ac:dyDescent="0.3">
      <c r="A5465" s="1">
        <v>46210.366782407407</v>
      </c>
      <c r="B5465" t="s">
        <v>40</v>
      </c>
      <c r="C5465" t="s">
        <v>41</v>
      </c>
      <c r="D5465" s="1">
        <v>46210.369606481479</v>
      </c>
      <c r="E5465" t="s">
        <v>42</v>
      </c>
      <c r="F5465" t="s">
        <v>83</v>
      </c>
      <c r="G5465">
        <v>0</v>
      </c>
      <c r="H5465">
        <v>33084</v>
      </c>
      <c r="I5465" t="s">
        <v>3101</v>
      </c>
      <c r="J5465">
        <v>62</v>
      </c>
      <c r="K5465">
        <v>2</v>
      </c>
      <c r="L5465">
        <v>98</v>
      </c>
      <c r="M5465">
        <v>631.59997558999999</v>
      </c>
      <c r="N5465" t="s">
        <v>85</v>
      </c>
      <c r="O5465" t="s">
        <v>82</v>
      </c>
      <c r="P5465">
        <v>125</v>
      </c>
      <c r="Q5465" t="s">
        <v>82</v>
      </c>
      <c r="R5465">
        <v>0</v>
      </c>
      <c r="S5465">
        <v>0</v>
      </c>
      <c r="T5465">
        <v>-40</v>
      </c>
      <c r="U5465">
        <v>44</v>
      </c>
      <c r="V5465">
        <v>0</v>
      </c>
      <c r="W5465">
        <v>29</v>
      </c>
      <c r="X5465">
        <v>29</v>
      </c>
      <c r="Y5465">
        <v>1</v>
      </c>
      <c r="Z5465">
        <v>1</v>
      </c>
      <c r="AA5465">
        <v>27</v>
      </c>
      <c r="AB5465">
        <v>2</v>
      </c>
      <c r="AC5465">
        <v>2</v>
      </c>
      <c r="AD5465">
        <v>3.2929999799999998</v>
      </c>
      <c r="AE5465">
        <v>1</v>
      </c>
      <c r="AF5465">
        <v>25</v>
      </c>
      <c r="AG5465">
        <v>3.28800011</v>
      </c>
      <c r="AH5465">
        <v>7</v>
      </c>
      <c r="AI5465">
        <v>1</v>
      </c>
      <c r="AJ5465">
        <v>1</v>
      </c>
      <c r="AK5465">
        <v>17</v>
      </c>
      <c r="AL5465">
        <v>36</v>
      </c>
      <c r="AM5465" t="s">
        <v>43</v>
      </c>
      <c r="AN5465" t="str">
        <f>HYPERLINK("https://www.google.com/maps?q=10.83114529,79.84515381","Open Location")</f>
        <v>Open Location</v>
      </c>
    </row>
    <row r="5466" spans="1:40" x14ac:dyDescent="0.3">
      <c r="A5466" s="1">
        <v>46210.366666666669</v>
      </c>
      <c r="B5466" t="s">
        <v>40</v>
      </c>
      <c r="C5466" t="s">
        <v>41</v>
      </c>
      <c r="D5466" s="1">
        <v>46210.369513888887</v>
      </c>
      <c r="E5466" t="s">
        <v>43</v>
      </c>
      <c r="F5466" t="s">
        <v>83</v>
      </c>
      <c r="G5466">
        <v>0</v>
      </c>
      <c r="H5466">
        <v>33084</v>
      </c>
      <c r="I5466" t="s">
        <v>3102</v>
      </c>
      <c r="J5466">
        <v>62</v>
      </c>
      <c r="K5466">
        <v>2</v>
      </c>
      <c r="L5466">
        <v>98</v>
      </c>
      <c r="M5466">
        <v>630.90002441000001</v>
      </c>
      <c r="N5466" t="s">
        <v>85</v>
      </c>
      <c r="O5466" t="s">
        <v>82</v>
      </c>
      <c r="P5466">
        <v>125</v>
      </c>
      <c r="Q5466" t="s">
        <v>82</v>
      </c>
      <c r="R5466">
        <v>0</v>
      </c>
      <c r="S5466">
        <v>0</v>
      </c>
      <c r="T5466">
        <v>-40</v>
      </c>
      <c r="U5466">
        <v>44</v>
      </c>
      <c r="V5466">
        <v>0</v>
      </c>
      <c r="W5466">
        <v>29</v>
      </c>
      <c r="X5466">
        <v>29</v>
      </c>
      <c r="Y5466">
        <v>1</v>
      </c>
      <c r="Z5466">
        <v>1</v>
      </c>
      <c r="AA5466">
        <v>27</v>
      </c>
      <c r="AB5466">
        <v>2</v>
      </c>
      <c r="AC5466">
        <v>2</v>
      </c>
      <c r="AD5466">
        <v>3.2929999799999998</v>
      </c>
      <c r="AE5466">
        <v>1</v>
      </c>
      <c r="AF5466">
        <v>25</v>
      </c>
      <c r="AG5466">
        <v>3.28800011</v>
      </c>
      <c r="AH5466">
        <v>3</v>
      </c>
      <c r="AI5466">
        <v>26</v>
      </c>
      <c r="AJ5466">
        <v>1</v>
      </c>
      <c r="AK5466">
        <v>17</v>
      </c>
      <c r="AL5466">
        <v>36</v>
      </c>
      <c r="AM5466" t="s">
        <v>43</v>
      </c>
      <c r="AN5466" t="str">
        <f>HYPERLINK("https://www.google.com/maps?q=10.83114815,79.84515381","Open Location")</f>
        <v>Open Location</v>
      </c>
    </row>
    <row r="5467" spans="1:40" x14ac:dyDescent="0.3">
      <c r="A5467" s="1">
        <v>46210.366550925923</v>
      </c>
      <c r="B5467" t="s">
        <v>40</v>
      </c>
      <c r="C5467" t="s">
        <v>41</v>
      </c>
      <c r="D5467" s="1">
        <v>46210.369513888887</v>
      </c>
      <c r="E5467" t="s">
        <v>42</v>
      </c>
      <c r="F5467" t="s">
        <v>83</v>
      </c>
      <c r="G5467">
        <v>0</v>
      </c>
      <c r="H5467">
        <v>33084</v>
      </c>
      <c r="I5467" t="s">
        <v>3103</v>
      </c>
      <c r="J5467">
        <v>62</v>
      </c>
      <c r="K5467">
        <v>2</v>
      </c>
      <c r="L5467">
        <v>98</v>
      </c>
      <c r="M5467">
        <v>630.90002441000001</v>
      </c>
      <c r="N5467" t="s">
        <v>85</v>
      </c>
      <c r="O5467" t="s">
        <v>82</v>
      </c>
      <c r="P5467">
        <v>125</v>
      </c>
      <c r="Q5467" t="s">
        <v>82</v>
      </c>
      <c r="R5467">
        <v>0</v>
      </c>
      <c r="S5467">
        <v>0</v>
      </c>
      <c r="T5467">
        <v>-40</v>
      </c>
      <c r="U5467">
        <v>44</v>
      </c>
      <c r="V5467">
        <v>0</v>
      </c>
      <c r="W5467">
        <v>29</v>
      </c>
      <c r="X5467">
        <v>29</v>
      </c>
      <c r="Y5467">
        <v>1</v>
      </c>
      <c r="Z5467">
        <v>1</v>
      </c>
      <c r="AA5467">
        <v>27</v>
      </c>
      <c r="AB5467">
        <v>2</v>
      </c>
      <c r="AC5467">
        <v>2</v>
      </c>
      <c r="AD5467">
        <v>3.2929999799999998</v>
      </c>
      <c r="AE5467">
        <v>1</v>
      </c>
      <c r="AF5467">
        <v>25</v>
      </c>
      <c r="AG5467">
        <v>3.28800011</v>
      </c>
      <c r="AH5467">
        <v>3</v>
      </c>
      <c r="AI5467">
        <v>7</v>
      </c>
      <c r="AJ5467">
        <v>1</v>
      </c>
      <c r="AK5467">
        <v>18</v>
      </c>
      <c r="AL5467">
        <v>36</v>
      </c>
      <c r="AM5467" t="s">
        <v>43</v>
      </c>
      <c r="AN5467" t="str">
        <f>HYPERLINK("https://www.google.com/maps?q=10.83115387,79.84514618","Open Location")</f>
        <v>Open Location</v>
      </c>
    </row>
    <row r="5468" spans="1:40" x14ac:dyDescent="0.3">
      <c r="A5468" s="1">
        <v>46210.366435185184</v>
      </c>
      <c r="B5468" t="s">
        <v>40</v>
      </c>
      <c r="C5468" t="s">
        <v>41</v>
      </c>
      <c r="D5468" s="1">
        <v>46210.369456018518</v>
      </c>
      <c r="E5468" t="s">
        <v>42</v>
      </c>
      <c r="F5468" t="s">
        <v>83</v>
      </c>
      <c r="G5468">
        <v>0</v>
      </c>
      <c r="H5468">
        <v>33084</v>
      </c>
      <c r="I5468" t="s">
        <v>3104</v>
      </c>
      <c r="J5468">
        <v>62</v>
      </c>
      <c r="K5468">
        <v>2</v>
      </c>
      <c r="L5468">
        <v>98</v>
      </c>
      <c r="M5468">
        <v>630.79998779000005</v>
      </c>
      <c r="N5468" t="s">
        <v>85</v>
      </c>
      <c r="O5468" t="s">
        <v>82</v>
      </c>
      <c r="P5468">
        <v>125</v>
      </c>
      <c r="Q5468" t="s">
        <v>82</v>
      </c>
      <c r="R5468">
        <v>0</v>
      </c>
      <c r="S5468">
        <v>0</v>
      </c>
      <c r="T5468">
        <v>-40</v>
      </c>
      <c r="U5468">
        <v>44</v>
      </c>
      <c r="V5468">
        <v>0</v>
      </c>
      <c r="W5468">
        <v>29</v>
      </c>
      <c r="X5468">
        <v>29</v>
      </c>
      <c r="Y5468">
        <v>1</v>
      </c>
      <c r="Z5468">
        <v>1</v>
      </c>
      <c r="AA5468">
        <v>27</v>
      </c>
      <c r="AB5468">
        <v>2</v>
      </c>
      <c r="AC5468">
        <v>2</v>
      </c>
      <c r="AD5468">
        <v>3.2929999799999998</v>
      </c>
      <c r="AE5468">
        <v>1</v>
      </c>
      <c r="AF5468">
        <v>25</v>
      </c>
      <c r="AG5468">
        <v>3.28800011</v>
      </c>
      <c r="AH5468">
        <v>2</v>
      </c>
      <c r="AI5468">
        <v>40</v>
      </c>
      <c r="AJ5468">
        <v>1</v>
      </c>
      <c r="AK5468">
        <v>17</v>
      </c>
      <c r="AL5468">
        <v>36</v>
      </c>
      <c r="AM5468" t="s">
        <v>43</v>
      </c>
      <c r="AN5468" t="str">
        <f>HYPERLINK("https://www.google.com/maps?q=10.83115673,79.84514618","Open Location")</f>
        <v>Open Location</v>
      </c>
    </row>
    <row r="5469" spans="1:40" x14ac:dyDescent="0.3">
      <c r="A5469" s="1">
        <v>46210.366319444445</v>
      </c>
      <c r="B5469" t="s">
        <v>40</v>
      </c>
      <c r="C5469" t="s">
        <v>41</v>
      </c>
      <c r="D5469" s="1">
        <v>46210.369085648148</v>
      </c>
      <c r="E5469" t="s">
        <v>42</v>
      </c>
      <c r="F5469" t="s">
        <v>83</v>
      </c>
      <c r="G5469">
        <v>0</v>
      </c>
      <c r="H5469">
        <v>33084</v>
      </c>
      <c r="I5469" t="s">
        <v>43</v>
      </c>
      <c r="J5469">
        <v>62</v>
      </c>
      <c r="K5469">
        <v>2</v>
      </c>
      <c r="L5469">
        <v>98</v>
      </c>
      <c r="M5469">
        <v>631.5</v>
      </c>
      <c r="N5469" t="s">
        <v>85</v>
      </c>
      <c r="O5469" t="s">
        <v>82</v>
      </c>
      <c r="P5469">
        <v>125</v>
      </c>
      <c r="Q5469" t="s">
        <v>82</v>
      </c>
      <c r="R5469">
        <v>0</v>
      </c>
      <c r="S5469">
        <v>0</v>
      </c>
      <c r="T5469">
        <v>-40</v>
      </c>
      <c r="U5469">
        <v>44</v>
      </c>
      <c r="V5469">
        <v>0</v>
      </c>
      <c r="W5469">
        <v>29</v>
      </c>
      <c r="X5469">
        <v>29</v>
      </c>
      <c r="Y5469">
        <v>1</v>
      </c>
      <c r="Z5469">
        <v>1</v>
      </c>
      <c r="AA5469">
        <v>27</v>
      </c>
      <c r="AB5469">
        <v>2</v>
      </c>
      <c r="AC5469">
        <v>2</v>
      </c>
      <c r="AD5469">
        <v>3.2929999799999998</v>
      </c>
      <c r="AE5469">
        <v>1</v>
      </c>
      <c r="AF5469">
        <v>25</v>
      </c>
      <c r="AG5469">
        <v>3.28800011</v>
      </c>
      <c r="AH5469">
        <v>2</v>
      </c>
      <c r="AI5469">
        <v>22</v>
      </c>
      <c r="AJ5469">
        <v>1</v>
      </c>
      <c r="AK5469">
        <v>17</v>
      </c>
      <c r="AL5469">
        <v>36</v>
      </c>
      <c r="AM5469" t="s">
        <v>43</v>
      </c>
      <c r="AN5469" t="s">
        <v>43</v>
      </c>
    </row>
    <row r="5470" spans="1:40" x14ac:dyDescent="0.3">
      <c r="A5470" s="1">
        <v>46210.366203703707</v>
      </c>
      <c r="B5470" t="s">
        <v>40</v>
      </c>
      <c r="C5470" t="s">
        <v>41</v>
      </c>
      <c r="D5470" s="1">
        <v>46210.36917824074</v>
      </c>
      <c r="E5470" t="s">
        <v>42</v>
      </c>
      <c r="F5470" t="s">
        <v>83</v>
      </c>
      <c r="G5470">
        <v>0</v>
      </c>
      <c r="H5470">
        <v>33084</v>
      </c>
      <c r="I5470" t="s">
        <v>43</v>
      </c>
      <c r="J5470">
        <v>62</v>
      </c>
      <c r="K5470">
        <v>2</v>
      </c>
      <c r="L5470">
        <v>98</v>
      </c>
      <c r="M5470">
        <v>630.79998779000005</v>
      </c>
      <c r="N5470" t="s">
        <v>85</v>
      </c>
      <c r="O5470" t="s">
        <v>82</v>
      </c>
      <c r="P5470">
        <v>125</v>
      </c>
      <c r="Q5470" t="s">
        <v>82</v>
      </c>
      <c r="R5470">
        <v>0</v>
      </c>
      <c r="S5470">
        <v>0</v>
      </c>
      <c r="T5470">
        <v>-40</v>
      </c>
      <c r="U5470">
        <v>44</v>
      </c>
      <c r="V5470">
        <v>0</v>
      </c>
      <c r="W5470">
        <v>29</v>
      </c>
      <c r="X5470">
        <v>29</v>
      </c>
      <c r="Y5470">
        <v>1</v>
      </c>
      <c r="Z5470">
        <v>1</v>
      </c>
      <c r="AA5470">
        <v>27</v>
      </c>
      <c r="AB5470">
        <v>2</v>
      </c>
      <c r="AC5470">
        <v>2</v>
      </c>
      <c r="AD5470">
        <v>3.2920000599999999</v>
      </c>
      <c r="AE5470">
        <v>1</v>
      </c>
      <c r="AF5470">
        <v>16</v>
      </c>
      <c r="AG5470">
        <v>3.28800011</v>
      </c>
      <c r="AH5470">
        <v>2</v>
      </c>
      <c r="AI5470">
        <v>22</v>
      </c>
      <c r="AJ5470">
        <v>1</v>
      </c>
      <c r="AK5470">
        <v>17</v>
      </c>
      <c r="AL5470">
        <v>36</v>
      </c>
      <c r="AM5470" t="s">
        <v>43</v>
      </c>
      <c r="AN5470" t="s">
        <v>43</v>
      </c>
    </row>
    <row r="5471" spans="1:40" x14ac:dyDescent="0.3">
      <c r="A5471" s="1">
        <v>46210.366087962961</v>
      </c>
      <c r="B5471" t="s">
        <v>40</v>
      </c>
      <c r="C5471" t="s">
        <v>41</v>
      </c>
      <c r="D5471" s="1">
        <v>46210.36917824074</v>
      </c>
      <c r="E5471" t="s">
        <v>42</v>
      </c>
      <c r="F5471" t="s">
        <v>83</v>
      </c>
      <c r="G5471">
        <v>0</v>
      </c>
      <c r="H5471">
        <v>33084</v>
      </c>
      <c r="I5471" t="s">
        <v>3105</v>
      </c>
      <c r="J5471">
        <v>62</v>
      </c>
      <c r="K5471">
        <v>2</v>
      </c>
      <c r="L5471">
        <v>98</v>
      </c>
      <c r="M5471">
        <v>630.90002441000001</v>
      </c>
      <c r="N5471" t="s">
        <v>85</v>
      </c>
      <c r="O5471" t="s">
        <v>82</v>
      </c>
      <c r="P5471">
        <v>125</v>
      </c>
      <c r="Q5471" t="s">
        <v>82</v>
      </c>
      <c r="R5471">
        <v>0</v>
      </c>
      <c r="S5471">
        <v>0</v>
      </c>
      <c r="T5471">
        <v>-40</v>
      </c>
      <c r="U5471">
        <v>44</v>
      </c>
      <c r="V5471">
        <v>0</v>
      </c>
      <c r="W5471">
        <v>29</v>
      </c>
      <c r="X5471">
        <v>29</v>
      </c>
      <c r="Y5471">
        <v>1</v>
      </c>
      <c r="Z5471">
        <v>1</v>
      </c>
      <c r="AA5471">
        <v>27</v>
      </c>
      <c r="AB5471">
        <v>2</v>
      </c>
      <c r="AC5471">
        <v>2</v>
      </c>
      <c r="AD5471">
        <v>3.2920000599999999</v>
      </c>
      <c r="AE5471">
        <v>1</v>
      </c>
      <c r="AF5471">
        <v>16</v>
      </c>
      <c r="AG5471">
        <v>3.28800011</v>
      </c>
      <c r="AH5471">
        <v>2</v>
      </c>
      <c r="AI5471">
        <v>6</v>
      </c>
      <c r="AJ5471">
        <v>1</v>
      </c>
      <c r="AK5471">
        <v>17</v>
      </c>
      <c r="AL5471">
        <v>36</v>
      </c>
      <c r="AM5471" t="s">
        <v>43</v>
      </c>
      <c r="AN5471" t="str">
        <f>HYPERLINK("https://www.google.com/maps?q=10.83115482,79.84513855","Open Location")</f>
        <v>Open Location</v>
      </c>
    </row>
    <row r="5472" spans="1:40" x14ac:dyDescent="0.3">
      <c r="A5472" s="1">
        <v>46210.365972222222</v>
      </c>
      <c r="B5472" t="s">
        <v>40</v>
      </c>
      <c r="C5472" t="s">
        <v>41</v>
      </c>
      <c r="D5472" s="1">
        <v>46210.368645833332</v>
      </c>
      <c r="E5472" t="s">
        <v>43</v>
      </c>
      <c r="F5472" t="s">
        <v>83</v>
      </c>
      <c r="G5472">
        <v>0</v>
      </c>
      <c r="H5472">
        <v>33084</v>
      </c>
      <c r="I5472" t="s">
        <v>3106</v>
      </c>
      <c r="J5472">
        <v>62</v>
      </c>
      <c r="K5472">
        <v>2</v>
      </c>
      <c r="L5472">
        <v>98</v>
      </c>
      <c r="M5472">
        <v>631.40002441000001</v>
      </c>
      <c r="N5472" t="s">
        <v>85</v>
      </c>
      <c r="O5472" t="s">
        <v>82</v>
      </c>
      <c r="P5472">
        <v>125</v>
      </c>
      <c r="Q5472" t="s">
        <v>82</v>
      </c>
      <c r="R5472">
        <v>0</v>
      </c>
      <c r="S5472">
        <v>0</v>
      </c>
      <c r="T5472">
        <v>-40</v>
      </c>
      <c r="U5472">
        <v>44</v>
      </c>
      <c r="V5472">
        <v>0</v>
      </c>
      <c r="W5472">
        <v>29</v>
      </c>
      <c r="X5472">
        <v>29</v>
      </c>
      <c r="Y5472">
        <v>1</v>
      </c>
      <c r="Z5472">
        <v>1</v>
      </c>
      <c r="AA5472">
        <v>27</v>
      </c>
      <c r="AB5472">
        <v>2</v>
      </c>
      <c r="AC5472">
        <v>2</v>
      </c>
      <c r="AD5472">
        <v>3.2920000599999999</v>
      </c>
      <c r="AE5472">
        <v>1</v>
      </c>
      <c r="AF5472">
        <v>16</v>
      </c>
      <c r="AG5472">
        <v>3.28800011</v>
      </c>
      <c r="AH5472">
        <v>2</v>
      </c>
      <c r="AI5472">
        <v>3</v>
      </c>
      <c r="AJ5472">
        <v>1</v>
      </c>
      <c r="AK5472">
        <v>17</v>
      </c>
      <c r="AL5472">
        <v>35</v>
      </c>
      <c r="AM5472" t="s">
        <v>43</v>
      </c>
      <c r="AN5472" t="str">
        <f>HYPERLINK("https://www.google.com/maps?q=10.83115292,79.84513092","Open Location")</f>
        <v>Open Location</v>
      </c>
    </row>
    <row r="5473" spans="1:40" x14ac:dyDescent="0.3">
      <c r="A5473" s="1">
        <v>46210.365856481483</v>
      </c>
      <c r="B5473" t="s">
        <v>40</v>
      </c>
      <c r="C5473" t="s">
        <v>41</v>
      </c>
      <c r="D5473" s="1">
        <v>46210.368645833332</v>
      </c>
      <c r="E5473" t="s">
        <v>42</v>
      </c>
      <c r="F5473" t="s">
        <v>83</v>
      </c>
      <c r="G5473">
        <v>0</v>
      </c>
      <c r="H5473">
        <v>33084</v>
      </c>
      <c r="I5473" t="s">
        <v>3107</v>
      </c>
      <c r="J5473">
        <v>62</v>
      </c>
      <c r="K5473">
        <v>2</v>
      </c>
      <c r="L5473">
        <v>98</v>
      </c>
      <c r="M5473">
        <v>630.90002441000001</v>
      </c>
      <c r="N5473" t="s">
        <v>85</v>
      </c>
      <c r="O5473" t="s">
        <v>82</v>
      </c>
      <c r="P5473">
        <v>125</v>
      </c>
      <c r="Q5473" t="s">
        <v>82</v>
      </c>
      <c r="R5473">
        <v>0</v>
      </c>
      <c r="S5473">
        <v>0</v>
      </c>
      <c r="T5473">
        <v>-40</v>
      </c>
      <c r="U5473">
        <v>44</v>
      </c>
      <c r="V5473">
        <v>0</v>
      </c>
      <c r="W5473">
        <v>29</v>
      </c>
      <c r="X5473">
        <v>29</v>
      </c>
      <c r="Y5473">
        <v>1</v>
      </c>
      <c r="Z5473">
        <v>1</v>
      </c>
      <c r="AA5473">
        <v>27</v>
      </c>
      <c r="AB5473">
        <v>2</v>
      </c>
      <c r="AC5473">
        <v>2</v>
      </c>
      <c r="AD5473">
        <v>3.2920000599999999</v>
      </c>
      <c r="AE5473">
        <v>1</v>
      </c>
      <c r="AF5473">
        <v>16</v>
      </c>
      <c r="AG5473">
        <v>3.2869999399999998</v>
      </c>
      <c r="AH5473">
        <v>7</v>
      </c>
      <c r="AI5473">
        <v>1</v>
      </c>
      <c r="AJ5473">
        <v>1</v>
      </c>
      <c r="AK5473">
        <v>17</v>
      </c>
      <c r="AL5473">
        <v>35</v>
      </c>
      <c r="AM5473" t="s">
        <v>43</v>
      </c>
      <c r="AN5473" t="str">
        <f>HYPERLINK("https://www.google.com/maps?q=10.83115387,79.84513092","Open Location")</f>
        <v>Open Location</v>
      </c>
    </row>
    <row r="5474" spans="1:40" x14ac:dyDescent="0.3">
      <c r="A5474" s="1">
        <v>46210.365740740737</v>
      </c>
      <c r="B5474" t="s">
        <v>40</v>
      </c>
      <c r="C5474" t="s">
        <v>41</v>
      </c>
      <c r="D5474" s="1">
        <v>46210.36859953704</v>
      </c>
      <c r="E5474" t="s">
        <v>42</v>
      </c>
      <c r="F5474" t="s">
        <v>83</v>
      </c>
      <c r="G5474">
        <v>0</v>
      </c>
      <c r="H5474">
        <v>33084</v>
      </c>
      <c r="I5474" t="s">
        <v>3108</v>
      </c>
      <c r="J5474">
        <v>62</v>
      </c>
      <c r="K5474">
        <v>2</v>
      </c>
      <c r="L5474">
        <v>98</v>
      </c>
      <c r="M5474">
        <v>630.59997558999999</v>
      </c>
      <c r="N5474" t="s">
        <v>85</v>
      </c>
      <c r="O5474" t="s">
        <v>82</v>
      </c>
      <c r="P5474">
        <v>125</v>
      </c>
      <c r="Q5474" t="s">
        <v>82</v>
      </c>
      <c r="R5474">
        <v>0</v>
      </c>
      <c r="S5474">
        <v>0</v>
      </c>
      <c r="T5474">
        <v>-40</v>
      </c>
      <c r="U5474">
        <v>44</v>
      </c>
      <c r="V5474">
        <v>0</v>
      </c>
      <c r="W5474">
        <v>29</v>
      </c>
      <c r="X5474">
        <v>29</v>
      </c>
      <c r="Y5474">
        <v>1</v>
      </c>
      <c r="Z5474">
        <v>1</v>
      </c>
      <c r="AA5474">
        <v>27</v>
      </c>
      <c r="AB5474">
        <v>2</v>
      </c>
      <c r="AC5474">
        <v>2</v>
      </c>
      <c r="AD5474">
        <v>3.2920000599999999</v>
      </c>
      <c r="AE5474">
        <v>1</v>
      </c>
      <c r="AF5474">
        <v>16</v>
      </c>
      <c r="AG5474">
        <v>3.2869999399999998</v>
      </c>
      <c r="AH5474">
        <v>7</v>
      </c>
      <c r="AI5474">
        <v>1</v>
      </c>
      <c r="AJ5474">
        <v>1</v>
      </c>
      <c r="AK5474">
        <v>17</v>
      </c>
      <c r="AL5474">
        <v>35</v>
      </c>
      <c r="AM5474" t="s">
        <v>43</v>
      </c>
      <c r="AN5474" t="str">
        <f>HYPERLINK("https://www.google.com/maps?q=10.83115864,79.84513092","Open Location")</f>
        <v>Open Location</v>
      </c>
    </row>
    <row r="5475" spans="1:40" x14ac:dyDescent="0.3">
      <c r="A5475" s="1">
        <v>46210.365624999999</v>
      </c>
      <c r="B5475" t="s">
        <v>40</v>
      </c>
      <c r="C5475" t="s">
        <v>41</v>
      </c>
      <c r="D5475" s="1">
        <v>46210.368437500001</v>
      </c>
      <c r="E5475" t="s">
        <v>42</v>
      </c>
      <c r="F5475" t="s">
        <v>83</v>
      </c>
      <c r="G5475">
        <v>0</v>
      </c>
      <c r="H5475">
        <v>33084</v>
      </c>
      <c r="I5475" t="s">
        <v>43</v>
      </c>
      <c r="J5475">
        <v>62</v>
      </c>
      <c r="K5475">
        <v>2</v>
      </c>
      <c r="L5475">
        <v>98</v>
      </c>
      <c r="M5475">
        <v>630.70001220999995</v>
      </c>
      <c r="N5475" t="s">
        <v>85</v>
      </c>
      <c r="O5475" t="s">
        <v>82</v>
      </c>
      <c r="P5475">
        <v>125</v>
      </c>
      <c r="Q5475" t="s">
        <v>82</v>
      </c>
      <c r="R5475">
        <v>0</v>
      </c>
      <c r="S5475">
        <v>0</v>
      </c>
      <c r="T5475">
        <v>-40</v>
      </c>
      <c r="U5475">
        <v>44</v>
      </c>
      <c r="V5475">
        <v>0</v>
      </c>
      <c r="W5475">
        <v>29</v>
      </c>
      <c r="X5475">
        <v>29</v>
      </c>
      <c r="Y5475">
        <v>1</v>
      </c>
      <c r="Z5475">
        <v>1</v>
      </c>
      <c r="AA5475">
        <v>27</v>
      </c>
      <c r="AB5475">
        <v>2</v>
      </c>
      <c r="AC5475">
        <v>2</v>
      </c>
      <c r="AD5475">
        <v>3.2920000599999999</v>
      </c>
      <c r="AE5475">
        <v>1</v>
      </c>
      <c r="AF5475">
        <v>25</v>
      </c>
      <c r="AG5475">
        <v>3.2869999399999998</v>
      </c>
      <c r="AH5475">
        <v>3</v>
      </c>
      <c r="AI5475">
        <v>10</v>
      </c>
      <c r="AJ5475">
        <v>1</v>
      </c>
      <c r="AK5475">
        <v>17</v>
      </c>
      <c r="AL5475">
        <v>35</v>
      </c>
      <c r="AM5475" t="s">
        <v>43</v>
      </c>
      <c r="AN5475" t="s">
        <v>43</v>
      </c>
    </row>
    <row r="5476" spans="1:40" x14ac:dyDescent="0.3">
      <c r="A5476" s="1">
        <v>46210.36550925926</v>
      </c>
      <c r="B5476" t="s">
        <v>40</v>
      </c>
      <c r="C5476" t="s">
        <v>41</v>
      </c>
      <c r="D5476" s="1">
        <v>46210.368460648147</v>
      </c>
      <c r="E5476" t="s">
        <v>42</v>
      </c>
      <c r="F5476" t="s">
        <v>83</v>
      </c>
      <c r="G5476">
        <v>0</v>
      </c>
      <c r="H5476">
        <v>33084</v>
      </c>
      <c r="I5476" t="s">
        <v>43</v>
      </c>
      <c r="J5476">
        <v>62</v>
      </c>
      <c r="K5476">
        <v>2</v>
      </c>
      <c r="L5476">
        <v>98</v>
      </c>
      <c r="M5476">
        <v>630.79998779000005</v>
      </c>
      <c r="N5476" t="s">
        <v>85</v>
      </c>
      <c r="O5476" t="s">
        <v>82</v>
      </c>
      <c r="P5476">
        <v>125</v>
      </c>
      <c r="Q5476" t="s">
        <v>82</v>
      </c>
      <c r="R5476">
        <v>0</v>
      </c>
      <c r="S5476">
        <v>0</v>
      </c>
      <c r="T5476">
        <v>-40</v>
      </c>
      <c r="U5476">
        <v>44</v>
      </c>
      <c r="V5476">
        <v>0</v>
      </c>
      <c r="W5476">
        <v>29</v>
      </c>
      <c r="X5476">
        <v>29</v>
      </c>
      <c r="Y5476">
        <v>1</v>
      </c>
      <c r="Z5476">
        <v>1</v>
      </c>
      <c r="AA5476">
        <v>27</v>
      </c>
      <c r="AB5476">
        <v>2</v>
      </c>
      <c r="AC5476">
        <v>2</v>
      </c>
      <c r="AD5476">
        <v>3.2920000599999999</v>
      </c>
      <c r="AE5476">
        <v>1</v>
      </c>
      <c r="AF5476">
        <v>25</v>
      </c>
      <c r="AG5476">
        <v>3.2869999399999998</v>
      </c>
      <c r="AH5476">
        <v>2</v>
      </c>
      <c r="AI5476">
        <v>39</v>
      </c>
      <c r="AJ5476">
        <v>1</v>
      </c>
      <c r="AK5476">
        <v>17</v>
      </c>
      <c r="AL5476">
        <v>35</v>
      </c>
      <c r="AM5476" t="s">
        <v>43</v>
      </c>
      <c r="AN5476" t="s">
        <v>43</v>
      </c>
    </row>
    <row r="5477" spans="1:40" x14ac:dyDescent="0.3">
      <c r="A5477" s="1">
        <v>46210.365393518521</v>
      </c>
      <c r="B5477" t="s">
        <v>40</v>
      </c>
      <c r="C5477" t="s">
        <v>41</v>
      </c>
      <c r="D5477" s="1">
        <v>46210.368287037039</v>
      </c>
      <c r="E5477" t="s">
        <v>42</v>
      </c>
      <c r="F5477" t="s">
        <v>83</v>
      </c>
      <c r="G5477">
        <v>0</v>
      </c>
      <c r="H5477">
        <v>33084</v>
      </c>
      <c r="I5477" t="s">
        <v>3109</v>
      </c>
      <c r="J5477">
        <v>62</v>
      </c>
      <c r="K5477">
        <v>2</v>
      </c>
      <c r="L5477">
        <v>98</v>
      </c>
      <c r="M5477">
        <v>630.70001220999995</v>
      </c>
      <c r="N5477" t="s">
        <v>85</v>
      </c>
      <c r="O5477" t="s">
        <v>82</v>
      </c>
      <c r="P5477">
        <v>125</v>
      </c>
      <c r="Q5477" t="s">
        <v>82</v>
      </c>
      <c r="R5477">
        <v>0</v>
      </c>
      <c r="S5477">
        <v>0</v>
      </c>
      <c r="T5477">
        <v>-40</v>
      </c>
      <c r="U5477">
        <v>44</v>
      </c>
      <c r="V5477">
        <v>0</v>
      </c>
      <c r="W5477">
        <v>29</v>
      </c>
      <c r="X5477">
        <v>29</v>
      </c>
      <c r="Y5477">
        <v>1</v>
      </c>
      <c r="Z5477">
        <v>1</v>
      </c>
      <c r="AA5477">
        <v>27</v>
      </c>
      <c r="AB5477">
        <v>2</v>
      </c>
      <c r="AC5477">
        <v>2</v>
      </c>
      <c r="AD5477">
        <v>3.2909998900000001</v>
      </c>
      <c r="AE5477">
        <v>1</v>
      </c>
      <c r="AF5477">
        <v>16</v>
      </c>
      <c r="AG5477">
        <v>3.2869999399999998</v>
      </c>
      <c r="AH5477">
        <v>2</v>
      </c>
      <c r="AI5477">
        <v>22</v>
      </c>
      <c r="AJ5477">
        <v>1</v>
      </c>
      <c r="AK5477">
        <v>17</v>
      </c>
      <c r="AL5477">
        <v>35</v>
      </c>
      <c r="AM5477" t="s">
        <v>43</v>
      </c>
      <c r="AN5477" t="str">
        <f>HYPERLINK("https://www.google.com/maps?q=10.83116341,79.84512329","Open Location")</f>
        <v>Open Location</v>
      </c>
    </row>
    <row r="5478" spans="1:40" x14ac:dyDescent="0.3">
      <c r="A5478" s="1">
        <v>46210.365277777775</v>
      </c>
      <c r="B5478" t="s">
        <v>40</v>
      </c>
      <c r="C5478" t="s">
        <v>41</v>
      </c>
      <c r="D5478" s="1">
        <v>46210.368321759262</v>
      </c>
      <c r="E5478" t="s">
        <v>42</v>
      </c>
      <c r="F5478" t="s">
        <v>83</v>
      </c>
      <c r="G5478">
        <v>0</v>
      </c>
      <c r="H5478">
        <v>33084</v>
      </c>
      <c r="I5478" t="s">
        <v>3110</v>
      </c>
      <c r="J5478">
        <v>62</v>
      </c>
      <c r="K5478">
        <v>2</v>
      </c>
      <c r="L5478">
        <v>98</v>
      </c>
      <c r="M5478">
        <v>631.5</v>
      </c>
      <c r="N5478" t="s">
        <v>85</v>
      </c>
      <c r="O5478" t="s">
        <v>82</v>
      </c>
      <c r="P5478">
        <v>125</v>
      </c>
      <c r="Q5478" t="s">
        <v>82</v>
      </c>
      <c r="R5478">
        <v>0</v>
      </c>
      <c r="S5478">
        <v>0</v>
      </c>
      <c r="T5478">
        <v>-40</v>
      </c>
      <c r="U5478">
        <v>44</v>
      </c>
      <c r="V5478">
        <v>0</v>
      </c>
      <c r="W5478">
        <v>29</v>
      </c>
      <c r="X5478">
        <v>29</v>
      </c>
      <c r="Y5478">
        <v>1</v>
      </c>
      <c r="Z5478">
        <v>1</v>
      </c>
      <c r="AA5478">
        <v>27</v>
      </c>
      <c r="AB5478">
        <v>2</v>
      </c>
      <c r="AC5478">
        <v>2</v>
      </c>
      <c r="AD5478">
        <v>3.2909998900000001</v>
      </c>
      <c r="AE5478">
        <v>1</v>
      </c>
      <c r="AF5478">
        <v>16</v>
      </c>
      <c r="AG5478">
        <v>3.2869999399999998</v>
      </c>
      <c r="AH5478">
        <v>2</v>
      </c>
      <c r="AI5478">
        <v>6</v>
      </c>
      <c r="AJ5478">
        <v>1</v>
      </c>
      <c r="AK5478">
        <v>17</v>
      </c>
      <c r="AL5478">
        <v>35</v>
      </c>
      <c r="AM5478" t="s">
        <v>43</v>
      </c>
      <c r="AN5478" t="str">
        <f>HYPERLINK("https://www.google.com/maps?q=10.83116817,79.84511566","Open Location")</f>
        <v>Open Location</v>
      </c>
    </row>
    <row r="5479" spans="1:40" x14ac:dyDescent="0.3">
      <c r="A5479" s="1">
        <v>46210.365162037036</v>
      </c>
      <c r="B5479" t="s">
        <v>40</v>
      </c>
      <c r="C5479" t="s">
        <v>41</v>
      </c>
      <c r="D5479" s="1">
        <v>46210.368055555555</v>
      </c>
      <c r="E5479" t="s">
        <v>42</v>
      </c>
      <c r="F5479" t="s">
        <v>83</v>
      </c>
      <c r="G5479">
        <v>0</v>
      </c>
      <c r="H5479">
        <v>33084</v>
      </c>
      <c r="I5479" t="s">
        <v>3111</v>
      </c>
      <c r="J5479">
        <v>62</v>
      </c>
      <c r="K5479">
        <v>2</v>
      </c>
      <c r="L5479">
        <v>98</v>
      </c>
      <c r="M5479">
        <v>630.70001220999995</v>
      </c>
      <c r="N5479" t="s">
        <v>85</v>
      </c>
      <c r="O5479" t="s">
        <v>82</v>
      </c>
      <c r="P5479">
        <v>125</v>
      </c>
      <c r="Q5479" t="s">
        <v>82</v>
      </c>
      <c r="R5479">
        <v>0</v>
      </c>
      <c r="S5479">
        <v>0</v>
      </c>
      <c r="T5479">
        <v>-40</v>
      </c>
      <c r="U5479">
        <v>44</v>
      </c>
      <c r="V5479">
        <v>0</v>
      </c>
      <c r="W5479">
        <v>29</v>
      </c>
      <c r="X5479">
        <v>29</v>
      </c>
      <c r="Y5479">
        <v>1</v>
      </c>
      <c r="Z5479">
        <v>1</v>
      </c>
      <c r="AA5479">
        <v>27</v>
      </c>
      <c r="AB5479">
        <v>2</v>
      </c>
      <c r="AC5479">
        <v>2</v>
      </c>
      <c r="AD5479">
        <v>3.2909998900000001</v>
      </c>
      <c r="AE5479">
        <v>1</v>
      </c>
      <c r="AF5479">
        <v>16</v>
      </c>
      <c r="AG5479">
        <v>3.28600001</v>
      </c>
      <c r="AH5479">
        <v>7</v>
      </c>
      <c r="AI5479">
        <v>1</v>
      </c>
      <c r="AJ5479">
        <v>1</v>
      </c>
      <c r="AK5479">
        <v>17</v>
      </c>
      <c r="AL5479">
        <v>35</v>
      </c>
      <c r="AM5479" t="s">
        <v>43</v>
      </c>
      <c r="AN5479" t="str">
        <f>HYPERLINK("https://www.google.com/maps?q=10.83116722,79.84511566","Open Location")</f>
        <v>Open Location</v>
      </c>
    </row>
    <row r="5480" spans="1:40" x14ac:dyDescent="0.3">
      <c r="A5480" s="1">
        <v>46210.365046296298</v>
      </c>
      <c r="B5480" t="s">
        <v>40</v>
      </c>
      <c r="C5480" t="s">
        <v>41</v>
      </c>
      <c r="D5480" s="1">
        <v>46210.367986111109</v>
      </c>
      <c r="E5480" t="s">
        <v>42</v>
      </c>
      <c r="F5480" t="s">
        <v>83</v>
      </c>
      <c r="G5480">
        <v>0</v>
      </c>
      <c r="H5480">
        <v>33084</v>
      </c>
      <c r="I5480" t="s">
        <v>3112</v>
      </c>
      <c r="J5480">
        <v>62</v>
      </c>
      <c r="K5480">
        <v>2</v>
      </c>
      <c r="L5480">
        <v>98</v>
      </c>
      <c r="M5480">
        <v>630.79998779000005</v>
      </c>
      <c r="N5480" t="s">
        <v>85</v>
      </c>
      <c r="O5480" t="s">
        <v>82</v>
      </c>
      <c r="P5480">
        <v>125</v>
      </c>
      <c r="Q5480" t="s">
        <v>82</v>
      </c>
      <c r="R5480">
        <v>0</v>
      </c>
      <c r="S5480">
        <v>0</v>
      </c>
      <c r="T5480">
        <v>-40</v>
      </c>
      <c r="U5480">
        <v>44</v>
      </c>
      <c r="V5480">
        <v>0</v>
      </c>
      <c r="W5480">
        <v>29</v>
      </c>
      <c r="X5480">
        <v>29</v>
      </c>
      <c r="Y5480">
        <v>1</v>
      </c>
      <c r="Z5480">
        <v>1</v>
      </c>
      <c r="AA5480">
        <v>27</v>
      </c>
      <c r="AB5480">
        <v>2</v>
      </c>
      <c r="AC5480">
        <v>2</v>
      </c>
      <c r="AD5480">
        <v>3.2909998900000001</v>
      </c>
      <c r="AE5480">
        <v>1</v>
      </c>
      <c r="AF5480">
        <v>16</v>
      </c>
      <c r="AG5480">
        <v>3.28600001</v>
      </c>
      <c r="AH5480">
        <v>3</v>
      </c>
      <c r="AI5480">
        <v>26</v>
      </c>
      <c r="AJ5480">
        <v>1</v>
      </c>
      <c r="AK5480">
        <v>17</v>
      </c>
      <c r="AL5480">
        <v>35</v>
      </c>
      <c r="AM5480" t="s">
        <v>43</v>
      </c>
      <c r="AN5480" t="str">
        <f>HYPERLINK("https://www.google.com/maps?q=10.83116817,79.8451004","Open Location")</f>
        <v>Open Location</v>
      </c>
    </row>
    <row r="5481" spans="1:40" x14ac:dyDescent="0.3">
      <c r="A5481" s="1">
        <v>46210.364930555559</v>
      </c>
      <c r="B5481" t="s">
        <v>40</v>
      </c>
      <c r="C5481" t="s">
        <v>41</v>
      </c>
      <c r="D5481" s="1">
        <v>46210.367638888885</v>
      </c>
      <c r="E5481" t="s">
        <v>42</v>
      </c>
      <c r="F5481" t="s">
        <v>83</v>
      </c>
      <c r="G5481">
        <v>0</v>
      </c>
      <c r="H5481">
        <v>33084</v>
      </c>
      <c r="I5481" t="s">
        <v>43</v>
      </c>
      <c r="J5481">
        <v>62</v>
      </c>
      <c r="K5481">
        <v>2</v>
      </c>
      <c r="L5481">
        <v>98</v>
      </c>
      <c r="M5481">
        <v>630.5</v>
      </c>
      <c r="N5481" t="s">
        <v>85</v>
      </c>
      <c r="O5481" t="s">
        <v>82</v>
      </c>
      <c r="P5481">
        <v>125</v>
      </c>
      <c r="Q5481" t="s">
        <v>82</v>
      </c>
      <c r="R5481">
        <v>0</v>
      </c>
      <c r="S5481">
        <v>0</v>
      </c>
      <c r="T5481">
        <v>-40</v>
      </c>
      <c r="U5481">
        <v>44</v>
      </c>
      <c r="V5481">
        <v>0</v>
      </c>
      <c r="W5481">
        <v>29</v>
      </c>
      <c r="X5481">
        <v>29</v>
      </c>
      <c r="Y5481">
        <v>1</v>
      </c>
      <c r="Z5481">
        <v>1</v>
      </c>
      <c r="AA5481">
        <v>27</v>
      </c>
      <c r="AB5481">
        <v>2</v>
      </c>
      <c r="AC5481">
        <v>2</v>
      </c>
      <c r="AD5481">
        <v>3.2909998900000001</v>
      </c>
      <c r="AE5481">
        <v>1</v>
      </c>
      <c r="AF5481">
        <v>25</v>
      </c>
      <c r="AG5481">
        <v>3.28600001</v>
      </c>
      <c r="AH5481">
        <v>2</v>
      </c>
      <c r="AI5481">
        <v>22</v>
      </c>
      <c r="AJ5481">
        <v>1</v>
      </c>
      <c r="AK5481">
        <v>17</v>
      </c>
      <c r="AL5481">
        <v>35</v>
      </c>
      <c r="AM5481" t="s">
        <v>43</v>
      </c>
      <c r="AN5481" t="s">
        <v>43</v>
      </c>
    </row>
    <row r="5482" spans="1:40" x14ac:dyDescent="0.3">
      <c r="A5482" s="1">
        <v>46210.364814814813</v>
      </c>
      <c r="B5482" t="s">
        <v>40</v>
      </c>
      <c r="C5482" t="s">
        <v>41</v>
      </c>
      <c r="D5482" s="1">
        <v>46210.367650462962</v>
      </c>
      <c r="E5482" t="s">
        <v>42</v>
      </c>
      <c r="F5482" t="s">
        <v>83</v>
      </c>
      <c r="G5482">
        <v>0</v>
      </c>
      <c r="H5482">
        <v>33084</v>
      </c>
      <c r="I5482" t="s">
        <v>3113</v>
      </c>
      <c r="J5482">
        <v>62</v>
      </c>
      <c r="K5482">
        <v>2</v>
      </c>
      <c r="L5482">
        <v>98</v>
      </c>
      <c r="M5482">
        <v>630.5</v>
      </c>
      <c r="N5482" t="s">
        <v>85</v>
      </c>
      <c r="O5482" t="s">
        <v>82</v>
      </c>
      <c r="P5482">
        <v>125</v>
      </c>
      <c r="Q5482" t="s">
        <v>82</v>
      </c>
      <c r="R5482">
        <v>0</v>
      </c>
      <c r="S5482">
        <v>0</v>
      </c>
      <c r="T5482">
        <v>-40</v>
      </c>
      <c r="U5482">
        <v>44</v>
      </c>
      <c r="V5482">
        <v>0</v>
      </c>
      <c r="W5482">
        <v>29</v>
      </c>
      <c r="X5482">
        <v>29</v>
      </c>
      <c r="Y5482">
        <v>1</v>
      </c>
      <c r="Z5482">
        <v>1</v>
      </c>
      <c r="AA5482">
        <v>27</v>
      </c>
      <c r="AB5482">
        <v>2</v>
      </c>
      <c r="AC5482">
        <v>2</v>
      </c>
      <c r="AD5482">
        <v>3.2899999599999998</v>
      </c>
      <c r="AE5482">
        <v>1</v>
      </c>
      <c r="AF5482">
        <v>16</v>
      </c>
      <c r="AG5482">
        <v>3.28600001</v>
      </c>
      <c r="AH5482">
        <v>2</v>
      </c>
      <c r="AI5482">
        <v>6</v>
      </c>
      <c r="AJ5482">
        <v>1</v>
      </c>
      <c r="AK5482">
        <v>18</v>
      </c>
      <c r="AL5482">
        <v>35</v>
      </c>
      <c r="AM5482" t="s">
        <v>43</v>
      </c>
      <c r="AN5482" t="str">
        <f>HYPERLINK("https://www.google.com/maps?q=10.83117008,79.8451004","Open Location")</f>
        <v>Open Location</v>
      </c>
    </row>
    <row r="5483" spans="1:40" x14ac:dyDescent="0.3">
      <c r="A5483" s="1">
        <v>46210.364699074074</v>
      </c>
      <c r="B5483" t="s">
        <v>40</v>
      </c>
      <c r="C5483" t="s">
        <v>41</v>
      </c>
      <c r="D5483" s="1">
        <v>46210.367650462962</v>
      </c>
      <c r="E5483" t="s">
        <v>42</v>
      </c>
      <c r="F5483" t="s">
        <v>83</v>
      </c>
      <c r="G5483">
        <v>0</v>
      </c>
      <c r="H5483" t="s">
        <v>43</v>
      </c>
      <c r="I5483" t="s">
        <v>3114</v>
      </c>
      <c r="J5483">
        <v>62</v>
      </c>
      <c r="K5483">
        <v>2</v>
      </c>
      <c r="L5483">
        <v>98</v>
      </c>
      <c r="M5483">
        <v>630.40002441000001</v>
      </c>
      <c r="N5483" t="s">
        <v>85</v>
      </c>
      <c r="O5483" t="s">
        <v>82</v>
      </c>
      <c r="P5483">
        <v>125</v>
      </c>
      <c r="Q5483" t="s">
        <v>82</v>
      </c>
      <c r="R5483">
        <v>0</v>
      </c>
      <c r="S5483">
        <v>0</v>
      </c>
      <c r="T5483">
        <v>-40</v>
      </c>
      <c r="U5483">
        <v>44</v>
      </c>
      <c r="V5483">
        <v>0</v>
      </c>
      <c r="W5483">
        <v>29</v>
      </c>
      <c r="X5483">
        <v>29</v>
      </c>
      <c r="Y5483">
        <v>1</v>
      </c>
      <c r="Z5483">
        <v>1</v>
      </c>
      <c r="AA5483">
        <v>27</v>
      </c>
      <c r="AB5483">
        <v>2</v>
      </c>
      <c r="AC5483">
        <v>2</v>
      </c>
      <c r="AD5483">
        <v>3.2899999599999998</v>
      </c>
      <c r="AE5483">
        <v>1</v>
      </c>
      <c r="AF5483">
        <v>16</v>
      </c>
      <c r="AG5483">
        <v>3.28500009</v>
      </c>
      <c r="AH5483">
        <v>7</v>
      </c>
      <c r="AI5483">
        <v>1</v>
      </c>
      <c r="AJ5483">
        <v>1</v>
      </c>
      <c r="AK5483">
        <v>17</v>
      </c>
      <c r="AL5483">
        <v>35</v>
      </c>
      <c r="AM5483" t="s">
        <v>43</v>
      </c>
      <c r="AN5483" t="str">
        <f>HYPERLINK("https://www.google.com/maps?q=10.83116436,79.84511566","Open Location")</f>
        <v>Open Location</v>
      </c>
    </row>
    <row r="5484" spans="1:40" x14ac:dyDescent="0.3">
      <c r="A5484" s="1">
        <v>46210.364583333336</v>
      </c>
      <c r="B5484" t="s">
        <v>40</v>
      </c>
      <c r="C5484" t="s">
        <v>41</v>
      </c>
      <c r="D5484" s="1">
        <v>46210.367256944446</v>
      </c>
      <c r="E5484" t="s">
        <v>43</v>
      </c>
      <c r="F5484" t="s">
        <v>83</v>
      </c>
      <c r="G5484">
        <v>0</v>
      </c>
      <c r="H5484">
        <v>33084</v>
      </c>
      <c r="I5484" t="s">
        <v>3115</v>
      </c>
      <c r="J5484">
        <v>62</v>
      </c>
      <c r="K5484">
        <v>2</v>
      </c>
      <c r="L5484">
        <v>98</v>
      </c>
      <c r="M5484">
        <v>631</v>
      </c>
      <c r="N5484" t="s">
        <v>85</v>
      </c>
      <c r="O5484" t="s">
        <v>82</v>
      </c>
      <c r="P5484">
        <v>125</v>
      </c>
      <c r="Q5484" t="s">
        <v>82</v>
      </c>
      <c r="R5484">
        <v>0</v>
      </c>
      <c r="S5484">
        <v>0</v>
      </c>
      <c r="T5484">
        <v>-40</v>
      </c>
      <c r="U5484">
        <v>44</v>
      </c>
      <c r="V5484">
        <v>0</v>
      </c>
      <c r="W5484">
        <v>29</v>
      </c>
      <c r="X5484">
        <v>29</v>
      </c>
      <c r="Y5484">
        <v>1</v>
      </c>
      <c r="Z5484">
        <v>1</v>
      </c>
      <c r="AA5484">
        <v>27</v>
      </c>
      <c r="AB5484">
        <v>2</v>
      </c>
      <c r="AC5484">
        <v>2</v>
      </c>
      <c r="AD5484">
        <v>3.2899999599999998</v>
      </c>
      <c r="AE5484">
        <v>1</v>
      </c>
      <c r="AF5484">
        <v>25</v>
      </c>
      <c r="AG5484">
        <v>3.28500009</v>
      </c>
      <c r="AH5484">
        <v>3</v>
      </c>
      <c r="AI5484">
        <v>10</v>
      </c>
      <c r="AJ5484">
        <v>1</v>
      </c>
      <c r="AK5484">
        <v>18</v>
      </c>
      <c r="AL5484">
        <v>35</v>
      </c>
      <c r="AM5484" t="s">
        <v>43</v>
      </c>
      <c r="AN5484" t="str">
        <f>HYPERLINK("https://www.google.com/maps?q=10.83115673,79.84511566","Open Location")</f>
        <v>Open Location</v>
      </c>
    </row>
    <row r="5485" spans="1:40" x14ac:dyDescent="0.3">
      <c r="A5485" s="1">
        <v>46210.36446759259</v>
      </c>
      <c r="B5485" t="s">
        <v>40</v>
      </c>
      <c r="C5485" t="s">
        <v>41</v>
      </c>
      <c r="D5485" s="1">
        <v>46210.367268518516</v>
      </c>
      <c r="E5485" t="s">
        <v>42</v>
      </c>
      <c r="F5485" t="s">
        <v>83</v>
      </c>
      <c r="G5485">
        <v>0</v>
      </c>
      <c r="H5485">
        <v>33084</v>
      </c>
      <c r="I5485" t="s">
        <v>3116</v>
      </c>
      <c r="J5485">
        <v>62</v>
      </c>
      <c r="K5485">
        <v>2</v>
      </c>
      <c r="L5485">
        <v>98</v>
      </c>
      <c r="M5485">
        <v>630.90002441000001</v>
      </c>
      <c r="N5485" t="s">
        <v>85</v>
      </c>
      <c r="O5485" t="s">
        <v>82</v>
      </c>
      <c r="P5485">
        <v>125</v>
      </c>
      <c r="Q5485" t="s">
        <v>82</v>
      </c>
      <c r="R5485">
        <v>0</v>
      </c>
      <c r="S5485">
        <v>0</v>
      </c>
      <c r="T5485">
        <v>-40</v>
      </c>
      <c r="U5485">
        <v>43</v>
      </c>
      <c r="V5485">
        <v>0</v>
      </c>
      <c r="W5485">
        <v>29</v>
      </c>
      <c r="X5485">
        <v>29</v>
      </c>
      <c r="Y5485">
        <v>1</v>
      </c>
      <c r="Z5485">
        <v>1</v>
      </c>
      <c r="AA5485">
        <v>27</v>
      </c>
      <c r="AB5485">
        <v>2</v>
      </c>
      <c r="AC5485">
        <v>2</v>
      </c>
      <c r="AD5485">
        <v>3.28900003</v>
      </c>
      <c r="AE5485">
        <v>1</v>
      </c>
      <c r="AF5485">
        <v>16</v>
      </c>
      <c r="AG5485">
        <v>3.2839999199999999</v>
      </c>
      <c r="AH5485">
        <v>7</v>
      </c>
      <c r="AI5485">
        <v>1</v>
      </c>
      <c r="AJ5485">
        <v>1</v>
      </c>
      <c r="AK5485">
        <v>17</v>
      </c>
      <c r="AL5485">
        <v>35</v>
      </c>
      <c r="AM5485" t="s">
        <v>43</v>
      </c>
      <c r="AN5485" t="str">
        <f>HYPERLINK("https://www.google.com/maps?q=10.83115768,79.84511566","Open Location")</f>
        <v>Open Location</v>
      </c>
    </row>
    <row r="5486" spans="1:40" x14ac:dyDescent="0.3">
      <c r="A5486" s="1">
        <v>46210.364351851851</v>
      </c>
      <c r="B5486" t="s">
        <v>40</v>
      </c>
      <c r="C5486" t="s">
        <v>41</v>
      </c>
      <c r="D5486" s="1">
        <v>46210.367268518516</v>
      </c>
      <c r="E5486" t="s">
        <v>42</v>
      </c>
      <c r="F5486" t="s">
        <v>83</v>
      </c>
      <c r="G5486">
        <v>0</v>
      </c>
      <c r="H5486">
        <v>33084</v>
      </c>
      <c r="I5486" t="s">
        <v>43</v>
      </c>
      <c r="J5486">
        <v>62</v>
      </c>
      <c r="K5486">
        <v>9</v>
      </c>
      <c r="L5486">
        <v>98</v>
      </c>
      <c r="M5486">
        <v>630.40002441000001</v>
      </c>
      <c r="N5486" t="s">
        <v>85</v>
      </c>
      <c r="O5486" t="s">
        <v>82</v>
      </c>
      <c r="P5486">
        <v>125</v>
      </c>
      <c r="Q5486" t="s">
        <v>82</v>
      </c>
      <c r="R5486">
        <v>0</v>
      </c>
      <c r="S5486">
        <v>0</v>
      </c>
      <c r="T5486">
        <v>-40</v>
      </c>
      <c r="U5486">
        <v>43</v>
      </c>
      <c r="V5486">
        <v>0</v>
      </c>
      <c r="W5486">
        <v>29</v>
      </c>
      <c r="X5486">
        <v>29</v>
      </c>
      <c r="Y5486">
        <v>1</v>
      </c>
      <c r="Z5486">
        <v>1</v>
      </c>
      <c r="AA5486">
        <v>27</v>
      </c>
      <c r="AB5486">
        <v>2</v>
      </c>
      <c r="AC5486">
        <v>2</v>
      </c>
      <c r="AD5486">
        <v>3.28800011</v>
      </c>
      <c r="AE5486">
        <v>1</v>
      </c>
      <c r="AF5486">
        <v>25</v>
      </c>
      <c r="AG5486">
        <v>3.28299999</v>
      </c>
      <c r="AH5486">
        <v>3</v>
      </c>
      <c r="AI5486">
        <v>26</v>
      </c>
      <c r="AJ5486">
        <v>1</v>
      </c>
      <c r="AK5486">
        <v>17</v>
      </c>
      <c r="AL5486">
        <v>35</v>
      </c>
      <c r="AM5486" t="s">
        <v>43</v>
      </c>
      <c r="AN5486" t="s">
        <v>43</v>
      </c>
    </row>
    <row r="5487" spans="1:40" x14ac:dyDescent="0.3">
      <c r="A5487" s="1">
        <v>46210.364236111112</v>
      </c>
      <c r="B5487" t="s">
        <v>40</v>
      </c>
      <c r="C5487" t="s">
        <v>41</v>
      </c>
      <c r="D5487" s="1">
        <v>46210.3672337963</v>
      </c>
      <c r="E5487" t="s">
        <v>42</v>
      </c>
      <c r="F5487" t="s">
        <v>83</v>
      </c>
      <c r="G5487">
        <v>0</v>
      </c>
      <c r="H5487">
        <v>33084</v>
      </c>
      <c r="I5487" t="s">
        <v>3117</v>
      </c>
      <c r="J5487">
        <v>62</v>
      </c>
      <c r="K5487">
        <v>9</v>
      </c>
      <c r="L5487">
        <v>98</v>
      </c>
      <c r="M5487">
        <v>629.90002441000001</v>
      </c>
      <c r="N5487" t="s">
        <v>85</v>
      </c>
      <c r="O5487" t="s">
        <v>82</v>
      </c>
      <c r="P5487">
        <v>125</v>
      </c>
      <c r="Q5487" t="s">
        <v>82</v>
      </c>
      <c r="R5487">
        <v>0</v>
      </c>
      <c r="S5487">
        <v>0</v>
      </c>
      <c r="T5487">
        <v>-40</v>
      </c>
      <c r="U5487">
        <v>43</v>
      </c>
      <c r="V5487">
        <v>0</v>
      </c>
      <c r="W5487">
        <v>29</v>
      </c>
      <c r="X5487">
        <v>29</v>
      </c>
      <c r="Y5487">
        <v>1</v>
      </c>
      <c r="Z5487">
        <v>1</v>
      </c>
      <c r="AA5487">
        <v>27</v>
      </c>
      <c r="AB5487">
        <v>2</v>
      </c>
      <c r="AC5487">
        <v>2</v>
      </c>
      <c r="AD5487">
        <v>3.2869999399999998</v>
      </c>
      <c r="AE5487">
        <v>1</v>
      </c>
      <c r="AF5487">
        <v>16</v>
      </c>
      <c r="AG5487">
        <v>3.2820000600000001</v>
      </c>
      <c r="AH5487">
        <v>5</v>
      </c>
      <c r="AI5487">
        <v>10</v>
      </c>
      <c r="AJ5487">
        <v>1</v>
      </c>
      <c r="AK5487">
        <v>18</v>
      </c>
      <c r="AL5487">
        <v>35</v>
      </c>
      <c r="AM5487" t="s">
        <v>43</v>
      </c>
      <c r="AN5487" t="str">
        <f>HYPERLINK("https://www.google.com/maps?q=10.83115578,79.84511566","Open Location")</f>
        <v>Open Location</v>
      </c>
    </row>
    <row r="5488" spans="1:40" x14ac:dyDescent="0.3">
      <c r="A5488" s="1">
        <v>46210.364120370374</v>
      </c>
      <c r="B5488" t="s">
        <v>40</v>
      </c>
      <c r="C5488" t="s">
        <v>41</v>
      </c>
      <c r="D5488" s="1">
        <v>46210.367245370369</v>
      </c>
      <c r="E5488" t="s">
        <v>42</v>
      </c>
      <c r="F5488" t="s">
        <v>83</v>
      </c>
      <c r="G5488">
        <v>0</v>
      </c>
      <c r="H5488">
        <v>33084</v>
      </c>
      <c r="I5488" t="s">
        <v>3118</v>
      </c>
      <c r="J5488">
        <v>62</v>
      </c>
      <c r="K5488">
        <v>7</v>
      </c>
      <c r="L5488">
        <v>98</v>
      </c>
      <c r="M5488">
        <v>630.09997558999999</v>
      </c>
      <c r="N5488" t="s">
        <v>85</v>
      </c>
      <c r="O5488" t="s">
        <v>82</v>
      </c>
      <c r="P5488">
        <v>125</v>
      </c>
      <c r="Q5488" t="s">
        <v>82</v>
      </c>
      <c r="R5488">
        <v>0</v>
      </c>
      <c r="S5488">
        <v>0</v>
      </c>
      <c r="T5488">
        <v>-40</v>
      </c>
      <c r="U5488">
        <v>43</v>
      </c>
      <c r="V5488">
        <v>0</v>
      </c>
      <c r="W5488">
        <v>29</v>
      </c>
      <c r="X5488">
        <v>29</v>
      </c>
      <c r="Y5488">
        <v>1</v>
      </c>
      <c r="Z5488">
        <v>1</v>
      </c>
      <c r="AA5488">
        <v>27</v>
      </c>
      <c r="AB5488">
        <v>2</v>
      </c>
      <c r="AC5488">
        <v>2</v>
      </c>
      <c r="AD5488">
        <v>3.2869999399999998</v>
      </c>
      <c r="AE5488">
        <v>1</v>
      </c>
      <c r="AF5488">
        <v>16</v>
      </c>
      <c r="AG5488">
        <v>3.2820000600000001</v>
      </c>
      <c r="AH5488">
        <v>5</v>
      </c>
      <c r="AI5488">
        <v>10</v>
      </c>
      <c r="AJ5488">
        <v>1</v>
      </c>
      <c r="AK5488">
        <v>17</v>
      </c>
      <c r="AL5488">
        <v>35</v>
      </c>
      <c r="AM5488" t="s">
        <v>43</v>
      </c>
      <c r="AN5488" t="str">
        <f>HYPERLINK("https://www.google.com/maps?q=10.83115005,79.84511566","Open Location")</f>
        <v>Open Location</v>
      </c>
    </row>
    <row r="5489" spans="1:40" x14ac:dyDescent="0.3">
      <c r="A5489" s="1">
        <v>46210.364004629628</v>
      </c>
      <c r="B5489" t="s">
        <v>40</v>
      </c>
      <c r="C5489" t="s">
        <v>41</v>
      </c>
      <c r="D5489" s="1">
        <v>46210.36681712963</v>
      </c>
      <c r="E5489" t="s">
        <v>42</v>
      </c>
      <c r="F5489" t="s">
        <v>83</v>
      </c>
      <c r="G5489">
        <v>0</v>
      </c>
      <c r="H5489">
        <v>33084</v>
      </c>
      <c r="I5489" t="s">
        <v>3119</v>
      </c>
      <c r="J5489">
        <v>62</v>
      </c>
      <c r="K5489">
        <v>2</v>
      </c>
      <c r="L5489">
        <v>98</v>
      </c>
      <c r="M5489">
        <v>630.79998779000005</v>
      </c>
      <c r="N5489" t="s">
        <v>85</v>
      </c>
      <c r="O5489" t="s">
        <v>82</v>
      </c>
      <c r="P5489">
        <v>125</v>
      </c>
      <c r="Q5489" t="s">
        <v>82</v>
      </c>
      <c r="R5489">
        <v>0</v>
      </c>
      <c r="S5489">
        <v>0</v>
      </c>
      <c r="T5489">
        <v>-40</v>
      </c>
      <c r="U5489">
        <v>43</v>
      </c>
      <c r="V5489">
        <v>0</v>
      </c>
      <c r="W5489">
        <v>29</v>
      </c>
      <c r="X5489">
        <v>29</v>
      </c>
      <c r="Y5489">
        <v>1</v>
      </c>
      <c r="Z5489">
        <v>1</v>
      </c>
      <c r="AA5489">
        <v>27</v>
      </c>
      <c r="AB5489">
        <v>2</v>
      </c>
      <c r="AC5489">
        <v>2</v>
      </c>
      <c r="AD5489">
        <v>3.28800011</v>
      </c>
      <c r="AE5489">
        <v>1</v>
      </c>
      <c r="AF5489">
        <v>25</v>
      </c>
      <c r="AG5489">
        <v>3.28299999</v>
      </c>
      <c r="AH5489">
        <v>3</v>
      </c>
      <c r="AI5489">
        <v>26</v>
      </c>
      <c r="AJ5489">
        <v>1</v>
      </c>
      <c r="AK5489">
        <v>18</v>
      </c>
      <c r="AL5489">
        <v>35</v>
      </c>
      <c r="AM5489" t="s">
        <v>43</v>
      </c>
      <c r="AN5489" t="str">
        <f>HYPERLINK("https://www.google.com/maps?q=10.83114815,79.8451004","Open Location")</f>
        <v>Open Location</v>
      </c>
    </row>
    <row r="5490" spans="1:40" x14ac:dyDescent="0.3">
      <c r="A5490" s="1">
        <v>46210.363888888889</v>
      </c>
      <c r="B5490" t="s">
        <v>40</v>
      </c>
      <c r="C5490" t="s">
        <v>41</v>
      </c>
      <c r="D5490" s="1">
        <v>46210.36650462963</v>
      </c>
      <c r="E5490" t="s">
        <v>43</v>
      </c>
      <c r="F5490" t="s">
        <v>83</v>
      </c>
      <c r="G5490">
        <v>4</v>
      </c>
      <c r="H5490">
        <v>33084</v>
      </c>
      <c r="I5490" t="s">
        <v>3120</v>
      </c>
      <c r="J5490">
        <v>62</v>
      </c>
      <c r="K5490">
        <v>2</v>
      </c>
      <c r="L5490">
        <v>98</v>
      </c>
      <c r="M5490">
        <v>629.5</v>
      </c>
      <c r="N5490" t="s">
        <v>87</v>
      </c>
      <c r="O5490" t="s">
        <v>86</v>
      </c>
      <c r="P5490">
        <v>128</v>
      </c>
      <c r="Q5490">
        <v>2</v>
      </c>
      <c r="R5490">
        <v>20</v>
      </c>
      <c r="S5490">
        <v>816</v>
      </c>
      <c r="T5490">
        <v>-40</v>
      </c>
      <c r="U5490">
        <v>44</v>
      </c>
      <c r="V5490">
        <v>-10</v>
      </c>
      <c r="W5490">
        <v>29</v>
      </c>
      <c r="X5490">
        <v>29</v>
      </c>
      <c r="Y5490">
        <v>1</v>
      </c>
      <c r="Z5490">
        <v>1</v>
      </c>
      <c r="AA5490">
        <v>27</v>
      </c>
      <c r="AB5490">
        <v>2</v>
      </c>
      <c r="AC5490">
        <v>2</v>
      </c>
      <c r="AD5490">
        <v>3.2869999399999998</v>
      </c>
      <c r="AE5490">
        <v>1</v>
      </c>
      <c r="AF5490">
        <v>16</v>
      </c>
      <c r="AG5490">
        <v>3.2820000600000001</v>
      </c>
      <c r="AH5490">
        <v>4</v>
      </c>
      <c r="AI5490">
        <v>17</v>
      </c>
      <c r="AJ5490">
        <v>1</v>
      </c>
      <c r="AK5490">
        <v>19</v>
      </c>
      <c r="AL5490">
        <v>35</v>
      </c>
      <c r="AM5490" t="s">
        <v>43</v>
      </c>
      <c r="AN5490" t="str">
        <f>HYPERLINK("https://www.google.com/maps?q=10.83110809,79.84512329","Open Location")</f>
        <v>Open Location</v>
      </c>
    </row>
    <row r="5491" spans="1:40" x14ac:dyDescent="0.3">
      <c r="A5491" s="1">
        <v>46210.36377314815</v>
      </c>
      <c r="B5491" t="s">
        <v>40</v>
      </c>
      <c r="C5491" t="s">
        <v>41</v>
      </c>
      <c r="D5491" s="1">
        <v>46210.366805555554</v>
      </c>
      <c r="E5491" t="s">
        <v>42</v>
      </c>
      <c r="F5491" t="s">
        <v>83</v>
      </c>
      <c r="G5491">
        <v>10</v>
      </c>
      <c r="H5491">
        <v>33084</v>
      </c>
      <c r="I5491" t="s">
        <v>43</v>
      </c>
      <c r="J5491">
        <v>62</v>
      </c>
      <c r="K5491">
        <v>16</v>
      </c>
      <c r="L5491">
        <v>98</v>
      </c>
      <c r="M5491">
        <v>629.40002441000001</v>
      </c>
      <c r="N5491" t="s">
        <v>87</v>
      </c>
      <c r="O5491" t="s">
        <v>86</v>
      </c>
      <c r="P5491">
        <v>128</v>
      </c>
      <c r="Q5491">
        <v>3</v>
      </c>
      <c r="R5491">
        <v>8</v>
      </c>
      <c r="S5491">
        <v>1359</v>
      </c>
      <c r="T5491">
        <v>-40</v>
      </c>
      <c r="U5491">
        <v>44</v>
      </c>
      <c r="V5491">
        <v>60</v>
      </c>
      <c r="W5491">
        <v>29</v>
      </c>
      <c r="X5491">
        <v>29</v>
      </c>
      <c r="Y5491">
        <v>1</v>
      </c>
      <c r="Z5491">
        <v>1</v>
      </c>
      <c r="AA5491">
        <v>27</v>
      </c>
      <c r="AB5491">
        <v>2</v>
      </c>
      <c r="AC5491">
        <v>2</v>
      </c>
      <c r="AD5491">
        <v>3.2869999399999998</v>
      </c>
      <c r="AE5491">
        <v>1</v>
      </c>
      <c r="AF5491">
        <v>16</v>
      </c>
      <c r="AG5491">
        <v>3.2820000600000001</v>
      </c>
      <c r="AH5491">
        <v>7</v>
      </c>
      <c r="AI5491">
        <v>1</v>
      </c>
      <c r="AJ5491">
        <v>1</v>
      </c>
      <c r="AK5491">
        <v>18</v>
      </c>
      <c r="AL5491">
        <v>35</v>
      </c>
      <c r="AM5491" t="s">
        <v>43</v>
      </c>
      <c r="AN5491" t="s">
        <v>43</v>
      </c>
    </row>
    <row r="5492" spans="1:40" x14ac:dyDescent="0.3">
      <c r="A5492" s="1">
        <v>46210.363657407404</v>
      </c>
      <c r="B5492" t="s">
        <v>40</v>
      </c>
      <c r="C5492" t="s">
        <v>41</v>
      </c>
      <c r="D5492" s="1">
        <v>46210.366481481484</v>
      </c>
      <c r="E5492" t="s">
        <v>43</v>
      </c>
      <c r="F5492" t="s">
        <v>83</v>
      </c>
      <c r="G5492">
        <v>10</v>
      </c>
      <c r="H5492" t="s">
        <v>43</v>
      </c>
      <c r="I5492" t="s">
        <v>43</v>
      </c>
      <c r="J5492">
        <v>62</v>
      </c>
      <c r="K5492">
        <v>61</v>
      </c>
      <c r="L5492">
        <v>98</v>
      </c>
      <c r="M5492">
        <v>627.40002441000001</v>
      </c>
      <c r="N5492" t="s">
        <v>87</v>
      </c>
      <c r="O5492" t="s">
        <v>86</v>
      </c>
      <c r="P5492">
        <v>128</v>
      </c>
      <c r="Q5492">
        <v>3</v>
      </c>
      <c r="R5492">
        <v>45</v>
      </c>
      <c r="S5492">
        <v>1204</v>
      </c>
      <c r="T5492">
        <v>-40</v>
      </c>
      <c r="U5492">
        <v>45</v>
      </c>
      <c r="V5492">
        <v>300</v>
      </c>
      <c r="W5492">
        <v>29</v>
      </c>
      <c r="X5492">
        <v>29</v>
      </c>
      <c r="Y5492">
        <v>1</v>
      </c>
      <c r="Z5492">
        <v>1</v>
      </c>
      <c r="AA5492">
        <v>27</v>
      </c>
      <c r="AB5492">
        <v>2</v>
      </c>
      <c r="AC5492">
        <v>2</v>
      </c>
      <c r="AD5492">
        <v>3.2720000699999998</v>
      </c>
      <c r="AE5492">
        <v>5</v>
      </c>
      <c r="AF5492">
        <v>38</v>
      </c>
      <c r="AG5492">
        <v>3.2630000099999998</v>
      </c>
      <c r="AH5492">
        <v>4</v>
      </c>
      <c r="AI5492">
        <v>24</v>
      </c>
      <c r="AJ5492">
        <v>1</v>
      </c>
      <c r="AK5492">
        <v>18</v>
      </c>
      <c r="AL5492">
        <v>34</v>
      </c>
      <c r="AM5492" t="s">
        <v>43</v>
      </c>
      <c r="AN5492" t="s">
        <v>43</v>
      </c>
    </row>
    <row r="5493" spans="1:40" x14ac:dyDescent="0.3">
      <c r="A5493" s="1">
        <v>46210.363541666666</v>
      </c>
      <c r="B5493" t="s">
        <v>40</v>
      </c>
      <c r="C5493" t="s">
        <v>41</v>
      </c>
      <c r="D5493" s="1">
        <v>46210.366319444445</v>
      </c>
      <c r="E5493" t="s">
        <v>42</v>
      </c>
      <c r="F5493" t="s">
        <v>83</v>
      </c>
      <c r="G5493">
        <v>10</v>
      </c>
      <c r="H5493">
        <v>33084</v>
      </c>
      <c r="I5493" t="s">
        <v>3121</v>
      </c>
      <c r="J5493">
        <v>62</v>
      </c>
      <c r="K5493">
        <v>32</v>
      </c>
      <c r="L5493">
        <v>98</v>
      </c>
      <c r="M5493">
        <v>628</v>
      </c>
      <c r="N5493" t="s">
        <v>87</v>
      </c>
      <c r="O5493" t="s">
        <v>86</v>
      </c>
      <c r="P5493">
        <v>128</v>
      </c>
      <c r="Q5493">
        <v>3</v>
      </c>
      <c r="R5493">
        <v>34</v>
      </c>
      <c r="S5493">
        <v>1188</v>
      </c>
      <c r="T5493">
        <v>-40</v>
      </c>
      <c r="U5493">
        <v>44</v>
      </c>
      <c r="V5493">
        <v>172</v>
      </c>
      <c r="W5493">
        <v>29</v>
      </c>
      <c r="X5493">
        <v>29</v>
      </c>
      <c r="Y5493">
        <v>1</v>
      </c>
      <c r="Z5493">
        <v>1</v>
      </c>
      <c r="AA5493">
        <v>27</v>
      </c>
      <c r="AB5493">
        <v>2</v>
      </c>
      <c r="AC5493">
        <v>2</v>
      </c>
      <c r="AD5493">
        <v>3.2760000200000001</v>
      </c>
      <c r="AE5493">
        <v>1</v>
      </c>
      <c r="AF5493">
        <v>25</v>
      </c>
      <c r="AG5493">
        <v>3.2690000499999998</v>
      </c>
      <c r="AH5493">
        <v>4</v>
      </c>
      <c r="AI5493">
        <v>17</v>
      </c>
      <c r="AJ5493">
        <v>1</v>
      </c>
      <c r="AK5493">
        <v>18</v>
      </c>
      <c r="AL5493">
        <v>34</v>
      </c>
      <c r="AM5493" t="s">
        <v>43</v>
      </c>
      <c r="AN5493" t="str">
        <f>HYPERLINK("https://www.google.com/maps?q=10.83048916,79.84519196","Open Location")</f>
        <v>Open Location</v>
      </c>
    </row>
    <row r="5494" spans="1:40" x14ac:dyDescent="0.3">
      <c r="A5494" s="1">
        <v>46210.363425925927</v>
      </c>
      <c r="B5494" t="s">
        <v>40</v>
      </c>
      <c r="C5494" t="s">
        <v>41</v>
      </c>
      <c r="D5494" s="1">
        <v>46210.36645833333</v>
      </c>
      <c r="E5494" t="s">
        <v>42</v>
      </c>
      <c r="F5494" t="s">
        <v>83</v>
      </c>
      <c r="G5494">
        <v>9</v>
      </c>
      <c r="H5494">
        <v>33084</v>
      </c>
      <c r="I5494" t="s">
        <v>3122</v>
      </c>
      <c r="J5494">
        <v>62</v>
      </c>
      <c r="K5494">
        <v>63</v>
      </c>
      <c r="L5494">
        <v>98</v>
      </c>
      <c r="M5494">
        <v>627.29998779000005</v>
      </c>
      <c r="N5494" t="s">
        <v>87</v>
      </c>
      <c r="O5494" t="s">
        <v>86</v>
      </c>
      <c r="P5494">
        <v>128</v>
      </c>
      <c r="Q5494">
        <v>3</v>
      </c>
      <c r="R5494">
        <v>33</v>
      </c>
      <c r="S5494">
        <v>1221</v>
      </c>
      <c r="T5494">
        <v>-40</v>
      </c>
      <c r="U5494">
        <v>45</v>
      </c>
      <c r="V5494">
        <v>300</v>
      </c>
      <c r="W5494">
        <v>29</v>
      </c>
      <c r="X5494">
        <v>29</v>
      </c>
      <c r="Y5494">
        <v>1</v>
      </c>
      <c r="Z5494">
        <v>1</v>
      </c>
      <c r="AA5494">
        <v>27</v>
      </c>
      <c r="AB5494">
        <v>2</v>
      </c>
      <c r="AC5494">
        <v>2</v>
      </c>
      <c r="AD5494">
        <v>3.2780001200000002</v>
      </c>
      <c r="AE5494">
        <v>5</v>
      </c>
      <c r="AF5494">
        <v>38</v>
      </c>
      <c r="AG5494">
        <v>3.27099991</v>
      </c>
      <c r="AH5494">
        <v>2</v>
      </c>
      <c r="AI5494">
        <v>46</v>
      </c>
      <c r="AJ5494">
        <v>1</v>
      </c>
      <c r="AK5494">
        <v>18</v>
      </c>
      <c r="AL5494">
        <v>34</v>
      </c>
      <c r="AM5494" t="s">
        <v>43</v>
      </c>
      <c r="AN5494" t="str">
        <f>HYPERLINK("https://www.google.com/maps?q=10.83020115,79.84532166","Open Location")</f>
        <v>Open Location</v>
      </c>
    </row>
    <row r="5495" spans="1:40" x14ac:dyDescent="0.3">
      <c r="A5495" s="1">
        <v>46210.363310185188</v>
      </c>
      <c r="B5495" t="s">
        <v>40</v>
      </c>
      <c r="C5495" t="s">
        <v>41</v>
      </c>
      <c r="D5495" s="1">
        <v>46210.366319444445</v>
      </c>
      <c r="E5495" t="s">
        <v>42</v>
      </c>
      <c r="F5495" t="s">
        <v>83</v>
      </c>
      <c r="G5495">
        <v>13</v>
      </c>
      <c r="H5495">
        <v>33084</v>
      </c>
      <c r="I5495" t="s">
        <v>3123</v>
      </c>
      <c r="J5495">
        <v>62</v>
      </c>
      <c r="K5495">
        <v>-15</v>
      </c>
      <c r="L5495">
        <v>98</v>
      </c>
      <c r="M5495">
        <v>630.79998779000005</v>
      </c>
      <c r="N5495" t="s">
        <v>87</v>
      </c>
      <c r="O5495" t="s">
        <v>86</v>
      </c>
      <c r="P5495">
        <v>129</v>
      </c>
      <c r="Q5495">
        <v>4</v>
      </c>
      <c r="R5495">
        <v>-12</v>
      </c>
      <c r="S5495">
        <v>1019</v>
      </c>
      <c r="T5495">
        <v>-40</v>
      </c>
      <c r="U5495">
        <v>44</v>
      </c>
      <c r="V5495">
        <v>-112</v>
      </c>
      <c r="W5495">
        <v>29</v>
      </c>
      <c r="X5495">
        <v>29</v>
      </c>
      <c r="Y5495">
        <v>1</v>
      </c>
      <c r="Z5495">
        <v>1</v>
      </c>
      <c r="AA5495">
        <v>27</v>
      </c>
      <c r="AB5495">
        <v>2</v>
      </c>
      <c r="AC5495">
        <v>2</v>
      </c>
      <c r="AD5495">
        <v>3.28800011</v>
      </c>
      <c r="AE5495">
        <v>1</v>
      </c>
      <c r="AF5495">
        <v>16</v>
      </c>
      <c r="AG5495">
        <v>3.28299999</v>
      </c>
      <c r="AH5495">
        <v>7</v>
      </c>
      <c r="AI5495">
        <v>1</v>
      </c>
      <c r="AJ5495">
        <v>1</v>
      </c>
      <c r="AK5495">
        <v>18</v>
      </c>
      <c r="AL5495">
        <v>34</v>
      </c>
      <c r="AM5495" t="s">
        <v>43</v>
      </c>
      <c r="AN5495" t="str">
        <f>HYPERLINK("https://www.google.com/maps?q=10.83003998,79.84555817","Open Location")</f>
        <v>Open Location</v>
      </c>
    </row>
    <row r="5496" spans="1:40" x14ac:dyDescent="0.3">
      <c r="A5496" s="1">
        <v>46210.363194444442</v>
      </c>
      <c r="B5496" t="s">
        <v>40</v>
      </c>
      <c r="C5496" t="s">
        <v>41</v>
      </c>
      <c r="D5496" s="1">
        <v>46210.365960648145</v>
      </c>
      <c r="E5496" t="s">
        <v>43</v>
      </c>
      <c r="F5496" t="s">
        <v>83</v>
      </c>
      <c r="G5496">
        <v>15</v>
      </c>
      <c r="H5496">
        <v>33084</v>
      </c>
      <c r="I5496" t="s">
        <v>3124</v>
      </c>
      <c r="J5496">
        <v>62</v>
      </c>
      <c r="K5496">
        <v>67</v>
      </c>
      <c r="L5496">
        <v>98</v>
      </c>
      <c r="M5496">
        <v>627.09997558999999</v>
      </c>
      <c r="N5496" t="s">
        <v>87</v>
      </c>
      <c r="O5496" t="s">
        <v>86</v>
      </c>
      <c r="P5496">
        <v>129</v>
      </c>
      <c r="Q5496">
        <v>4</v>
      </c>
      <c r="R5496">
        <v>27</v>
      </c>
      <c r="S5496">
        <v>1149</v>
      </c>
      <c r="T5496">
        <v>-40</v>
      </c>
      <c r="U5496">
        <v>45</v>
      </c>
      <c r="V5496">
        <v>280</v>
      </c>
      <c r="W5496">
        <v>29</v>
      </c>
      <c r="X5496">
        <v>29</v>
      </c>
      <c r="Y5496">
        <v>1</v>
      </c>
      <c r="Z5496">
        <v>1</v>
      </c>
      <c r="AA5496">
        <v>27</v>
      </c>
      <c r="AB5496">
        <v>2</v>
      </c>
      <c r="AC5496">
        <v>2</v>
      </c>
      <c r="AD5496">
        <v>3.2750001000000002</v>
      </c>
      <c r="AE5496">
        <v>1</v>
      </c>
      <c r="AF5496">
        <v>16</v>
      </c>
      <c r="AG5496">
        <v>3.26799989</v>
      </c>
      <c r="AH5496">
        <v>4</v>
      </c>
      <c r="AI5496">
        <v>17</v>
      </c>
      <c r="AJ5496">
        <v>1</v>
      </c>
      <c r="AK5496">
        <v>18</v>
      </c>
      <c r="AL5496">
        <v>34</v>
      </c>
      <c r="AM5496" t="s">
        <v>43</v>
      </c>
      <c r="AN5496" t="str">
        <f>HYPERLINK("https://www.google.com/maps?q=10.83011627,79.84602356","Open Location")</f>
        <v>Open Location</v>
      </c>
    </row>
    <row r="5497" spans="1:40" x14ac:dyDescent="0.3">
      <c r="A5497" s="1">
        <v>46210.363078703704</v>
      </c>
      <c r="B5497" t="s">
        <v>40</v>
      </c>
      <c r="C5497" t="s">
        <v>41</v>
      </c>
      <c r="D5497" s="1">
        <v>46210.366111111114</v>
      </c>
      <c r="E5497" t="s">
        <v>42</v>
      </c>
      <c r="F5497" t="s">
        <v>83</v>
      </c>
      <c r="G5497">
        <v>14</v>
      </c>
      <c r="H5497">
        <v>33084</v>
      </c>
      <c r="I5497" t="s">
        <v>43</v>
      </c>
      <c r="J5497">
        <v>62</v>
      </c>
      <c r="K5497">
        <v>14</v>
      </c>
      <c r="L5497">
        <v>98</v>
      </c>
      <c r="M5497">
        <v>628.70001220999995</v>
      </c>
      <c r="N5497" t="s">
        <v>87</v>
      </c>
      <c r="O5497" t="s">
        <v>86</v>
      </c>
      <c r="P5497">
        <v>129</v>
      </c>
      <c r="Q5497">
        <v>4</v>
      </c>
      <c r="R5497">
        <v>25</v>
      </c>
      <c r="S5497">
        <v>1089</v>
      </c>
      <c r="T5497">
        <v>-40</v>
      </c>
      <c r="U5497">
        <v>44</v>
      </c>
      <c r="V5497">
        <v>0</v>
      </c>
      <c r="W5497">
        <v>29</v>
      </c>
      <c r="X5497">
        <v>29</v>
      </c>
      <c r="Y5497">
        <v>1</v>
      </c>
      <c r="Z5497">
        <v>1</v>
      </c>
      <c r="AA5497">
        <v>27</v>
      </c>
      <c r="AB5497">
        <v>2</v>
      </c>
      <c r="AC5497">
        <v>2</v>
      </c>
      <c r="AD5497">
        <v>3.27699995</v>
      </c>
      <c r="AE5497">
        <v>5</v>
      </c>
      <c r="AF5497">
        <v>38</v>
      </c>
      <c r="AG5497">
        <v>3.2699999800000001</v>
      </c>
      <c r="AH5497">
        <v>2</v>
      </c>
      <c r="AI5497">
        <v>46</v>
      </c>
      <c r="AJ5497">
        <v>1</v>
      </c>
      <c r="AK5497">
        <v>18</v>
      </c>
      <c r="AL5497">
        <v>34</v>
      </c>
      <c r="AM5497" t="s">
        <v>43</v>
      </c>
      <c r="AN5497" t="s">
        <v>43</v>
      </c>
    </row>
    <row r="5498" spans="1:40" x14ac:dyDescent="0.3">
      <c r="A5498" s="1">
        <v>46210.362962962965</v>
      </c>
      <c r="B5498" t="s">
        <v>40</v>
      </c>
      <c r="C5498" t="s">
        <v>41</v>
      </c>
      <c r="D5498" s="1">
        <v>46210.365706018521</v>
      </c>
      <c r="E5498" t="s">
        <v>43</v>
      </c>
      <c r="F5498" t="s">
        <v>83</v>
      </c>
      <c r="G5498">
        <v>13</v>
      </c>
      <c r="H5498">
        <v>33084</v>
      </c>
      <c r="I5498" t="s">
        <v>43</v>
      </c>
      <c r="J5498">
        <v>62</v>
      </c>
      <c r="K5498">
        <v>48</v>
      </c>
      <c r="L5498">
        <v>98</v>
      </c>
      <c r="M5498">
        <v>628.59997558999999</v>
      </c>
      <c r="N5498" t="s">
        <v>87</v>
      </c>
      <c r="O5498" t="s">
        <v>86</v>
      </c>
      <c r="P5498">
        <v>128</v>
      </c>
      <c r="Q5498">
        <v>3</v>
      </c>
      <c r="R5498">
        <v>28</v>
      </c>
      <c r="S5498">
        <v>1690</v>
      </c>
      <c r="T5498">
        <v>-40</v>
      </c>
      <c r="U5498">
        <v>45</v>
      </c>
      <c r="V5498">
        <v>160</v>
      </c>
      <c r="W5498">
        <v>29</v>
      </c>
      <c r="X5498">
        <v>29</v>
      </c>
      <c r="Y5498">
        <v>1</v>
      </c>
      <c r="Z5498">
        <v>1</v>
      </c>
      <c r="AA5498">
        <v>27</v>
      </c>
      <c r="AB5498">
        <v>2</v>
      </c>
      <c r="AC5498">
        <v>2</v>
      </c>
      <c r="AD5498">
        <v>3.2780001200000002</v>
      </c>
      <c r="AE5498">
        <v>1</v>
      </c>
      <c r="AF5498">
        <v>16</v>
      </c>
      <c r="AG5498">
        <v>3.27099991</v>
      </c>
      <c r="AH5498">
        <v>6</v>
      </c>
      <c r="AI5498">
        <v>24</v>
      </c>
      <c r="AJ5498">
        <v>1</v>
      </c>
      <c r="AK5498">
        <v>18</v>
      </c>
      <c r="AL5498">
        <v>34</v>
      </c>
      <c r="AM5498" t="s">
        <v>43</v>
      </c>
      <c r="AN5498" t="s">
        <v>43</v>
      </c>
    </row>
    <row r="5499" spans="1:40" x14ac:dyDescent="0.3">
      <c r="A5499" s="1">
        <v>46210.362847222219</v>
      </c>
      <c r="B5499" t="s">
        <v>40</v>
      </c>
      <c r="C5499" t="s">
        <v>41</v>
      </c>
      <c r="D5499" s="1">
        <v>46210.365671296298</v>
      </c>
      <c r="E5499" t="s">
        <v>42</v>
      </c>
      <c r="F5499" t="s">
        <v>83</v>
      </c>
      <c r="G5499">
        <v>10</v>
      </c>
      <c r="H5499">
        <v>33084</v>
      </c>
      <c r="I5499" t="s">
        <v>3125</v>
      </c>
      <c r="J5499">
        <v>62</v>
      </c>
      <c r="K5499">
        <v>78</v>
      </c>
      <c r="L5499">
        <v>98</v>
      </c>
      <c r="M5499">
        <v>628</v>
      </c>
      <c r="N5499" t="s">
        <v>87</v>
      </c>
      <c r="O5499" t="s">
        <v>86</v>
      </c>
      <c r="P5499">
        <v>128</v>
      </c>
      <c r="Q5499">
        <v>3</v>
      </c>
      <c r="R5499">
        <v>46</v>
      </c>
      <c r="S5499">
        <v>1287</v>
      </c>
      <c r="T5499">
        <v>-40</v>
      </c>
      <c r="U5499">
        <v>44</v>
      </c>
      <c r="V5499">
        <v>340</v>
      </c>
      <c r="W5499">
        <v>29</v>
      </c>
      <c r="X5499">
        <v>29</v>
      </c>
      <c r="Y5499">
        <v>1</v>
      </c>
      <c r="Z5499">
        <v>1</v>
      </c>
      <c r="AA5499">
        <v>27</v>
      </c>
      <c r="AB5499">
        <v>2</v>
      </c>
      <c r="AC5499">
        <v>2</v>
      </c>
      <c r="AD5499">
        <v>3.2750001000000002</v>
      </c>
      <c r="AE5499">
        <v>1</v>
      </c>
      <c r="AF5499">
        <v>25</v>
      </c>
      <c r="AG5499">
        <v>3.2669999600000001</v>
      </c>
      <c r="AH5499">
        <v>2</v>
      </c>
      <c r="AI5499">
        <v>46</v>
      </c>
      <c r="AJ5499">
        <v>1</v>
      </c>
      <c r="AK5499">
        <v>18</v>
      </c>
      <c r="AL5499">
        <v>34</v>
      </c>
      <c r="AM5499" t="s">
        <v>43</v>
      </c>
      <c r="AN5499" t="str">
        <f>HYPERLINK("https://www.google.com/maps?q=10.83025837,79.84690857","Open Location")</f>
        <v>Open Location</v>
      </c>
    </row>
    <row r="5500" spans="1:40" x14ac:dyDescent="0.3">
      <c r="A5500" s="1">
        <v>46210.36273148148</v>
      </c>
      <c r="B5500" t="s">
        <v>40</v>
      </c>
      <c r="C5500" t="s">
        <v>41</v>
      </c>
      <c r="D5500" s="1">
        <v>46210.365682870368</v>
      </c>
      <c r="E5500" t="s">
        <v>42</v>
      </c>
      <c r="F5500" t="s">
        <v>83</v>
      </c>
      <c r="G5500">
        <v>8</v>
      </c>
      <c r="H5500" t="s">
        <v>43</v>
      </c>
      <c r="I5500" t="s">
        <v>3126</v>
      </c>
      <c r="J5500">
        <v>62</v>
      </c>
      <c r="K5500">
        <v>2</v>
      </c>
      <c r="L5500">
        <v>98</v>
      </c>
      <c r="M5500">
        <v>630.90002441000001</v>
      </c>
      <c r="N5500" t="s">
        <v>87</v>
      </c>
      <c r="O5500" t="s">
        <v>86</v>
      </c>
      <c r="P5500">
        <v>127</v>
      </c>
      <c r="Q5500">
        <v>2</v>
      </c>
      <c r="R5500">
        <v>0</v>
      </c>
      <c r="S5500">
        <v>1601</v>
      </c>
      <c r="T5500">
        <v>-40</v>
      </c>
      <c r="U5500">
        <v>43</v>
      </c>
      <c r="V5500">
        <v>5</v>
      </c>
      <c r="W5500">
        <v>29</v>
      </c>
      <c r="X5500">
        <v>29</v>
      </c>
      <c r="Y5500">
        <v>1</v>
      </c>
      <c r="Z5500">
        <v>1</v>
      </c>
      <c r="AA5500">
        <v>27</v>
      </c>
      <c r="AB5500">
        <v>2</v>
      </c>
      <c r="AC5500">
        <v>2</v>
      </c>
      <c r="AD5500">
        <v>3.2909998900000001</v>
      </c>
      <c r="AE5500">
        <v>1</v>
      </c>
      <c r="AF5500">
        <v>25</v>
      </c>
      <c r="AG5500">
        <v>3.28600001</v>
      </c>
      <c r="AH5500">
        <v>7</v>
      </c>
      <c r="AI5500">
        <v>1</v>
      </c>
      <c r="AJ5500">
        <v>1</v>
      </c>
      <c r="AK5500">
        <v>19</v>
      </c>
      <c r="AL5500">
        <v>34</v>
      </c>
      <c r="AM5500" t="s">
        <v>43</v>
      </c>
      <c r="AN5500" t="str">
        <f>HYPERLINK("https://www.google.com/maps?q=10.83035564,79.84718323","Open Location")</f>
        <v>Open Location</v>
      </c>
    </row>
    <row r="5501" spans="1:40" x14ac:dyDescent="0.3">
      <c r="A5501" s="1">
        <v>46210.362615740742</v>
      </c>
      <c r="B5501" t="s">
        <v>40</v>
      </c>
      <c r="C5501" t="s">
        <v>41</v>
      </c>
      <c r="D5501" s="1">
        <v>46210.365474537037</v>
      </c>
      <c r="E5501" t="s">
        <v>42</v>
      </c>
      <c r="F5501" t="s">
        <v>83</v>
      </c>
      <c r="G5501">
        <v>7</v>
      </c>
      <c r="H5501">
        <v>33084</v>
      </c>
      <c r="I5501" t="s">
        <v>3127</v>
      </c>
      <c r="J5501">
        <v>62</v>
      </c>
      <c r="K5501">
        <v>37</v>
      </c>
      <c r="L5501">
        <v>98</v>
      </c>
      <c r="M5501">
        <v>629.5</v>
      </c>
      <c r="N5501" t="s">
        <v>87</v>
      </c>
      <c r="O5501" t="s">
        <v>86</v>
      </c>
      <c r="P5501">
        <v>127</v>
      </c>
      <c r="Q5501">
        <v>2</v>
      </c>
      <c r="R5501">
        <v>23</v>
      </c>
      <c r="S5501">
        <v>1632</v>
      </c>
      <c r="T5501">
        <v>-40</v>
      </c>
      <c r="U5501">
        <v>44</v>
      </c>
      <c r="V5501">
        <v>140</v>
      </c>
      <c r="W5501">
        <v>29</v>
      </c>
      <c r="X5501">
        <v>29</v>
      </c>
      <c r="Y5501">
        <v>1</v>
      </c>
      <c r="Z5501">
        <v>1</v>
      </c>
      <c r="AA5501">
        <v>27</v>
      </c>
      <c r="AB5501">
        <v>2</v>
      </c>
      <c r="AC5501">
        <v>2</v>
      </c>
      <c r="AD5501">
        <v>3.28500009</v>
      </c>
      <c r="AE5501">
        <v>1</v>
      </c>
      <c r="AF5501">
        <v>16</v>
      </c>
      <c r="AG5501">
        <v>3.2790000400000001</v>
      </c>
      <c r="AH5501">
        <v>7</v>
      </c>
      <c r="AI5501">
        <v>1</v>
      </c>
      <c r="AJ5501">
        <v>1</v>
      </c>
      <c r="AK5501">
        <v>18</v>
      </c>
      <c r="AL5501">
        <v>34</v>
      </c>
      <c r="AM5501" t="s">
        <v>43</v>
      </c>
      <c r="AN5501" t="str">
        <f>HYPERLINK("https://www.google.com/maps?q=10.83048153,79.84742737","Open Location")</f>
        <v>Open Location</v>
      </c>
    </row>
    <row r="5502" spans="1:40" x14ac:dyDescent="0.3">
      <c r="A5502" s="1">
        <v>46210.362500000003</v>
      </c>
      <c r="B5502" t="s">
        <v>40</v>
      </c>
      <c r="C5502" t="s">
        <v>41</v>
      </c>
      <c r="D5502" s="1">
        <v>46210.36515046296</v>
      </c>
      <c r="E5502" t="s">
        <v>43</v>
      </c>
      <c r="F5502" t="s">
        <v>83</v>
      </c>
      <c r="G5502">
        <v>3</v>
      </c>
      <c r="H5502">
        <v>33084</v>
      </c>
      <c r="I5502" t="s">
        <v>3128</v>
      </c>
      <c r="J5502">
        <v>62</v>
      </c>
      <c r="K5502">
        <v>25</v>
      </c>
      <c r="L5502">
        <v>98</v>
      </c>
      <c r="M5502">
        <v>629.90002441000001</v>
      </c>
      <c r="N5502" t="s">
        <v>87</v>
      </c>
      <c r="O5502" t="s">
        <v>86</v>
      </c>
      <c r="P5502">
        <v>127</v>
      </c>
      <c r="Q5502">
        <v>2</v>
      </c>
      <c r="R5502">
        <v>1</v>
      </c>
      <c r="S5502">
        <v>687</v>
      </c>
      <c r="T5502">
        <v>-40</v>
      </c>
      <c r="U5502">
        <v>44</v>
      </c>
      <c r="V5502">
        <v>220</v>
      </c>
      <c r="W5502">
        <v>29</v>
      </c>
      <c r="X5502">
        <v>29</v>
      </c>
      <c r="Y5502">
        <v>1</v>
      </c>
      <c r="Z5502">
        <v>1</v>
      </c>
      <c r="AA5502">
        <v>27</v>
      </c>
      <c r="AB5502">
        <v>2</v>
      </c>
      <c r="AC5502">
        <v>2</v>
      </c>
      <c r="AD5502">
        <v>3.2899999599999998</v>
      </c>
      <c r="AE5502">
        <v>1</v>
      </c>
      <c r="AF5502">
        <v>25</v>
      </c>
      <c r="AG5502">
        <v>3.28500009</v>
      </c>
      <c r="AH5502">
        <v>4</v>
      </c>
      <c r="AI5502">
        <v>17</v>
      </c>
      <c r="AJ5502">
        <v>1</v>
      </c>
      <c r="AK5502">
        <v>18</v>
      </c>
      <c r="AL5502">
        <v>34</v>
      </c>
      <c r="AM5502" t="s">
        <v>43</v>
      </c>
      <c r="AN5502" t="str">
        <f>HYPERLINK("https://www.google.com/maps?q=10.83049488,79.84755707","Open Location")</f>
        <v>Open Location</v>
      </c>
    </row>
    <row r="5503" spans="1:40" x14ac:dyDescent="0.3">
      <c r="A5503" s="1">
        <v>46210.362384259257</v>
      </c>
      <c r="B5503" t="s">
        <v>40</v>
      </c>
      <c r="C5503" t="s">
        <v>41</v>
      </c>
      <c r="D5503" s="1">
        <v>46210.365243055552</v>
      </c>
      <c r="E5503" t="s">
        <v>42</v>
      </c>
      <c r="F5503" t="s">
        <v>83</v>
      </c>
      <c r="G5503">
        <v>0</v>
      </c>
      <c r="H5503">
        <v>33084</v>
      </c>
      <c r="I5503" t="s">
        <v>43</v>
      </c>
      <c r="J5503">
        <v>62</v>
      </c>
      <c r="K5503">
        <v>2</v>
      </c>
      <c r="L5503">
        <v>98</v>
      </c>
      <c r="M5503">
        <v>630.70001220999995</v>
      </c>
      <c r="N5503" t="s">
        <v>85</v>
      </c>
      <c r="O5503" t="s">
        <v>86</v>
      </c>
      <c r="P5503">
        <v>127</v>
      </c>
      <c r="Q5503">
        <v>2</v>
      </c>
      <c r="R5503">
        <v>0</v>
      </c>
      <c r="S5503">
        <v>0</v>
      </c>
      <c r="T5503">
        <v>-40</v>
      </c>
      <c r="U5503">
        <v>42</v>
      </c>
      <c r="V5503">
        <v>5</v>
      </c>
      <c r="W5503">
        <v>29</v>
      </c>
      <c r="X5503">
        <v>29</v>
      </c>
      <c r="Y5503">
        <v>1</v>
      </c>
      <c r="Z5503">
        <v>1</v>
      </c>
      <c r="AA5503">
        <v>27</v>
      </c>
      <c r="AB5503">
        <v>2</v>
      </c>
      <c r="AC5503">
        <v>2</v>
      </c>
      <c r="AD5503">
        <v>3.2909998900000001</v>
      </c>
      <c r="AE5503">
        <v>1</v>
      </c>
      <c r="AF5503">
        <v>25</v>
      </c>
      <c r="AG5503">
        <v>3.28600001</v>
      </c>
      <c r="AH5503">
        <v>2</v>
      </c>
      <c r="AI5503">
        <v>22</v>
      </c>
      <c r="AJ5503">
        <v>1</v>
      </c>
      <c r="AK5503">
        <v>18</v>
      </c>
      <c r="AL5503">
        <v>34</v>
      </c>
      <c r="AM5503" t="s">
        <v>43</v>
      </c>
      <c r="AN5503" t="s">
        <v>43</v>
      </c>
    </row>
    <row r="5504" spans="1:40" x14ac:dyDescent="0.3">
      <c r="A5504" s="1">
        <v>46210.362268518518</v>
      </c>
      <c r="B5504" t="s">
        <v>40</v>
      </c>
      <c r="C5504" t="s">
        <v>41</v>
      </c>
      <c r="D5504" s="1">
        <v>46210.365266203706</v>
      </c>
      <c r="E5504" t="s">
        <v>43</v>
      </c>
      <c r="F5504" t="s">
        <v>83</v>
      </c>
      <c r="G5504">
        <v>0</v>
      </c>
      <c r="H5504">
        <v>33084</v>
      </c>
      <c r="I5504" t="s">
        <v>43</v>
      </c>
      <c r="J5504">
        <v>62</v>
      </c>
      <c r="K5504">
        <v>2</v>
      </c>
      <c r="L5504">
        <v>98</v>
      </c>
      <c r="M5504">
        <v>630.59997558999999</v>
      </c>
      <c r="N5504" t="s">
        <v>85</v>
      </c>
      <c r="O5504" t="s">
        <v>86</v>
      </c>
      <c r="P5504">
        <v>127</v>
      </c>
      <c r="Q5504">
        <v>2</v>
      </c>
      <c r="R5504">
        <v>0</v>
      </c>
      <c r="S5504">
        <v>0</v>
      </c>
      <c r="T5504">
        <v>-40</v>
      </c>
      <c r="U5504">
        <v>42</v>
      </c>
      <c r="V5504">
        <v>5</v>
      </c>
      <c r="W5504">
        <v>29</v>
      </c>
      <c r="X5504">
        <v>29</v>
      </c>
      <c r="Y5504">
        <v>1</v>
      </c>
      <c r="Z5504">
        <v>1</v>
      </c>
      <c r="AA5504">
        <v>27</v>
      </c>
      <c r="AB5504">
        <v>2</v>
      </c>
      <c r="AC5504">
        <v>2</v>
      </c>
      <c r="AD5504">
        <v>3.2899999599999998</v>
      </c>
      <c r="AE5504">
        <v>1</v>
      </c>
      <c r="AF5504">
        <v>16</v>
      </c>
      <c r="AG5504">
        <v>3.28500009</v>
      </c>
      <c r="AH5504">
        <v>7</v>
      </c>
      <c r="AI5504">
        <v>1</v>
      </c>
      <c r="AJ5504">
        <v>1</v>
      </c>
      <c r="AK5504">
        <v>18</v>
      </c>
      <c r="AL5504">
        <v>34</v>
      </c>
      <c r="AM5504" t="s">
        <v>43</v>
      </c>
      <c r="AN5504" t="s">
        <v>43</v>
      </c>
    </row>
    <row r="5505" spans="1:40" x14ac:dyDescent="0.3">
      <c r="A5505" s="1">
        <v>46210.36215277778</v>
      </c>
      <c r="B5505" t="s">
        <v>40</v>
      </c>
      <c r="C5505" t="s">
        <v>41</v>
      </c>
      <c r="D5505" s="1">
        <v>46210.365243055552</v>
      </c>
      <c r="E5505" t="s">
        <v>42</v>
      </c>
      <c r="F5505" t="s">
        <v>83</v>
      </c>
      <c r="G5505">
        <v>0</v>
      </c>
      <c r="H5505">
        <v>33084</v>
      </c>
      <c r="I5505" t="s">
        <v>3129</v>
      </c>
      <c r="J5505">
        <v>62</v>
      </c>
      <c r="K5505">
        <v>2</v>
      </c>
      <c r="L5505">
        <v>98</v>
      </c>
      <c r="M5505">
        <v>631.29998779000005</v>
      </c>
      <c r="N5505" t="s">
        <v>85</v>
      </c>
      <c r="O5505" t="s">
        <v>86</v>
      </c>
      <c r="P5505">
        <v>127</v>
      </c>
      <c r="Q5505">
        <v>2</v>
      </c>
      <c r="R5505">
        <v>0</v>
      </c>
      <c r="S5505">
        <v>0</v>
      </c>
      <c r="T5505">
        <v>-40</v>
      </c>
      <c r="U5505">
        <v>42</v>
      </c>
      <c r="V5505">
        <v>5</v>
      </c>
      <c r="W5505">
        <v>29</v>
      </c>
      <c r="X5505">
        <v>29</v>
      </c>
      <c r="Y5505">
        <v>1</v>
      </c>
      <c r="Z5505">
        <v>1</v>
      </c>
      <c r="AA5505">
        <v>27</v>
      </c>
      <c r="AB5505">
        <v>2</v>
      </c>
      <c r="AC5505">
        <v>2</v>
      </c>
      <c r="AD5505">
        <v>3.2899999599999998</v>
      </c>
      <c r="AE5505">
        <v>1</v>
      </c>
      <c r="AF5505">
        <v>25</v>
      </c>
      <c r="AG5505">
        <v>3.28500009</v>
      </c>
      <c r="AH5505">
        <v>2</v>
      </c>
      <c r="AI5505">
        <v>22</v>
      </c>
      <c r="AJ5505">
        <v>1</v>
      </c>
      <c r="AK5505">
        <v>18</v>
      </c>
      <c r="AL5505">
        <v>33</v>
      </c>
      <c r="AM5505" t="s">
        <v>43</v>
      </c>
      <c r="AN5505" t="str">
        <f>HYPERLINK("https://www.google.com/maps?q=10.83049202,79.8475647","Open Location")</f>
        <v>Open Location</v>
      </c>
    </row>
    <row r="5506" spans="1:40" x14ac:dyDescent="0.3">
      <c r="A5506" s="1">
        <v>46210.362037037034</v>
      </c>
      <c r="B5506" t="s">
        <v>40</v>
      </c>
      <c r="C5506" t="s">
        <v>41</v>
      </c>
      <c r="D5506" s="1">
        <v>46210.365266203706</v>
      </c>
      <c r="E5506" t="s">
        <v>42</v>
      </c>
      <c r="F5506" t="s">
        <v>83</v>
      </c>
      <c r="G5506">
        <v>0</v>
      </c>
      <c r="H5506">
        <v>33084</v>
      </c>
      <c r="I5506" t="s">
        <v>3130</v>
      </c>
      <c r="J5506">
        <v>62</v>
      </c>
      <c r="K5506">
        <v>9</v>
      </c>
      <c r="L5506">
        <v>98</v>
      </c>
      <c r="M5506">
        <v>630.79998779000005</v>
      </c>
      <c r="N5506" t="s">
        <v>85</v>
      </c>
      <c r="O5506" t="s">
        <v>86</v>
      </c>
      <c r="P5506">
        <v>127</v>
      </c>
      <c r="Q5506">
        <v>2</v>
      </c>
      <c r="R5506">
        <v>0</v>
      </c>
      <c r="S5506">
        <v>0</v>
      </c>
      <c r="T5506">
        <v>-40</v>
      </c>
      <c r="U5506">
        <v>42</v>
      </c>
      <c r="V5506">
        <v>5</v>
      </c>
      <c r="W5506">
        <v>29</v>
      </c>
      <c r="X5506">
        <v>29</v>
      </c>
      <c r="Y5506">
        <v>1</v>
      </c>
      <c r="Z5506">
        <v>1</v>
      </c>
      <c r="AA5506">
        <v>27</v>
      </c>
      <c r="AB5506">
        <v>2</v>
      </c>
      <c r="AC5506">
        <v>2</v>
      </c>
      <c r="AD5506">
        <v>3.28800011</v>
      </c>
      <c r="AE5506">
        <v>1</v>
      </c>
      <c r="AF5506">
        <v>25</v>
      </c>
      <c r="AG5506">
        <v>3.2820000600000001</v>
      </c>
      <c r="AH5506">
        <v>7</v>
      </c>
      <c r="AI5506">
        <v>1</v>
      </c>
      <c r="AJ5506">
        <v>1</v>
      </c>
      <c r="AK5506">
        <v>18</v>
      </c>
      <c r="AL5506">
        <v>33</v>
      </c>
      <c r="AM5506" t="s">
        <v>43</v>
      </c>
      <c r="AN5506" t="str">
        <f>HYPERLINK("https://www.google.com/maps?q=10.83049011,79.8475647","Open Location")</f>
        <v>Open Location</v>
      </c>
    </row>
    <row r="5507" spans="1:40" x14ac:dyDescent="0.3">
      <c r="A5507" s="1">
        <v>46210.361921296295</v>
      </c>
      <c r="B5507" t="s">
        <v>40</v>
      </c>
      <c r="C5507" t="s">
        <v>41</v>
      </c>
      <c r="D5507" s="1">
        <v>46210.364722222221</v>
      </c>
      <c r="E5507" t="s">
        <v>42</v>
      </c>
      <c r="F5507" t="s">
        <v>83</v>
      </c>
      <c r="G5507">
        <v>0</v>
      </c>
      <c r="H5507">
        <v>33084</v>
      </c>
      <c r="I5507" t="s">
        <v>3131</v>
      </c>
      <c r="J5507">
        <v>62</v>
      </c>
      <c r="K5507">
        <v>9</v>
      </c>
      <c r="L5507">
        <v>98</v>
      </c>
      <c r="M5507">
        <v>630.40002441000001</v>
      </c>
      <c r="N5507" t="s">
        <v>85</v>
      </c>
      <c r="O5507" t="s">
        <v>86</v>
      </c>
      <c r="P5507">
        <v>127</v>
      </c>
      <c r="Q5507">
        <v>2</v>
      </c>
      <c r="R5507">
        <v>0</v>
      </c>
      <c r="S5507">
        <v>0</v>
      </c>
      <c r="T5507">
        <v>-40</v>
      </c>
      <c r="U5507">
        <v>42</v>
      </c>
      <c r="V5507">
        <v>5</v>
      </c>
      <c r="W5507">
        <v>29</v>
      </c>
      <c r="X5507">
        <v>29</v>
      </c>
      <c r="Y5507">
        <v>1</v>
      </c>
      <c r="Z5507">
        <v>1</v>
      </c>
      <c r="AA5507">
        <v>27</v>
      </c>
      <c r="AB5507">
        <v>2</v>
      </c>
      <c r="AC5507">
        <v>2</v>
      </c>
      <c r="AD5507">
        <v>3.2869999399999998</v>
      </c>
      <c r="AE5507">
        <v>1</v>
      </c>
      <c r="AF5507">
        <v>16</v>
      </c>
      <c r="AG5507">
        <v>3.2820000600000001</v>
      </c>
      <c r="AH5507">
        <v>5</v>
      </c>
      <c r="AI5507">
        <v>10</v>
      </c>
      <c r="AJ5507">
        <v>1</v>
      </c>
      <c r="AK5507">
        <v>18</v>
      </c>
      <c r="AL5507">
        <v>33</v>
      </c>
      <c r="AM5507" t="s">
        <v>43</v>
      </c>
      <c r="AN5507" t="str">
        <f>HYPERLINK("https://www.google.com/maps?q=10.83049107,79.8475647","Open Location")</f>
        <v>Open Location</v>
      </c>
    </row>
    <row r="5508" spans="1:40" x14ac:dyDescent="0.3">
      <c r="A5508" s="1">
        <v>46210.361805555556</v>
      </c>
      <c r="B5508" t="s">
        <v>40</v>
      </c>
      <c r="C5508" t="s">
        <v>41</v>
      </c>
      <c r="D5508" s="1">
        <v>46210.364675925928</v>
      </c>
      <c r="E5508" t="s">
        <v>43</v>
      </c>
      <c r="F5508" t="s">
        <v>83</v>
      </c>
      <c r="G5508">
        <v>0</v>
      </c>
      <c r="H5508">
        <v>33084</v>
      </c>
      <c r="I5508" t="s">
        <v>3132</v>
      </c>
      <c r="J5508">
        <v>62</v>
      </c>
      <c r="K5508">
        <v>2</v>
      </c>
      <c r="L5508">
        <v>98</v>
      </c>
      <c r="M5508">
        <v>630.40002441000001</v>
      </c>
      <c r="N5508" t="s">
        <v>85</v>
      </c>
      <c r="O5508" t="s">
        <v>86</v>
      </c>
      <c r="P5508">
        <v>127</v>
      </c>
      <c r="Q5508">
        <v>2</v>
      </c>
      <c r="R5508">
        <v>0</v>
      </c>
      <c r="S5508">
        <v>0</v>
      </c>
      <c r="T5508">
        <v>-40</v>
      </c>
      <c r="U5508">
        <v>42</v>
      </c>
      <c r="V5508">
        <v>5</v>
      </c>
      <c r="W5508">
        <v>29</v>
      </c>
      <c r="X5508">
        <v>29</v>
      </c>
      <c r="Y5508">
        <v>1</v>
      </c>
      <c r="Z5508">
        <v>1</v>
      </c>
      <c r="AA5508">
        <v>27</v>
      </c>
      <c r="AB5508">
        <v>2</v>
      </c>
      <c r="AC5508">
        <v>2</v>
      </c>
      <c r="AD5508">
        <v>3.28800011</v>
      </c>
      <c r="AE5508">
        <v>1</v>
      </c>
      <c r="AF5508">
        <v>16</v>
      </c>
      <c r="AG5508">
        <v>3.28299999</v>
      </c>
      <c r="AH5508">
        <v>5</v>
      </c>
      <c r="AI5508">
        <v>10</v>
      </c>
      <c r="AJ5508">
        <v>1</v>
      </c>
      <c r="AK5508">
        <v>18</v>
      </c>
      <c r="AL5508">
        <v>33</v>
      </c>
      <c r="AM5508" t="s">
        <v>43</v>
      </c>
      <c r="AN5508" t="str">
        <f>HYPERLINK("https://www.google.com/maps?q=10.83048725,79.84757233","Open Location")</f>
        <v>Open Location</v>
      </c>
    </row>
    <row r="5509" spans="1:40" x14ac:dyDescent="0.3">
      <c r="A5509" s="1">
        <v>46210.361689814818</v>
      </c>
      <c r="B5509" t="s">
        <v>40</v>
      </c>
      <c r="C5509" t="s">
        <v>41</v>
      </c>
      <c r="D5509" s="1">
        <v>46210.364687499998</v>
      </c>
      <c r="E5509" t="s">
        <v>42</v>
      </c>
      <c r="F5509" t="s">
        <v>83</v>
      </c>
      <c r="G5509">
        <v>0</v>
      </c>
      <c r="H5509">
        <v>33084</v>
      </c>
      <c r="I5509" t="s">
        <v>43</v>
      </c>
      <c r="J5509">
        <v>62</v>
      </c>
      <c r="K5509">
        <v>2</v>
      </c>
      <c r="L5509">
        <v>98</v>
      </c>
      <c r="M5509">
        <v>630.70001220999995</v>
      </c>
      <c r="N5509" t="s">
        <v>85</v>
      </c>
      <c r="O5509" t="s">
        <v>86</v>
      </c>
      <c r="P5509">
        <v>127</v>
      </c>
      <c r="Q5509">
        <v>2</v>
      </c>
      <c r="R5509">
        <v>0</v>
      </c>
      <c r="S5509">
        <v>0</v>
      </c>
      <c r="T5509">
        <v>-40</v>
      </c>
      <c r="U5509">
        <v>42</v>
      </c>
      <c r="V5509">
        <v>5</v>
      </c>
      <c r="W5509">
        <v>29</v>
      </c>
      <c r="X5509">
        <v>29</v>
      </c>
      <c r="Y5509">
        <v>1</v>
      </c>
      <c r="Z5509">
        <v>1</v>
      </c>
      <c r="AA5509">
        <v>27</v>
      </c>
      <c r="AB5509">
        <v>2</v>
      </c>
      <c r="AC5509">
        <v>2</v>
      </c>
      <c r="AD5509">
        <v>3.2869999399999998</v>
      </c>
      <c r="AE5509">
        <v>1</v>
      </c>
      <c r="AF5509">
        <v>16</v>
      </c>
      <c r="AG5509">
        <v>3.2820000600000001</v>
      </c>
      <c r="AH5509">
        <v>7</v>
      </c>
      <c r="AI5509">
        <v>1</v>
      </c>
      <c r="AJ5509">
        <v>1</v>
      </c>
      <c r="AK5509">
        <v>19</v>
      </c>
      <c r="AL5509">
        <v>33</v>
      </c>
      <c r="AM5509" t="s">
        <v>43</v>
      </c>
      <c r="AN5509" t="s">
        <v>43</v>
      </c>
    </row>
    <row r="5510" spans="1:40" x14ac:dyDescent="0.3">
      <c r="A5510" s="1">
        <v>46210.361574074072</v>
      </c>
      <c r="B5510" t="s">
        <v>40</v>
      </c>
      <c r="C5510" t="s">
        <v>41</v>
      </c>
      <c r="D5510" s="1">
        <v>46210.364861111113</v>
      </c>
      <c r="E5510" t="s">
        <v>42</v>
      </c>
      <c r="F5510" t="s">
        <v>83</v>
      </c>
      <c r="G5510">
        <v>0</v>
      </c>
      <c r="H5510">
        <v>33084</v>
      </c>
      <c r="I5510" t="s">
        <v>43</v>
      </c>
      <c r="J5510">
        <v>62</v>
      </c>
      <c r="K5510">
        <v>2</v>
      </c>
      <c r="L5510">
        <v>98</v>
      </c>
      <c r="M5510">
        <v>630</v>
      </c>
      <c r="N5510" t="s">
        <v>85</v>
      </c>
      <c r="O5510" t="s">
        <v>86</v>
      </c>
      <c r="P5510">
        <v>127</v>
      </c>
      <c r="Q5510">
        <v>2</v>
      </c>
      <c r="R5510">
        <v>0</v>
      </c>
      <c r="S5510">
        <v>0</v>
      </c>
      <c r="T5510">
        <v>-40</v>
      </c>
      <c r="U5510">
        <v>42</v>
      </c>
      <c r="V5510">
        <v>5</v>
      </c>
      <c r="W5510">
        <v>29</v>
      </c>
      <c r="X5510">
        <v>29</v>
      </c>
      <c r="Y5510">
        <v>1</v>
      </c>
      <c r="Z5510">
        <v>1</v>
      </c>
      <c r="AA5510">
        <v>27</v>
      </c>
      <c r="AB5510">
        <v>2</v>
      </c>
      <c r="AC5510">
        <v>2</v>
      </c>
      <c r="AD5510">
        <v>3.28600001</v>
      </c>
      <c r="AE5510">
        <v>1</v>
      </c>
      <c r="AF5510">
        <v>16</v>
      </c>
      <c r="AG5510">
        <v>3.2809998999999999</v>
      </c>
      <c r="AH5510">
        <v>7</v>
      </c>
      <c r="AI5510">
        <v>1</v>
      </c>
      <c r="AJ5510">
        <v>1</v>
      </c>
      <c r="AK5510">
        <v>18</v>
      </c>
      <c r="AL5510">
        <v>33</v>
      </c>
      <c r="AM5510" t="s">
        <v>43</v>
      </c>
      <c r="AN5510" t="s">
        <v>43</v>
      </c>
    </row>
    <row r="5511" spans="1:40" x14ac:dyDescent="0.3">
      <c r="A5511" s="1">
        <v>46210.361458333333</v>
      </c>
      <c r="B5511" t="s">
        <v>40</v>
      </c>
      <c r="C5511" t="s">
        <v>41</v>
      </c>
      <c r="D5511" s="1">
        <v>46210.36440972222</v>
      </c>
      <c r="E5511" t="s">
        <v>42</v>
      </c>
      <c r="F5511" t="s">
        <v>83</v>
      </c>
      <c r="G5511">
        <v>0</v>
      </c>
      <c r="H5511">
        <v>33084</v>
      </c>
      <c r="I5511" t="s">
        <v>3133</v>
      </c>
      <c r="J5511">
        <v>62</v>
      </c>
      <c r="K5511">
        <v>2</v>
      </c>
      <c r="L5511">
        <v>98</v>
      </c>
      <c r="M5511">
        <v>629.5</v>
      </c>
      <c r="N5511" t="s">
        <v>85</v>
      </c>
      <c r="O5511" t="s">
        <v>86</v>
      </c>
      <c r="P5511">
        <v>127</v>
      </c>
      <c r="Q5511">
        <v>2</v>
      </c>
      <c r="R5511">
        <v>-1</v>
      </c>
      <c r="S5511">
        <v>20</v>
      </c>
      <c r="T5511">
        <v>-40</v>
      </c>
      <c r="U5511">
        <v>43</v>
      </c>
      <c r="V5511">
        <v>5</v>
      </c>
      <c r="W5511">
        <v>29</v>
      </c>
      <c r="X5511">
        <v>29</v>
      </c>
      <c r="Y5511">
        <v>1</v>
      </c>
      <c r="Z5511">
        <v>1</v>
      </c>
      <c r="AA5511">
        <v>27</v>
      </c>
      <c r="AB5511">
        <v>2</v>
      </c>
      <c r="AC5511">
        <v>2</v>
      </c>
      <c r="AD5511">
        <v>3.2839999199999999</v>
      </c>
      <c r="AE5511">
        <v>1</v>
      </c>
      <c r="AF5511">
        <v>16</v>
      </c>
      <c r="AG5511">
        <v>3.2790000400000001</v>
      </c>
      <c r="AH5511">
        <v>4</v>
      </c>
      <c r="AI5511">
        <v>17</v>
      </c>
      <c r="AJ5511">
        <v>1</v>
      </c>
      <c r="AK5511">
        <v>19</v>
      </c>
      <c r="AL5511">
        <v>33</v>
      </c>
      <c r="AM5511" t="s">
        <v>43</v>
      </c>
      <c r="AN5511" t="str">
        <f>HYPERLINK("https://www.google.com/maps?q=10.8305006,79.84758759","Open Location")</f>
        <v>Open Location</v>
      </c>
    </row>
    <row r="5512" spans="1:40" x14ac:dyDescent="0.3">
      <c r="A5512" s="1">
        <v>46210.361342592594</v>
      </c>
      <c r="B5512" t="s">
        <v>40</v>
      </c>
      <c r="C5512" t="s">
        <v>41</v>
      </c>
      <c r="D5512" s="1">
        <v>46210.364328703705</v>
      </c>
      <c r="E5512" t="s">
        <v>42</v>
      </c>
      <c r="F5512" t="s">
        <v>83</v>
      </c>
      <c r="G5512">
        <v>6</v>
      </c>
      <c r="H5512" t="s">
        <v>43</v>
      </c>
      <c r="I5512" t="s">
        <v>3134</v>
      </c>
      <c r="J5512">
        <v>62</v>
      </c>
      <c r="K5512">
        <v>59</v>
      </c>
      <c r="L5512">
        <v>98</v>
      </c>
      <c r="M5512">
        <v>626.5</v>
      </c>
      <c r="N5512" t="s">
        <v>87</v>
      </c>
      <c r="O5512" t="s">
        <v>86</v>
      </c>
      <c r="P5512">
        <v>127</v>
      </c>
      <c r="Q5512">
        <v>2</v>
      </c>
      <c r="R5512">
        <v>32</v>
      </c>
      <c r="S5512">
        <v>1118</v>
      </c>
      <c r="T5512">
        <v>-40</v>
      </c>
      <c r="U5512">
        <v>45</v>
      </c>
      <c r="V5512">
        <v>240</v>
      </c>
      <c r="W5512">
        <v>29</v>
      </c>
      <c r="X5512">
        <v>29</v>
      </c>
      <c r="Y5512">
        <v>1</v>
      </c>
      <c r="Z5512">
        <v>1</v>
      </c>
      <c r="AA5512">
        <v>27</v>
      </c>
      <c r="AB5512">
        <v>2</v>
      </c>
      <c r="AC5512">
        <v>2</v>
      </c>
      <c r="AD5512">
        <v>3.27999997</v>
      </c>
      <c r="AE5512">
        <v>1</v>
      </c>
      <c r="AF5512">
        <v>16</v>
      </c>
      <c r="AG5512">
        <v>3.27399993</v>
      </c>
      <c r="AH5512">
        <v>7</v>
      </c>
      <c r="AI5512">
        <v>1</v>
      </c>
      <c r="AJ5512">
        <v>1</v>
      </c>
      <c r="AK5512">
        <v>18</v>
      </c>
      <c r="AL5512">
        <v>33</v>
      </c>
      <c r="AM5512" t="s">
        <v>43</v>
      </c>
      <c r="AN5512" t="str">
        <f>HYPERLINK("https://www.google.com/maps?q=10.83051682,79.84764862","Open Location")</f>
        <v>Open Location</v>
      </c>
    </row>
    <row r="5513" spans="1:40" x14ac:dyDescent="0.3">
      <c r="A5513" s="1">
        <v>46210.361226851855</v>
      </c>
      <c r="B5513" t="s">
        <v>40</v>
      </c>
      <c r="C5513" t="s">
        <v>41</v>
      </c>
      <c r="D5513" s="1">
        <v>46210.36409722222</v>
      </c>
      <c r="E5513" t="s">
        <v>42</v>
      </c>
      <c r="F5513" t="s">
        <v>83</v>
      </c>
      <c r="G5513">
        <v>6</v>
      </c>
      <c r="H5513">
        <v>33084</v>
      </c>
      <c r="I5513" t="s">
        <v>3135</v>
      </c>
      <c r="J5513">
        <v>62</v>
      </c>
      <c r="K5513">
        <v>96</v>
      </c>
      <c r="L5513">
        <v>98</v>
      </c>
      <c r="M5513">
        <v>625.59997558999999</v>
      </c>
      <c r="N5513" t="s">
        <v>87</v>
      </c>
      <c r="O5513" t="s">
        <v>86</v>
      </c>
      <c r="P5513">
        <v>127</v>
      </c>
      <c r="Q5513">
        <v>2</v>
      </c>
      <c r="R5513">
        <v>28</v>
      </c>
      <c r="S5513">
        <v>1313</v>
      </c>
      <c r="T5513">
        <v>-40</v>
      </c>
      <c r="U5513">
        <v>45</v>
      </c>
      <c r="V5513">
        <v>385</v>
      </c>
      <c r="W5513">
        <v>29</v>
      </c>
      <c r="X5513">
        <v>29</v>
      </c>
      <c r="Y5513">
        <v>1</v>
      </c>
      <c r="Z5513">
        <v>1</v>
      </c>
      <c r="AA5513">
        <v>27</v>
      </c>
      <c r="AB5513">
        <v>2</v>
      </c>
      <c r="AC5513">
        <v>2</v>
      </c>
      <c r="AD5513">
        <v>3.26799989</v>
      </c>
      <c r="AE5513">
        <v>5</v>
      </c>
      <c r="AF5513">
        <v>38</v>
      </c>
      <c r="AG5513">
        <v>3.25900006</v>
      </c>
      <c r="AH5513">
        <v>2</v>
      </c>
      <c r="AI5513">
        <v>46</v>
      </c>
      <c r="AJ5513">
        <v>1</v>
      </c>
      <c r="AK5513">
        <v>18</v>
      </c>
      <c r="AL5513">
        <v>33</v>
      </c>
      <c r="AM5513" t="s">
        <v>43</v>
      </c>
      <c r="AN5513" t="str">
        <f>HYPERLINK("https://www.google.com/maps?q=10.83054638,79.84783173","Open Location")</f>
        <v>Open Location</v>
      </c>
    </row>
    <row r="5514" spans="1:40" x14ac:dyDescent="0.3">
      <c r="A5514" s="1">
        <v>46210.361111111109</v>
      </c>
      <c r="B5514" t="s">
        <v>40</v>
      </c>
      <c r="C5514" t="s">
        <v>41</v>
      </c>
      <c r="D5514" s="1">
        <v>46210.363749999997</v>
      </c>
      <c r="E5514" t="s">
        <v>43</v>
      </c>
      <c r="F5514" t="s">
        <v>83</v>
      </c>
      <c r="G5514">
        <v>5</v>
      </c>
      <c r="H5514">
        <v>33084</v>
      </c>
      <c r="I5514" t="s">
        <v>3136</v>
      </c>
      <c r="J5514">
        <v>62</v>
      </c>
      <c r="K5514">
        <v>44</v>
      </c>
      <c r="L5514">
        <v>98</v>
      </c>
      <c r="M5514">
        <v>627.20001220999995</v>
      </c>
      <c r="N5514" t="s">
        <v>87</v>
      </c>
      <c r="O5514" t="s">
        <v>86</v>
      </c>
      <c r="P5514">
        <v>127</v>
      </c>
      <c r="Q5514">
        <v>2</v>
      </c>
      <c r="R5514">
        <v>66</v>
      </c>
      <c r="S5514">
        <v>1160</v>
      </c>
      <c r="T5514">
        <v>-40</v>
      </c>
      <c r="U5514">
        <v>45</v>
      </c>
      <c r="V5514">
        <v>192</v>
      </c>
      <c r="W5514">
        <v>29</v>
      </c>
      <c r="X5514">
        <v>29</v>
      </c>
      <c r="Y5514">
        <v>1</v>
      </c>
      <c r="Z5514">
        <v>1</v>
      </c>
      <c r="AA5514">
        <v>27</v>
      </c>
      <c r="AB5514">
        <v>2</v>
      </c>
      <c r="AC5514">
        <v>2</v>
      </c>
      <c r="AD5514">
        <v>3.2669999600000001</v>
      </c>
      <c r="AE5514">
        <v>5</v>
      </c>
      <c r="AF5514">
        <v>38</v>
      </c>
      <c r="AG5514">
        <v>3.2550001100000001</v>
      </c>
      <c r="AH5514">
        <v>8</v>
      </c>
      <c r="AI5514">
        <v>35</v>
      </c>
      <c r="AJ5514">
        <v>1</v>
      </c>
      <c r="AK5514">
        <v>18</v>
      </c>
      <c r="AL5514">
        <v>33</v>
      </c>
      <c r="AM5514" t="s">
        <v>43</v>
      </c>
      <c r="AN5514" t="str">
        <f>HYPERLINK("https://www.google.com/maps?q=10.83058262,79.84805298","Open Location")</f>
        <v>Open Location</v>
      </c>
    </row>
    <row r="5515" spans="1:40" x14ac:dyDescent="0.3">
      <c r="A5515" s="1">
        <v>46210.360995370371</v>
      </c>
      <c r="B5515" t="s">
        <v>40</v>
      </c>
      <c r="C5515" t="s">
        <v>41</v>
      </c>
      <c r="D5515" s="1">
        <v>46210.363738425927</v>
      </c>
      <c r="E5515" t="s">
        <v>42</v>
      </c>
      <c r="F5515" t="s">
        <v>83</v>
      </c>
      <c r="G5515">
        <v>3</v>
      </c>
      <c r="H5515">
        <v>33083</v>
      </c>
      <c r="I5515" t="s">
        <v>43</v>
      </c>
      <c r="J5515">
        <v>62</v>
      </c>
      <c r="K5515">
        <v>14</v>
      </c>
      <c r="L5515">
        <v>98</v>
      </c>
      <c r="M5515">
        <v>629.40002441000001</v>
      </c>
      <c r="N5515" t="s">
        <v>87</v>
      </c>
      <c r="O5515" t="s">
        <v>86</v>
      </c>
      <c r="P5515">
        <v>128</v>
      </c>
      <c r="Q5515">
        <v>3</v>
      </c>
      <c r="R5515">
        <v>11</v>
      </c>
      <c r="S5515">
        <v>654</v>
      </c>
      <c r="T5515">
        <v>-40</v>
      </c>
      <c r="U5515">
        <v>44</v>
      </c>
      <c r="V5515">
        <v>3</v>
      </c>
      <c r="W5515">
        <v>29</v>
      </c>
      <c r="X5515">
        <v>29</v>
      </c>
      <c r="Y5515">
        <v>1</v>
      </c>
      <c r="Z5515">
        <v>1</v>
      </c>
      <c r="AA5515">
        <v>27</v>
      </c>
      <c r="AB5515">
        <v>2</v>
      </c>
      <c r="AC5515">
        <v>2</v>
      </c>
      <c r="AD5515">
        <v>3.27999997</v>
      </c>
      <c r="AE5515">
        <v>5</v>
      </c>
      <c r="AF5515">
        <v>38</v>
      </c>
      <c r="AG5515">
        <v>3.2699999800000001</v>
      </c>
      <c r="AH5515">
        <v>2</v>
      </c>
      <c r="AI5515">
        <v>46</v>
      </c>
      <c r="AJ5515">
        <v>1</v>
      </c>
      <c r="AK5515">
        <v>18</v>
      </c>
      <c r="AL5515">
        <v>33</v>
      </c>
      <c r="AM5515" t="s">
        <v>43</v>
      </c>
      <c r="AN5515" t="s">
        <v>43</v>
      </c>
    </row>
    <row r="5516" spans="1:40" x14ac:dyDescent="0.3">
      <c r="A5516" s="1">
        <v>46210.360879629632</v>
      </c>
      <c r="B5516" t="s">
        <v>40</v>
      </c>
      <c r="C5516" t="s">
        <v>41</v>
      </c>
      <c r="D5516" s="1">
        <v>46210.363715277781</v>
      </c>
      <c r="E5516" t="s">
        <v>42</v>
      </c>
      <c r="F5516" t="s">
        <v>83</v>
      </c>
      <c r="G5516">
        <v>9</v>
      </c>
      <c r="H5516">
        <v>33083</v>
      </c>
      <c r="I5516" t="s">
        <v>43</v>
      </c>
      <c r="J5516">
        <v>62</v>
      </c>
      <c r="K5516">
        <v>-37</v>
      </c>
      <c r="L5516">
        <v>98</v>
      </c>
      <c r="M5516">
        <v>633.59997558999999</v>
      </c>
      <c r="N5516" t="s">
        <v>87</v>
      </c>
      <c r="O5516" t="s">
        <v>86</v>
      </c>
      <c r="P5516">
        <v>129</v>
      </c>
      <c r="Q5516">
        <v>2</v>
      </c>
      <c r="R5516">
        <v>-9</v>
      </c>
      <c r="S5516">
        <v>822</v>
      </c>
      <c r="T5516">
        <v>-40</v>
      </c>
      <c r="U5516">
        <v>43</v>
      </c>
      <c r="V5516">
        <v>-427</v>
      </c>
      <c r="W5516">
        <v>29</v>
      </c>
      <c r="X5516">
        <v>29</v>
      </c>
      <c r="Y5516">
        <v>1</v>
      </c>
      <c r="Z5516">
        <v>1</v>
      </c>
      <c r="AA5516">
        <v>27</v>
      </c>
      <c r="AB5516">
        <v>2</v>
      </c>
      <c r="AC5516">
        <v>2</v>
      </c>
      <c r="AD5516">
        <v>3.2909998900000001</v>
      </c>
      <c r="AE5516">
        <v>1</v>
      </c>
      <c r="AF5516">
        <v>25</v>
      </c>
      <c r="AG5516">
        <v>3.28500009</v>
      </c>
      <c r="AH5516">
        <v>4</v>
      </c>
      <c r="AI5516">
        <v>17</v>
      </c>
      <c r="AJ5516">
        <v>1</v>
      </c>
      <c r="AK5516">
        <v>20</v>
      </c>
      <c r="AL5516">
        <v>33</v>
      </c>
      <c r="AM5516" t="s">
        <v>43</v>
      </c>
      <c r="AN5516" t="s">
        <v>43</v>
      </c>
    </row>
    <row r="5517" spans="1:40" x14ac:dyDescent="0.3">
      <c r="A5517" s="1">
        <v>46210.360763888886</v>
      </c>
      <c r="B5517" t="s">
        <v>40</v>
      </c>
      <c r="C5517" t="s">
        <v>41</v>
      </c>
      <c r="D5517" s="1">
        <v>46210.363344907404</v>
      </c>
      <c r="E5517" t="s">
        <v>42</v>
      </c>
      <c r="F5517" t="s">
        <v>83</v>
      </c>
      <c r="G5517">
        <v>15</v>
      </c>
      <c r="H5517">
        <v>33083</v>
      </c>
      <c r="I5517" t="s">
        <v>3137</v>
      </c>
      <c r="J5517">
        <v>62</v>
      </c>
      <c r="K5517">
        <v>15</v>
      </c>
      <c r="L5517">
        <v>98</v>
      </c>
      <c r="M5517">
        <v>629.90002441000001</v>
      </c>
      <c r="N5517" t="s">
        <v>87</v>
      </c>
      <c r="O5517" t="s">
        <v>86</v>
      </c>
      <c r="P5517">
        <v>129</v>
      </c>
      <c r="Q5517">
        <v>4</v>
      </c>
      <c r="R5517">
        <v>7</v>
      </c>
      <c r="S5517">
        <v>1183</v>
      </c>
      <c r="T5517">
        <v>-40</v>
      </c>
      <c r="U5517">
        <v>42</v>
      </c>
      <c r="V5517">
        <v>60</v>
      </c>
      <c r="W5517">
        <v>29</v>
      </c>
      <c r="X5517">
        <v>29</v>
      </c>
      <c r="Y5517">
        <v>1</v>
      </c>
      <c r="Z5517">
        <v>1</v>
      </c>
      <c r="AA5517">
        <v>27</v>
      </c>
      <c r="AB5517">
        <v>2</v>
      </c>
      <c r="AC5517">
        <v>2</v>
      </c>
      <c r="AD5517">
        <v>3.2920000599999999</v>
      </c>
      <c r="AE5517">
        <v>1</v>
      </c>
      <c r="AF5517">
        <v>25</v>
      </c>
      <c r="AG5517">
        <v>3.2869999399999998</v>
      </c>
      <c r="AH5517">
        <v>7</v>
      </c>
      <c r="AI5517">
        <v>1</v>
      </c>
      <c r="AJ5517">
        <v>1</v>
      </c>
      <c r="AK5517">
        <v>19</v>
      </c>
      <c r="AL5517">
        <v>33</v>
      </c>
      <c r="AM5517" t="s">
        <v>43</v>
      </c>
      <c r="AN5517" t="str">
        <f>HYPERLINK("https://www.google.com/maps?q=10.83038139,79.84777069","Open Location")</f>
        <v>Open Location</v>
      </c>
    </row>
    <row r="5518" spans="1:40" x14ac:dyDescent="0.3">
      <c r="A5518" s="1">
        <v>46210.360648148147</v>
      </c>
      <c r="B5518" t="s">
        <v>40</v>
      </c>
      <c r="C5518" t="s">
        <v>41</v>
      </c>
      <c r="D5518" s="1">
        <v>46210.363368055558</v>
      </c>
      <c r="E5518" t="s">
        <v>42</v>
      </c>
      <c r="F5518" t="s">
        <v>83</v>
      </c>
      <c r="G5518">
        <v>17</v>
      </c>
      <c r="H5518">
        <v>33083</v>
      </c>
      <c r="I5518" t="s">
        <v>3138</v>
      </c>
      <c r="J5518">
        <v>62</v>
      </c>
      <c r="K5518">
        <v>24</v>
      </c>
      <c r="L5518">
        <v>98</v>
      </c>
      <c r="M5518">
        <v>628.90002441000001</v>
      </c>
      <c r="N5518" t="s">
        <v>87</v>
      </c>
      <c r="O5518" t="s">
        <v>86</v>
      </c>
      <c r="P5518">
        <v>129</v>
      </c>
      <c r="Q5518">
        <v>4</v>
      </c>
      <c r="R5518">
        <v>11</v>
      </c>
      <c r="S5518">
        <v>1298</v>
      </c>
      <c r="T5518">
        <v>-40</v>
      </c>
      <c r="U5518">
        <v>43</v>
      </c>
      <c r="V5518">
        <v>100</v>
      </c>
      <c r="W5518">
        <v>29</v>
      </c>
      <c r="X5518">
        <v>29</v>
      </c>
      <c r="Y5518">
        <v>1</v>
      </c>
      <c r="Z5518">
        <v>1</v>
      </c>
      <c r="AA5518">
        <v>27</v>
      </c>
      <c r="AB5518">
        <v>2</v>
      </c>
      <c r="AC5518">
        <v>2</v>
      </c>
      <c r="AD5518">
        <v>3.28500009</v>
      </c>
      <c r="AE5518">
        <v>1</v>
      </c>
      <c r="AF5518">
        <v>25</v>
      </c>
      <c r="AG5518">
        <v>3.2790000400000001</v>
      </c>
      <c r="AH5518">
        <v>7</v>
      </c>
      <c r="AI5518">
        <v>1</v>
      </c>
      <c r="AJ5518">
        <v>1</v>
      </c>
      <c r="AK5518">
        <v>18</v>
      </c>
      <c r="AL5518">
        <v>33</v>
      </c>
      <c r="AM5518" t="s">
        <v>43</v>
      </c>
      <c r="AN5518" t="str">
        <f>HYPERLINK("https://www.google.com/maps?q=10.83033276,79.84726715","Open Location")</f>
        <v>Open Location</v>
      </c>
    </row>
    <row r="5519" spans="1:40" x14ac:dyDescent="0.3">
      <c r="A5519" s="1">
        <v>46210.360532407409</v>
      </c>
      <c r="B5519" t="s">
        <v>40</v>
      </c>
      <c r="C5519" t="s">
        <v>41</v>
      </c>
      <c r="D5519" s="1">
        <v>46210.363263888888</v>
      </c>
      <c r="E5519" t="s">
        <v>42</v>
      </c>
      <c r="F5519" t="s">
        <v>83</v>
      </c>
      <c r="G5519">
        <v>17</v>
      </c>
      <c r="H5519">
        <v>33083</v>
      </c>
      <c r="I5519" t="s">
        <v>43</v>
      </c>
      <c r="J5519">
        <v>62</v>
      </c>
      <c r="K5519">
        <v>38</v>
      </c>
      <c r="L5519">
        <v>98</v>
      </c>
      <c r="M5519">
        <v>628.79998779000005</v>
      </c>
      <c r="N5519" t="s">
        <v>87</v>
      </c>
      <c r="O5519" t="s">
        <v>86</v>
      </c>
      <c r="P5519">
        <v>129</v>
      </c>
      <c r="Q5519">
        <v>4</v>
      </c>
      <c r="R5519">
        <v>21</v>
      </c>
      <c r="S5519">
        <v>1322</v>
      </c>
      <c r="T5519">
        <v>-40</v>
      </c>
      <c r="U5519">
        <v>43</v>
      </c>
      <c r="V5519">
        <v>160</v>
      </c>
      <c r="W5519">
        <v>29</v>
      </c>
      <c r="X5519">
        <v>29</v>
      </c>
      <c r="Y5519">
        <v>1</v>
      </c>
      <c r="Z5519">
        <v>1</v>
      </c>
      <c r="AA5519">
        <v>27</v>
      </c>
      <c r="AB5519">
        <v>2</v>
      </c>
      <c r="AC5519">
        <v>2</v>
      </c>
      <c r="AD5519">
        <v>3.2809998999999999</v>
      </c>
      <c r="AE5519">
        <v>1</v>
      </c>
      <c r="AF5519">
        <v>25</v>
      </c>
      <c r="AG5519">
        <v>3.27399993</v>
      </c>
      <c r="AH5519">
        <v>7</v>
      </c>
      <c r="AI5519">
        <v>1</v>
      </c>
      <c r="AJ5519">
        <v>1</v>
      </c>
      <c r="AK5519">
        <v>19</v>
      </c>
      <c r="AL5519">
        <v>32</v>
      </c>
      <c r="AM5519" t="s">
        <v>43</v>
      </c>
      <c r="AN5519" t="s">
        <v>43</v>
      </c>
    </row>
    <row r="5520" spans="1:40" x14ac:dyDescent="0.3">
      <c r="A5520" s="1">
        <v>46210.36041666667</v>
      </c>
      <c r="B5520" t="s">
        <v>40</v>
      </c>
      <c r="C5520" t="s">
        <v>41</v>
      </c>
      <c r="D5520" s="1">
        <v>46210.363125000003</v>
      </c>
      <c r="E5520" t="s">
        <v>43</v>
      </c>
      <c r="F5520" t="s">
        <v>83</v>
      </c>
      <c r="G5520">
        <v>17</v>
      </c>
      <c r="H5520">
        <v>33083</v>
      </c>
      <c r="I5520" t="s">
        <v>43</v>
      </c>
      <c r="J5520">
        <v>62</v>
      </c>
      <c r="K5520">
        <v>45</v>
      </c>
      <c r="L5520">
        <v>98</v>
      </c>
      <c r="M5520">
        <v>628.59997558999999</v>
      </c>
      <c r="N5520" t="s">
        <v>87</v>
      </c>
      <c r="O5520" t="s">
        <v>86</v>
      </c>
      <c r="P5520">
        <v>129</v>
      </c>
      <c r="Q5520">
        <v>4</v>
      </c>
      <c r="R5520">
        <v>26</v>
      </c>
      <c r="S5520">
        <v>1252</v>
      </c>
      <c r="T5520">
        <v>-40</v>
      </c>
      <c r="U5520">
        <v>43</v>
      </c>
      <c r="V5520">
        <v>200</v>
      </c>
      <c r="W5520">
        <v>29</v>
      </c>
      <c r="X5520">
        <v>29</v>
      </c>
      <c r="Y5520">
        <v>1</v>
      </c>
      <c r="Z5520">
        <v>1</v>
      </c>
      <c r="AA5520">
        <v>27</v>
      </c>
      <c r="AB5520">
        <v>2</v>
      </c>
      <c r="AC5520">
        <v>2</v>
      </c>
      <c r="AD5520">
        <v>3.2790000400000001</v>
      </c>
      <c r="AE5520">
        <v>1</v>
      </c>
      <c r="AF5520">
        <v>16</v>
      </c>
      <c r="AG5520">
        <v>3.2720000699999998</v>
      </c>
      <c r="AH5520">
        <v>6</v>
      </c>
      <c r="AI5520">
        <v>24</v>
      </c>
      <c r="AJ5520">
        <v>1</v>
      </c>
      <c r="AK5520">
        <v>19</v>
      </c>
      <c r="AL5520">
        <v>32</v>
      </c>
      <c r="AM5520" t="s">
        <v>43</v>
      </c>
      <c r="AN5520" t="s">
        <v>43</v>
      </c>
    </row>
    <row r="5521" spans="1:40" x14ac:dyDescent="0.3">
      <c r="A5521" s="1">
        <v>46210.360300925924</v>
      </c>
      <c r="B5521" t="s">
        <v>40</v>
      </c>
      <c r="C5521" t="s">
        <v>41</v>
      </c>
      <c r="D5521" s="1">
        <v>46210.362986111111</v>
      </c>
      <c r="E5521" t="s">
        <v>42</v>
      </c>
      <c r="F5521" t="s">
        <v>83</v>
      </c>
      <c r="G5521">
        <v>15</v>
      </c>
      <c r="H5521">
        <v>33083</v>
      </c>
      <c r="I5521" t="s">
        <v>3139</v>
      </c>
      <c r="J5521">
        <v>62</v>
      </c>
      <c r="K5521">
        <v>23</v>
      </c>
      <c r="L5521">
        <v>98</v>
      </c>
      <c r="M5521">
        <v>629</v>
      </c>
      <c r="N5521" t="s">
        <v>87</v>
      </c>
      <c r="O5521" t="s">
        <v>86</v>
      </c>
      <c r="P5521">
        <v>129</v>
      </c>
      <c r="Q5521">
        <v>4</v>
      </c>
      <c r="R5521">
        <v>12</v>
      </c>
      <c r="S5521">
        <v>1181</v>
      </c>
      <c r="T5521">
        <v>-40</v>
      </c>
      <c r="U5521">
        <v>43</v>
      </c>
      <c r="V5521">
        <v>100</v>
      </c>
      <c r="W5521">
        <v>29</v>
      </c>
      <c r="X5521">
        <v>29</v>
      </c>
      <c r="Y5521">
        <v>1</v>
      </c>
      <c r="Z5521">
        <v>1</v>
      </c>
      <c r="AA5521">
        <v>27</v>
      </c>
      <c r="AB5521">
        <v>2</v>
      </c>
      <c r="AC5521">
        <v>2</v>
      </c>
      <c r="AD5521">
        <v>3.2839999199999999</v>
      </c>
      <c r="AE5521">
        <v>1</v>
      </c>
      <c r="AF5521">
        <v>25</v>
      </c>
      <c r="AG5521">
        <v>3.27699995</v>
      </c>
      <c r="AH5521">
        <v>7</v>
      </c>
      <c r="AI5521">
        <v>1</v>
      </c>
      <c r="AJ5521">
        <v>1</v>
      </c>
      <c r="AK5521">
        <v>19</v>
      </c>
      <c r="AL5521">
        <v>32</v>
      </c>
      <c r="AM5521" t="s">
        <v>43</v>
      </c>
      <c r="AN5521" t="str">
        <f>HYPERLINK("https://www.google.com/maps?q=10.83017159,79.84620667","Open Location")</f>
        <v>Open Location</v>
      </c>
    </row>
    <row r="5522" spans="1:40" x14ac:dyDescent="0.3">
      <c r="A5522" s="1">
        <v>46210.360185185185</v>
      </c>
      <c r="B5522" t="s">
        <v>40</v>
      </c>
      <c r="C5522" t="s">
        <v>41</v>
      </c>
      <c r="D5522" s="1">
        <v>46210.362997685188</v>
      </c>
      <c r="E5522" t="s">
        <v>42</v>
      </c>
      <c r="F5522" t="s">
        <v>83</v>
      </c>
      <c r="G5522">
        <v>14</v>
      </c>
      <c r="H5522">
        <v>33083</v>
      </c>
      <c r="I5522" t="s">
        <v>3140</v>
      </c>
      <c r="J5522">
        <v>63</v>
      </c>
      <c r="K5522">
        <v>142</v>
      </c>
      <c r="L5522">
        <v>98</v>
      </c>
      <c r="M5522">
        <v>624.79998779000005</v>
      </c>
      <c r="N5522" t="s">
        <v>87</v>
      </c>
      <c r="O5522" t="s">
        <v>86</v>
      </c>
      <c r="P5522">
        <v>129</v>
      </c>
      <c r="Q5522">
        <v>4</v>
      </c>
      <c r="R5522">
        <v>82</v>
      </c>
      <c r="S5522">
        <v>1020</v>
      </c>
      <c r="T5522">
        <v>-40</v>
      </c>
      <c r="U5522">
        <v>45</v>
      </c>
      <c r="V5522">
        <v>780</v>
      </c>
      <c r="W5522">
        <v>29</v>
      </c>
      <c r="X5522">
        <v>29</v>
      </c>
      <c r="Y5522">
        <v>1</v>
      </c>
      <c r="Z5522">
        <v>1</v>
      </c>
      <c r="AA5522">
        <v>27</v>
      </c>
      <c r="AB5522">
        <v>2</v>
      </c>
      <c r="AC5522">
        <v>2</v>
      </c>
      <c r="AD5522">
        <v>3.2720000699999998</v>
      </c>
      <c r="AE5522">
        <v>5</v>
      </c>
      <c r="AF5522">
        <v>38</v>
      </c>
      <c r="AG5522">
        <v>3.26200008</v>
      </c>
      <c r="AH5522">
        <v>7</v>
      </c>
      <c r="AI5522">
        <v>1</v>
      </c>
      <c r="AJ5522">
        <v>1</v>
      </c>
      <c r="AK5522">
        <v>19</v>
      </c>
      <c r="AL5522">
        <v>32</v>
      </c>
      <c r="AM5522" t="s">
        <v>43</v>
      </c>
      <c r="AN5522" t="str">
        <f>HYPERLINK("https://www.google.com/maps?q=10.83007908,79.84568024","Open Location")</f>
        <v>Open Location</v>
      </c>
    </row>
    <row r="5523" spans="1:40" x14ac:dyDescent="0.3">
      <c r="A5523" s="1">
        <v>46210.360069444447</v>
      </c>
      <c r="B5523" t="s">
        <v>40</v>
      </c>
      <c r="C5523" t="s">
        <v>41</v>
      </c>
      <c r="D5523" s="1">
        <v>46210.362997685188</v>
      </c>
      <c r="E5523" t="s">
        <v>42</v>
      </c>
      <c r="F5523" t="s">
        <v>83</v>
      </c>
      <c r="G5523">
        <v>13</v>
      </c>
      <c r="H5523">
        <v>33083</v>
      </c>
      <c r="I5523" t="s">
        <v>3141</v>
      </c>
      <c r="J5523">
        <v>63</v>
      </c>
      <c r="K5523">
        <v>32</v>
      </c>
      <c r="L5523">
        <v>98</v>
      </c>
      <c r="M5523">
        <v>629.79998779000005</v>
      </c>
      <c r="N5523" t="s">
        <v>87</v>
      </c>
      <c r="O5523" t="s">
        <v>86</v>
      </c>
      <c r="P5523">
        <v>129</v>
      </c>
      <c r="Q5523">
        <v>4</v>
      </c>
      <c r="R5523">
        <v>18</v>
      </c>
      <c r="S5523">
        <v>979</v>
      </c>
      <c r="T5523">
        <v>-40</v>
      </c>
      <c r="U5523">
        <v>42</v>
      </c>
      <c r="V5523">
        <v>180</v>
      </c>
      <c r="W5523">
        <v>29</v>
      </c>
      <c r="X5523">
        <v>29</v>
      </c>
      <c r="Y5523">
        <v>1</v>
      </c>
      <c r="Z5523">
        <v>1</v>
      </c>
      <c r="AA5523">
        <v>27</v>
      </c>
      <c r="AB5523">
        <v>2</v>
      </c>
      <c r="AC5523">
        <v>2</v>
      </c>
      <c r="AD5523">
        <v>3.2839999199999999</v>
      </c>
      <c r="AE5523">
        <v>1</v>
      </c>
      <c r="AF5523">
        <v>25</v>
      </c>
      <c r="AG5523">
        <v>3.27699995</v>
      </c>
      <c r="AH5523">
        <v>7</v>
      </c>
      <c r="AI5523">
        <v>1</v>
      </c>
      <c r="AJ5523">
        <v>1</v>
      </c>
      <c r="AK5523">
        <v>19</v>
      </c>
      <c r="AL5523">
        <v>32</v>
      </c>
      <c r="AM5523" t="s">
        <v>43</v>
      </c>
      <c r="AN5523" t="str">
        <f>HYPERLINK("https://www.google.com/maps?q=10.83017731,79.84532928","Open Location")</f>
        <v>Open Location</v>
      </c>
    </row>
    <row r="5524" spans="1:40" x14ac:dyDescent="0.3">
      <c r="A5524" s="1">
        <v>46210.359953703701</v>
      </c>
      <c r="B5524" t="s">
        <v>40</v>
      </c>
      <c r="C5524" t="s">
        <v>41</v>
      </c>
      <c r="D5524" s="1">
        <v>46210.362893518519</v>
      </c>
      <c r="E5524" t="s">
        <v>42</v>
      </c>
      <c r="F5524" t="s">
        <v>83</v>
      </c>
      <c r="G5524">
        <v>14</v>
      </c>
      <c r="H5524" t="s">
        <v>43</v>
      </c>
      <c r="I5524" t="s">
        <v>3142</v>
      </c>
      <c r="J5524">
        <v>63</v>
      </c>
      <c r="K5524">
        <v>28</v>
      </c>
      <c r="L5524">
        <v>98</v>
      </c>
      <c r="M5524">
        <v>629.90002441000001</v>
      </c>
      <c r="N5524" t="s">
        <v>87</v>
      </c>
      <c r="O5524" t="s">
        <v>86</v>
      </c>
      <c r="P5524">
        <v>129</v>
      </c>
      <c r="Q5524">
        <v>4</v>
      </c>
      <c r="R5524">
        <v>15</v>
      </c>
      <c r="S5524">
        <v>1057</v>
      </c>
      <c r="T5524">
        <v>-40</v>
      </c>
      <c r="U5524">
        <v>42</v>
      </c>
      <c r="V5524">
        <v>140</v>
      </c>
      <c r="W5524">
        <v>29</v>
      </c>
      <c r="X5524">
        <v>29</v>
      </c>
      <c r="Y5524">
        <v>1</v>
      </c>
      <c r="Z5524">
        <v>1</v>
      </c>
      <c r="AA5524">
        <v>27</v>
      </c>
      <c r="AB5524">
        <v>2</v>
      </c>
      <c r="AC5524">
        <v>2</v>
      </c>
      <c r="AD5524">
        <v>3.28600001</v>
      </c>
      <c r="AE5524">
        <v>1</v>
      </c>
      <c r="AF5524">
        <v>16</v>
      </c>
      <c r="AG5524">
        <v>3.27999997</v>
      </c>
      <c r="AH5524">
        <v>7</v>
      </c>
      <c r="AI5524">
        <v>1</v>
      </c>
      <c r="AJ5524">
        <v>1</v>
      </c>
      <c r="AK5524">
        <v>20</v>
      </c>
      <c r="AL5524">
        <v>32</v>
      </c>
      <c r="AM5524" t="s">
        <v>43</v>
      </c>
      <c r="AN5524" t="str">
        <f>HYPERLINK("https://www.google.com/maps?q=10.8305912,79.84528351","Open Location")</f>
        <v>Open Location</v>
      </c>
    </row>
    <row r="5525" spans="1:40" x14ac:dyDescent="0.3">
      <c r="A5525" s="1">
        <v>46210.359837962962</v>
      </c>
      <c r="B5525" t="s">
        <v>40</v>
      </c>
      <c r="C5525" t="s">
        <v>41</v>
      </c>
      <c r="D5525" s="1">
        <v>46210.362592592595</v>
      </c>
      <c r="E5525" t="s">
        <v>42</v>
      </c>
      <c r="F5525" t="s">
        <v>83</v>
      </c>
      <c r="G5525">
        <v>14</v>
      </c>
      <c r="H5525">
        <v>33083</v>
      </c>
      <c r="I5525" t="s">
        <v>43</v>
      </c>
      <c r="J5525">
        <v>63</v>
      </c>
      <c r="K5525">
        <v>33</v>
      </c>
      <c r="L5525">
        <v>98</v>
      </c>
      <c r="M5525">
        <v>629.5</v>
      </c>
      <c r="N5525" t="s">
        <v>87</v>
      </c>
      <c r="O5525" t="s">
        <v>86</v>
      </c>
      <c r="P5525">
        <v>129</v>
      </c>
      <c r="Q5525">
        <v>4</v>
      </c>
      <c r="R5525">
        <v>10</v>
      </c>
      <c r="S5525">
        <v>1063</v>
      </c>
      <c r="T5525">
        <v>-40</v>
      </c>
      <c r="U5525">
        <v>42</v>
      </c>
      <c r="V5525">
        <v>168</v>
      </c>
      <c r="W5525">
        <v>29</v>
      </c>
      <c r="X5525">
        <v>29</v>
      </c>
      <c r="Y5525">
        <v>1</v>
      </c>
      <c r="Z5525">
        <v>1</v>
      </c>
      <c r="AA5525">
        <v>27</v>
      </c>
      <c r="AB5525">
        <v>2</v>
      </c>
      <c r="AC5525">
        <v>2</v>
      </c>
      <c r="AD5525">
        <v>3.28600001</v>
      </c>
      <c r="AE5525">
        <v>1</v>
      </c>
      <c r="AF5525">
        <v>25</v>
      </c>
      <c r="AG5525">
        <v>3.27999997</v>
      </c>
      <c r="AH5525">
        <v>2</v>
      </c>
      <c r="AI5525">
        <v>46</v>
      </c>
      <c r="AJ5525">
        <v>1</v>
      </c>
      <c r="AK5525">
        <v>20</v>
      </c>
      <c r="AL5525">
        <v>32</v>
      </c>
      <c r="AM5525" t="s">
        <v>43</v>
      </c>
      <c r="AN5525" t="s">
        <v>43</v>
      </c>
    </row>
    <row r="5526" spans="1:40" x14ac:dyDescent="0.3">
      <c r="A5526" s="1">
        <v>46210.359722222223</v>
      </c>
      <c r="B5526" t="s">
        <v>40</v>
      </c>
      <c r="C5526" t="s">
        <v>41</v>
      </c>
      <c r="D5526" s="1">
        <v>46210.362407407411</v>
      </c>
      <c r="E5526" t="s">
        <v>43</v>
      </c>
      <c r="F5526" t="s">
        <v>83</v>
      </c>
      <c r="G5526">
        <v>14</v>
      </c>
      <c r="H5526">
        <v>33083</v>
      </c>
      <c r="I5526" t="s">
        <v>43</v>
      </c>
      <c r="J5526">
        <v>63</v>
      </c>
      <c r="K5526">
        <v>43</v>
      </c>
      <c r="L5526">
        <v>98</v>
      </c>
      <c r="M5526">
        <v>629.29998779000005</v>
      </c>
      <c r="N5526" t="s">
        <v>87</v>
      </c>
      <c r="O5526" t="s">
        <v>86</v>
      </c>
      <c r="P5526">
        <v>129</v>
      </c>
      <c r="Q5526">
        <v>4</v>
      </c>
      <c r="R5526">
        <v>23</v>
      </c>
      <c r="S5526">
        <v>1101</v>
      </c>
      <c r="T5526">
        <v>-40</v>
      </c>
      <c r="U5526">
        <v>42</v>
      </c>
      <c r="V5526">
        <v>226</v>
      </c>
      <c r="W5526">
        <v>29</v>
      </c>
      <c r="X5526">
        <v>29</v>
      </c>
      <c r="Y5526">
        <v>1</v>
      </c>
      <c r="Z5526">
        <v>1</v>
      </c>
      <c r="AA5526">
        <v>27</v>
      </c>
      <c r="AB5526">
        <v>2</v>
      </c>
      <c r="AC5526">
        <v>2</v>
      </c>
      <c r="AD5526">
        <v>3.28299999</v>
      </c>
      <c r="AE5526">
        <v>1</v>
      </c>
      <c r="AF5526">
        <v>25</v>
      </c>
      <c r="AG5526">
        <v>3.2760000200000001</v>
      </c>
      <c r="AH5526">
        <v>6</v>
      </c>
      <c r="AI5526">
        <v>24</v>
      </c>
      <c r="AJ5526">
        <v>1</v>
      </c>
      <c r="AK5526">
        <v>20</v>
      </c>
      <c r="AL5526">
        <v>32</v>
      </c>
      <c r="AM5526" t="s">
        <v>43</v>
      </c>
      <c r="AN5526" t="s">
        <v>43</v>
      </c>
    </row>
    <row r="5527" spans="1:40" x14ac:dyDescent="0.3">
      <c r="A5527" s="1">
        <v>46210.359606481485</v>
      </c>
      <c r="B5527" t="s">
        <v>40</v>
      </c>
      <c r="C5527" t="s">
        <v>41</v>
      </c>
      <c r="D5527" s="1">
        <v>46210.362546296295</v>
      </c>
      <c r="E5527" t="s">
        <v>42</v>
      </c>
      <c r="F5527" t="s">
        <v>83</v>
      </c>
      <c r="G5527">
        <v>14</v>
      </c>
      <c r="H5527">
        <v>33083</v>
      </c>
      <c r="I5527" t="s">
        <v>3143</v>
      </c>
      <c r="J5527">
        <v>63</v>
      </c>
      <c r="K5527">
        <v>21</v>
      </c>
      <c r="L5527">
        <v>98</v>
      </c>
      <c r="M5527">
        <v>630.40002441000001</v>
      </c>
      <c r="N5527" t="s">
        <v>87</v>
      </c>
      <c r="O5527" t="s">
        <v>86</v>
      </c>
      <c r="P5527">
        <v>129</v>
      </c>
      <c r="Q5527">
        <v>4</v>
      </c>
      <c r="R5527">
        <v>-13</v>
      </c>
      <c r="S5527">
        <v>1147</v>
      </c>
      <c r="T5527">
        <v>-40</v>
      </c>
      <c r="U5527">
        <v>42</v>
      </c>
      <c r="V5527">
        <v>120</v>
      </c>
      <c r="W5527">
        <v>29</v>
      </c>
      <c r="X5527">
        <v>29</v>
      </c>
      <c r="Y5527">
        <v>1</v>
      </c>
      <c r="Z5527">
        <v>1</v>
      </c>
      <c r="AA5527">
        <v>27</v>
      </c>
      <c r="AB5527">
        <v>2</v>
      </c>
      <c r="AC5527">
        <v>2</v>
      </c>
      <c r="AD5527">
        <v>3.28500009</v>
      </c>
      <c r="AE5527">
        <v>1</v>
      </c>
      <c r="AF5527">
        <v>2</v>
      </c>
      <c r="AG5527">
        <v>3.2790000400000001</v>
      </c>
      <c r="AH5527">
        <v>7</v>
      </c>
      <c r="AI5527">
        <v>1</v>
      </c>
      <c r="AJ5527">
        <v>1</v>
      </c>
      <c r="AK5527">
        <v>20</v>
      </c>
      <c r="AL5527">
        <v>32</v>
      </c>
      <c r="AM5527" t="s">
        <v>43</v>
      </c>
      <c r="AN5527" t="str">
        <f>HYPERLINK("https://www.google.com/maps?q=10.83144569,79.84516144","Open Location")</f>
        <v>Open Location</v>
      </c>
    </row>
    <row r="5528" spans="1:40" x14ac:dyDescent="0.3">
      <c r="A5528" s="1">
        <v>46210.359490740739</v>
      </c>
      <c r="B5528" t="s">
        <v>40</v>
      </c>
      <c r="C5528" t="s">
        <v>41</v>
      </c>
      <c r="D5528" s="1">
        <v>46210.362500000003</v>
      </c>
      <c r="E5528" t="s">
        <v>42</v>
      </c>
      <c r="F5528" t="s">
        <v>83</v>
      </c>
      <c r="G5528">
        <v>14</v>
      </c>
      <c r="H5528">
        <v>33083</v>
      </c>
      <c r="I5528" t="s">
        <v>3144</v>
      </c>
      <c r="J5528">
        <v>63</v>
      </c>
      <c r="K5528">
        <v>36</v>
      </c>
      <c r="L5528">
        <v>98</v>
      </c>
      <c r="M5528">
        <v>629.29998779000005</v>
      </c>
      <c r="N5528" t="s">
        <v>87</v>
      </c>
      <c r="O5528" t="s">
        <v>86</v>
      </c>
      <c r="P5528">
        <v>129</v>
      </c>
      <c r="Q5528">
        <v>4</v>
      </c>
      <c r="R5528">
        <v>25</v>
      </c>
      <c r="S5528">
        <v>1041</v>
      </c>
      <c r="T5528">
        <v>-40</v>
      </c>
      <c r="U5528">
        <v>42</v>
      </c>
      <c r="V5528">
        <v>180</v>
      </c>
      <c r="W5528">
        <v>29</v>
      </c>
      <c r="X5528">
        <v>29</v>
      </c>
      <c r="Y5528">
        <v>1</v>
      </c>
      <c r="Z5528">
        <v>1</v>
      </c>
      <c r="AA5528">
        <v>27</v>
      </c>
      <c r="AB5528">
        <v>2</v>
      </c>
      <c r="AC5528">
        <v>2</v>
      </c>
      <c r="AD5528">
        <v>3.2820000600000001</v>
      </c>
      <c r="AE5528">
        <v>1</v>
      </c>
      <c r="AF5528">
        <v>25</v>
      </c>
      <c r="AG5528">
        <v>3.27399993</v>
      </c>
      <c r="AH5528">
        <v>7</v>
      </c>
      <c r="AI5528">
        <v>1</v>
      </c>
      <c r="AJ5528">
        <v>1</v>
      </c>
      <c r="AK5528">
        <v>21</v>
      </c>
      <c r="AL5528">
        <v>32</v>
      </c>
      <c r="AM5528" t="s">
        <v>43</v>
      </c>
      <c r="AN5528" t="str">
        <f>HYPERLINK("https://www.google.com/maps?q=10.83188343,79.84509277","Open Location")</f>
        <v>Open Location</v>
      </c>
    </row>
    <row r="5529" spans="1:40" x14ac:dyDescent="0.3">
      <c r="A5529" s="1">
        <v>46210.359375</v>
      </c>
      <c r="B5529" t="s">
        <v>40</v>
      </c>
      <c r="C5529" t="s">
        <v>41</v>
      </c>
      <c r="D5529" s="1">
        <v>46210.36209490741</v>
      </c>
      <c r="E5529" t="s">
        <v>42</v>
      </c>
      <c r="F5529" t="s">
        <v>83</v>
      </c>
      <c r="G5529">
        <v>15</v>
      </c>
      <c r="H5529">
        <v>33083</v>
      </c>
      <c r="I5529" t="s">
        <v>3145</v>
      </c>
      <c r="J5529">
        <v>63</v>
      </c>
      <c r="K5529">
        <v>-12</v>
      </c>
      <c r="L5529">
        <v>98</v>
      </c>
      <c r="M5529">
        <v>631.09997558999999</v>
      </c>
      <c r="N5529" t="s">
        <v>87</v>
      </c>
      <c r="O5529" t="s">
        <v>86</v>
      </c>
      <c r="P5529">
        <v>129</v>
      </c>
      <c r="Q5529">
        <v>4</v>
      </c>
      <c r="R5529">
        <v>8</v>
      </c>
      <c r="S5529">
        <v>1090</v>
      </c>
      <c r="T5529">
        <v>-40</v>
      </c>
      <c r="U5529">
        <v>42</v>
      </c>
      <c r="V5529">
        <v>-112</v>
      </c>
      <c r="W5529">
        <v>29</v>
      </c>
      <c r="X5529">
        <v>29</v>
      </c>
      <c r="Y5529">
        <v>1</v>
      </c>
      <c r="Z5529">
        <v>1</v>
      </c>
      <c r="AA5529">
        <v>27</v>
      </c>
      <c r="AB5529">
        <v>2</v>
      </c>
      <c r="AC5529">
        <v>2</v>
      </c>
      <c r="AD5529">
        <v>3.28600001</v>
      </c>
      <c r="AE5529">
        <v>1</v>
      </c>
      <c r="AF5529">
        <v>25</v>
      </c>
      <c r="AG5529">
        <v>3.27999997</v>
      </c>
      <c r="AH5529">
        <v>4</v>
      </c>
      <c r="AI5529">
        <v>17</v>
      </c>
      <c r="AJ5529">
        <v>1</v>
      </c>
      <c r="AK5529">
        <v>21</v>
      </c>
      <c r="AL5529">
        <v>32</v>
      </c>
      <c r="AM5529" t="s">
        <v>43</v>
      </c>
      <c r="AN5529" t="str">
        <f>HYPERLINK("https://www.google.com/maps?q=10.83230972,79.84500885","Open Location")</f>
        <v>Open Location</v>
      </c>
    </row>
    <row r="5530" spans="1:40" x14ac:dyDescent="0.3">
      <c r="A5530" s="1">
        <v>46210.359259259261</v>
      </c>
      <c r="B5530" t="s">
        <v>40</v>
      </c>
      <c r="C5530" t="s">
        <v>41</v>
      </c>
      <c r="D5530" s="1">
        <v>46210.362129629626</v>
      </c>
      <c r="E5530" t="s">
        <v>42</v>
      </c>
      <c r="F5530" t="s">
        <v>83</v>
      </c>
      <c r="G5530">
        <v>14</v>
      </c>
      <c r="H5530">
        <v>33083</v>
      </c>
      <c r="I5530" t="s">
        <v>3146</v>
      </c>
      <c r="J5530">
        <v>63</v>
      </c>
      <c r="K5530">
        <v>141</v>
      </c>
      <c r="L5530">
        <v>98</v>
      </c>
      <c r="M5530">
        <v>624.70001220999995</v>
      </c>
      <c r="N5530" t="s">
        <v>87</v>
      </c>
      <c r="O5530" t="s">
        <v>86</v>
      </c>
      <c r="P5530">
        <v>128</v>
      </c>
      <c r="Q5530">
        <v>3</v>
      </c>
      <c r="R5530">
        <v>82</v>
      </c>
      <c r="S5530">
        <v>1715</v>
      </c>
      <c r="T5530">
        <v>-40</v>
      </c>
      <c r="U5530">
        <v>44</v>
      </c>
      <c r="V5530">
        <v>440</v>
      </c>
      <c r="W5530">
        <v>29</v>
      </c>
      <c r="X5530">
        <v>29</v>
      </c>
      <c r="Y5530">
        <v>1</v>
      </c>
      <c r="Z5530">
        <v>1</v>
      </c>
      <c r="AA5530">
        <v>27</v>
      </c>
      <c r="AB5530">
        <v>2</v>
      </c>
      <c r="AC5530">
        <v>2</v>
      </c>
      <c r="AD5530">
        <v>3.26799989</v>
      </c>
      <c r="AE5530">
        <v>5</v>
      </c>
      <c r="AF5530">
        <v>38</v>
      </c>
      <c r="AG5530">
        <v>3.2569999699999999</v>
      </c>
      <c r="AH5530">
        <v>4</v>
      </c>
      <c r="AI5530">
        <v>17</v>
      </c>
      <c r="AJ5530">
        <v>1</v>
      </c>
      <c r="AK5530">
        <v>22</v>
      </c>
      <c r="AL5530">
        <v>32</v>
      </c>
      <c r="AM5530" t="s">
        <v>43</v>
      </c>
      <c r="AN5530" t="str">
        <f>HYPERLINK("https://www.google.com/maps?q=10.83277702,79.84490967","Open Location")</f>
        <v>Open Location</v>
      </c>
    </row>
    <row r="5531" spans="1:40" x14ac:dyDescent="0.3">
      <c r="A5531" s="1">
        <v>46210.359143518515</v>
      </c>
      <c r="B5531" t="s">
        <v>40</v>
      </c>
      <c r="C5531" t="s">
        <v>41</v>
      </c>
      <c r="D5531" s="1">
        <v>46210.36209490741</v>
      </c>
      <c r="E5531" t="s">
        <v>42</v>
      </c>
      <c r="F5531" t="s">
        <v>83</v>
      </c>
      <c r="G5531">
        <v>8</v>
      </c>
      <c r="H5531">
        <v>33083</v>
      </c>
      <c r="I5531" t="s">
        <v>3147</v>
      </c>
      <c r="J5531">
        <v>63</v>
      </c>
      <c r="K5531">
        <v>85</v>
      </c>
      <c r="L5531">
        <v>98</v>
      </c>
      <c r="M5531">
        <v>630.5</v>
      </c>
      <c r="N5531" t="s">
        <v>87</v>
      </c>
      <c r="O5531" t="s">
        <v>86</v>
      </c>
      <c r="P5531">
        <v>127</v>
      </c>
      <c r="Q5531">
        <v>3</v>
      </c>
      <c r="R5531">
        <v>7</v>
      </c>
      <c r="S5531">
        <v>1931</v>
      </c>
      <c r="T5531">
        <v>-40</v>
      </c>
      <c r="U5531">
        <v>41</v>
      </c>
      <c r="V5531">
        <v>296</v>
      </c>
      <c r="W5531">
        <v>29</v>
      </c>
      <c r="X5531">
        <v>29</v>
      </c>
      <c r="Y5531">
        <v>1</v>
      </c>
      <c r="Z5531">
        <v>1</v>
      </c>
      <c r="AA5531">
        <v>27</v>
      </c>
      <c r="AB5531">
        <v>2</v>
      </c>
      <c r="AC5531">
        <v>2</v>
      </c>
      <c r="AD5531">
        <v>3.2730000000000001</v>
      </c>
      <c r="AE5531">
        <v>1</v>
      </c>
      <c r="AF5531">
        <v>25</v>
      </c>
      <c r="AG5531">
        <v>3.26200008</v>
      </c>
      <c r="AH5531">
        <v>4</v>
      </c>
      <c r="AI5531">
        <v>17</v>
      </c>
      <c r="AJ5531">
        <v>1</v>
      </c>
      <c r="AK5531">
        <v>24</v>
      </c>
      <c r="AL5531">
        <v>32</v>
      </c>
      <c r="AM5531" t="s">
        <v>43</v>
      </c>
      <c r="AN5531" t="str">
        <f>HYPERLINK("https://www.google.com/maps?q=10.83303165,79.84496307","Open Location")</f>
        <v>Open Location</v>
      </c>
    </row>
    <row r="5532" spans="1:40" x14ac:dyDescent="0.3">
      <c r="A5532" s="1">
        <v>46210.359027777777</v>
      </c>
      <c r="B5532" t="s">
        <v>40</v>
      </c>
      <c r="C5532" t="s">
        <v>41</v>
      </c>
      <c r="D5532" s="1">
        <v>46210.36209490741</v>
      </c>
      <c r="E5532" t="s">
        <v>42</v>
      </c>
      <c r="F5532" t="s">
        <v>83</v>
      </c>
      <c r="G5532">
        <v>7</v>
      </c>
      <c r="H5532" t="s">
        <v>43</v>
      </c>
      <c r="I5532" t="s">
        <v>43</v>
      </c>
      <c r="J5532">
        <v>63</v>
      </c>
      <c r="K5532">
        <v>-31</v>
      </c>
      <c r="L5532">
        <v>98</v>
      </c>
      <c r="M5532">
        <v>631.40002441000001</v>
      </c>
      <c r="N5532" t="s">
        <v>87</v>
      </c>
      <c r="O5532" t="s">
        <v>86</v>
      </c>
      <c r="P5532">
        <v>128</v>
      </c>
      <c r="Q5532">
        <v>3</v>
      </c>
      <c r="R5532">
        <v>-1</v>
      </c>
      <c r="S5532">
        <v>1174</v>
      </c>
      <c r="T5532">
        <v>-40</v>
      </c>
      <c r="U5532">
        <v>39</v>
      </c>
      <c r="V5532">
        <v>-164</v>
      </c>
      <c r="W5532">
        <v>29</v>
      </c>
      <c r="X5532">
        <v>29</v>
      </c>
      <c r="Y5532">
        <v>1</v>
      </c>
      <c r="Z5532">
        <v>1</v>
      </c>
      <c r="AA5532">
        <v>27</v>
      </c>
      <c r="AB5532">
        <v>2</v>
      </c>
      <c r="AC5532">
        <v>2</v>
      </c>
      <c r="AD5532">
        <v>3.2939999100000001</v>
      </c>
      <c r="AE5532">
        <v>1</v>
      </c>
      <c r="AF5532">
        <v>25</v>
      </c>
      <c r="AG5532">
        <v>3.28800011</v>
      </c>
      <c r="AH5532">
        <v>4</v>
      </c>
      <c r="AI5532">
        <v>17</v>
      </c>
      <c r="AJ5532">
        <v>1</v>
      </c>
      <c r="AK5532">
        <v>25</v>
      </c>
      <c r="AL5532">
        <v>32</v>
      </c>
      <c r="AM5532" t="s">
        <v>43</v>
      </c>
      <c r="AN5532" t="s">
        <v>43</v>
      </c>
    </row>
    <row r="5533" spans="1:40" x14ac:dyDescent="0.3">
      <c r="A5533" s="1">
        <v>46210.358912037038</v>
      </c>
      <c r="B5533" t="s">
        <v>40</v>
      </c>
      <c r="C5533" t="s">
        <v>41</v>
      </c>
      <c r="D5533" s="1">
        <v>46210.361712962964</v>
      </c>
      <c r="E5533" t="s">
        <v>42</v>
      </c>
      <c r="F5533" t="s">
        <v>83</v>
      </c>
      <c r="G5533">
        <v>13</v>
      </c>
      <c r="H5533">
        <v>33083</v>
      </c>
      <c r="I5533" t="s">
        <v>3148</v>
      </c>
      <c r="J5533">
        <v>63</v>
      </c>
      <c r="K5533">
        <v>48</v>
      </c>
      <c r="L5533">
        <v>98</v>
      </c>
      <c r="M5533">
        <v>629.40002441000001</v>
      </c>
      <c r="N5533" t="s">
        <v>87</v>
      </c>
      <c r="O5533" t="s">
        <v>86</v>
      </c>
      <c r="P5533">
        <v>128</v>
      </c>
      <c r="Q5533">
        <v>3</v>
      </c>
      <c r="R5533">
        <v>21</v>
      </c>
      <c r="S5533">
        <v>1738</v>
      </c>
      <c r="T5533">
        <v>-40</v>
      </c>
      <c r="U5533">
        <v>41</v>
      </c>
      <c r="V5533">
        <v>120</v>
      </c>
      <c r="W5533">
        <v>29</v>
      </c>
      <c r="X5533">
        <v>29</v>
      </c>
      <c r="Y5533">
        <v>1</v>
      </c>
      <c r="Z5533">
        <v>1</v>
      </c>
      <c r="AA5533">
        <v>27</v>
      </c>
      <c r="AB5533">
        <v>2</v>
      </c>
      <c r="AC5533">
        <v>2</v>
      </c>
      <c r="AD5533">
        <v>3.28600001</v>
      </c>
      <c r="AE5533">
        <v>1</v>
      </c>
      <c r="AF5533">
        <v>25</v>
      </c>
      <c r="AG5533">
        <v>3.2790000400000001</v>
      </c>
      <c r="AH5533">
        <v>4</v>
      </c>
      <c r="AI5533">
        <v>17</v>
      </c>
      <c r="AJ5533">
        <v>1</v>
      </c>
      <c r="AK5533">
        <v>25</v>
      </c>
      <c r="AL5533">
        <v>32</v>
      </c>
      <c r="AM5533" t="s">
        <v>43</v>
      </c>
      <c r="AN5533" t="str">
        <f>HYPERLINK("https://www.google.com/maps?q=10.83308125,79.84520721","Open Location")</f>
        <v>Open Location</v>
      </c>
    </row>
    <row r="5534" spans="1:40" x14ac:dyDescent="0.3">
      <c r="A5534" s="1">
        <v>46210.358796296299</v>
      </c>
      <c r="B5534" t="s">
        <v>40</v>
      </c>
      <c r="C5534" t="s">
        <v>41</v>
      </c>
      <c r="D5534" s="1">
        <v>46210.361724537041</v>
      </c>
      <c r="E5534" t="s">
        <v>42</v>
      </c>
      <c r="F5534" t="s">
        <v>83</v>
      </c>
      <c r="G5534">
        <v>10</v>
      </c>
      <c r="H5534">
        <v>33083</v>
      </c>
      <c r="I5534" t="s">
        <v>3149</v>
      </c>
      <c r="J5534">
        <v>63</v>
      </c>
      <c r="K5534">
        <v>45</v>
      </c>
      <c r="L5534">
        <v>98</v>
      </c>
      <c r="M5534">
        <v>628.40002441000001</v>
      </c>
      <c r="N5534" t="s">
        <v>87</v>
      </c>
      <c r="O5534" t="s">
        <v>86</v>
      </c>
      <c r="P5534">
        <v>128</v>
      </c>
      <c r="Q5534">
        <v>3</v>
      </c>
      <c r="R5534">
        <v>56</v>
      </c>
      <c r="S5534">
        <v>1213</v>
      </c>
      <c r="T5534">
        <v>-40</v>
      </c>
      <c r="U5534">
        <v>41</v>
      </c>
      <c r="V5534">
        <v>239</v>
      </c>
      <c r="W5534">
        <v>29</v>
      </c>
      <c r="X5534">
        <v>29</v>
      </c>
      <c r="Y5534">
        <v>1</v>
      </c>
      <c r="Z5534">
        <v>1</v>
      </c>
      <c r="AA5534">
        <v>27</v>
      </c>
      <c r="AB5534">
        <v>2</v>
      </c>
      <c r="AC5534">
        <v>2</v>
      </c>
      <c r="AD5534">
        <v>3.2760000200000001</v>
      </c>
      <c r="AE5534">
        <v>1</v>
      </c>
      <c r="AF5534">
        <v>25</v>
      </c>
      <c r="AG5534">
        <v>3.2660000299999998</v>
      </c>
      <c r="AH5534">
        <v>4</v>
      </c>
      <c r="AI5534">
        <v>17</v>
      </c>
      <c r="AJ5534">
        <v>1</v>
      </c>
      <c r="AK5534">
        <v>20</v>
      </c>
      <c r="AL5534">
        <v>32</v>
      </c>
      <c r="AM5534" t="s">
        <v>43</v>
      </c>
      <c r="AN5534" t="str">
        <f>HYPERLINK("https://www.google.com/maps?q=10.83314514,79.84562683","Open Location")</f>
        <v>Open Location</v>
      </c>
    </row>
    <row r="5535" spans="1:40" x14ac:dyDescent="0.3">
      <c r="A5535" s="1">
        <v>46210.358680555553</v>
      </c>
      <c r="B5535" t="s">
        <v>40</v>
      </c>
      <c r="C5535" t="s">
        <v>41</v>
      </c>
      <c r="D5535" s="1">
        <v>46210.361851851849</v>
      </c>
      <c r="E5535" t="s">
        <v>42</v>
      </c>
      <c r="F5535" t="s">
        <v>83</v>
      </c>
      <c r="G5535">
        <v>0</v>
      </c>
      <c r="H5535">
        <v>33083</v>
      </c>
      <c r="I5535" t="s">
        <v>3150</v>
      </c>
      <c r="J5535">
        <v>63</v>
      </c>
      <c r="K5535">
        <v>9</v>
      </c>
      <c r="L5535">
        <v>98</v>
      </c>
      <c r="M5535">
        <v>632.20001220999995</v>
      </c>
      <c r="N5535" t="s">
        <v>81</v>
      </c>
      <c r="O5535" t="s">
        <v>82</v>
      </c>
      <c r="P5535">
        <v>125</v>
      </c>
      <c r="Q5535" t="s">
        <v>82</v>
      </c>
      <c r="R5535">
        <v>0</v>
      </c>
      <c r="S5535">
        <v>0</v>
      </c>
      <c r="T5535">
        <v>-40</v>
      </c>
      <c r="U5535">
        <v>37</v>
      </c>
      <c r="V5535">
        <v>0</v>
      </c>
      <c r="W5535">
        <v>29</v>
      </c>
      <c r="X5535">
        <v>29</v>
      </c>
      <c r="Y5535">
        <v>1</v>
      </c>
      <c r="Z5535">
        <v>1</v>
      </c>
      <c r="AA5535">
        <v>27</v>
      </c>
      <c r="AB5535">
        <v>2</v>
      </c>
      <c r="AC5535">
        <v>2</v>
      </c>
      <c r="AD5535">
        <v>3.2999999500000001</v>
      </c>
      <c r="AE5535">
        <v>6</v>
      </c>
      <c r="AF5535">
        <v>30</v>
      </c>
      <c r="AG5535">
        <v>3.2929999799999998</v>
      </c>
      <c r="AH5535">
        <v>4</v>
      </c>
      <c r="AI5535">
        <v>17</v>
      </c>
      <c r="AJ5535">
        <v>1</v>
      </c>
      <c r="AK5535">
        <v>27</v>
      </c>
      <c r="AL5535">
        <v>32</v>
      </c>
      <c r="AM5535" t="s">
        <v>43</v>
      </c>
      <c r="AN5535" t="str">
        <f>HYPERLINK("https://www.google.com/maps?q=10.83317471,79.84578705","Open Location")</f>
        <v>Open Location</v>
      </c>
    </row>
    <row r="5536" spans="1:40" x14ac:dyDescent="0.3">
      <c r="A5536" s="1">
        <v>46210.358564814815</v>
      </c>
      <c r="B5536" t="s">
        <v>40</v>
      </c>
      <c r="C5536" t="s">
        <v>41</v>
      </c>
      <c r="D5536" s="1">
        <v>46210.361655092594</v>
      </c>
      <c r="E5536" t="s">
        <v>42</v>
      </c>
      <c r="F5536" t="s">
        <v>83</v>
      </c>
      <c r="G5536">
        <v>0</v>
      </c>
      <c r="H5536">
        <v>33083</v>
      </c>
      <c r="I5536" t="s">
        <v>3151</v>
      </c>
      <c r="J5536">
        <v>63</v>
      </c>
      <c r="K5536">
        <v>0</v>
      </c>
      <c r="L5536">
        <v>98</v>
      </c>
      <c r="M5536">
        <v>632.59997558999999</v>
      </c>
      <c r="N5536" t="s">
        <v>81</v>
      </c>
      <c r="O5536" t="s">
        <v>82</v>
      </c>
      <c r="P5536">
        <v>125</v>
      </c>
      <c r="Q5536" t="s">
        <v>82</v>
      </c>
      <c r="R5536">
        <v>0</v>
      </c>
      <c r="S5536">
        <v>0</v>
      </c>
      <c r="T5536">
        <v>-40</v>
      </c>
      <c r="U5536">
        <v>37</v>
      </c>
      <c r="V5536">
        <v>0</v>
      </c>
      <c r="W5536">
        <v>29</v>
      </c>
      <c r="X5536">
        <v>29</v>
      </c>
      <c r="Y5536">
        <v>1</v>
      </c>
      <c r="Z5536">
        <v>1</v>
      </c>
      <c r="AA5536">
        <v>27</v>
      </c>
      <c r="AB5536">
        <v>2</v>
      </c>
      <c r="AC5536">
        <v>1</v>
      </c>
      <c r="AD5536">
        <v>3.3020000500000002</v>
      </c>
      <c r="AE5536">
        <v>6</v>
      </c>
      <c r="AF5536">
        <v>30</v>
      </c>
      <c r="AG5536">
        <v>3.2959999999999998</v>
      </c>
      <c r="AH5536">
        <v>2</v>
      </c>
      <c r="AI5536">
        <v>45</v>
      </c>
      <c r="AJ5536">
        <v>0</v>
      </c>
      <c r="AK5536">
        <v>0</v>
      </c>
      <c r="AL5536">
        <v>32</v>
      </c>
      <c r="AM5536" t="s">
        <v>43</v>
      </c>
      <c r="AN5536" t="str">
        <f>HYPERLINK("https://www.google.com/maps?q=10.8331728,79.84577942","Open Location")</f>
        <v>Open Location</v>
      </c>
    </row>
    <row r="5537" spans="1:40" x14ac:dyDescent="0.3">
      <c r="A5537" s="1">
        <v>46210.358449074076</v>
      </c>
      <c r="B5537" t="s">
        <v>40</v>
      </c>
      <c r="C5537" t="s">
        <v>41</v>
      </c>
      <c r="D5537" s="1">
        <v>46210.361111111109</v>
      </c>
      <c r="E5537" t="s">
        <v>42</v>
      </c>
      <c r="F5537" t="s">
        <v>83</v>
      </c>
      <c r="G5537">
        <v>0</v>
      </c>
      <c r="H5537">
        <v>33083</v>
      </c>
      <c r="I5537" t="s">
        <v>43</v>
      </c>
      <c r="J5537">
        <v>0</v>
      </c>
      <c r="K5537">
        <v>-3200</v>
      </c>
      <c r="L5537">
        <v>0</v>
      </c>
      <c r="M5537">
        <v>0</v>
      </c>
      <c r="N5537" t="s">
        <v>81</v>
      </c>
      <c r="O5537" t="s">
        <v>82</v>
      </c>
      <c r="P5537">
        <v>125</v>
      </c>
      <c r="Q5537" t="s">
        <v>43</v>
      </c>
      <c r="R5537">
        <v>0</v>
      </c>
      <c r="S5537">
        <v>0</v>
      </c>
      <c r="T5537">
        <v>-40</v>
      </c>
      <c r="U5537">
        <v>37</v>
      </c>
      <c r="V5537">
        <v>0</v>
      </c>
      <c r="W5537">
        <v>29</v>
      </c>
      <c r="X5537">
        <v>29</v>
      </c>
      <c r="Y5537">
        <v>1</v>
      </c>
      <c r="Z5537">
        <v>1</v>
      </c>
      <c r="AA5537">
        <v>27</v>
      </c>
      <c r="AB5537">
        <v>2</v>
      </c>
      <c r="AC5537">
        <v>1</v>
      </c>
      <c r="AD5537">
        <v>3.3020000500000002</v>
      </c>
      <c r="AE5537">
        <v>1</v>
      </c>
      <c r="AF5537">
        <v>27</v>
      </c>
      <c r="AG5537">
        <v>3.2959999999999998</v>
      </c>
      <c r="AH5537">
        <v>2</v>
      </c>
      <c r="AI5537">
        <v>45</v>
      </c>
      <c r="AJ5537">
        <v>0</v>
      </c>
      <c r="AK5537">
        <v>0</v>
      </c>
      <c r="AL5537">
        <v>32</v>
      </c>
      <c r="AM5537" t="s">
        <v>43</v>
      </c>
      <c r="AN5537" t="s">
        <v>43</v>
      </c>
    </row>
    <row r="5538" spans="1:40" x14ac:dyDescent="0.3">
      <c r="A5538" s="1">
        <v>46210.35833333333</v>
      </c>
      <c r="B5538" t="s">
        <v>40</v>
      </c>
      <c r="C5538" t="s">
        <v>41</v>
      </c>
      <c r="D5538" s="1">
        <v>46210.361168981479</v>
      </c>
      <c r="E5538" t="s">
        <v>42</v>
      </c>
      <c r="F5538" t="s">
        <v>43</v>
      </c>
      <c r="G5538" t="s">
        <v>43</v>
      </c>
      <c r="H5538" t="s">
        <v>43</v>
      </c>
      <c r="I5538" t="s">
        <v>3152</v>
      </c>
      <c r="J5538" t="s">
        <v>43</v>
      </c>
      <c r="K5538" t="s">
        <v>43</v>
      </c>
      <c r="L5538" t="s">
        <v>43</v>
      </c>
      <c r="M5538" t="s">
        <v>43</v>
      </c>
      <c r="N5538" t="s">
        <v>45</v>
      </c>
      <c r="O5538" t="s">
        <v>43</v>
      </c>
      <c r="P5538" t="s">
        <v>43</v>
      </c>
      <c r="Q5538" t="s">
        <v>43</v>
      </c>
      <c r="R5538" t="s">
        <v>43</v>
      </c>
      <c r="S5538" t="s">
        <v>43</v>
      </c>
      <c r="T5538" t="s">
        <v>43</v>
      </c>
      <c r="U5538" t="s">
        <v>43</v>
      </c>
      <c r="V5538" t="s">
        <v>43</v>
      </c>
      <c r="W5538" t="s">
        <v>43</v>
      </c>
      <c r="X5538" t="s">
        <v>43</v>
      </c>
      <c r="Y5538" t="s">
        <v>43</v>
      </c>
      <c r="Z5538" t="s">
        <v>43</v>
      </c>
      <c r="AA5538" t="s">
        <v>43</v>
      </c>
      <c r="AB5538" t="s">
        <v>43</v>
      </c>
      <c r="AC5538" t="s">
        <v>43</v>
      </c>
      <c r="AD5538" t="s">
        <v>43</v>
      </c>
      <c r="AE5538" t="s">
        <v>43</v>
      </c>
      <c r="AF5538" t="s">
        <v>43</v>
      </c>
      <c r="AG5538" t="s">
        <v>43</v>
      </c>
      <c r="AH5538" t="s">
        <v>43</v>
      </c>
      <c r="AI5538" t="s">
        <v>43</v>
      </c>
      <c r="AJ5538" t="s">
        <v>43</v>
      </c>
      <c r="AK5538" t="s">
        <v>43</v>
      </c>
      <c r="AL5538" t="s">
        <v>43</v>
      </c>
      <c r="AM5538" t="s">
        <v>43</v>
      </c>
      <c r="AN5538" t="str">
        <f>HYPERLINK("https://www.google.com/maps?q=10.83317375,79.84577942","Open Location")</f>
        <v>Open Location</v>
      </c>
    </row>
    <row r="5539" spans="1:40" x14ac:dyDescent="0.3">
      <c r="A5539" s="1">
        <v>46210.358217592591</v>
      </c>
      <c r="B5539" t="s">
        <v>40</v>
      </c>
      <c r="C5539" t="s">
        <v>41</v>
      </c>
      <c r="D5539" s="1">
        <v>46210.360925925925</v>
      </c>
      <c r="E5539" t="s">
        <v>42</v>
      </c>
      <c r="F5539" t="s">
        <v>43</v>
      </c>
      <c r="G5539" t="s">
        <v>43</v>
      </c>
      <c r="H5539" t="s">
        <v>43</v>
      </c>
      <c r="I5539" t="s">
        <v>3153</v>
      </c>
      <c r="J5539" t="s">
        <v>43</v>
      </c>
      <c r="K5539" t="s">
        <v>43</v>
      </c>
      <c r="L5539" t="s">
        <v>43</v>
      </c>
      <c r="M5539" t="s">
        <v>43</v>
      </c>
      <c r="N5539" t="s">
        <v>45</v>
      </c>
      <c r="O5539" t="s">
        <v>43</v>
      </c>
      <c r="P5539" t="s">
        <v>43</v>
      </c>
      <c r="Q5539" t="s">
        <v>43</v>
      </c>
      <c r="R5539" t="s">
        <v>43</v>
      </c>
      <c r="S5539" t="s">
        <v>43</v>
      </c>
      <c r="T5539" t="s">
        <v>43</v>
      </c>
      <c r="U5539" t="s">
        <v>43</v>
      </c>
      <c r="V5539" t="s">
        <v>43</v>
      </c>
      <c r="W5539" t="s">
        <v>43</v>
      </c>
      <c r="X5539" t="s">
        <v>43</v>
      </c>
      <c r="Y5539" t="s">
        <v>43</v>
      </c>
      <c r="Z5539" t="s">
        <v>43</v>
      </c>
      <c r="AA5539" t="s">
        <v>43</v>
      </c>
      <c r="AB5539" t="s">
        <v>43</v>
      </c>
      <c r="AC5539" t="s">
        <v>43</v>
      </c>
      <c r="AD5539" t="s">
        <v>43</v>
      </c>
      <c r="AE5539" t="s">
        <v>43</v>
      </c>
      <c r="AF5539" t="s">
        <v>43</v>
      </c>
      <c r="AG5539" t="s">
        <v>43</v>
      </c>
      <c r="AH5539" t="s">
        <v>43</v>
      </c>
      <c r="AI5539" t="s">
        <v>43</v>
      </c>
      <c r="AJ5539" t="s">
        <v>43</v>
      </c>
      <c r="AK5539" t="s">
        <v>43</v>
      </c>
      <c r="AL5539" t="s">
        <v>43</v>
      </c>
      <c r="AM5539" t="s">
        <v>43</v>
      </c>
      <c r="AN5539" t="str">
        <f>HYPERLINK("https://www.google.com/maps?q=10.83317184,79.84577942","Open Location")</f>
        <v>Open Location</v>
      </c>
    </row>
    <row r="5540" spans="1:40" x14ac:dyDescent="0.3">
      <c r="A5540" s="1">
        <v>46210.358101851853</v>
      </c>
      <c r="B5540" t="s">
        <v>40</v>
      </c>
      <c r="C5540" t="s">
        <v>41</v>
      </c>
      <c r="D5540" s="1">
        <v>46210.360937500001</v>
      </c>
      <c r="E5540" t="s">
        <v>42</v>
      </c>
      <c r="F5540" t="s">
        <v>43</v>
      </c>
      <c r="G5540" t="s">
        <v>43</v>
      </c>
      <c r="H5540" t="s">
        <v>43</v>
      </c>
      <c r="I5540" t="s">
        <v>3154</v>
      </c>
      <c r="J5540" t="s">
        <v>43</v>
      </c>
      <c r="K5540" t="s">
        <v>43</v>
      </c>
      <c r="L5540" t="s">
        <v>43</v>
      </c>
      <c r="M5540" t="s">
        <v>43</v>
      </c>
      <c r="N5540" t="s">
        <v>45</v>
      </c>
      <c r="O5540" t="s">
        <v>43</v>
      </c>
      <c r="P5540" t="s">
        <v>43</v>
      </c>
      <c r="Q5540" t="s">
        <v>43</v>
      </c>
      <c r="R5540" t="s">
        <v>43</v>
      </c>
      <c r="S5540" t="s">
        <v>43</v>
      </c>
      <c r="T5540" t="s">
        <v>43</v>
      </c>
      <c r="U5540" t="s">
        <v>43</v>
      </c>
      <c r="V5540" t="s">
        <v>43</v>
      </c>
      <c r="W5540" t="s">
        <v>43</v>
      </c>
      <c r="X5540" t="s">
        <v>43</v>
      </c>
      <c r="Y5540" t="s">
        <v>43</v>
      </c>
      <c r="Z5540" t="s">
        <v>43</v>
      </c>
      <c r="AA5540" t="s">
        <v>43</v>
      </c>
      <c r="AB5540" t="s">
        <v>43</v>
      </c>
      <c r="AC5540" t="s">
        <v>43</v>
      </c>
      <c r="AD5540" t="s">
        <v>43</v>
      </c>
      <c r="AE5540" t="s">
        <v>43</v>
      </c>
      <c r="AF5540" t="s">
        <v>43</v>
      </c>
      <c r="AG5540" t="s">
        <v>43</v>
      </c>
      <c r="AH5540" t="s">
        <v>43</v>
      </c>
      <c r="AI5540" t="s">
        <v>43</v>
      </c>
      <c r="AJ5540" t="s">
        <v>43</v>
      </c>
      <c r="AK5540" t="s">
        <v>43</v>
      </c>
      <c r="AL5540" t="s">
        <v>43</v>
      </c>
      <c r="AM5540" t="s">
        <v>43</v>
      </c>
      <c r="AN5540" t="str">
        <f>HYPERLINK("https://www.google.com/maps?q=10.83317089,79.84577942","Open Location")</f>
        <v>Open Location</v>
      </c>
    </row>
    <row r="5541" spans="1:40" x14ac:dyDescent="0.3">
      <c r="A5541" s="1">
        <v>46210.357986111114</v>
      </c>
      <c r="B5541" t="s">
        <v>40</v>
      </c>
      <c r="C5541" t="s">
        <v>41</v>
      </c>
      <c r="D5541" s="1">
        <v>46210.360937500001</v>
      </c>
      <c r="E5541" t="s">
        <v>42</v>
      </c>
      <c r="F5541" t="s">
        <v>43</v>
      </c>
      <c r="G5541" t="s">
        <v>43</v>
      </c>
      <c r="H5541" t="s">
        <v>43</v>
      </c>
      <c r="I5541" t="s">
        <v>3153</v>
      </c>
      <c r="J5541" t="s">
        <v>43</v>
      </c>
      <c r="K5541" t="s">
        <v>43</v>
      </c>
      <c r="L5541" t="s">
        <v>43</v>
      </c>
      <c r="M5541" t="s">
        <v>43</v>
      </c>
      <c r="N5541" t="s">
        <v>45</v>
      </c>
      <c r="O5541" t="s">
        <v>43</v>
      </c>
      <c r="P5541" t="s">
        <v>43</v>
      </c>
      <c r="Q5541" t="s">
        <v>43</v>
      </c>
      <c r="R5541" t="s">
        <v>43</v>
      </c>
      <c r="S5541" t="s">
        <v>43</v>
      </c>
      <c r="T5541" t="s">
        <v>43</v>
      </c>
      <c r="U5541" t="s">
        <v>43</v>
      </c>
      <c r="V5541" t="s">
        <v>43</v>
      </c>
      <c r="W5541" t="s">
        <v>43</v>
      </c>
      <c r="X5541" t="s">
        <v>43</v>
      </c>
      <c r="Y5541" t="s">
        <v>43</v>
      </c>
      <c r="Z5541" t="s">
        <v>43</v>
      </c>
      <c r="AA5541" t="s">
        <v>43</v>
      </c>
      <c r="AB5541" t="s">
        <v>43</v>
      </c>
      <c r="AC5541" t="s">
        <v>43</v>
      </c>
      <c r="AD5541" t="s">
        <v>43</v>
      </c>
      <c r="AE5541" t="s">
        <v>43</v>
      </c>
      <c r="AF5541" t="s">
        <v>43</v>
      </c>
      <c r="AG5541" t="s">
        <v>43</v>
      </c>
      <c r="AH5541" t="s">
        <v>43</v>
      </c>
      <c r="AI5541" t="s">
        <v>43</v>
      </c>
      <c r="AJ5541" t="s">
        <v>43</v>
      </c>
      <c r="AK5541" t="s">
        <v>43</v>
      </c>
      <c r="AL5541" t="s">
        <v>43</v>
      </c>
      <c r="AM5541" t="s">
        <v>43</v>
      </c>
      <c r="AN5541" t="str">
        <f>HYPERLINK("https://www.google.com/maps?q=10.83317184,79.84577942","Open Location")</f>
        <v>Open Location</v>
      </c>
    </row>
    <row r="5542" spans="1:40" x14ac:dyDescent="0.3">
      <c r="A5542" s="1">
        <v>46210.357870370368</v>
      </c>
      <c r="B5542" t="s">
        <v>40</v>
      </c>
      <c r="C5542" t="s">
        <v>41</v>
      </c>
      <c r="D5542" s="1">
        <v>46210.361041666663</v>
      </c>
      <c r="E5542" t="s">
        <v>42</v>
      </c>
      <c r="F5542" t="s">
        <v>43</v>
      </c>
      <c r="G5542" t="s">
        <v>43</v>
      </c>
      <c r="H5542" t="s">
        <v>43</v>
      </c>
      <c r="I5542" t="s">
        <v>3155</v>
      </c>
      <c r="J5542" t="s">
        <v>43</v>
      </c>
      <c r="K5542" t="s">
        <v>43</v>
      </c>
      <c r="L5542" t="s">
        <v>43</v>
      </c>
      <c r="M5542" t="s">
        <v>43</v>
      </c>
      <c r="N5542" t="s">
        <v>45</v>
      </c>
      <c r="O5542" t="s">
        <v>43</v>
      </c>
      <c r="P5542" t="s">
        <v>43</v>
      </c>
      <c r="Q5542" t="s">
        <v>43</v>
      </c>
      <c r="R5542" t="s">
        <v>43</v>
      </c>
      <c r="S5542" t="s">
        <v>43</v>
      </c>
      <c r="T5542" t="s">
        <v>43</v>
      </c>
      <c r="U5542" t="s">
        <v>43</v>
      </c>
      <c r="V5542" t="s">
        <v>43</v>
      </c>
      <c r="W5542" t="s">
        <v>43</v>
      </c>
      <c r="X5542" t="s">
        <v>43</v>
      </c>
      <c r="Y5542" t="s">
        <v>43</v>
      </c>
      <c r="Z5542" t="s">
        <v>43</v>
      </c>
      <c r="AA5542" t="s">
        <v>43</v>
      </c>
      <c r="AB5542" t="s">
        <v>43</v>
      </c>
      <c r="AC5542" t="s">
        <v>43</v>
      </c>
      <c r="AD5542" t="s">
        <v>43</v>
      </c>
      <c r="AE5542" t="s">
        <v>43</v>
      </c>
      <c r="AF5542" t="s">
        <v>43</v>
      </c>
      <c r="AG5542" t="s">
        <v>43</v>
      </c>
      <c r="AH5542" t="s">
        <v>43</v>
      </c>
      <c r="AI5542" t="s">
        <v>43</v>
      </c>
      <c r="AJ5542" t="s">
        <v>43</v>
      </c>
      <c r="AK5542" t="s">
        <v>43</v>
      </c>
      <c r="AL5542" t="s">
        <v>43</v>
      </c>
      <c r="AM5542" t="s">
        <v>43</v>
      </c>
      <c r="AN5542" t="str">
        <f>HYPERLINK("https://www.google.com/maps?q=10.83316898,79.84577942","Open Location")</f>
        <v>Open Location</v>
      </c>
    </row>
    <row r="5543" spans="1:40" x14ac:dyDescent="0.3">
      <c r="A5543" s="1">
        <v>46210.357754629629</v>
      </c>
      <c r="B5543" t="s">
        <v>40</v>
      </c>
      <c r="C5543" t="s">
        <v>41</v>
      </c>
      <c r="D5543" s="1">
        <v>46210.360543981478</v>
      </c>
      <c r="E5543" t="s">
        <v>42</v>
      </c>
      <c r="F5543" t="s">
        <v>43</v>
      </c>
      <c r="G5543" t="s">
        <v>43</v>
      </c>
      <c r="H5543" t="s">
        <v>43</v>
      </c>
      <c r="I5543" t="s">
        <v>43</v>
      </c>
      <c r="J5543" t="s">
        <v>43</v>
      </c>
      <c r="K5543" t="s">
        <v>43</v>
      </c>
      <c r="L5543" t="s">
        <v>43</v>
      </c>
      <c r="M5543" t="s">
        <v>43</v>
      </c>
      <c r="N5543" t="s">
        <v>45</v>
      </c>
      <c r="O5543" t="s">
        <v>43</v>
      </c>
      <c r="P5543" t="s">
        <v>43</v>
      </c>
      <c r="Q5543" t="s">
        <v>43</v>
      </c>
      <c r="R5543" t="s">
        <v>43</v>
      </c>
      <c r="S5543" t="s">
        <v>43</v>
      </c>
      <c r="T5543" t="s">
        <v>43</v>
      </c>
      <c r="U5543" t="s">
        <v>43</v>
      </c>
      <c r="V5543" t="s">
        <v>43</v>
      </c>
      <c r="W5543" t="s">
        <v>43</v>
      </c>
      <c r="X5543" t="s">
        <v>43</v>
      </c>
      <c r="Y5543" t="s">
        <v>43</v>
      </c>
      <c r="Z5543" t="s">
        <v>43</v>
      </c>
      <c r="AA5543" t="s">
        <v>43</v>
      </c>
      <c r="AB5543" t="s">
        <v>43</v>
      </c>
      <c r="AC5543" t="s">
        <v>43</v>
      </c>
      <c r="AD5543" t="s">
        <v>43</v>
      </c>
      <c r="AE5543" t="s">
        <v>43</v>
      </c>
      <c r="AF5543" t="s">
        <v>43</v>
      </c>
      <c r="AG5543" t="s">
        <v>43</v>
      </c>
      <c r="AH5543" t="s">
        <v>43</v>
      </c>
      <c r="AI5543" t="s">
        <v>43</v>
      </c>
      <c r="AJ5543" t="s">
        <v>43</v>
      </c>
      <c r="AK5543" t="s">
        <v>43</v>
      </c>
      <c r="AL5543" t="s">
        <v>43</v>
      </c>
      <c r="AM5543" t="s">
        <v>43</v>
      </c>
      <c r="AN5543" t="s">
        <v>43</v>
      </c>
    </row>
    <row r="5544" spans="1:40" x14ac:dyDescent="0.3">
      <c r="A5544" s="1">
        <v>46210.357638888891</v>
      </c>
      <c r="B5544" t="s">
        <v>40</v>
      </c>
      <c r="C5544" t="s">
        <v>41</v>
      </c>
      <c r="D5544" s="1">
        <v>46210.360520833332</v>
      </c>
      <c r="E5544" t="s">
        <v>42</v>
      </c>
      <c r="F5544" t="s">
        <v>43</v>
      </c>
      <c r="G5544" t="s">
        <v>43</v>
      </c>
      <c r="H5544" t="s">
        <v>43</v>
      </c>
      <c r="I5544" t="s">
        <v>3156</v>
      </c>
      <c r="J5544" t="s">
        <v>43</v>
      </c>
      <c r="K5544" t="s">
        <v>43</v>
      </c>
      <c r="L5544" t="s">
        <v>43</v>
      </c>
      <c r="M5544" t="s">
        <v>43</v>
      </c>
      <c r="N5544" t="s">
        <v>45</v>
      </c>
      <c r="O5544" t="s">
        <v>43</v>
      </c>
      <c r="P5544" t="s">
        <v>43</v>
      </c>
      <c r="Q5544" t="s">
        <v>43</v>
      </c>
      <c r="R5544" t="s">
        <v>43</v>
      </c>
      <c r="S5544" t="s">
        <v>43</v>
      </c>
      <c r="T5544" t="s">
        <v>43</v>
      </c>
      <c r="U5544" t="s">
        <v>43</v>
      </c>
      <c r="V5544" t="s">
        <v>43</v>
      </c>
      <c r="W5544" t="s">
        <v>43</v>
      </c>
      <c r="X5544" t="s">
        <v>43</v>
      </c>
      <c r="Y5544" t="s">
        <v>43</v>
      </c>
      <c r="Z5544" t="s">
        <v>43</v>
      </c>
      <c r="AA5544" t="s">
        <v>43</v>
      </c>
      <c r="AB5544" t="s">
        <v>43</v>
      </c>
      <c r="AC5544" t="s">
        <v>43</v>
      </c>
      <c r="AD5544" t="s">
        <v>43</v>
      </c>
      <c r="AE5544" t="s">
        <v>43</v>
      </c>
      <c r="AF5544" t="s">
        <v>43</v>
      </c>
      <c r="AG5544" t="s">
        <v>43</v>
      </c>
      <c r="AH5544" t="s">
        <v>43</v>
      </c>
      <c r="AI5544" t="s">
        <v>43</v>
      </c>
      <c r="AJ5544" t="s">
        <v>43</v>
      </c>
      <c r="AK5544" t="s">
        <v>43</v>
      </c>
      <c r="AL5544" t="s">
        <v>43</v>
      </c>
      <c r="AM5544" t="s">
        <v>43</v>
      </c>
      <c r="AN5544" t="str">
        <f>HYPERLINK("https://www.google.com/maps?q=10.83316422,79.84577942","Open Location")</f>
        <v>Open Location</v>
      </c>
    </row>
    <row r="5545" spans="1:40" x14ac:dyDescent="0.3">
      <c r="A5545" s="1">
        <v>46210.357523148145</v>
      </c>
      <c r="B5545" t="s">
        <v>40</v>
      </c>
      <c r="C5545" t="s">
        <v>41</v>
      </c>
      <c r="D5545" s="1">
        <v>46210.360543981478</v>
      </c>
      <c r="E5545" t="s">
        <v>42</v>
      </c>
      <c r="F5545" t="s">
        <v>43</v>
      </c>
      <c r="G5545" t="s">
        <v>43</v>
      </c>
      <c r="H5545" t="s">
        <v>43</v>
      </c>
      <c r="I5545" t="s">
        <v>3157</v>
      </c>
      <c r="J5545" t="s">
        <v>43</v>
      </c>
      <c r="K5545" t="s">
        <v>43</v>
      </c>
      <c r="L5545" t="s">
        <v>43</v>
      </c>
      <c r="M5545" t="s">
        <v>43</v>
      </c>
      <c r="N5545" t="s">
        <v>45</v>
      </c>
      <c r="O5545" t="s">
        <v>43</v>
      </c>
      <c r="P5545" t="s">
        <v>43</v>
      </c>
      <c r="Q5545" t="s">
        <v>43</v>
      </c>
      <c r="R5545" t="s">
        <v>43</v>
      </c>
      <c r="S5545" t="s">
        <v>43</v>
      </c>
      <c r="T5545" t="s">
        <v>43</v>
      </c>
      <c r="U5545" t="s">
        <v>43</v>
      </c>
      <c r="V5545" t="s">
        <v>43</v>
      </c>
      <c r="W5545" t="s">
        <v>43</v>
      </c>
      <c r="X5545" t="s">
        <v>43</v>
      </c>
      <c r="Y5545" t="s">
        <v>43</v>
      </c>
      <c r="Z5545" t="s">
        <v>43</v>
      </c>
      <c r="AA5545" t="s">
        <v>43</v>
      </c>
      <c r="AB5545" t="s">
        <v>43</v>
      </c>
      <c r="AC5545" t="s">
        <v>43</v>
      </c>
      <c r="AD5545" t="s">
        <v>43</v>
      </c>
      <c r="AE5545" t="s">
        <v>43</v>
      </c>
      <c r="AF5545" t="s">
        <v>43</v>
      </c>
      <c r="AG5545" t="s">
        <v>43</v>
      </c>
      <c r="AH5545" t="s">
        <v>43</v>
      </c>
      <c r="AI5545" t="s">
        <v>43</v>
      </c>
      <c r="AJ5545" t="s">
        <v>43</v>
      </c>
      <c r="AK5545" t="s">
        <v>43</v>
      </c>
      <c r="AL5545" t="s">
        <v>43</v>
      </c>
      <c r="AM5545" t="s">
        <v>43</v>
      </c>
      <c r="AN5545" t="str">
        <f>HYPERLINK("https://www.google.com/maps?q=10.83316612,79.84577942","Open Location")</f>
        <v>Open Location</v>
      </c>
    </row>
    <row r="5546" spans="1:40" x14ac:dyDescent="0.3">
      <c r="A5546" s="1">
        <v>46210.357407407406</v>
      </c>
      <c r="B5546" t="s">
        <v>40</v>
      </c>
      <c r="C5546" t="s">
        <v>41</v>
      </c>
      <c r="D5546" s="1">
        <v>46210.360578703701</v>
      </c>
      <c r="E5546" t="s">
        <v>42</v>
      </c>
      <c r="F5546" t="s">
        <v>43</v>
      </c>
      <c r="G5546" t="s">
        <v>43</v>
      </c>
      <c r="H5546" t="s">
        <v>43</v>
      </c>
      <c r="I5546" t="s">
        <v>3156</v>
      </c>
      <c r="J5546" t="s">
        <v>43</v>
      </c>
      <c r="K5546" t="s">
        <v>43</v>
      </c>
      <c r="L5546" t="s">
        <v>43</v>
      </c>
      <c r="M5546" t="s">
        <v>43</v>
      </c>
      <c r="N5546" t="s">
        <v>45</v>
      </c>
      <c r="O5546" t="s">
        <v>43</v>
      </c>
      <c r="P5546" t="s">
        <v>43</v>
      </c>
      <c r="Q5546" t="s">
        <v>43</v>
      </c>
      <c r="R5546" t="s">
        <v>43</v>
      </c>
      <c r="S5546" t="s">
        <v>43</v>
      </c>
      <c r="T5546" t="s">
        <v>43</v>
      </c>
      <c r="U5546" t="s">
        <v>43</v>
      </c>
      <c r="V5546" t="s">
        <v>43</v>
      </c>
      <c r="W5546" t="s">
        <v>43</v>
      </c>
      <c r="X5546" t="s">
        <v>43</v>
      </c>
      <c r="Y5546" t="s">
        <v>43</v>
      </c>
      <c r="Z5546" t="s">
        <v>43</v>
      </c>
      <c r="AA5546" t="s">
        <v>43</v>
      </c>
      <c r="AB5546" t="s">
        <v>43</v>
      </c>
      <c r="AC5546" t="s">
        <v>43</v>
      </c>
      <c r="AD5546" t="s">
        <v>43</v>
      </c>
      <c r="AE5546" t="s">
        <v>43</v>
      </c>
      <c r="AF5546" t="s">
        <v>43</v>
      </c>
      <c r="AG5546" t="s">
        <v>43</v>
      </c>
      <c r="AH5546" t="s">
        <v>43</v>
      </c>
      <c r="AI5546" t="s">
        <v>43</v>
      </c>
      <c r="AJ5546" t="s">
        <v>43</v>
      </c>
      <c r="AK5546" t="s">
        <v>43</v>
      </c>
      <c r="AL5546" t="s">
        <v>43</v>
      </c>
      <c r="AM5546" t="s">
        <v>43</v>
      </c>
      <c r="AN5546" t="str">
        <f>HYPERLINK("https://www.google.com/maps?q=10.83316422,79.84577942","Open Location")</f>
        <v>Open Location</v>
      </c>
    </row>
    <row r="5547" spans="1:40" x14ac:dyDescent="0.3">
      <c r="A5547" s="1">
        <v>46210.357291666667</v>
      </c>
      <c r="B5547" t="s">
        <v>40</v>
      </c>
      <c r="C5547" t="s">
        <v>41</v>
      </c>
      <c r="D5547" s="1">
        <v>46210.360034722224</v>
      </c>
      <c r="E5547" t="s">
        <v>42</v>
      </c>
      <c r="F5547" t="s">
        <v>43</v>
      </c>
      <c r="G5547" t="s">
        <v>43</v>
      </c>
      <c r="H5547" t="s">
        <v>43</v>
      </c>
      <c r="I5547" t="s">
        <v>3158</v>
      </c>
      <c r="J5547" t="s">
        <v>43</v>
      </c>
      <c r="K5547" t="s">
        <v>43</v>
      </c>
      <c r="L5547" t="s">
        <v>43</v>
      </c>
      <c r="M5547" t="s">
        <v>43</v>
      </c>
      <c r="N5547" t="s">
        <v>45</v>
      </c>
      <c r="O5547" t="s">
        <v>43</v>
      </c>
      <c r="P5547" t="s">
        <v>43</v>
      </c>
      <c r="Q5547" t="s">
        <v>43</v>
      </c>
      <c r="R5547" t="s">
        <v>43</v>
      </c>
      <c r="S5547" t="s">
        <v>43</v>
      </c>
      <c r="T5547" t="s">
        <v>43</v>
      </c>
      <c r="U5547" t="s">
        <v>43</v>
      </c>
      <c r="V5547" t="s">
        <v>43</v>
      </c>
      <c r="W5547" t="s">
        <v>43</v>
      </c>
      <c r="X5547" t="s">
        <v>43</v>
      </c>
      <c r="Y5547" t="s">
        <v>43</v>
      </c>
      <c r="Z5547" t="s">
        <v>43</v>
      </c>
      <c r="AA5547" t="s">
        <v>43</v>
      </c>
      <c r="AB5547" t="s">
        <v>43</v>
      </c>
      <c r="AC5547" t="s">
        <v>43</v>
      </c>
      <c r="AD5547" t="s">
        <v>43</v>
      </c>
      <c r="AE5547" t="s">
        <v>43</v>
      </c>
      <c r="AF5547" t="s">
        <v>43</v>
      </c>
      <c r="AG5547" t="s">
        <v>43</v>
      </c>
      <c r="AH5547" t="s">
        <v>43</v>
      </c>
      <c r="AI5547" t="s">
        <v>43</v>
      </c>
      <c r="AJ5547" t="s">
        <v>43</v>
      </c>
      <c r="AK5547" t="s">
        <v>43</v>
      </c>
      <c r="AL5547" t="s">
        <v>43</v>
      </c>
      <c r="AM5547" t="s">
        <v>43</v>
      </c>
      <c r="AN5547" t="str">
        <f>HYPERLINK("https://www.google.com/maps?q=10.83316326,79.84577942","Open Location")</f>
        <v>Open Location</v>
      </c>
    </row>
    <row r="5548" spans="1:40" x14ac:dyDescent="0.3">
      <c r="A5548" s="1">
        <v>46210.357175925928</v>
      </c>
      <c r="B5548" t="s">
        <v>40</v>
      </c>
      <c r="C5548" t="s">
        <v>41</v>
      </c>
      <c r="D5548" s="1">
        <v>46210.360034722224</v>
      </c>
      <c r="E5548" t="s">
        <v>42</v>
      </c>
      <c r="F5548" t="s">
        <v>43</v>
      </c>
      <c r="G5548" t="s">
        <v>43</v>
      </c>
      <c r="H5548" t="s">
        <v>43</v>
      </c>
      <c r="I5548" t="s">
        <v>3159</v>
      </c>
      <c r="J5548" t="s">
        <v>43</v>
      </c>
      <c r="K5548" t="s">
        <v>43</v>
      </c>
      <c r="L5548" t="s">
        <v>43</v>
      </c>
      <c r="M5548" t="s">
        <v>43</v>
      </c>
      <c r="N5548" t="s">
        <v>45</v>
      </c>
      <c r="O5548" t="s">
        <v>43</v>
      </c>
      <c r="P5548" t="s">
        <v>43</v>
      </c>
      <c r="Q5548" t="s">
        <v>43</v>
      </c>
      <c r="R5548" t="s">
        <v>43</v>
      </c>
      <c r="S5548" t="s">
        <v>43</v>
      </c>
      <c r="T5548" t="s">
        <v>43</v>
      </c>
      <c r="U5548" t="s">
        <v>43</v>
      </c>
      <c r="V5548" t="s">
        <v>43</v>
      </c>
      <c r="W5548" t="s">
        <v>43</v>
      </c>
      <c r="X5548" t="s">
        <v>43</v>
      </c>
      <c r="Y5548" t="s">
        <v>43</v>
      </c>
      <c r="Z5548" t="s">
        <v>43</v>
      </c>
      <c r="AA5548" t="s">
        <v>43</v>
      </c>
      <c r="AB5548" t="s">
        <v>43</v>
      </c>
      <c r="AC5548" t="s">
        <v>43</v>
      </c>
      <c r="AD5548" t="s">
        <v>43</v>
      </c>
      <c r="AE5548" t="s">
        <v>43</v>
      </c>
      <c r="AF5548" t="s">
        <v>43</v>
      </c>
      <c r="AG5548" t="s">
        <v>43</v>
      </c>
      <c r="AH5548" t="s">
        <v>43</v>
      </c>
      <c r="AI5548" t="s">
        <v>43</v>
      </c>
      <c r="AJ5548" t="s">
        <v>43</v>
      </c>
      <c r="AK5548" t="s">
        <v>43</v>
      </c>
      <c r="AL5548" t="s">
        <v>43</v>
      </c>
      <c r="AM5548" t="s">
        <v>43</v>
      </c>
      <c r="AN5548" t="str">
        <f>HYPERLINK("https://www.google.com/maps?q=10.8331604,79.84577942","Open Location")</f>
        <v>Open Location</v>
      </c>
    </row>
    <row r="5549" spans="1:40" x14ac:dyDescent="0.3">
      <c r="A5549" s="1">
        <v>46210.357060185182</v>
      </c>
      <c r="B5549" t="s">
        <v>40</v>
      </c>
      <c r="C5549" t="s">
        <v>41</v>
      </c>
      <c r="D5549" s="1">
        <v>46210.359768518516</v>
      </c>
      <c r="E5549" t="s">
        <v>42</v>
      </c>
      <c r="F5549" t="s">
        <v>43</v>
      </c>
      <c r="G5549" t="s">
        <v>43</v>
      </c>
      <c r="H5549" t="s">
        <v>43</v>
      </c>
      <c r="I5549" t="s">
        <v>43</v>
      </c>
      <c r="J5549" t="s">
        <v>43</v>
      </c>
      <c r="K5549" t="s">
        <v>43</v>
      </c>
      <c r="L5549" t="s">
        <v>43</v>
      </c>
      <c r="M5549" t="s">
        <v>43</v>
      </c>
      <c r="N5549" t="s">
        <v>45</v>
      </c>
      <c r="O5549" t="s">
        <v>43</v>
      </c>
      <c r="P5549" t="s">
        <v>43</v>
      </c>
      <c r="Q5549" t="s">
        <v>43</v>
      </c>
      <c r="R5549" t="s">
        <v>43</v>
      </c>
      <c r="S5549" t="s">
        <v>43</v>
      </c>
      <c r="T5549" t="s">
        <v>43</v>
      </c>
      <c r="U5549" t="s">
        <v>43</v>
      </c>
      <c r="V5549" t="s">
        <v>43</v>
      </c>
      <c r="W5549" t="s">
        <v>43</v>
      </c>
      <c r="X5549" t="s">
        <v>43</v>
      </c>
      <c r="Y5549" t="s">
        <v>43</v>
      </c>
      <c r="Z5549" t="s">
        <v>43</v>
      </c>
      <c r="AA5549" t="s">
        <v>43</v>
      </c>
      <c r="AB5549" t="s">
        <v>43</v>
      </c>
      <c r="AC5549" t="s">
        <v>43</v>
      </c>
      <c r="AD5549" t="s">
        <v>43</v>
      </c>
      <c r="AE5549" t="s">
        <v>43</v>
      </c>
      <c r="AF5549" t="s">
        <v>43</v>
      </c>
      <c r="AG5549" t="s">
        <v>43</v>
      </c>
      <c r="AH5549" t="s">
        <v>43</v>
      </c>
      <c r="AI5549" t="s">
        <v>43</v>
      </c>
      <c r="AJ5549" t="s">
        <v>43</v>
      </c>
      <c r="AK5549" t="s">
        <v>43</v>
      </c>
      <c r="AL5549" t="s">
        <v>43</v>
      </c>
      <c r="AM5549" t="s">
        <v>43</v>
      </c>
      <c r="AN5549" t="s">
        <v>43</v>
      </c>
    </row>
    <row r="5550" spans="1:40" x14ac:dyDescent="0.3">
      <c r="A5550" s="1">
        <v>46210.356944444444</v>
      </c>
      <c r="B5550" t="s">
        <v>40</v>
      </c>
      <c r="C5550" t="s">
        <v>41</v>
      </c>
      <c r="D5550" s="1">
        <v>46210.359756944446</v>
      </c>
      <c r="E5550" t="s">
        <v>42</v>
      </c>
      <c r="F5550" t="s">
        <v>43</v>
      </c>
      <c r="G5550" t="s">
        <v>43</v>
      </c>
      <c r="H5550" t="s">
        <v>43</v>
      </c>
      <c r="I5550" t="s">
        <v>3159</v>
      </c>
      <c r="J5550" t="s">
        <v>43</v>
      </c>
      <c r="K5550" t="s">
        <v>43</v>
      </c>
      <c r="L5550" t="s">
        <v>43</v>
      </c>
      <c r="M5550" t="s">
        <v>43</v>
      </c>
      <c r="N5550" t="s">
        <v>45</v>
      </c>
      <c r="O5550" t="s">
        <v>43</v>
      </c>
      <c r="P5550" t="s">
        <v>43</v>
      </c>
      <c r="Q5550" t="s">
        <v>43</v>
      </c>
      <c r="R5550" t="s">
        <v>43</v>
      </c>
      <c r="S5550" t="s">
        <v>43</v>
      </c>
      <c r="T5550" t="s">
        <v>43</v>
      </c>
      <c r="U5550" t="s">
        <v>43</v>
      </c>
      <c r="V5550" t="s">
        <v>43</v>
      </c>
      <c r="W5550" t="s">
        <v>43</v>
      </c>
      <c r="X5550" t="s">
        <v>43</v>
      </c>
      <c r="Y5550" t="s">
        <v>43</v>
      </c>
      <c r="Z5550" t="s">
        <v>43</v>
      </c>
      <c r="AA5550" t="s">
        <v>43</v>
      </c>
      <c r="AB5550" t="s">
        <v>43</v>
      </c>
      <c r="AC5550" t="s">
        <v>43</v>
      </c>
      <c r="AD5550" t="s">
        <v>43</v>
      </c>
      <c r="AE5550" t="s">
        <v>43</v>
      </c>
      <c r="AF5550" t="s">
        <v>43</v>
      </c>
      <c r="AG5550" t="s">
        <v>43</v>
      </c>
      <c r="AH5550" t="s">
        <v>43</v>
      </c>
      <c r="AI5550" t="s">
        <v>43</v>
      </c>
      <c r="AJ5550" t="s">
        <v>43</v>
      </c>
      <c r="AK5550" t="s">
        <v>43</v>
      </c>
      <c r="AL5550" t="s">
        <v>43</v>
      </c>
      <c r="AM5550" t="s">
        <v>43</v>
      </c>
      <c r="AN5550" t="str">
        <f>HYPERLINK("https://www.google.com/maps?q=10.8331604,79.84577942","Open Location")</f>
        <v>Open Location</v>
      </c>
    </row>
    <row r="5551" spans="1:40" x14ac:dyDescent="0.3">
      <c r="A5551" s="1">
        <v>46210.356828703705</v>
      </c>
      <c r="B5551" t="s">
        <v>40</v>
      </c>
      <c r="C5551" t="s">
        <v>41</v>
      </c>
      <c r="D5551" s="1">
        <v>46210.359537037039</v>
      </c>
      <c r="E5551" t="s">
        <v>42</v>
      </c>
      <c r="F5551" t="s">
        <v>43</v>
      </c>
      <c r="G5551" t="s">
        <v>43</v>
      </c>
      <c r="H5551" t="s">
        <v>43</v>
      </c>
      <c r="I5551" t="s">
        <v>3158</v>
      </c>
      <c r="J5551" t="s">
        <v>43</v>
      </c>
      <c r="K5551" t="s">
        <v>43</v>
      </c>
      <c r="L5551" t="s">
        <v>43</v>
      </c>
      <c r="M5551" t="s">
        <v>43</v>
      </c>
      <c r="N5551" t="s">
        <v>45</v>
      </c>
      <c r="O5551" t="s">
        <v>43</v>
      </c>
      <c r="P5551" t="s">
        <v>43</v>
      </c>
      <c r="Q5551" t="s">
        <v>43</v>
      </c>
      <c r="R5551" t="s">
        <v>43</v>
      </c>
      <c r="S5551" t="s">
        <v>43</v>
      </c>
      <c r="T5551" t="s">
        <v>43</v>
      </c>
      <c r="U5551" t="s">
        <v>43</v>
      </c>
      <c r="V5551" t="s">
        <v>43</v>
      </c>
      <c r="W5551" t="s">
        <v>43</v>
      </c>
      <c r="X5551" t="s">
        <v>43</v>
      </c>
      <c r="Y5551" t="s">
        <v>43</v>
      </c>
      <c r="Z5551" t="s">
        <v>43</v>
      </c>
      <c r="AA5551" t="s">
        <v>43</v>
      </c>
      <c r="AB5551" t="s">
        <v>43</v>
      </c>
      <c r="AC5551" t="s">
        <v>43</v>
      </c>
      <c r="AD5551" t="s">
        <v>43</v>
      </c>
      <c r="AE5551" t="s">
        <v>43</v>
      </c>
      <c r="AF5551" t="s">
        <v>43</v>
      </c>
      <c r="AG5551" t="s">
        <v>43</v>
      </c>
      <c r="AH5551" t="s">
        <v>43</v>
      </c>
      <c r="AI5551" t="s">
        <v>43</v>
      </c>
      <c r="AJ5551" t="s">
        <v>43</v>
      </c>
      <c r="AK5551" t="s">
        <v>43</v>
      </c>
      <c r="AL5551" t="s">
        <v>43</v>
      </c>
      <c r="AM5551" t="s">
        <v>43</v>
      </c>
      <c r="AN5551" t="str">
        <f>HYPERLINK("https://www.google.com/maps?q=10.83316326,79.84577942","Open Location")</f>
        <v>Open Location</v>
      </c>
    </row>
    <row r="5552" spans="1:40" x14ac:dyDescent="0.3">
      <c r="A5552" s="1">
        <v>46210.356712962966</v>
      </c>
      <c r="B5552" t="s">
        <v>40</v>
      </c>
      <c r="C5552" t="s">
        <v>41</v>
      </c>
      <c r="D5552" s="1">
        <v>46210.359548611108</v>
      </c>
      <c r="E5552" t="s">
        <v>42</v>
      </c>
      <c r="F5552" t="s">
        <v>43</v>
      </c>
      <c r="G5552" t="s">
        <v>43</v>
      </c>
      <c r="H5552" t="s">
        <v>43</v>
      </c>
      <c r="I5552" t="s">
        <v>3160</v>
      </c>
      <c r="J5552" t="s">
        <v>43</v>
      </c>
      <c r="K5552" t="s">
        <v>43</v>
      </c>
      <c r="L5552" t="s">
        <v>43</v>
      </c>
      <c r="M5552" t="s">
        <v>43</v>
      </c>
      <c r="N5552" t="s">
        <v>45</v>
      </c>
      <c r="O5552" t="s">
        <v>43</v>
      </c>
      <c r="P5552" t="s">
        <v>43</v>
      </c>
      <c r="Q5552" t="s">
        <v>43</v>
      </c>
      <c r="R5552" t="s">
        <v>43</v>
      </c>
      <c r="S5552" t="s">
        <v>43</v>
      </c>
      <c r="T5552" t="s">
        <v>43</v>
      </c>
      <c r="U5552" t="s">
        <v>43</v>
      </c>
      <c r="V5552" t="s">
        <v>43</v>
      </c>
      <c r="W5552" t="s">
        <v>43</v>
      </c>
      <c r="X5552" t="s">
        <v>43</v>
      </c>
      <c r="Y5552" t="s">
        <v>43</v>
      </c>
      <c r="Z5552" t="s">
        <v>43</v>
      </c>
      <c r="AA5552" t="s">
        <v>43</v>
      </c>
      <c r="AB5552" t="s">
        <v>43</v>
      </c>
      <c r="AC5552" t="s">
        <v>43</v>
      </c>
      <c r="AD5552" t="s">
        <v>43</v>
      </c>
      <c r="AE5552" t="s">
        <v>43</v>
      </c>
      <c r="AF5552" t="s">
        <v>43</v>
      </c>
      <c r="AG5552" t="s">
        <v>43</v>
      </c>
      <c r="AH5552" t="s">
        <v>43</v>
      </c>
      <c r="AI5552" t="s">
        <v>43</v>
      </c>
      <c r="AJ5552" t="s">
        <v>43</v>
      </c>
      <c r="AK5552" t="s">
        <v>43</v>
      </c>
      <c r="AL5552" t="s">
        <v>43</v>
      </c>
      <c r="AM5552" t="s">
        <v>43</v>
      </c>
      <c r="AN5552" t="str">
        <f>HYPERLINK("https://www.google.com/maps?q=10.83316708,79.84577942","Open Location")</f>
        <v>Open Location</v>
      </c>
    </row>
    <row r="5553" spans="1:40" x14ac:dyDescent="0.3">
      <c r="A5553" s="1">
        <v>46210.35659722222</v>
      </c>
      <c r="B5553" t="s">
        <v>40</v>
      </c>
      <c r="C5553" t="s">
        <v>41</v>
      </c>
      <c r="D5553" s="1">
        <v>46210.359537037039</v>
      </c>
      <c r="E5553" t="s">
        <v>42</v>
      </c>
      <c r="F5553" t="s">
        <v>43</v>
      </c>
      <c r="G5553" t="s">
        <v>43</v>
      </c>
      <c r="H5553" t="s">
        <v>43</v>
      </c>
      <c r="I5553" t="s">
        <v>3161</v>
      </c>
      <c r="J5553" t="s">
        <v>43</v>
      </c>
      <c r="K5553" t="s">
        <v>43</v>
      </c>
      <c r="L5553" t="s">
        <v>43</v>
      </c>
      <c r="M5553" t="s">
        <v>43</v>
      </c>
      <c r="N5553" t="s">
        <v>45</v>
      </c>
      <c r="O5553" t="s">
        <v>43</v>
      </c>
      <c r="P5553" t="s">
        <v>43</v>
      </c>
      <c r="Q5553" t="s">
        <v>43</v>
      </c>
      <c r="R5553" t="s">
        <v>43</v>
      </c>
      <c r="S5553" t="s">
        <v>43</v>
      </c>
      <c r="T5553" t="s">
        <v>43</v>
      </c>
      <c r="U5553" t="s">
        <v>43</v>
      </c>
      <c r="V5553" t="s">
        <v>43</v>
      </c>
      <c r="W5553" t="s">
        <v>43</v>
      </c>
      <c r="X5553" t="s">
        <v>43</v>
      </c>
      <c r="Y5553" t="s">
        <v>43</v>
      </c>
      <c r="Z5553" t="s">
        <v>43</v>
      </c>
      <c r="AA5553" t="s">
        <v>43</v>
      </c>
      <c r="AB5553" t="s">
        <v>43</v>
      </c>
      <c r="AC5553" t="s">
        <v>43</v>
      </c>
      <c r="AD5553" t="s">
        <v>43</v>
      </c>
      <c r="AE5553" t="s">
        <v>43</v>
      </c>
      <c r="AF5553" t="s">
        <v>43</v>
      </c>
      <c r="AG5553" t="s">
        <v>43</v>
      </c>
      <c r="AH5553" t="s">
        <v>43</v>
      </c>
      <c r="AI5553" t="s">
        <v>43</v>
      </c>
      <c r="AJ5553" t="s">
        <v>43</v>
      </c>
      <c r="AK5553" t="s">
        <v>43</v>
      </c>
      <c r="AL5553" t="s">
        <v>43</v>
      </c>
      <c r="AM5553" t="s">
        <v>43</v>
      </c>
      <c r="AN5553" t="str">
        <f>HYPERLINK("https://www.google.com/maps?q=10.83316803,79.84577942","Open Location")</f>
        <v>Open Location</v>
      </c>
    </row>
    <row r="5554" spans="1:40" x14ac:dyDescent="0.3">
      <c r="A5554" s="1">
        <v>46210.356481481482</v>
      </c>
      <c r="B5554" t="s">
        <v>40</v>
      </c>
      <c r="C5554" t="s">
        <v>41</v>
      </c>
      <c r="D5554" s="1">
        <v>46210.359456018516</v>
      </c>
      <c r="E5554" t="s">
        <v>42</v>
      </c>
      <c r="F5554" t="s">
        <v>43</v>
      </c>
      <c r="G5554" t="s">
        <v>43</v>
      </c>
      <c r="H5554" t="s">
        <v>43</v>
      </c>
      <c r="I5554" t="s">
        <v>43</v>
      </c>
      <c r="J5554" t="s">
        <v>43</v>
      </c>
      <c r="K5554" t="s">
        <v>43</v>
      </c>
      <c r="L5554" t="s">
        <v>43</v>
      </c>
      <c r="M5554" t="s">
        <v>43</v>
      </c>
      <c r="N5554" t="s">
        <v>45</v>
      </c>
      <c r="O5554" t="s">
        <v>43</v>
      </c>
      <c r="P5554" t="s">
        <v>43</v>
      </c>
      <c r="Q5554" t="s">
        <v>43</v>
      </c>
      <c r="R5554" t="s">
        <v>43</v>
      </c>
      <c r="S5554" t="s">
        <v>43</v>
      </c>
      <c r="T5554" t="s">
        <v>43</v>
      </c>
      <c r="U5554" t="s">
        <v>43</v>
      </c>
      <c r="V5554" t="s">
        <v>43</v>
      </c>
      <c r="W5554" t="s">
        <v>43</v>
      </c>
      <c r="X5554" t="s">
        <v>43</v>
      </c>
      <c r="Y5554" t="s">
        <v>43</v>
      </c>
      <c r="Z5554" t="s">
        <v>43</v>
      </c>
      <c r="AA5554" t="s">
        <v>43</v>
      </c>
      <c r="AB5554" t="s">
        <v>43</v>
      </c>
      <c r="AC5554" t="s">
        <v>43</v>
      </c>
      <c r="AD5554" t="s">
        <v>43</v>
      </c>
      <c r="AE5554" t="s">
        <v>43</v>
      </c>
      <c r="AF5554" t="s">
        <v>43</v>
      </c>
      <c r="AG5554" t="s">
        <v>43</v>
      </c>
      <c r="AH5554" t="s">
        <v>43</v>
      </c>
      <c r="AI5554" t="s">
        <v>43</v>
      </c>
      <c r="AJ5554" t="s">
        <v>43</v>
      </c>
      <c r="AK5554" t="s">
        <v>43</v>
      </c>
      <c r="AL5554" t="s">
        <v>43</v>
      </c>
      <c r="AM5554" t="s">
        <v>43</v>
      </c>
      <c r="AN5554" t="s">
        <v>43</v>
      </c>
    </row>
    <row r="5555" spans="1:40" x14ac:dyDescent="0.3">
      <c r="A5555" s="1">
        <v>46210.356365740743</v>
      </c>
      <c r="B5555" t="s">
        <v>40</v>
      </c>
      <c r="C5555" t="s">
        <v>41</v>
      </c>
      <c r="D5555" s="1">
        <v>46210.359340277777</v>
      </c>
      <c r="E5555" t="s">
        <v>42</v>
      </c>
      <c r="F5555" t="s">
        <v>43</v>
      </c>
      <c r="G5555" t="s">
        <v>43</v>
      </c>
      <c r="H5555" t="s">
        <v>43</v>
      </c>
      <c r="I5555" t="s">
        <v>3153</v>
      </c>
      <c r="J5555" t="s">
        <v>43</v>
      </c>
      <c r="K5555" t="s">
        <v>43</v>
      </c>
      <c r="L5555" t="s">
        <v>43</v>
      </c>
      <c r="M5555" t="s">
        <v>43</v>
      </c>
      <c r="N5555" t="s">
        <v>45</v>
      </c>
      <c r="O5555" t="s">
        <v>43</v>
      </c>
      <c r="P5555" t="s">
        <v>43</v>
      </c>
      <c r="Q5555" t="s">
        <v>43</v>
      </c>
      <c r="R5555" t="s">
        <v>43</v>
      </c>
      <c r="S5555" t="s">
        <v>43</v>
      </c>
      <c r="T5555" t="s">
        <v>43</v>
      </c>
      <c r="U5555" t="s">
        <v>43</v>
      </c>
      <c r="V5555" t="s">
        <v>43</v>
      </c>
      <c r="W5555" t="s">
        <v>43</v>
      </c>
      <c r="X5555" t="s">
        <v>43</v>
      </c>
      <c r="Y5555" t="s">
        <v>43</v>
      </c>
      <c r="Z5555" t="s">
        <v>43</v>
      </c>
      <c r="AA5555" t="s">
        <v>43</v>
      </c>
      <c r="AB5555" t="s">
        <v>43</v>
      </c>
      <c r="AC5555" t="s">
        <v>43</v>
      </c>
      <c r="AD5555" t="s">
        <v>43</v>
      </c>
      <c r="AE5555" t="s">
        <v>43</v>
      </c>
      <c r="AF5555" t="s">
        <v>43</v>
      </c>
      <c r="AG5555" t="s">
        <v>43</v>
      </c>
      <c r="AH5555" t="s">
        <v>43</v>
      </c>
      <c r="AI5555" t="s">
        <v>43</v>
      </c>
      <c r="AJ5555" t="s">
        <v>43</v>
      </c>
      <c r="AK5555" t="s">
        <v>43</v>
      </c>
      <c r="AL5555" t="s">
        <v>43</v>
      </c>
      <c r="AM5555" t="s">
        <v>43</v>
      </c>
      <c r="AN5555" t="str">
        <f>HYPERLINK("https://www.google.com/maps?q=10.83317184,79.84577942","Open Location")</f>
        <v>Open Location</v>
      </c>
    </row>
    <row r="5556" spans="1:40" x14ac:dyDescent="0.3">
      <c r="A5556" s="1">
        <v>46210.356249999997</v>
      </c>
      <c r="B5556" t="s">
        <v>40</v>
      </c>
      <c r="C5556" t="s">
        <v>41</v>
      </c>
      <c r="D5556" s="1">
        <v>46210.359305555554</v>
      </c>
      <c r="E5556" t="s">
        <v>42</v>
      </c>
      <c r="F5556" t="s">
        <v>43</v>
      </c>
      <c r="G5556" t="s">
        <v>43</v>
      </c>
      <c r="H5556" t="s">
        <v>43</v>
      </c>
      <c r="I5556" t="s">
        <v>3154</v>
      </c>
      <c r="J5556" t="s">
        <v>43</v>
      </c>
      <c r="K5556" t="s">
        <v>43</v>
      </c>
      <c r="L5556" t="s">
        <v>43</v>
      </c>
      <c r="M5556" t="s">
        <v>43</v>
      </c>
      <c r="N5556" t="s">
        <v>45</v>
      </c>
      <c r="O5556" t="s">
        <v>43</v>
      </c>
      <c r="P5556" t="s">
        <v>43</v>
      </c>
      <c r="Q5556" t="s">
        <v>43</v>
      </c>
      <c r="R5556" t="s">
        <v>43</v>
      </c>
      <c r="S5556" t="s">
        <v>43</v>
      </c>
      <c r="T5556" t="s">
        <v>43</v>
      </c>
      <c r="U5556" t="s">
        <v>43</v>
      </c>
      <c r="V5556" t="s">
        <v>43</v>
      </c>
      <c r="W5556" t="s">
        <v>43</v>
      </c>
      <c r="X5556" t="s">
        <v>43</v>
      </c>
      <c r="Y5556" t="s">
        <v>43</v>
      </c>
      <c r="Z5556" t="s">
        <v>43</v>
      </c>
      <c r="AA5556" t="s">
        <v>43</v>
      </c>
      <c r="AB5556" t="s">
        <v>43</v>
      </c>
      <c r="AC5556" t="s">
        <v>43</v>
      </c>
      <c r="AD5556" t="s">
        <v>43</v>
      </c>
      <c r="AE5556" t="s">
        <v>43</v>
      </c>
      <c r="AF5556" t="s">
        <v>43</v>
      </c>
      <c r="AG5556" t="s">
        <v>43</v>
      </c>
      <c r="AH5556" t="s">
        <v>43</v>
      </c>
      <c r="AI5556" t="s">
        <v>43</v>
      </c>
      <c r="AJ5556" t="s">
        <v>43</v>
      </c>
      <c r="AK5556" t="s">
        <v>43</v>
      </c>
      <c r="AL5556" t="s">
        <v>43</v>
      </c>
      <c r="AM5556" t="s">
        <v>43</v>
      </c>
      <c r="AN5556" t="str">
        <f>HYPERLINK("https://www.google.com/maps?q=10.83317089,79.84577942","Open Location")</f>
        <v>Open Location</v>
      </c>
    </row>
    <row r="5557" spans="1:40" x14ac:dyDescent="0.3">
      <c r="A5557" s="1">
        <v>46210.356134259258</v>
      </c>
      <c r="B5557" t="s">
        <v>40</v>
      </c>
      <c r="C5557" t="s">
        <v>41</v>
      </c>
      <c r="D5557" s="1">
        <v>46210.358969907407</v>
      </c>
      <c r="E5557" t="s">
        <v>42</v>
      </c>
      <c r="F5557" t="s">
        <v>43</v>
      </c>
      <c r="G5557" t="s">
        <v>43</v>
      </c>
      <c r="H5557" t="s">
        <v>43</v>
      </c>
      <c r="I5557" t="s">
        <v>3162</v>
      </c>
      <c r="J5557" t="s">
        <v>43</v>
      </c>
      <c r="K5557" t="s">
        <v>43</v>
      </c>
      <c r="L5557" t="s">
        <v>43</v>
      </c>
      <c r="M5557" t="s">
        <v>43</v>
      </c>
      <c r="N5557" t="s">
        <v>45</v>
      </c>
      <c r="O5557" t="s">
        <v>43</v>
      </c>
      <c r="P5557" t="s">
        <v>43</v>
      </c>
      <c r="Q5557" t="s">
        <v>43</v>
      </c>
      <c r="R5557" t="s">
        <v>43</v>
      </c>
      <c r="S5557" t="s">
        <v>43</v>
      </c>
      <c r="T5557" t="s">
        <v>43</v>
      </c>
      <c r="U5557" t="s">
        <v>43</v>
      </c>
      <c r="V5557" t="s">
        <v>43</v>
      </c>
      <c r="W5557" t="s">
        <v>43</v>
      </c>
      <c r="X5557" t="s">
        <v>43</v>
      </c>
      <c r="Y5557" t="s">
        <v>43</v>
      </c>
      <c r="Z5557" t="s">
        <v>43</v>
      </c>
      <c r="AA5557" t="s">
        <v>43</v>
      </c>
      <c r="AB5557" t="s">
        <v>43</v>
      </c>
      <c r="AC5557" t="s">
        <v>43</v>
      </c>
      <c r="AD5557" t="s">
        <v>43</v>
      </c>
      <c r="AE5557" t="s">
        <v>43</v>
      </c>
      <c r="AF5557" t="s">
        <v>43</v>
      </c>
      <c r="AG5557" t="s">
        <v>43</v>
      </c>
      <c r="AH5557" t="s">
        <v>43</v>
      </c>
      <c r="AI5557" t="s">
        <v>43</v>
      </c>
      <c r="AJ5557" t="s">
        <v>43</v>
      </c>
      <c r="AK5557" t="s">
        <v>43</v>
      </c>
      <c r="AL5557" t="s">
        <v>43</v>
      </c>
      <c r="AM5557" t="s">
        <v>43</v>
      </c>
      <c r="AN5557" t="str">
        <f>HYPERLINK("https://www.google.com/maps?q=10.83316994,79.84577942","Open Location")</f>
        <v>Open Location</v>
      </c>
    </row>
    <row r="5558" spans="1:40" x14ac:dyDescent="0.3">
      <c r="A5558" s="1">
        <v>46210.35601851852</v>
      </c>
      <c r="B5558" t="s">
        <v>40</v>
      </c>
      <c r="C5558" t="s">
        <v>41</v>
      </c>
      <c r="D5558" s="1">
        <v>46210.358935185184</v>
      </c>
      <c r="E5558" t="s">
        <v>42</v>
      </c>
      <c r="F5558" t="s">
        <v>43</v>
      </c>
      <c r="G5558" t="s">
        <v>43</v>
      </c>
      <c r="H5558" t="s">
        <v>43</v>
      </c>
      <c r="I5558" t="s">
        <v>3161</v>
      </c>
      <c r="J5558" t="s">
        <v>43</v>
      </c>
      <c r="K5558" t="s">
        <v>43</v>
      </c>
      <c r="L5558" t="s">
        <v>43</v>
      </c>
      <c r="M5558" t="s">
        <v>43</v>
      </c>
      <c r="N5558" t="s">
        <v>45</v>
      </c>
      <c r="O5558" t="s">
        <v>43</v>
      </c>
      <c r="P5558" t="s">
        <v>43</v>
      </c>
      <c r="Q5558" t="s">
        <v>43</v>
      </c>
      <c r="R5558" t="s">
        <v>43</v>
      </c>
      <c r="S5558" t="s">
        <v>43</v>
      </c>
      <c r="T5558" t="s">
        <v>43</v>
      </c>
      <c r="U5558" t="s">
        <v>43</v>
      </c>
      <c r="V5558" t="s">
        <v>43</v>
      </c>
      <c r="W5558" t="s">
        <v>43</v>
      </c>
      <c r="X5558" t="s">
        <v>43</v>
      </c>
      <c r="Y5558" t="s">
        <v>43</v>
      </c>
      <c r="Z5558" t="s">
        <v>43</v>
      </c>
      <c r="AA5558" t="s">
        <v>43</v>
      </c>
      <c r="AB5558" t="s">
        <v>43</v>
      </c>
      <c r="AC5558" t="s">
        <v>43</v>
      </c>
      <c r="AD5558" t="s">
        <v>43</v>
      </c>
      <c r="AE5558" t="s">
        <v>43</v>
      </c>
      <c r="AF5558" t="s">
        <v>43</v>
      </c>
      <c r="AG5558" t="s">
        <v>43</v>
      </c>
      <c r="AH5558" t="s">
        <v>43</v>
      </c>
      <c r="AI5558" t="s">
        <v>43</v>
      </c>
      <c r="AJ5558" t="s">
        <v>43</v>
      </c>
      <c r="AK5558" t="s">
        <v>43</v>
      </c>
      <c r="AL5558" t="s">
        <v>43</v>
      </c>
      <c r="AM5558" t="s">
        <v>43</v>
      </c>
      <c r="AN5558" t="str">
        <f>HYPERLINK("https://www.google.com/maps?q=10.83316803,79.84577942","Open Location")</f>
        <v>Open Location</v>
      </c>
    </row>
    <row r="5559" spans="1:40" x14ac:dyDescent="0.3">
      <c r="A5559" s="1">
        <v>46210.355902777781</v>
      </c>
      <c r="B5559" t="s">
        <v>40</v>
      </c>
      <c r="C5559" t="s">
        <v>41</v>
      </c>
      <c r="D5559" s="1">
        <v>46210.35864583333</v>
      </c>
      <c r="E5559" t="s">
        <v>42</v>
      </c>
      <c r="F5559" t="s">
        <v>43</v>
      </c>
      <c r="G5559" t="s">
        <v>43</v>
      </c>
      <c r="H5559" t="s">
        <v>43</v>
      </c>
      <c r="I5559" t="s">
        <v>3161</v>
      </c>
      <c r="J5559" t="s">
        <v>43</v>
      </c>
      <c r="K5559" t="s">
        <v>43</v>
      </c>
      <c r="L5559" t="s">
        <v>43</v>
      </c>
      <c r="M5559" t="s">
        <v>43</v>
      </c>
      <c r="N5559" t="s">
        <v>45</v>
      </c>
      <c r="O5559" t="s">
        <v>43</v>
      </c>
      <c r="P5559" t="s">
        <v>43</v>
      </c>
      <c r="Q5559" t="s">
        <v>43</v>
      </c>
      <c r="R5559" t="s">
        <v>43</v>
      </c>
      <c r="S5559" t="s">
        <v>43</v>
      </c>
      <c r="T5559" t="s">
        <v>43</v>
      </c>
      <c r="U5559" t="s">
        <v>43</v>
      </c>
      <c r="V5559" t="s">
        <v>43</v>
      </c>
      <c r="W5559" t="s">
        <v>43</v>
      </c>
      <c r="X5559" t="s">
        <v>43</v>
      </c>
      <c r="Y5559" t="s">
        <v>43</v>
      </c>
      <c r="Z5559" t="s">
        <v>43</v>
      </c>
      <c r="AA5559" t="s">
        <v>43</v>
      </c>
      <c r="AB5559" t="s">
        <v>43</v>
      </c>
      <c r="AC5559" t="s">
        <v>43</v>
      </c>
      <c r="AD5559" t="s">
        <v>43</v>
      </c>
      <c r="AE5559" t="s">
        <v>43</v>
      </c>
      <c r="AF5559" t="s">
        <v>43</v>
      </c>
      <c r="AG5559" t="s">
        <v>43</v>
      </c>
      <c r="AH5559" t="s">
        <v>43</v>
      </c>
      <c r="AI5559" t="s">
        <v>43</v>
      </c>
      <c r="AJ5559" t="s">
        <v>43</v>
      </c>
      <c r="AK5559" t="s">
        <v>43</v>
      </c>
      <c r="AL5559" t="s">
        <v>43</v>
      </c>
      <c r="AM5559" t="s">
        <v>43</v>
      </c>
      <c r="AN5559" t="str">
        <f>HYPERLINK("https://www.google.com/maps?q=10.83316803,79.84577942","Open Location")</f>
        <v>Open Location</v>
      </c>
    </row>
    <row r="5560" spans="1:40" x14ac:dyDescent="0.3">
      <c r="A5560" s="1">
        <v>46210.355787037035</v>
      </c>
      <c r="B5560" t="s">
        <v>40</v>
      </c>
      <c r="C5560" t="s">
        <v>41</v>
      </c>
      <c r="D5560" s="1">
        <v>46210.35864583333</v>
      </c>
      <c r="E5560" t="s">
        <v>42</v>
      </c>
      <c r="F5560" t="s">
        <v>43</v>
      </c>
      <c r="G5560" t="s">
        <v>43</v>
      </c>
      <c r="H5560" t="s">
        <v>43</v>
      </c>
      <c r="I5560" t="s">
        <v>43</v>
      </c>
      <c r="J5560" t="s">
        <v>43</v>
      </c>
      <c r="K5560" t="s">
        <v>43</v>
      </c>
      <c r="L5560" t="s">
        <v>43</v>
      </c>
      <c r="M5560" t="s">
        <v>43</v>
      </c>
      <c r="N5560" t="s">
        <v>45</v>
      </c>
      <c r="O5560" t="s">
        <v>43</v>
      </c>
      <c r="P5560" t="s">
        <v>43</v>
      </c>
      <c r="Q5560" t="s">
        <v>43</v>
      </c>
      <c r="R5560" t="s">
        <v>43</v>
      </c>
      <c r="S5560" t="s">
        <v>43</v>
      </c>
      <c r="T5560" t="s">
        <v>43</v>
      </c>
      <c r="U5560" t="s">
        <v>43</v>
      </c>
      <c r="V5560" t="s">
        <v>43</v>
      </c>
      <c r="W5560" t="s">
        <v>43</v>
      </c>
      <c r="X5560" t="s">
        <v>43</v>
      </c>
      <c r="Y5560" t="s">
        <v>43</v>
      </c>
      <c r="Z5560" t="s">
        <v>43</v>
      </c>
      <c r="AA5560" t="s">
        <v>43</v>
      </c>
      <c r="AB5560" t="s">
        <v>43</v>
      </c>
      <c r="AC5560" t="s">
        <v>43</v>
      </c>
      <c r="AD5560" t="s">
        <v>43</v>
      </c>
      <c r="AE5560" t="s">
        <v>43</v>
      </c>
      <c r="AF5560" t="s">
        <v>43</v>
      </c>
      <c r="AG5560" t="s">
        <v>43</v>
      </c>
      <c r="AH5560" t="s">
        <v>43</v>
      </c>
      <c r="AI5560" t="s">
        <v>43</v>
      </c>
      <c r="AJ5560" t="s">
        <v>43</v>
      </c>
      <c r="AK5560" t="s">
        <v>43</v>
      </c>
      <c r="AL5560" t="s">
        <v>43</v>
      </c>
      <c r="AM5560" t="s">
        <v>43</v>
      </c>
      <c r="AN5560" t="s">
        <v>43</v>
      </c>
    </row>
    <row r="5561" spans="1:40" x14ac:dyDescent="0.3">
      <c r="A5561" s="1">
        <v>46210.355671296296</v>
      </c>
      <c r="B5561" t="s">
        <v>40</v>
      </c>
      <c r="C5561" t="s">
        <v>41</v>
      </c>
      <c r="D5561" s="1">
        <v>46210.358414351853</v>
      </c>
      <c r="E5561" t="s">
        <v>42</v>
      </c>
      <c r="F5561" t="s">
        <v>43</v>
      </c>
      <c r="G5561" t="s">
        <v>43</v>
      </c>
      <c r="H5561" t="s">
        <v>43</v>
      </c>
      <c r="I5561" t="s">
        <v>3155</v>
      </c>
      <c r="J5561" t="s">
        <v>43</v>
      </c>
      <c r="K5561" t="s">
        <v>43</v>
      </c>
      <c r="L5561" t="s">
        <v>43</v>
      </c>
      <c r="M5561" t="s">
        <v>43</v>
      </c>
      <c r="N5561" t="s">
        <v>45</v>
      </c>
      <c r="O5561" t="s">
        <v>43</v>
      </c>
      <c r="P5561" t="s">
        <v>43</v>
      </c>
      <c r="Q5561" t="s">
        <v>43</v>
      </c>
      <c r="R5561" t="s">
        <v>43</v>
      </c>
      <c r="S5561" t="s">
        <v>43</v>
      </c>
      <c r="T5561" t="s">
        <v>43</v>
      </c>
      <c r="U5561" t="s">
        <v>43</v>
      </c>
      <c r="V5561" t="s">
        <v>43</v>
      </c>
      <c r="W5561" t="s">
        <v>43</v>
      </c>
      <c r="X5561" t="s">
        <v>43</v>
      </c>
      <c r="Y5561" t="s">
        <v>43</v>
      </c>
      <c r="Z5561" t="s">
        <v>43</v>
      </c>
      <c r="AA5561" t="s">
        <v>43</v>
      </c>
      <c r="AB5561" t="s">
        <v>43</v>
      </c>
      <c r="AC5561" t="s">
        <v>43</v>
      </c>
      <c r="AD5561" t="s">
        <v>43</v>
      </c>
      <c r="AE5561" t="s">
        <v>43</v>
      </c>
      <c r="AF5561" t="s">
        <v>43</v>
      </c>
      <c r="AG5561" t="s">
        <v>43</v>
      </c>
      <c r="AH5561" t="s">
        <v>43</v>
      </c>
      <c r="AI5561" t="s">
        <v>43</v>
      </c>
      <c r="AJ5561" t="s">
        <v>43</v>
      </c>
      <c r="AK5561" t="s">
        <v>43</v>
      </c>
      <c r="AL5561" t="s">
        <v>43</v>
      </c>
      <c r="AM5561" t="s">
        <v>43</v>
      </c>
      <c r="AN5561" t="str">
        <f>HYPERLINK("https://www.google.com/maps?q=10.83316898,79.84577942","Open Location")</f>
        <v>Open Location</v>
      </c>
    </row>
    <row r="5562" spans="1:40" x14ac:dyDescent="0.3">
      <c r="A5562" s="1">
        <v>46210.355555555558</v>
      </c>
      <c r="B5562" t="s">
        <v>40</v>
      </c>
      <c r="C5562" t="s">
        <v>41</v>
      </c>
      <c r="D5562" s="1">
        <v>46210.35864583333</v>
      </c>
      <c r="E5562" t="s">
        <v>42</v>
      </c>
      <c r="F5562" t="s">
        <v>43</v>
      </c>
      <c r="G5562" t="s">
        <v>43</v>
      </c>
      <c r="H5562" t="s">
        <v>43</v>
      </c>
      <c r="I5562" t="s">
        <v>3160</v>
      </c>
      <c r="J5562" t="s">
        <v>43</v>
      </c>
      <c r="K5562" t="s">
        <v>43</v>
      </c>
      <c r="L5562" t="s">
        <v>43</v>
      </c>
      <c r="M5562" t="s">
        <v>43</v>
      </c>
      <c r="N5562" t="s">
        <v>45</v>
      </c>
      <c r="O5562" t="s">
        <v>43</v>
      </c>
      <c r="P5562" t="s">
        <v>43</v>
      </c>
      <c r="Q5562" t="s">
        <v>43</v>
      </c>
      <c r="R5562" t="s">
        <v>43</v>
      </c>
      <c r="S5562" t="s">
        <v>43</v>
      </c>
      <c r="T5562" t="s">
        <v>43</v>
      </c>
      <c r="U5562" t="s">
        <v>43</v>
      </c>
      <c r="V5562" t="s">
        <v>43</v>
      </c>
      <c r="W5562" t="s">
        <v>43</v>
      </c>
      <c r="X5562" t="s">
        <v>43</v>
      </c>
      <c r="Y5562" t="s">
        <v>43</v>
      </c>
      <c r="Z5562" t="s">
        <v>43</v>
      </c>
      <c r="AA5562" t="s">
        <v>43</v>
      </c>
      <c r="AB5562" t="s">
        <v>43</v>
      </c>
      <c r="AC5562" t="s">
        <v>43</v>
      </c>
      <c r="AD5562" t="s">
        <v>43</v>
      </c>
      <c r="AE5562" t="s">
        <v>43</v>
      </c>
      <c r="AF5562" t="s">
        <v>43</v>
      </c>
      <c r="AG5562" t="s">
        <v>43</v>
      </c>
      <c r="AH5562" t="s">
        <v>43</v>
      </c>
      <c r="AI5562" t="s">
        <v>43</v>
      </c>
      <c r="AJ5562" t="s">
        <v>43</v>
      </c>
      <c r="AK5562" t="s">
        <v>43</v>
      </c>
      <c r="AL5562" t="s">
        <v>43</v>
      </c>
      <c r="AM5562" t="s">
        <v>43</v>
      </c>
      <c r="AN5562" t="str">
        <f>HYPERLINK("https://www.google.com/maps?q=10.83316708,79.84577942","Open Location")</f>
        <v>Open Location</v>
      </c>
    </row>
    <row r="5563" spans="1:40" x14ac:dyDescent="0.3">
      <c r="A5563" s="1">
        <v>46210.355439814812</v>
      </c>
      <c r="B5563" t="s">
        <v>40</v>
      </c>
      <c r="C5563" t="s">
        <v>41</v>
      </c>
      <c r="D5563" s="1">
        <v>46210.358275462961</v>
      </c>
      <c r="E5563" t="s">
        <v>42</v>
      </c>
      <c r="F5563" t="s">
        <v>43</v>
      </c>
      <c r="G5563" t="s">
        <v>43</v>
      </c>
      <c r="H5563" t="s">
        <v>43</v>
      </c>
      <c r="I5563" t="s">
        <v>3163</v>
      </c>
      <c r="J5563" t="s">
        <v>43</v>
      </c>
      <c r="K5563" t="s">
        <v>43</v>
      </c>
      <c r="L5563" t="s">
        <v>43</v>
      </c>
      <c r="M5563" t="s">
        <v>43</v>
      </c>
      <c r="N5563" t="s">
        <v>45</v>
      </c>
      <c r="O5563" t="s">
        <v>43</v>
      </c>
      <c r="P5563" t="s">
        <v>43</v>
      </c>
      <c r="Q5563" t="s">
        <v>43</v>
      </c>
      <c r="R5563" t="s">
        <v>43</v>
      </c>
      <c r="S5563" t="s">
        <v>43</v>
      </c>
      <c r="T5563" t="s">
        <v>43</v>
      </c>
      <c r="U5563" t="s">
        <v>43</v>
      </c>
      <c r="V5563" t="s">
        <v>43</v>
      </c>
      <c r="W5563" t="s">
        <v>43</v>
      </c>
      <c r="X5563" t="s">
        <v>43</v>
      </c>
      <c r="Y5563" t="s">
        <v>43</v>
      </c>
      <c r="Z5563" t="s">
        <v>43</v>
      </c>
      <c r="AA5563" t="s">
        <v>43</v>
      </c>
      <c r="AB5563" t="s">
        <v>43</v>
      </c>
      <c r="AC5563" t="s">
        <v>43</v>
      </c>
      <c r="AD5563" t="s">
        <v>43</v>
      </c>
      <c r="AE5563" t="s">
        <v>43</v>
      </c>
      <c r="AF5563" t="s">
        <v>43</v>
      </c>
      <c r="AG5563" t="s">
        <v>43</v>
      </c>
      <c r="AH5563" t="s">
        <v>43</v>
      </c>
      <c r="AI5563" t="s">
        <v>43</v>
      </c>
      <c r="AJ5563" t="s">
        <v>43</v>
      </c>
      <c r="AK5563" t="s">
        <v>43</v>
      </c>
      <c r="AL5563" t="s">
        <v>43</v>
      </c>
      <c r="AM5563" t="s">
        <v>43</v>
      </c>
      <c r="AN5563" t="str">
        <f>HYPERLINK("https://www.google.com/maps?q=10.83316517,79.84577942","Open Location")</f>
        <v>Open Location</v>
      </c>
    </row>
    <row r="5564" spans="1:40" x14ac:dyDescent="0.3">
      <c r="A5564" s="1">
        <v>46210.355324074073</v>
      </c>
      <c r="B5564" t="s">
        <v>40</v>
      </c>
      <c r="C5564" t="s">
        <v>41</v>
      </c>
      <c r="D5564" s="1">
        <v>46210.358368055553</v>
      </c>
      <c r="E5564" t="s">
        <v>42</v>
      </c>
      <c r="F5564" t="s">
        <v>43</v>
      </c>
      <c r="G5564" t="s">
        <v>43</v>
      </c>
      <c r="H5564" t="s">
        <v>43</v>
      </c>
      <c r="I5564" t="s">
        <v>3156</v>
      </c>
      <c r="J5564" t="s">
        <v>43</v>
      </c>
      <c r="K5564" t="s">
        <v>43</v>
      </c>
      <c r="L5564" t="s">
        <v>43</v>
      </c>
      <c r="M5564" t="s">
        <v>43</v>
      </c>
      <c r="N5564" t="s">
        <v>45</v>
      </c>
      <c r="O5564" t="s">
        <v>43</v>
      </c>
      <c r="P5564" t="s">
        <v>43</v>
      </c>
      <c r="Q5564" t="s">
        <v>43</v>
      </c>
      <c r="R5564" t="s">
        <v>43</v>
      </c>
      <c r="S5564" t="s">
        <v>43</v>
      </c>
      <c r="T5564" t="s">
        <v>43</v>
      </c>
      <c r="U5564" t="s">
        <v>43</v>
      </c>
      <c r="V5564" t="s">
        <v>43</v>
      </c>
      <c r="W5564" t="s">
        <v>43</v>
      </c>
      <c r="X5564" t="s">
        <v>43</v>
      </c>
      <c r="Y5564" t="s">
        <v>43</v>
      </c>
      <c r="Z5564" t="s">
        <v>43</v>
      </c>
      <c r="AA5564" t="s">
        <v>43</v>
      </c>
      <c r="AB5564" t="s">
        <v>43</v>
      </c>
      <c r="AC5564" t="s">
        <v>43</v>
      </c>
      <c r="AD5564" t="s">
        <v>43</v>
      </c>
      <c r="AE5564" t="s">
        <v>43</v>
      </c>
      <c r="AF5564" t="s">
        <v>43</v>
      </c>
      <c r="AG5564" t="s">
        <v>43</v>
      </c>
      <c r="AH5564" t="s">
        <v>43</v>
      </c>
      <c r="AI5564" t="s">
        <v>43</v>
      </c>
      <c r="AJ5564" t="s">
        <v>43</v>
      </c>
      <c r="AK5564" t="s">
        <v>43</v>
      </c>
      <c r="AL5564" t="s">
        <v>43</v>
      </c>
      <c r="AM5564" t="s">
        <v>43</v>
      </c>
      <c r="AN5564" t="str">
        <f>HYPERLINK("https://www.google.com/maps?q=10.83316422,79.84577942","Open Location")</f>
        <v>Open Location</v>
      </c>
    </row>
    <row r="5565" spans="1:40" x14ac:dyDescent="0.3">
      <c r="A5565" s="1">
        <v>46210.355208333334</v>
      </c>
      <c r="B5565" t="s">
        <v>40</v>
      </c>
      <c r="C5565" t="s">
        <v>41</v>
      </c>
      <c r="D5565" s="1">
        <v>46210.358124999999</v>
      </c>
      <c r="E5565" t="s">
        <v>42</v>
      </c>
      <c r="F5565" t="s">
        <v>43</v>
      </c>
      <c r="G5565" t="s">
        <v>43</v>
      </c>
      <c r="H5565" t="s">
        <v>43</v>
      </c>
      <c r="I5565" t="s">
        <v>3164</v>
      </c>
      <c r="J5565" t="s">
        <v>43</v>
      </c>
      <c r="K5565" t="s">
        <v>43</v>
      </c>
      <c r="L5565" t="s">
        <v>43</v>
      </c>
      <c r="M5565" t="s">
        <v>43</v>
      </c>
      <c r="N5565" t="s">
        <v>45</v>
      </c>
      <c r="O5565" t="s">
        <v>43</v>
      </c>
      <c r="P5565" t="s">
        <v>43</v>
      </c>
      <c r="Q5565" t="s">
        <v>43</v>
      </c>
      <c r="R5565" t="s">
        <v>43</v>
      </c>
      <c r="S5565" t="s">
        <v>43</v>
      </c>
      <c r="T5565" t="s">
        <v>43</v>
      </c>
      <c r="U5565" t="s">
        <v>43</v>
      </c>
      <c r="V5565" t="s">
        <v>43</v>
      </c>
      <c r="W5565" t="s">
        <v>43</v>
      </c>
      <c r="X5565" t="s">
        <v>43</v>
      </c>
      <c r="Y5565" t="s">
        <v>43</v>
      </c>
      <c r="Z5565" t="s">
        <v>43</v>
      </c>
      <c r="AA5565" t="s">
        <v>43</v>
      </c>
      <c r="AB5565" t="s">
        <v>43</v>
      </c>
      <c r="AC5565" t="s">
        <v>43</v>
      </c>
      <c r="AD5565" t="s">
        <v>43</v>
      </c>
      <c r="AE5565" t="s">
        <v>43</v>
      </c>
      <c r="AF5565" t="s">
        <v>43</v>
      </c>
      <c r="AG5565" t="s">
        <v>43</v>
      </c>
      <c r="AH5565" t="s">
        <v>43</v>
      </c>
      <c r="AI5565" t="s">
        <v>43</v>
      </c>
      <c r="AJ5565" t="s">
        <v>43</v>
      </c>
      <c r="AK5565" t="s">
        <v>43</v>
      </c>
      <c r="AL5565" t="s">
        <v>43</v>
      </c>
      <c r="AM5565" t="s">
        <v>43</v>
      </c>
      <c r="AN5565" t="str">
        <f>HYPERLINK("https://www.google.com/maps?q=10.83316135,79.84577179","Open Location")</f>
        <v>Open Location</v>
      </c>
    </row>
    <row r="5566" spans="1:40" x14ac:dyDescent="0.3">
      <c r="A5566" s="1">
        <v>46210.355092592596</v>
      </c>
      <c r="B5566" t="s">
        <v>40</v>
      </c>
      <c r="C5566" t="s">
        <v>41</v>
      </c>
      <c r="D5566" s="1">
        <v>46210.358055555553</v>
      </c>
      <c r="E5566" t="s">
        <v>42</v>
      </c>
      <c r="F5566" t="s">
        <v>43</v>
      </c>
      <c r="G5566" t="s">
        <v>43</v>
      </c>
      <c r="H5566" t="s">
        <v>43</v>
      </c>
      <c r="I5566" t="s">
        <v>43</v>
      </c>
      <c r="J5566" t="s">
        <v>43</v>
      </c>
      <c r="K5566" t="s">
        <v>43</v>
      </c>
      <c r="L5566" t="s">
        <v>43</v>
      </c>
      <c r="M5566" t="s">
        <v>43</v>
      </c>
      <c r="N5566" t="s">
        <v>45</v>
      </c>
      <c r="O5566" t="s">
        <v>43</v>
      </c>
      <c r="P5566" t="s">
        <v>43</v>
      </c>
      <c r="Q5566" t="s">
        <v>43</v>
      </c>
      <c r="R5566" t="s">
        <v>43</v>
      </c>
      <c r="S5566" t="s">
        <v>43</v>
      </c>
      <c r="T5566" t="s">
        <v>43</v>
      </c>
      <c r="U5566" t="s">
        <v>43</v>
      </c>
      <c r="V5566" t="s">
        <v>43</v>
      </c>
      <c r="W5566" t="s">
        <v>43</v>
      </c>
      <c r="X5566" t="s">
        <v>43</v>
      </c>
      <c r="Y5566" t="s">
        <v>43</v>
      </c>
      <c r="Z5566" t="s">
        <v>43</v>
      </c>
      <c r="AA5566" t="s">
        <v>43</v>
      </c>
      <c r="AB5566" t="s">
        <v>43</v>
      </c>
      <c r="AC5566" t="s">
        <v>43</v>
      </c>
      <c r="AD5566" t="s">
        <v>43</v>
      </c>
      <c r="AE5566" t="s">
        <v>43</v>
      </c>
      <c r="AF5566" t="s">
        <v>43</v>
      </c>
      <c r="AG5566" t="s">
        <v>43</v>
      </c>
      <c r="AH5566" t="s">
        <v>43</v>
      </c>
      <c r="AI5566" t="s">
        <v>43</v>
      </c>
      <c r="AJ5566" t="s">
        <v>43</v>
      </c>
      <c r="AK5566" t="s">
        <v>43</v>
      </c>
      <c r="AL5566" t="s">
        <v>43</v>
      </c>
      <c r="AM5566" t="s">
        <v>43</v>
      </c>
      <c r="AN5566" t="s">
        <v>43</v>
      </c>
    </row>
    <row r="5567" spans="1:40" x14ac:dyDescent="0.3">
      <c r="A5567" s="1">
        <v>46210.35497685185</v>
      </c>
      <c r="B5567" t="s">
        <v>40</v>
      </c>
      <c r="C5567" t="s">
        <v>41</v>
      </c>
      <c r="D5567" s="1">
        <v>46210.357881944445</v>
      </c>
      <c r="E5567" t="s">
        <v>42</v>
      </c>
      <c r="F5567" t="s">
        <v>43</v>
      </c>
      <c r="G5567" t="s">
        <v>43</v>
      </c>
      <c r="H5567" t="s">
        <v>43</v>
      </c>
      <c r="I5567" t="s">
        <v>3165</v>
      </c>
      <c r="J5567" t="s">
        <v>43</v>
      </c>
      <c r="K5567" t="s">
        <v>43</v>
      </c>
      <c r="L5567" t="s">
        <v>43</v>
      </c>
      <c r="M5567" t="s">
        <v>43</v>
      </c>
      <c r="N5567" t="s">
        <v>45</v>
      </c>
      <c r="O5567" t="s">
        <v>43</v>
      </c>
      <c r="P5567" t="s">
        <v>43</v>
      </c>
      <c r="Q5567" t="s">
        <v>43</v>
      </c>
      <c r="R5567" t="s">
        <v>43</v>
      </c>
      <c r="S5567" t="s">
        <v>43</v>
      </c>
      <c r="T5567" t="s">
        <v>43</v>
      </c>
      <c r="U5567" t="s">
        <v>43</v>
      </c>
      <c r="V5567" t="s">
        <v>43</v>
      </c>
      <c r="W5567" t="s">
        <v>43</v>
      </c>
      <c r="X5567" t="s">
        <v>43</v>
      </c>
      <c r="Y5567" t="s">
        <v>43</v>
      </c>
      <c r="Z5567" t="s">
        <v>43</v>
      </c>
      <c r="AA5567" t="s">
        <v>43</v>
      </c>
      <c r="AB5567" t="s">
        <v>43</v>
      </c>
      <c r="AC5567" t="s">
        <v>43</v>
      </c>
      <c r="AD5567" t="s">
        <v>43</v>
      </c>
      <c r="AE5567" t="s">
        <v>43</v>
      </c>
      <c r="AF5567" t="s">
        <v>43</v>
      </c>
      <c r="AG5567" t="s">
        <v>43</v>
      </c>
      <c r="AH5567" t="s">
        <v>43</v>
      </c>
      <c r="AI5567" t="s">
        <v>43</v>
      </c>
      <c r="AJ5567" t="s">
        <v>43</v>
      </c>
      <c r="AK5567" t="s">
        <v>43</v>
      </c>
      <c r="AL5567" t="s">
        <v>43</v>
      </c>
      <c r="AM5567" t="s">
        <v>43</v>
      </c>
      <c r="AN5567" t="str">
        <f>HYPERLINK("https://www.google.com/maps?q=10.8331604,79.84577179","Open Location")</f>
        <v>Open Location</v>
      </c>
    </row>
    <row r="5568" spans="1:40" x14ac:dyDescent="0.3">
      <c r="A5568" s="1">
        <v>46210.354861111111</v>
      </c>
      <c r="B5568" t="s">
        <v>40</v>
      </c>
      <c r="C5568" t="s">
        <v>41</v>
      </c>
      <c r="D5568" s="1">
        <v>46210.357974537037</v>
      </c>
      <c r="E5568" t="s">
        <v>42</v>
      </c>
      <c r="F5568" t="s">
        <v>43</v>
      </c>
      <c r="G5568" t="s">
        <v>43</v>
      </c>
      <c r="H5568" t="s">
        <v>43</v>
      </c>
      <c r="I5568" t="s">
        <v>3166</v>
      </c>
      <c r="J5568" t="s">
        <v>43</v>
      </c>
      <c r="K5568" t="s">
        <v>43</v>
      </c>
      <c r="L5568" t="s">
        <v>43</v>
      </c>
      <c r="M5568" t="s">
        <v>43</v>
      </c>
      <c r="N5568" t="s">
        <v>45</v>
      </c>
      <c r="O5568" t="s">
        <v>43</v>
      </c>
      <c r="P5568" t="s">
        <v>43</v>
      </c>
      <c r="Q5568" t="s">
        <v>43</v>
      </c>
      <c r="R5568" t="s">
        <v>43</v>
      </c>
      <c r="S5568" t="s">
        <v>43</v>
      </c>
      <c r="T5568" t="s">
        <v>43</v>
      </c>
      <c r="U5568" t="s">
        <v>43</v>
      </c>
      <c r="V5568" t="s">
        <v>43</v>
      </c>
      <c r="W5568" t="s">
        <v>43</v>
      </c>
      <c r="X5568" t="s">
        <v>43</v>
      </c>
      <c r="Y5568" t="s">
        <v>43</v>
      </c>
      <c r="Z5568" t="s">
        <v>43</v>
      </c>
      <c r="AA5568" t="s">
        <v>43</v>
      </c>
      <c r="AB5568" t="s">
        <v>43</v>
      </c>
      <c r="AC5568" t="s">
        <v>43</v>
      </c>
      <c r="AD5568" t="s">
        <v>43</v>
      </c>
      <c r="AE5568" t="s">
        <v>43</v>
      </c>
      <c r="AF5568" t="s">
        <v>43</v>
      </c>
      <c r="AG5568" t="s">
        <v>43</v>
      </c>
      <c r="AH5568" t="s">
        <v>43</v>
      </c>
      <c r="AI5568" t="s">
        <v>43</v>
      </c>
      <c r="AJ5568" t="s">
        <v>43</v>
      </c>
      <c r="AK5568" t="s">
        <v>43</v>
      </c>
      <c r="AL5568" t="s">
        <v>43</v>
      </c>
      <c r="AM5568" t="s">
        <v>43</v>
      </c>
      <c r="AN5568" t="str">
        <f>HYPERLINK("https://www.google.com/maps?q=10.83316422,79.84575653","Open Location")</f>
        <v>Open Location</v>
      </c>
    </row>
    <row r="5569" spans="1:40" x14ac:dyDescent="0.3">
      <c r="A5569" s="1">
        <v>46210.354745370372</v>
      </c>
      <c r="B5569" t="s">
        <v>40</v>
      </c>
      <c r="C5569" t="s">
        <v>41</v>
      </c>
      <c r="D5569" s="1">
        <v>46210.357523148145</v>
      </c>
      <c r="E5569" t="s">
        <v>42</v>
      </c>
      <c r="F5569" t="s">
        <v>43</v>
      </c>
      <c r="G5569" t="s">
        <v>43</v>
      </c>
      <c r="H5569" t="s">
        <v>43</v>
      </c>
      <c r="I5569" t="s">
        <v>3167</v>
      </c>
      <c r="J5569" t="s">
        <v>43</v>
      </c>
      <c r="K5569" t="s">
        <v>43</v>
      </c>
      <c r="L5569" t="s">
        <v>43</v>
      </c>
      <c r="M5569" t="s">
        <v>43</v>
      </c>
      <c r="N5569" t="s">
        <v>45</v>
      </c>
      <c r="O5569" t="s">
        <v>43</v>
      </c>
      <c r="P5569" t="s">
        <v>43</v>
      </c>
      <c r="Q5569" t="s">
        <v>43</v>
      </c>
      <c r="R5569" t="s">
        <v>43</v>
      </c>
      <c r="S5569" t="s">
        <v>43</v>
      </c>
      <c r="T5569" t="s">
        <v>43</v>
      </c>
      <c r="U5569" t="s">
        <v>43</v>
      </c>
      <c r="V5569" t="s">
        <v>43</v>
      </c>
      <c r="W5569" t="s">
        <v>43</v>
      </c>
      <c r="X5569" t="s">
        <v>43</v>
      </c>
      <c r="Y5569" t="s">
        <v>43</v>
      </c>
      <c r="Z5569" t="s">
        <v>43</v>
      </c>
      <c r="AA5569" t="s">
        <v>43</v>
      </c>
      <c r="AB5569" t="s">
        <v>43</v>
      </c>
      <c r="AC5569" t="s">
        <v>43</v>
      </c>
      <c r="AD5569" t="s">
        <v>43</v>
      </c>
      <c r="AE5569" t="s">
        <v>43</v>
      </c>
      <c r="AF5569" t="s">
        <v>43</v>
      </c>
      <c r="AG5569" t="s">
        <v>43</v>
      </c>
      <c r="AH5569" t="s">
        <v>43</v>
      </c>
      <c r="AI5569" t="s">
        <v>43</v>
      </c>
      <c r="AJ5569" t="s">
        <v>43</v>
      </c>
      <c r="AK5569" t="s">
        <v>43</v>
      </c>
      <c r="AL5569" t="s">
        <v>43</v>
      </c>
      <c r="AM5569" t="s">
        <v>43</v>
      </c>
      <c r="AN5569" t="str">
        <f>HYPERLINK("https://www.google.com/maps?q=10.83316326,79.84575653","Open Location")</f>
        <v>Open Location</v>
      </c>
    </row>
    <row r="5570" spans="1:40" x14ac:dyDescent="0.3">
      <c r="A5570" s="1">
        <v>46210.354629629626</v>
      </c>
      <c r="B5570" t="s">
        <v>40</v>
      </c>
      <c r="C5570" t="s">
        <v>41</v>
      </c>
      <c r="D5570" s="1">
        <v>46210.357615740744</v>
      </c>
      <c r="E5570" t="s">
        <v>42</v>
      </c>
      <c r="F5570" t="s">
        <v>43</v>
      </c>
      <c r="G5570" t="s">
        <v>43</v>
      </c>
      <c r="H5570" t="s">
        <v>43</v>
      </c>
      <c r="I5570" t="s">
        <v>3168</v>
      </c>
      <c r="J5570" t="s">
        <v>43</v>
      </c>
      <c r="K5570" t="s">
        <v>43</v>
      </c>
      <c r="L5570" t="s">
        <v>43</v>
      </c>
      <c r="M5570" t="s">
        <v>43</v>
      </c>
      <c r="N5570" t="s">
        <v>45</v>
      </c>
      <c r="O5570" t="s">
        <v>43</v>
      </c>
      <c r="P5570" t="s">
        <v>43</v>
      </c>
      <c r="Q5570" t="s">
        <v>43</v>
      </c>
      <c r="R5570" t="s">
        <v>43</v>
      </c>
      <c r="S5570" t="s">
        <v>43</v>
      </c>
      <c r="T5570" t="s">
        <v>43</v>
      </c>
      <c r="U5570" t="s">
        <v>43</v>
      </c>
      <c r="V5570" t="s">
        <v>43</v>
      </c>
      <c r="W5570" t="s">
        <v>43</v>
      </c>
      <c r="X5570" t="s">
        <v>43</v>
      </c>
      <c r="Y5570" t="s">
        <v>43</v>
      </c>
      <c r="Z5570" t="s">
        <v>43</v>
      </c>
      <c r="AA5570" t="s">
        <v>43</v>
      </c>
      <c r="AB5570" t="s">
        <v>43</v>
      </c>
      <c r="AC5570" t="s">
        <v>43</v>
      </c>
      <c r="AD5570" t="s">
        <v>43</v>
      </c>
      <c r="AE5570" t="s">
        <v>43</v>
      </c>
      <c r="AF5570" t="s">
        <v>43</v>
      </c>
      <c r="AG5570" t="s">
        <v>43</v>
      </c>
      <c r="AH5570" t="s">
        <v>43</v>
      </c>
      <c r="AI5570" t="s">
        <v>43</v>
      </c>
      <c r="AJ5570" t="s">
        <v>43</v>
      </c>
      <c r="AK5570" t="s">
        <v>43</v>
      </c>
      <c r="AL5570" t="s">
        <v>43</v>
      </c>
      <c r="AM5570" t="s">
        <v>43</v>
      </c>
      <c r="AN5570" t="str">
        <f>HYPERLINK("https://www.google.com/maps?q=10.83316231,79.84575653","Open Location")</f>
        <v>Open Location</v>
      </c>
    </row>
    <row r="5571" spans="1:40" x14ac:dyDescent="0.3">
      <c r="A5571" s="1">
        <v>46210.354513888888</v>
      </c>
      <c r="B5571" t="s">
        <v>40</v>
      </c>
      <c r="C5571" t="s">
        <v>41</v>
      </c>
      <c r="D5571" s="1">
        <v>46210.357256944444</v>
      </c>
      <c r="E5571" t="s">
        <v>42</v>
      </c>
      <c r="F5571" t="s">
        <v>43</v>
      </c>
      <c r="G5571" t="s">
        <v>43</v>
      </c>
      <c r="H5571" t="s">
        <v>43</v>
      </c>
      <c r="I5571" t="s">
        <v>43</v>
      </c>
      <c r="J5571" t="s">
        <v>43</v>
      </c>
      <c r="K5571" t="s">
        <v>43</v>
      </c>
      <c r="L5571" t="s">
        <v>43</v>
      </c>
      <c r="M5571" t="s">
        <v>43</v>
      </c>
      <c r="N5571" t="s">
        <v>45</v>
      </c>
      <c r="O5571" t="s">
        <v>43</v>
      </c>
      <c r="P5571" t="s">
        <v>43</v>
      </c>
      <c r="Q5571" t="s">
        <v>43</v>
      </c>
      <c r="R5571" t="s">
        <v>43</v>
      </c>
      <c r="S5571" t="s">
        <v>43</v>
      </c>
      <c r="T5571" t="s">
        <v>43</v>
      </c>
      <c r="U5571" t="s">
        <v>43</v>
      </c>
      <c r="V5571" t="s">
        <v>43</v>
      </c>
      <c r="W5571" t="s">
        <v>43</v>
      </c>
      <c r="X5571" t="s">
        <v>43</v>
      </c>
      <c r="Y5571" t="s">
        <v>43</v>
      </c>
      <c r="Z5571" t="s">
        <v>43</v>
      </c>
      <c r="AA5571" t="s">
        <v>43</v>
      </c>
      <c r="AB5571" t="s">
        <v>43</v>
      </c>
      <c r="AC5571" t="s">
        <v>43</v>
      </c>
      <c r="AD5571" t="s">
        <v>43</v>
      </c>
      <c r="AE5571" t="s">
        <v>43</v>
      </c>
      <c r="AF5571" t="s">
        <v>43</v>
      </c>
      <c r="AG5571" t="s">
        <v>43</v>
      </c>
      <c r="AH5571" t="s">
        <v>43</v>
      </c>
      <c r="AI5571" t="s">
        <v>43</v>
      </c>
      <c r="AJ5571" t="s">
        <v>43</v>
      </c>
      <c r="AK5571" t="s">
        <v>43</v>
      </c>
      <c r="AL5571" t="s">
        <v>43</v>
      </c>
      <c r="AM5571" t="s">
        <v>43</v>
      </c>
      <c r="AN5571" t="s">
        <v>43</v>
      </c>
    </row>
    <row r="5572" spans="1:40" x14ac:dyDescent="0.3">
      <c r="A5572" s="1">
        <v>46210.354398148149</v>
      </c>
      <c r="B5572" t="s">
        <v>40</v>
      </c>
      <c r="C5572" t="s">
        <v>41</v>
      </c>
      <c r="D5572" s="1">
        <v>46210.357256944444</v>
      </c>
      <c r="E5572" t="s">
        <v>42</v>
      </c>
      <c r="F5572" t="s">
        <v>43</v>
      </c>
      <c r="G5572" t="s">
        <v>43</v>
      </c>
      <c r="H5572" t="s">
        <v>43</v>
      </c>
      <c r="I5572" t="s">
        <v>3165</v>
      </c>
      <c r="J5572" t="s">
        <v>43</v>
      </c>
      <c r="K5572" t="s">
        <v>43</v>
      </c>
      <c r="L5572" t="s">
        <v>43</v>
      </c>
      <c r="M5572" t="s">
        <v>43</v>
      </c>
      <c r="N5572" t="s">
        <v>45</v>
      </c>
      <c r="O5572" t="s">
        <v>43</v>
      </c>
      <c r="P5572" t="s">
        <v>43</v>
      </c>
      <c r="Q5572" t="s">
        <v>43</v>
      </c>
      <c r="R5572" t="s">
        <v>43</v>
      </c>
      <c r="S5572" t="s">
        <v>43</v>
      </c>
      <c r="T5572" t="s">
        <v>43</v>
      </c>
      <c r="U5572" t="s">
        <v>43</v>
      </c>
      <c r="V5572" t="s">
        <v>43</v>
      </c>
      <c r="W5572" t="s">
        <v>43</v>
      </c>
      <c r="X5572" t="s">
        <v>43</v>
      </c>
      <c r="Y5572" t="s">
        <v>43</v>
      </c>
      <c r="Z5572" t="s">
        <v>43</v>
      </c>
      <c r="AA5572" t="s">
        <v>43</v>
      </c>
      <c r="AB5572" t="s">
        <v>43</v>
      </c>
      <c r="AC5572" t="s">
        <v>43</v>
      </c>
      <c r="AD5572" t="s">
        <v>43</v>
      </c>
      <c r="AE5572" t="s">
        <v>43</v>
      </c>
      <c r="AF5572" t="s">
        <v>43</v>
      </c>
      <c r="AG5572" t="s">
        <v>43</v>
      </c>
      <c r="AH5572" t="s">
        <v>43</v>
      </c>
      <c r="AI5572" t="s">
        <v>43</v>
      </c>
      <c r="AJ5572" t="s">
        <v>43</v>
      </c>
      <c r="AK5572" t="s">
        <v>43</v>
      </c>
      <c r="AL5572" t="s">
        <v>43</v>
      </c>
      <c r="AM5572" t="s">
        <v>43</v>
      </c>
      <c r="AN5572" t="str">
        <f>HYPERLINK("https://www.google.com/maps?q=10.8331604,79.84577179","Open Location")</f>
        <v>Open Location</v>
      </c>
    </row>
    <row r="5573" spans="1:40" x14ac:dyDescent="0.3">
      <c r="A5573" s="1">
        <v>46210.35428240741</v>
      </c>
      <c r="B5573" t="s">
        <v>40</v>
      </c>
      <c r="C5573" t="s">
        <v>41</v>
      </c>
      <c r="D5573" s="1">
        <v>46210.357199074075</v>
      </c>
      <c r="E5573" t="s">
        <v>42</v>
      </c>
      <c r="F5573" t="s">
        <v>43</v>
      </c>
      <c r="G5573" t="s">
        <v>43</v>
      </c>
      <c r="H5573" t="s">
        <v>43</v>
      </c>
      <c r="I5573" t="s">
        <v>3169</v>
      </c>
      <c r="J5573" t="s">
        <v>43</v>
      </c>
      <c r="K5573" t="s">
        <v>43</v>
      </c>
      <c r="L5573" t="s">
        <v>43</v>
      </c>
      <c r="M5573" t="s">
        <v>43</v>
      </c>
      <c r="N5573" t="s">
        <v>45</v>
      </c>
      <c r="O5573" t="s">
        <v>43</v>
      </c>
      <c r="P5573" t="s">
        <v>43</v>
      </c>
      <c r="Q5573" t="s">
        <v>43</v>
      </c>
      <c r="R5573" t="s">
        <v>43</v>
      </c>
      <c r="S5573" t="s">
        <v>43</v>
      </c>
      <c r="T5573" t="s">
        <v>43</v>
      </c>
      <c r="U5573" t="s">
        <v>43</v>
      </c>
      <c r="V5573" t="s">
        <v>43</v>
      </c>
      <c r="W5573" t="s">
        <v>43</v>
      </c>
      <c r="X5573" t="s">
        <v>43</v>
      </c>
      <c r="Y5573" t="s">
        <v>43</v>
      </c>
      <c r="Z5573" t="s">
        <v>43</v>
      </c>
      <c r="AA5573" t="s">
        <v>43</v>
      </c>
      <c r="AB5573" t="s">
        <v>43</v>
      </c>
      <c r="AC5573" t="s">
        <v>43</v>
      </c>
      <c r="AD5573" t="s">
        <v>43</v>
      </c>
      <c r="AE5573" t="s">
        <v>43</v>
      </c>
      <c r="AF5573" t="s">
        <v>43</v>
      </c>
      <c r="AG5573" t="s">
        <v>43</v>
      </c>
      <c r="AH5573" t="s">
        <v>43</v>
      </c>
      <c r="AI5573" t="s">
        <v>43</v>
      </c>
      <c r="AJ5573" t="s">
        <v>43</v>
      </c>
      <c r="AK5573" t="s">
        <v>43</v>
      </c>
      <c r="AL5573" t="s">
        <v>43</v>
      </c>
      <c r="AM5573" t="s">
        <v>43</v>
      </c>
      <c r="AN5573" t="str">
        <f>HYPERLINK("https://www.google.com/maps?q=10.83315945,79.84577179","Open Location")</f>
        <v>Open Location</v>
      </c>
    </row>
    <row r="5574" spans="1:40" x14ac:dyDescent="0.3">
      <c r="A5574" s="1">
        <v>46210.354166666664</v>
      </c>
      <c r="B5574" t="s">
        <v>40</v>
      </c>
      <c r="C5574" t="s">
        <v>41</v>
      </c>
      <c r="D5574" s="1">
        <v>46210.357256944444</v>
      </c>
      <c r="E5574" t="s">
        <v>42</v>
      </c>
      <c r="F5574" t="s">
        <v>43</v>
      </c>
      <c r="G5574" t="s">
        <v>43</v>
      </c>
      <c r="H5574" t="s">
        <v>43</v>
      </c>
      <c r="I5574" t="s">
        <v>3165</v>
      </c>
      <c r="J5574" t="s">
        <v>43</v>
      </c>
      <c r="K5574" t="s">
        <v>43</v>
      </c>
      <c r="L5574" t="s">
        <v>43</v>
      </c>
      <c r="M5574" t="s">
        <v>43</v>
      </c>
      <c r="N5574" t="s">
        <v>45</v>
      </c>
      <c r="O5574" t="s">
        <v>43</v>
      </c>
      <c r="P5574" t="s">
        <v>43</v>
      </c>
      <c r="Q5574" t="s">
        <v>43</v>
      </c>
      <c r="R5574" t="s">
        <v>43</v>
      </c>
      <c r="S5574" t="s">
        <v>43</v>
      </c>
      <c r="T5574" t="s">
        <v>43</v>
      </c>
      <c r="U5574" t="s">
        <v>43</v>
      </c>
      <c r="V5574" t="s">
        <v>43</v>
      </c>
      <c r="W5574" t="s">
        <v>43</v>
      </c>
      <c r="X5574" t="s">
        <v>43</v>
      </c>
      <c r="Y5574" t="s">
        <v>43</v>
      </c>
      <c r="Z5574" t="s">
        <v>43</v>
      </c>
      <c r="AA5574" t="s">
        <v>43</v>
      </c>
      <c r="AB5574" t="s">
        <v>43</v>
      </c>
      <c r="AC5574" t="s">
        <v>43</v>
      </c>
      <c r="AD5574" t="s">
        <v>43</v>
      </c>
      <c r="AE5574" t="s">
        <v>43</v>
      </c>
      <c r="AF5574" t="s">
        <v>43</v>
      </c>
      <c r="AG5574" t="s">
        <v>43</v>
      </c>
      <c r="AH5574" t="s">
        <v>43</v>
      </c>
      <c r="AI5574" t="s">
        <v>43</v>
      </c>
      <c r="AJ5574" t="s">
        <v>43</v>
      </c>
      <c r="AK5574" t="s">
        <v>43</v>
      </c>
      <c r="AL5574" t="s">
        <v>43</v>
      </c>
      <c r="AM5574" t="s">
        <v>43</v>
      </c>
      <c r="AN5574" t="str">
        <f>HYPERLINK("https://www.google.com/maps?q=10.8331604,79.84577179","Open Location")</f>
        <v>Open Location</v>
      </c>
    </row>
    <row r="5575" spans="1:40" x14ac:dyDescent="0.3">
      <c r="A5575" s="1">
        <v>46210.354050925926</v>
      </c>
      <c r="B5575" t="s">
        <v>40</v>
      </c>
      <c r="C5575" t="s">
        <v>41</v>
      </c>
      <c r="D5575" s="1">
        <v>46210.356770833336</v>
      </c>
      <c r="E5575" t="s">
        <v>42</v>
      </c>
      <c r="F5575" t="s">
        <v>43</v>
      </c>
      <c r="G5575" t="s">
        <v>43</v>
      </c>
      <c r="H5575" t="s">
        <v>43</v>
      </c>
      <c r="I5575" t="s">
        <v>3164</v>
      </c>
      <c r="J5575" t="s">
        <v>43</v>
      </c>
      <c r="K5575" t="s">
        <v>43</v>
      </c>
      <c r="L5575" t="s">
        <v>43</v>
      </c>
      <c r="M5575" t="s">
        <v>43</v>
      </c>
      <c r="N5575" t="s">
        <v>45</v>
      </c>
      <c r="O5575" t="s">
        <v>43</v>
      </c>
      <c r="P5575" t="s">
        <v>43</v>
      </c>
      <c r="Q5575" t="s">
        <v>43</v>
      </c>
      <c r="R5575" t="s">
        <v>43</v>
      </c>
      <c r="S5575" t="s">
        <v>43</v>
      </c>
      <c r="T5575" t="s">
        <v>43</v>
      </c>
      <c r="U5575" t="s">
        <v>43</v>
      </c>
      <c r="V5575" t="s">
        <v>43</v>
      </c>
      <c r="W5575" t="s">
        <v>43</v>
      </c>
      <c r="X5575" t="s">
        <v>43</v>
      </c>
      <c r="Y5575" t="s">
        <v>43</v>
      </c>
      <c r="Z5575" t="s">
        <v>43</v>
      </c>
      <c r="AA5575" t="s">
        <v>43</v>
      </c>
      <c r="AB5575" t="s">
        <v>43</v>
      </c>
      <c r="AC5575" t="s">
        <v>43</v>
      </c>
      <c r="AD5575" t="s">
        <v>43</v>
      </c>
      <c r="AE5575" t="s">
        <v>43</v>
      </c>
      <c r="AF5575" t="s">
        <v>43</v>
      </c>
      <c r="AG5575" t="s">
        <v>43</v>
      </c>
      <c r="AH5575" t="s">
        <v>43</v>
      </c>
      <c r="AI5575" t="s">
        <v>43</v>
      </c>
      <c r="AJ5575" t="s">
        <v>43</v>
      </c>
      <c r="AK5575" t="s">
        <v>43</v>
      </c>
      <c r="AL5575" t="s">
        <v>43</v>
      </c>
      <c r="AM5575" t="s">
        <v>43</v>
      </c>
      <c r="AN5575" t="str">
        <f>HYPERLINK("https://www.google.com/maps?q=10.83316135,79.84577179","Open Location")</f>
        <v>Open Location</v>
      </c>
    </row>
    <row r="5576" spans="1:40" x14ac:dyDescent="0.3">
      <c r="A5576" s="1">
        <v>46210.353935185187</v>
      </c>
      <c r="B5576" t="s">
        <v>40</v>
      </c>
      <c r="C5576" t="s">
        <v>41</v>
      </c>
      <c r="D5576" s="1">
        <v>46210.356863425928</v>
      </c>
      <c r="E5576" t="s">
        <v>42</v>
      </c>
      <c r="F5576" t="s">
        <v>43</v>
      </c>
      <c r="G5576" t="s">
        <v>43</v>
      </c>
      <c r="H5576" t="s">
        <v>43</v>
      </c>
      <c r="I5576" t="s">
        <v>3169</v>
      </c>
      <c r="J5576" t="s">
        <v>43</v>
      </c>
      <c r="K5576" t="s">
        <v>43</v>
      </c>
      <c r="L5576" t="s">
        <v>43</v>
      </c>
      <c r="M5576" t="s">
        <v>43</v>
      </c>
      <c r="N5576" t="s">
        <v>45</v>
      </c>
      <c r="O5576" t="s">
        <v>43</v>
      </c>
      <c r="P5576" t="s">
        <v>43</v>
      </c>
      <c r="Q5576" t="s">
        <v>43</v>
      </c>
      <c r="R5576" t="s">
        <v>43</v>
      </c>
      <c r="S5576" t="s">
        <v>43</v>
      </c>
      <c r="T5576" t="s">
        <v>43</v>
      </c>
      <c r="U5576" t="s">
        <v>43</v>
      </c>
      <c r="V5576" t="s">
        <v>43</v>
      </c>
      <c r="W5576" t="s">
        <v>43</v>
      </c>
      <c r="X5576" t="s">
        <v>43</v>
      </c>
      <c r="Y5576" t="s">
        <v>43</v>
      </c>
      <c r="Z5576" t="s">
        <v>43</v>
      </c>
      <c r="AA5576" t="s">
        <v>43</v>
      </c>
      <c r="AB5576" t="s">
        <v>43</v>
      </c>
      <c r="AC5576" t="s">
        <v>43</v>
      </c>
      <c r="AD5576" t="s">
        <v>43</v>
      </c>
      <c r="AE5576" t="s">
        <v>43</v>
      </c>
      <c r="AF5576" t="s">
        <v>43</v>
      </c>
      <c r="AG5576" t="s">
        <v>43</v>
      </c>
      <c r="AH5576" t="s">
        <v>43</v>
      </c>
      <c r="AI5576" t="s">
        <v>43</v>
      </c>
      <c r="AJ5576" t="s">
        <v>43</v>
      </c>
      <c r="AK5576" t="s">
        <v>43</v>
      </c>
      <c r="AL5576" t="s">
        <v>43</v>
      </c>
      <c r="AM5576" t="s">
        <v>43</v>
      </c>
      <c r="AN5576" t="str">
        <f>HYPERLINK("https://www.google.com/maps?q=10.83315945,79.84577179","Open Location")</f>
        <v>Open Location</v>
      </c>
    </row>
    <row r="5577" spans="1:40" x14ac:dyDescent="0.3">
      <c r="A5577" s="1">
        <v>46210.353819444441</v>
      </c>
      <c r="B5577" t="s">
        <v>40</v>
      </c>
      <c r="C5577" t="s">
        <v>41</v>
      </c>
      <c r="D5577" s="1">
        <v>46210.356469907405</v>
      </c>
      <c r="E5577" t="s">
        <v>42</v>
      </c>
      <c r="F5577" t="s">
        <v>43</v>
      </c>
      <c r="G5577" t="s">
        <v>43</v>
      </c>
      <c r="H5577" t="s">
        <v>43</v>
      </c>
      <c r="I5577" t="s">
        <v>43</v>
      </c>
      <c r="J5577" t="s">
        <v>43</v>
      </c>
      <c r="K5577" t="s">
        <v>43</v>
      </c>
      <c r="L5577" t="s">
        <v>43</v>
      </c>
      <c r="M5577" t="s">
        <v>43</v>
      </c>
      <c r="N5577" t="s">
        <v>45</v>
      </c>
      <c r="O5577" t="s">
        <v>43</v>
      </c>
      <c r="P5577" t="s">
        <v>43</v>
      </c>
      <c r="Q5577" t="s">
        <v>43</v>
      </c>
      <c r="R5577" t="s">
        <v>43</v>
      </c>
      <c r="S5577" t="s">
        <v>43</v>
      </c>
      <c r="T5577" t="s">
        <v>43</v>
      </c>
      <c r="U5577" t="s">
        <v>43</v>
      </c>
      <c r="V5577" t="s">
        <v>43</v>
      </c>
      <c r="W5577" t="s">
        <v>43</v>
      </c>
      <c r="X5577" t="s">
        <v>43</v>
      </c>
      <c r="Y5577" t="s">
        <v>43</v>
      </c>
      <c r="Z5577" t="s">
        <v>43</v>
      </c>
      <c r="AA5577" t="s">
        <v>43</v>
      </c>
      <c r="AB5577" t="s">
        <v>43</v>
      </c>
      <c r="AC5577" t="s">
        <v>43</v>
      </c>
      <c r="AD5577" t="s">
        <v>43</v>
      </c>
      <c r="AE5577" t="s">
        <v>43</v>
      </c>
      <c r="AF5577" t="s">
        <v>43</v>
      </c>
      <c r="AG5577" t="s">
        <v>43</v>
      </c>
      <c r="AH5577" t="s">
        <v>43</v>
      </c>
      <c r="AI5577" t="s">
        <v>43</v>
      </c>
      <c r="AJ5577" t="s">
        <v>43</v>
      </c>
      <c r="AK5577" t="s">
        <v>43</v>
      </c>
      <c r="AL5577" t="s">
        <v>43</v>
      </c>
      <c r="AM5577" t="s">
        <v>43</v>
      </c>
      <c r="AN5577" t="s">
        <v>43</v>
      </c>
    </row>
    <row r="5578" spans="1:40" x14ac:dyDescent="0.3">
      <c r="A5578" s="1">
        <v>46210.353703703702</v>
      </c>
      <c r="B5578" t="s">
        <v>40</v>
      </c>
      <c r="C5578" t="s">
        <v>41</v>
      </c>
      <c r="D5578" s="1">
        <v>46210.356782407405</v>
      </c>
      <c r="E5578" t="s">
        <v>42</v>
      </c>
      <c r="F5578" t="s">
        <v>43</v>
      </c>
      <c r="G5578" t="s">
        <v>43</v>
      </c>
      <c r="H5578" t="s">
        <v>43</v>
      </c>
      <c r="I5578" t="s">
        <v>3170</v>
      </c>
      <c r="J5578" t="s">
        <v>43</v>
      </c>
      <c r="K5578" t="s">
        <v>43</v>
      </c>
      <c r="L5578" t="s">
        <v>43</v>
      </c>
      <c r="M5578" t="s">
        <v>43</v>
      </c>
      <c r="N5578" t="s">
        <v>45</v>
      </c>
      <c r="O5578" t="s">
        <v>43</v>
      </c>
      <c r="P5578" t="s">
        <v>43</v>
      </c>
      <c r="Q5578" t="s">
        <v>43</v>
      </c>
      <c r="R5578" t="s">
        <v>43</v>
      </c>
      <c r="S5578" t="s">
        <v>43</v>
      </c>
      <c r="T5578" t="s">
        <v>43</v>
      </c>
      <c r="U5578" t="s">
        <v>43</v>
      </c>
      <c r="V5578" t="s">
        <v>43</v>
      </c>
      <c r="W5578" t="s">
        <v>43</v>
      </c>
      <c r="X5578" t="s">
        <v>43</v>
      </c>
      <c r="Y5578" t="s">
        <v>43</v>
      </c>
      <c r="Z5578" t="s">
        <v>43</v>
      </c>
      <c r="AA5578" t="s">
        <v>43</v>
      </c>
      <c r="AB5578" t="s">
        <v>43</v>
      </c>
      <c r="AC5578" t="s">
        <v>43</v>
      </c>
      <c r="AD5578" t="s">
        <v>43</v>
      </c>
      <c r="AE5578" t="s">
        <v>43</v>
      </c>
      <c r="AF5578" t="s">
        <v>43</v>
      </c>
      <c r="AG5578" t="s">
        <v>43</v>
      </c>
      <c r="AH5578" t="s">
        <v>43</v>
      </c>
      <c r="AI5578" t="s">
        <v>43</v>
      </c>
      <c r="AJ5578" t="s">
        <v>43</v>
      </c>
      <c r="AK5578" t="s">
        <v>43</v>
      </c>
      <c r="AL5578" t="s">
        <v>43</v>
      </c>
      <c r="AM5578" t="s">
        <v>43</v>
      </c>
      <c r="AN5578" t="str">
        <f>HYPERLINK("https://www.google.com/maps?q=10.83316231,79.84577179","Open Location")</f>
        <v>Open Location</v>
      </c>
    </row>
    <row r="5579" spans="1:40" x14ac:dyDescent="0.3">
      <c r="A5579" s="1">
        <v>46210.353587962964</v>
      </c>
      <c r="B5579" t="s">
        <v>40</v>
      </c>
      <c r="C5579" t="s">
        <v>41</v>
      </c>
      <c r="D5579" s="1">
        <v>46210.356296296297</v>
      </c>
      <c r="E5579" t="s">
        <v>42</v>
      </c>
      <c r="F5579" t="s">
        <v>43</v>
      </c>
      <c r="G5579" t="s">
        <v>43</v>
      </c>
      <c r="H5579" t="s">
        <v>43</v>
      </c>
      <c r="I5579" t="s">
        <v>3171</v>
      </c>
      <c r="J5579" t="s">
        <v>43</v>
      </c>
      <c r="K5579" t="s">
        <v>43</v>
      </c>
      <c r="L5579" t="s">
        <v>43</v>
      </c>
      <c r="M5579" t="s">
        <v>43</v>
      </c>
      <c r="N5579" t="s">
        <v>45</v>
      </c>
      <c r="O5579" t="s">
        <v>43</v>
      </c>
      <c r="P5579" t="s">
        <v>43</v>
      </c>
      <c r="Q5579" t="s">
        <v>43</v>
      </c>
      <c r="R5579" t="s">
        <v>43</v>
      </c>
      <c r="S5579" t="s">
        <v>43</v>
      </c>
      <c r="T5579" t="s">
        <v>43</v>
      </c>
      <c r="U5579" t="s">
        <v>43</v>
      </c>
      <c r="V5579" t="s">
        <v>43</v>
      </c>
      <c r="W5579" t="s">
        <v>43</v>
      </c>
      <c r="X5579" t="s">
        <v>43</v>
      </c>
      <c r="Y5579" t="s">
        <v>43</v>
      </c>
      <c r="Z5579" t="s">
        <v>43</v>
      </c>
      <c r="AA5579" t="s">
        <v>43</v>
      </c>
      <c r="AB5579" t="s">
        <v>43</v>
      </c>
      <c r="AC5579" t="s">
        <v>43</v>
      </c>
      <c r="AD5579" t="s">
        <v>43</v>
      </c>
      <c r="AE5579" t="s">
        <v>43</v>
      </c>
      <c r="AF5579" t="s">
        <v>43</v>
      </c>
      <c r="AG5579" t="s">
        <v>43</v>
      </c>
      <c r="AH5579" t="s">
        <v>43</v>
      </c>
      <c r="AI5579" t="s">
        <v>43</v>
      </c>
      <c r="AJ5579" t="s">
        <v>43</v>
      </c>
      <c r="AK5579" t="s">
        <v>43</v>
      </c>
      <c r="AL5579" t="s">
        <v>43</v>
      </c>
      <c r="AM5579" t="s">
        <v>43</v>
      </c>
      <c r="AN5579" t="str">
        <f>HYPERLINK("https://www.google.com/maps?q=10.83316231,79.84577942","Open Location")</f>
        <v>Open Location</v>
      </c>
    </row>
    <row r="5580" spans="1:40" x14ac:dyDescent="0.3">
      <c r="A5580" s="1">
        <v>46210.353472222225</v>
      </c>
      <c r="B5580" t="s">
        <v>40</v>
      </c>
      <c r="C5580" t="s">
        <v>41</v>
      </c>
      <c r="D5580" s="1">
        <v>46210.356249999997</v>
      </c>
      <c r="E5580" t="s">
        <v>42</v>
      </c>
      <c r="F5580" t="s">
        <v>43</v>
      </c>
      <c r="G5580" t="s">
        <v>43</v>
      </c>
      <c r="H5580" t="s">
        <v>43</v>
      </c>
      <c r="I5580" t="s">
        <v>3159</v>
      </c>
      <c r="J5580" t="s">
        <v>43</v>
      </c>
      <c r="K5580" t="s">
        <v>43</v>
      </c>
      <c r="L5580" t="s">
        <v>43</v>
      </c>
      <c r="M5580" t="s">
        <v>43</v>
      </c>
      <c r="N5580" t="s">
        <v>45</v>
      </c>
      <c r="O5580" t="s">
        <v>43</v>
      </c>
      <c r="P5580" t="s">
        <v>43</v>
      </c>
      <c r="Q5580" t="s">
        <v>43</v>
      </c>
      <c r="R5580" t="s">
        <v>43</v>
      </c>
      <c r="S5580" t="s">
        <v>43</v>
      </c>
      <c r="T5580" t="s">
        <v>43</v>
      </c>
      <c r="U5580" t="s">
        <v>43</v>
      </c>
      <c r="V5580" t="s">
        <v>43</v>
      </c>
      <c r="W5580" t="s">
        <v>43</v>
      </c>
      <c r="X5580" t="s">
        <v>43</v>
      </c>
      <c r="Y5580" t="s">
        <v>43</v>
      </c>
      <c r="Z5580" t="s">
        <v>43</v>
      </c>
      <c r="AA5580" t="s">
        <v>43</v>
      </c>
      <c r="AB5580" t="s">
        <v>43</v>
      </c>
      <c r="AC5580" t="s">
        <v>43</v>
      </c>
      <c r="AD5580" t="s">
        <v>43</v>
      </c>
      <c r="AE5580" t="s">
        <v>43</v>
      </c>
      <c r="AF5580" t="s">
        <v>43</v>
      </c>
      <c r="AG5580" t="s">
        <v>43</v>
      </c>
      <c r="AH5580" t="s">
        <v>43</v>
      </c>
      <c r="AI5580" t="s">
        <v>43</v>
      </c>
      <c r="AJ5580" t="s">
        <v>43</v>
      </c>
      <c r="AK5580" t="s">
        <v>43</v>
      </c>
      <c r="AL5580" t="s">
        <v>43</v>
      </c>
      <c r="AM5580" t="s">
        <v>43</v>
      </c>
      <c r="AN5580" t="str">
        <f>HYPERLINK("https://www.google.com/maps?q=10.8331604,79.84577942","Open Location")</f>
        <v>Open Location</v>
      </c>
    </row>
    <row r="5581" spans="1:40" x14ac:dyDescent="0.3">
      <c r="A5581" s="1">
        <v>46210.353356481479</v>
      </c>
      <c r="B5581" t="s">
        <v>40</v>
      </c>
      <c r="C5581" t="s">
        <v>41</v>
      </c>
      <c r="D5581" s="1">
        <v>46210.356377314813</v>
      </c>
      <c r="E5581" t="s">
        <v>42</v>
      </c>
      <c r="F5581" t="s">
        <v>43</v>
      </c>
      <c r="G5581" t="s">
        <v>43</v>
      </c>
      <c r="H5581" t="s">
        <v>43</v>
      </c>
      <c r="I5581" t="s">
        <v>3169</v>
      </c>
      <c r="J5581" t="s">
        <v>43</v>
      </c>
      <c r="K5581" t="s">
        <v>43</v>
      </c>
      <c r="L5581" t="s">
        <v>43</v>
      </c>
      <c r="M5581" t="s">
        <v>43</v>
      </c>
      <c r="N5581" t="s">
        <v>45</v>
      </c>
      <c r="O5581" t="s">
        <v>43</v>
      </c>
      <c r="P5581" t="s">
        <v>43</v>
      </c>
      <c r="Q5581" t="s">
        <v>43</v>
      </c>
      <c r="R5581" t="s">
        <v>43</v>
      </c>
      <c r="S5581" t="s">
        <v>43</v>
      </c>
      <c r="T5581" t="s">
        <v>43</v>
      </c>
      <c r="U5581" t="s">
        <v>43</v>
      </c>
      <c r="V5581" t="s">
        <v>43</v>
      </c>
      <c r="W5581" t="s">
        <v>43</v>
      </c>
      <c r="X5581" t="s">
        <v>43</v>
      </c>
      <c r="Y5581" t="s">
        <v>43</v>
      </c>
      <c r="Z5581" t="s">
        <v>43</v>
      </c>
      <c r="AA5581" t="s">
        <v>43</v>
      </c>
      <c r="AB5581" t="s">
        <v>43</v>
      </c>
      <c r="AC5581" t="s">
        <v>43</v>
      </c>
      <c r="AD5581" t="s">
        <v>43</v>
      </c>
      <c r="AE5581" t="s">
        <v>43</v>
      </c>
      <c r="AF5581" t="s">
        <v>43</v>
      </c>
      <c r="AG5581" t="s">
        <v>43</v>
      </c>
      <c r="AH5581" t="s">
        <v>43</v>
      </c>
      <c r="AI5581" t="s">
        <v>43</v>
      </c>
      <c r="AJ5581" t="s">
        <v>43</v>
      </c>
      <c r="AK5581" t="s">
        <v>43</v>
      </c>
      <c r="AL5581" t="s">
        <v>43</v>
      </c>
      <c r="AM5581" t="s">
        <v>43</v>
      </c>
      <c r="AN5581" t="str">
        <f>HYPERLINK("https://www.google.com/maps?q=10.83315945,79.84577179","Open Location")</f>
        <v>Open Location</v>
      </c>
    </row>
    <row r="5582" spans="1:40" x14ac:dyDescent="0.3">
      <c r="A5582" s="1">
        <v>46210.35324074074</v>
      </c>
      <c r="B5582" t="s">
        <v>40</v>
      </c>
      <c r="C5582" t="s">
        <v>41</v>
      </c>
      <c r="D5582" s="1">
        <v>46210.356134259258</v>
      </c>
      <c r="E5582" t="s">
        <v>42</v>
      </c>
      <c r="F5582" t="s">
        <v>43</v>
      </c>
      <c r="G5582" t="s">
        <v>43</v>
      </c>
      <c r="H5582" t="s">
        <v>43</v>
      </c>
      <c r="I5582" t="s">
        <v>3169</v>
      </c>
      <c r="J5582" t="s">
        <v>43</v>
      </c>
      <c r="K5582" t="s">
        <v>43</v>
      </c>
      <c r="L5582" t="s">
        <v>43</v>
      </c>
      <c r="M5582" t="s">
        <v>43</v>
      </c>
      <c r="N5582" t="s">
        <v>45</v>
      </c>
      <c r="O5582" t="s">
        <v>43</v>
      </c>
      <c r="P5582" t="s">
        <v>43</v>
      </c>
      <c r="Q5582" t="s">
        <v>43</v>
      </c>
      <c r="R5582" t="s">
        <v>43</v>
      </c>
      <c r="S5582" t="s">
        <v>43</v>
      </c>
      <c r="T5582" t="s">
        <v>43</v>
      </c>
      <c r="U5582" t="s">
        <v>43</v>
      </c>
      <c r="V5582" t="s">
        <v>43</v>
      </c>
      <c r="W5582" t="s">
        <v>43</v>
      </c>
      <c r="X5582" t="s">
        <v>43</v>
      </c>
      <c r="Y5582" t="s">
        <v>43</v>
      </c>
      <c r="Z5582" t="s">
        <v>43</v>
      </c>
      <c r="AA5582" t="s">
        <v>43</v>
      </c>
      <c r="AB5582" t="s">
        <v>43</v>
      </c>
      <c r="AC5582" t="s">
        <v>43</v>
      </c>
      <c r="AD5582" t="s">
        <v>43</v>
      </c>
      <c r="AE5582" t="s">
        <v>43</v>
      </c>
      <c r="AF5582" t="s">
        <v>43</v>
      </c>
      <c r="AG5582" t="s">
        <v>43</v>
      </c>
      <c r="AH5582" t="s">
        <v>43</v>
      </c>
      <c r="AI5582" t="s">
        <v>43</v>
      </c>
      <c r="AJ5582" t="s">
        <v>43</v>
      </c>
      <c r="AK5582" t="s">
        <v>43</v>
      </c>
      <c r="AL5582" t="s">
        <v>43</v>
      </c>
      <c r="AM5582" t="s">
        <v>43</v>
      </c>
      <c r="AN5582" t="str">
        <f>HYPERLINK("https://www.google.com/maps?q=10.83315945,79.84577179","Open Location")</f>
        <v>Open Location</v>
      </c>
    </row>
    <row r="5583" spans="1:40" x14ac:dyDescent="0.3">
      <c r="A5583" s="1">
        <v>46210.353125000001</v>
      </c>
      <c r="B5583" t="s">
        <v>40</v>
      </c>
      <c r="C5583" t="s">
        <v>41</v>
      </c>
      <c r="D5583" s="1">
        <v>46210.355983796297</v>
      </c>
      <c r="E5583" t="s">
        <v>42</v>
      </c>
      <c r="F5583" t="s">
        <v>43</v>
      </c>
      <c r="G5583" t="s">
        <v>43</v>
      </c>
      <c r="H5583" t="s">
        <v>43</v>
      </c>
      <c r="I5583" t="s">
        <v>43</v>
      </c>
      <c r="J5583" t="s">
        <v>43</v>
      </c>
      <c r="K5583" t="s">
        <v>43</v>
      </c>
      <c r="L5583" t="s">
        <v>43</v>
      </c>
      <c r="M5583" t="s">
        <v>43</v>
      </c>
      <c r="N5583" t="s">
        <v>45</v>
      </c>
      <c r="O5583" t="s">
        <v>43</v>
      </c>
      <c r="P5583" t="s">
        <v>43</v>
      </c>
      <c r="Q5583" t="s">
        <v>43</v>
      </c>
      <c r="R5583" t="s">
        <v>43</v>
      </c>
      <c r="S5583" t="s">
        <v>43</v>
      </c>
      <c r="T5583" t="s">
        <v>43</v>
      </c>
      <c r="U5583" t="s">
        <v>43</v>
      </c>
      <c r="V5583" t="s">
        <v>43</v>
      </c>
      <c r="W5583" t="s">
        <v>43</v>
      </c>
      <c r="X5583" t="s">
        <v>43</v>
      </c>
      <c r="Y5583" t="s">
        <v>43</v>
      </c>
      <c r="Z5583" t="s">
        <v>43</v>
      </c>
      <c r="AA5583" t="s">
        <v>43</v>
      </c>
      <c r="AB5583" t="s">
        <v>43</v>
      </c>
      <c r="AC5583" t="s">
        <v>43</v>
      </c>
      <c r="AD5583" t="s">
        <v>43</v>
      </c>
      <c r="AE5583" t="s">
        <v>43</v>
      </c>
      <c r="AF5583" t="s">
        <v>43</v>
      </c>
      <c r="AG5583" t="s">
        <v>43</v>
      </c>
      <c r="AH5583" t="s">
        <v>43</v>
      </c>
      <c r="AI5583" t="s">
        <v>43</v>
      </c>
      <c r="AJ5583" t="s">
        <v>43</v>
      </c>
      <c r="AK5583" t="s">
        <v>43</v>
      </c>
      <c r="AL5583" t="s">
        <v>43</v>
      </c>
      <c r="AM5583" t="s">
        <v>43</v>
      </c>
      <c r="AN5583" t="s">
        <v>43</v>
      </c>
    </row>
    <row r="5584" spans="1:40" x14ac:dyDescent="0.3">
      <c r="A5584" s="1">
        <v>46210.353009259263</v>
      </c>
      <c r="B5584" t="s">
        <v>40</v>
      </c>
      <c r="C5584" t="s">
        <v>41</v>
      </c>
      <c r="D5584" s="1">
        <v>46210.356134259258</v>
      </c>
      <c r="E5584" t="s">
        <v>42</v>
      </c>
      <c r="F5584" t="s">
        <v>43</v>
      </c>
      <c r="G5584" t="s">
        <v>43</v>
      </c>
      <c r="H5584" t="s">
        <v>43</v>
      </c>
      <c r="I5584" t="s">
        <v>3172</v>
      </c>
      <c r="J5584" t="s">
        <v>43</v>
      </c>
      <c r="K5584" t="s">
        <v>43</v>
      </c>
      <c r="L5584" t="s">
        <v>43</v>
      </c>
      <c r="M5584" t="s">
        <v>43</v>
      </c>
      <c r="N5584" t="s">
        <v>45</v>
      </c>
      <c r="O5584" t="s">
        <v>43</v>
      </c>
      <c r="P5584" t="s">
        <v>43</v>
      </c>
      <c r="Q5584" t="s">
        <v>43</v>
      </c>
      <c r="R5584" t="s">
        <v>43</v>
      </c>
      <c r="S5584" t="s">
        <v>43</v>
      </c>
      <c r="T5584" t="s">
        <v>43</v>
      </c>
      <c r="U5584" t="s">
        <v>43</v>
      </c>
      <c r="V5584" t="s">
        <v>43</v>
      </c>
      <c r="W5584" t="s">
        <v>43</v>
      </c>
      <c r="X5584" t="s">
        <v>43</v>
      </c>
      <c r="Y5584" t="s">
        <v>43</v>
      </c>
      <c r="Z5584" t="s">
        <v>43</v>
      </c>
      <c r="AA5584" t="s">
        <v>43</v>
      </c>
      <c r="AB5584" t="s">
        <v>43</v>
      </c>
      <c r="AC5584" t="s">
        <v>43</v>
      </c>
      <c r="AD5584" t="s">
        <v>43</v>
      </c>
      <c r="AE5584" t="s">
        <v>43</v>
      </c>
      <c r="AF5584" t="s">
        <v>43</v>
      </c>
      <c r="AG5584" t="s">
        <v>43</v>
      </c>
      <c r="AH5584" t="s">
        <v>43</v>
      </c>
      <c r="AI5584" t="s">
        <v>43</v>
      </c>
      <c r="AJ5584" t="s">
        <v>43</v>
      </c>
      <c r="AK5584" t="s">
        <v>43</v>
      </c>
      <c r="AL5584" t="s">
        <v>43</v>
      </c>
      <c r="AM5584" t="s">
        <v>43</v>
      </c>
      <c r="AN5584" t="str">
        <f>HYPERLINK("https://www.google.com/maps?q=10.83315754,79.84575653","Open Location")</f>
        <v>Open Location</v>
      </c>
    </row>
    <row r="5585" spans="1:40" x14ac:dyDescent="0.3">
      <c r="A5585" s="1">
        <v>46210.352893518517</v>
      </c>
      <c r="B5585" t="s">
        <v>40</v>
      </c>
      <c r="C5585" t="s">
        <v>41</v>
      </c>
      <c r="D5585" s="1">
        <v>46210.355752314812</v>
      </c>
      <c r="E5585" t="s">
        <v>42</v>
      </c>
      <c r="F5585" t="s">
        <v>43</v>
      </c>
      <c r="G5585" t="s">
        <v>43</v>
      </c>
      <c r="H5585" t="s">
        <v>43</v>
      </c>
      <c r="I5585" t="s">
        <v>3172</v>
      </c>
      <c r="J5585" t="s">
        <v>43</v>
      </c>
      <c r="K5585" t="s">
        <v>43</v>
      </c>
      <c r="L5585" t="s">
        <v>43</v>
      </c>
      <c r="M5585" t="s">
        <v>43</v>
      </c>
      <c r="N5585" t="s">
        <v>45</v>
      </c>
      <c r="O5585" t="s">
        <v>43</v>
      </c>
      <c r="P5585" t="s">
        <v>43</v>
      </c>
      <c r="Q5585" t="s">
        <v>43</v>
      </c>
      <c r="R5585" t="s">
        <v>43</v>
      </c>
      <c r="S5585" t="s">
        <v>43</v>
      </c>
      <c r="T5585" t="s">
        <v>43</v>
      </c>
      <c r="U5585" t="s">
        <v>43</v>
      </c>
      <c r="V5585" t="s">
        <v>43</v>
      </c>
      <c r="W5585" t="s">
        <v>43</v>
      </c>
      <c r="X5585" t="s">
        <v>43</v>
      </c>
      <c r="Y5585" t="s">
        <v>43</v>
      </c>
      <c r="Z5585" t="s">
        <v>43</v>
      </c>
      <c r="AA5585" t="s">
        <v>43</v>
      </c>
      <c r="AB5585" t="s">
        <v>43</v>
      </c>
      <c r="AC5585" t="s">
        <v>43</v>
      </c>
      <c r="AD5585" t="s">
        <v>43</v>
      </c>
      <c r="AE5585" t="s">
        <v>43</v>
      </c>
      <c r="AF5585" t="s">
        <v>43</v>
      </c>
      <c r="AG5585" t="s">
        <v>43</v>
      </c>
      <c r="AH5585" t="s">
        <v>43</v>
      </c>
      <c r="AI5585" t="s">
        <v>43</v>
      </c>
      <c r="AJ5585" t="s">
        <v>43</v>
      </c>
      <c r="AK5585" t="s">
        <v>43</v>
      </c>
      <c r="AL5585" t="s">
        <v>43</v>
      </c>
      <c r="AM5585" t="s">
        <v>43</v>
      </c>
      <c r="AN5585" t="str">
        <f>HYPERLINK("https://www.google.com/maps?q=10.83315754,79.84575653","Open Location")</f>
        <v>Open Location</v>
      </c>
    </row>
    <row r="5586" spans="1:40" x14ac:dyDescent="0.3">
      <c r="A5586" s="1">
        <v>46210.352777777778</v>
      </c>
      <c r="B5586" t="s">
        <v>40</v>
      </c>
      <c r="C5586" t="s">
        <v>41</v>
      </c>
      <c r="D5586" s="1">
        <v>46210.355752314812</v>
      </c>
      <c r="E5586" t="s">
        <v>42</v>
      </c>
      <c r="F5586" t="s">
        <v>43</v>
      </c>
      <c r="G5586" t="s">
        <v>43</v>
      </c>
      <c r="H5586" t="s">
        <v>43</v>
      </c>
      <c r="I5586" t="s">
        <v>3173</v>
      </c>
      <c r="J5586" t="s">
        <v>43</v>
      </c>
      <c r="K5586" t="s">
        <v>43</v>
      </c>
      <c r="L5586" t="s">
        <v>43</v>
      </c>
      <c r="M5586" t="s">
        <v>43</v>
      </c>
      <c r="N5586" t="s">
        <v>45</v>
      </c>
      <c r="O5586" t="s">
        <v>43</v>
      </c>
      <c r="P5586" t="s">
        <v>43</v>
      </c>
      <c r="Q5586" t="s">
        <v>43</v>
      </c>
      <c r="R5586" t="s">
        <v>43</v>
      </c>
      <c r="S5586" t="s">
        <v>43</v>
      </c>
      <c r="T5586" t="s">
        <v>43</v>
      </c>
      <c r="U5586" t="s">
        <v>43</v>
      </c>
      <c r="V5586" t="s">
        <v>43</v>
      </c>
      <c r="W5586" t="s">
        <v>43</v>
      </c>
      <c r="X5586" t="s">
        <v>43</v>
      </c>
      <c r="Y5586" t="s">
        <v>43</v>
      </c>
      <c r="Z5586" t="s">
        <v>43</v>
      </c>
      <c r="AA5586" t="s">
        <v>43</v>
      </c>
      <c r="AB5586" t="s">
        <v>43</v>
      </c>
      <c r="AC5586" t="s">
        <v>43</v>
      </c>
      <c r="AD5586" t="s">
        <v>43</v>
      </c>
      <c r="AE5586" t="s">
        <v>43</v>
      </c>
      <c r="AF5586" t="s">
        <v>43</v>
      </c>
      <c r="AG5586" t="s">
        <v>43</v>
      </c>
      <c r="AH5586" t="s">
        <v>43</v>
      </c>
      <c r="AI5586" t="s">
        <v>43</v>
      </c>
      <c r="AJ5586" t="s">
        <v>43</v>
      </c>
      <c r="AK5586" t="s">
        <v>43</v>
      </c>
      <c r="AL5586" t="s">
        <v>43</v>
      </c>
      <c r="AM5586" t="s">
        <v>43</v>
      </c>
      <c r="AN5586" t="str">
        <f>HYPERLINK("https://www.google.com/maps?q=10.83315372,79.8457489","Open Location")</f>
        <v>Open Location</v>
      </c>
    </row>
    <row r="5587" spans="1:40" x14ac:dyDescent="0.3">
      <c r="A5587" s="1">
        <v>46210.352662037039</v>
      </c>
      <c r="B5587" t="s">
        <v>40</v>
      </c>
      <c r="C5587" t="s">
        <v>41</v>
      </c>
      <c r="D5587" s="1">
        <v>46210.355763888889</v>
      </c>
      <c r="E5587" t="s">
        <v>42</v>
      </c>
      <c r="F5587" t="s">
        <v>43</v>
      </c>
      <c r="G5587" t="s">
        <v>43</v>
      </c>
      <c r="H5587" t="s">
        <v>43</v>
      </c>
      <c r="I5587" t="s">
        <v>3174</v>
      </c>
      <c r="J5587" t="s">
        <v>43</v>
      </c>
      <c r="K5587" t="s">
        <v>43</v>
      </c>
      <c r="L5587" t="s">
        <v>43</v>
      </c>
      <c r="M5587" t="s">
        <v>43</v>
      </c>
      <c r="N5587" t="s">
        <v>45</v>
      </c>
      <c r="O5587" t="s">
        <v>43</v>
      </c>
      <c r="P5587" t="s">
        <v>43</v>
      </c>
      <c r="Q5587" t="s">
        <v>43</v>
      </c>
      <c r="R5587" t="s">
        <v>43</v>
      </c>
      <c r="S5587" t="s">
        <v>43</v>
      </c>
      <c r="T5587" t="s">
        <v>43</v>
      </c>
      <c r="U5587" t="s">
        <v>43</v>
      </c>
      <c r="V5587" t="s">
        <v>43</v>
      </c>
      <c r="W5587" t="s">
        <v>43</v>
      </c>
      <c r="X5587" t="s">
        <v>43</v>
      </c>
      <c r="Y5587" t="s">
        <v>43</v>
      </c>
      <c r="Z5587" t="s">
        <v>43</v>
      </c>
      <c r="AA5587" t="s">
        <v>43</v>
      </c>
      <c r="AB5587" t="s">
        <v>43</v>
      </c>
      <c r="AC5587" t="s">
        <v>43</v>
      </c>
      <c r="AD5587" t="s">
        <v>43</v>
      </c>
      <c r="AE5587" t="s">
        <v>43</v>
      </c>
      <c r="AF5587" t="s">
        <v>43</v>
      </c>
      <c r="AG5587" t="s">
        <v>43</v>
      </c>
      <c r="AH5587" t="s">
        <v>43</v>
      </c>
      <c r="AI5587" t="s">
        <v>43</v>
      </c>
      <c r="AJ5587" t="s">
        <v>43</v>
      </c>
      <c r="AK5587" t="s">
        <v>43</v>
      </c>
      <c r="AL5587" t="s">
        <v>43</v>
      </c>
      <c r="AM5587" t="s">
        <v>43</v>
      </c>
      <c r="AN5587" t="str">
        <f>HYPERLINK("https://www.google.com/maps?q=10.83315277,79.84574127","Open Location")</f>
        <v>Open Location</v>
      </c>
    </row>
    <row r="5588" spans="1:40" x14ac:dyDescent="0.3">
      <c r="A5588" s="1">
        <v>46210.352546296293</v>
      </c>
      <c r="B5588" t="s">
        <v>40</v>
      </c>
      <c r="C5588" t="s">
        <v>41</v>
      </c>
      <c r="D5588" s="1">
        <v>46210.355740740742</v>
      </c>
      <c r="E5588" t="s">
        <v>42</v>
      </c>
      <c r="F5588" t="s">
        <v>43</v>
      </c>
      <c r="G5588" t="s">
        <v>43</v>
      </c>
      <c r="H5588" t="s">
        <v>43</v>
      </c>
      <c r="I5588" t="s">
        <v>43</v>
      </c>
      <c r="J5588" t="s">
        <v>43</v>
      </c>
      <c r="K5588" t="s">
        <v>43</v>
      </c>
      <c r="L5588" t="s">
        <v>43</v>
      </c>
      <c r="M5588" t="s">
        <v>43</v>
      </c>
      <c r="N5588" t="s">
        <v>45</v>
      </c>
      <c r="O5588" t="s">
        <v>43</v>
      </c>
      <c r="P5588" t="s">
        <v>43</v>
      </c>
      <c r="Q5588" t="s">
        <v>43</v>
      </c>
      <c r="R5588" t="s">
        <v>43</v>
      </c>
      <c r="S5588" t="s">
        <v>43</v>
      </c>
      <c r="T5588" t="s">
        <v>43</v>
      </c>
      <c r="U5588" t="s">
        <v>43</v>
      </c>
      <c r="V5588" t="s">
        <v>43</v>
      </c>
      <c r="W5588" t="s">
        <v>43</v>
      </c>
      <c r="X5588" t="s">
        <v>43</v>
      </c>
      <c r="Y5588" t="s">
        <v>43</v>
      </c>
      <c r="Z5588" t="s">
        <v>43</v>
      </c>
      <c r="AA5588" t="s">
        <v>43</v>
      </c>
      <c r="AB5588" t="s">
        <v>43</v>
      </c>
      <c r="AC5588" t="s">
        <v>43</v>
      </c>
      <c r="AD5588" t="s">
        <v>43</v>
      </c>
      <c r="AE5588" t="s">
        <v>43</v>
      </c>
      <c r="AF5588" t="s">
        <v>43</v>
      </c>
      <c r="AG5588" t="s">
        <v>43</v>
      </c>
      <c r="AH5588" t="s">
        <v>43</v>
      </c>
      <c r="AI5588" t="s">
        <v>43</v>
      </c>
      <c r="AJ5588" t="s">
        <v>43</v>
      </c>
      <c r="AK5588" t="s">
        <v>43</v>
      </c>
      <c r="AL5588" t="s">
        <v>43</v>
      </c>
      <c r="AM5588" t="s">
        <v>43</v>
      </c>
      <c r="AN5588" t="s">
        <v>43</v>
      </c>
    </row>
    <row r="5589" spans="1:40" x14ac:dyDescent="0.3">
      <c r="A5589" s="1">
        <v>46210.352430555555</v>
      </c>
      <c r="B5589" t="s">
        <v>40</v>
      </c>
      <c r="C5589" t="s">
        <v>41</v>
      </c>
      <c r="D5589" s="1">
        <v>46210.355405092596</v>
      </c>
      <c r="E5589" t="s">
        <v>42</v>
      </c>
      <c r="F5589" t="s">
        <v>43</v>
      </c>
      <c r="G5589" t="s">
        <v>43</v>
      </c>
      <c r="H5589" t="s">
        <v>43</v>
      </c>
      <c r="I5589" t="s">
        <v>3175</v>
      </c>
      <c r="J5589" t="s">
        <v>43</v>
      </c>
      <c r="K5589" t="s">
        <v>43</v>
      </c>
      <c r="L5589" t="s">
        <v>43</v>
      </c>
      <c r="M5589" t="s">
        <v>43</v>
      </c>
      <c r="N5589" t="s">
        <v>45</v>
      </c>
      <c r="O5589" t="s">
        <v>43</v>
      </c>
      <c r="P5589" t="s">
        <v>43</v>
      </c>
      <c r="Q5589" t="s">
        <v>43</v>
      </c>
      <c r="R5589" t="s">
        <v>43</v>
      </c>
      <c r="S5589" t="s">
        <v>43</v>
      </c>
      <c r="T5589" t="s">
        <v>43</v>
      </c>
      <c r="U5589" t="s">
        <v>43</v>
      </c>
      <c r="V5589" t="s">
        <v>43</v>
      </c>
      <c r="W5589" t="s">
        <v>43</v>
      </c>
      <c r="X5589" t="s">
        <v>43</v>
      </c>
      <c r="Y5589" t="s">
        <v>43</v>
      </c>
      <c r="Z5589" t="s">
        <v>43</v>
      </c>
      <c r="AA5589" t="s">
        <v>43</v>
      </c>
      <c r="AB5589" t="s">
        <v>43</v>
      </c>
      <c r="AC5589" t="s">
        <v>43</v>
      </c>
      <c r="AD5589" t="s">
        <v>43</v>
      </c>
      <c r="AE5589" t="s">
        <v>43</v>
      </c>
      <c r="AF5589" t="s">
        <v>43</v>
      </c>
      <c r="AG5589" t="s">
        <v>43</v>
      </c>
      <c r="AH5589" t="s">
        <v>43</v>
      </c>
      <c r="AI5589" t="s">
        <v>43</v>
      </c>
      <c r="AJ5589" t="s">
        <v>43</v>
      </c>
      <c r="AK5589" t="s">
        <v>43</v>
      </c>
      <c r="AL5589" t="s">
        <v>43</v>
      </c>
      <c r="AM5589" t="s">
        <v>43</v>
      </c>
      <c r="AN5589" t="str">
        <f>HYPERLINK("https://www.google.com/maps?q=10.83315563,79.8457489","Open Location")</f>
        <v>Open Location</v>
      </c>
    </row>
    <row r="5590" spans="1:40" x14ac:dyDescent="0.3">
      <c r="A5590" s="1">
        <v>46210.352314814816</v>
      </c>
      <c r="B5590" t="s">
        <v>40</v>
      </c>
      <c r="C5590" t="s">
        <v>41</v>
      </c>
      <c r="D5590" s="1">
        <v>46210.355324074073</v>
      </c>
      <c r="E5590" t="s">
        <v>42</v>
      </c>
      <c r="F5590" t="s">
        <v>43</v>
      </c>
      <c r="G5590" t="s">
        <v>43</v>
      </c>
      <c r="H5590" t="s">
        <v>43</v>
      </c>
      <c r="I5590" t="s">
        <v>3176</v>
      </c>
      <c r="J5590" t="s">
        <v>43</v>
      </c>
      <c r="K5590" t="s">
        <v>43</v>
      </c>
      <c r="L5590" t="s">
        <v>43</v>
      </c>
      <c r="M5590" t="s">
        <v>43</v>
      </c>
      <c r="N5590" t="s">
        <v>45</v>
      </c>
      <c r="O5590" t="s">
        <v>43</v>
      </c>
      <c r="P5590" t="s">
        <v>43</v>
      </c>
      <c r="Q5590" t="s">
        <v>43</v>
      </c>
      <c r="R5590" t="s">
        <v>43</v>
      </c>
      <c r="S5590" t="s">
        <v>43</v>
      </c>
      <c r="T5590" t="s">
        <v>43</v>
      </c>
      <c r="U5590" t="s">
        <v>43</v>
      </c>
      <c r="V5590" t="s">
        <v>43</v>
      </c>
      <c r="W5590" t="s">
        <v>43</v>
      </c>
      <c r="X5590" t="s">
        <v>43</v>
      </c>
      <c r="Y5590" t="s">
        <v>43</v>
      </c>
      <c r="Z5590" t="s">
        <v>43</v>
      </c>
      <c r="AA5590" t="s">
        <v>43</v>
      </c>
      <c r="AB5590" t="s">
        <v>43</v>
      </c>
      <c r="AC5590" t="s">
        <v>43</v>
      </c>
      <c r="AD5590" t="s">
        <v>43</v>
      </c>
      <c r="AE5590" t="s">
        <v>43</v>
      </c>
      <c r="AF5590" t="s">
        <v>43</v>
      </c>
      <c r="AG5590" t="s">
        <v>43</v>
      </c>
      <c r="AH5590" t="s">
        <v>43</v>
      </c>
      <c r="AI5590" t="s">
        <v>43</v>
      </c>
      <c r="AJ5590" t="s">
        <v>43</v>
      </c>
      <c r="AK5590" t="s">
        <v>43</v>
      </c>
      <c r="AL5590" t="s">
        <v>43</v>
      </c>
      <c r="AM5590" t="s">
        <v>43</v>
      </c>
      <c r="AN5590" t="str">
        <f>HYPERLINK("https://www.google.com/maps?q=10.83315468,79.8457489","Open Location")</f>
        <v>Open Location</v>
      </c>
    </row>
    <row r="5591" spans="1:40" x14ac:dyDescent="0.3">
      <c r="A5591" s="1">
        <v>46210.352199074077</v>
      </c>
      <c r="B5591" t="s">
        <v>40</v>
      </c>
      <c r="C5591" t="s">
        <v>41</v>
      </c>
      <c r="D5591" s="1">
        <v>46210.355115740742</v>
      </c>
      <c r="E5591" t="s">
        <v>42</v>
      </c>
      <c r="F5591" t="s">
        <v>43</v>
      </c>
      <c r="G5591" t="s">
        <v>43</v>
      </c>
      <c r="H5591" t="s">
        <v>43</v>
      </c>
      <c r="I5591" t="s">
        <v>3175</v>
      </c>
      <c r="J5591" t="s">
        <v>43</v>
      </c>
      <c r="K5591" t="s">
        <v>43</v>
      </c>
      <c r="L5591" t="s">
        <v>43</v>
      </c>
      <c r="M5591" t="s">
        <v>43</v>
      </c>
      <c r="N5591" t="s">
        <v>45</v>
      </c>
      <c r="O5591" t="s">
        <v>43</v>
      </c>
      <c r="P5591" t="s">
        <v>43</v>
      </c>
      <c r="Q5591" t="s">
        <v>43</v>
      </c>
      <c r="R5591" t="s">
        <v>43</v>
      </c>
      <c r="S5591" t="s">
        <v>43</v>
      </c>
      <c r="T5591" t="s">
        <v>43</v>
      </c>
      <c r="U5591" t="s">
        <v>43</v>
      </c>
      <c r="V5591" t="s">
        <v>43</v>
      </c>
      <c r="W5591" t="s">
        <v>43</v>
      </c>
      <c r="X5591" t="s">
        <v>43</v>
      </c>
      <c r="Y5591" t="s">
        <v>43</v>
      </c>
      <c r="Z5591" t="s">
        <v>43</v>
      </c>
      <c r="AA5591" t="s">
        <v>43</v>
      </c>
      <c r="AB5591" t="s">
        <v>43</v>
      </c>
      <c r="AC5591" t="s">
        <v>43</v>
      </c>
      <c r="AD5591" t="s">
        <v>43</v>
      </c>
      <c r="AE5591" t="s">
        <v>43</v>
      </c>
      <c r="AF5591" t="s">
        <v>43</v>
      </c>
      <c r="AG5591" t="s">
        <v>43</v>
      </c>
      <c r="AH5591" t="s">
        <v>43</v>
      </c>
      <c r="AI5591" t="s">
        <v>43</v>
      </c>
      <c r="AJ5591" t="s">
        <v>43</v>
      </c>
      <c r="AK5591" t="s">
        <v>43</v>
      </c>
      <c r="AL5591" t="s">
        <v>43</v>
      </c>
      <c r="AM5591" t="s">
        <v>43</v>
      </c>
      <c r="AN5591" t="str">
        <f>HYPERLINK("https://www.google.com/maps?q=10.83315563,79.8457489","Open Location")</f>
        <v>Open Location</v>
      </c>
    </row>
    <row r="5592" spans="1:40" x14ac:dyDescent="0.3">
      <c r="A5592" s="1">
        <v>46210.352083333331</v>
      </c>
      <c r="B5592" t="s">
        <v>40</v>
      </c>
      <c r="C5592" t="s">
        <v>41</v>
      </c>
      <c r="D5592" s="1">
        <v>46210.355104166665</v>
      </c>
      <c r="E5592" t="s">
        <v>42</v>
      </c>
      <c r="F5592" t="s">
        <v>43</v>
      </c>
      <c r="G5592" t="s">
        <v>43</v>
      </c>
      <c r="H5592" t="s">
        <v>43</v>
      </c>
      <c r="I5592" t="s">
        <v>3177</v>
      </c>
      <c r="J5592" t="s">
        <v>43</v>
      </c>
      <c r="K5592" t="s">
        <v>43</v>
      </c>
      <c r="L5592" t="s">
        <v>43</v>
      </c>
      <c r="M5592" t="s">
        <v>43</v>
      </c>
      <c r="N5592" t="s">
        <v>45</v>
      </c>
      <c r="O5592" t="s">
        <v>43</v>
      </c>
      <c r="P5592" t="s">
        <v>43</v>
      </c>
      <c r="Q5592" t="s">
        <v>43</v>
      </c>
      <c r="R5592" t="s">
        <v>43</v>
      </c>
      <c r="S5592" t="s">
        <v>43</v>
      </c>
      <c r="T5592" t="s">
        <v>43</v>
      </c>
      <c r="U5592" t="s">
        <v>43</v>
      </c>
      <c r="V5592" t="s">
        <v>43</v>
      </c>
      <c r="W5592" t="s">
        <v>43</v>
      </c>
      <c r="X5592" t="s">
        <v>43</v>
      </c>
      <c r="Y5592" t="s">
        <v>43</v>
      </c>
      <c r="Z5592" t="s">
        <v>43</v>
      </c>
      <c r="AA5592" t="s">
        <v>43</v>
      </c>
      <c r="AB5592" t="s">
        <v>43</v>
      </c>
      <c r="AC5592" t="s">
        <v>43</v>
      </c>
      <c r="AD5592" t="s">
        <v>43</v>
      </c>
      <c r="AE5592" t="s">
        <v>43</v>
      </c>
      <c r="AF5592" t="s">
        <v>43</v>
      </c>
      <c r="AG5592" t="s">
        <v>43</v>
      </c>
      <c r="AH5592" t="s">
        <v>43</v>
      </c>
      <c r="AI5592" t="s">
        <v>43</v>
      </c>
      <c r="AJ5592" t="s">
        <v>43</v>
      </c>
      <c r="AK5592" t="s">
        <v>43</v>
      </c>
      <c r="AL5592" t="s">
        <v>43</v>
      </c>
      <c r="AM5592" t="s">
        <v>43</v>
      </c>
      <c r="AN5592" t="str">
        <f>HYPERLINK("https://www.google.com/maps?q=10.83315563,79.84575653","Open Location")</f>
        <v>Open Location</v>
      </c>
    </row>
    <row r="5593" spans="1:40" x14ac:dyDescent="0.3">
      <c r="A5593" s="1">
        <v>46210.351967592593</v>
      </c>
      <c r="B5593" t="s">
        <v>40</v>
      </c>
      <c r="C5593" t="s">
        <v>41</v>
      </c>
      <c r="D5593" s="1">
        <v>46210.355104166665</v>
      </c>
      <c r="E5593" t="s">
        <v>42</v>
      </c>
      <c r="F5593" t="s">
        <v>43</v>
      </c>
      <c r="G5593" t="s">
        <v>43</v>
      </c>
      <c r="H5593" t="s">
        <v>43</v>
      </c>
      <c r="I5593" t="s">
        <v>3178</v>
      </c>
      <c r="J5593" t="s">
        <v>43</v>
      </c>
      <c r="K5593" t="s">
        <v>43</v>
      </c>
      <c r="L5593" t="s">
        <v>43</v>
      </c>
      <c r="M5593" t="s">
        <v>43</v>
      </c>
      <c r="N5593" t="s">
        <v>45</v>
      </c>
      <c r="O5593" t="s">
        <v>43</v>
      </c>
      <c r="P5593" t="s">
        <v>43</v>
      </c>
      <c r="Q5593" t="s">
        <v>43</v>
      </c>
      <c r="R5593" t="s">
        <v>43</v>
      </c>
      <c r="S5593" t="s">
        <v>43</v>
      </c>
      <c r="T5593" t="s">
        <v>43</v>
      </c>
      <c r="U5593" t="s">
        <v>43</v>
      </c>
      <c r="V5593" t="s">
        <v>43</v>
      </c>
      <c r="W5593" t="s">
        <v>43</v>
      </c>
      <c r="X5593" t="s">
        <v>43</v>
      </c>
      <c r="Y5593" t="s">
        <v>43</v>
      </c>
      <c r="Z5593" t="s">
        <v>43</v>
      </c>
      <c r="AA5593" t="s">
        <v>43</v>
      </c>
      <c r="AB5593" t="s">
        <v>43</v>
      </c>
      <c r="AC5593" t="s">
        <v>43</v>
      </c>
      <c r="AD5593" t="s">
        <v>43</v>
      </c>
      <c r="AE5593" t="s">
        <v>43</v>
      </c>
      <c r="AF5593" t="s">
        <v>43</v>
      </c>
      <c r="AG5593" t="s">
        <v>43</v>
      </c>
      <c r="AH5593" t="s">
        <v>43</v>
      </c>
      <c r="AI5593" t="s">
        <v>43</v>
      </c>
      <c r="AJ5593" t="s">
        <v>43</v>
      </c>
      <c r="AK5593" t="s">
        <v>43</v>
      </c>
      <c r="AL5593" t="s">
        <v>43</v>
      </c>
      <c r="AM5593" t="s">
        <v>43</v>
      </c>
      <c r="AN5593" t="str">
        <f>HYPERLINK("https://www.google.com/maps?q=10.83315754,79.8457489","Open Location")</f>
        <v>Open Location</v>
      </c>
    </row>
    <row r="5594" spans="1:40" x14ac:dyDescent="0.3">
      <c r="A5594" s="1">
        <v>46210.351851851854</v>
      </c>
      <c r="B5594" t="s">
        <v>40</v>
      </c>
      <c r="C5594" t="s">
        <v>41</v>
      </c>
      <c r="D5594" s="1">
        <v>46210.354930555557</v>
      </c>
      <c r="E5594" t="s">
        <v>42</v>
      </c>
      <c r="F5594" t="s">
        <v>43</v>
      </c>
      <c r="G5594" t="s">
        <v>43</v>
      </c>
      <c r="H5594" t="s">
        <v>43</v>
      </c>
      <c r="I5594" t="s">
        <v>43</v>
      </c>
      <c r="J5594" t="s">
        <v>43</v>
      </c>
      <c r="K5594" t="s">
        <v>43</v>
      </c>
      <c r="L5594" t="s">
        <v>43</v>
      </c>
      <c r="M5594" t="s">
        <v>43</v>
      </c>
      <c r="N5594" t="s">
        <v>45</v>
      </c>
      <c r="O5594" t="s">
        <v>43</v>
      </c>
      <c r="P5594" t="s">
        <v>43</v>
      </c>
      <c r="Q5594" t="s">
        <v>43</v>
      </c>
      <c r="R5594" t="s">
        <v>43</v>
      </c>
      <c r="S5594" t="s">
        <v>43</v>
      </c>
      <c r="T5594" t="s">
        <v>43</v>
      </c>
      <c r="U5594" t="s">
        <v>43</v>
      </c>
      <c r="V5594" t="s">
        <v>43</v>
      </c>
      <c r="W5594" t="s">
        <v>43</v>
      </c>
      <c r="X5594" t="s">
        <v>43</v>
      </c>
      <c r="Y5594" t="s">
        <v>43</v>
      </c>
      <c r="Z5594" t="s">
        <v>43</v>
      </c>
      <c r="AA5594" t="s">
        <v>43</v>
      </c>
      <c r="AB5594" t="s">
        <v>43</v>
      </c>
      <c r="AC5594" t="s">
        <v>43</v>
      </c>
      <c r="AD5594" t="s">
        <v>43</v>
      </c>
      <c r="AE5594" t="s">
        <v>43</v>
      </c>
      <c r="AF5594" t="s">
        <v>43</v>
      </c>
      <c r="AG5594" t="s">
        <v>43</v>
      </c>
      <c r="AH5594" t="s">
        <v>43</v>
      </c>
      <c r="AI5594" t="s">
        <v>43</v>
      </c>
      <c r="AJ5594" t="s">
        <v>43</v>
      </c>
      <c r="AK5594" t="s">
        <v>43</v>
      </c>
      <c r="AL5594" t="s">
        <v>43</v>
      </c>
      <c r="AM5594" t="s">
        <v>43</v>
      </c>
      <c r="AN5594" t="s">
        <v>43</v>
      </c>
    </row>
    <row r="5595" spans="1:40" x14ac:dyDescent="0.3">
      <c r="A5595" s="1">
        <v>46210.351736111108</v>
      </c>
      <c r="B5595" t="s">
        <v>40</v>
      </c>
      <c r="C5595" t="s">
        <v>41</v>
      </c>
      <c r="D5595" s="1">
        <v>46210.354548611111</v>
      </c>
      <c r="E5595" t="s">
        <v>42</v>
      </c>
      <c r="F5595" t="s">
        <v>43</v>
      </c>
      <c r="G5595" t="s">
        <v>43</v>
      </c>
      <c r="H5595" t="s">
        <v>43</v>
      </c>
      <c r="I5595" t="s">
        <v>3179</v>
      </c>
      <c r="J5595" t="s">
        <v>43</v>
      </c>
      <c r="K5595" t="s">
        <v>43</v>
      </c>
      <c r="L5595" t="s">
        <v>43</v>
      </c>
      <c r="M5595" t="s">
        <v>43</v>
      </c>
      <c r="N5595" t="s">
        <v>45</v>
      </c>
      <c r="O5595" t="s">
        <v>43</v>
      </c>
      <c r="P5595" t="s">
        <v>43</v>
      </c>
      <c r="Q5595" t="s">
        <v>43</v>
      </c>
      <c r="R5595" t="s">
        <v>43</v>
      </c>
      <c r="S5595" t="s">
        <v>43</v>
      </c>
      <c r="T5595" t="s">
        <v>43</v>
      </c>
      <c r="U5595" t="s">
        <v>43</v>
      </c>
      <c r="V5595" t="s">
        <v>43</v>
      </c>
      <c r="W5595" t="s">
        <v>43</v>
      </c>
      <c r="X5595" t="s">
        <v>43</v>
      </c>
      <c r="Y5595" t="s">
        <v>43</v>
      </c>
      <c r="Z5595" t="s">
        <v>43</v>
      </c>
      <c r="AA5595" t="s">
        <v>43</v>
      </c>
      <c r="AB5595" t="s">
        <v>43</v>
      </c>
      <c r="AC5595" t="s">
        <v>43</v>
      </c>
      <c r="AD5595" t="s">
        <v>43</v>
      </c>
      <c r="AE5595" t="s">
        <v>43</v>
      </c>
      <c r="AF5595" t="s">
        <v>43</v>
      </c>
      <c r="AG5595" t="s">
        <v>43</v>
      </c>
      <c r="AH5595" t="s">
        <v>43</v>
      </c>
      <c r="AI5595" t="s">
        <v>43</v>
      </c>
      <c r="AJ5595" t="s">
        <v>43</v>
      </c>
      <c r="AK5595" t="s">
        <v>43</v>
      </c>
      <c r="AL5595" t="s">
        <v>43</v>
      </c>
      <c r="AM5595" t="s">
        <v>43</v>
      </c>
      <c r="AN5595" t="str">
        <f>HYPERLINK("https://www.google.com/maps?q=10.83315659,79.8457489","Open Location")</f>
        <v>Open Location</v>
      </c>
    </row>
    <row r="5596" spans="1:40" x14ac:dyDescent="0.3">
      <c r="A5596" s="1">
        <v>46210.351620370369</v>
      </c>
      <c r="B5596" t="s">
        <v>40</v>
      </c>
      <c r="C5596" t="s">
        <v>41</v>
      </c>
      <c r="D5596" s="1">
        <v>46210.354722222219</v>
      </c>
      <c r="E5596" t="s">
        <v>42</v>
      </c>
      <c r="F5596" t="s">
        <v>43</v>
      </c>
      <c r="G5596" t="s">
        <v>43</v>
      </c>
      <c r="H5596" t="s">
        <v>43</v>
      </c>
      <c r="I5596" t="s">
        <v>3176</v>
      </c>
      <c r="J5596" t="s">
        <v>43</v>
      </c>
      <c r="K5596" t="s">
        <v>43</v>
      </c>
      <c r="L5596" t="s">
        <v>43</v>
      </c>
      <c r="M5596" t="s">
        <v>43</v>
      </c>
      <c r="N5596" t="s">
        <v>45</v>
      </c>
      <c r="O5596" t="s">
        <v>43</v>
      </c>
      <c r="P5596" t="s">
        <v>43</v>
      </c>
      <c r="Q5596" t="s">
        <v>43</v>
      </c>
      <c r="R5596" t="s">
        <v>43</v>
      </c>
      <c r="S5596" t="s">
        <v>43</v>
      </c>
      <c r="T5596" t="s">
        <v>43</v>
      </c>
      <c r="U5596" t="s">
        <v>43</v>
      </c>
      <c r="V5596" t="s">
        <v>43</v>
      </c>
      <c r="W5596" t="s">
        <v>43</v>
      </c>
      <c r="X5596" t="s">
        <v>43</v>
      </c>
      <c r="Y5596" t="s">
        <v>43</v>
      </c>
      <c r="Z5596" t="s">
        <v>43</v>
      </c>
      <c r="AA5596" t="s">
        <v>43</v>
      </c>
      <c r="AB5596" t="s">
        <v>43</v>
      </c>
      <c r="AC5596" t="s">
        <v>43</v>
      </c>
      <c r="AD5596" t="s">
        <v>43</v>
      </c>
      <c r="AE5596" t="s">
        <v>43</v>
      </c>
      <c r="AF5596" t="s">
        <v>43</v>
      </c>
      <c r="AG5596" t="s">
        <v>43</v>
      </c>
      <c r="AH5596" t="s">
        <v>43</v>
      </c>
      <c r="AI5596" t="s">
        <v>43</v>
      </c>
      <c r="AJ5596" t="s">
        <v>43</v>
      </c>
      <c r="AK5596" t="s">
        <v>43</v>
      </c>
      <c r="AL5596" t="s">
        <v>43</v>
      </c>
      <c r="AM5596" t="s">
        <v>43</v>
      </c>
      <c r="AN5596" t="str">
        <f>HYPERLINK("https://www.google.com/maps?q=10.83315468,79.8457489","Open Location")</f>
        <v>Open Location</v>
      </c>
    </row>
    <row r="5597" spans="1:40" x14ac:dyDescent="0.3">
      <c r="A5597" s="1">
        <v>46210.351504629631</v>
      </c>
      <c r="B5597" t="s">
        <v>40</v>
      </c>
      <c r="C5597" t="s">
        <v>41</v>
      </c>
      <c r="D5597" s="1">
        <v>46210.354398148149</v>
      </c>
      <c r="E5597" t="s">
        <v>42</v>
      </c>
      <c r="F5597" t="s">
        <v>43</v>
      </c>
      <c r="G5597" t="s">
        <v>43</v>
      </c>
      <c r="H5597" t="s">
        <v>43</v>
      </c>
      <c r="I5597" t="s">
        <v>3173</v>
      </c>
      <c r="J5597" t="s">
        <v>43</v>
      </c>
      <c r="K5597" t="s">
        <v>43</v>
      </c>
      <c r="L5597" t="s">
        <v>43</v>
      </c>
      <c r="M5597" t="s">
        <v>43</v>
      </c>
      <c r="N5597" t="s">
        <v>45</v>
      </c>
      <c r="O5597" t="s">
        <v>43</v>
      </c>
      <c r="P5597" t="s">
        <v>43</v>
      </c>
      <c r="Q5597" t="s">
        <v>43</v>
      </c>
      <c r="R5597" t="s">
        <v>43</v>
      </c>
      <c r="S5597" t="s">
        <v>43</v>
      </c>
      <c r="T5597" t="s">
        <v>43</v>
      </c>
      <c r="U5597" t="s">
        <v>43</v>
      </c>
      <c r="V5597" t="s">
        <v>43</v>
      </c>
      <c r="W5597" t="s">
        <v>43</v>
      </c>
      <c r="X5597" t="s">
        <v>43</v>
      </c>
      <c r="Y5597" t="s">
        <v>43</v>
      </c>
      <c r="Z5597" t="s">
        <v>43</v>
      </c>
      <c r="AA5597" t="s">
        <v>43</v>
      </c>
      <c r="AB5597" t="s">
        <v>43</v>
      </c>
      <c r="AC5597" t="s">
        <v>43</v>
      </c>
      <c r="AD5597" t="s">
        <v>43</v>
      </c>
      <c r="AE5597" t="s">
        <v>43</v>
      </c>
      <c r="AF5597" t="s">
        <v>43</v>
      </c>
      <c r="AG5597" t="s">
        <v>43</v>
      </c>
      <c r="AH5597" t="s">
        <v>43</v>
      </c>
      <c r="AI5597" t="s">
        <v>43</v>
      </c>
      <c r="AJ5597" t="s">
        <v>43</v>
      </c>
      <c r="AK5597" t="s">
        <v>43</v>
      </c>
      <c r="AL5597" t="s">
        <v>43</v>
      </c>
      <c r="AM5597" t="s">
        <v>43</v>
      </c>
      <c r="AN5597" t="str">
        <f>HYPERLINK("https://www.google.com/maps?q=10.83315372,79.8457489","Open Location")</f>
        <v>Open Location</v>
      </c>
    </row>
    <row r="5598" spans="1:40" x14ac:dyDescent="0.3">
      <c r="A5598" s="1">
        <v>46210.351388888892</v>
      </c>
      <c r="B5598" t="s">
        <v>40</v>
      </c>
      <c r="C5598" t="s">
        <v>41</v>
      </c>
      <c r="D5598" s="1">
        <v>46210.354594907411</v>
      </c>
      <c r="E5598" t="s">
        <v>42</v>
      </c>
      <c r="F5598" t="s">
        <v>43</v>
      </c>
      <c r="G5598" t="s">
        <v>43</v>
      </c>
      <c r="H5598" t="s">
        <v>43</v>
      </c>
      <c r="I5598" t="s">
        <v>3180</v>
      </c>
      <c r="J5598" t="s">
        <v>43</v>
      </c>
      <c r="K5598" t="s">
        <v>43</v>
      </c>
      <c r="L5598" t="s">
        <v>43</v>
      </c>
      <c r="M5598" t="s">
        <v>43</v>
      </c>
      <c r="N5598" t="s">
        <v>45</v>
      </c>
      <c r="O5598" t="s">
        <v>43</v>
      </c>
      <c r="P5598" t="s">
        <v>43</v>
      </c>
      <c r="Q5598" t="s">
        <v>43</v>
      </c>
      <c r="R5598" t="s">
        <v>43</v>
      </c>
      <c r="S5598" t="s">
        <v>43</v>
      </c>
      <c r="T5598" t="s">
        <v>43</v>
      </c>
      <c r="U5598" t="s">
        <v>43</v>
      </c>
      <c r="V5598" t="s">
        <v>43</v>
      </c>
      <c r="W5598" t="s">
        <v>43</v>
      </c>
      <c r="X5598" t="s">
        <v>43</v>
      </c>
      <c r="Y5598" t="s">
        <v>43</v>
      </c>
      <c r="Z5598" t="s">
        <v>43</v>
      </c>
      <c r="AA5598" t="s">
        <v>43</v>
      </c>
      <c r="AB5598" t="s">
        <v>43</v>
      </c>
      <c r="AC5598" t="s">
        <v>43</v>
      </c>
      <c r="AD5598" t="s">
        <v>43</v>
      </c>
      <c r="AE5598" t="s">
        <v>43</v>
      </c>
      <c r="AF5598" t="s">
        <v>43</v>
      </c>
      <c r="AG5598" t="s">
        <v>43</v>
      </c>
      <c r="AH5598" t="s">
        <v>43</v>
      </c>
      <c r="AI5598" t="s">
        <v>43</v>
      </c>
      <c r="AJ5598" t="s">
        <v>43</v>
      </c>
      <c r="AK5598" t="s">
        <v>43</v>
      </c>
      <c r="AL5598" t="s">
        <v>43</v>
      </c>
      <c r="AM5598" t="s">
        <v>43</v>
      </c>
      <c r="AN5598" t="str">
        <f>HYPERLINK("https://www.google.com/maps?q=10.83315182,79.8457489","Open Location")</f>
        <v>Open Location</v>
      </c>
    </row>
    <row r="5599" spans="1:40" x14ac:dyDescent="0.3">
      <c r="A5599" s="1">
        <v>46210.351273148146</v>
      </c>
      <c r="B5599" t="s">
        <v>40</v>
      </c>
      <c r="C5599" t="s">
        <v>41</v>
      </c>
      <c r="D5599" s="1">
        <v>46210.354155092595</v>
      </c>
      <c r="E5599" t="s">
        <v>42</v>
      </c>
      <c r="F5599" t="s">
        <v>43</v>
      </c>
      <c r="G5599" t="s">
        <v>43</v>
      </c>
      <c r="H5599" t="s">
        <v>43</v>
      </c>
      <c r="I5599" t="s">
        <v>3179</v>
      </c>
      <c r="J5599" t="s">
        <v>43</v>
      </c>
      <c r="K5599" t="s">
        <v>43</v>
      </c>
      <c r="L5599" t="s">
        <v>43</v>
      </c>
      <c r="M5599" t="s">
        <v>43</v>
      </c>
      <c r="N5599" t="s">
        <v>45</v>
      </c>
      <c r="O5599" t="s">
        <v>43</v>
      </c>
      <c r="P5599" t="s">
        <v>43</v>
      </c>
      <c r="Q5599" t="s">
        <v>43</v>
      </c>
      <c r="R5599" t="s">
        <v>43</v>
      </c>
      <c r="S5599" t="s">
        <v>43</v>
      </c>
      <c r="T5599" t="s">
        <v>43</v>
      </c>
      <c r="U5599" t="s">
        <v>43</v>
      </c>
      <c r="V5599" t="s">
        <v>43</v>
      </c>
      <c r="W5599" t="s">
        <v>43</v>
      </c>
      <c r="X5599" t="s">
        <v>43</v>
      </c>
      <c r="Y5599" t="s">
        <v>43</v>
      </c>
      <c r="Z5599" t="s">
        <v>43</v>
      </c>
      <c r="AA5599" t="s">
        <v>43</v>
      </c>
      <c r="AB5599" t="s">
        <v>43</v>
      </c>
      <c r="AC5599" t="s">
        <v>43</v>
      </c>
      <c r="AD5599" t="s">
        <v>43</v>
      </c>
      <c r="AE5599" t="s">
        <v>43</v>
      </c>
      <c r="AF5599" t="s">
        <v>43</v>
      </c>
      <c r="AG5599" t="s">
        <v>43</v>
      </c>
      <c r="AH5599" t="s">
        <v>43</v>
      </c>
      <c r="AI5599" t="s">
        <v>43</v>
      </c>
      <c r="AJ5599" t="s">
        <v>43</v>
      </c>
      <c r="AK5599" t="s">
        <v>43</v>
      </c>
      <c r="AL5599" t="s">
        <v>43</v>
      </c>
      <c r="AM5599" t="s">
        <v>43</v>
      </c>
      <c r="AN5599" t="str">
        <f>HYPERLINK("https://www.google.com/maps?q=10.83315659,79.8457489","Open Location")</f>
        <v>Open Location</v>
      </c>
    </row>
    <row r="5600" spans="1:40" x14ac:dyDescent="0.3">
      <c r="A5600" s="1">
        <v>46210.351157407407</v>
      </c>
      <c r="B5600" t="s">
        <v>40</v>
      </c>
      <c r="C5600" t="s">
        <v>41</v>
      </c>
      <c r="D5600" s="1">
        <v>46210.354178240741</v>
      </c>
      <c r="E5600" t="s">
        <v>42</v>
      </c>
      <c r="F5600" t="s">
        <v>43</v>
      </c>
      <c r="G5600" t="s">
        <v>43</v>
      </c>
      <c r="H5600" t="s">
        <v>43</v>
      </c>
      <c r="I5600" t="s">
        <v>43</v>
      </c>
      <c r="J5600" t="s">
        <v>43</v>
      </c>
      <c r="K5600" t="s">
        <v>43</v>
      </c>
      <c r="L5600" t="s">
        <v>43</v>
      </c>
      <c r="M5600" t="s">
        <v>43</v>
      </c>
      <c r="N5600" t="s">
        <v>45</v>
      </c>
      <c r="O5600" t="s">
        <v>43</v>
      </c>
      <c r="P5600" t="s">
        <v>43</v>
      </c>
      <c r="Q5600" t="s">
        <v>43</v>
      </c>
      <c r="R5600" t="s">
        <v>43</v>
      </c>
      <c r="S5600" t="s">
        <v>43</v>
      </c>
      <c r="T5600" t="s">
        <v>43</v>
      </c>
      <c r="U5600" t="s">
        <v>43</v>
      </c>
      <c r="V5600" t="s">
        <v>43</v>
      </c>
      <c r="W5600" t="s">
        <v>43</v>
      </c>
      <c r="X5600" t="s">
        <v>43</v>
      </c>
      <c r="Y5600" t="s">
        <v>43</v>
      </c>
      <c r="Z5600" t="s">
        <v>43</v>
      </c>
      <c r="AA5600" t="s">
        <v>43</v>
      </c>
      <c r="AB5600" t="s">
        <v>43</v>
      </c>
      <c r="AC5600" t="s">
        <v>43</v>
      </c>
      <c r="AD5600" t="s">
        <v>43</v>
      </c>
      <c r="AE5600" t="s">
        <v>43</v>
      </c>
      <c r="AF5600" t="s">
        <v>43</v>
      </c>
      <c r="AG5600" t="s">
        <v>43</v>
      </c>
      <c r="AH5600" t="s">
        <v>43</v>
      </c>
      <c r="AI5600" t="s">
        <v>43</v>
      </c>
      <c r="AJ5600" t="s">
        <v>43</v>
      </c>
      <c r="AK5600" t="s">
        <v>43</v>
      </c>
      <c r="AL5600" t="s">
        <v>43</v>
      </c>
      <c r="AM5600" t="s">
        <v>43</v>
      </c>
      <c r="AN5600" t="s">
        <v>43</v>
      </c>
    </row>
    <row r="5601" spans="1:40" x14ac:dyDescent="0.3">
      <c r="A5601" s="1">
        <v>46210.351041666669</v>
      </c>
      <c r="B5601" t="s">
        <v>40</v>
      </c>
      <c r="C5601" t="s">
        <v>41</v>
      </c>
      <c r="D5601" s="1">
        <v>46210.354155092595</v>
      </c>
      <c r="E5601" t="s">
        <v>42</v>
      </c>
      <c r="F5601" t="s">
        <v>43</v>
      </c>
      <c r="G5601" t="s">
        <v>43</v>
      </c>
      <c r="H5601" t="s">
        <v>43</v>
      </c>
      <c r="I5601" t="s">
        <v>3181</v>
      </c>
      <c r="J5601" t="s">
        <v>43</v>
      </c>
      <c r="K5601" t="s">
        <v>43</v>
      </c>
      <c r="L5601" t="s">
        <v>43</v>
      </c>
      <c r="M5601" t="s">
        <v>43</v>
      </c>
      <c r="N5601" t="s">
        <v>45</v>
      </c>
      <c r="O5601" t="s">
        <v>43</v>
      </c>
      <c r="P5601" t="s">
        <v>43</v>
      </c>
      <c r="Q5601" t="s">
        <v>43</v>
      </c>
      <c r="R5601" t="s">
        <v>43</v>
      </c>
      <c r="S5601" t="s">
        <v>43</v>
      </c>
      <c r="T5601" t="s">
        <v>43</v>
      </c>
      <c r="U5601" t="s">
        <v>43</v>
      </c>
      <c r="V5601" t="s">
        <v>43</v>
      </c>
      <c r="W5601" t="s">
        <v>43</v>
      </c>
      <c r="X5601" t="s">
        <v>43</v>
      </c>
      <c r="Y5601" t="s">
        <v>43</v>
      </c>
      <c r="Z5601" t="s">
        <v>43</v>
      </c>
      <c r="AA5601" t="s">
        <v>43</v>
      </c>
      <c r="AB5601" t="s">
        <v>43</v>
      </c>
      <c r="AC5601" t="s">
        <v>43</v>
      </c>
      <c r="AD5601" t="s">
        <v>43</v>
      </c>
      <c r="AE5601" t="s">
        <v>43</v>
      </c>
      <c r="AF5601" t="s">
        <v>43</v>
      </c>
      <c r="AG5601" t="s">
        <v>43</v>
      </c>
      <c r="AH5601" t="s">
        <v>43</v>
      </c>
      <c r="AI5601" t="s">
        <v>43</v>
      </c>
      <c r="AJ5601" t="s">
        <v>43</v>
      </c>
      <c r="AK5601" t="s">
        <v>43</v>
      </c>
      <c r="AL5601" t="s">
        <v>43</v>
      </c>
      <c r="AM5601" t="s">
        <v>43</v>
      </c>
      <c r="AN5601" t="str">
        <f>HYPERLINK("https://www.google.com/maps?q=10.83315945,79.84575653","Open Location")</f>
        <v>Open Location</v>
      </c>
    </row>
    <row r="5602" spans="1:40" x14ac:dyDescent="0.3">
      <c r="A5602" s="1">
        <v>46210.350925925923</v>
      </c>
      <c r="B5602" t="s">
        <v>40</v>
      </c>
      <c r="C5602" t="s">
        <v>41</v>
      </c>
      <c r="D5602" s="1">
        <v>46210.353912037041</v>
      </c>
      <c r="E5602" t="s">
        <v>42</v>
      </c>
      <c r="F5602" t="s">
        <v>43</v>
      </c>
      <c r="G5602" t="s">
        <v>43</v>
      </c>
      <c r="H5602" t="s">
        <v>43</v>
      </c>
      <c r="I5602" t="s">
        <v>3182</v>
      </c>
      <c r="J5602" t="s">
        <v>43</v>
      </c>
      <c r="K5602" t="s">
        <v>43</v>
      </c>
      <c r="L5602" t="s">
        <v>43</v>
      </c>
      <c r="M5602" t="s">
        <v>43</v>
      </c>
      <c r="N5602" t="s">
        <v>45</v>
      </c>
      <c r="O5602" t="s">
        <v>43</v>
      </c>
      <c r="P5602" t="s">
        <v>43</v>
      </c>
      <c r="Q5602" t="s">
        <v>43</v>
      </c>
      <c r="R5602" t="s">
        <v>43</v>
      </c>
      <c r="S5602" t="s">
        <v>43</v>
      </c>
      <c r="T5602" t="s">
        <v>43</v>
      </c>
      <c r="U5602" t="s">
        <v>43</v>
      </c>
      <c r="V5602" t="s">
        <v>43</v>
      </c>
      <c r="W5602" t="s">
        <v>43</v>
      </c>
      <c r="X5602" t="s">
        <v>43</v>
      </c>
      <c r="Y5602" t="s">
        <v>43</v>
      </c>
      <c r="Z5602" t="s">
        <v>43</v>
      </c>
      <c r="AA5602" t="s">
        <v>43</v>
      </c>
      <c r="AB5602" t="s">
        <v>43</v>
      </c>
      <c r="AC5602" t="s">
        <v>43</v>
      </c>
      <c r="AD5602" t="s">
        <v>43</v>
      </c>
      <c r="AE5602" t="s">
        <v>43</v>
      </c>
      <c r="AF5602" t="s">
        <v>43</v>
      </c>
      <c r="AG5602" t="s">
        <v>43</v>
      </c>
      <c r="AH5602" t="s">
        <v>43</v>
      </c>
      <c r="AI5602" t="s">
        <v>43</v>
      </c>
      <c r="AJ5602" t="s">
        <v>43</v>
      </c>
      <c r="AK5602" t="s">
        <v>43</v>
      </c>
      <c r="AL5602" t="s">
        <v>43</v>
      </c>
      <c r="AM5602" t="s">
        <v>43</v>
      </c>
      <c r="AN5602" t="str">
        <f>HYPERLINK("https://www.google.com/maps?q=10.83316231,79.8457489","Open Location")</f>
        <v>Open Location</v>
      </c>
    </row>
    <row r="5603" spans="1:40" x14ac:dyDescent="0.3">
      <c r="A5603" s="1">
        <v>46210.350810185184</v>
      </c>
      <c r="B5603" t="s">
        <v>40</v>
      </c>
      <c r="C5603" t="s">
        <v>41</v>
      </c>
      <c r="D5603" s="1">
        <v>46210.353796296295</v>
      </c>
      <c r="E5603" t="s">
        <v>42</v>
      </c>
      <c r="F5603" t="s">
        <v>43</v>
      </c>
      <c r="G5603" t="s">
        <v>43</v>
      </c>
      <c r="H5603" t="s">
        <v>43</v>
      </c>
      <c r="I5603" t="s">
        <v>3183</v>
      </c>
      <c r="J5603" t="s">
        <v>43</v>
      </c>
      <c r="K5603" t="s">
        <v>43</v>
      </c>
      <c r="L5603" t="s">
        <v>43</v>
      </c>
      <c r="M5603" t="s">
        <v>43</v>
      </c>
      <c r="N5603" t="s">
        <v>45</v>
      </c>
      <c r="O5603" t="s">
        <v>43</v>
      </c>
      <c r="P5603" t="s">
        <v>43</v>
      </c>
      <c r="Q5603" t="s">
        <v>43</v>
      </c>
      <c r="R5603" t="s">
        <v>43</v>
      </c>
      <c r="S5603" t="s">
        <v>43</v>
      </c>
      <c r="T5603" t="s">
        <v>43</v>
      </c>
      <c r="U5603" t="s">
        <v>43</v>
      </c>
      <c r="V5603" t="s">
        <v>43</v>
      </c>
      <c r="W5603" t="s">
        <v>43</v>
      </c>
      <c r="X5603" t="s">
        <v>43</v>
      </c>
      <c r="Y5603" t="s">
        <v>43</v>
      </c>
      <c r="Z5603" t="s">
        <v>43</v>
      </c>
      <c r="AA5603" t="s">
        <v>43</v>
      </c>
      <c r="AB5603" t="s">
        <v>43</v>
      </c>
      <c r="AC5603" t="s">
        <v>43</v>
      </c>
      <c r="AD5603" t="s">
        <v>43</v>
      </c>
      <c r="AE5603" t="s">
        <v>43</v>
      </c>
      <c r="AF5603" t="s">
        <v>43</v>
      </c>
      <c r="AG5603" t="s">
        <v>43</v>
      </c>
      <c r="AH5603" t="s">
        <v>43</v>
      </c>
      <c r="AI5603" t="s">
        <v>43</v>
      </c>
      <c r="AJ5603" t="s">
        <v>43</v>
      </c>
      <c r="AK5603" t="s">
        <v>43</v>
      </c>
      <c r="AL5603" t="s">
        <v>43</v>
      </c>
      <c r="AM5603" t="s">
        <v>43</v>
      </c>
      <c r="AN5603" t="str">
        <f>HYPERLINK("https://www.google.com/maps?q=10.83316326,79.8457489","Open Location")</f>
        <v>Open Location</v>
      </c>
    </row>
    <row r="5604" spans="1:40" x14ac:dyDescent="0.3">
      <c r="A5604" s="1">
        <v>46210.350694444445</v>
      </c>
      <c r="B5604" t="s">
        <v>40</v>
      </c>
      <c r="C5604" t="s">
        <v>41</v>
      </c>
      <c r="D5604" s="1">
        <v>46210.353634259256</v>
      </c>
      <c r="E5604" t="s">
        <v>42</v>
      </c>
      <c r="F5604" t="s">
        <v>43</v>
      </c>
      <c r="G5604" t="s">
        <v>43</v>
      </c>
      <c r="H5604" t="s">
        <v>43</v>
      </c>
      <c r="I5604" t="s">
        <v>3183</v>
      </c>
      <c r="J5604" t="s">
        <v>43</v>
      </c>
      <c r="K5604" t="s">
        <v>43</v>
      </c>
      <c r="L5604" t="s">
        <v>43</v>
      </c>
      <c r="M5604" t="s">
        <v>43</v>
      </c>
      <c r="N5604" t="s">
        <v>45</v>
      </c>
      <c r="O5604" t="s">
        <v>43</v>
      </c>
      <c r="P5604" t="s">
        <v>43</v>
      </c>
      <c r="Q5604" t="s">
        <v>43</v>
      </c>
      <c r="R5604" t="s">
        <v>43</v>
      </c>
      <c r="S5604" t="s">
        <v>43</v>
      </c>
      <c r="T5604" t="s">
        <v>43</v>
      </c>
      <c r="U5604" t="s">
        <v>43</v>
      </c>
      <c r="V5604" t="s">
        <v>43</v>
      </c>
      <c r="W5604" t="s">
        <v>43</v>
      </c>
      <c r="X5604" t="s">
        <v>43</v>
      </c>
      <c r="Y5604" t="s">
        <v>43</v>
      </c>
      <c r="Z5604" t="s">
        <v>43</v>
      </c>
      <c r="AA5604" t="s">
        <v>43</v>
      </c>
      <c r="AB5604" t="s">
        <v>43</v>
      </c>
      <c r="AC5604" t="s">
        <v>43</v>
      </c>
      <c r="AD5604" t="s">
        <v>43</v>
      </c>
      <c r="AE5604" t="s">
        <v>43</v>
      </c>
      <c r="AF5604" t="s">
        <v>43</v>
      </c>
      <c r="AG5604" t="s">
        <v>43</v>
      </c>
      <c r="AH5604" t="s">
        <v>43</v>
      </c>
      <c r="AI5604" t="s">
        <v>43</v>
      </c>
      <c r="AJ5604" t="s">
        <v>43</v>
      </c>
      <c r="AK5604" t="s">
        <v>43</v>
      </c>
      <c r="AL5604" t="s">
        <v>43</v>
      </c>
      <c r="AM5604" t="s">
        <v>43</v>
      </c>
      <c r="AN5604" t="str">
        <f>HYPERLINK("https://www.google.com/maps?q=10.83316326,79.8457489","Open Location")</f>
        <v>Open Location</v>
      </c>
    </row>
    <row r="5605" spans="1:40" x14ac:dyDescent="0.3">
      <c r="A5605" s="1">
        <v>46210.350578703707</v>
      </c>
      <c r="B5605" t="s">
        <v>40</v>
      </c>
      <c r="C5605" t="s">
        <v>41</v>
      </c>
      <c r="D5605" s="1">
        <v>46210.353263888886</v>
      </c>
      <c r="E5605" t="s">
        <v>42</v>
      </c>
      <c r="F5605" t="s">
        <v>43</v>
      </c>
      <c r="G5605" t="s">
        <v>43</v>
      </c>
      <c r="H5605" t="s">
        <v>43</v>
      </c>
      <c r="I5605" t="s">
        <v>43</v>
      </c>
      <c r="J5605" t="s">
        <v>43</v>
      </c>
      <c r="K5605" t="s">
        <v>43</v>
      </c>
      <c r="L5605" t="s">
        <v>43</v>
      </c>
      <c r="M5605" t="s">
        <v>43</v>
      </c>
      <c r="N5605" t="s">
        <v>45</v>
      </c>
      <c r="O5605" t="s">
        <v>43</v>
      </c>
      <c r="P5605" t="s">
        <v>43</v>
      </c>
      <c r="Q5605" t="s">
        <v>43</v>
      </c>
      <c r="R5605" t="s">
        <v>43</v>
      </c>
      <c r="S5605" t="s">
        <v>43</v>
      </c>
      <c r="T5605" t="s">
        <v>43</v>
      </c>
      <c r="U5605" t="s">
        <v>43</v>
      </c>
      <c r="V5605" t="s">
        <v>43</v>
      </c>
      <c r="W5605" t="s">
        <v>43</v>
      </c>
      <c r="X5605" t="s">
        <v>43</v>
      </c>
      <c r="Y5605" t="s">
        <v>43</v>
      </c>
      <c r="Z5605" t="s">
        <v>43</v>
      </c>
      <c r="AA5605" t="s">
        <v>43</v>
      </c>
      <c r="AB5605" t="s">
        <v>43</v>
      </c>
      <c r="AC5605" t="s">
        <v>43</v>
      </c>
      <c r="AD5605" t="s">
        <v>43</v>
      </c>
      <c r="AE5605" t="s">
        <v>43</v>
      </c>
      <c r="AF5605" t="s">
        <v>43</v>
      </c>
      <c r="AG5605" t="s">
        <v>43</v>
      </c>
      <c r="AH5605" t="s">
        <v>43</v>
      </c>
      <c r="AI5605" t="s">
        <v>43</v>
      </c>
      <c r="AJ5605" t="s">
        <v>43</v>
      </c>
      <c r="AK5605" t="s">
        <v>43</v>
      </c>
      <c r="AL5605" t="s">
        <v>43</v>
      </c>
      <c r="AM5605" t="s">
        <v>43</v>
      </c>
      <c r="AN5605" t="s">
        <v>43</v>
      </c>
    </row>
    <row r="5606" spans="1:40" x14ac:dyDescent="0.3">
      <c r="A5606" s="1">
        <v>46210.350462962961</v>
      </c>
      <c r="B5606" t="s">
        <v>40</v>
      </c>
      <c r="C5606" t="s">
        <v>41</v>
      </c>
      <c r="D5606" s="1">
        <v>46210.353449074071</v>
      </c>
      <c r="E5606" t="s">
        <v>42</v>
      </c>
      <c r="F5606" t="s">
        <v>43</v>
      </c>
      <c r="G5606" t="s">
        <v>43</v>
      </c>
      <c r="H5606" t="s">
        <v>43</v>
      </c>
      <c r="I5606" t="s">
        <v>3184</v>
      </c>
      <c r="J5606" t="s">
        <v>43</v>
      </c>
      <c r="K5606" t="s">
        <v>43</v>
      </c>
      <c r="L5606" t="s">
        <v>43</v>
      </c>
      <c r="M5606" t="s">
        <v>43</v>
      </c>
      <c r="N5606" t="s">
        <v>45</v>
      </c>
      <c r="O5606" t="s">
        <v>43</v>
      </c>
      <c r="P5606" t="s">
        <v>43</v>
      </c>
      <c r="Q5606" t="s">
        <v>43</v>
      </c>
      <c r="R5606" t="s">
        <v>43</v>
      </c>
      <c r="S5606" t="s">
        <v>43</v>
      </c>
      <c r="T5606" t="s">
        <v>43</v>
      </c>
      <c r="U5606" t="s">
        <v>43</v>
      </c>
      <c r="V5606" t="s">
        <v>43</v>
      </c>
      <c r="W5606" t="s">
        <v>43</v>
      </c>
      <c r="X5606" t="s">
        <v>43</v>
      </c>
      <c r="Y5606" t="s">
        <v>43</v>
      </c>
      <c r="Z5606" t="s">
        <v>43</v>
      </c>
      <c r="AA5606" t="s">
        <v>43</v>
      </c>
      <c r="AB5606" t="s">
        <v>43</v>
      </c>
      <c r="AC5606" t="s">
        <v>43</v>
      </c>
      <c r="AD5606" t="s">
        <v>43</v>
      </c>
      <c r="AE5606" t="s">
        <v>43</v>
      </c>
      <c r="AF5606" t="s">
        <v>43</v>
      </c>
      <c r="AG5606" t="s">
        <v>43</v>
      </c>
      <c r="AH5606" t="s">
        <v>43</v>
      </c>
      <c r="AI5606" t="s">
        <v>43</v>
      </c>
      <c r="AJ5606" t="s">
        <v>43</v>
      </c>
      <c r="AK5606" t="s">
        <v>43</v>
      </c>
      <c r="AL5606" t="s">
        <v>43</v>
      </c>
      <c r="AM5606" t="s">
        <v>43</v>
      </c>
      <c r="AN5606" t="str">
        <f>HYPERLINK("https://www.google.com/maps?q=10.83316612,79.84575653","Open Location")</f>
        <v>Open Location</v>
      </c>
    </row>
    <row r="5607" spans="1:40" x14ac:dyDescent="0.3">
      <c r="A5607" s="1">
        <v>46210.350347222222</v>
      </c>
      <c r="B5607" t="s">
        <v>40</v>
      </c>
      <c r="C5607" t="s">
        <v>41</v>
      </c>
      <c r="D5607" s="1">
        <v>46210.353414351855</v>
      </c>
      <c r="E5607" t="s">
        <v>42</v>
      </c>
      <c r="F5607" t="s">
        <v>43</v>
      </c>
      <c r="G5607" t="s">
        <v>43</v>
      </c>
      <c r="H5607" t="s">
        <v>43</v>
      </c>
      <c r="I5607" t="s">
        <v>3185</v>
      </c>
      <c r="J5607" t="s">
        <v>43</v>
      </c>
      <c r="K5607" t="s">
        <v>43</v>
      </c>
      <c r="L5607" t="s">
        <v>43</v>
      </c>
      <c r="M5607" t="s">
        <v>43</v>
      </c>
      <c r="N5607" t="s">
        <v>45</v>
      </c>
      <c r="O5607" t="s">
        <v>43</v>
      </c>
      <c r="P5607" t="s">
        <v>43</v>
      </c>
      <c r="Q5607" t="s">
        <v>43</v>
      </c>
      <c r="R5607" t="s">
        <v>43</v>
      </c>
      <c r="S5607" t="s">
        <v>43</v>
      </c>
      <c r="T5607" t="s">
        <v>43</v>
      </c>
      <c r="U5607" t="s">
        <v>43</v>
      </c>
      <c r="V5607" t="s">
        <v>43</v>
      </c>
      <c r="W5607" t="s">
        <v>43</v>
      </c>
      <c r="X5607" t="s">
        <v>43</v>
      </c>
      <c r="Y5607" t="s">
        <v>43</v>
      </c>
      <c r="Z5607" t="s">
        <v>43</v>
      </c>
      <c r="AA5607" t="s">
        <v>43</v>
      </c>
      <c r="AB5607" t="s">
        <v>43</v>
      </c>
      <c r="AC5607" t="s">
        <v>43</v>
      </c>
      <c r="AD5607" t="s">
        <v>43</v>
      </c>
      <c r="AE5607" t="s">
        <v>43</v>
      </c>
      <c r="AF5607" t="s">
        <v>43</v>
      </c>
      <c r="AG5607" t="s">
        <v>43</v>
      </c>
      <c r="AH5607" t="s">
        <v>43</v>
      </c>
      <c r="AI5607" t="s">
        <v>43</v>
      </c>
      <c r="AJ5607" t="s">
        <v>43</v>
      </c>
      <c r="AK5607" t="s">
        <v>43</v>
      </c>
      <c r="AL5607" t="s">
        <v>43</v>
      </c>
      <c r="AM5607" t="s">
        <v>43</v>
      </c>
      <c r="AN5607" t="str">
        <f>HYPERLINK("https://www.google.com/maps?q=10.83317089,79.84575653","Open Location")</f>
        <v>Open Location</v>
      </c>
    </row>
    <row r="5608" spans="1:40" x14ac:dyDescent="0.3">
      <c r="A5608" s="1">
        <v>46210.350231481483</v>
      </c>
      <c r="B5608" t="s">
        <v>40</v>
      </c>
      <c r="C5608" t="s">
        <v>41</v>
      </c>
      <c r="D5608" s="1">
        <v>46210.353541666664</v>
      </c>
      <c r="E5608" t="s">
        <v>42</v>
      </c>
      <c r="F5608" t="s">
        <v>43</v>
      </c>
      <c r="G5608" t="s">
        <v>43</v>
      </c>
      <c r="H5608" t="s">
        <v>43</v>
      </c>
      <c r="I5608" t="s">
        <v>3186</v>
      </c>
      <c r="J5608" t="s">
        <v>43</v>
      </c>
      <c r="K5608" t="s">
        <v>43</v>
      </c>
      <c r="L5608" t="s">
        <v>43</v>
      </c>
      <c r="M5608" t="s">
        <v>43</v>
      </c>
      <c r="N5608" t="s">
        <v>45</v>
      </c>
      <c r="O5608" t="s">
        <v>43</v>
      </c>
      <c r="P5608" t="s">
        <v>43</v>
      </c>
      <c r="Q5608" t="s">
        <v>43</v>
      </c>
      <c r="R5608" t="s">
        <v>43</v>
      </c>
      <c r="S5608" t="s">
        <v>43</v>
      </c>
      <c r="T5608" t="s">
        <v>43</v>
      </c>
      <c r="U5608" t="s">
        <v>43</v>
      </c>
      <c r="V5608" t="s">
        <v>43</v>
      </c>
      <c r="W5608" t="s">
        <v>43</v>
      </c>
      <c r="X5608" t="s">
        <v>43</v>
      </c>
      <c r="Y5608" t="s">
        <v>43</v>
      </c>
      <c r="Z5608" t="s">
        <v>43</v>
      </c>
      <c r="AA5608" t="s">
        <v>43</v>
      </c>
      <c r="AB5608" t="s">
        <v>43</v>
      </c>
      <c r="AC5608" t="s">
        <v>43</v>
      </c>
      <c r="AD5608" t="s">
        <v>43</v>
      </c>
      <c r="AE5608" t="s">
        <v>43</v>
      </c>
      <c r="AF5608" t="s">
        <v>43</v>
      </c>
      <c r="AG5608" t="s">
        <v>43</v>
      </c>
      <c r="AH5608" t="s">
        <v>43</v>
      </c>
      <c r="AI5608" t="s">
        <v>43</v>
      </c>
      <c r="AJ5608" t="s">
        <v>43</v>
      </c>
      <c r="AK5608" t="s">
        <v>43</v>
      </c>
      <c r="AL5608" t="s">
        <v>43</v>
      </c>
      <c r="AM5608" t="s">
        <v>43</v>
      </c>
      <c r="AN5608" t="str">
        <f>HYPERLINK("https://www.google.com/maps?q=10.8331728,79.84575653","Open Location")</f>
        <v>Open Location</v>
      </c>
    </row>
    <row r="5609" spans="1:40" x14ac:dyDescent="0.3">
      <c r="A5609" s="1">
        <v>46210.350115740737</v>
      </c>
      <c r="B5609" t="s">
        <v>40</v>
      </c>
      <c r="C5609" t="s">
        <v>41</v>
      </c>
      <c r="D5609" s="1">
        <v>46210.352916666663</v>
      </c>
      <c r="E5609" t="s">
        <v>42</v>
      </c>
      <c r="F5609" t="s">
        <v>43</v>
      </c>
      <c r="G5609" t="s">
        <v>43</v>
      </c>
      <c r="H5609" t="s">
        <v>43</v>
      </c>
      <c r="I5609" t="s">
        <v>3187</v>
      </c>
      <c r="J5609" t="s">
        <v>43</v>
      </c>
      <c r="K5609" t="s">
        <v>43</v>
      </c>
      <c r="L5609" t="s">
        <v>43</v>
      </c>
      <c r="M5609" t="s">
        <v>43</v>
      </c>
      <c r="N5609" t="s">
        <v>45</v>
      </c>
      <c r="O5609" t="s">
        <v>43</v>
      </c>
      <c r="P5609" t="s">
        <v>43</v>
      </c>
      <c r="Q5609" t="s">
        <v>43</v>
      </c>
      <c r="R5609" t="s">
        <v>43</v>
      </c>
      <c r="S5609" t="s">
        <v>43</v>
      </c>
      <c r="T5609" t="s">
        <v>43</v>
      </c>
      <c r="U5609" t="s">
        <v>43</v>
      </c>
      <c r="V5609" t="s">
        <v>43</v>
      </c>
      <c r="W5609" t="s">
        <v>43</v>
      </c>
      <c r="X5609" t="s">
        <v>43</v>
      </c>
      <c r="Y5609" t="s">
        <v>43</v>
      </c>
      <c r="Z5609" t="s">
        <v>43</v>
      </c>
      <c r="AA5609" t="s">
        <v>43</v>
      </c>
      <c r="AB5609" t="s">
        <v>43</v>
      </c>
      <c r="AC5609" t="s">
        <v>43</v>
      </c>
      <c r="AD5609" t="s">
        <v>43</v>
      </c>
      <c r="AE5609" t="s">
        <v>43</v>
      </c>
      <c r="AF5609" t="s">
        <v>43</v>
      </c>
      <c r="AG5609" t="s">
        <v>43</v>
      </c>
      <c r="AH5609" t="s">
        <v>43</v>
      </c>
      <c r="AI5609" t="s">
        <v>43</v>
      </c>
      <c r="AJ5609" t="s">
        <v>43</v>
      </c>
      <c r="AK5609" t="s">
        <v>43</v>
      </c>
      <c r="AL5609" t="s">
        <v>43</v>
      </c>
      <c r="AM5609" t="s">
        <v>43</v>
      </c>
      <c r="AN5609" t="str">
        <f>HYPERLINK("https://www.google.com/maps?q=10.83317471,79.84575653","Open Location")</f>
        <v>Open Location</v>
      </c>
    </row>
    <row r="5610" spans="1:40" x14ac:dyDescent="0.3">
      <c r="A5610" s="1">
        <v>46210.35</v>
      </c>
      <c r="B5610" t="s">
        <v>40</v>
      </c>
      <c r="C5610" t="s">
        <v>41</v>
      </c>
      <c r="D5610" s="1">
        <v>46210.353206018517</v>
      </c>
      <c r="E5610" t="s">
        <v>42</v>
      </c>
      <c r="F5610" t="s">
        <v>43</v>
      </c>
      <c r="G5610" t="s">
        <v>43</v>
      </c>
      <c r="H5610" t="s">
        <v>43</v>
      </c>
      <c r="I5610" t="s">
        <v>3188</v>
      </c>
      <c r="J5610" t="s">
        <v>43</v>
      </c>
      <c r="K5610" t="s">
        <v>43</v>
      </c>
      <c r="L5610" t="s">
        <v>43</v>
      </c>
      <c r="M5610" t="s">
        <v>43</v>
      </c>
      <c r="N5610" t="s">
        <v>45</v>
      </c>
      <c r="O5610" t="s">
        <v>43</v>
      </c>
      <c r="P5610" t="s">
        <v>43</v>
      </c>
      <c r="Q5610" t="s">
        <v>43</v>
      </c>
      <c r="R5610" t="s">
        <v>43</v>
      </c>
      <c r="S5610" t="s">
        <v>43</v>
      </c>
      <c r="T5610" t="s">
        <v>43</v>
      </c>
      <c r="U5610" t="s">
        <v>43</v>
      </c>
      <c r="V5610" t="s">
        <v>43</v>
      </c>
      <c r="W5610" t="s">
        <v>43</v>
      </c>
      <c r="X5610" t="s">
        <v>43</v>
      </c>
      <c r="Y5610" t="s">
        <v>43</v>
      </c>
      <c r="Z5610" t="s">
        <v>43</v>
      </c>
      <c r="AA5610" t="s">
        <v>43</v>
      </c>
      <c r="AB5610" t="s">
        <v>43</v>
      </c>
      <c r="AC5610" t="s">
        <v>43</v>
      </c>
      <c r="AD5610" t="s">
        <v>43</v>
      </c>
      <c r="AE5610" t="s">
        <v>43</v>
      </c>
      <c r="AF5610" t="s">
        <v>43</v>
      </c>
      <c r="AG5610" t="s">
        <v>43</v>
      </c>
      <c r="AH5610" t="s">
        <v>43</v>
      </c>
      <c r="AI5610" t="s">
        <v>43</v>
      </c>
      <c r="AJ5610" t="s">
        <v>43</v>
      </c>
      <c r="AK5610" t="s">
        <v>43</v>
      </c>
      <c r="AL5610" t="s">
        <v>43</v>
      </c>
      <c r="AM5610" t="s">
        <v>43</v>
      </c>
      <c r="AN5610" t="str">
        <f>HYPERLINK("https://www.google.com/maps?q=10.83317471,79.84577179","Open Location")</f>
        <v>Open Location</v>
      </c>
    </row>
    <row r="5611" spans="1:40" x14ac:dyDescent="0.3">
      <c r="A5611" s="1">
        <v>46210.34988425926</v>
      </c>
      <c r="B5611" t="s">
        <v>40</v>
      </c>
      <c r="C5611" t="s">
        <v>41</v>
      </c>
      <c r="D5611" s="1">
        <v>46210.352731481478</v>
      </c>
      <c r="E5611" t="s">
        <v>42</v>
      </c>
      <c r="F5611" t="s">
        <v>43</v>
      </c>
      <c r="G5611" t="s">
        <v>43</v>
      </c>
      <c r="H5611" t="s">
        <v>43</v>
      </c>
      <c r="I5611" t="s">
        <v>43</v>
      </c>
      <c r="J5611" t="s">
        <v>43</v>
      </c>
      <c r="K5611" t="s">
        <v>43</v>
      </c>
      <c r="L5611" t="s">
        <v>43</v>
      </c>
      <c r="M5611" t="s">
        <v>43</v>
      </c>
      <c r="N5611" t="s">
        <v>45</v>
      </c>
      <c r="O5611" t="s">
        <v>43</v>
      </c>
      <c r="P5611" t="s">
        <v>43</v>
      </c>
      <c r="Q5611" t="s">
        <v>43</v>
      </c>
      <c r="R5611" t="s">
        <v>43</v>
      </c>
      <c r="S5611" t="s">
        <v>43</v>
      </c>
      <c r="T5611" t="s">
        <v>43</v>
      </c>
      <c r="U5611" t="s">
        <v>43</v>
      </c>
      <c r="V5611" t="s">
        <v>43</v>
      </c>
      <c r="W5611" t="s">
        <v>43</v>
      </c>
      <c r="X5611" t="s">
        <v>43</v>
      </c>
      <c r="Y5611" t="s">
        <v>43</v>
      </c>
      <c r="Z5611" t="s">
        <v>43</v>
      </c>
      <c r="AA5611" t="s">
        <v>43</v>
      </c>
      <c r="AB5611" t="s">
        <v>43</v>
      </c>
      <c r="AC5611" t="s">
        <v>43</v>
      </c>
      <c r="AD5611" t="s">
        <v>43</v>
      </c>
      <c r="AE5611" t="s">
        <v>43</v>
      </c>
      <c r="AF5611" t="s">
        <v>43</v>
      </c>
      <c r="AG5611" t="s">
        <v>43</v>
      </c>
      <c r="AH5611" t="s">
        <v>43</v>
      </c>
      <c r="AI5611" t="s">
        <v>43</v>
      </c>
      <c r="AJ5611" t="s">
        <v>43</v>
      </c>
      <c r="AK5611" t="s">
        <v>43</v>
      </c>
      <c r="AL5611" t="s">
        <v>43</v>
      </c>
      <c r="AM5611" t="s">
        <v>43</v>
      </c>
      <c r="AN5611" t="s">
        <v>43</v>
      </c>
    </row>
    <row r="5612" spans="1:40" x14ac:dyDescent="0.3">
      <c r="A5612" s="1">
        <v>46210.349768518521</v>
      </c>
      <c r="B5612" t="s">
        <v>40</v>
      </c>
      <c r="C5612" t="s">
        <v>41</v>
      </c>
      <c r="D5612" s="1">
        <v>46210.352731481478</v>
      </c>
      <c r="E5612" t="s">
        <v>42</v>
      </c>
      <c r="F5612" t="s">
        <v>43</v>
      </c>
      <c r="G5612" t="s">
        <v>43</v>
      </c>
      <c r="H5612" t="s">
        <v>43</v>
      </c>
      <c r="I5612" t="s">
        <v>3188</v>
      </c>
      <c r="J5612" t="s">
        <v>43</v>
      </c>
      <c r="K5612" t="s">
        <v>43</v>
      </c>
      <c r="L5612" t="s">
        <v>43</v>
      </c>
      <c r="M5612" t="s">
        <v>43</v>
      </c>
      <c r="N5612" t="s">
        <v>45</v>
      </c>
      <c r="O5612" t="s">
        <v>43</v>
      </c>
      <c r="P5612" t="s">
        <v>43</v>
      </c>
      <c r="Q5612" t="s">
        <v>43</v>
      </c>
      <c r="R5612" t="s">
        <v>43</v>
      </c>
      <c r="S5612" t="s">
        <v>43</v>
      </c>
      <c r="T5612" t="s">
        <v>43</v>
      </c>
      <c r="U5612" t="s">
        <v>43</v>
      </c>
      <c r="V5612" t="s">
        <v>43</v>
      </c>
      <c r="W5612" t="s">
        <v>43</v>
      </c>
      <c r="X5612" t="s">
        <v>43</v>
      </c>
      <c r="Y5612" t="s">
        <v>43</v>
      </c>
      <c r="Z5612" t="s">
        <v>43</v>
      </c>
      <c r="AA5612" t="s">
        <v>43</v>
      </c>
      <c r="AB5612" t="s">
        <v>43</v>
      </c>
      <c r="AC5612" t="s">
        <v>43</v>
      </c>
      <c r="AD5612" t="s">
        <v>43</v>
      </c>
      <c r="AE5612" t="s">
        <v>43</v>
      </c>
      <c r="AF5612" t="s">
        <v>43</v>
      </c>
      <c r="AG5612" t="s">
        <v>43</v>
      </c>
      <c r="AH5612" t="s">
        <v>43</v>
      </c>
      <c r="AI5612" t="s">
        <v>43</v>
      </c>
      <c r="AJ5612" t="s">
        <v>43</v>
      </c>
      <c r="AK5612" t="s">
        <v>43</v>
      </c>
      <c r="AL5612" t="s">
        <v>43</v>
      </c>
      <c r="AM5612" t="s">
        <v>43</v>
      </c>
      <c r="AN5612" t="str">
        <f>HYPERLINK("https://www.google.com/maps?q=10.83317471,79.84577179","Open Location")</f>
        <v>Open Location</v>
      </c>
    </row>
    <row r="5613" spans="1:40" x14ac:dyDescent="0.3">
      <c r="A5613" s="1">
        <v>46210.349652777775</v>
      </c>
      <c r="B5613" t="s">
        <v>40</v>
      </c>
      <c r="C5613" t="s">
        <v>41</v>
      </c>
      <c r="D5613" s="1">
        <v>46210.352442129632</v>
      </c>
      <c r="E5613" t="s">
        <v>42</v>
      </c>
      <c r="F5613" t="s">
        <v>43</v>
      </c>
      <c r="G5613" t="s">
        <v>43</v>
      </c>
      <c r="H5613" t="s">
        <v>43</v>
      </c>
      <c r="I5613" t="s">
        <v>3189</v>
      </c>
      <c r="J5613" t="s">
        <v>43</v>
      </c>
      <c r="K5613" t="s">
        <v>43</v>
      </c>
      <c r="L5613" t="s">
        <v>43</v>
      </c>
      <c r="M5613" t="s">
        <v>43</v>
      </c>
      <c r="N5613" t="s">
        <v>45</v>
      </c>
      <c r="O5613" t="s">
        <v>43</v>
      </c>
      <c r="P5613" t="s">
        <v>43</v>
      </c>
      <c r="Q5613" t="s">
        <v>43</v>
      </c>
      <c r="R5613" t="s">
        <v>43</v>
      </c>
      <c r="S5613" t="s">
        <v>43</v>
      </c>
      <c r="T5613" t="s">
        <v>43</v>
      </c>
      <c r="U5613" t="s">
        <v>43</v>
      </c>
      <c r="V5613" t="s">
        <v>43</v>
      </c>
      <c r="W5613" t="s">
        <v>43</v>
      </c>
      <c r="X5613" t="s">
        <v>43</v>
      </c>
      <c r="Y5613" t="s">
        <v>43</v>
      </c>
      <c r="Z5613" t="s">
        <v>43</v>
      </c>
      <c r="AA5613" t="s">
        <v>43</v>
      </c>
      <c r="AB5613" t="s">
        <v>43</v>
      </c>
      <c r="AC5613" t="s">
        <v>43</v>
      </c>
      <c r="AD5613" t="s">
        <v>43</v>
      </c>
      <c r="AE5613" t="s">
        <v>43</v>
      </c>
      <c r="AF5613" t="s">
        <v>43</v>
      </c>
      <c r="AG5613" t="s">
        <v>43</v>
      </c>
      <c r="AH5613" t="s">
        <v>43</v>
      </c>
      <c r="AI5613" t="s">
        <v>43</v>
      </c>
      <c r="AJ5613" t="s">
        <v>43</v>
      </c>
      <c r="AK5613" t="s">
        <v>43</v>
      </c>
      <c r="AL5613" t="s">
        <v>43</v>
      </c>
      <c r="AM5613" t="s">
        <v>43</v>
      </c>
      <c r="AN5613" t="str">
        <f>HYPERLINK("https://www.google.com/maps?q=10.83317947,79.84577179","Open Location")</f>
        <v>Open Location</v>
      </c>
    </row>
    <row r="5614" spans="1:40" x14ac:dyDescent="0.3">
      <c r="A5614" s="1">
        <v>46210.349537037036</v>
      </c>
      <c r="B5614" t="s">
        <v>40</v>
      </c>
      <c r="C5614" t="s">
        <v>41</v>
      </c>
      <c r="D5614" s="1">
        <v>46210.352800925924</v>
      </c>
      <c r="E5614" t="s">
        <v>42</v>
      </c>
      <c r="F5614" t="s">
        <v>43</v>
      </c>
      <c r="G5614" t="s">
        <v>43</v>
      </c>
      <c r="H5614" t="s">
        <v>43</v>
      </c>
      <c r="I5614" t="s">
        <v>3190</v>
      </c>
      <c r="J5614" t="s">
        <v>43</v>
      </c>
      <c r="K5614" t="s">
        <v>43</v>
      </c>
      <c r="L5614" t="s">
        <v>43</v>
      </c>
      <c r="M5614" t="s">
        <v>43</v>
      </c>
      <c r="N5614" t="s">
        <v>45</v>
      </c>
      <c r="O5614" t="s">
        <v>43</v>
      </c>
      <c r="P5614" t="s">
        <v>43</v>
      </c>
      <c r="Q5614" t="s">
        <v>43</v>
      </c>
      <c r="R5614" t="s">
        <v>43</v>
      </c>
      <c r="S5614" t="s">
        <v>43</v>
      </c>
      <c r="T5614" t="s">
        <v>43</v>
      </c>
      <c r="U5614" t="s">
        <v>43</v>
      </c>
      <c r="V5614" t="s">
        <v>43</v>
      </c>
      <c r="W5614" t="s">
        <v>43</v>
      </c>
      <c r="X5614" t="s">
        <v>43</v>
      </c>
      <c r="Y5614" t="s">
        <v>43</v>
      </c>
      <c r="Z5614" t="s">
        <v>43</v>
      </c>
      <c r="AA5614" t="s">
        <v>43</v>
      </c>
      <c r="AB5614" t="s">
        <v>43</v>
      </c>
      <c r="AC5614" t="s">
        <v>43</v>
      </c>
      <c r="AD5614" t="s">
        <v>43</v>
      </c>
      <c r="AE5614" t="s">
        <v>43</v>
      </c>
      <c r="AF5614" t="s">
        <v>43</v>
      </c>
      <c r="AG5614" t="s">
        <v>43</v>
      </c>
      <c r="AH5614" t="s">
        <v>43</v>
      </c>
      <c r="AI5614" t="s">
        <v>43</v>
      </c>
      <c r="AJ5614" t="s">
        <v>43</v>
      </c>
      <c r="AK5614" t="s">
        <v>43</v>
      </c>
      <c r="AL5614" t="s">
        <v>43</v>
      </c>
      <c r="AM5614" t="s">
        <v>43</v>
      </c>
      <c r="AN5614" t="str">
        <f>HYPERLINK("https://www.google.com/maps?q=10.83318138,79.84577179","Open Location")</f>
        <v>Open Location</v>
      </c>
    </row>
    <row r="5615" spans="1:40" x14ac:dyDescent="0.3">
      <c r="A5615" s="1">
        <v>46210.349421296298</v>
      </c>
      <c r="B5615" t="s">
        <v>40</v>
      </c>
      <c r="C5615" t="s">
        <v>41</v>
      </c>
      <c r="D5615" s="1">
        <v>46210.352407407408</v>
      </c>
      <c r="E5615" t="s">
        <v>42</v>
      </c>
      <c r="F5615" t="s">
        <v>43</v>
      </c>
      <c r="G5615" t="s">
        <v>43</v>
      </c>
      <c r="H5615" t="s">
        <v>43</v>
      </c>
      <c r="I5615" t="s">
        <v>3191</v>
      </c>
      <c r="J5615" t="s">
        <v>43</v>
      </c>
      <c r="K5615" t="s">
        <v>43</v>
      </c>
      <c r="L5615" t="s">
        <v>43</v>
      </c>
      <c r="M5615" t="s">
        <v>43</v>
      </c>
      <c r="N5615" t="s">
        <v>45</v>
      </c>
      <c r="O5615" t="s">
        <v>43</v>
      </c>
      <c r="P5615" t="s">
        <v>43</v>
      </c>
      <c r="Q5615" t="s">
        <v>43</v>
      </c>
      <c r="R5615" t="s">
        <v>43</v>
      </c>
      <c r="S5615" t="s">
        <v>43</v>
      </c>
      <c r="T5615" t="s">
        <v>43</v>
      </c>
      <c r="U5615" t="s">
        <v>43</v>
      </c>
      <c r="V5615" t="s">
        <v>43</v>
      </c>
      <c r="W5615" t="s">
        <v>43</v>
      </c>
      <c r="X5615" t="s">
        <v>43</v>
      </c>
      <c r="Y5615" t="s">
        <v>43</v>
      </c>
      <c r="Z5615" t="s">
        <v>43</v>
      </c>
      <c r="AA5615" t="s">
        <v>43</v>
      </c>
      <c r="AB5615" t="s">
        <v>43</v>
      </c>
      <c r="AC5615" t="s">
        <v>43</v>
      </c>
      <c r="AD5615" t="s">
        <v>43</v>
      </c>
      <c r="AE5615" t="s">
        <v>43</v>
      </c>
      <c r="AF5615" t="s">
        <v>43</v>
      </c>
      <c r="AG5615" t="s">
        <v>43</v>
      </c>
      <c r="AH5615" t="s">
        <v>43</v>
      </c>
      <c r="AI5615" t="s">
        <v>43</v>
      </c>
      <c r="AJ5615" t="s">
        <v>43</v>
      </c>
      <c r="AK5615" t="s">
        <v>43</v>
      </c>
      <c r="AL5615" t="s">
        <v>43</v>
      </c>
      <c r="AM5615" t="s">
        <v>43</v>
      </c>
      <c r="AN5615" t="str">
        <f>HYPERLINK("https://www.google.com/maps?q=10.83317757,79.84577942","Open Location")</f>
        <v>Open Location</v>
      </c>
    </row>
    <row r="5616" spans="1:40" x14ac:dyDescent="0.3">
      <c r="A5616" s="1">
        <v>46210.349305555559</v>
      </c>
      <c r="B5616" t="s">
        <v>40</v>
      </c>
      <c r="C5616" t="s">
        <v>41</v>
      </c>
      <c r="D5616" s="1">
        <v>46210.352256944447</v>
      </c>
      <c r="E5616" t="s">
        <v>42</v>
      </c>
      <c r="F5616" t="s">
        <v>43</v>
      </c>
      <c r="G5616" t="s">
        <v>43</v>
      </c>
      <c r="H5616" t="s">
        <v>43</v>
      </c>
      <c r="I5616" t="s">
        <v>3192</v>
      </c>
      <c r="J5616" t="s">
        <v>43</v>
      </c>
      <c r="K5616" t="s">
        <v>43</v>
      </c>
      <c r="L5616" t="s">
        <v>43</v>
      </c>
      <c r="M5616" t="s">
        <v>43</v>
      </c>
      <c r="N5616" t="s">
        <v>45</v>
      </c>
      <c r="O5616" t="s">
        <v>43</v>
      </c>
      <c r="P5616" t="s">
        <v>43</v>
      </c>
      <c r="Q5616" t="s">
        <v>43</v>
      </c>
      <c r="R5616" t="s">
        <v>43</v>
      </c>
      <c r="S5616" t="s">
        <v>43</v>
      </c>
      <c r="T5616" t="s">
        <v>43</v>
      </c>
      <c r="U5616" t="s">
        <v>43</v>
      </c>
      <c r="V5616" t="s">
        <v>43</v>
      </c>
      <c r="W5616" t="s">
        <v>43</v>
      </c>
      <c r="X5616" t="s">
        <v>43</v>
      </c>
      <c r="Y5616" t="s">
        <v>43</v>
      </c>
      <c r="Z5616" t="s">
        <v>43</v>
      </c>
      <c r="AA5616" t="s">
        <v>43</v>
      </c>
      <c r="AB5616" t="s">
        <v>43</v>
      </c>
      <c r="AC5616" t="s">
        <v>43</v>
      </c>
      <c r="AD5616" t="s">
        <v>43</v>
      </c>
      <c r="AE5616" t="s">
        <v>43</v>
      </c>
      <c r="AF5616" t="s">
        <v>43</v>
      </c>
      <c r="AG5616" t="s">
        <v>43</v>
      </c>
      <c r="AH5616" t="s">
        <v>43</v>
      </c>
      <c r="AI5616" t="s">
        <v>43</v>
      </c>
      <c r="AJ5616" t="s">
        <v>43</v>
      </c>
      <c r="AK5616" t="s">
        <v>43</v>
      </c>
      <c r="AL5616" t="s">
        <v>43</v>
      </c>
      <c r="AM5616" t="s">
        <v>43</v>
      </c>
      <c r="AN5616" t="str">
        <f>HYPERLINK("https://www.google.com/maps?q=10.83317661,79.84577942","Open Location")</f>
        <v>Open Location</v>
      </c>
    </row>
    <row r="5617" spans="1:40" x14ac:dyDescent="0.3">
      <c r="A5617" s="1">
        <v>46210.349189814813</v>
      </c>
      <c r="B5617" t="s">
        <v>40</v>
      </c>
      <c r="C5617" t="s">
        <v>41</v>
      </c>
      <c r="D5617" s="1">
        <v>46210.35224537037</v>
      </c>
      <c r="E5617" t="s">
        <v>42</v>
      </c>
      <c r="F5617" t="s">
        <v>43</v>
      </c>
      <c r="G5617" t="s">
        <v>43</v>
      </c>
      <c r="H5617" t="s">
        <v>43</v>
      </c>
      <c r="I5617" t="s">
        <v>43</v>
      </c>
      <c r="J5617" t="s">
        <v>43</v>
      </c>
      <c r="K5617" t="s">
        <v>43</v>
      </c>
      <c r="L5617" t="s">
        <v>43</v>
      </c>
      <c r="M5617" t="s">
        <v>43</v>
      </c>
      <c r="N5617" t="s">
        <v>45</v>
      </c>
      <c r="O5617" t="s">
        <v>43</v>
      </c>
      <c r="P5617" t="s">
        <v>43</v>
      </c>
      <c r="Q5617" t="s">
        <v>43</v>
      </c>
      <c r="R5617" t="s">
        <v>43</v>
      </c>
      <c r="S5617" t="s">
        <v>43</v>
      </c>
      <c r="T5617" t="s">
        <v>43</v>
      </c>
      <c r="U5617" t="s">
        <v>43</v>
      </c>
      <c r="V5617" t="s">
        <v>43</v>
      </c>
      <c r="W5617" t="s">
        <v>43</v>
      </c>
      <c r="X5617" t="s">
        <v>43</v>
      </c>
      <c r="Y5617" t="s">
        <v>43</v>
      </c>
      <c r="Z5617" t="s">
        <v>43</v>
      </c>
      <c r="AA5617" t="s">
        <v>43</v>
      </c>
      <c r="AB5617" t="s">
        <v>43</v>
      </c>
      <c r="AC5617" t="s">
        <v>43</v>
      </c>
      <c r="AD5617" t="s">
        <v>43</v>
      </c>
      <c r="AE5617" t="s">
        <v>43</v>
      </c>
      <c r="AF5617" t="s">
        <v>43</v>
      </c>
      <c r="AG5617" t="s">
        <v>43</v>
      </c>
      <c r="AH5617" t="s">
        <v>43</v>
      </c>
      <c r="AI5617" t="s">
        <v>43</v>
      </c>
      <c r="AJ5617" t="s">
        <v>43</v>
      </c>
      <c r="AK5617" t="s">
        <v>43</v>
      </c>
      <c r="AL5617" t="s">
        <v>43</v>
      </c>
      <c r="AM5617" t="s">
        <v>43</v>
      </c>
      <c r="AN5617" t="s">
        <v>43</v>
      </c>
    </row>
    <row r="5618" spans="1:40" x14ac:dyDescent="0.3">
      <c r="A5618" s="1">
        <v>46210.349074074074</v>
      </c>
      <c r="B5618" t="s">
        <v>40</v>
      </c>
      <c r="C5618" t="s">
        <v>41</v>
      </c>
      <c r="D5618" s="1">
        <v>46210.352048611108</v>
      </c>
      <c r="E5618" t="s">
        <v>42</v>
      </c>
      <c r="F5618" t="s">
        <v>43</v>
      </c>
      <c r="G5618" t="s">
        <v>43</v>
      </c>
      <c r="H5618" t="s">
        <v>43</v>
      </c>
      <c r="I5618" t="s">
        <v>3193</v>
      </c>
      <c r="J5618" t="s">
        <v>43</v>
      </c>
      <c r="K5618" t="s">
        <v>43</v>
      </c>
      <c r="L5618" t="s">
        <v>43</v>
      </c>
      <c r="M5618" t="s">
        <v>43</v>
      </c>
      <c r="N5618" t="s">
        <v>45</v>
      </c>
      <c r="O5618" t="s">
        <v>43</v>
      </c>
      <c r="P5618" t="s">
        <v>43</v>
      </c>
      <c r="Q5618" t="s">
        <v>43</v>
      </c>
      <c r="R5618" t="s">
        <v>43</v>
      </c>
      <c r="S5618" t="s">
        <v>43</v>
      </c>
      <c r="T5618" t="s">
        <v>43</v>
      </c>
      <c r="U5618" t="s">
        <v>43</v>
      </c>
      <c r="V5618" t="s">
        <v>43</v>
      </c>
      <c r="W5618" t="s">
        <v>43</v>
      </c>
      <c r="X5618" t="s">
        <v>43</v>
      </c>
      <c r="Y5618" t="s">
        <v>43</v>
      </c>
      <c r="Z5618" t="s">
        <v>43</v>
      </c>
      <c r="AA5618" t="s">
        <v>43</v>
      </c>
      <c r="AB5618" t="s">
        <v>43</v>
      </c>
      <c r="AC5618" t="s">
        <v>43</v>
      </c>
      <c r="AD5618" t="s">
        <v>43</v>
      </c>
      <c r="AE5618" t="s">
        <v>43</v>
      </c>
      <c r="AF5618" t="s">
        <v>43</v>
      </c>
      <c r="AG5618" t="s">
        <v>43</v>
      </c>
      <c r="AH5618" t="s">
        <v>43</v>
      </c>
      <c r="AI5618" t="s">
        <v>43</v>
      </c>
      <c r="AJ5618" t="s">
        <v>43</v>
      </c>
      <c r="AK5618" t="s">
        <v>43</v>
      </c>
      <c r="AL5618" t="s">
        <v>43</v>
      </c>
      <c r="AM5618" t="s">
        <v>43</v>
      </c>
      <c r="AN5618" t="str">
        <f>HYPERLINK("https://www.google.com/maps?q=10.83317947,79.84577942","Open Location")</f>
        <v>Open Location</v>
      </c>
    </row>
    <row r="5619" spans="1:40" x14ac:dyDescent="0.3">
      <c r="A5619" s="1">
        <v>46210.348958333336</v>
      </c>
      <c r="B5619" t="s">
        <v>40</v>
      </c>
      <c r="C5619" t="s">
        <v>41</v>
      </c>
      <c r="D5619" s="1">
        <v>46210.351990740739</v>
      </c>
      <c r="E5619" t="s">
        <v>42</v>
      </c>
      <c r="F5619" t="s">
        <v>43</v>
      </c>
      <c r="G5619" t="s">
        <v>43</v>
      </c>
      <c r="H5619" t="s">
        <v>43</v>
      </c>
      <c r="I5619" t="s">
        <v>3194</v>
      </c>
      <c r="J5619" t="s">
        <v>43</v>
      </c>
      <c r="K5619" t="s">
        <v>43</v>
      </c>
      <c r="L5619" t="s">
        <v>43</v>
      </c>
      <c r="M5619" t="s">
        <v>43</v>
      </c>
      <c r="N5619" t="s">
        <v>45</v>
      </c>
      <c r="O5619" t="s">
        <v>43</v>
      </c>
      <c r="P5619" t="s">
        <v>43</v>
      </c>
      <c r="Q5619" t="s">
        <v>43</v>
      </c>
      <c r="R5619" t="s">
        <v>43</v>
      </c>
      <c r="S5619" t="s">
        <v>43</v>
      </c>
      <c r="T5619" t="s">
        <v>43</v>
      </c>
      <c r="U5619" t="s">
        <v>43</v>
      </c>
      <c r="V5619" t="s">
        <v>43</v>
      </c>
      <c r="W5619" t="s">
        <v>43</v>
      </c>
      <c r="X5619" t="s">
        <v>43</v>
      </c>
      <c r="Y5619" t="s">
        <v>43</v>
      </c>
      <c r="Z5619" t="s">
        <v>43</v>
      </c>
      <c r="AA5619" t="s">
        <v>43</v>
      </c>
      <c r="AB5619" t="s">
        <v>43</v>
      </c>
      <c r="AC5619" t="s">
        <v>43</v>
      </c>
      <c r="AD5619" t="s">
        <v>43</v>
      </c>
      <c r="AE5619" t="s">
        <v>43</v>
      </c>
      <c r="AF5619" t="s">
        <v>43</v>
      </c>
      <c r="AG5619" t="s">
        <v>43</v>
      </c>
      <c r="AH5619" t="s">
        <v>43</v>
      </c>
      <c r="AI5619" t="s">
        <v>43</v>
      </c>
      <c r="AJ5619" t="s">
        <v>43</v>
      </c>
      <c r="AK5619" t="s">
        <v>43</v>
      </c>
      <c r="AL5619" t="s">
        <v>43</v>
      </c>
      <c r="AM5619" t="s">
        <v>43</v>
      </c>
      <c r="AN5619" t="str">
        <f>HYPERLINK("https://www.google.com/maps?q=10.83317757,79.84577179","Open Location")</f>
        <v>Open Location</v>
      </c>
    </row>
    <row r="5620" spans="1:40" x14ac:dyDescent="0.3">
      <c r="A5620" s="1">
        <v>46210.34884259259</v>
      </c>
      <c r="B5620" t="s">
        <v>40</v>
      </c>
      <c r="C5620" t="s">
        <v>41</v>
      </c>
      <c r="D5620" s="1">
        <v>46210.351805555554</v>
      </c>
      <c r="E5620" t="s">
        <v>42</v>
      </c>
      <c r="F5620" t="s">
        <v>43</v>
      </c>
      <c r="G5620" t="s">
        <v>43</v>
      </c>
      <c r="H5620" t="s">
        <v>43</v>
      </c>
      <c r="I5620" t="s">
        <v>3195</v>
      </c>
      <c r="J5620" t="s">
        <v>43</v>
      </c>
      <c r="K5620" t="s">
        <v>43</v>
      </c>
      <c r="L5620" t="s">
        <v>43</v>
      </c>
      <c r="M5620" t="s">
        <v>43</v>
      </c>
      <c r="N5620" t="s">
        <v>45</v>
      </c>
      <c r="O5620" t="s">
        <v>43</v>
      </c>
      <c r="P5620" t="s">
        <v>43</v>
      </c>
      <c r="Q5620" t="s">
        <v>43</v>
      </c>
      <c r="R5620" t="s">
        <v>43</v>
      </c>
      <c r="S5620" t="s">
        <v>43</v>
      </c>
      <c r="T5620" t="s">
        <v>43</v>
      </c>
      <c r="U5620" t="s">
        <v>43</v>
      </c>
      <c r="V5620" t="s">
        <v>43</v>
      </c>
      <c r="W5620" t="s">
        <v>43</v>
      </c>
      <c r="X5620" t="s">
        <v>43</v>
      </c>
      <c r="Y5620" t="s">
        <v>43</v>
      </c>
      <c r="Z5620" t="s">
        <v>43</v>
      </c>
      <c r="AA5620" t="s">
        <v>43</v>
      </c>
      <c r="AB5620" t="s">
        <v>43</v>
      </c>
      <c r="AC5620" t="s">
        <v>43</v>
      </c>
      <c r="AD5620" t="s">
        <v>43</v>
      </c>
      <c r="AE5620" t="s">
        <v>43</v>
      </c>
      <c r="AF5620" t="s">
        <v>43</v>
      </c>
      <c r="AG5620" t="s">
        <v>43</v>
      </c>
      <c r="AH5620" t="s">
        <v>43</v>
      </c>
      <c r="AI5620" t="s">
        <v>43</v>
      </c>
      <c r="AJ5620" t="s">
        <v>43</v>
      </c>
      <c r="AK5620" t="s">
        <v>43</v>
      </c>
      <c r="AL5620" t="s">
        <v>43</v>
      </c>
      <c r="AM5620" t="s">
        <v>43</v>
      </c>
      <c r="AN5620" t="str">
        <f>HYPERLINK("https://www.google.com/maps?q=10.83317566,79.84577179","Open Location")</f>
        <v>Open Location</v>
      </c>
    </row>
    <row r="5621" spans="1:40" x14ac:dyDescent="0.3">
      <c r="A5621" s="1">
        <v>46210.348726851851</v>
      </c>
      <c r="B5621" t="s">
        <v>40</v>
      </c>
      <c r="C5621" t="s">
        <v>41</v>
      </c>
      <c r="D5621" s="1">
        <v>46210.351805555554</v>
      </c>
      <c r="E5621" t="s">
        <v>42</v>
      </c>
      <c r="F5621" t="s">
        <v>43</v>
      </c>
      <c r="G5621" t="s">
        <v>43</v>
      </c>
      <c r="H5621" t="s">
        <v>43</v>
      </c>
      <c r="I5621" t="s">
        <v>3196</v>
      </c>
      <c r="J5621" t="s">
        <v>43</v>
      </c>
      <c r="K5621" t="s">
        <v>43</v>
      </c>
      <c r="L5621" t="s">
        <v>43</v>
      </c>
      <c r="M5621" t="s">
        <v>43</v>
      </c>
      <c r="N5621" t="s">
        <v>45</v>
      </c>
      <c r="O5621" t="s">
        <v>43</v>
      </c>
      <c r="P5621" t="s">
        <v>43</v>
      </c>
      <c r="Q5621" t="s">
        <v>43</v>
      </c>
      <c r="R5621" t="s">
        <v>43</v>
      </c>
      <c r="S5621" t="s">
        <v>43</v>
      </c>
      <c r="T5621" t="s">
        <v>43</v>
      </c>
      <c r="U5621" t="s">
        <v>43</v>
      </c>
      <c r="V5621" t="s">
        <v>43</v>
      </c>
      <c r="W5621" t="s">
        <v>43</v>
      </c>
      <c r="X5621" t="s">
        <v>43</v>
      </c>
      <c r="Y5621" t="s">
        <v>43</v>
      </c>
      <c r="Z5621" t="s">
        <v>43</v>
      </c>
      <c r="AA5621" t="s">
        <v>43</v>
      </c>
      <c r="AB5621" t="s">
        <v>43</v>
      </c>
      <c r="AC5621" t="s">
        <v>43</v>
      </c>
      <c r="AD5621" t="s">
        <v>43</v>
      </c>
      <c r="AE5621" t="s">
        <v>43</v>
      </c>
      <c r="AF5621" t="s">
        <v>43</v>
      </c>
      <c r="AG5621" t="s">
        <v>43</v>
      </c>
      <c r="AH5621" t="s">
        <v>43</v>
      </c>
      <c r="AI5621" t="s">
        <v>43</v>
      </c>
      <c r="AJ5621" t="s">
        <v>43</v>
      </c>
      <c r="AK5621" t="s">
        <v>43</v>
      </c>
      <c r="AL5621" t="s">
        <v>43</v>
      </c>
      <c r="AM5621" t="s">
        <v>43</v>
      </c>
      <c r="AN5621" t="str">
        <f>HYPERLINK("https://www.google.com/maps?q=10.83317566,79.84575653","Open Location")</f>
        <v>Open Location</v>
      </c>
    </row>
    <row r="5622" spans="1:40" x14ac:dyDescent="0.3">
      <c r="A5622" s="1">
        <v>46210.348611111112</v>
      </c>
      <c r="B5622" t="s">
        <v>40</v>
      </c>
      <c r="C5622" t="s">
        <v>41</v>
      </c>
      <c r="D5622" s="1">
        <v>46210.351655092592</v>
      </c>
      <c r="E5622" t="s">
        <v>42</v>
      </c>
      <c r="F5622" t="s">
        <v>43</v>
      </c>
      <c r="G5622" t="s">
        <v>43</v>
      </c>
      <c r="H5622" t="s">
        <v>43</v>
      </c>
      <c r="I5622" t="s">
        <v>3186</v>
      </c>
      <c r="J5622" t="s">
        <v>43</v>
      </c>
      <c r="K5622" t="s">
        <v>43</v>
      </c>
      <c r="L5622" t="s">
        <v>43</v>
      </c>
      <c r="M5622" t="s">
        <v>43</v>
      </c>
      <c r="N5622" t="s">
        <v>45</v>
      </c>
      <c r="O5622" t="s">
        <v>43</v>
      </c>
      <c r="P5622" t="s">
        <v>43</v>
      </c>
      <c r="Q5622" t="s">
        <v>43</v>
      </c>
      <c r="R5622" t="s">
        <v>43</v>
      </c>
      <c r="S5622" t="s">
        <v>43</v>
      </c>
      <c r="T5622" t="s">
        <v>43</v>
      </c>
      <c r="U5622" t="s">
        <v>43</v>
      </c>
      <c r="V5622" t="s">
        <v>43</v>
      </c>
      <c r="W5622" t="s">
        <v>43</v>
      </c>
      <c r="X5622" t="s">
        <v>43</v>
      </c>
      <c r="Y5622" t="s">
        <v>43</v>
      </c>
      <c r="Z5622" t="s">
        <v>43</v>
      </c>
      <c r="AA5622" t="s">
        <v>43</v>
      </c>
      <c r="AB5622" t="s">
        <v>43</v>
      </c>
      <c r="AC5622" t="s">
        <v>43</v>
      </c>
      <c r="AD5622" t="s">
        <v>43</v>
      </c>
      <c r="AE5622" t="s">
        <v>43</v>
      </c>
      <c r="AF5622" t="s">
        <v>43</v>
      </c>
      <c r="AG5622" t="s">
        <v>43</v>
      </c>
      <c r="AH5622" t="s">
        <v>43</v>
      </c>
      <c r="AI5622" t="s">
        <v>43</v>
      </c>
      <c r="AJ5622" t="s">
        <v>43</v>
      </c>
      <c r="AK5622" t="s">
        <v>43</v>
      </c>
      <c r="AL5622" t="s">
        <v>43</v>
      </c>
      <c r="AM5622" t="s">
        <v>43</v>
      </c>
      <c r="AN5622" t="str">
        <f>HYPERLINK("https://www.google.com/maps?q=10.8331728,79.84575653","Open Location")</f>
        <v>Open Location</v>
      </c>
    </row>
    <row r="5623" spans="1:40" x14ac:dyDescent="0.3">
      <c r="A5623" s="1">
        <v>46210.348495370374</v>
      </c>
      <c r="B5623" t="s">
        <v>40</v>
      </c>
      <c r="C5623" t="s">
        <v>41</v>
      </c>
      <c r="D5623" s="1">
        <v>46210.351458333331</v>
      </c>
      <c r="E5623" t="s">
        <v>42</v>
      </c>
      <c r="F5623" t="s">
        <v>43</v>
      </c>
      <c r="G5623" t="s">
        <v>43</v>
      </c>
      <c r="H5623" t="s">
        <v>43</v>
      </c>
      <c r="I5623" t="s">
        <v>43</v>
      </c>
      <c r="J5623" t="s">
        <v>43</v>
      </c>
      <c r="K5623" t="s">
        <v>43</v>
      </c>
      <c r="L5623" t="s">
        <v>43</v>
      </c>
      <c r="M5623" t="s">
        <v>43</v>
      </c>
      <c r="N5623" t="s">
        <v>45</v>
      </c>
      <c r="O5623" t="s">
        <v>43</v>
      </c>
      <c r="P5623" t="s">
        <v>43</v>
      </c>
      <c r="Q5623" t="s">
        <v>43</v>
      </c>
      <c r="R5623" t="s">
        <v>43</v>
      </c>
      <c r="S5623" t="s">
        <v>43</v>
      </c>
      <c r="T5623" t="s">
        <v>43</v>
      </c>
      <c r="U5623" t="s">
        <v>43</v>
      </c>
      <c r="V5623" t="s">
        <v>43</v>
      </c>
      <c r="W5623" t="s">
        <v>43</v>
      </c>
      <c r="X5623" t="s">
        <v>43</v>
      </c>
      <c r="Y5623" t="s">
        <v>43</v>
      </c>
      <c r="Z5623" t="s">
        <v>43</v>
      </c>
      <c r="AA5623" t="s">
        <v>43</v>
      </c>
      <c r="AB5623" t="s">
        <v>43</v>
      </c>
      <c r="AC5623" t="s">
        <v>43</v>
      </c>
      <c r="AD5623" t="s">
        <v>43</v>
      </c>
      <c r="AE5623" t="s">
        <v>43</v>
      </c>
      <c r="AF5623" t="s">
        <v>43</v>
      </c>
      <c r="AG5623" t="s">
        <v>43</v>
      </c>
      <c r="AH5623" t="s">
        <v>43</v>
      </c>
      <c r="AI5623" t="s">
        <v>43</v>
      </c>
      <c r="AJ5623" t="s">
        <v>43</v>
      </c>
      <c r="AK5623" t="s">
        <v>43</v>
      </c>
      <c r="AL5623" t="s">
        <v>43</v>
      </c>
      <c r="AM5623" t="s">
        <v>43</v>
      </c>
      <c r="AN5623" t="s">
        <v>43</v>
      </c>
    </row>
    <row r="5624" spans="1:40" x14ac:dyDescent="0.3">
      <c r="A5624" s="1">
        <v>46210.348379629628</v>
      </c>
      <c r="B5624" t="s">
        <v>40</v>
      </c>
      <c r="C5624" t="s">
        <v>41</v>
      </c>
      <c r="D5624" s="1">
        <v>46210.351319444446</v>
      </c>
      <c r="E5624" t="s">
        <v>42</v>
      </c>
      <c r="F5624" t="s">
        <v>43</v>
      </c>
      <c r="G5624" t="s">
        <v>43</v>
      </c>
      <c r="H5624" t="s">
        <v>43</v>
      </c>
      <c r="I5624" t="s">
        <v>3186</v>
      </c>
      <c r="J5624" t="s">
        <v>43</v>
      </c>
      <c r="K5624" t="s">
        <v>43</v>
      </c>
      <c r="L5624" t="s">
        <v>43</v>
      </c>
      <c r="M5624" t="s">
        <v>43</v>
      </c>
      <c r="N5624" t="s">
        <v>45</v>
      </c>
      <c r="O5624" t="s">
        <v>43</v>
      </c>
      <c r="P5624" t="s">
        <v>43</v>
      </c>
      <c r="Q5624" t="s">
        <v>43</v>
      </c>
      <c r="R5624" t="s">
        <v>43</v>
      </c>
      <c r="S5624" t="s">
        <v>43</v>
      </c>
      <c r="T5624" t="s">
        <v>43</v>
      </c>
      <c r="U5624" t="s">
        <v>43</v>
      </c>
      <c r="V5624" t="s">
        <v>43</v>
      </c>
      <c r="W5624" t="s">
        <v>43</v>
      </c>
      <c r="X5624" t="s">
        <v>43</v>
      </c>
      <c r="Y5624" t="s">
        <v>43</v>
      </c>
      <c r="Z5624" t="s">
        <v>43</v>
      </c>
      <c r="AA5624" t="s">
        <v>43</v>
      </c>
      <c r="AB5624" t="s">
        <v>43</v>
      </c>
      <c r="AC5624" t="s">
        <v>43</v>
      </c>
      <c r="AD5624" t="s">
        <v>43</v>
      </c>
      <c r="AE5624" t="s">
        <v>43</v>
      </c>
      <c r="AF5624" t="s">
        <v>43</v>
      </c>
      <c r="AG5624" t="s">
        <v>43</v>
      </c>
      <c r="AH5624" t="s">
        <v>43</v>
      </c>
      <c r="AI5624" t="s">
        <v>43</v>
      </c>
      <c r="AJ5624" t="s">
        <v>43</v>
      </c>
      <c r="AK5624" t="s">
        <v>43</v>
      </c>
      <c r="AL5624" t="s">
        <v>43</v>
      </c>
      <c r="AM5624" t="s">
        <v>43</v>
      </c>
      <c r="AN5624" t="str">
        <f>HYPERLINK("https://www.google.com/maps?q=10.8331728,79.84575653","Open Location")</f>
        <v>Open Location</v>
      </c>
    </row>
    <row r="5625" spans="1:40" x14ac:dyDescent="0.3">
      <c r="A5625" s="1">
        <v>46210.348263888889</v>
      </c>
      <c r="B5625" t="s">
        <v>40</v>
      </c>
      <c r="C5625" t="s">
        <v>41</v>
      </c>
      <c r="D5625" s="1">
        <v>46210.350995370369</v>
      </c>
      <c r="E5625" t="s">
        <v>42</v>
      </c>
      <c r="F5625" t="s">
        <v>43</v>
      </c>
      <c r="G5625" t="s">
        <v>43</v>
      </c>
      <c r="H5625" t="s">
        <v>43</v>
      </c>
      <c r="I5625" t="s">
        <v>3197</v>
      </c>
      <c r="J5625" t="s">
        <v>43</v>
      </c>
      <c r="K5625" t="s">
        <v>43</v>
      </c>
      <c r="L5625" t="s">
        <v>43</v>
      </c>
      <c r="M5625" t="s">
        <v>43</v>
      </c>
      <c r="N5625" t="s">
        <v>45</v>
      </c>
      <c r="O5625" t="s">
        <v>43</v>
      </c>
      <c r="P5625" t="s">
        <v>43</v>
      </c>
      <c r="Q5625" t="s">
        <v>43</v>
      </c>
      <c r="R5625" t="s">
        <v>43</v>
      </c>
      <c r="S5625" t="s">
        <v>43</v>
      </c>
      <c r="T5625" t="s">
        <v>43</v>
      </c>
      <c r="U5625" t="s">
        <v>43</v>
      </c>
      <c r="V5625" t="s">
        <v>43</v>
      </c>
      <c r="W5625" t="s">
        <v>43</v>
      </c>
      <c r="X5625" t="s">
        <v>43</v>
      </c>
      <c r="Y5625" t="s">
        <v>43</v>
      </c>
      <c r="Z5625" t="s">
        <v>43</v>
      </c>
      <c r="AA5625" t="s">
        <v>43</v>
      </c>
      <c r="AB5625" t="s">
        <v>43</v>
      </c>
      <c r="AC5625" t="s">
        <v>43</v>
      </c>
      <c r="AD5625" t="s">
        <v>43</v>
      </c>
      <c r="AE5625" t="s">
        <v>43</v>
      </c>
      <c r="AF5625" t="s">
        <v>43</v>
      </c>
      <c r="AG5625" t="s">
        <v>43</v>
      </c>
      <c r="AH5625" t="s">
        <v>43</v>
      </c>
      <c r="AI5625" t="s">
        <v>43</v>
      </c>
      <c r="AJ5625" t="s">
        <v>43</v>
      </c>
      <c r="AK5625" t="s">
        <v>43</v>
      </c>
      <c r="AL5625" t="s">
        <v>43</v>
      </c>
      <c r="AM5625" t="s">
        <v>43</v>
      </c>
      <c r="AN5625" t="str">
        <f>HYPERLINK("https://www.google.com/maps?q=10.83317184,79.84575653","Open Location")</f>
        <v>Open Location</v>
      </c>
    </row>
    <row r="5626" spans="1:40" x14ac:dyDescent="0.3">
      <c r="A5626" s="1">
        <v>46210.34814814815</v>
      </c>
      <c r="B5626" t="s">
        <v>40</v>
      </c>
      <c r="C5626" t="s">
        <v>41</v>
      </c>
      <c r="D5626" s="1">
        <v>46210.351087962961</v>
      </c>
      <c r="E5626" t="s">
        <v>42</v>
      </c>
      <c r="F5626" t="s">
        <v>43</v>
      </c>
      <c r="G5626" t="s">
        <v>43</v>
      </c>
      <c r="H5626" t="s">
        <v>43</v>
      </c>
      <c r="I5626" t="s">
        <v>3198</v>
      </c>
      <c r="J5626" t="s">
        <v>43</v>
      </c>
      <c r="K5626" t="s">
        <v>43</v>
      </c>
      <c r="L5626" t="s">
        <v>43</v>
      </c>
      <c r="M5626" t="s">
        <v>43</v>
      </c>
      <c r="N5626" t="s">
        <v>45</v>
      </c>
      <c r="O5626" t="s">
        <v>43</v>
      </c>
      <c r="P5626" t="s">
        <v>43</v>
      </c>
      <c r="Q5626" t="s">
        <v>43</v>
      </c>
      <c r="R5626" t="s">
        <v>43</v>
      </c>
      <c r="S5626" t="s">
        <v>43</v>
      </c>
      <c r="T5626" t="s">
        <v>43</v>
      </c>
      <c r="U5626" t="s">
        <v>43</v>
      </c>
      <c r="V5626" t="s">
        <v>43</v>
      </c>
      <c r="W5626" t="s">
        <v>43</v>
      </c>
      <c r="X5626" t="s">
        <v>43</v>
      </c>
      <c r="Y5626" t="s">
        <v>43</v>
      </c>
      <c r="Z5626" t="s">
        <v>43</v>
      </c>
      <c r="AA5626" t="s">
        <v>43</v>
      </c>
      <c r="AB5626" t="s">
        <v>43</v>
      </c>
      <c r="AC5626" t="s">
        <v>43</v>
      </c>
      <c r="AD5626" t="s">
        <v>43</v>
      </c>
      <c r="AE5626" t="s">
        <v>43</v>
      </c>
      <c r="AF5626" t="s">
        <v>43</v>
      </c>
      <c r="AG5626" t="s">
        <v>43</v>
      </c>
      <c r="AH5626" t="s">
        <v>43</v>
      </c>
      <c r="AI5626" t="s">
        <v>43</v>
      </c>
      <c r="AJ5626" t="s">
        <v>43</v>
      </c>
      <c r="AK5626" t="s">
        <v>43</v>
      </c>
      <c r="AL5626" t="s">
        <v>43</v>
      </c>
      <c r="AM5626" t="s">
        <v>43</v>
      </c>
      <c r="AN5626" t="str">
        <f>HYPERLINK("https://www.google.com/maps?q=10.83316803,79.84575653","Open Location")</f>
        <v>Open Location</v>
      </c>
    </row>
    <row r="5627" spans="1:40" x14ac:dyDescent="0.3">
      <c r="A5627" s="1">
        <v>46210.348032407404</v>
      </c>
      <c r="B5627" t="s">
        <v>40</v>
      </c>
      <c r="C5627" t="s">
        <v>41</v>
      </c>
      <c r="D5627" s="1">
        <v>46210.350914351853</v>
      </c>
      <c r="E5627" t="s">
        <v>42</v>
      </c>
      <c r="F5627" t="s">
        <v>43</v>
      </c>
      <c r="G5627" t="s">
        <v>43</v>
      </c>
      <c r="H5627" t="s">
        <v>43</v>
      </c>
      <c r="I5627" t="s">
        <v>3199</v>
      </c>
      <c r="J5627" t="s">
        <v>43</v>
      </c>
      <c r="K5627" t="s">
        <v>43</v>
      </c>
      <c r="L5627" t="s">
        <v>43</v>
      </c>
      <c r="M5627" t="s">
        <v>43</v>
      </c>
      <c r="N5627" t="s">
        <v>45</v>
      </c>
      <c r="O5627" t="s">
        <v>43</v>
      </c>
      <c r="P5627" t="s">
        <v>43</v>
      </c>
      <c r="Q5627" t="s">
        <v>43</v>
      </c>
      <c r="R5627" t="s">
        <v>43</v>
      </c>
      <c r="S5627" t="s">
        <v>43</v>
      </c>
      <c r="T5627" t="s">
        <v>43</v>
      </c>
      <c r="U5627" t="s">
        <v>43</v>
      </c>
      <c r="V5627" t="s">
        <v>43</v>
      </c>
      <c r="W5627" t="s">
        <v>43</v>
      </c>
      <c r="X5627" t="s">
        <v>43</v>
      </c>
      <c r="Y5627" t="s">
        <v>43</v>
      </c>
      <c r="Z5627" t="s">
        <v>43</v>
      </c>
      <c r="AA5627" t="s">
        <v>43</v>
      </c>
      <c r="AB5627" t="s">
        <v>43</v>
      </c>
      <c r="AC5627" t="s">
        <v>43</v>
      </c>
      <c r="AD5627" t="s">
        <v>43</v>
      </c>
      <c r="AE5627" t="s">
        <v>43</v>
      </c>
      <c r="AF5627" t="s">
        <v>43</v>
      </c>
      <c r="AG5627" t="s">
        <v>43</v>
      </c>
      <c r="AH5627" t="s">
        <v>43</v>
      </c>
      <c r="AI5627" t="s">
        <v>43</v>
      </c>
      <c r="AJ5627" t="s">
        <v>43</v>
      </c>
      <c r="AK5627" t="s">
        <v>43</v>
      </c>
      <c r="AL5627" t="s">
        <v>43</v>
      </c>
      <c r="AM5627" t="s">
        <v>43</v>
      </c>
      <c r="AN5627" t="str">
        <f>HYPERLINK("https://www.google.com/maps?q=10.83316612,79.84577179","Open Location")</f>
        <v>Open Location</v>
      </c>
    </row>
    <row r="5628" spans="1:40" x14ac:dyDescent="0.3">
      <c r="A5628" s="1">
        <v>46210.347916666666</v>
      </c>
      <c r="B5628" t="s">
        <v>40</v>
      </c>
      <c r="C5628" t="s">
        <v>41</v>
      </c>
      <c r="D5628" s="1">
        <v>46210.350775462961</v>
      </c>
      <c r="E5628" t="s">
        <v>42</v>
      </c>
      <c r="F5628" t="s">
        <v>43</v>
      </c>
      <c r="G5628" t="s">
        <v>43</v>
      </c>
      <c r="H5628" t="s">
        <v>43</v>
      </c>
      <c r="I5628" t="s">
        <v>43</v>
      </c>
      <c r="J5628" t="s">
        <v>43</v>
      </c>
      <c r="K5628" t="s">
        <v>43</v>
      </c>
      <c r="L5628" t="s">
        <v>43</v>
      </c>
      <c r="M5628" t="s">
        <v>43</v>
      </c>
      <c r="N5628" t="s">
        <v>45</v>
      </c>
      <c r="O5628" t="s">
        <v>43</v>
      </c>
      <c r="P5628" t="s">
        <v>43</v>
      </c>
      <c r="Q5628" t="s">
        <v>43</v>
      </c>
      <c r="R5628" t="s">
        <v>43</v>
      </c>
      <c r="S5628" t="s">
        <v>43</v>
      </c>
      <c r="T5628" t="s">
        <v>43</v>
      </c>
      <c r="U5628" t="s">
        <v>43</v>
      </c>
      <c r="V5628" t="s">
        <v>43</v>
      </c>
      <c r="W5628" t="s">
        <v>43</v>
      </c>
      <c r="X5628" t="s">
        <v>43</v>
      </c>
      <c r="Y5628" t="s">
        <v>43</v>
      </c>
      <c r="Z5628" t="s">
        <v>43</v>
      </c>
      <c r="AA5628" t="s">
        <v>43</v>
      </c>
      <c r="AB5628" t="s">
        <v>43</v>
      </c>
      <c r="AC5628" t="s">
        <v>43</v>
      </c>
      <c r="AD5628" t="s">
        <v>43</v>
      </c>
      <c r="AE5628" t="s">
        <v>43</v>
      </c>
      <c r="AF5628" t="s">
        <v>43</v>
      </c>
      <c r="AG5628" t="s">
        <v>43</v>
      </c>
      <c r="AH5628" t="s">
        <v>43</v>
      </c>
      <c r="AI5628" t="s">
        <v>43</v>
      </c>
      <c r="AJ5628" t="s">
        <v>43</v>
      </c>
      <c r="AK5628" t="s">
        <v>43</v>
      </c>
      <c r="AL5628" t="s">
        <v>43</v>
      </c>
      <c r="AM5628" t="s">
        <v>43</v>
      </c>
      <c r="AN5628" t="s">
        <v>43</v>
      </c>
    </row>
    <row r="5629" spans="1:40" x14ac:dyDescent="0.3">
      <c r="A5629" s="1">
        <v>46210.347800925927</v>
      </c>
      <c r="B5629" t="s">
        <v>40</v>
      </c>
      <c r="C5629" t="s">
        <v>41</v>
      </c>
      <c r="D5629" s="1">
        <v>46210.350775462961</v>
      </c>
      <c r="E5629" t="s">
        <v>42</v>
      </c>
      <c r="F5629" t="s">
        <v>43</v>
      </c>
      <c r="G5629" t="s">
        <v>43</v>
      </c>
      <c r="H5629" t="s">
        <v>43</v>
      </c>
      <c r="I5629" t="s">
        <v>3200</v>
      </c>
      <c r="J5629" t="s">
        <v>43</v>
      </c>
      <c r="K5629" t="s">
        <v>43</v>
      </c>
      <c r="L5629" t="s">
        <v>43</v>
      </c>
      <c r="M5629" t="s">
        <v>43</v>
      </c>
      <c r="N5629" t="s">
        <v>45</v>
      </c>
      <c r="O5629" t="s">
        <v>43</v>
      </c>
      <c r="P5629" t="s">
        <v>43</v>
      </c>
      <c r="Q5629" t="s">
        <v>43</v>
      </c>
      <c r="R5629" t="s">
        <v>43</v>
      </c>
      <c r="S5629" t="s">
        <v>43</v>
      </c>
      <c r="T5629" t="s">
        <v>43</v>
      </c>
      <c r="U5629" t="s">
        <v>43</v>
      </c>
      <c r="V5629" t="s">
        <v>43</v>
      </c>
      <c r="W5629" t="s">
        <v>43</v>
      </c>
      <c r="X5629" t="s">
        <v>43</v>
      </c>
      <c r="Y5629" t="s">
        <v>43</v>
      </c>
      <c r="Z5629" t="s">
        <v>43</v>
      </c>
      <c r="AA5629" t="s">
        <v>43</v>
      </c>
      <c r="AB5629" t="s">
        <v>43</v>
      </c>
      <c r="AC5629" t="s">
        <v>43</v>
      </c>
      <c r="AD5629" t="s">
        <v>43</v>
      </c>
      <c r="AE5629" t="s">
        <v>43</v>
      </c>
      <c r="AF5629" t="s">
        <v>43</v>
      </c>
      <c r="AG5629" t="s">
        <v>43</v>
      </c>
      <c r="AH5629" t="s">
        <v>43</v>
      </c>
      <c r="AI5629" t="s">
        <v>43</v>
      </c>
      <c r="AJ5629" t="s">
        <v>43</v>
      </c>
      <c r="AK5629" t="s">
        <v>43</v>
      </c>
      <c r="AL5629" t="s">
        <v>43</v>
      </c>
      <c r="AM5629" t="s">
        <v>43</v>
      </c>
      <c r="AN5629" t="str">
        <f>HYPERLINK("https://www.google.com/maps?q=10.83316326,79.84577179","Open Location")</f>
        <v>Open Location</v>
      </c>
    </row>
    <row r="5630" spans="1:40" x14ac:dyDescent="0.3">
      <c r="A5630" s="1">
        <v>46210.347685185188</v>
      </c>
      <c r="B5630" t="s">
        <v>40</v>
      </c>
      <c r="C5630" t="s">
        <v>41</v>
      </c>
      <c r="D5630" s="1">
        <v>46210.350682870368</v>
      </c>
      <c r="E5630" t="s">
        <v>42</v>
      </c>
      <c r="F5630" t="s">
        <v>43</v>
      </c>
      <c r="G5630" t="s">
        <v>43</v>
      </c>
      <c r="H5630" t="s">
        <v>43</v>
      </c>
      <c r="I5630" t="s">
        <v>3170</v>
      </c>
      <c r="J5630" t="s">
        <v>43</v>
      </c>
      <c r="K5630" t="s">
        <v>43</v>
      </c>
      <c r="L5630" t="s">
        <v>43</v>
      </c>
      <c r="M5630" t="s">
        <v>43</v>
      </c>
      <c r="N5630" t="s">
        <v>45</v>
      </c>
      <c r="O5630" t="s">
        <v>43</v>
      </c>
      <c r="P5630" t="s">
        <v>43</v>
      </c>
      <c r="Q5630" t="s">
        <v>43</v>
      </c>
      <c r="R5630" t="s">
        <v>43</v>
      </c>
      <c r="S5630" t="s">
        <v>43</v>
      </c>
      <c r="T5630" t="s">
        <v>43</v>
      </c>
      <c r="U5630" t="s">
        <v>43</v>
      </c>
      <c r="V5630" t="s">
        <v>43</v>
      </c>
      <c r="W5630" t="s">
        <v>43</v>
      </c>
      <c r="X5630" t="s">
        <v>43</v>
      </c>
      <c r="Y5630" t="s">
        <v>43</v>
      </c>
      <c r="Z5630" t="s">
        <v>43</v>
      </c>
      <c r="AA5630" t="s">
        <v>43</v>
      </c>
      <c r="AB5630" t="s">
        <v>43</v>
      </c>
      <c r="AC5630" t="s">
        <v>43</v>
      </c>
      <c r="AD5630" t="s">
        <v>43</v>
      </c>
      <c r="AE5630" t="s">
        <v>43</v>
      </c>
      <c r="AF5630" t="s">
        <v>43</v>
      </c>
      <c r="AG5630" t="s">
        <v>43</v>
      </c>
      <c r="AH5630" t="s">
        <v>43</v>
      </c>
      <c r="AI5630" t="s">
        <v>43</v>
      </c>
      <c r="AJ5630" t="s">
        <v>43</v>
      </c>
      <c r="AK5630" t="s">
        <v>43</v>
      </c>
      <c r="AL5630" t="s">
        <v>43</v>
      </c>
      <c r="AM5630" t="s">
        <v>43</v>
      </c>
      <c r="AN5630" t="str">
        <f>HYPERLINK("https://www.google.com/maps?q=10.83316231,79.84577179","Open Location")</f>
        <v>Open Location</v>
      </c>
    </row>
    <row r="5631" spans="1:40" x14ac:dyDescent="0.3">
      <c r="A5631" s="1">
        <v>46210.347569444442</v>
      </c>
      <c r="B5631" t="s">
        <v>40</v>
      </c>
      <c r="C5631" t="s">
        <v>41</v>
      </c>
      <c r="D5631" s="1">
        <v>46210.350682870368</v>
      </c>
      <c r="E5631" t="s">
        <v>42</v>
      </c>
      <c r="F5631" t="s">
        <v>43</v>
      </c>
      <c r="G5631" t="s">
        <v>43</v>
      </c>
      <c r="H5631" t="s">
        <v>43</v>
      </c>
      <c r="I5631" t="s">
        <v>3164</v>
      </c>
      <c r="J5631" t="s">
        <v>43</v>
      </c>
      <c r="K5631" t="s">
        <v>43</v>
      </c>
      <c r="L5631" t="s">
        <v>43</v>
      </c>
      <c r="M5631" t="s">
        <v>43</v>
      </c>
      <c r="N5631" t="s">
        <v>45</v>
      </c>
      <c r="O5631" t="s">
        <v>43</v>
      </c>
      <c r="P5631" t="s">
        <v>43</v>
      </c>
      <c r="Q5631" t="s">
        <v>43</v>
      </c>
      <c r="R5631" t="s">
        <v>43</v>
      </c>
      <c r="S5631" t="s">
        <v>43</v>
      </c>
      <c r="T5631" t="s">
        <v>43</v>
      </c>
      <c r="U5631" t="s">
        <v>43</v>
      </c>
      <c r="V5631" t="s">
        <v>43</v>
      </c>
      <c r="W5631" t="s">
        <v>43</v>
      </c>
      <c r="X5631" t="s">
        <v>43</v>
      </c>
      <c r="Y5631" t="s">
        <v>43</v>
      </c>
      <c r="Z5631" t="s">
        <v>43</v>
      </c>
      <c r="AA5631" t="s">
        <v>43</v>
      </c>
      <c r="AB5631" t="s">
        <v>43</v>
      </c>
      <c r="AC5631" t="s">
        <v>43</v>
      </c>
      <c r="AD5631" t="s">
        <v>43</v>
      </c>
      <c r="AE5631" t="s">
        <v>43</v>
      </c>
      <c r="AF5631" t="s">
        <v>43</v>
      </c>
      <c r="AG5631" t="s">
        <v>43</v>
      </c>
      <c r="AH5631" t="s">
        <v>43</v>
      </c>
      <c r="AI5631" t="s">
        <v>43</v>
      </c>
      <c r="AJ5631" t="s">
        <v>43</v>
      </c>
      <c r="AK5631" t="s">
        <v>43</v>
      </c>
      <c r="AL5631" t="s">
        <v>43</v>
      </c>
      <c r="AM5631" t="s">
        <v>43</v>
      </c>
      <c r="AN5631" t="str">
        <f>HYPERLINK("https://www.google.com/maps?q=10.83316135,79.84577179","Open Location")</f>
        <v>Open Location</v>
      </c>
    </row>
    <row r="5632" spans="1:40" x14ac:dyDescent="0.3">
      <c r="A5632" s="1">
        <v>46210.347453703704</v>
      </c>
      <c r="B5632" t="s">
        <v>40</v>
      </c>
      <c r="C5632" t="s">
        <v>41</v>
      </c>
      <c r="D5632" s="1">
        <v>46210.350358796299</v>
      </c>
      <c r="E5632" t="s">
        <v>42</v>
      </c>
      <c r="F5632" t="s">
        <v>43</v>
      </c>
      <c r="G5632" t="s">
        <v>43</v>
      </c>
      <c r="H5632" t="s">
        <v>43</v>
      </c>
      <c r="I5632" t="s">
        <v>3164</v>
      </c>
      <c r="J5632" t="s">
        <v>43</v>
      </c>
      <c r="K5632" t="s">
        <v>43</v>
      </c>
      <c r="L5632" t="s">
        <v>43</v>
      </c>
      <c r="M5632" t="s">
        <v>43</v>
      </c>
      <c r="N5632" t="s">
        <v>45</v>
      </c>
      <c r="O5632" t="s">
        <v>43</v>
      </c>
      <c r="P5632" t="s">
        <v>43</v>
      </c>
      <c r="Q5632" t="s">
        <v>43</v>
      </c>
      <c r="R5632" t="s">
        <v>43</v>
      </c>
      <c r="S5632" t="s">
        <v>43</v>
      </c>
      <c r="T5632" t="s">
        <v>43</v>
      </c>
      <c r="U5632" t="s">
        <v>43</v>
      </c>
      <c r="V5632" t="s">
        <v>43</v>
      </c>
      <c r="W5632" t="s">
        <v>43</v>
      </c>
      <c r="X5632" t="s">
        <v>43</v>
      </c>
      <c r="Y5632" t="s">
        <v>43</v>
      </c>
      <c r="Z5632" t="s">
        <v>43</v>
      </c>
      <c r="AA5632" t="s">
        <v>43</v>
      </c>
      <c r="AB5632" t="s">
        <v>43</v>
      </c>
      <c r="AC5632" t="s">
        <v>43</v>
      </c>
      <c r="AD5632" t="s">
        <v>43</v>
      </c>
      <c r="AE5632" t="s">
        <v>43</v>
      </c>
      <c r="AF5632" t="s">
        <v>43</v>
      </c>
      <c r="AG5632" t="s">
        <v>43</v>
      </c>
      <c r="AH5632" t="s">
        <v>43</v>
      </c>
      <c r="AI5632" t="s">
        <v>43</v>
      </c>
      <c r="AJ5632" t="s">
        <v>43</v>
      </c>
      <c r="AK5632" t="s">
        <v>43</v>
      </c>
      <c r="AL5632" t="s">
        <v>43</v>
      </c>
      <c r="AM5632" t="s">
        <v>43</v>
      </c>
      <c r="AN5632" t="str">
        <f>HYPERLINK("https://www.google.com/maps?q=10.83316135,79.84577179","Open Location")</f>
        <v>Open Location</v>
      </c>
    </row>
    <row r="5633" spans="1:40" x14ac:dyDescent="0.3">
      <c r="A5633" s="1">
        <v>46210.347337962965</v>
      </c>
      <c r="B5633" t="s">
        <v>40</v>
      </c>
      <c r="C5633" t="s">
        <v>41</v>
      </c>
      <c r="D5633" s="1">
        <v>46210.350138888891</v>
      </c>
      <c r="E5633" t="s">
        <v>42</v>
      </c>
      <c r="F5633" t="s">
        <v>43</v>
      </c>
      <c r="G5633" t="s">
        <v>43</v>
      </c>
      <c r="H5633" t="s">
        <v>43</v>
      </c>
      <c r="I5633" t="s">
        <v>3201</v>
      </c>
      <c r="J5633" t="s">
        <v>43</v>
      </c>
      <c r="K5633" t="s">
        <v>43</v>
      </c>
      <c r="L5633" t="s">
        <v>43</v>
      </c>
      <c r="M5633" t="s">
        <v>43</v>
      </c>
      <c r="N5633" t="s">
        <v>45</v>
      </c>
      <c r="O5633" t="s">
        <v>43</v>
      </c>
      <c r="P5633" t="s">
        <v>43</v>
      </c>
      <c r="Q5633" t="s">
        <v>43</v>
      </c>
      <c r="R5633" t="s">
        <v>43</v>
      </c>
      <c r="S5633" t="s">
        <v>43</v>
      </c>
      <c r="T5633" t="s">
        <v>43</v>
      </c>
      <c r="U5633" t="s">
        <v>43</v>
      </c>
      <c r="V5633" t="s">
        <v>43</v>
      </c>
      <c r="W5633" t="s">
        <v>43</v>
      </c>
      <c r="X5633" t="s">
        <v>43</v>
      </c>
      <c r="Y5633" t="s">
        <v>43</v>
      </c>
      <c r="Z5633" t="s">
        <v>43</v>
      </c>
      <c r="AA5633" t="s">
        <v>43</v>
      </c>
      <c r="AB5633" t="s">
        <v>43</v>
      </c>
      <c r="AC5633" t="s">
        <v>43</v>
      </c>
      <c r="AD5633" t="s">
        <v>43</v>
      </c>
      <c r="AE5633" t="s">
        <v>43</v>
      </c>
      <c r="AF5633" t="s">
        <v>43</v>
      </c>
      <c r="AG5633" t="s">
        <v>43</v>
      </c>
      <c r="AH5633" t="s">
        <v>43</v>
      </c>
      <c r="AI5633" t="s">
        <v>43</v>
      </c>
      <c r="AJ5633" t="s">
        <v>43</v>
      </c>
      <c r="AK5633" t="s">
        <v>43</v>
      </c>
      <c r="AL5633" t="s">
        <v>43</v>
      </c>
      <c r="AM5633" t="s">
        <v>43</v>
      </c>
      <c r="AN5633" t="str">
        <f>HYPERLINK("https://www.google.com/maps?q=10.83316422,79.84577179","Open Location")</f>
        <v>Open Location</v>
      </c>
    </row>
    <row r="5634" spans="1:40" x14ac:dyDescent="0.3">
      <c r="A5634" s="1">
        <v>46210.347222222219</v>
      </c>
      <c r="B5634" t="s">
        <v>40</v>
      </c>
      <c r="C5634" t="s">
        <v>41</v>
      </c>
      <c r="D5634" s="1">
        <v>46210.350138888891</v>
      </c>
      <c r="E5634" t="s">
        <v>42</v>
      </c>
      <c r="F5634" t="s">
        <v>43</v>
      </c>
      <c r="G5634" t="s">
        <v>43</v>
      </c>
      <c r="H5634" t="s">
        <v>43</v>
      </c>
      <c r="I5634" t="s">
        <v>43</v>
      </c>
      <c r="J5634" t="s">
        <v>43</v>
      </c>
      <c r="K5634" t="s">
        <v>43</v>
      </c>
      <c r="L5634" t="s">
        <v>43</v>
      </c>
      <c r="M5634" t="s">
        <v>43</v>
      </c>
      <c r="N5634" t="s">
        <v>45</v>
      </c>
      <c r="O5634" t="s">
        <v>43</v>
      </c>
      <c r="P5634" t="s">
        <v>43</v>
      </c>
      <c r="Q5634" t="s">
        <v>43</v>
      </c>
      <c r="R5634" t="s">
        <v>43</v>
      </c>
      <c r="S5634" t="s">
        <v>43</v>
      </c>
      <c r="T5634" t="s">
        <v>43</v>
      </c>
      <c r="U5634" t="s">
        <v>43</v>
      </c>
      <c r="V5634" t="s">
        <v>43</v>
      </c>
      <c r="W5634" t="s">
        <v>43</v>
      </c>
      <c r="X5634" t="s">
        <v>43</v>
      </c>
      <c r="Y5634" t="s">
        <v>43</v>
      </c>
      <c r="Z5634" t="s">
        <v>43</v>
      </c>
      <c r="AA5634" t="s">
        <v>43</v>
      </c>
      <c r="AB5634" t="s">
        <v>43</v>
      </c>
      <c r="AC5634" t="s">
        <v>43</v>
      </c>
      <c r="AD5634" t="s">
        <v>43</v>
      </c>
      <c r="AE5634" t="s">
        <v>43</v>
      </c>
      <c r="AF5634" t="s">
        <v>43</v>
      </c>
      <c r="AG5634" t="s">
        <v>43</v>
      </c>
      <c r="AH5634" t="s">
        <v>43</v>
      </c>
      <c r="AI5634" t="s">
        <v>43</v>
      </c>
      <c r="AJ5634" t="s">
        <v>43</v>
      </c>
      <c r="AK5634" t="s">
        <v>43</v>
      </c>
      <c r="AL5634" t="s">
        <v>43</v>
      </c>
      <c r="AM5634" t="s">
        <v>43</v>
      </c>
      <c r="AN5634" t="s">
        <v>43</v>
      </c>
    </row>
    <row r="5635" spans="1:40" x14ac:dyDescent="0.3">
      <c r="A5635" s="1">
        <v>46210.34710648148</v>
      </c>
      <c r="B5635" t="s">
        <v>40</v>
      </c>
      <c r="C5635" t="s">
        <v>41</v>
      </c>
      <c r="D5635" s="1">
        <v>46210.349907407406</v>
      </c>
      <c r="E5635" t="s">
        <v>42</v>
      </c>
      <c r="F5635" t="s">
        <v>43</v>
      </c>
      <c r="G5635" t="s">
        <v>43</v>
      </c>
      <c r="H5635" t="s">
        <v>43</v>
      </c>
      <c r="I5635" t="s">
        <v>3201</v>
      </c>
      <c r="J5635" t="s">
        <v>43</v>
      </c>
      <c r="K5635" t="s">
        <v>43</v>
      </c>
      <c r="L5635" t="s">
        <v>43</v>
      </c>
      <c r="M5635" t="s">
        <v>43</v>
      </c>
      <c r="N5635" t="s">
        <v>45</v>
      </c>
      <c r="O5635" t="s">
        <v>43</v>
      </c>
      <c r="P5635" t="s">
        <v>43</v>
      </c>
      <c r="Q5635" t="s">
        <v>43</v>
      </c>
      <c r="R5635" t="s">
        <v>43</v>
      </c>
      <c r="S5635" t="s">
        <v>43</v>
      </c>
      <c r="T5635" t="s">
        <v>43</v>
      </c>
      <c r="U5635" t="s">
        <v>43</v>
      </c>
      <c r="V5635" t="s">
        <v>43</v>
      </c>
      <c r="W5635" t="s">
        <v>43</v>
      </c>
      <c r="X5635" t="s">
        <v>43</v>
      </c>
      <c r="Y5635" t="s">
        <v>43</v>
      </c>
      <c r="Z5635" t="s">
        <v>43</v>
      </c>
      <c r="AA5635" t="s">
        <v>43</v>
      </c>
      <c r="AB5635" t="s">
        <v>43</v>
      </c>
      <c r="AC5635" t="s">
        <v>43</v>
      </c>
      <c r="AD5635" t="s">
        <v>43</v>
      </c>
      <c r="AE5635" t="s">
        <v>43</v>
      </c>
      <c r="AF5635" t="s">
        <v>43</v>
      </c>
      <c r="AG5635" t="s">
        <v>43</v>
      </c>
      <c r="AH5635" t="s">
        <v>43</v>
      </c>
      <c r="AI5635" t="s">
        <v>43</v>
      </c>
      <c r="AJ5635" t="s">
        <v>43</v>
      </c>
      <c r="AK5635" t="s">
        <v>43</v>
      </c>
      <c r="AL5635" t="s">
        <v>43</v>
      </c>
      <c r="AM5635" t="s">
        <v>43</v>
      </c>
      <c r="AN5635" t="str">
        <f>HYPERLINK("https://www.google.com/maps?q=10.83316422,79.84577179","Open Location")</f>
        <v>Open Location</v>
      </c>
    </row>
    <row r="5636" spans="1:40" x14ac:dyDescent="0.3">
      <c r="A5636" s="1">
        <v>46210.346990740742</v>
      </c>
      <c r="B5636" t="s">
        <v>40</v>
      </c>
      <c r="C5636" t="s">
        <v>41</v>
      </c>
      <c r="D5636" s="1">
        <v>46210.350185185183</v>
      </c>
      <c r="E5636" t="s">
        <v>42</v>
      </c>
      <c r="F5636" t="s">
        <v>43</v>
      </c>
      <c r="G5636" t="s">
        <v>43</v>
      </c>
      <c r="H5636" t="s">
        <v>43</v>
      </c>
      <c r="I5636" t="s">
        <v>3199</v>
      </c>
      <c r="J5636" t="s">
        <v>43</v>
      </c>
      <c r="K5636" t="s">
        <v>43</v>
      </c>
      <c r="L5636" t="s">
        <v>43</v>
      </c>
      <c r="M5636" t="s">
        <v>43</v>
      </c>
      <c r="N5636" t="s">
        <v>45</v>
      </c>
      <c r="O5636" t="s">
        <v>43</v>
      </c>
      <c r="P5636" t="s">
        <v>43</v>
      </c>
      <c r="Q5636" t="s">
        <v>43</v>
      </c>
      <c r="R5636" t="s">
        <v>43</v>
      </c>
      <c r="S5636" t="s">
        <v>43</v>
      </c>
      <c r="T5636" t="s">
        <v>43</v>
      </c>
      <c r="U5636" t="s">
        <v>43</v>
      </c>
      <c r="V5636" t="s">
        <v>43</v>
      </c>
      <c r="W5636" t="s">
        <v>43</v>
      </c>
      <c r="X5636" t="s">
        <v>43</v>
      </c>
      <c r="Y5636" t="s">
        <v>43</v>
      </c>
      <c r="Z5636" t="s">
        <v>43</v>
      </c>
      <c r="AA5636" t="s">
        <v>43</v>
      </c>
      <c r="AB5636" t="s">
        <v>43</v>
      </c>
      <c r="AC5636" t="s">
        <v>43</v>
      </c>
      <c r="AD5636" t="s">
        <v>43</v>
      </c>
      <c r="AE5636" t="s">
        <v>43</v>
      </c>
      <c r="AF5636" t="s">
        <v>43</v>
      </c>
      <c r="AG5636" t="s">
        <v>43</v>
      </c>
      <c r="AH5636" t="s">
        <v>43</v>
      </c>
      <c r="AI5636" t="s">
        <v>43</v>
      </c>
      <c r="AJ5636" t="s">
        <v>43</v>
      </c>
      <c r="AK5636" t="s">
        <v>43</v>
      </c>
      <c r="AL5636" t="s">
        <v>43</v>
      </c>
      <c r="AM5636" t="s">
        <v>43</v>
      </c>
      <c r="AN5636" t="str">
        <f>HYPERLINK("https://www.google.com/maps?q=10.83316612,79.84577179","Open Location")</f>
        <v>Open Location</v>
      </c>
    </row>
    <row r="5637" spans="1:40" x14ac:dyDescent="0.3">
      <c r="A5637" s="1">
        <v>46210.346875000003</v>
      </c>
      <c r="B5637" t="s">
        <v>40</v>
      </c>
      <c r="C5637" t="s">
        <v>41</v>
      </c>
      <c r="D5637" s="1">
        <v>46210.349780092591</v>
      </c>
      <c r="E5637" t="s">
        <v>42</v>
      </c>
      <c r="F5637" t="s">
        <v>43</v>
      </c>
      <c r="G5637" t="s">
        <v>43</v>
      </c>
      <c r="H5637" t="s">
        <v>43</v>
      </c>
      <c r="I5637" t="s">
        <v>3202</v>
      </c>
      <c r="J5637" t="s">
        <v>43</v>
      </c>
      <c r="K5637" t="s">
        <v>43</v>
      </c>
      <c r="L5637" t="s">
        <v>43</v>
      </c>
      <c r="M5637" t="s">
        <v>43</v>
      </c>
      <c r="N5637" t="s">
        <v>45</v>
      </c>
      <c r="O5637" t="s">
        <v>43</v>
      </c>
      <c r="P5637" t="s">
        <v>43</v>
      </c>
      <c r="Q5637" t="s">
        <v>43</v>
      </c>
      <c r="R5637" t="s">
        <v>43</v>
      </c>
      <c r="S5637" t="s">
        <v>43</v>
      </c>
      <c r="T5637" t="s">
        <v>43</v>
      </c>
      <c r="U5637" t="s">
        <v>43</v>
      </c>
      <c r="V5637" t="s">
        <v>43</v>
      </c>
      <c r="W5637" t="s">
        <v>43</v>
      </c>
      <c r="X5637" t="s">
        <v>43</v>
      </c>
      <c r="Y5637" t="s">
        <v>43</v>
      </c>
      <c r="Z5637" t="s">
        <v>43</v>
      </c>
      <c r="AA5637" t="s">
        <v>43</v>
      </c>
      <c r="AB5637" t="s">
        <v>43</v>
      </c>
      <c r="AC5637" t="s">
        <v>43</v>
      </c>
      <c r="AD5637" t="s">
        <v>43</v>
      </c>
      <c r="AE5637" t="s">
        <v>43</v>
      </c>
      <c r="AF5637" t="s">
        <v>43</v>
      </c>
      <c r="AG5637" t="s">
        <v>43</v>
      </c>
      <c r="AH5637" t="s">
        <v>43</v>
      </c>
      <c r="AI5637" t="s">
        <v>43</v>
      </c>
      <c r="AJ5637" t="s">
        <v>43</v>
      </c>
      <c r="AK5637" t="s">
        <v>43</v>
      </c>
      <c r="AL5637" t="s">
        <v>43</v>
      </c>
      <c r="AM5637" t="s">
        <v>43</v>
      </c>
      <c r="AN5637" t="str">
        <f>HYPERLINK("https://www.google.com/maps?q=10.83316708,79.84577179","Open Location")</f>
        <v>Open Location</v>
      </c>
    </row>
    <row r="5638" spans="1:40" x14ac:dyDescent="0.3">
      <c r="A5638" s="1">
        <v>46210.346759259257</v>
      </c>
      <c r="B5638" t="s">
        <v>40</v>
      </c>
      <c r="C5638" t="s">
        <v>41</v>
      </c>
      <c r="D5638" s="1">
        <v>46210.349780092591</v>
      </c>
      <c r="E5638" t="s">
        <v>42</v>
      </c>
      <c r="F5638" t="s">
        <v>43</v>
      </c>
      <c r="G5638" t="s">
        <v>43</v>
      </c>
      <c r="H5638" t="s">
        <v>43</v>
      </c>
      <c r="I5638" t="s">
        <v>3203</v>
      </c>
      <c r="J5638" t="s">
        <v>43</v>
      </c>
      <c r="K5638" t="s">
        <v>43</v>
      </c>
      <c r="L5638" t="s">
        <v>43</v>
      </c>
      <c r="M5638" t="s">
        <v>43</v>
      </c>
      <c r="N5638" t="s">
        <v>45</v>
      </c>
      <c r="O5638" t="s">
        <v>43</v>
      </c>
      <c r="P5638" t="s">
        <v>43</v>
      </c>
      <c r="Q5638" t="s">
        <v>43</v>
      </c>
      <c r="R5638" t="s">
        <v>43</v>
      </c>
      <c r="S5638" t="s">
        <v>43</v>
      </c>
      <c r="T5638" t="s">
        <v>43</v>
      </c>
      <c r="U5638" t="s">
        <v>43</v>
      </c>
      <c r="V5638" t="s">
        <v>43</v>
      </c>
      <c r="W5638" t="s">
        <v>43</v>
      </c>
      <c r="X5638" t="s">
        <v>43</v>
      </c>
      <c r="Y5638" t="s">
        <v>43</v>
      </c>
      <c r="Z5638" t="s">
        <v>43</v>
      </c>
      <c r="AA5638" t="s">
        <v>43</v>
      </c>
      <c r="AB5638" t="s">
        <v>43</v>
      </c>
      <c r="AC5638" t="s">
        <v>43</v>
      </c>
      <c r="AD5638" t="s">
        <v>43</v>
      </c>
      <c r="AE5638" t="s">
        <v>43</v>
      </c>
      <c r="AF5638" t="s">
        <v>43</v>
      </c>
      <c r="AG5638" t="s">
        <v>43</v>
      </c>
      <c r="AH5638" t="s">
        <v>43</v>
      </c>
      <c r="AI5638" t="s">
        <v>43</v>
      </c>
      <c r="AJ5638" t="s">
        <v>43</v>
      </c>
      <c r="AK5638" t="s">
        <v>43</v>
      </c>
      <c r="AL5638" t="s">
        <v>43</v>
      </c>
      <c r="AM5638" t="s">
        <v>43</v>
      </c>
      <c r="AN5638" t="str">
        <f>HYPERLINK("https://www.google.com/maps?q=10.83316803,79.84577179","Open Location")</f>
        <v>Open Location</v>
      </c>
    </row>
    <row r="5639" spans="1:40" x14ac:dyDescent="0.3">
      <c r="A5639" s="1">
        <v>46210.346643518518</v>
      </c>
      <c r="B5639" t="s">
        <v>40</v>
      </c>
      <c r="C5639" t="s">
        <v>41</v>
      </c>
      <c r="D5639" s="1">
        <v>46210.349583333336</v>
      </c>
      <c r="E5639" t="s">
        <v>42</v>
      </c>
      <c r="F5639" t="s">
        <v>43</v>
      </c>
      <c r="G5639" t="s">
        <v>43</v>
      </c>
      <c r="H5639" t="s">
        <v>43</v>
      </c>
      <c r="I5639" t="s">
        <v>3204</v>
      </c>
      <c r="J5639" t="s">
        <v>43</v>
      </c>
      <c r="K5639" t="s">
        <v>43</v>
      </c>
      <c r="L5639" t="s">
        <v>43</v>
      </c>
      <c r="M5639" t="s">
        <v>43</v>
      </c>
      <c r="N5639" t="s">
        <v>45</v>
      </c>
      <c r="O5639" t="s">
        <v>43</v>
      </c>
      <c r="P5639" t="s">
        <v>43</v>
      </c>
      <c r="Q5639" t="s">
        <v>43</v>
      </c>
      <c r="R5639" t="s">
        <v>43</v>
      </c>
      <c r="S5639" t="s">
        <v>43</v>
      </c>
      <c r="T5639" t="s">
        <v>43</v>
      </c>
      <c r="U5639" t="s">
        <v>43</v>
      </c>
      <c r="V5639" t="s">
        <v>43</v>
      </c>
      <c r="W5639" t="s">
        <v>43</v>
      </c>
      <c r="X5639" t="s">
        <v>43</v>
      </c>
      <c r="Y5639" t="s">
        <v>43</v>
      </c>
      <c r="Z5639" t="s">
        <v>43</v>
      </c>
      <c r="AA5639" t="s">
        <v>43</v>
      </c>
      <c r="AB5639" t="s">
        <v>43</v>
      </c>
      <c r="AC5639" t="s">
        <v>43</v>
      </c>
      <c r="AD5639" t="s">
        <v>43</v>
      </c>
      <c r="AE5639" t="s">
        <v>43</v>
      </c>
      <c r="AF5639" t="s">
        <v>43</v>
      </c>
      <c r="AG5639" t="s">
        <v>43</v>
      </c>
      <c r="AH5639" t="s">
        <v>43</v>
      </c>
      <c r="AI5639" t="s">
        <v>43</v>
      </c>
      <c r="AJ5639" t="s">
        <v>43</v>
      </c>
      <c r="AK5639" t="s">
        <v>43</v>
      </c>
      <c r="AL5639" t="s">
        <v>43</v>
      </c>
      <c r="AM5639" t="s">
        <v>43</v>
      </c>
      <c r="AN5639" t="str">
        <f>HYPERLINK("https://www.google.com/maps?q=10.83317089,79.84577179","Open Location")</f>
        <v>Open Location</v>
      </c>
    </row>
    <row r="5640" spans="1:40" x14ac:dyDescent="0.3">
      <c r="A5640" s="1">
        <v>46210.34652777778</v>
      </c>
      <c r="B5640" t="s">
        <v>40</v>
      </c>
      <c r="C5640" t="s">
        <v>41</v>
      </c>
      <c r="D5640" s="1">
        <v>46210.349583333336</v>
      </c>
      <c r="E5640" t="s">
        <v>42</v>
      </c>
      <c r="F5640" t="s">
        <v>43</v>
      </c>
      <c r="G5640" t="s">
        <v>43</v>
      </c>
      <c r="H5640" t="s">
        <v>43</v>
      </c>
      <c r="I5640" t="s">
        <v>43</v>
      </c>
      <c r="J5640" t="s">
        <v>43</v>
      </c>
      <c r="K5640" t="s">
        <v>43</v>
      </c>
      <c r="L5640" t="s">
        <v>43</v>
      </c>
      <c r="M5640" t="s">
        <v>43</v>
      </c>
      <c r="N5640" t="s">
        <v>45</v>
      </c>
      <c r="O5640" t="s">
        <v>43</v>
      </c>
      <c r="P5640" t="s">
        <v>43</v>
      </c>
      <c r="Q5640" t="s">
        <v>43</v>
      </c>
      <c r="R5640" t="s">
        <v>43</v>
      </c>
      <c r="S5640" t="s">
        <v>43</v>
      </c>
      <c r="T5640" t="s">
        <v>43</v>
      </c>
      <c r="U5640" t="s">
        <v>43</v>
      </c>
      <c r="V5640" t="s">
        <v>43</v>
      </c>
      <c r="W5640" t="s">
        <v>43</v>
      </c>
      <c r="X5640" t="s">
        <v>43</v>
      </c>
      <c r="Y5640" t="s">
        <v>43</v>
      </c>
      <c r="Z5640" t="s">
        <v>43</v>
      </c>
      <c r="AA5640" t="s">
        <v>43</v>
      </c>
      <c r="AB5640" t="s">
        <v>43</v>
      </c>
      <c r="AC5640" t="s">
        <v>43</v>
      </c>
      <c r="AD5640" t="s">
        <v>43</v>
      </c>
      <c r="AE5640" t="s">
        <v>43</v>
      </c>
      <c r="AF5640" t="s">
        <v>43</v>
      </c>
      <c r="AG5640" t="s">
        <v>43</v>
      </c>
      <c r="AH5640" t="s">
        <v>43</v>
      </c>
      <c r="AI5640" t="s">
        <v>43</v>
      </c>
      <c r="AJ5640" t="s">
        <v>43</v>
      </c>
      <c r="AK5640" t="s">
        <v>43</v>
      </c>
      <c r="AL5640" t="s">
        <v>43</v>
      </c>
      <c r="AM5640" t="s">
        <v>43</v>
      </c>
      <c r="AN5640" t="s">
        <v>43</v>
      </c>
    </row>
    <row r="5641" spans="1:40" x14ac:dyDescent="0.3">
      <c r="A5641" s="1">
        <v>46210.346412037034</v>
      </c>
      <c r="B5641" t="s">
        <v>40</v>
      </c>
      <c r="C5641" t="s">
        <v>41</v>
      </c>
      <c r="D5641" s="1">
        <v>46210.349236111113</v>
      </c>
      <c r="E5641" t="s">
        <v>42</v>
      </c>
      <c r="F5641" t="s">
        <v>43</v>
      </c>
      <c r="G5641" t="s">
        <v>43</v>
      </c>
      <c r="H5641" t="s">
        <v>43</v>
      </c>
      <c r="I5641" t="s">
        <v>3187</v>
      </c>
      <c r="J5641" t="s">
        <v>43</v>
      </c>
      <c r="K5641" t="s">
        <v>43</v>
      </c>
      <c r="L5641" t="s">
        <v>43</v>
      </c>
      <c r="M5641" t="s">
        <v>43</v>
      </c>
      <c r="N5641" t="s">
        <v>45</v>
      </c>
      <c r="O5641" t="s">
        <v>43</v>
      </c>
      <c r="P5641" t="s">
        <v>43</v>
      </c>
      <c r="Q5641" t="s">
        <v>43</v>
      </c>
      <c r="R5641" t="s">
        <v>43</v>
      </c>
      <c r="S5641" t="s">
        <v>43</v>
      </c>
      <c r="T5641" t="s">
        <v>43</v>
      </c>
      <c r="U5641" t="s">
        <v>43</v>
      </c>
      <c r="V5641" t="s">
        <v>43</v>
      </c>
      <c r="W5641" t="s">
        <v>43</v>
      </c>
      <c r="X5641" t="s">
        <v>43</v>
      </c>
      <c r="Y5641" t="s">
        <v>43</v>
      </c>
      <c r="Z5641" t="s">
        <v>43</v>
      </c>
      <c r="AA5641" t="s">
        <v>43</v>
      </c>
      <c r="AB5641" t="s">
        <v>43</v>
      </c>
      <c r="AC5641" t="s">
        <v>43</v>
      </c>
      <c r="AD5641" t="s">
        <v>43</v>
      </c>
      <c r="AE5641" t="s">
        <v>43</v>
      </c>
      <c r="AF5641" t="s">
        <v>43</v>
      </c>
      <c r="AG5641" t="s">
        <v>43</v>
      </c>
      <c r="AH5641" t="s">
        <v>43</v>
      </c>
      <c r="AI5641" t="s">
        <v>43</v>
      </c>
      <c r="AJ5641" t="s">
        <v>43</v>
      </c>
      <c r="AK5641" t="s">
        <v>43</v>
      </c>
      <c r="AL5641" t="s">
        <v>43</v>
      </c>
      <c r="AM5641" t="s">
        <v>43</v>
      </c>
      <c r="AN5641" t="str">
        <f>HYPERLINK("https://www.google.com/maps?q=10.83317471,79.84575653","Open Location")</f>
        <v>Open Location</v>
      </c>
    </row>
    <row r="5642" spans="1:40" x14ac:dyDescent="0.3">
      <c r="A5642" s="1">
        <v>46210.346296296295</v>
      </c>
      <c r="B5642" t="s">
        <v>40</v>
      </c>
      <c r="C5642" t="s">
        <v>41</v>
      </c>
      <c r="D5642" s="1">
        <v>46210.349421296298</v>
      </c>
      <c r="E5642" t="s">
        <v>42</v>
      </c>
      <c r="F5642" t="s">
        <v>43</v>
      </c>
      <c r="G5642" t="s">
        <v>43</v>
      </c>
      <c r="H5642" t="s">
        <v>43</v>
      </c>
      <c r="I5642" t="s">
        <v>3196</v>
      </c>
      <c r="J5642" t="s">
        <v>43</v>
      </c>
      <c r="K5642" t="s">
        <v>43</v>
      </c>
      <c r="L5642" t="s">
        <v>43</v>
      </c>
      <c r="M5642" t="s">
        <v>43</v>
      </c>
      <c r="N5642" t="s">
        <v>45</v>
      </c>
      <c r="O5642" t="s">
        <v>43</v>
      </c>
      <c r="P5642" t="s">
        <v>43</v>
      </c>
      <c r="Q5642" t="s">
        <v>43</v>
      </c>
      <c r="R5642" t="s">
        <v>43</v>
      </c>
      <c r="S5642" t="s">
        <v>43</v>
      </c>
      <c r="T5642" t="s">
        <v>43</v>
      </c>
      <c r="U5642" t="s">
        <v>43</v>
      </c>
      <c r="V5642" t="s">
        <v>43</v>
      </c>
      <c r="W5642" t="s">
        <v>43</v>
      </c>
      <c r="X5642" t="s">
        <v>43</v>
      </c>
      <c r="Y5642" t="s">
        <v>43</v>
      </c>
      <c r="Z5642" t="s">
        <v>43</v>
      </c>
      <c r="AA5642" t="s">
        <v>43</v>
      </c>
      <c r="AB5642" t="s">
        <v>43</v>
      </c>
      <c r="AC5642" t="s">
        <v>43</v>
      </c>
      <c r="AD5642" t="s">
        <v>43</v>
      </c>
      <c r="AE5642" t="s">
        <v>43</v>
      </c>
      <c r="AF5642" t="s">
        <v>43</v>
      </c>
      <c r="AG5642" t="s">
        <v>43</v>
      </c>
      <c r="AH5642" t="s">
        <v>43</v>
      </c>
      <c r="AI5642" t="s">
        <v>43</v>
      </c>
      <c r="AJ5642" t="s">
        <v>43</v>
      </c>
      <c r="AK5642" t="s">
        <v>43</v>
      </c>
      <c r="AL5642" t="s">
        <v>43</v>
      </c>
      <c r="AM5642" t="s">
        <v>43</v>
      </c>
      <c r="AN5642" t="str">
        <f>HYPERLINK("https://www.google.com/maps?q=10.83317566,79.84575653","Open Location")</f>
        <v>Open Location</v>
      </c>
    </row>
    <row r="5643" spans="1:40" x14ac:dyDescent="0.3">
      <c r="A5643" s="1">
        <v>46210.346180555556</v>
      </c>
      <c r="B5643" t="s">
        <v>40</v>
      </c>
      <c r="C5643" t="s">
        <v>41</v>
      </c>
      <c r="D5643" s="1">
        <v>46210.34920138889</v>
      </c>
      <c r="E5643" t="s">
        <v>42</v>
      </c>
      <c r="F5643" t="s">
        <v>43</v>
      </c>
      <c r="G5643" t="s">
        <v>43</v>
      </c>
      <c r="H5643" t="s">
        <v>43</v>
      </c>
      <c r="I5643" t="s">
        <v>3187</v>
      </c>
      <c r="J5643" t="s">
        <v>43</v>
      </c>
      <c r="K5643" t="s">
        <v>43</v>
      </c>
      <c r="L5643" t="s">
        <v>43</v>
      </c>
      <c r="M5643" t="s">
        <v>43</v>
      </c>
      <c r="N5643" t="s">
        <v>45</v>
      </c>
      <c r="O5643" t="s">
        <v>43</v>
      </c>
      <c r="P5643" t="s">
        <v>43</v>
      </c>
      <c r="Q5643" t="s">
        <v>43</v>
      </c>
      <c r="R5643" t="s">
        <v>43</v>
      </c>
      <c r="S5643" t="s">
        <v>43</v>
      </c>
      <c r="T5643" t="s">
        <v>43</v>
      </c>
      <c r="U5643" t="s">
        <v>43</v>
      </c>
      <c r="V5643" t="s">
        <v>43</v>
      </c>
      <c r="W5643" t="s">
        <v>43</v>
      </c>
      <c r="X5643" t="s">
        <v>43</v>
      </c>
      <c r="Y5643" t="s">
        <v>43</v>
      </c>
      <c r="Z5643" t="s">
        <v>43</v>
      </c>
      <c r="AA5643" t="s">
        <v>43</v>
      </c>
      <c r="AB5643" t="s">
        <v>43</v>
      </c>
      <c r="AC5643" t="s">
        <v>43</v>
      </c>
      <c r="AD5643" t="s">
        <v>43</v>
      </c>
      <c r="AE5643" t="s">
        <v>43</v>
      </c>
      <c r="AF5643" t="s">
        <v>43</v>
      </c>
      <c r="AG5643" t="s">
        <v>43</v>
      </c>
      <c r="AH5643" t="s">
        <v>43</v>
      </c>
      <c r="AI5643" t="s">
        <v>43</v>
      </c>
      <c r="AJ5643" t="s">
        <v>43</v>
      </c>
      <c r="AK5643" t="s">
        <v>43</v>
      </c>
      <c r="AL5643" t="s">
        <v>43</v>
      </c>
      <c r="AM5643" t="s">
        <v>43</v>
      </c>
      <c r="AN5643" t="str">
        <f>HYPERLINK("https://www.google.com/maps?q=10.83317471,79.84575653","Open Location")</f>
        <v>Open Location</v>
      </c>
    </row>
    <row r="5644" spans="1:40" x14ac:dyDescent="0.3">
      <c r="A5644" s="1">
        <v>46210.346064814818</v>
      </c>
      <c r="B5644" t="s">
        <v>40</v>
      </c>
      <c r="C5644" t="s">
        <v>41</v>
      </c>
      <c r="D5644" s="1">
        <v>46210.349317129629</v>
      </c>
      <c r="E5644" t="s">
        <v>42</v>
      </c>
      <c r="F5644" t="s">
        <v>43</v>
      </c>
      <c r="G5644" t="s">
        <v>43</v>
      </c>
      <c r="H5644" t="s">
        <v>43</v>
      </c>
      <c r="I5644" t="s">
        <v>3186</v>
      </c>
      <c r="J5644" t="s">
        <v>43</v>
      </c>
      <c r="K5644" t="s">
        <v>43</v>
      </c>
      <c r="L5644" t="s">
        <v>43</v>
      </c>
      <c r="M5644" t="s">
        <v>43</v>
      </c>
      <c r="N5644" t="s">
        <v>45</v>
      </c>
      <c r="O5644" t="s">
        <v>43</v>
      </c>
      <c r="P5644" t="s">
        <v>43</v>
      </c>
      <c r="Q5644" t="s">
        <v>43</v>
      </c>
      <c r="R5644" t="s">
        <v>43</v>
      </c>
      <c r="S5644" t="s">
        <v>43</v>
      </c>
      <c r="T5644" t="s">
        <v>43</v>
      </c>
      <c r="U5644" t="s">
        <v>43</v>
      </c>
      <c r="V5644" t="s">
        <v>43</v>
      </c>
      <c r="W5644" t="s">
        <v>43</v>
      </c>
      <c r="X5644" t="s">
        <v>43</v>
      </c>
      <c r="Y5644" t="s">
        <v>43</v>
      </c>
      <c r="Z5644" t="s">
        <v>43</v>
      </c>
      <c r="AA5644" t="s">
        <v>43</v>
      </c>
      <c r="AB5644" t="s">
        <v>43</v>
      </c>
      <c r="AC5644" t="s">
        <v>43</v>
      </c>
      <c r="AD5644" t="s">
        <v>43</v>
      </c>
      <c r="AE5644" t="s">
        <v>43</v>
      </c>
      <c r="AF5644" t="s">
        <v>43</v>
      </c>
      <c r="AG5644" t="s">
        <v>43</v>
      </c>
      <c r="AH5644" t="s">
        <v>43</v>
      </c>
      <c r="AI5644" t="s">
        <v>43</v>
      </c>
      <c r="AJ5644" t="s">
        <v>43</v>
      </c>
      <c r="AK5644" t="s">
        <v>43</v>
      </c>
      <c r="AL5644" t="s">
        <v>43</v>
      </c>
      <c r="AM5644" t="s">
        <v>43</v>
      </c>
      <c r="AN5644" t="str">
        <f>HYPERLINK("https://www.google.com/maps?q=10.8331728,79.84575653","Open Location")</f>
        <v>Open Location</v>
      </c>
    </row>
    <row r="5645" spans="1:40" x14ac:dyDescent="0.3">
      <c r="A5645" s="1">
        <v>46210.345949074072</v>
      </c>
      <c r="B5645" t="s">
        <v>40</v>
      </c>
      <c r="C5645" t="s">
        <v>41</v>
      </c>
      <c r="D5645" s="1">
        <v>46210.348877314813</v>
      </c>
      <c r="E5645" t="s">
        <v>42</v>
      </c>
      <c r="F5645" t="s">
        <v>43</v>
      </c>
      <c r="G5645" t="s">
        <v>43</v>
      </c>
      <c r="H5645" t="s">
        <v>43</v>
      </c>
      <c r="I5645" t="s">
        <v>43</v>
      </c>
      <c r="J5645" t="s">
        <v>43</v>
      </c>
      <c r="K5645" t="s">
        <v>43</v>
      </c>
      <c r="L5645" t="s">
        <v>43</v>
      </c>
      <c r="M5645" t="s">
        <v>43</v>
      </c>
      <c r="N5645" t="s">
        <v>45</v>
      </c>
      <c r="O5645" t="s">
        <v>43</v>
      </c>
      <c r="P5645" t="s">
        <v>43</v>
      </c>
      <c r="Q5645" t="s">
        <v>43</v>
      </c>
      <c r="R5645" t="s">
        <v>43</v>
      </c>
      <c r="S5645" t="s">
        <v>43</v>
      </c>
      <c r="T5645" t="s">
        <v>43</v>
      </c>
      <c r="U5645" t="s">
        <v>43</v>
      </c>
      <c r="V5645" t="s">
        <v>43</v>
      </c>
      <c r="W5645" t="s">
        <v>43</v>
      </c>
      <c r="X5645" t="s">
        <v>43</v>
      </c>
      <c r="Y5645" t="s">
        <v>43</v>
      </c>
      <c r="Z5645" t="s">
        <v>43</v>
      </c>
      <c r="AA5645" t="s">
        <v>43</v>
      </c>
      <c r="AB5645" t="s">
        <v>43</v>
      </c>
      <c r="AC5645" t="s">
        <v>43</v>
      </c>
      <c r="AD5645" t="s">
        <v>43</v>
      </c>
      <c r="AE5645" t="s">
        <v>43</v>
      </c>
      <c r="AF5645" t="s">
        <v>43</v>
      </c>
      <c r="AG5645" t="s">
        <v>43</v>
      </c>
      <c r="AH5645" t="s">
        <v>43</v>
      </c>
      <c r="AI5645" t="s">
        <v>43</v>
      </c>
      <c r="AJ5645" t="s">
        <v>43</v>
      </c>
      <c r="AK5645" t="s">
        <v>43</v>
      </c>
      <c r="AL5645" t="s">
        <v>43</v>
      </c>
      <c r="AM5645" t="s">
        <v>43</v>
      </c>
      <c r="AN5645" t="s">
        <v>43</v>
      </c>
    </row>
    <row r="5646" spans="1:40" x14ac:dyDescent="0.3">
      <c r="A5646" s="1">
        <v>46210.345833333333</v>
      </c>
      <c r="B5646" t="s">
        <v>40</v>
      </c>
      <c r="C5646" t="s">
        <v>41</v>
      </c>
      <c r="D5646" s="1">
        <v>46210.348877314813</v>
      </c>
      <c r="E5646" t="s">
        <v>42</v>
      </c>
      <c r="F5646" t="s">
        <v>43</v>
      </c>
      <c r="G5646" t="s">
        <v>43</v>
      </c>
      <c r="H5646" t="s">
        <v>43</v>
      </c>
      <c r="I5646" t="s">
        <v>3186</v>
      </c>
      <c r="J5646" t="s">
        <v>43</v>
      </c>
      <c r="K5646" t="s">
        <v>43</v>
      </c>
      <c r="L5646" t="s">
        <v>43</v>
      </c>
      <c r="M5646" t="s">
        <v>43</v>
      </c>
      <c r="N5646" t="s">
        <v>45</v>
      </c>
      <c r="O5646" t="s">
        <v>43</v>
      </c>
      <c r="P5646" t="s">
        <v>43</v>
      </c>
      <c r="Q5646" t="s">
        <v>43</v>
      </c>
      <c r="R5646" t="s">
        <v>43</v>
      </c>
      <c r="S5646" t="s">
        <v>43</v>
      </c>
      <c r="T5646" t="s">
        <v>43</v>
      </c>
      <c r="U5646" t="s">
        <v>43</v>
      </c>
      <c r="V5646" t="s">
        <v>43</v>
      </c>
      <c r="W5646" t="s">
        <v>43</v>
      </c>
      <c r="X5646" t="s">
        <v>43</v>
      </c>
      <c r="Y5646" t="s">
        <v>43</v>
      </c>
      <c r="Z5646" t="s">
        <v>43</v>
      </c>
      <c r="AA5646" t="s">
        <v>43</v>
      </c>
      <c r="AB5646" t="s">
        <v>43</v>
      </c>
      <c r="AC5646" t="s">
        <v>43</v>
      </c>
      <c r="AD5646" t="s">
        <v>43</v>
      </c>
      <c r="AE5646" t="s">
        <v>43</v>
      </c>
      <c r="AF5646" t="s">
        <v>43</v>
      </c>
      <c r="AG5646" t="s">
        <v>43</v>
      </c>
      <c r="AH5646" t="s">
        <v>43</v>
      </c>
      <c r="AI5646" t="s">
        <v>43</v>
      </c>
      <c r="AJ5646" t="s">
        <v>43</v>
      </c>
      <c r="AK5646" t="s">
        <v>43</v>
      </c>
      <c r="AL5646" t="s">
        <v>43</v>
      </c>
      <c r="AM5646" t="s">
        <v>43</v>
      </c>
      <c r="AN5646" t="str">
        <f>HYPERLINK("https://www.google.com/maps?q=10.8331728,79.84575653","Open Location")</f>
        <v>Open Location</v>
      </c>
    </row>
    <row r="5647" spans="1:40" x14ac:dyDescent="0.3">
      <c r="A5647" s="1">
        <v>46210.345717592594</v>
      </c>
      <c r="B5647" t="s">
        <v>40</v>
      </c>
      <c r="C5647" t="s">
        <v>41</v>
      </c>
      <c r="D5647" s="1">
        <v>46210.348495370374</v>
      </c>
      <c r="E5647" t="s">
        <v>42</v>
      </c>
      <c r="F5647" t="s">
        <v>43</v>
      </c>
      <c r="G5647" t="s">
        <v>43</v>
      </c>
      <c r="H5647" t="s">
        <v>43</v>
      </c>
      <c r="I5647" t="s">
        <v>3205</v>
      </c>
      <c r="J5647" t="s">
        <v>43</v>
      </c>
      <c r="K5647" t="s">
        <v>43</v>
      </c>
      <c r="L5647" t="s">
        <v>43</v>
      </c>
      <c r="M5647" t="s">
        <v>43</v>
      </c>
      <c r="N5647" t="s">
        <v>45</v>
      </c>
      <c r="O5647" t="s">
        <v>43</v>
      </c>
      <c r="P5647" t="s">
        <v>43</v>
      </c>
      <c r="Q5647" t="s">
        <v>43</v>
      </c>
      <c r="R5647" t="s">
        <v>43</v>
      </c>
      <c r="S5647" t="s">
        <v>43</v>
      </c>
      <c r="T5647" t="s">
        <v>43</v>
      </c>
      <c r="U5647" t="s">
        <v>43</v>
      </c>
      <c r="V5647" t="s">
        <v>43</v>
      </c>
      <c r="W5647" t="s">
        <v>43</v>
      </c>
      <c r="X5647" t="s">
        <v>43</v>
      </c>
      <c r="Y5647" t="s">
        <v>43</v>
      </c>
      <c r="Z5647" t="s">
        <v>43</v>
      </c>
      <c r="AA5647" t="s">
        <v>43</v>
      </c>
      <c r="AB5647" t="s">
        <v>43</v>
      </c>
      <c r="AC5647" t="s">
        <v>43</v>
      </c>
      <c r="AD5647" t="s">
        <v>43</v>
      </c>
      <c r="AE5647" t="s">
        <v>43</v>
      </c>
      <c r="AF5647" t="s">
        <v>43</v>
      </c>
      <c r="AG5647" t="s">
        <v>43</v>
      </c>
      <c r="AH5647" t="s">
        <v>43</v>
      </c>
      <c r="AI5647" t="s">
        <v>43</v>
      </c>
      <c r="AJ5647" t="s">
        <v>43</v>
      </c>
      <c r="AK5647" t="s">
        <v>43</v>
      </c>
      <c r="AL5647" t="s">
        <v>43</v>
      </c>
      <c r="AM5647" t="s">
        <v>43</v>
      </c>
      <c r="AN5647" t="str">
        <f>HYPERLINK("https://www.google.com/maps?q=10.8331728,79.84577179","Open Location")</f>
        <v>Open Location</v>
      </c>
    </row>
    <row r="5648" spans="1:40" x14ac:dyDescent="0.3">
      <c r="A5648" s="1">
        <v>46210.345601851855</v>
      </c>
      <c r="B5648" t="s">
        <v>40</v>
      </c>
      <c r="C5648" t="s">
        <v>41</v>
      </c>
      <c r="D5648" s="1">
        <v>46210.348495370374</v>
      </c>
      <c r="E5648" t="s">
        <v>42</v>
      </c>
      <c r="F5648" t="s">
        <v>43</v>
      </c>
      <c r="G5648" t="s">
        <v>43</v>
      </c>
      <c r="H5648" t="s">
        <v>43</v>
      </c>
      <c r="I5648" t="s">
        <v>3206</v>
      </c>
      <c r="J5648" t="s">
        <v>43</v>
      </c>
      <c r="K5648" t="s">
        <v>43</v>
      </c>
      <c r="L5648" t="s">
        <v>43</v>
      </c>
      <c r="M5648" t="s">
        <v>43</v>
      </c>
      <c r="N5648" t="s">
        <v>45</v>
      </c>
      <c r="O5648" t="s">
        <v>43</v>
      </c>
      <c r="P5648" t="s">
        <v>43</v>
      </c>
      <c r="Q5648" t="s">
        <v>43</v>
      </c>
      <c r="R5648" t="s">
        <v>43</v>
      </c>
      <c r="S5648" t="s">
        <v>43</v>
      </c>
      <c r="T5648" t="s">
        <v>43</v>
      </c>
      <c r="U5648" t="s">
        <v>43</v>
      </c>
      <c r="V5648" t="s">
        <v>43</v>
      </c>
      <c r="W5648" t="s">
        <v>43</v>
      </c>
      <c r="X5648" t="s">
        <v>43</v>
      </c>
      <c r="Y5648" t="s">
        <v>43</v>
      </c>
      <c r="Z5648" t="s">
        <v>43</v>
      </c>
      <c r="AA5648" t="s">
        <v>43</v>
      </c>
      <c r="AB5648" t="s">
        <v>43</v>
      </c>
      <c r="AC5648" t="s">
        <v>43</v>
      </c>
      <c r="AD5648" t="s">
        <v>43</v>
      </c>
      <c r="AE5648" t="s">
        <v>43</v>
      </c>
      <c r="AF5648" t="s">
        <v>43</v>
      </c>
      <c r="AG5648" t="s">
        <v>43</v>
      </c>
      <c r="AH5648" t="s">
        <v>43</v>
      </c>
      <c r="AI5648" t="s">
        <v>43</v>
      </c>
      <c r="AJ5648" t="s">
        <v>43</v>
      </c>
      <c r="AK5648" t="s">
        <v>43</v>
      </c>
      <c r="AL5648" t="s">
        <v>43</v>
      </c>
      <c r="AM5648" t="s">
        <v>43</v>
      </c>
      <c r="AN5648" t="str">
        <f>HYPERLINK("https://www.google.com/maps?q=10.83317184,79.84577179","Open Location")</f>
        <v>Open Location</v>
      </c>
    </row>
    <row r="5649" spans="1:40" x14ac:dyDescent="0.3">
      <c r="A5649" s="1">
        <v>46210.345486111109</v>
      </c>
      <c r="B5649" t="s">
        <v>40</v>
      </c>
      <c r="C5649" t="s">
        <v>41</v>
      </c>
      <c r="D5649" s="1">
        <v>46210.348240740743</v>
      </c>
      <c r="E5649" t="s">
        <v>42</v>
      </c>
      <c r="F5649" t="s">
        <v>43</v>
      </c>
      <c r="G5649" t="s">
        <v>43</v>
      </c>
      <c r="H5649" t="s">
        <v>43</v>
      </c>
      <c r="I5649" t="s">
        <v>3206</v>
      </c>
      <c r="J5649" t="s">
        <v>43</v>
      </c>
      <c r="K5649" t="s">
        <v>43</v>
      </c>
      <c r="L5649" t="s">
        <v>43</v>
      </c>
      <c r="M5649" t="s">
        <v>43</v>
      </c>
      <c r="N5649" t="s">
        <v>45</v>
      </c>
      <c r="O5649" t="s">
        <v>43</v>
      </c>
      <c r="P5649" t="s">
        <v>43</v>
      </c>
      <c r="Q5649" t="s">
        <v>43</v>
      </c>
      <c r="R5649" t="s">
        <v>43</v>
      </c>
      <c r="S5649" t="s">
        <v>43</v>
      </c>
      <c r="T5649" t="s">
        <v>43</v>
      </c>
      <c r="U5649" t="s">
        <v>43</v>
      </c>
      <c r="V5649" t="s">
        <v>43</v>
      </c>
      <c r="W5649" t="s">
        <v>43</v>
      </c>
      <c r="X5649" t="s">
        <v>43</v>
      </c>
      <c r="Y5649" t="s">
        <v>43</v>
      </c>
      <c r="Z5649" t="s">
        <v>43</v>
      </c>
      <c r="AA5649" t="s">
        <v>43</v>
      </c>
      <c r="AB5649" t="s">
        <v>43</v>
      </c>
      <c r="AC5649" t="s">
        <v>43</v>
      </c>
      <c r="AD5649" t="s">
        <v>43</v>
      </c>
      <c r="AE5649" t="s">
        <v>43</v>
      </c>
      <c r="AF5649" t="s">
        <v>43</v>
      </c>
      <c r="AG5649" t="s">
        <v>43</v>
      </c>
      <c r="AH5649" t="s">
        <v>43</v>
      </c>
      <c r="AI5649" t="s">
        <v>43</v>
      </c>
      <c r="AJ5649" t="s">
        <v>43</v>
      </c>
      <c r="AK5649" t="s">
        <v>43</v>
      </c>
      <c r="AL5649" t="s">
        <v>43</v>
      </c>
      <c r="AM5649" t="s">
        <v>43</v>
      </c>
      <c r="AN5649" t="str">
        <f>HYPERLINK("https://www.google.com/maps?q=10.83317184,79.84577179","Open Location")</f>
        <v>Open Location</v>
      </c>
    </row>
    <row r="5650" spans="1:40" x14ac:dyDescent="0.3">
      <c r="A5650" s="1">
        <v>46210.345370370371</v>
      </c>
      <c r="B5650" t="s">
        <v>40</v>
      </c>
      <c r="C5650" t="s">
        <v>41</v>
      </c>
      <c r="D5650" s="1">
        <v>46210.348287037035</v>
      </c>
      <c r="E5650" t="s">
        <v>42</v>
      </c>
      <c r="F5650" t="s">
        <v>43</v>
      </c>
      <c r="G5650" t="s">
        <v>43</v>
      </c>
      <c r="H5650" t="s">
        <v>43</v>
      </c>
      <c r="I5650" t="s">
        <v>3154</v>
      </c>
      <c r="J5650" t="s">
        <v>43</v>
      </c>
      <c r="K5650" t="s">
        <v>43</v>
      </c>
      <c r="L5650" t="s">
        <v>43</v>
      </c>
      <c r="M5650" t="s">
        <v>43</v>
      </c>
      <c r="N5650" t="s">
        <v>45</v>
      </c>
      <c r="O5650" t="s">
        <v>43</v>
      </c>
      <c r="P5650" t="s">
        <v>43</v>
      </c>
      <c r="Q5650" t="s">
        <v>43</v>
      </c>
      <c r="R5650" t="s">
        <v>43</v>
      </c>
      <c r="S5650" t="s">
        <v>43</v>
      </c>
      <c r="T5650" t="s">
        <v>43</v>
      </c>
      <c r="U5650" t="s">
        <v>43</v>
      </c>
      <c r="V5650" t="s">
        <v>43</v>
      </c>
      <c r="W5650" t="s">
        <v>43</v>
      </c>
      <c r="X5650" t="s">
        <v>43</v>
      </c>
      <c r="Y5650" t="s">
        <v>43</v>
      </c>
      <c r="Z5650" t="s">
        <v>43</v>
      </c>
      <c r="AA5650" t="s">
        <v>43</v>
      </c>
      <c r="AB5650" t="s">
        <v>43</v>
      </c>
      <c r="AC5650" t="s">
        <v>43</v>
      </c>
      <c r="AD5650" t="s">
        <v>43</v>
      </c>
      <c r="AE5650" t="s">
        <v>43</v>
      </c>
      <c r="AF5650" t="s">
        <v>43</v>
      </c>
      <c r="AG5650" t="s">
        <v>43</v>
      </c>
      <c r="AH5650" t="s">
        <v>43</v>
      </c>
      <c r="AI5650" t="s">
        <v>43</v>
      </c>
      <c r="AJ5650" t="s">
        <v>43</v>
      </c>
      <c r="AK5650" t="s">
        <v>43</v>
      </c>
      <c r="AL5650" t="s">
        <v>43</v>
      </c>
      <c r="AM5650" t="s">
        <v>43</v>
      </c>
      <c r="AN5650" t="str">
        <f>HYPERLINK("https://www.google.com/maps?q=10.83317089,79.84577942","Open Location")</f>
        <v>Open Location</v>
      </c>
    </row>
    <row r="5651" spans="1:40" x14ac:dyDescent="0.3">
      <c r="A5651" s="1">
        <v>46210.345254629632</v>
      </c>
      <c r="B5651" t="s">
        <v>40</v>
      </c>
      <c r="C5651" t="s">
        <v>41</v>
      </c>
      <c r="D5651" s="1">
        <v>46210.348136574074</v>
      </c>
      <c r="E5651" t="s">
        <v>42</v>
      </c>
      <c r="F5651" t="s">
        <v>43</v>
      </c>
      <c r="G5651" t="s">
        <v>43</v>
      </c>
      <c r="H5651" t="s">
        <v>43</v>
      </c>
      <c r="I5651" t="s">
        <v>43</v>
      </c>
      <c r="J5651" t="s">
        <v>43</v>
      </c>
      <c r="K5651" t="s">
        <v>43</v>
      </c>
      <c r="L5651" t="s">
        <v>43</v>
      </c>
      <c r="M5651" t="s">
        <v>43</v>
      </c>
      <c r="N5651" t="s">
        <v>45</v>
      </c>
      <c r="O5651" t="s">
        <v>43</v>
      </c>
      <c r="P5651" t="s">
        <v>43</v>
      </c>
      <c r="Q5651" t="s">
        <v>43</v>
      </c>
      <c r="R5651" t="s">
        <v>43</v>
      </c>
      <c r="S5651" t="s">
        <v>43</v>
      </c>
      <c r="T5651" t="s">
        <v>43</v>
      </c>
      <c r="U5651" t="s">
        <v>43</v>
      </c>
      <c r="V5651" t="s">
        <v>43</v>
      </c>
      <c r="W5651" t="s">
        <v>43</v>
      </c>
      <c r="X5651" t="s">
        <v>43</v>
      </c>
      <c r="Y5651" t="s">
        <v>43</v>
      </c>
      <c r="Z5651" t="s">
        <v>43</v>
      </c>
      <c r="AA5651" t="s">
        <v>43</v>
      </c>
      <c r="AB5651" t="s">
        <v>43</v>
      </c>
      <c r="AC5651" t="s">
        <v>43</v>
      </c>
      <c r="AD5651" t="s">
        <v>43</v>
      </c>
      <c r="AE5651" t="s">
        <v>43</v>
      </c>
      <c r="AF5651" t="s">
        <v>43</v>
      </c>
      <c r="AG5651" t="s">
        <v>43</v>
      </c>
      <c r="AH5651" t="s">
        <v>43</v>
      </c>
      <c r="AI5651" t="s">
        <v>43</v>
      </c>
      <c r="AJ5651" t="s">
        <v>43</v>
      </c>
      <c r="AK5651" t="s">
        <v>43</v>
      </c>
      <c r="AL5651" t="s">
        <v>43</v>
      </c>
      <c r="AM5651" t="s">
        <v>43</v>
      </c>
      <c r="AN5651" t="s">
        <v>43</v>
      </c>
    </row>
    <row r="5652" spans="1:40" x14ac:dyDescent="0.3">
      <c r="A5652" s="1">
        <v>46210.345138888886</v>
      </c>
      <c r="B5652" t="s">
        <v>40</v>
      </c>
      <c r="C5652" t="s">
        <v>41</v>
      </c>
      <c r="D5652" s="1">
        <v>46210.348136574074</v>
      </c>
      <c r="E5652" t="s">
        <v>42</v>
      </c>
      <c r="F5652" t="s">
        <v>43</v>
      </c>
      <c r="G5652" t="s">
        <v>43</v>
      </c>
      <c r="H5652" t="s">
        <v>43</v>
      </c>
      <c r="I5652" t="s">
        <v>3153</v>
      </c>
      <c r="J5652" t="s">
        <v>43</v>
      </c>
      <c r="K5652" t="s">
        <v>43</v>
      </c>
      <c r="L5652" t="s">
        <v>43</v>
      </c>
      <c r="M5652" t="s">
        <v>43</v>
      </c>
      <c r="N5652" t="s">
        <v>45</v>
      </c>
      <c r="O5652" t="s">
        <v>43</v>
      </c>
      <c r="P5652" t="s">
        <v>43</v>
      </c>
      <c r="Q5652" t="s">
        <v>43</v>
      </c>
      <c r="R5652" t="s">
        <v>43</v>
      </c>
      <c r="S5652" t="s">
        <v>43</v>
      </c>
      <c r="T5652" t="s">
        <v>43</v>
      </c>
      <c r="U5652" t="s">
        <v>43</v>
      </c>
      <c r="V5652" t="s">
        <v>43</v>
      </c>
      <c r="W5652" t="s">
        <v>43</v>
      </c>
      <c r="X5652" t="s">
        <v>43</v>
      </c>
      <c r="Y5652" t="s">
        <v>43</v>
      </c>
      <c r="Z5652" t="s">
        <v>43</v>
      </c>
      <c r="AA5652" t="s">
        <v>43</v>
      </c>
      <c r="AB5652" t="s">
        <v>43</v>
      </c>
      <c r="AC5652" t="s">
        <v>43</v>
      </c>
      <c r="AD5652" t="s">
        <v>43</v>
      </c>
      <c r="AE5652" t="s">
        <v>43</v>
      </c>
      <c r="AF5652" t="s">
        <v>43</v>
      </c>
      <c r="AG5652" t="s">
        <v>43</v>
      </c>
      <c r="AH5652" t="s">
        <v>43</v>
      </c>
      <c r="AI5652" t="s">
        <v>43</v>
      </c>
      <c r="AJ5652" t="s">
        <v>43</v>
      </c>
      <c r="AK5652" t="s">
        <v>43</v>
      </c>
      <c r="AL5652" t="s">
        <v>43</v>
      </c>
      <c r="AM5652" t="s">
        <v>43</v>
      </c>
      <c r="AN5652" t="str">
        <f>HYPERLINK("https://www.google.com/maps?q=10.83317184,79.84577942","Open Location")</f>
        <v>Open Location</v>
      </c>
    </row>
    <row r="5653" spans="1:40" x14ac:dyDescent="0.3">
      <c r="A5653" s="1">
        <v>46210.345023148147</v>
      </c>
      <c r="B5653" t="s">
        <v>40</v>
      </c>
      <c r="C5653" t="s">
        <v>41</v>
      </c>
      <c r="D5653" s="1">
        <v>46210.347858796296</v>
      </c>
      <c r="E5653" t="s">
        <v>42</v>
      </c>
      <c r="F5653" t="s">
        <v>43</v>
      </c>
      <c r="G5653" t="s">
        <v>43</v>
      </c>
      <c r="H5653" t="s">
        <v>43</v>
      </c>
      <c r="I5653" t="s">
        <v>3151</v>
      </c>
      <c r="J5653" t="s">
        <v>43</v>
      </c>
      <c r="K5653" t="s">
        <v>43</v>
      </c>
      <c r="L5653" t="s">
        <v>43</v>
      </c>
      <c r="M5653" t="s">
        <v>43</v>
      </c>
      <c r="N5653" t="s">
        <v>45</v>
      </c>
      <c r="O5653" t="s">
        <v>43</v>
      </c>
      <c r="P5653" t="s">
        <v>43</v>
      </c>
      <c r="Q5653" t="s">
        <v>43</v>
      </c>
      <c r="R5653" t="s">
        <v>43</v>
      </c>
      <c r="S5653" t="s">
        <v>43</v>
      </c>
      <c r="T5653" t="s">
        <v>43</v>
      </c>
      <c r="U5653" t="s">
        <v>43</v>
      </c>
      <c r="V5653" t="s">
        <v>43</v>
      </c>
      <c r="W5653" t="s">
        <v>43</v>
      </c>
      <c r="X5653" t="s">
        <v>43</v>
      </c>
      <c r="Y5653" t="s">
        <v>43</v>
      </c>
      <c r="Z5653" t="s">
        <v>43</v>
      </c>
      <c r="AA5653" t="s">
        <v>43</v>
      </c>
      <c r="AB5653" t="s">
        <v>43</v>
      </c>
      <c r="AC5653" t="s">
        <v>43</v>
      </c>
      <c r="AD5653" t="s">
        <v>43</v>
      </c>
      <c r="AE5653" t="s">
        <v>43</v>
      </c>
      <c r="AF5653" t="s">
        <v>43</v>
      </c>
      <c r="AG5653" t="s">
        <v>43</v>
      </c>
      <c r="AH5653" t="s">
        <v>43</v>
      </c>
      <c r="AI5653" t="s">
        <v>43</v>
      </c>
      <c r="AJ5653" t="s">
        <v>43</v>
      </c>
      <c r="AK5653" t="s">
        <v>43</v>
      </c>
      <c r="AL5653" t="s">
        <v>43</v>
      </c>
      <c r="AM5653" t="s">
        <v>43</v>
      </c>
      <c r="AN5653" t="str">
        <f>HYPERLINK("https://www.google.com/maps?q=10.8331728,79.84577942","Open Location")</f>
        <v>Open Location</v>
      </c>
    </row>
    <row r="5654" spans="1:40" x14ac:dyDescent="0.3">
      <c r="A5654" s="1">
        <v>46210.344907407409</v>
      </c>
      <c r="B5654" t="s">
        <v>40</v>
      </c>
      <c r="C5654" t="s">
        <v>41</v>
      </c>
      <c r="D5654" s="1">
        <v>46210.34783564815</v>
      </c>
      <c r="E5654" t="s">
        <v>42</v>
      </c>
      <c r="F5654" t="s">
        <v>43</v>
      </c>
      <c r="G5654" t="s">
        <v>43</v>
      </c>
      <c r="H5654" t="s">
        <v>43</v>
      </c>
      <c r="I5654" t="s">
        <v>3153</v>
      </c>
      <c r="J5654" t="s">
        <v>43</v>
      </c>
      <c r="K5654" t="s">
        <v>43</v>
      </c>
      <c r="L5654" t="s">
        <v>43</v>
      </c>
      <c r="M5654" t="s">
        <v>43</v>
      </c>
      <c r="N5654" t="s">
        <v>45</v>
      </c>
      <c r="O5654" t="s">
        <v>43</v>
      </c>
      <c r="P5654" t="s">
        <v>43</v>
      </c>
      <c r="Q5654" t="s">
        <v>43</v>
      </c>
      <c r="R5654" t="s">
        <v>43</v>
      </c>
      <c r="S5654" t="s">
        <v>43</v>
      </c>
      <c r="T5654" t="s">
        <v>43</v>
      </c>
      <c r="U5654" t="s">
        <v>43</v>
      </c>
      <c r="V5654" t="s">
        <v>43</v>
      </c>
      <c r="W5654" t="s">
        <v>43</v>
      </c>
      <c r="X5654" t="s">
        <v>43</v>
      </c>
      <c r="Y5654" t="s">
        <v>43</v>
      </c>
      <c r="Z5654" t="s">
        <v>43</v>
      </c>
      <c r="AA5654" t="s">
        <v>43</v>
      </c>
      <c r="AB5654" t="s">
        <v>43</v>
      </c>
      <c r="AC5654" t="s">
        <v>43</v>
      </c>
      <c r="AD5654" t="s">
        <v>43</v>
      </c>
      <c r="AE5654" t="s">
        <v>43</v>
      </c>
      <c r="AF5654" t="s">
        <v>43</v>
      </c>
      <c r="AG5654" t="s">
        <v>43</v>
      </c>
      <c r="AH5654" t="s">
        <v>43</v>
      </c>
      <c r="AI5654" t="s">
        <v>43</v>
      </c>
      <c r="AJ5654" t="s">
        <v>43</v>
      </c>
      <c r="AK5654" t="s">
        <v>43</v>
      </c>
      <c r="AL5654" t="s">
        <v>43</v>
      </c>
      <c r="AM5654" t="s">
        <v>43</v>
      </c>
      <c r="AN5654" t="str">
        <f>HYPERLINK("https://www.google.com/maps?q=10.83317184,79.84577942","Open Location")</f>
        <v>Open Location</v>
      </c>
    </row>
    <row r="5655" spans="1:40" x14ac:dyDescent="0.3">
      <c r="A5655" s="1">
        <v>46210.34479166667</v>
      </c>
      <c r="B5655" t="s">
        <v>40</v>
      </c>
      <c r="C5655" t="s">
        <v>41</v>
      </c>
      <c r="D5655" s="1">
        <v>46210.34746527778</v>
      </c>
      <c r="E5655" t="s">
        <v>42</v>
      </c>
      <c r="F5655" t="s">
        <v>43</v>
      </c>
      <c r="G5655" t="s">
        <v>43</v>
      </c>
      <c r="H5655" t="s">
        <v>43</v>
      </c>
      <c r="I5655" t="s">
        <v>3207</v>
      </c>
      <c r="J5655" t="s">
        <v>43</v>
      </c>
      <c r="K5655" t="s">
        <v>43</v>
      </c>
      <c r="L5655" t="s">
        <v>43</v>
      </c>
      <c r="M5655" t="s">
        <v>43</v>
      </c>
      <c r="N5655" t="s">
        <v>45</v>
      </c>
      <c r="O5655" t="s">
        <v>43</v>
      </c>
      <c r="P5655" t="s">
        <v>43</v>
      </c>
      <c r="Q5655" t="s">
        <v>43</v>
      </c>
      <c r="R5655" t="s">
        <v>43</v>
      </c>
      <c r="S5655" t="s">
        <v>43</v>
      </c>
      <c r="T5655" t="s">
        <v>43</v>
      </c>
      <c r="U5655" t="s">
        <v>43</v>
      </c>
      <c r="V5655" t="s">
        <v>43</v>
      </c>
      <c r="W5655" t="s">
        <v>43</v>
      </c>
      <c r="X5655" t="s">
        <v>43</v>
      </c>
      <c r="Y5655" t="s">
        <v>43</v>
      </c>
      <c r="Z5655" t="s">
        <v>43</v>
      </c>
      <c r="AA5655" t="s">
        <v>43</v>
      </c>
      <c r="AB5655" t="s">
        <v>43</v>
      </c>
      <c r="AC5655" t="s">
        <v>43</v>
      </c>
      <c r="AD5655" t="s">
        <v>43</v>
      </c>
      <c r="AE5655" t="s">
        <v>43</v>
      </c>
      <c r="AF5655" t="s">
        <v>43</v>
      </c>
      <c r="AG5655" t="s">
        <v>43</v>
      </c>
      <c r="AH5655" t="s">
        <v>43</v>
      </c>
      <c r="AI5655" t="s">
        <v>43</v>
      </c>
      <c r="AJ5655" t="s">
        <v>43</v>
      </c>
      <c r="AK5655" t="s">
        <v>43</v>
      </c>
      <c r="AL5655" t="s">
        <v>43</v>
      </c>
      <c r="AM5655" t="s">
        <v>43</v>
      </c>
      <c r="AN5655" t="str">
        <f>HYPERLINK("https://www.google.com/maps?q=10.8331728,79.84578705","Open Location")</f>
        <v>Open Location</v>
      </c>
    </row>
    <row r="5656" spans="1:40" x14ac:dyDescent="0.3">
      <c r="A5656" s="1">
        <v>46210.344675925924</v>
      </c>
      <c r="B5656" t="s">
        <v>40</v>
      </c>
      <c r="C5656" t="s">
        <v>41</v>
      </c>
      <c r="D5656" s="1">
        <v>46210.34746527778</v>
      </c>
      <c r="E5656" t="s">
        <v>42</v>
      </c>
      <c r="F5656" t="s">
        <v>43</v>
      </c>
      <c r="G5656" t="s">
        <v>43</v>
      </c>
      <c r="H5656" t="s">
        <v>43</v>
      </c>
      <c r="I5656" t="s">
        <v>3208</v>
      </c>
      <c r="J5656" t="s">
        <v>43</v>
      </c>
      <c r="K5656" t="s">
        <v>43</v>
      </c>
      <c r="L5656" t="s">
        <v>43</v>
      </c>
      <c r="M5656" t="s">
        <v>43</v>
      </c>
      <c r="N5656" t="s">
        <v>45</v>
      </c>
      <c r="O5656" t="s">
        <v>43</v>
      </c>
      <c r="P5656" t="s">
        <v>43</v>
      </c>
      <c r="Q5656" t="s">
        <v>43</v>
      </c>
      <c r="R5656" t="s">
        <v>43</v>
      </c>
      <c r="S5656" t="s">
        <v>43</v>
      </c>
      <c r="T5656" t="s">
        <v>43</v>
      </c>
      <c r="U5656" t="s">
        <v>43</v>
      </c>
      <c r="V5656" t="s">
        <v>43</v>
      </c>
      <c r="W5656" t="s">
        <v>43</v>
      </c>
      <c r="X5656" t="s">
        <v>43</v>
      </c>
      <c r="Y5656" t="s">
        <v>43</v>
      </c>
      <c r="Z5656" t="s">
        <v>43</v>
      </c>
      <c r="AA5656" t="s">
        <v>43</v>
      </c>
      <c r="AB5656" t="s">
        <v>43</v>
      </c>
      <c r="AC5656" t="s">
        <v>43</v>
      </c>
      <c r="AD5656" t="s">
        <v>43</v>
      </c>
      <c r="AE5656" t="s">
        <v>43</v>
      </c>
      <c r="AF5656" t="s">
        <v>43</v>
      </c>
      <c r="AG5656" t="s">
        <v>43</v>
      </c>
      <c r="AH5656" t="s">
        <v>43</v>
      </c>
      <c r="AI5656" t="s">
        <v>43</v>
      </c>
      <c r="AJ5656" t="s">
        <v>43</v>
      </c>
      <c r="AK5656" t="s">
        <v>43</v>
      </c>
      <c r="AL5656" t="s">
        <v>43</v>
      </c>
      <c r="AM5656" t="s">
        <v>43</v>
      </c>
      <c r="AN5656" t="str">
        <f>HYPERLINK("https://www.google.com/maps?q=10.83316994,79.84578705","Open Location")</f>
        <v>Open Location</v>
      </c>
    </row>
    <row r="5657" spans="1:40" x14ac:dyDescent="0.3">
      <c r="A5657" s="1">
        <v>46210.344560185185</v>
      </c>
      <c r="B5657" t="s">
        <v>40</v>
      </c>
      <c r="C5657" t="s">
        <v>41</v>
      </c>
      <c r="D5657" s="1">
        <v>46210.347314814811</v>
      </c>
      <c r="E5657" t="s">
        <v>42</v>
      </c>
      <c r="F5657" t="s">
        <v>43</v>
      </c>
      <c r="G5657" t="s">
        <v>43</v>
      </c>
      <c r="H5657" t="s">
        <v>43</v>
      </c>
      <c r="I5657" t="s">
        <v>43</v>
      </c>
      <c r="J5657" t="s">
        <v>43</v>
      </c>
      <c r="K5657" t="s">
        <v>43</v>
      </c>
      <c r="L5657" t="s">
        <v>43</v>
      </c>
      <c r="M5657" t="s">
        <v>43</v>
      </c>
      <c r="N5657" t="s">
        <v>45</v>
      </c>
      <c r="O5657" t="s">
        <v>43</v>
      </c>
      <c r="P5657" t="s">
        <v>43</v>
      </c>
      <c r="Q5657" t="s">
        <v>43</v>
      </c>
      <c r="R5657" t="s">
        <v>43</v>
      </c>
      <c r="S5657" t="s">
        <v>43</v>
      </c>
      <c r="T5657" t="s">
        <v>43</v>
      </c>
      <c r="U5657" t="s">
        <v>43</v>
      </c>
      <c r="V5657" t="s">
        <v>43</v>
      </c>
      <c r="W5657" t="s">
        <v>43</v>
      </c>
      <c r="X5657" t="s">
        <v>43</v>
      </c>
      <c r="Y5657" t="s">
        <v>43</v>
      </c>
      <c r="Z5657" t="s">
        <v>43</v>
      </c>
      <c r="AA5657" t="s">
        <v>43</v>
      </c>
      <c r="AB5657" t="s">
        <v>43</v>
      </c>
      <c r="AC5657" t="s">
        <v>43</v>
      </c>
      <c r="AD5657" t="s">
        <v>43</v>
      </c>
      <c r="AE5657" t="s">
        <v>43</v>
      </c>
      <c r="AF5657" t="s">
        <v>43</v>
      </c>
      <c r="AG5657" t="s">
        <v>43</v>
      </c>
      <c r="AH5657" t="s">
        <v>43</v>
      </c>
      <c r="AI5657" t="s">
        <v>43</v>
      </c>
      <c r="AJ5657" t="s">
        <v>43</v>
      </c>
      <c r="AK5657" t="s">
        <v>43</v>
      </c>
      <c r="AL5657" t="s">
        <v>43</v>
      </c>
      <c r="AM5657" t="s">
        <v>43</v>
      </c>
      <c r="AN5657" t="s">
        <v>43</v>
      </c>
    </row>
    <row r="5658" spans="1:40" x14ac:dyDescent="0.3">
      <c r="A5658" s="1">
        <v>46210.344444444447</v>
      </c>
      <c r="B5658" t="s">
        <v>40</v>
      </c>
      <c r="C5658" t="s">
        <v>41</v>
      </c>
      <c r="D5658" s="1">
        <v>46210.347314814811</v>
      </c>
      <c r="E5658" t="s">
        <v>42</v>
      </c>
      <c r="F5658" t="s">
        <v>43</v>
      </c>
      <c r="G5658" t="s">
        <v>43</v>
      </c>
      <c r="H5658" t="s">
        <v>43</v>
      </c>
      <c r="I5658" t="s">
        <v>3208</v>
      </c>
      <c r="J5658" t="s">
        <v>43</v>
      </c>
      <c r="K5658" t="s">
        <v>43</v>
      </c>
      <c r="L5658" t="s">
        <v>43</v>
      </c>
      <c r="M5658" t="s">
        <v>43</v>
      </c>
      <c r="N5658" t="s">
        <v>45</v>
      </c>
      <c r="O5658" t="s">
        <v>43</v>
      </c>
      <c r="P5658" t="s">
        <v>43</v>
      </c>
      <c r="Q5658" t="s">
        <v>43</v>
      </c>
      <c r="R5658" t="s">
        <v>43</v>
      </c>
      <c r="S5658" t="s">
        <v>43</v>
      </c>
      <c r="T5658" t="s">
        <v>43</v>
      </c>
      <c r="U5658" t="s">
        <v>43</v>
      </c>
      <c r="V5658" t="s">
        <v>43</v>
      </c>
      <c r="W5658" t="s">
        <v>43</v>
      </c>
      <c r="X5658" t="s">
        <v>43</v>
      </c>
      <c r="Y5658" t="s">
        <v>43</v>
      </c>
      <c r="Z5658" t="s">
        <v>43</v>
      </c>
      <c r="AA5658" t="s">
        <v>43</v>
      </c>
      <c r="AB5658" t="s">
        <v>43</v>
      </c>
      <c r="AC5658" t="s">
        <v>43</v>
      </c>
      <c r="AD5658" t="s">
        <v>43</v>
      </c>
      <c r="AE5658" t="s">
        <v>43</v>
      </c>
      <c r="AF5658" t="s">
        <v>43</v>
      </c>
      <c r="AG5658" t="s">
        <v>43</v>
      </c>
      <c r="AH5658" t="s">
        <v>43</v>
      </c>
      <c r="AI5658" t="s">
        <v>43</v>
      </c>
      <c r="AJ5658" t="s">
        <v>43</v>
      </c>
      <c r="AK5658" t="s">
        <v>43</v>
      </c>
      <c r="AL5658" t="s">
        <v>43</v>
      </c>
      <c r="AM5658" t="s">
        <v>43</v>
      </c>
      <c r="AN5658" t="str">
        <f>HYPERLINK("https://www.google.com/maps?q=10.83316994,79.84578705","Open Location")</f>
        <v>Open Location</v>
      </c>
    </row>
    <row r="5659" spans="1:40" x14ac:dyDescent="0.3">
      <c r="A5659" s="1">
        <v>46210.344328703701</v>
      </c>
      <c r="B5659" t="s">
        <v>40</v>
      </c>
      <c r="C5659" t="s">
        <v>41</v>
      </c>
      <c r="D5659" s="1">
        <v>46210.347291666665</v>
      </c>
      <c r="E5659" t="s">
        <v>42</v>
      </c>
      <c r="F5659" t="s">
        <v>43</v>
      </c>
      <c r="G5659" t="s">
        <v>43</v>
      </c>
      <c r="H5659" t="s">
        <v>43</v>
      </c>
      <c r="I5659" t="s">
        <v>3209</v>
      </c>
      <c r="J5659" t="s">
        <v>43</v>
      </c>
      <c r="K5659" t="s">
        <v>43</v>
      </c>
      <c r="L5659" t="s">
        <v>43</v>
      </c>
      <c r="M5659" t="s">
        <v>43</v>
      </c>
      <c r="N5659" t="s">
        <v>45</v>
      </c>
      <c r="O5659" t="s">
        <v>43</v>
      </c>
      <c r="P5659" t="s">
        <v>43</v>
      </c>
      <c r="Q5659" t="s">
        <v>43</v>
      </c>
      <c r="R5659" t="s">
        <v>43</v>
      </c>
      <c r="S5659" t="s">
        <v>43</v>
      </c>
      <c r="T5659" t="s">
        <v>43</v>
      </c>
      <c r="U5659" t="s">
        <v>43</v>
      </c>
      <c r="V5659" t="s">
        <v>43</v>
      </c>
      <c r="W5659" t="s">
        <v>43</v>
      </c>
      <c r="X5659" t="s">
        <v>43</v>
      </c>
      <c r="Y5659" t="s">
        <v>43</v>
      </c>
      <c r="Z5659" t="s">
        <v>43</v>
      </c>
      <c r="AA5659" t="s">
        <v>43</v>
      </c>
      <c r="AB5659" t="s">
        <v>43</v>
      </c>
      <c r="AC5659" t="s">
        <v>43</v>
      </c>
      <c r="AD5659" t="s">
        <v>43</v>
      </c>
      <c r="AE5659" t="s">
        <v>43</v>
      </c>
      <c r="AF5659" t="s">
        <v>43</v>
      </c>
      <c r="AG5659" t="s">
        <v>43</v>
      </c>
      <c r="AH5659" t="s">
        <v>43</v>
      </c>
      <c r="AI5659" t="s">
        <v>43</v>
      </c>
      <c r="AJ5659" t="s">
        <v>43</v>
      </c>
      <c r="AK5659" t="s">
        <v>43</v>
      </c>
      <c r="AL5659" t="s">
        <v>43</v>
      </c>
      <c r="AM5659" t="s">
        <v>43</v>
      </c>
      <c r="AN5659" t="str">
        <f>HYPERLINK("https://www.google.com/maps?q=10.83317089,79.84579468","Open Location")</f>
        <v>Open Location</v>
      </c>
    </row>
    <row r="5660" spans="1:40" x14ac:dyDescent="0.3">
      <c r="A5660" s="1">
        <v>46210.344212962962</v>
      </c>
      <c r="B5660" t="s">
        <v>40</v>
      </c>
      <c r="C5660" t="s">
        <v>41</v>
      </c>
      <c r="D5660" s="1">
        <v>46210.347314814811</v>
      </c>
      <c r="E5660" t="s">
        <v>42</v>
      </c>
      <c r="F5660" t="s">
        <v>43</v>
      </c>
      <c r="G5660" t="s">
        <v>43</v>
      </c>
      <c r="H5660" t="s">
        <v>43</v>
      </c>
      <c r="I5660" t="s">
        <v>3209</v>
      </c>
      <c r="J5660" t="s">
        <v>43</v>
      </c>
      <c r="K5660" t="s">
        <v>43</v>
      </c>
      <c r="L5660" t="s">
        <v>43</v>
      </c>
      <c r="M5660" t="s">
        <v>43</v>
      </c>
      <c r="N5660" t="s">
        <v>45</v>
      </c>
      <c r="O5660" t="s">
        <v>43</v>
      </c>
      <c r="P5660" t="s">
        <v>43</v>
      </c>
      <c r="Q5660" t="s">
        <v>43</v>
      </c>
      <c r="R5660" t="s">
        <v>43</v>
      </c>
      <c r="S5660" t="s">
        <v>43</v>
      </c>
      <c r="T5660" t="s">
        <v>43</v>
      </c>
      <c r="U5660" t="s">
        <v>43</v>
      </c>
      <c r="V5660" t="s">
        <v>43</v>
      </c>
      <c r="W5660" t="s">
        <v>43</v>
      </c>
      <c r="X5660" t="s">
        <v>43</v>
      </c>
      <c r="Y5660" t="s">
        <v>43</v>
      </c>
      <c r="Z5660" t="s">
        <v>43</v>
      </c>
      <c r="AA5660" t="s">
        <v>43</v>
      </c>
      <c r="AB5660" t="s">
        <v>43</v>
      </c>
      <c r="AC5660" t="s">
        <v>43</v>
      </c>
      <c r="AD5660" t="s">
        <v>43</v>
      </c>
      <c r="AE5660" t="s">
        <v>43</v>
      </c>
      <c r="AF5660" t="s">
        <v>43</v>
      </c>
      <c r="AG5660" t="s">
        <v>43</v>
      </c>
      <c r="AH5660" t="s">
        <v>43</v>
      </c>
      <c r="AI5660" t="s">
        <v>43</v>
      </c>
      <c r="AJ5660" t="s">
        <v>43</v>
      </c>
      <c r="AK5660" t="s">
        <v>43</v>
      </c>
      <c r="AL5660" t="s">
        <v>43</v>
      </c>
      <c r="AM5660" t="s">
        <v>43</v>
      </c>
      <c r="AN5660" t="str">
        <f>HYPERLINK("https://www.google.com/maps?q=10.83317089,79.84579468","Open Location")</f>
        <v>Open Location</v>
      </c>
    </row>
    <row r="5661" spans="1:40" x14ac:dyDescent="0.3">
      <c r="A5661" s="1">
        <v>46210.344097222223</v>
      </c>
      <c r="B5661" t="s">
        <v>40</v>
      </c>
      <c r="C5661" t="s">
        <v>41</v>
      </c>
      <c r="D5661" s="1">
        <v>46210.347002314818</v>
      </c>
      <c r="E5661" t="s">
        <v>42</v>
      </c>
      <c r="F5661" t="s">
        <v>43</v>
      </c>
      <c r="G5661" t="s">
        <v>43</v>
      </c>
      <c r="H5661" t="s">
        <v>43</v>
      </c>
      <c r="I5661" t="s">
        <v>3210</v>
      </c>
      <c r="J5661" t="s">
        <v>43</v>
      </c>
      <c r="K5661" t="s">
        <v>43</v>
      </c>
      <c r="L5661" t="s">
        <v>43</v>
      </c>
      <c r="M5661" t="s">
        <v>43</v>
      </c>
      <c r="N5661" t="s">
        <v>45</v>
      </c>
      <c r="O5661" t="s">
        <v>43</v>
      </c>
      <c r="P5661" t="s">
        <v>43</v>
      </c>
      <c r="Q5661" t="s">
        <v>43</v>
      </c>
      <c r="R5661" t="s">
        <v>43</v>
      </c>
      <c r="S5661" t="s">
        <v>43</v>
      </c>
      <c r="T5661" t="s">
        <v>43</v>
      </c>
      <c r="U5661" t="s">
        <v>43</v>
      </c>
      <c r="V5661" t="s">
        <v>43</v>
      </c>
      <c r="W5661" t="s">
        <v>43</v>
      </c>
      <c r="X5661" t="s">
        <v>43</v>
      </c>
      <c r="Y5661" t="s">
        <v>43</v>
      </c>
      <c r="Z5661" t="s">
        <v>43</v>
      </c>
      <c r="AA5661" t="s">
        <v>43</v>
      </c>
      <c r="AB5661" t="s">
        <v>43</v>
      </c>
      <c r="AC5661" t="s">
        <v>43</v>
      </c>
      <c r="AD5661" t="s">
        <v>43</v>
      </c>
      <c r="AE5661" t="s">
        <v>43</v>
      </c>
      <c r="AF5661" t="s">
        <v>43</v>
      </c>
      <c r="AG5661" t="s">
        <v>43</v>
      </c>
      <c r="AH5661" t="s">
        <v>43</v>
      </c>
      <c r="AI5661" t="s">
        <v>43</v>
      </c>
      <c r="AJ5661" t="s">
        <v>43</v>
      </c>
      <c r="AK5661" t="s">
        <v>43</v>
      </c>
      <c r="AL5661" t="s">
        <v>43</v>
      </c>
      <c r="AM5661" t="s">
        <v>43</v>
      </c>
      <c r="AN5661" t="str">
        <f>HYPERLINK("https://www.google.com/maps?q=10.83317184,79.84578705","Open Location")</f>
        <v>Open Location</v>
      </c>
    </row>
    <row r="5662" spans="1:40" x14ac:dyDescent="0.3">
      <c r="A5662" s="1">
        <v>46210.343981481485</v>
      </c>
      <c r="B5662" t="s">
        <v>40</v>
      </c>
      <c r="C5662" t="s">
        <v>41</v>
      </c>
      <c r="D5662" s="1">
        <v>46210.346990740742</v>
      </c>
      <c r="E5662" t="s">
        <v>42</v>
      </c>
      <c r="F5662" t="s">
        <v>43</v>
      </c>
      <c r="G5662" t="s">
        <v>43</v>
      </c>
      <c r="H5662" t="s">
        <v>43</v>
      </c>
      <c r="I5662" t="s">
        <v>43</v>
      </c>
      <c r="J5662" t="s">
        <v>43</v>
      </c>
      <c r="K5662" t="s">
        <v>43</v>
      </c>
      <c r="L5662" t="s">
        <v>43</v>
      </c>
      <c r="M5662" t="s">
        <v>43</v>
      </c>
      <c r="N5662" t="s">
        <v>45</v>
      </c>
      <c r="O5662" t="s">
        <v>43</v>
      </c>
      <c r="P5662" t="s">
        <v>43</v>
      </c>
      <c r="Q5662" t="s">
        <v>43</v>
      </c>
      <c r="R5662" t="s">
        <v>43</v>
      </c>
      <c r="S5662" t="s">
        <v>43</v>
      </c>
      <c r="T5662" t="s">
        <v>43</v>
      </c>
      <c r="U5662" t="s">
        <v>43</v>
      </c>
      <c r="V5662" t="s">
        <v>43</v>
      </c>
      <c r="W5662" t="s">
        <v>43</v>
      </c>
      <c r="X5662" t="s">
        <v>43</v>
      </c>
      <c r="Y5662" t="s">
        <v>43</v>
      </c>
      <c r="Z5662" t="s">
        <v>43</v>
      </c>
      <c r="AA5662" t="s">
        <v>43</v>
      </c>
      <c r="AB5662" t="s">
        <v>43</v>
      </c>
      <c r="AC5662" t="s">
        <v>43</v>
      </c>
      <c r="AD5662" t="s">
        <v>43</v>
      </c>
      <c r="AE5662" t="s">
        <v>43</v>
      </c>
      <c r="AF5662" t="s">
        <v>43</v>
      </c>
      <c r="AG5662" t="s">
        <v>43</v>
      </c>
      <c r="AH5662" t="s">
        <v>43</v>
      </c>
      <c r="AI5662" t="s">
        <v>43</v>
      </c>
      <c r="AJ5662" t="s">
        <v>43</v>
      </c>
      <c r="AK5662" t="s">
        <v>43</v>
      </c>
      <c r="AL5662" t="s">
        <v>43</v>
      </c>
      <c r="AM5662" t="s">
        <v>43</v>
      </c>
      <c r="AN5662" t="s">
        <v>43</v>
      </c>
    </row>
    <row r="5663" spans="1:40" x14ac:dyDescent="0.3">
      <c r="A5663" s="1">
        <v>46210.343865740739</v>
      </c>
      <c r="B5663" t="s">
        <v>40</v>
      </c>
      <c r="C5663" t="s">
        <v>41</v>
      </c>
      <c r="D5663" s="1">
        <v>46210.346724537034</v>
      </c>
      <c r="E5663" t="s">
        <v>42</v>
      </c>
      <c r="F5663" t="s">
        <v>43</v>
      </c>
      <c r="G5663" t="s">
        <v>43</v>
      </c>
      <c r="H5663" t="s">
        <v>43</v>
      </c>
      <c r="I5663" t="s">
        <v>3211</v>
      </c>
      <c r="J5663" t="s">
        <v>43</v>
      </c>
      <c r="K5663" t="s">
        <v>43</v>
      </c>
      <c r="L5663" t="s">
        <v>43</v>
      </c>
      <c r="M5663" t="s">
        <v>43</v>
      </c>
      <c r="N5663" t="s">
        <v>45</v>
      </c>
      <c r="O5663" t="s">
        <v>43</v>
      </c>
      <c r="P5663" t="s">
        <v>43</v>
      </c>
      <c r="Q5663" t="s">
        <v>43</v>
      </c>
      <c r="R5663" t="s">
        <v>43</v>
      </c>
      <c r="S5663" t="s">
        <v>43</v>
      </c>
      <c r="T5663" t="s">
        <v>43</v>
      </c>
      <c r="U5663" t="s">
        <v>43</v>
      </c>
      <c r="V5663" t="s">
        <v>43</v>
      </c>
      <c r="W5663" t="s">
        <v>43</v>
      </c>
      <c r="X5663" t="s">
        <v>43</v>
      </c>
      <c r="Y5663" t="s">
        <v>43</v>
      </c>
      <c r="Z5663" t="s">
        <v>43</v>
      </c>
      <c r="AA5663" t="s">
        <v>43</v>
      </c>
      <c r="AB5663" t="s">
        <v>43</v>
      </c>
      <c r="AC5663" t="s">
        <v>43</v>
      </c>
      <c r="AD5663" t="s">
        <v>43</v>
      </c>
      <c r="AE5663" t="s">
        <v>43</v>
      </c>
      <c r="AF5663" t="s">
        <v>43</v>
      </c>
      <c r="AG5663" t="s">
        <v>43</v>
      </c>
      <c r="AH5663" t="s">
        <v>43</v>
      </c>
      <c r="AI5663" t="s">
        <v>43</v>
      </c>
      <c r="AJ5663" t="s">
        <v>43</v>
      </c>
      <c r="AK5663" t="s">
        <v>43</v>
      </c>
      <c r="AL5663" t="s">
        <v>43</v>
      </c>
      <c r="AM5663" t="s">
        <v>43</v>
      </c>
      <c r="AN5663" t="str">
        <f>HYPERLINK("https://www.google.com/maps?q=10.83316898,79.84579468","Open Location")</f>
        <v>Open Location</v>
      </c>
    </row>
    <row r="5664" spans="1:40" x14ac:dyDescent="0.3">
      <c r="A5664" s="1">
        <v>46210.34375</v>
      </c>
      <c r="B5664" t="s">
        <v>40</v>
      </c>
      <c r="C5664" t="s">
        <v>41</v>
      </c>
      <c r="D5664" s="1">
        <v>46210.346701388888</v>
      </c>
      <c r="E5664" t="s">
        <v>42</v>
      </c>
      <c r="F5664" t="s">
        <v>43</v>
      </c>
      <c r="G5664" t="s">
        <v>43</v>
      </c>
      <c r="H5664" t="s">
        <v>43</v>
      </c>
      <c r="I5664" t="s">
        <v>3212</v>
      </c>
      <c r="J5664" t="s">
        <v>43</v>
      </c>
      <c r="K5664" t="s">
        <v>43</v>
      </c>
      <c r="L5664" t="s">
        <v>43</v>
      </c>
      <c r="M5664" t="s">
        <v>43</v>
      </c>
      <c r="N5664" t="s">
        <v>45</v>
      </c>
      <c r="O5664" t="s">
        <v>43</v>
      </c>
      <c r="P5664" t="s">
        <v>43</v>
      </c>
      <c r="Q5664" t="s">
        <v>43</v>
      </c>
      <c r="R5664" t="s">
        <v>43</v>
      </c>
      <c r="S5664" t="s">
        <v>43</v>
      </c>
      <c r="T5664" t="s">
        <v>43</v>
      </c>
      <c r="U5664" t="s">
        <v>43</v>
      </c>
      <c r="V5664" t="s">
        <v>43</v>
      </c>
      <c r="W5664" t="s">
        <v>43</v>
      </c>
      <c r="X5664" t="s">
        <v>43</v>
      </c>
      <c r="Y5664" t="s">
        <v>43</v>
      </c>
      <c r="Z5664" t="s">
        <v>43</v>
      </c>
      <c r="AA5664" t="s">
        <v>43</v>
      </c>
      <c r="AB5664" t="s">
        <v>43</v>
      </c>
      <c r="AC5664" t="s">
        <v>43</v>
      </c>
      <c r="AD5664" t="s">
        <v>43</v>
      </c>
      <c r="AE5664" t="s">
        <v>43</v>
      </c>
      <c r="AF5664" t="s">
        <v>43</v>
      </c>
      <c r="AG5664" t="s">
        <v>43</v>
      </c>
      <c r="AH5664" t="s">
        <v>43</v>
      </c>
      <c r="AI5664" t="s">
        <v>43</v>
      </c>
      <c r="AJ5664" t="s">
        <v>43</v>
      </c>
      <c r="AK5664" t="s">
        <v>43</v>
      </c>
      <c r="AL5664" t="s">
        <v>43</v>
      </c>
      <c r="AM5664" t="s">
        <v>43</v>
      </c>
      <c r="AN5664" t="str">
        <f>HYPERLINK("https://www.google.com/maps?q=10.83316517,79.84578705","Open Location")</f>
        <v>Open Location</v>
      </c>
    </row>
    <row r="5665" spans="1:40" x14ac:dyDescent="0.3">
      <c r="A5665" s="1">
        <v>46210.343634259261</v>
      </c>
      <c r="B5665" t="s">
        <v>40</v>
      </c>
      <c r="C5665" t="s">
        <v>41</v>
      </c>
      <c r="D5665" s="1">
        <v>46210.34648148148</v>
      </c>
      <c r="E5665" t="s">
        <v>42</v>
      </c>
      <c r="F5665" t="s">
        <v>43</v>
      </c>
      <c r="G5665" t="s">
        <v>43</v>
      </c>
      <c r="H5665" t="s">
        <v>43</v>
      </c>
      <c r="I5665" t="s">
        <v>3213</v>
      </c>
      <c r="J5665" t="s">
        <v>43</v>
      </c>
      <c r="K5665" t="s">
        <v>43</v>
      </c>
      <c r="L5665" t="s">
        <v>43</v>
      </c>
      <c r="M5665" t="s">
        <v>43</v>
      </c>
      <c r="N5665" t="s">
        <v>45</v>
      </c>
      <c r="O5665" t="s">
        <v>43</v>
      </c>
      <c r="P5665" t="s">
        <v>43</v>
      </c>
      <c r="Q5665" t="s">
        <v>43</v>
      </c>
      <c r="R5665" t="s">
        <v>43</v>
      </c>
      <c r="S5665" t="s">
        <v>43</v>
      </c>
      <c r="T5665" t="s">
        <v>43</v>
      </c>
      <c r="U5665" t="s">
        <v>43</v>
      </c>
      <c r="V5665" t="s">
        <v>43</v>
      </c>
      <c r="W5665" t="s">
        <v>43</v>
      </c>
      <c r="X5665" t="s">
        <v>43</v>
      </c>
      <c r="Y5665" t="s">
        <v>43</v>
      </c>
      <c r="Z5665" t="s">
        <v>43</v>
      </c>
      <c r="AA5665" t="s">
        <v>43</v>
      </c>
      <c r="AB5665" t="s">
        <v>43</v>
      </c>
      <c r="AC5665" t="s">
        <v>43</v>
      </c>
      <c r="AD5665" t="s">
        <v>43</v>
      </c>
      <c r="AE5665" t="s">
        <v>43</v>
      </c>
      <c r="AF5665" t="s">
        <v>43</v>
      </c>
      <c r="AG5665" t="s">
        <v>43</v>
      </c>
      <c r="AH5665" t="s">
        <v>43</v>
      </c>
      <c r="AI5665" t="s">
        <v>43</v>
      </c>
      <c r="AJ5665" t="s">
        <v>43</v>
      </c>
      <c r="AK5665" t="s">
        <v>43</v>
      </c>
      <c r="AL5665" t="s">
        <v>43</v>
      </c>
      <c r="AM5665" t="s">
        <v>43</v>
      </c>
      <c r="AN5665" t="str">
        <f>HYPERLINK("https://www.google.com/maps?q=10.83316231,79.84578705","Open Location")</f>
        <v>Open Location</v>
      </c>
    </row>
    <row r="5666" spans="1:40" x14ac:dyDescent="0.3">
      <c r="A5666" s="1">
        <v>46210.343518518515</v>
      </c>
      <c r="B5666" t="s">
        <v>40</v>
      </c>
      <c r="C5666" t="s">
        <v>41</v>
      </c>
      <c r="D5666" s="1">
        <v>46210.34646990741</v>
      </c>
      <c r="E5666" t="s">
        <v>42</v>
      </c>
      <c r="F5666" t="s">
        <v>43</v>
      </c>
      <c r="G5666" t="s">
        <v>43</v>
      </c>
      <c r="H5666" t="s">
        <v>43</v>
      </c>
      <c r="I5666" t="s">
        <v>3214</v>
      </c>
      <c r="J5666" t="s">
        <v>43</v>
      </c>
      <c r="K5666" t="s">
        <v>43</v>
      </c>
      <c r="L5666" t="s">
        <v>43</v>
      </c>
      <c r="M5666" t="s">
        <v>43</v>
      </c>
      <c r="N5666" t="s">
        <v>45</v>
      </c>
      <c r="O5666" t="s">
        <v>43</v>
      </c>
      <c r="P5666" t="s">
        <v>43</v>
      </c>
      <c r="Q5666" t="s">
        <v>43</v>
      </c>
      <c r="R5666" t="s">
        <v>43</v>
      </c>
      <c r="S5666" t="s">
        <v>43</v>
      </c>
      <c r="T5666" t="s">
        <v>43</v>
      </c>
      <c r="U5666" t="s">
        <v>43</v>
      </c>
      <c r="V5666" t="s">
        <v>43</v>
      </c>
      <c r="W5666" t="s">
        <v>43</v>
      </c>
      <c r="X5666" t="s">
        <v>43</v>
      </c>
      <c r="Y5666" t="s">
        <v>43</v>
      </c>
      <c r="Z5666" t="s">
        <v>43</v>
      </c>
      <c r="AA5666" t="s">
        <v>43</v>
      </c>
      <c r="AB5666" t="s">
        <v>43</v>
      </c>
      <c r="AC5666" t="s">
        <v>43</v>
      </c>
      <c r="AD5666" t="s">
        <v>43</v>
      </c>
      <c r="AE5666" t="s">
        <v>43</v>
      </c>
      <c r="AF5666" t="s">
        <v>43</v>
      </c>
      <c r="AG5666" t="s">
        <v>43</v>
      </c>
      <c r="AH5666" t="s">
        <v>43</v>
      </c>
      <c r="AI5666" t="s">
        <v>43</v>
      </c>
      <c r="AJ5666" t="s">
        <v>43</v>
      </c>
      <c r="AK5666" t="s">
        <v>43</v>
      </c>
      <c r="AL5666" t="s">
        <v>43</v>
      </c>
      <c r="AM5666" t="s">
        <v>43</v>
      </c>
      <c r="AN5666" t="str">
        <f>HYPERLINK("https://www.google.com/maps?q=10.83315659,79.84577942","Open Location")</f>
        <v>Open Location</v>
      </c>
    </row>
    <row r="5667" spans="1:40" x14ac:dyDescent="0.3">
      <c r="A5667" s="1">
        <v>46210.343402777777</v>
      </c>
      <c r="B5667" t="s">
        <v>40</v>
      </c>
      <c r="C5667" t="s">
        <v>41</v>
      </c>
      <c r="D5667" s="1">
        <v>46210.346354166664</v>
      </c>
      <c r="E5667" t="s">
        <v>42</v>
      </c>
      <c r="F5667" t="s">
        <v>43</v>
      </c>
      <c r="G5667" t="s">
        <v>43</v>
      </c>
      <c r="H5667" t="s">
        <v>43</v>
      </c>
      <c r="I5667" t="s">
        <v>3215</v>
      </c>
      <c r="J5667" t="s">
        <v>43</v>
      </c>
      <c r="K5667" t="s">
        <v>43</v>
      </c>
      <c r="L5667" t="s">
        <v>43</v>
      </c>
      <c r="M5667" t="s">
        <v>43</v>
      </c>
      <c r="N5667" t="s">
        <v>45</v>
      </c>
      <c r="O5667" t="s">
        <v>43</v>
      </c>
      <c r="P5667" t="s">
        <v>43</v>
      </c>
      <c r="Q5667" t="s">
        <v>43</v>
      </c>
      <c r="R5667" t="s">
        <v>43</v>
      </c>
      <c r="S5667" t="s">
        <v>43</v>
      </c>
      <c r="T5667" t="s">
        <v>43</v>
      </c>
      <c r="U5667" t="s">
        <v>43</v>
      </c>
      <c r="V5667" t="s">
        <v>43</v>
      </c>
      <c r="W5667" t="s">
        <v>43</v>
      </c>
      <c r="X5667" t="s">
        <v>43</v>
      </c>
      <c r="Y5667" t="s">
        <v>43</v>
      </c>
      <c r="Z5667" t="s">
        <v>43</v>
      </c>
      <c r="AA5667" t="s">
        <v>43</v>
      </c>
      <c r="AB5667" t="s">
        <v>43</v>
      </c>
      <c r="AC5667" t="s">
        <v>43</v>
      </c>
      <c r="AD5667" t="s">
        <v>43</v>
      </c>
      <c r="AE5667" t="s">
        <v>43</v>
      </c>
      <c r="AF5667" t="s">
        <v>43</v>
      </c>
      <c r="AG5667" t="s">
        <v>43</v>
      </c>
      <c r="AH5667" t="s">
        <v>43</v>
      </c>
      <c r="AI5667" t="s">
        <v>43</v>
      </c>
      <c r="AJ5667" t="s">
        <v>43</v>
      </c>
      <c r="AK5667" t="s">
        <v>43</v>
      </c>
      <c r="AL5667" t="s">
        <v>43</v>
      </c>
      <c r="AM5667" t="s">
        <v>43</v>
      </c>
      <c r="AN5667" t="str">
        <f>HYPERLINK("https://www.google.com/maps?q=10.83315945,79.84577942","Open Location")</f>
        <v>Open Location</v>
      </c>
    </row>
    <row r="5668" spans="1:40" x14ac:dyDescent="0.3">
      <c r="A5668" s="1">
        <v>46210.343287037038</v>
      </c>
      <c r="B5668" t="s">
        <v>40</v>
      </c>
      <c r="C5668" t="s">
        <v>41</v>
      </c>
      <c r="D5668" s="1">
        <v>46210.346284722225</v>
      </c>
      <c r="E5668" t="s">
        <v>42</v>
      </c>
      <c r="F5668" t="s">
        <v>43</v>
      </c>
      <c r="G5668" t="s">
        <v>43</v>
      </c>
      <c r="H5668" t="s">
        <v>43</v>
      </c>
      <c r="I5668" t="s">
        <v>43</v>
      </c>
      <c r="J5668" t="s">
        <v>43</v>
      </c>
      <c r="K5668" t="s">
        <v>43</v>
      </c>
      <c r="L5668" t="s">
        <v>43</v>
      </c>
      <c r="M5668" t="s">
        <v>43</v>
      </c>
      <c r="N5668" t="s">
        <v>45</v>
      </c>
      <c r="O5668" t="s">
        <v>43</v>
      </c>
      <c r="P5668" t="s">
        <v>43</v>
      </c>
      <c r="Q5668" t="s">
        <v>43</v>
      </c>
      <c r="R5668" t="s">
        <v>43</v>
      </c>
      <c r="S5668" t="s">
        <v>43</v>
      </c>
      <c r="T5668" t="s">
        <v>43</v>
      </c>
      <c r="U5668" t="s">
        <v>43</v>
      </c>
      <c r="V5668" t="s">
        <v>43</v>
      </c>
      <c r="W5668" t="s">
        <v>43</v>
      </c>
      <c r="X5668" t="s">
        <v>43</v>
      </c>
      <c r="Y5668" t="s">
        <v>43</v>
      </c>
      <c r="Z5668" t="s">
        <v>43</v>
      </c>
      <c r="AA5668" t="s">
        <v>43</v>
      </c>
      <c r="AB5668" t="s">
        <v>43</v>
      </c>
      <c r="AC5668" t="s">
        <v>43</v>
      </c>
      <c r="AD5668" t="s">
        <v>43</v>
      </c>
      <c r="AE5668" t="s">
        <v>43</v>
      </c>
      <c r="AF5668" t="s">
        <v>43</v>
      </c>
      <c r="AG5668" t="s">
        <v>43</v>
      </c>
      <c r="AH5668" t="s">
        <v>43</v>
      </c>
      <c r="AI5668" t="s">
        <v>43</v>
      </c>
      <c r="AJ5668" t="s">
        <v>43</v>
      </c>
      <c r="AK5668" t="s">
        <v>43</v>
      </c>
      <c r="AL5668" t="s">
        <v>43</v>
      </c>
      <c r="AM5668" t="s">
        <v>43</v>
      </c>
      <c r="AN5668" t="s">
        <v>43</v>
      </c>
    </row>
    <row r="5669" spans="1:40" x14ac:dyDescent="0.3">
      <c r="A5669" s="1">
        <v>46210.343171296299</v>
      </c>
      <c r="B5669" t="s">
        <v>40</v>
      </c>
      <c r="C5669" t="s">
        <v>41</v>
      </c>
      <c r="D5669" s="1">
        <v>46210.346331018518</v>
      </c>
      <c r="E5669" t="s">
        <v>42</v>
      </c>
      <c r="F5669" t="s">
        <v>43</v>
      </c>
      <c r="G5669" t="s">
        <v>43</v>
      </c>
      <c r="H5669" t="s">
        <v>43</v>
      </c>
      <c r="I5669" t="s">
        <v>3216</v>
      </c>
      <c r="J5669" t="s">
        <v>43</v>
      </c>
      <c r="K5669" t="s">
        <v>43</v>
      </c>
      <c r="L5669" t="s">
        <v>43</v>
      </c>
      <c r="M5669" t="s">
        <v>43</v>
      </c>
      <c r="N5669" t="s">
        <v>45</v>
      </c>
      <c r="O5669" t="s">
        <v>43</v>
      </c>
      <c r="P5669" t="s">
        <v>43</v>
      </c>
      <c r="Q5669" t="s">
        <v>43</v>
      </c>
      <c r="R5669" t="s">
        <v>43</v>
      </c>
      <c r="S5669" t="s">
        <v>43</v>
      </c>
      <c r="T5669" t="s">
        <v>43</v>
      </c>
      <c r="U5669" t="s">
        <v>43</v>
      </c>
      <c r="V5669" t="s">
        <v>43</v>
      </c>
      <c r="W5669" t="s">
        <v>43</v>
      </c>
      <c r="X5669" t="s">
        <v>43</v>
      </c>
      <c r="Y5669" t="s">
        <v>43</v>
      </c>
      <c r="Z5669" t="s">
        <v>43</v>
      </c>
      <c r="AA5669" t="s">
        <v>43</v>
      </c>
      <c r="AB5669" t="s">
        <v>43</v>
      </c>
      <c r="AC5669" t="s">
        <v>43</v>
      </c>
      <c r="AD5669" t="s">
        <v>43</v>
      </c>
      <c r="AE5669" t="s">
        <v>43</v>
      </c>
      <c r="AF5669" t="s">
        <v>43</v>
      </c>
      <c r="AG5669" t="s">
        <v>43</v>
      </c>
      <c r="AH5669" t="s">
        <v>43</v>
      </c>
      <c r="AI5669" t="s">
        <v>43</v>
      </c>
      <c r="AJ5669" t="s">
        <v>43</v>
      </c>
      <c r="AK5669" t="s">
        <v>43</v>
      </c>
      <c r="AL5669" t="s">
        <v>43</v>
      </c>
      <c r="AM5669" t="s">
        <v>43</v>
      </c>
      <c r="AN5669" t="str">
        <f>HYPERLINK("https://www.google.com/maps?q=10.83315754,79.84577942","Open Location")</f>
        <v>Open Location</v>
      </c>
    </row>
    <row r="5670" spans="1:40" x14ac:dyDescent="0.3">
      <c r="A5670" s="1">
        <v>46210.343055555553</v>
      </c>
      <c r="B5670" t="s">
        <v>40</v>
      </c>
      <c r="C5670" t="s">
        <v>41</v>
      </c>
      <c r="D5670" s="1">
        <v>46210.346203703702</v>
      </c>
      <c r="E5670" t="s">
        <v>42</v>
      </c>
      <c r="F5670" t="s">
        <v>43</v>
      </c>
      <c r="G5670" t="s">
        <v>43</v>
      </c>
      <c r="H5670" t="s">
        <v>43</v>
      </c>
      <c r="I5670" t="s">
        <v>3217</v>
      </c>
      <c r="J5670" t="s">
        <v>43</v>
      </c>
      <c r="K5670" t="s">
        <v>43</v>
      </c>
      <c r="L5670" t="s">
        <v>43</v>
      </c>
      <c r="M5670" t="s">
        <v>43</v>
      </c>
      <c r="N5670" t="s">
        <v>45</v>
      </c>
      <c r="O5670" t="s">
        <v>43</v>
      </c>
      <c r="P5670" t="s">
        <v>43</v>
      </c>
      <c r="Q5670" t="s">
        <v>43</v>
      </c>
      <c r="R5670" t="s">
        <v>43</v>
      </c>
      <c r="S5670" t="s">
        <v>43</v>
      </c>
      <c r="T5670" t="s">
        <v>43</v>
      </c>
      <c r="U5670" t="s">
        <v>43</v>
      </c>
      <c r="V5670" t="s">
        <v>43</v>
      </c>
      <c r="W5670" t="s">
        <v>43</v>
      </c>
      <c r="X5670" t="s">
        <v>43</v>
      </c>
      <c r="Y5670" t="s">
        <v>43</v>
      </c>
      <c r="Z5670" t="s">
        <v>43</v>
      </c>
      <c r="AA5670" t="s">
        <v>43</v>
      </c>
      <c r="AB5670" t="s">
        <v>43</v>
      </c>
      <c r="AC5670" t="s">
        <v>43</v>
      </c>
      <c r="AD5670" t="s">
        <v>43</v>
      </c>
      <c r="AE5670" t="s">
        <v>43</v>
      </c>
      <c r="AF5670" t="s">
        <v>43</v>
      </c>
      <c r="AG5670" t="s">
        <v>43</v>
      </c>
      <c r="AH5670" t="s">
        <v>43</v>
      </c>
      <c r="AI5670" t="s">
        <v>43</v>
      </c>
      <c r="AJ5670" t="s">
        <v>43</v>
      </c>
      <c r="AK5670" t="s">
        <v>43</v>
      </c>
      <c r="AL5670" t="s">
        <v>43</v>
      </c>
      <c r="AM5670" t="s">
        <v>43</v>
      </c>
      <c r="AN5670" t="str">
        <f>HYPERLINK("https://www.google.com/maps?q=10.83315754,79.84578705","Open Location")</f>
        <v>Open Location</v>
      </c>
    </row>
    <row r="5671" spans="1:40" x14ac:dyDescent="0.3">
      <c r="A5671" s="1">
        <v>46210.342939814815</v>
      </c>
      <c r="B5671" t="s">
        <v>40</v>
      </c>
      <c r="C5671" t="s">
        <v>41</v>
      </c>
      <c r="D5671" s="1">
        <v>46210.345752314817</v>
      </c>
      <c r="E5671" t="s">
        <v>42</v>
      </c>
      <c r="F5671" t="s">
        <v>43</v>
      </c>
      <c r="G5671" t="s">
        <v>43</v>
      </c>
      <c r="H5671" t="s">
        <v>43</v>
      </c>
      <c r="I5671" t="s">
        <v>3218</v>
      </c>
      <c r="J5671" t="s">
        <v>43</v>
      </c>
      <c r="K5671" t="s">
        <v>43</v>
      </c>
      <c r="L5671" t="s">
        <v>43</v>
      </c>
      <c r="M5671" t="s">
        <v>43</v>
      </c>
      <c r="N5671" t="s">
        <v>45</v>
      </c>
      <c r="O5671" t="s">
        <v>43</v>
      </c>
      <c r="P5671" t="s">
        <v>43</v>
      </c>
      <c r="Q5671" t="s">
        <v>43</v>
      </c>
      <c r="R5671" t="s">
        <v>43</v>
      </c>
      <c r="S5671" t="s">
        <v>43</v>
      </c>
      <c r="T5671" t="s">
        <v>43</v>
      </c>
      <c r="U5671" t="s">
        <v>43</v>
      </c>
      <c r="V5671" t="s">
        <v>43</v>
      </c>
      <c r="W5671" t="s">
        <v>43</v>
      </c>
      <c r="X5671" t="s">
        <v>43</v>
      </c>
      <c r="Y5671" t="s">
        <v>43</v>
      </c>
      <c r="Z5671" t="s">
        <v>43</v>
      </c>
      <c r="AA5671" t="s">
        <v>43</v>
      </c>
      <c r="AB5671" t="s">
        <v>43</v>
      </c>
      <c r="AC5671" t="s">
        <v>43</v>
      </c>
      <c r="AD5671" t="s">
        <v>43</v>
      </c>
      <c r="AE5671" t="s">
        <v>43</v>
      </c>
      <c r="AF5671" t="s">
        <v>43</v>
      </c>
      <c r="AG5671" t="s">
        <v>43</v>
      </c>
      <c r="AH5671" t="s">
        <v>43</v>
      </c>
      <c r="AI5671" t="s">
        <v>43</v>
      </c>
      <c r="AJ5671" t="s">
        <v>43</v>
      </c>
      <c r="AK5671" t="s">
        <v>43</v>
      </c>
      <c r="AL5671" t="s">
        <v>43</v>
      </c>
      <c r="AM5671" t="s">
        <v>43</v>
      </c>
      <c r="AN5671" t="str">
        <f>HYPERLINK("https://www.google.com/maps?q=10.83316135,79.84578705","Open Location")</f>
        <v>Open Location</v>
      </c>
    </row>
    <row r="5672" spans="1:40" x14ac:dyDescent="0.3">
      <c r="A5672" s="1">
        <v>46210.342824074076</v>
      </c>
      <c r="B5672" t="s">
        <v>40</v>
      </c>
      <c r="C5672" t="s">
        <v>41</v>
      </c>
      <c r="D5672" s="1">
        <v>46210.345949074072</v>
      </c>
      <c r="E5672" t="s">
        <v>42</v>
      </c>
      <c r="F5672" t="s">
        <v>43</v>
      </c>
      <c r="G5672" t="s">
        <v>43</v>
      </c>
      <c r="H5672" t="s">
        <v>43</v>
      </c>
      <c r="I5672" t="s">
        <v>3219</v>
      </c>
      <c r="J5672" t="s">
        <v>43</v>
      </c>
      <c r="K5672" t="s">
        <v>43</v>
      </c>
      <c r="L5672" t="s">
        <v>43</v>
      </c>
      <c r="M5672" t="s">
        <v>43</v>
      </c>
      <c r="N5672" t="s">
        <v>45</v>
      </c>
      <c r="O5672" t="s">
        <v>43</v>
      </c>
      <c r="P5672" t="s">
        <v>43</v>
      </c>
      <c r="Q5672" t="s">
        <v>43</v>
      </c>
      <c r="R5672" t="s">
        <v>43</v>
      </c>
      <c r="S5672" t="s">
        <v>43</v>
      </c>
      <c r="T5672" t="s">
        <v>43</v>
      </c>
      <c r="U5672" t="s">
        <v>43</v>
      </c>
      <c r="V5672" t="s">
        <v>43</v>
      </c>
      <c r="W5672" t="s">
        <v>43</v>
      </c>
      <c r="X5672" t="s">
        <v>43</v>
      </c>
      <c r="Y5672" t="s">
        <v>43</v>
      </c>
      <c r="Z5672" t="s">
        <v>43</v>
      </c>
      <c r="AA5672" t="s">
        <v>43</v>
      </c>
      <c r="AB5672" t="s">
        <v>43</v>
      </c>
      <c r="AC5672" t="s">
        <v>43</v>
      </c>
      <c r="AD5672" t="s">
        <v>43</v>
      </c>
      <c r="AE5672" t="s">
        <v>43</v>
      </c>
      <c r="AF5672" t="s">
        <v>43</v>
      </c>
      <c r="AG5672" t="s">
        <v>43</v>
      </c>
      <c r="AH5672" t="s">
        <v>43</v>
      </c>
      <c r="AI5672" t="s">
        <v>43</v>
      </c>
      <c r="AJ5672" t="s">
        <v>43</v>
      </c>
      <c r="AK5672" t="s">
        <v>43</v>
      </c>
      <c r="AL5672" t="s">
        <v>43</v>
      </c>
      <c r="AM5672" t="s">
        <v>43</v>
      </c>
      <c r="AN5672" t="str">
        <f>HYPERLINK("https://www.google.com/maps?q=10.83316135,79.84579468","Open Location")</f>
        <v>Open Location</v>
      </c>
    </row>
    <row r="5673" spans="1:40" x14ac:dyDescent="0.3">
      <c r="A5673" s="1">
        <v>46210.34270833333</v>
      </c>
      <c r="B5673" t="s">
        <v>40</v>
      </c>
      <c r="C5673" t="s">
        <v>41</v>
      </c>
      <c r="D5673" s="1">
        <v>46210.345543981479</v>
      </c>
      <c r="E5673" t="s">
        <v>42</v>
      </c>
      <c r="F5673" t="s">
        <v>43</v>
      </c>
      <c r="G5673" t="s">
        <v>43</v>
      </c>
      <c r="H5673" t="s">
        <v>43</v>
      </c>
      <c r="I5673" t="s">
        <v>3220</v>
      </c>
      <c r="J5673" t="s">
        <v>43</v>
      </c>
      <c r="K5673" t="s">
        <v>43</v>
      </c>
      <c r="L5673" t="s">
        <v>43</v>
      </c>
      <c r="M5673" t="s">
        <v>43</v>
      </c>
      <c r="N5673" t="s">
        <v>45</v>
      </c>
      <c r="O5673" t="s">
        <v>43</v>
      </c>
      <c r="P5673" t="s">
        <v>43</v>
      </c>
      <c r="Q5673" t="s">
        <v>43</v>
      </c>
      <c r="R5673" t="s">
        <v>43</v>
      </c>
      <c r="S5673" t="s">
        <v>43</v>
      </c>
      <c r="T5673" t="s">
        <v>43</v>
      </c>
      <c r="U5673" t="s">
        <v>43</v>
      </c>
      <c r="V5673" t="s">
        <v>43</v>
      </c>
      <c r="W5673" t="s">
        <v>43</v>
      </c>
      <c r="X5673" t="s">
        <v>43</v>
      </c>
      <c r="Y5673" t="s">
        <v>43</v>
      </c>
      <c r="Z5673" t="s">
        <v>43</v>
      </c>
      <c r="AA5673" t="s">
        <v>43</v>
      </c>
      <c r="AB5673" t="s">
        <v>43</v>
      </c>
      <c r="AC5673" t="s">
        <v>43</v>
      </c>
      <c r="AD5673" t="s">
        <v>43</v>
      </c>
      <c r="AE5673" t="s">
        <v>43</v>
      </c>
      <c r="AF5673" t="s">
        <v>43</v>
      </c>
      <c r="AG5673" t="s">
        <v>43</v>
      </c>
      <c r="AH5673" t="s">
        <v>43</v>
      </c>
      <c r="AI5673" t="s">
        <v>43</v>
      </c>
      <c r="AJ5673" t="s">
        <v>43</v>
      </c>
      <c r="AK5673" t="s">
        <v>43</v>
      </c>
      <c r="AL5673" t="s">
        <v>43</v>
      </c>
      <c r="AM5673" t="s">
        <v>43</v>
      </c>
      <c r="AN5673" t="str">
        <f>HYPERLINK("https://www.google.com/maps?q=10.83315659,79.84580994","Open Location")</f>
        <v>Open Location</v>
      </c>
    </row>
    <row r="5674" spans="1:40" x14ac:dyDescent="0.3">
      <c r="A5674" s="1">
        <v>46210.342592592591</v>
      </c>
      <c r="B5674" t="s">
        <v>40</v>
      </c>
      <c r="C5674" t="s">
        <v>41</v>
      </c>
      <c r="D5674" s="1">
        <v>46210.345335648148</v>
      </c>
      <c r="E5674" t="s">
        <v>42</v>
      </c>
      <c r="F5674" t="s">
        <v>43</v>
      </c>
      <c r="G5674" t="s">
        <v>43</v>
      </c>
      <c r="H5674" t="s">
        <v>43</v>
      </c>
      <c r="I5674" t="s">
        <v>43</v>
      </c>
      <c r="J5674" t="s">
        <v>43</v>
      </c>
      <c r="K5674" t="s">
        <v>43</v>
      </c>
      <c r="L5674" t="s">
        <v>43</v>
      </c>
      <c r="M5674" t="s">
        <v>43</v>
      </c>
      <c r="N5674" t="s">
        <v>45</v>
      </c>
      <c r="O5674" t="s">
        <v>43</v>
      </c>
      <c r="P5674" t="s">
        <v>43</v>
      </c>
      <c r="Q5674" t="s">
        <v>43</v>
      </c>
      <c r="R5674" t="s">
        <v>43</v>
      </c>
      <c r="S5674" t="s">
        <v>43</v>
      </c>
      <c r="T5674" t="s">
        <v>43</v>
      </c>
      <c r="U5674" t="s">
        <v>43</v>
      </c>
      <c r="V5674" t="s">
        <v>43</v>
      </c>
      <c r="W5674" t="s">
        <v>43</v>
      </c>
      <c r="X5674" t="s">
        <v>43</v>
      </c>
      <c r="Y5674" t="s">
        <v>43</v>
      </c>
      <c r="Z5674" t="s">
        <v>43</v>
      </c>
      <c r="AA5674" t="s">
        <v>43</v>
      </c>
      <c r="AB5674" t="s">
        <v>43</v>
      </c>
      <c r="AC5674" t="s">
        <v>43</v>
      </c>
      <c r="AD5674" t="s">
        <v>43</v>
      </c>
      <c r="AE5674" t="s">
        <v>43</v>
      </c>
      <c r="AF5674" t="s">
        <v>43</v>
      </c>
      <c r="AG5674" t="s">
        <v>43</v>
      </c>
      <c r="AH5674" t="s">
        <v>43</v>
      </c>
      <c r="AI5674" t="s">
        <v>43</v>
      </c>
      <c r="AJ5674" t="s">
        <v>43</v>
      </c>
      <c r="AK5674" t="s">
        <v>43</v>
      </c>
      <c r="AL5674" t="s">
        <v>43</v>
      </c>
      <c r="AM5674" t="s">
        <v>43</v>
      </c>
      <c r="AN5674" t="s">
        <v>43</v>
      </c>
    </row>
    <row r="5675" spans="1:40" x14ac:dyDescent="0.3">
      <c r="A5675" s="1">
        <v>46210.342476851853</v>
      </c>
      <c r="B5675" t="s">
        <v>40</v>
      </c>
      <c r="C5675" t="s">
        <v>41</v>
      </c>
      <c r="D5675" s="1">
        <v>46210.345543981479</v>
      </c>
      <c r="E5675" t="s">
        <v>42</v>
      </c>
      <c r="F5675" t="s">
        <v>43</v>
      </c>
      <c r="G5675" t="s">
        <v>43</v>
      </c>
      <c r="H5675" t="s">
        <v>43</v>
      </c>
      <c r="I5675" t="s">
        <v>3221</v>
      </c>
      <c r="J5675" t="s">
        <v>43</v>
      </c>
      <c r="K5675" t="s">
        <v>43</v>
      </c>
      <c r="L5675" t="s">
        <v>43</v>
      </c>
      <c r="M5675" t="s">
        <v>43</v>
      </c>
      <c r="N5675" t="s">
        <v>45</v>
      </c>
      <c r="O5675" t="s">
        <v>43</v>
      </c>
      <c r="P5675" t="s">
        <v>43</v>
      </c>
      <c r="Q5675" t="s">
        <v>43</v>
      </c>
      <c r="R5675" t="s">
        <v>43</v>
      </c>
      <c r="S5675" t="s">
        <v>43</v>
      </c>
      <c r="T5675" t="s">
        <v>43</v>
      </c>
      <c r="U5675" t="s">
        <v>43</v>
      </c>
      <c r="V5675" t="s">
        <v>43</v>
      </c>
      <c r="W5675" t="s">
        <v>43</v>
      </c>
      <c r="X5675" t="s">
        <v>43</v>
      </c>
      <c r="Y5675" t="s">
        <v>43</v>
      </c>
      <c r="Z5675" t="s">
        <v>43</v>
      </c>
      <c r="AA5675" t="s">
        <v>43</v>
      </c>
      <c r="AB5675" t="s">
        <v>43</v>
      </c>
      <c r="AC5675" t="s">
        <v>43</v>
      </c>
      <c r="AD5675" t="s">
        <v>43</v>
      </c>
      <c r="AE5675" t="s">
        <v>43</v>
      </c>
      <c r="AF5675" t="s">
        <v>43</v>
      </c>
      <c r="AG5675" t="s">
        <v>43</v>
      </c>
      <c r="AH5675" t="s">
        <v>43</v>
      </c>
      <c r="AI5675" t="s">
        <v>43</v>
      </c>
      <c r="AJ5675" t="s">
        <v>43</v>
      </c>
      <c r="AK5675" t="s">
        <v>43</v>
      </c>
      <c r="AL5675" t="s">
        <v>43</v>
      </c>
      <c r="AM5675" t="s">
        <v>43</v>
      </c>
      <c r="AN5675" t="str">
        <f>HYPERLINK("https://www.google.com/maps?q=10.83315277,79.84580994","Open Location")</f>
        <v>Open Location</v>
      </c>
    </row>
    <row r="5676" spans="1:40" x14ac:dyDescent="0.3">
      <c r="A5676" s="1">
        <v>46210.342361111114</v>
      </c>
      <c r="B5676" t="s">
        <v>40</v>
      </c>
      <c r="C5676" t="s">
        <v>41</v>
      </c>
      <c r="D5676" s="1">
        <v>46210.345543981479</v>
      </c>
      <c r="E5676" t="s">
        <v>42</v>
      </c>
      <c r="F5676" t="s">
        <v>43</v>
      </c>
      <c r="G5676" t="s">
        <v>43</v>
      </c>
      <c r="H5676" t="s">
        <v>43</v>
      </c>
      <c r="I5676" t="s">
        <v>3222</v>
      </c>
      <c r="J5676" t="s">
        <v>43</v>
      </c>
      <c r="K5676" t="s">
        <v>43</v>
      </c>
      <c r="L5676" t="s">
        <v>43</v>
      </c>
      <c r="M5676" t="s">
        <v>43</v>
      </c>
      <c r="N5676" t="s">
        <v>45</v>
      </c>
      <c r="O5676" t="s">
        <v>43</v>
      </c>
      <c r="P5676" t="s">
        <v>43</v>
      </c>
      <c r="Q5676" t="s">
        <v>43</v>
      </c>
      <c r="R5676" t="s">
        <v>43</v>
      </c>
      <c r="S5676" t="s">
        <v>43</v>
      </c>
      <c r="T5676" t="s">
        <v>43</v>
      </c>
      <c r="U5676" t="s">
        <v>43</v>
      </c>
      <c r="V5676" t="s">
        <v>43</v>
      </c>
      <c r="W5676" t="s">
        <v>43</v>
      </c>
      <c r="X5676" t="s">
        <v>43</v>
      </c>
      <c r="Y5676" t="s">
        <v>43</v>
      </c>
      <c r="Z5676" t="s">
        <v>43</v>
      </c>
      <c r="AA5676" t="s">
        <v>43</v>
      </c>
      <c r="AB5676" t="s">
        <v>43</v>
      </c>
      <c r="AC5676" t="s">
        <v>43</v>
      </c>
      <c r="AD5676" t="s">
        <v>43</v>
      </c>
      <c r="AE5676" t="s">
        <v>43</v>
      </c>
      <c r="AF5676" t="s">
        <v>43</v>
      </c>
      <c r="AG5676" t="s">
        <v>43</v>
      </c>
      <c r="AH5676" t="s">
        <v>43</v>
      </c>
      <c r="AI5676" t="s">
        <v>43</v>
      </c>
      <c r="AJ5676" t="s">
        <v>43</v>
      </c>
      <c r="AK5676" t="s">
        <v>43</v>
      </c>
      <c r="AL5676" t="s">
        <v>43</v>
      </c>
      <c r="AM5676" t="s">
        <v>43</v>
      </c>
      <c r="AN5676" t="str">
        <f>HYPERLINK("https://www.google.com/maps?q=10.83315182,79.84581757","Open Location")</f>
        <v>Open Location</v>
      </c>
    </row>
    <row r="5677" spans="1:40" x14ac:dyDescent="0.3">
      <c r="A5677" s="1">
        <v>46210.342245370368</v>
      </c>
      <c r="B5677" t="s">
        <v>40</v>
      </c>
      <c r="C5677" t="s">
        <v>41</v>
      </c>
      <c r="D5677" s="1">
        <v>46210.344942129632</v>
      </c>
      <c r="E5677" t="s">
        <v>42</v>
      </c>
      <c r="F5677" t="s">
        <v>43</v>
      </c>
      <c r="G5677" t="s">
        <v>43</v>
      </c>
      <c r="H5677" t="s">
        <v>43</v>
      </c>
      <c r="I5677" t="s">
        <v>3220</v>
      </c>
      <c r="J5677" t="s">
        <v>43</v>
      </c>
      <c r="K5677" t="s">
        <v>43</v>
      </c>
      <c r="L5677" t="s">
        <v>43</v>
      </c>
      <c r="M5677" t="s">
        <v>43</v>
      </c>
      <c r="N5677" t="s">
        <v>45</v>
      </c>
      <c r="O5677" t="s">
        <v>43</v>
      </c>
      <c r="P5677" t="s">
        <v>43</v>
      </c>
      <c r="Q5677" t="s">
        <v>43</v>
      </c>
      <c r="R5677" t="s">
        <v>43</v>
      </c>
      <c r="S5677" t="s">
        <v>43</v>
      </c>
      <c r="T5677" t="s">
        <v>43</v>
      </c>
      <c r="U5677" t="s">
        <v>43</v>
      </c>
      <c r="V5677" t="s">
        <v>43</v>
      </c>
      <c r="W5677" t="s">
        <v>43</v>
      </c>
      <c r="X5677" t="s">
        <v>43</v>
      </c>
      <c r="Y5677" t="s">
        <v>43</v>
      </c>
      <c r="Z5677" t="s">
        <v>43</v>
      </c>
      <c r="AA5677" t="s">
        <v>43</v>
      </c>
      <c r="AB5677" t="s">
        <v>43</v>
      </c>
      <c r="AC5677" t="s">
        <v>43</v>
      </c>
      <c r="AD5677" t="s">
        <v>43</v>
      </c>
      <c r="AE5677" t="s">
        <v>43</v>
      </c>
      <c r="AF5677" t="s">
        <v>43</v>
      </c>
      <c r="AG5677" t="s">
        <v>43</v>
      </c>
      <c r="AH5677" t="s">
        <v>43</v>
      </c>
      <c r="AI5677" t="s">
        <v>43</v>
      </c>
      <c r="AJ5677" t="s">
        <v>43</v>
      </c>
      <c r="AK5677" t="s">
        <v>43</v>
      </c>
      <c r="AL5677" t="s">
        <v>43</v>
      </c>
      <c r="AM5677" t="s">
        <v>43</v>
      </c>
      <c r="AN5677" t="str">
        <f>HYPERLINK("https://www.google.com/maps?q=10.83315659,79.84580994","Open Location")</f>
        <v>Open Location</v>
      </c>
    </row>
    <row r="5678" spans="1:40" x14ac:dyDescent="0.3">
      <c r="A5678" s="1">
        <v>46210.342129629629</v>
      </c>
      <c r="B5678" t="s">
        <v>40</v>
      </c>
      <c r="C5678" t="s">
        <v>41</v>
      </c>
      <c r="D5678" s="1">
        <v>46210.345057870371</v>
      </c>
      <c r="E5678" t="s">
        <v>42</v>
      </c>
      <c r="F5678" t="s">
        <v>43</v>
      </c>
      <c r="G5678" t="s">
        <v>43</v>
      </c>
      <c r="H5678" t="s">
        <v>43</v>
      </c>
      <c r="I5678" t="s">
        <v>3220</v>
      </c>
      <c r="J5678" t="s">
        <v>43</v>
      </c>
      <c r="K5678" t="s">
        <v>43</v>
      </c>
      <c r="L5678" t="s">
        <v>43</v>
      </c>
      <c r="M5678" t="s">
        <v>43</v>
      </c>
      <c r="N5678" t="s">
        <v>45</v>
      </c>
      <c r="O5678" t="s">
        <v>43</v>
      </c>
      <c r="P5678" t="s">
        <v>43</v>
      </c>
      <c r="Q5678" t="s">
        <v>43</v>
      </c>
      <c r="R5678" t="s">
        <v>43</v>
      </c>
      <c r="S5678" t="s">
        <v>43</v>
      </c>
      <c r="T5678" t="s">
        <v>43</v>
      </c>
      <c r="U5678" t="s">
        <v>43</v>
      </c>
      <c r="V5678" t="s">
        <v>43</v>
      </c>
      <c r="W5678" t="s">
        <v>43</v>
      </c>
      <c r="X5678" t="s">
        <v>43</v>
      </c>
      <c r="Y5678" t="s">
        <v>43</v>
      </c>
      <c r="Z5678" t="s">
        <v>43</v>
      </c>
      <c r="AA5678" t="s">
        <v>43</v>
      </c>
      <c r="AB5678" t="s">
        <v>43</v>
      </c>
      <c r="AC5678" t="s">
        <v>43</v>
      </c>
      <c r="AD5678" t="s">
        <v>43</v>
      </c>
      <c r="AE5678" t="s">
        <v>43</v>
      </c>
      <c r="AF5678" t="s">
        <v>43</v>
      </c>
      <c r="AG5678" t="s">
        <v>43</v>
      </c>
      <c r="AH5678" t="s">
        <v>43</v>
      </c>
      <c r="AI5678" t="s">
        <v>43</v>
      </c>
      <c r="AJ5678" t="s">
        <v>43</v>
      </c>
      <c r="AK5678" t="s">
        <v>43</v>
      </c>
      <c r="AL5678" t="s">
        <v>43</v>
      </c>
      <c r="AM5678" t="s">
        <v>43</v>
      </c>
      <c r="AN5678" t="str">
        <f>HYPERLINK("https://www.google.com/maps?q=10.83315659,79.84580994","Open Location")</f>
        <v>Open Location</v>
      </c>
    </row>
    <row r="5679" spans="1:40" x14ac:dyDescent="0.3">
      <c r="A5679" s="1">
        <v>46210.342013888891</v>
      </c>
      <c r="B5679" t="s">
        <v>40</v>
      </c>
      <c r="C5679" t="s">
        <v>41</v>
      </c>
      <c r="D5679" s="1">
        <v>46210.344768518517</v>
      </c>
      <c r="E5679" t="s">
        <v>42</v>
      </c>
      <c r="F5679" t="s">
        <v>43</v>
      </c>
      <c r="G5679" t="s">
        <v>43</v>
      </c>
      <c r="H5679" t="s">
        <v>43</v>
      </c>
      <c r="I5679" t="s">
        <v>43</v>
      </c>
      <c r="J5679" t="s">
        <v>43</v>
      </c>
      <c r="K5679" t="s">
        <v>43</v>
      </c>
      <c r="L5679" t="s">
        <v>43</v>
      </c>
      <c r="M5679" t="s">
        <v>43</v>
      </c>
      <c r="N5679" t="s">
        <v>45</v>
      </c>
      <c r="O5679" t="s">
        <v>43</v>
      </c>
      <c r="P5679" t="s">
        <v>43</v>
      </c>
      <c r="Q5679" t="s">
        <v>43</v>
      </c>
      <c r="R5679" t="s">
        <v>43</v>
      </c>
      <c r="S5679" t="s">
        <v>43</v>
      </c>
      <c r="T5679" t="s">
        <v>43</v>
      </c>
      <c r="U5679" t="s">
        <v>43</v>
      </c>
      <c r="V5679" t="s">
        <v>43</v>
      </c>
      <c r="W5679" t="s">
        <v>43</v>
      </c>
      <c r="X5679" t="s">
        <v>43</v>
      </c>
      <c r="Y5679" t="s">
        <v>43</v>
      </c>
      <c r="Z5679" t="s">
        <v>43</v>
      </c>
      <c r="AA5679" t="s">
        <v>43</v>
      </c>
      <c r="AB5679" t="s">
        <v>43</v>
      </c>
      <c r="AC5679" t="s">
        <v>43</v>
      </c>
      <c r="AD5679" t="s">
        <v>43</v>
      </c>
      <c r="AE5679" t="s">
        <v>43</v>
      </c>
      <c r="AF5679" t="s">
        <v>43</v>
      </c>
      <c r="AG5679" t="s">
        <v>43</v>
      </c>
      <c r="AH5679" t="s">
        <v>43</v>
      </c>
      <c r="AI5679" t="s">
        <v>43</v>
      </c>
      <c r="AJ5679" t="s">
        <v>43</v>
      </c>
      <c r="AK5679" t="s">
        <v>43</v>
      </c>
      <c r="AL5679" t="s">
        <v>43</v>
      </c>
      <c r="AM5679" t="s">
        <v>43</v>
      </c>
      <c r="AN5679" t="s">
        <v>43</v>
      </c>
    </row>
    <row r="5680" spans="1:40" x14ac:dyDescent="0.3">
      <c r="A5680" s="1">
        <v>46210.341898148145</v>
      </c>
      <c r="B5680" t="s">
        <v>40</v>
      </c>
      <c r="C5680" t="s">
        <v>41</v>
      </c>
      <c r="D5680" s="1">
        <v>46210.344768518517</v>
      </c>
      <c r="E5680" t="s">
        <v>42</v>
      </c>
      <c r="F5680" t="s">
        <v>43</v>
      </c>
      <c r="G5680" t="s">
        <v>43</v>
      </c>
      <c r="H5680" t="s">
        <v>43</v>
      </c>
      <c r="I5680" t="s">
        <v>3223</v>
      </c>
      <c r="J5680" t="s">
        <v>43</v>
      </c>
      <c r="K5680" t="s">
        <v>43</v>
      </c>
      <c r="L5680" t="s">
        <v>43</v>
      </c>
      <c r="M5680" t="s">
        <v>43</v>
      </c>
      <c r="N5680" t="s">
        <v>45</v>
      </c>
      <c r="O5680" t="s">
        <v>43</v>
      </c>
      <c r="P5680" t="s">
        <v>43</v>
      </c>
      <c r="Q5680" t="s">
        <v>43</v>
      </c>
      <c r="R5680" t="s">
        <v>43</v>
      </c>
      <c r="S5680" t="s">
        <v>43</v>
      </c>
      <c r="T5680" t="s">
        <v>43</v>
      </c>
      <c r="U5680" t="s">
        <v>43</v>
      </c>
      <c r="V5680" t="s">
        <v>43</v>
      </c>
      <c r="W5680" t="s">
        <v>43</v>
      </c>
      <c r="X5680" t="s">
        <v>43</v>
      </c>
      <c r="Y5680" t="s">
        <v>43</v>
      </c>
      <c r="Z5680" t="s">
        <v>43</v>
      </c>
      <c r="AA5680" t="s">
        <v>43</v>
      </c>
      <c r="AB5680" t="s">
        <v>43</v>
      </c>
      <c r="AC5680" t="s">
        <v>43</v>
      </c>
      <c r="AD5680" t="s">
        <v>43</v>
      </c>
      <c r="AE5680" t="s">
        <v>43</v>
      </c>
      <c r="AF5680" t="s">
        <v>43</v>
      </c>
      <c r="AG5680" t="s">
        <v>43</v>
      </c>
      <c r="AH5680" t="s">
        <v>43</v>
      </c>
      <c r="AI5680" t="s">
        <v>43</v>
      </c>
      <c r="AJ5680" t="s">
        <v>43</v>
      </c>
      <c r="AK5680" t="s">
        <v>43</v>
      </c>
      <c r="AL5680" t="s">
        <v>43</v>
      </c>
      <c r="AM5680" t="s">
        <v>43</v>
      </c>
      <c r="AN5680" t="str">
        <f>HYPERLINK("https://www.google.com/maps?q=10.83316326,79.84580994","Open Location")</f>
        <v>Open Location</v>
      </c>
    </row>
    <row r="5681" spans="1:40" x14ac:dyDescent="0.3">
      <c r="A5681" s="1">
        <v>46210.341782407406</v>
      </c>
      <c r="B5681" t="s">
        <v>40</v>
      </c>
      <c r="C5681" t="s">
        <v>41</v>
      </c>
      <c r="D5681" s="1">
        <v>46210.344675925924</v>
      </c>
      <c r="E5681" t="s">
        <v>42</v>
      </c>
      <c r="F5681" t="s">
        <v>43</v>
      </c>
      <c r="G5681" t="s">
        <v>43</v>
      </c>
      <c r="H5681" t="s">
        <v>43</v>
      </c>
      <c r="I5681" t="s">
        <v>3224</v>
      </c>
      <c r="J5681" t="s">
        <v>43</v>
      </c>
      <c r="K5681" t="s">
        <v>43</v>
      </c>
      <c r="L5681" t="s">
        <v>43</v>
      </c>
      <c r="M5681" t="s">
        <v>43</v>
      </c>
      <c r="N5681" t="s">
        <v>45</v>
      </c>
      <c r="O5681" t="s">
        <v>43</v>
      </c>
      <c r="P5681" t="s">
        <v>43</v>
      </c>
      <c r="Q5681" t="s">
        <v>43</v>
      </c>
      <c r="R5681" t="s">
        <v>43</v>
      </c>
      <c r="S5681" t="s">
        <v>43</v>
      </c>
      <c r="T5681" t="s">
        <v>43</v>
      </c>
      <c r="U5681" t="s">
        <v>43</v>
      </c>
      <c r="V5681" t="s">
        <v>43</v>
      </c>
      <c r="W5681" t="s">
        <v>43</v>
      </c>
      <c r="X5681" t="s">
        <v>43</v>
      </c>
      <c r="Y5681" t="s">
        <v>43</v>
      </c>
      <c r="Z5681" t="s">
        <v>43</v>
      </c>
      <c r="AA5681" t="s">
        <v>43</v>
      </c>
      <c r="AB5681" t="s">
        <v>43</v>
      </c>
      <c r="AC5681" t="s">
        <v>43</v>
      </c>
      <c r="AD5681" t="s">
        <v>43</v>
      </c>
      <c r="AE5681" t="s">
        <v>43</v>
      </c>
      <c r="AF5681" t="s">
        <v>43</v>
      </c>
      <c r="AG5681" t="s">
        <v>43</v>
      </c>
      <c r="AH5681" t="s">
        <v>43</v>
      </c>
      <c r="AI5681" t="s">
        <v>43</v>
      </c>
      <c r="AJ5681" t="s">
        <v>43</v>
      </c>
      <c r="AK5681" t="s">
        <v>43</v>
      </c>
      <c r="AL5681" t="s">
        <v>43</v>
      </c>
      <c r="AM5681" t="s">
        <v>43</v>
      </c>
      <c r="AN5681" t="str">
        <f>HYPERLINK("https://www.google.com/maps?q=10.83316326,79.84581757","Open Location")</f>
        <v>Open Location</v>
      </c>
    </row>
    <row r="5682" spans="1:40" x14ac:dyDescent="0.3">
      <c r="A5682" s="1">
        <v>46210.341666666667</v>
      </c>
      <c r="B5682" t="s">
        <v>40</v>
      </c>
      <c r="C5682" t="s">
        <v>41</v>
      </c>
      <c r="D5682" s="1">
        <v>46210.344618055555</v>
      </c>
      <c r="E5682" t="s">
        <v>42</v>
      </c>
      <c r="F5682" t="s">
        <v>43</v>
      </c>
      <c r="G5682" t="s">
        <v>43</v>
      </c>
      <c r="H5682" t="s">
        <v>43</v>
      </c>
      <c r="I5682" t="s">
        <v>3225</v>
      </c>
      <c r="J5682" t="s">
        <v>43</v>
      </c>
      <c r="K5682" t="s">
        <v>43</v>
      </c>
      <c r="L5682" t="s">
        <v>43</v>
      </c>
      <c r="M5682" t="s">
        <v>43</v>
      </c>
      <c r="N5682" t="s">
        <v>45</v>
      </c>
      <c r="O5682" t="s">
        <v>43</v>
      </c>
      <c r="P5682" t="s">
        <v>43</v>
      </c>
      <c r="Q5682" t="s">
        <v>43</v>
      </c>
      <c r="R5682" t="s">
        <v>43</v>
      </c>
      <c r="S5682" t="s">
        <v>43</v>
      </c>
      <c r="T5682" t="s">
        <v>43</v>
      </c>
      <c r="U5682" t="s">
        <v>43</v>
      </c>
      <c r="V5682" t="s">
        <v>43</v>
      </c>
      <c r="W5682" t="s">
        <v>43</v>
      </c>
      <c r="X5682" t="s">
        <v>43</v>
      </c>
      <c r="Y5682" t="s">
        <v>43</v>
      </c>
      <c r="Z5682" t="s">
        <v>43</v>
      </c>
      <c r="AA5682" t="s">
        <v>43</v>
      </c>
      <c r="AB5682" t="s">
        <v>43</v>
      </c>
      <c r="AC5682" t="s">
        <v>43</v>
      </c>
      <c r="AD5682" t="s">
        <v>43</v>
      </c>
      <c r="AE5682" t="s">
        <v>43</v>
      </c>
      <c r="AF5682" t="s">
        <v>43</v>
      </c>
      <c r="AG5682" t="s">
        <v>43</v>
      </c>
      <c r="AH5682" t="s">
        <v>43</v>
      </c>
      <c r="AI5682" t="s">
        <v>43</v>
      </c>
      <c r="AJ5682" t="s">
        <v>43</v>
      </c>
      <c r="AK5682" t="s">
        <v>43</v>
      </c>
      <c r="AL5682" t="s">
        <v>43</v>
      </c>
      <c r="AM5682" t="s">
        <v>43</v>
      </c>
      <c r="AN5682" t="str">
        <f>HYPERLINK("https://www.google.com/maps?q=10.83316135,79.84581757","Open Location")</f>
        <v>Open Location</v>
      </c>
    </row>
    <row r="5683" spans="1:40" x14ac:dyDescent="0.3">
      <c r="A5683" s="1">
        <v>46210.341550925928</v>
      </c>
      <c r="B5683" t="s">
        <v>40</v>
      </c>
      <c r="C5683" t="s">
        <v>41</v>
      </c>
      <c r="D5683" s="1">
        <v>46210.344456018516</v>
      </c>
      <c r="E5683" t="s">
        <v>42</v>
      </c>
      <c r="F5683" t="s">
        <v>43</v>
      </c>
      <c r="G5683" t="s">
        <v>43</v>
      </c>
      <c r="H5683" t="s">
        <v>43</v>
      </c>
      <c r="I5683" t="s">
        <v>3226</v>
      </c>
      <c r="J5683" t="s">
        <v>43</v>
      </c>
      <c r="K5683" t="s">
        <v>43</v>
      </c>
      <c r="L5683" t="s">
        <v>43</v>
      </c>
      <c r="M5683" t="s">
        <v>43</v>
      </c>
      <c r="N5683" t="s">
        <v>45</v>
      </c>
      <c r="O5683" t="s">
        <v>43</v>
      </c>
      <c r="P5683" t="s">
        <v>43</v>
      </c>
      <c r="Q5683" t="s">
        <v>43</v>
      </c>
      <c r="R5683" t="s">
        <v>43</v>
      </c>
      <c r="S5683" t="s">
        <v>43</v>
      </c>
      <c r="T5683" t="s">
        <v>43</v>
      </c>
      <c r="U5683" t="s">
        <v>43</v>
      </c>
      <c r="V5683" t="s">
        <v>43</v>
      </c>
      <c r="W5683" t="s">
        <v>43</v>
      </c>
      <c r="X5683" t="s">
        <v>43</v>
      </c>
      <c r="Y5683" t="s">
        <v>43</v>
      </c>
      <c r="Z5683" t="s">
        <v>43</v>
      </c>
      <c r="AA5683" t="s">
        <v>43</v>
      </c>
      <c r="AB5683" t="s">
        <v>43</v>
      </c>
      <c r="AC5683" t="s">
        <v>43</v>
      </c>
      <c r="AD5683" t="s">
        <v>43</v>
      </c>
      <c r="AE5683" t="s">
        <v>43</v>
      </c>
      <c r="AF5683" t="s">
        <v>43</v>
      </c>
      <c r="AG5683" t="s">
        <v>43</v>
      </c>
      <c r="AH5683" t="s">
        <v>43</v>
      </c>
      <c r="AI5683" t="s">
        <v>43</v>
      </c>
      <c r="AJ5683" t="s">
        <v>43</v>
      </c>
      <c r="AK5683" t="s">
        <v>43</v>
      </c>
      <c r="AL5683" t="s">
        <v>43</v>
      </c>
      <c r="AM5683" t="s">
        <v>43</v>
      </c>
      <c r="AN5683" t="str">
        <f>HYPERLINK("https://www.google.com/maps?q=10.83316135,79.8458252","Open Location")</f>
        <v>Open Location</v>
      </c>
    </row>
    <row r="5684" spans="1:40" x14ac:dyDescent="0.3">
      <c r="A5684" s="1">
        <v>46210.341435185182</v>
      </c>
      <c r="B5684" t="s">
        <v>40</v>
      </c>
      <c r="C5684" t="s">
        <v>41</v>
      </c>
      <c r="D5684" s="1">
        <v>46210.34474537037</v>
      </c>
      <c r="E5684" t="s">
        <v>42</v>
      </c>
      <c r="F5684" t="s">
        <v>43</v>
      </c>
      <c r="G5684" t="s">
        <v>43</v>
      </c>
      <c r="H5684" t="s">
        <v>43</v>
      </c>
      <c r="I5684" t="s">
        <v>3227</v>
      </c>
      <c r="J5684" t="s">
        <v>43</v>
      </c>
      <c r="K5684" t="s">
        <v>43</v>
      </c>
      <c r="L5684" t="s">
        <v>43</v>
      </c>
      <c r="M5684" t="s">
        <v>43</v>
      </c>
      <c r="N5684" t="s">
        <v>45</v>
      </c>
      <c r="O5684" t="s">
        <v>43</v>
      </c>
      <c r="P5684" t="s">
        <v>43</v>
      </c>
      <c r="Q5684" t="s">
        <v>43</v>
      </c>
      <c r="R5684" t="s">
        <v>43</v>
      </c>
      <c r="S5684" t="s">
        <v>43</v>
      </c>
      <c r="T5684" t="s">
        <v>43</v>
      </c>
      <c r="U5684" t="s">
        <v>43</v>
      </c>
      <c r="V5684" t="s">
        <v>43</v>
      </c>
      <c r="W5684" t="s">
        <v>43</v>
      </c>
      <c r="X5684" t="s">
        <v>43</v>
      </c>
      <c r="Y5684" t="s">
        <v>43</v>
      </c>
      <c r="Z5684" t="s">
        <v>43</v>
      </c>
      <c r="AA5684" t="s">
        <v>43</v>
      </c>
      <c r="AB5684" t="s">
        <v>43</v>
      </c>
      <c r="AC5684" t="s">
        <v>43</v>
      </c>
      <c r="AD5684" t="s">
        <v>43</v>
      </c>
      <c r="AE5684" t="s">
        <v>43</v>
      </c>
      <c r="AF5684" t="s">
        <v>43</v>
      </c>
      <c r="AG5684" t="s">
        <v>43</v>
      </c>
      <c r="AH5684" t="s">
        <v>43</v>
      </c>
      <c r="AI5684" t="s">
        <v>43</v>
      </c>
      <c r="AJ5684" t="s">
        <v>43</v>
      </c>
      <c r="AK5684" t="s">
        <v>43</v>
      </c>
      <c r="AL5684" t="s">
        <v>43</v>
      </c>
      <c r="AM5684" t="s">
        <v>43</v>
      </c>
      <c r="AN5684" t="str">
        <f>HYPERLINK("https://www.google.com/maps?q=10.8331604,79.84581757","Open Location")</f>
        <v>Open Location</v>
      </c>
    </row>
    <row r="5685" spans="1:40" x14ac:dyDescent="0.3">
      <c r="A5685" s="1">
        <v>46210.341319444444</v>
      </c>
      <c r="B5685" t="s">
        <v>40</v>
      </c>
      <c r="C5685" t="s">
        <v>41</v>
      </c>
      <c r="D5685" s="1">
        <v>46210.344189814816</v>
      </c>
      <c r="E5685" t="s">
        <v>42</v>
      </c>
      <c r="F5685" t="s">
        <v>43</v>
      </c>
      <c r="G5685" t="s">
        <v>43</v>
      </c>
      <c r="H5685" t="s">
        <v>43</v>
      </c>
      <c r="I5685" t="s">
        <v>43</v>
      </c>
      <c r="J5685" t="s">
        <v>43</v>
      </c>
      <c r="K5685" t="s">
        <v>43</v>
      </c>
      <c r="L5685" t="s">
        <v>43</v>
      </c>
      <c r="M5685" t="s">
        <v>43</v>
      </c>
      <c r="N5685" t="s">
        <v>45</v>
      </c>
      <c r="O5685" t="s">
        <v>43</v>
      </c>
      <c r="P5685" t="s">
        <v>43</v>
      </c>
      <c r="Q5685" t="s">
        <v>43</v>
      </c>
      <c r="R5685" t="s">
        <v>43</v>
      </c>
      <c r="S5685" t="s">
        <v>43</v>
      </c>
      <c r="T5685" t="s">
        <v>43</v>
      </c>
      <c r="U5685" t="s">
        <v>43</v>
      </c>
      <c r="V5685" t="s">
        <v>43</v>
      </c>
      <c r="W5685" t="s">
        <v>43</v>
      </c>
      <c r="X5685" t="s">
        <v>43</v>
      </c>
      <c r="Y5685" t="s">
        <v>43</v>
      </c>
      <c r="Z5685" t="s">
        <v>43</v>
      </c>
      <c r="AA5685" t="s">
        <v>43</v>
      </c>
      <c r="AB5685" t="s">
        <v>43</v>
      </c>
      <c r="AC5685" t="s">
        <v>43</v>
      </c>
      <c r="AD5685" t="s">
        <v>43</v>
      </c>
      <c r="AE5685" t="s">
        <v>43</v>
      </c>
      <c r="AF5685" t="s">
        <v>43</v>
      </c>
      <c r="AG5685" t="s">
        <v>43</v>
      </c>
      <c r="AH5685" t="s">
        <v>43</v>
      </c>
      <c r="AI5685" t="s">
        <v>43</v>
      </c>
      <c r="AJ5685" t="s">
        <v>43</v>
      </c>
      <c r="AK5685" t="s">
        <v>43</v>
      </c>
      <c r="AL5685" t="s">
        <v>43</v>
      </c>
      <c r="AM5685" t="s">
        <v>43</v>
      </c>
      <c r="AN5685" t="s">
        <v>43</v>
      </c>
    </row>
    <row r="5686" spans="1:40" x14ac:dyDescent="0.3">
      <c r="A5686" s="1">
        <v>46210.341203703705</v>
      </c>
      <c r="B5686" t="s">
        <v>40</v>
      </c>
      <c r="C5686" t="s">
        <v>41</v>
      </c>
      <c r="D5686" s="1">
        <v>46210.344189814816</v>
      </c>
      <c r="E5686" t="s">
        <v>42</v>
      </c>
      <c r="F5686" t="s">
        <v>43</v>
      </c>
      <c r="G5686" t="s">
        <v>43</v>
      </c>
      <c r="H5686" t="s">
        <v>43</v>
      </c>
      <c r="I5686" t="s">
        <v>3228</v>
      </c>
      <c r="J5686" t="s">
        <v>43</v>
      </c>
      <c r="K5686" t="s">
        <v>43</v>
      </c>
      <c r="L5686" t="s">
        <v>43</v>
      </c>
      <c r="M5686" t="s">
        <v>43</v>
      </c>
      <c r="N5686" t="s">
        <v>45</v>
      </c>
      <c r="O5686" t="s">
        <v>43</v>
      </c>
      <c r="P5686" t="s">
        <v>43</v>
      </c>
      <c r="Q5686" t="s">
        <v>43</v>
      </c>
      <c r="R5686" t="s">
        <v>43</v>
      </c>
      <c r="S5686" t="s">
        <v>43</v>
      </c>
      <c r="T5686" t="s">
        <v>43</v>
      </c>
      <c r="U5686" t="s">
        <v>43</v>
      </c>
      <c r="V5686" t="s">
        <v>43</v>
      </c>
      <c r="W5686" t="s">
        <v>43</v>
      </c>
      <c r="X5686" t="s">
        <v>43</v>
      </c>
      <c r="Y5686" t="s">
        <v>43</v>
      </c>
      <c r="Z5686" t="s">
        <v>43</v>
      </c>
      <c r="AA5686" t="s">
        <v>43</v>
      </c>
      <c r="AB5686" t="s">
        <v>43</v>
      </c>
      <c r="AC5686" t="s">
        <v>43</v>
      </c>
      <c r="AD5686" t="s">
        <v>43</v>
      </c>
      <c r="AE5686" t="s">
        <v>43</v>
      </c>
      <c r="AF5686" t="s">
        <v>43</v>
      </c>
      <c r="AG5686" t="s">
        <v>43</v>
      </c>
      <c r="AH5686" t="s">
        <v>43</v>
      </c>
      <c r="AI5686" t="s">
        <v>43</v>
      </c>
      <c r="AJ5686" t="s">
        <v>43</v>
      </c>
      <c r="AK5686" t="s">
        <v>43</v>
      </c>
      <c r="AL5686" t="s">
        <v>43</v>
      </c>
      <c r="AM5686" t="s">
        <v>43</v>
      </c>
      <c r="AN5686" t="str">
        <f>HYPERLINK("https://www.google.com/maps?q=10.83316422,79.84581757","Open Location")</f>
        <v>Open Location</v>
      </c>
    </row>
    <row r="5687" spans="1:40" x14ac:dyDescent="0.3">
      <c r="A5687" s="1">
        <v>46210.341087962966</v>
      </c>
      <c r="B5687" t="s">
        <v>40</v>
      </c>
      <c r="C5687" t="s">
        <v>41</v>
      </c>
      <c r="D5687" s="1">
        <v>46210.343981481485</v>
      </c>
      <c r="E5687" t="s">
        <v>42</v>
      </c>
      <c r="F5687" t="s">
        <v>43</v>
      </c>
      <c r="G5687" t="s">
        <v>43</v>
      </c>
      <c r="H5687" t="s">
        <v>43</v>
      </c>
      <c r="I5687" t="s">
        <v>3229</v>
      </c>
      <c r="J5687" t="s">
        <v>43</v>
      </c>
      <c r="K5687" t="s">
        <v>43</v>
      </c>
      <c r="L5687" t="s">
        <v>43</v>
      </c>
      <c r="M5687" t="s">
        <v>43</v>
      </c>
      <c r="N5687" t="s">
        <v>45</v>
      </c>
      <c r="O5687" t="s">
        <v>43</v>
      </c>
      <c r="P5687" t="s">
        <v>43</v>
      </c>
      <c r="Q5687" t="s">
        <v>43</v>
      </c>
      <c r="R5687" t="s">
        <v>43</v>
      </c>
      <c r="S5687" t="s">
        <v>43</v>
      </c>
      <c r="T5687" t="s">
        <v>43</v>
      </c>
      <c r="U5687" t="s">
        <v>43</v>
      </c>
      <c r="V5687" t="s">
        <v>43</v>
      </c>
      <c r="W5687" t="s">
        <v>43</v>
      </c>
      <c r="X5687" t="s">
        <v>43</v>
      </c>
      <c r="Y5687" t="s">
        <v>43</v>
      </c>
      <c r="Z5687" t="s">
        <v>43</v>
      </c>
      <c r="AA5687" t="s">
        <v>43</v>
      </c>
      <c r="AB5687" t="s">
        <v>43</v>
      </c>
      <c r="AC5687" t="s">
        <v>43</v>
      </c>
      <c r="AD5687" t="s">
        <v>43</v>
      </c>
      <c r="AE5687" t="s">
        <v>43</v>
      </c>
      <c r="AF5687" t="s">
        <v>43</v>
      </c>
      <c r="AG5687" t="s">
        <v>43</v>
      </c>
      <c r="AH5687" t="s">
        <v>43</v>
      </c>
      <c r="AI5687" t="s">
        <v>43</v>
      </c>
      <c r="AJ5687" t="s">
        <v>43</v>
      </c>
      <c r="AK5687" t="s">
        <v>43</v>
      </c>
      <c r="AL5687" t="s">
        <v>43</v>
      </c>
      <c r="AM5687" t="s">
        <v>43</v>
      </c>
      <c r="AN5687" t="str">
        <f>HYPERLINK("https://www.google.com/maps?q=10.83316803,79.84581757","Open Location")</f>
        <v>Open Location</v>
      </c>
    </row>
    <row r="5688" spans="1:40" x14ac:dyDescent="0.3">
      <c r="A5688" s="1">
        <v>46210.34097222222</v>
      </c>
      <c r="B5688" t="s">
        <v>40</v>
      </c>
      <c r="C5688" t="s">
        <v>41</v>
      </c>
      <c r="D5688" s="1">
        <v>46210.343993055554</v>
      </c>
      <c r="E5688" t="s">
        <v>42</v>
      </c>
      <c r="F5688" t="s">
        <v>43</v>
      </c>
      <c r="G5688" t="s">
        <v>43</v>
      </c>
      <c r="H5688" t="s">
        <v>43</v>
      </c>
      <c r="I5688" t="s">
        <v>3230</v>
      </c>
      <c r="J5688" t="s">
        <v>43</v>
      </c>
      <c r="K5688" t="s">
        <v>43</v>
      </c>
      <c r="L5688" t="s">
        <v>43</v>
      </c>
      <c r="M5688" t="s">
        <v>43</v>
      </c>
      <c r="N5688" t="s">
        <v>45</v>
      </c>
      <c r="O5688" t="s">
        <v>43</v>
      </c>
      <c r="P5688" t="s">
        <v>43</v>
      </c>
      <c r="Q5688" t="s">
        <v>43</v>
      </c>
      <c r="R5688" t="s">
        <v>43</v>
      </c>
      <c r="S5688" t="s">
        <v>43</v>
      </c>
      <c r="T5688" t="s">
        <v>43</v>
      </c>
      <c r="U5688" t="s">
        <v>43</v>
      </c>
      <c r="V5688" t="s">
        <v>43</v>
      </c>
      <c r="W5688" t="s">
        <v>43</v>
      </c>
      <c r="X5688" t="s">
        <v>43</v>
      </c>
      <c r="Y5688" t="s">
        <v>43</v>
      </c>
      <c r="Z5688" t="s">
        <v>43</v>
      </c>
      <c r="AA5688" t="s">
        <v>43</v>
      </c>
      <c r="AB5688" t="s">
        <v>43</v>
      </c>
      <c r="AC5688" t="s">
        <v>43</v>
      </c>
      <c r="AD5688" t="s">
        <v>43</v>
      </c>
      <c r="AE5688" t="s">
        <v>43</v>
      </c>
      <c r="AF5688" t="s">
        <v>43</v>
      </c>
      <c r="AG5688" t="s">
        <v>43</v>
      </c>
      <c r="AH5688" t="s">
        <v>43</v>
      </c>
      <c r="AI5688" t="s">
        <v>43</v>
      </c>
      <c r="AJ5688" t="s">
        <v>43</v>
      </c>
      <c r="AK5688" t="s">
        <v>43</v>
      </c>
      <c r="AL5688" t="s">
        <v>43</v>
      </c>
      <c r="AM5688" t="s">
        <v>43</v>
      </c>
      <c r="AN5688" t="str">
        <f>HYPERLINK("https://www.google.com/maps?q=10.83316708,79.8458252","Open Location")</f>
        <v>Open Location</v>
      </c>
    </row>
    <row r="5689" spans="1:40" x14ac:dyDescent="0.3">
      <c r="A5689" s="1">
        <v>46210.340856481482</v>
      </c>
      <c r="B5689" t="s">
        <v>40</v>
      </c>
      <c r="C5689" t="s">
        <v>41</v>
      </c>
      <c r="D5689" s="1">
        <v>46210.343773148146</v>
      </c>
      <c r="E5689" t="s">
        <v>42</v>
      </c>
      <c r="F5689" t="s">
        <v>43</v>
      </c>
      <c r="G5689" t="s">
        <v>43</v>
      </c>
      <c r="H5689" t="s">
        <v>43</v>
      </c>
      <c r="I5689" t="s">
        <v>43</v>
      </c>
      <c r="J5689" t="s">
        <v>43</v>
      </c>
      <c r="K5689" t="s">
        <v>43</v>
      </c>
      <c r="L5689" t="s">
        <v>43</v>
      </c>
      <c r="M5689" t="s">
        <v>43</v>
      </c>
      <c r="N5689" t="s">
        <v>45</v>
      </c>
      <c r="O5689" t="s">
        <v>43</v>
      </c>
      <c r="P5689" t="s">
        <v>43</v>
      </c>
      <c r="Q5689" t="s">
        <v>43</v>
      </c>
      <c r="R5689" t="s">
        <v>43</v>
      </c>
      <c r="S5689" t="s">
        <v>43</v>
      </c>
      <c r="T5689" t="s">
        <v>43</v>
      </c>
      <c r="U5689" t="s">
        <v>43</v>
      </c>
      <c r="V5689" t="s">
        <v>43</v>
      </c>
      <c r="W5689" t="s">
        <v>43</v>
      </c>
      <c r="X5689" t="s">
        <v>43</v>
      </c>
      <c r="Y5689" t="s">
        <v>43</v>
      </c>
      <c r="Z5689" t="s">
        <v>43</v>
      </c>
      <c r="AA5689" t="s">
        <v>43</v>
      </c>
      <c r="AB5689" t="s">
        <v>43</v>
      </c>
      <c r="AC5689" t="s">
        <v>43</v>
      </c>
      <c r="AD5689" t="s">
        <v>43</v>
      </c>
      <c r="AE5689" t="s">
        <v>43</v>
      </c>
      <c r="AF5689" t="s">
        <v>43</v>
      </c>
      <c r="AG5689" t="s">
        <v>43</v>
      </c>
      <c r="AH5689" t="s">
        <v>43</v>
      </c>
      <c r="AI5689" t="s">
        <v>43</v>
      </c>
      <c r="AJ5689" t="s">
        <v>43</v>
      </c>
      <c r="AK5689" t="s">
        <v>43</v>
      </c>
      <c r="AL5689" t="s">
        <v>43</v>
      </c>
      <c r="AM5689" t="s">
        <v>43</v>
      </c>
      <c r="AN5689" t="s">
        <v>43</v>
      </c>
    </row>
    <row r="5690" spans="1:40" x14ac:dyDescent="0.3">
      <c r="A5690" s="1">
        <v>46210.340740740743</v>
      </c>
      <c r="B5690" t="s">
        <v>40</v>
      </c>
      <c r="C5690" t="s">
        <v>41</v>
      </c>
      <c r="D5690" s="1">
        <v>46210.343634259261</v>
      </c>
      <c r="E5690" t="s">
        <v>42</v>
      </c>
      <c r="F5690" t="s">
        <v>43</v>
      </c>
      <c r="G5690" t="s">
        <v>43</v>
      </c>
      <c r="H5690" t="s">
        <v>43</v>
      </c>
      <c r="I5690" t="s">
        <v>3228</v>
      </c>
      <c r="J5690" t="s">
        <v>43</v>
      </c>
      <c r="K5690" t="s">
        <v>43</v>
      </c>
      <c r="L5690" t="s">
        <v>43</v>
      </c>
      <c r="M5690" t="s">
        <v>43</v>
      </c>
      <c r="N5690" t="s">
        <v>45</v>
      </c>
      <c r="O5690" t="s">
        <v>43</v>
      </c>
      <c r="P5690" t="s">
        <v>43</v>
      </c>
      <c r="Q5690" t="s">
        <v>43</v>
      </c>
      <c r="R5690" t="s">
        <v>43</v>
      </c>
      <c r="S5690" t="s">
        <v>43</v>
      </c>
      <c r="T5690" t="s">
        <v>43</v>
      </c>
      <c r="U5690" t="s">
        <v>43</v>
      </c>
      <c r="V5690" t="s">
        <v>43</v>
      </c>
      <c r="W5690" t="s">
        <v>43</v>
      </c>
      <c r="X5690" t="s">
        <v>43</v>
      </c>
      <c r="Y5690" t="s">
        <v>43</v>
      </c>
      <c r="Z5690" t="s">
        <v>43</v>
      </c>
      <c r="AA5690" t="s">
        <v>43</v>
      </c>
      <c r="AB5690" t="s">
        <v>43</v>
      </c>
      <c r="AC5690" t="s">
        <v>43</v>
      </c>
      <c r="AD5690" t="s">
        <v>43</v>
      </c>
      <c r="AE5690" t="s">
        <v>43</v>
      </c>
      <c r="AF5690" t="s">
        <v>43</v>
      </c>
      <c r="AG5690" t="s">
        <v>43</v>
      </c>
      <c r="AH5690" t="s">
        <v>43</v>
      </c>
      <c r="AI5690" t="s">
        <v>43</v>
      </c>
      <c r="AJ5690" t="s">
        <v>43</v>
      </c>
      <c r="AK5690" t="s">
        <v>43</v>
      </c>
      <c r="AL5690" t="s">
        <v>43</v>
      </c>
      <c r="AM5690" t="s">
        <v>43</v>
      </c>
      <c r="AN5690" t="str">
        <f>HYPERLINK("https://www.google.com/maps?q=10.83316422,79.84581757","Open Location")</f>
        <v>Open Location</v>
      </c>
    </row>
    <row r="5691" spans="1:40" x14ac:dyDescent="0.3">
      <c r="A5691" s="1">
        <v>46210.340624999997</v>
      </c>
      <c r="B5691" t="s">
        <v>40</v>
      </c>
      <c r="C5691" t="s">
        <v>41</v>
      </c>
      <c r="D5691" s="1">
        <v>46210.343506944446</v>
      </c>
      <c r="E5691" t="s">
        <v>42</v>
      </c>
      <c r="F5691" t="s">
        <v>43</v>
      </c>
      <c r="G5691" t="s">
        <v>43</v>
      </c>
      <c r="H5691" t="s">
        <v>43</v>
      </c>
      <c r="I5691" t="s">
        <v>43</v>
      </c>
      <c r="J5691" t="s">
        <v>43</v>
      </c>
      <c r="K5691" t="s">
        <v>43</v>
      </c>
      <c r="L5691" t="s">
        <v>43</v>
      </c>
      <c r="M5691" t="s">
        <v>43</v>
      </c>
      <c r="N5691" t="s">
        <v>45</v>
      </c>
      <c r="O5691" t="s">
        <v>43</v>
      </c>
      <c r="P5691" t="s">
        <v>43</v>
      </c>
      <c r="Q5691" t="s">
        <v>43</v>
      </c>
      <c r="R5691" t="s">
        <v>43</v>
      </c>
      <c r="S5691" t="s">
        <v>43</v>
      </c>
      <c r="T5691" t="s">
        <v>43</v>
      </c>
      <c r="U5691" t="s">
        <v>43</v>
      </c>
      <c r="V5691" t="s">
        <v>43</v>
      </c>
      <c r="W5691" t="s">
        <v>43</v>
      </c>
      <c r="X5691" t="s">
        <v>43</v>
      </c>
      <c r="Y5691" t="s">
        <v>43</v>
      </c>
      <c r="Z5691" t="s">
        <v>43</v>
      </c>
      <c r="AA5691" t="s">
        <v>43</v>
      </c>
      <c r="AB5691" t="s">
        <v>43</v>
      </c>
      <c r="AC5691" t="s">
        <v>43</v>
      </c>
      <c r="AD5691" t="s">
        <v>43</v>
      </c>
      <c r="AE5691" t="s">
        <v>43</v>
      </c>
      <c r="AF5691" t="s">
        <v>43</v>
      </c>
      <c r="AG5691" t="s">
        <v>43</v>
      </c>
      <c r="AH5691" t="s">
        <v>43</v>
      </c>
      <c r="AI5691" t="s">
        <v>43</v>
      </c>
      <c r="AJ5691" t="s">
        <v>43</v>
      </c>
      <c r="AK5691" t="s">
        <v>43</v>
      </c>
      <c r="AL5691" t="s">
        <v>43</v>
      </c>
      <c r="AM5691" t="s">
        <v>43</v>
      </c>
      <c r="AN5691" t="s">
        <v>43</v>
      </c>
    </row>
    <row r="5692" spans="1:40" x14ac:dyDescent="0.3">
      <c r="A5692" s="1">
        <v>46210.340509259258</v>
      </c>
      <c r="B5692" t="s">
        <v>40</v>
      </c>
      <c r="C5692" t="s">
        <v>41</v>
      </c>
      <c r="D5692" s="1">
        <v>46210.343402777777</v>
      </c>
      <c r="E5692" t="s">
        <v>42</v>
      </c>
      <c r="F5692" t="s">
        <v>43</v>
      </c>
      <c r="G5692" t="s">
        <v>43</v>
      </c>
      <c r="H5692" t="s">
        <v>43</v>
      </c>
      <c r="I5692" t="s">
        <v>3225</v>
      </c>
      <c r="J5692" t="s">
        <v>43</v>
      </c>
      <c r="K5692" t="s">
        <v>43</v>
      </c>
      <c r="L5692" t="s">
        <v>43</v>
      </c>
      <c r="M5692" t="s">
        <v>43</v>
      </c>
      <c r="N5692" t="s">
        <v>45</v>
      </c>
      <c r="O5692" t="s">
        <v>43</v>
      </c>
      <c r="P5692" t="s">
        <v>43</v>
      </c>
      <c r="Q5692" t="s">
        <v>43</v>
      </c>
      <c r="R5692" t="s">
        <v>43</v>
      </c>
      <c r="S5692" t="s">
        <v>43</v>
      </c>
      <c r="T5692" t="s">
        <v>43</v>
      </c>
      <c r="U5692" t="s">
        <v>43</v>
      </c>
      <c r="V5692" t="s">
        <v>43</v>
      </c>
      <c r="W5692" t="s">
        <v>43</v>
      </c>
      <c r="X5692" t="s">
        <v>43</v>
      </c>
      <c r="Y5692" t="s">
        <v>43</v>
      </c>
      <c r="Z5692" t="s">
        <v>43</v>
      </c>
      <c r="AA5692" t="s">
        <v>43</v>
      </c>
      <c r="AB5692" t="s">
        <v>43</v>
      </c>
      <c r="AC5692" t="s">
        <v>43</v>
      </c>
      <c r="AD5692" t="s">
        <v>43</v>
      </c>
      <c r="AE5692" t="s">
        <v>43</v>
      </c>
      <c r="AF5692" t="s">
        <v>43</v>
      </c>
      <c r="AG5692" t="s">
        <v>43</v>
      </c>
      <c r="AH5692" t="s">
        <v>43</v>
      </c>
      <c r="AI5692" t="s">
        <v>43</v>
      </c>
      <c r="AJ5692" t="s">
        <v>43</v>
      </c>
      <c r="AK5692" t="s">
        <v>43</v>
      </c>
      <c r="AL5692" t="s">
        <v>43</v>
      </c>
      <c r="AM5692" t="s">
        <v>43</v>
      </c>
      <c r="AN5692" t="str">
        <f>HYPERLINK("https://www.google.com/maps?q=10.83316135,79.84581757","Open Location")</f>
        <v>Open Location</v>
      </c>
    </row>
    <row r="5693" spans="1:40" x14ac:dyDescent="0.3">
      <c r="A5693" s="1">
        <v>46210.34039351852</v>
      </c>
      <c r="B5693" t="s">
        <v>40</v>
      </c>
      <c r="C5693" t="s">
        <v>41</v>
      </c>
      <c r="D5693" s="1">
        <v>46210.343206018515</v>
      </c>
      <c r="E5693" t="s">
        <v>42</v>
      </c>
      <c r="F5693" t="s">
        <v>43</v>
      </c>
      <c r="G5693" t="s">
        <v>43</v>
      </c>
      <c r="H5693" t="s">
        <v>43</v>
      </c>
      <c r="I5693" t="s">
        <v>3228</v>
      </c>
      <c r="J5693" t="s">
        <v>43</v>
      </c>
      <c r="K5693" t="s">
        <v>43</v>
      </c>
      <c r="L5693" t="s">
        <v>43</v>
      </c>
      <c r="M5693" t="s">
        <v>43</v>
      </c>
      <c r="N5693" t="s">
        <v>45</v>
      </c>
      <c r="O5693" t="s">
        <v>43</v>
      </c>
      <c r="P5693" t="s">
        <v>43</v>
      </c>
      <c r="Q5693" t="s">
        <v>43</v>
      </c>
      <c r="R5693" t="s">
        <v>43</v>
      </c>
      <c r="S5693" t="s">
        <v>43</v>
      </c>
      <c r="T5693" t="s">
        <v>43</v>
      </c>
      <c r="U5693" t="s">
        <v>43</v>
      </c>
      <c r="V5693" t="s">
        <v>43</v>
      </c>
      <c r="W5693" t="s">
        <v>43</v>
      </c>
      <c r="X5693" t="s">
        <v>43</v>
      </c>
      <c r="Y5693" t="s">
        <v>43</v>
      </c>
      <c r="Z5693" t="s">
        <v>43</v>
      </c>
      <c r="AA5693" t="s">
        <v>43</v>
      </c>
      <c r="AB5693" t="s">
        <v>43</v>
      </c>
      <c r="AC5693" t="s">
        <v>43</v>
      </c>
      <c r="AD5693" t="s">
        <v>43</v>
      </c>
      <c r="AE5693" t="s">
        <v>43</v>
      </c>
      <c r="AF5693" t="s">
        <v>43</v>
      </c>
      <c r="AG5693" t="s">
        <v>43</v>
      </c>
      <c r="AH5693" t="s">
        <v>43</v>
      </c>
      <c r="AI5693" t="s">
        <v>43</v>
      </c>
      <c r="AJ5693" t="s">
        <v>43</v>
      </c>
      <c r="AK5693" t="s">
        <v>43</v>
      </c>
      <c r="AL5693" t="s">
        <v>43</v>
      </c>
      <c r="AM5693" t="s">
        <v>43</v>
      </c>
      <c r="AN5693" t="str">
        <f>HYPERLINK("https://www.google.com/maps?q=10.83316422,79.84581757","Open Location")</f>
        <v>Open Location</v>
      </c>
    </row>
    <row r="5694" spans="1:40" x14ac:dyDescent="0.3">
      <c r="A5694" s="1">
        <v>46210.340277777781</v>
      </c>
      <c r="B5694" t="s">
        <v>40</v>
      </c>
      <c r="C5694" t="s">
        <v>41</v>
      </c>
      <c r="D5694" s="1">
        <v>46210.343159722222</v>
      </c>
      <c r="E5694" t="s">
        <v>42</v>
      </c>
      <c r="F5694" t="s">
        <v>43</v>
      </c>
      <c r="G5694" t="s">
        <v>43</v>
      </c>
      <c r="H5694" t="s">
        <v>43</v>
      </c>
      <c r="I5694" t="s">
        <v>43</v>
      </c>
      <c r="J5694" t="s">
        <v>43</v>
      </c>
      <c r="K5694" t="s">
        <v>43</v>
      </c>
      <c r="L5694" t="s">
        <v>43</v>
      </c>
      <c r="M5694" t="s">
        <v>43</v>
      </c>
      <c r="N5694" t="s">
        <v>45</v>
      </c>
      <c r="O5694" t="s">
        <v>43</v>
      </c>
      <c r="P5694" t="s">
        <v>43</v>
      </c>
      <c r="Q5694" t="s">
        <v>43</v>
      </c>
      <c r="R5694" t="s">
        <v>43</v>
      </c>
      <c r="S5694" t="s">
        <v>43</v>
      </c>
      <c r="T5694" t="s">
        <v>43</v>
      </c>
      <c r="U5694" t="s">
        <v>43</v>
      </c>
      <c r="V5694" t="s">
        <v>43</v>
      </c>
      <c r="W5694" t="s">
        <v>43</v>
      </c>
      <c r="X5694" t="s">
        <v>43</v>
      </c>
      <c r="Y5694" t="s">
        <v>43</v>
      </c>
      <c r="Z5694" t="s">
        <v>43</v>
      </c>
      <c r="AA5694" t="s">
        <v>43</v>
      </c>
      <c r="AB5694" t="s">
        <v>43</v>
      </c>
      <c r="AC5694" t="s">
        <v>43</v>
      </c>
      <c r="AD5694" t="s">
        <v>43</v>
      </c>
      <c r="AE5694" t="s">
        <v>43</v>
      </c>
      <c r="AF5694" t="s">
        <v>43</v>
      </c>
      <c r="AG5694" t="s">
        <v>43</v>
      </c>
      <c r="AH5694" t="s">
        <v>43</v>
      </c>
      <c r="AI5694" t="s">
        <v>43</v>
      </c>
      <c r="AJ5694" t="s">
        <v>43</v>
      </c>
      <c r="AK5694" t="s">
        <v>43</v>
      </c>
      <c r="AL5694" t="s">
        <v>43</v>
      </c>
      <c r="AM5694" t="s">
        <v>43</v>
      </c>
      <c r="AN5694" t="s">
        <v>43</v>
      </c>
    </row>
    <row r="5695" spans="1:40" x14ac:dyDescent="0.3">
      <c r="A5695" s="1">
        <v>46210.340162037035</v>
      </c>
      <c r="B5695" t="s">
        <v>40</v>
      </c>
      <c r="C5695" t="s">
        <v>41</v>
      </c>
      <c r="D5695" s="1">
        <v>46210.343043981484</v>
      </c>
      <c r="E5695" t="s">
        <v>42</v>
      </c>
      <c r="F5695" t="s">
        <v>43</v>
      </c>
      <c r="G5695" t="s">
        <v>43</v>
      </c>
      <c r="H5695" t="s">
        <v>43</v>
      </c>
      <c r="I5695" t="s">
        <v>3231</v>
      </c>
      <c r="J5695" t="s">
        <v>43</v>
      </c>
      <c r="K5695" t="s">
        <v>43</v>
      </c>
      <c r="L5695" t="s">
        <v>43</v>
      </c>
      <c r="M5695" t="s">
        <v>43</v>
      </c>
      <c r="N5695" t="s">
        <v>45</v>
      </c>
      <c r="O5695" t="s">
        <v>43</v>
      </c>
      <c r="P5695" t="s">
        <v>43</v>
      </c>
      <c r="Q5695" t="s">
        <v>43</v>
      </c>
      <c r="R5695" t="s">
        <v>43</v>
      </c>
      <c r="S5695" t="s">
        <v>43</v>
      </c>
      <c r="T5695" t="s">
        <v>43</v>
      </c>
      <c r="U5695" t="s">
        <v>43</v>
      </c>
      <c r="V5695" t="s">
        <v>43</v>
      </c>
      <c r="W5695" t="s">
        <v>43</v>
      </c>
      <c r="X5695" t="s">
        <v>43</v>
      </c>
      <c r="Y5695" t="s">
        <v>43</v>
      </c>
      <c r="Z5695" t="s">
        <v>43</v>
      </c>
      <c r="AA5695" t="s">
        <v>43</v>
      </c>
      <c r="AB5695" t="s">
        <v>43</v>
      </c>
      <c r="AC5695" t="s">
        <v>43</v>
      </c>
      <c r="AD5695" t="s">
        <v>43</v>
      </c>
      <c r="AE5695" t="s">
        <v>43</v>
      </c>
      <c r="AF5695" t="s">
        <v>43</v>
      </c>
      <c r="AG5695" t="s">
        <v>43</v>
      </c>
      <c r="AH5695" t="s">
        <v>43</v>
      </c>
      <c r="AI5695" t="s">
        <v>43</v>
      </c>
      <c r="AJ5695" t="s">
        <v>43</v>
      </c>
      <c r="AK5695" t="s">
        <v>43</v>
      </c>
      <c r="AL5695" t="s">
        <v>43</v>
      </c>
      <c r="AM5695" t="s">
        <v>43</v>
      </c>
      <c r="AN5695" t="str">
        <f>HYPERLINK("https://www.google.com/maps?q=10.83316612,79.84580994","Open Location")</f>
        <v>Open Location</v>
      </c>
    </row>
    <row r="5696" spans="1:40" x14ac:dyDescent="0.3">
      <c r="A5696" s="1">
        <v>46210.340046296296</v>
      </c>
      <c r="B5696" t="s">
        <v>40</v>
      </c>
      <c r="C5696" t="s">
        <v>41</v>
      </c>
      <c r="D5696" s="1">
        <v>46210.343055555553</v>
      </c>
      <c r="E5696" t="s">
        <v>42</v>
      </c>
      <c r="F5696" t="s">
        <v>43</v>
      </c>
      <c r="G5696" t="s">
        <v>43</v>
      </c>
      <c r="H5696" t="s">
        <v>43</v>
      </c>
      <c r="I5696" t="s">
        <v>3232</v>
      </c>
      <c r="J5696" t="s">
        <v>43</v>
      </c>
      <c r="K5696" t="s">
        <v>43</v>
      </c>
      <c r="L5696" t="s">
        <v>43</v>
      </c>
      <c r="M5696" t="s">
        <v>43</v>
      </c>
      <c r="N5696" t="s">
        <v>45</v>
      </c>
      <c r="O5696" t="s">
        <v>43</v>
      </c>
      <c r="P5696" t="s">
        <v>43</v>
      </c>
      <c r="Q5696" t="s">
        <v>43</v>
      </c>
      <c r="R5696" t="s">
        <v>43</v>
      </c>
      <c r="S5696" t="s">
        <v>43</v>
      </c>
      <c r="T5696" t="s">
        <v>43</v>
      </c>
      <c r="U5696" t="s">
        <v>43</v>
      </c>
      <c r="V5696" t="s">
        <v>43</v>
      </c>
      <c r="W5696" t="s">
        <v>43</v>
      </c>
      <c r="X5696" t="s">
        <v>43</v>
      </c>
      <c r="Y5696" t="s">
        <v>43</v>
      </c>
      <c r="Z5696" t="s">
        <v>43</v>
      </c>
      <c r="AA5696" t="s">
        <v>43</v>
      </c>
      <c r="AB5696" t="s">
        <v>43</v>
      </c>
      <c r="AC5696" t="s">
        <v>43</v>
      </c>
      <c r="AD5696" t="s">
        <v>43</v>
      </c>
      <c r="AE5696" t="s">
        <v>43</v>
      </c>
      <c r="AF5696" t="s">
        <v>43</v>
      </c>
      <c r="AG5696" t="s">
        <v>43</v>
      </c>
      <c r="AH5696" t="s">
        <v>43</v>
      </c>
      <c r="AI5696" t="s">
        <v>43</v>
      </c>
      <c r="AJ5696" t="s">
        <v>43</v>
      </c>
      <c r="AK5696" t="s">
        <v>43</v>
      </c>
      <c r="AL5696" t="s">
        <v>43</v>
      </c>
      <c r="AM5696" t="s">
        <v>43</v>
      </c>
      <c r="AN5696" t="str">
        <f>HYPERLINK("https://www.google.com/maps?q=10.8331728,79.84580994","Open Location")</f>
        <v>Open Location</v>
      </c>
    </row>
    <row r="5697" spans="1:40" x14ac:dyDescent="0.3">
      <c r="A5697" s="1">
        <v>46210.339930555558</v>
      </c>
      <c r="B5697" t="s">
        <v>40</v>
      </c>
      <c r="C5697" t="s">
        <v>41</v>
      </c>
      <c r="D5697" s="1">
        <v>46210.342824074076</v>
      </c>
      <c r="E5697" t="s">
        <v>42</v>
      </c>
      <c r="F5697" t="s">
        <v>43</v>
      </c>
      <c r="G5697" t="s">
        <v>43</v>
      </c>
      <c r="H5697" t="s">
        <v>43</v>
      </c>
      <c r="I5697" t="s">
        <v>3233</v>
      </c>
      <c r="J5697" t="s">
        <v>43</v>
      </c>
      <c r="K5697" t="s">
        <v>43</v>
      </c>
      <c r="L5697" t="s">
        <v>43</v>
      </c>
      <c r="M5697" t="s">
        <v>43</v>
      </c>
      <c r="N5697" t="s">
        <v>45</v>
      </c>
      <c r="O5697" t="s">
        <v>43</v>
      </c>
      <c r="P5697" t="s">
        <v>43</v>
      </c>
      <c r="Q5697" t="s">
        <v>43</v>
      </c>
      <c r="R5697" t="s">
        <v>43</v>
      </c>
      <c r="S5697" t="s">
        <v>43</v>
      </c>
      <c r="T5697" t="s">
        <v>43</v>
      </c>
      <c r="U5697" t="s">
        <v>43</v>
      </c>
      <c r="V5697" t="s">
        <v>43</v>
      </c>
      <c r="W5697" t="s">
        <v>43</v>
      </c>
      <c r="X5697" t="s">
        <v>43</v>
      </c>
      <c r="Y5697" t="s">
        <v>43</v>
      </c>
      <c r="Z5697" t="s">
        <v>43</v>
      </c>
      <c r="AA5697" t="s">
        <v>43</v>
      </c>
      <c r="AB5697" t="s">
        <v>43</v>
      </c>
      <c r="AC5697" t="s">
        <v>43</v>
      </c>
      <c r="AD5697" t="s">
        <v>43</v>
      </c>
      <c r="AE5697" t="s">
        <v>43</v>
      </c>
      <c r="AF5697" t="s">
        <v>43</v>
      </c>
      <c r="AG5697" t="s">
        <v>43</v>
      </c>
      <c r="AH5697" t="s">
        <v>43</v>
      </c>
      <c r="AI5697" t="s">
        <v>43</v>
      </c>
      <c r="AJ5697" t="s">
        <v>43</v>
      </c>
      <c r="AK5697" t="s">
        <v>43</v>
      </c>
      <c r="AL5697" t="s">
        <v>43</v>
      </c>
      <c r="AM5697" t="s">
        <v>43</v>
      </c>
      <c r="AN5697" t="str">
        <f>HYPERLINK("https://www.google.com/maps?q=10.83317089,79.84580994","Open Location")</f>
        <v>Open Location</v>
      </c>
    </row>
    <row r="5698" spans="1:40" x14ac:dyDescent="0.3">
      <c r="A5698" s="1">
        <v>46210.339814814812</v>
      </c>
      <c r="B5698" t="s">
        <v>40</v>
      </c>
      <c r="C5698" t="s">
        <v>41</v>
      </c>
      <c r="D5698" s="1">
        <v>46210.342835648145</v>
      </c>
      <c r="E5698" t="s">
        <v>42</v>
      </c>
      <c r="F5698" t="s">
        <v>43</v>
      </c>
      <c r="G5698" t="s">
        <v>43</v>
      </c>
      <c r="H5698" t="s">
        <v>43</v>
      </c>
      <c r="I5698" t="s">
        <v>3234</v>
      </c>
      <c r="J5698" t="s">
        <v>43</v>
      </c>
      <c r="K5698" t="s">
        <v>43</v>
      </c>
      <c r="L5698" t="s">
        <v>43</v>
      </c>
      <c r="M5698" t="s">
        <v>43</v>
      </c>
      <c r="N5698" t="s">
        <v>45</v>
      </c>
      <c r="O5698" t="s">
        <v>43</v>
      </c>
      <c r="P5698" t="s">
        <v>43</v>
      </c>
      <c r="Q5698" t="s">
        <v>43</v>
      </c>
      <c r="R5698" t="s">
        <v>43</v>
      </c>
      <c r="S5698" t="s">
        <v>43</v>
      </c>
      <c r="T5698" t="s">
        <v>43</v>
      </c>
      <c r="U5698" t="s">
        <v>43</v>
      </c>
      <c r="V5698" t="s">
        <v>43</v>
      </c>
      <c r="W5698" t="s">
        <v>43</v>
      </c>
      <c r="X5698" t="s">
        <v>43</v>
      </c>
      <c r="Y5698" t="s">
        <v>43</v>
      </c>
      <c r="Z5698" t="s">
        <v>43</v>
      </c>
      <c r="AA5698" t="s">
        <v>43</v>
      </c>
      <c r="AB5698" t="s">
        <v>43</v>
      </c>
      <c r="AC5698" t="s">
        <v>43</v>
      </c>
      <c r="AD5698" t="s">
        <v>43</v>
      </c>
      <c r="AE5698" t="s">
        <v>43</v>
      </c>
      <c r="AF5698" t="s">
        <v>43</v>
      </c>
      <c r="AG5698" t="s">
        <v>43</v>
      </c>
      <c r="AH5698" t="s">
        <v>43</v>
      </c>
      <c r="AI5698" t="s">
        <v>43</v>
      </c>
      <c r="AJ5698" t="s">
        <v>43</v>
      </c>
      <c r="AK5698" t="s">
        <v>43</v>
      </c>
      <c r="AL5698" t="s">
        <v>43</v>
      </c>
      <c r="AM5698" t="s">
        <v>43</v>
      </c>
      <c r="AN5698" t="str">
        <f>HYPERLINK("https://www.google.com/maps?q=10.83316994,79.84580231","Open Location")</f>
        <v>Open Location</v>
      </c>
    </row>
    <row r="5699" spans="1:40" x14ac:dyDescent="0.3">
      <c r="A5699" s="1">
        <v>46210.339699074073</v>
      </c>
      <c r="B5699" t="s">
        <v>40</v>
      </c>
      <c r="C5699" t="s">
        <v>41</v>
      </c>
      <c r="D5699" s="1">
        <v>46210.342662037037</v>
      </c>
      <c r="E5699" t="s">
        <v>42</v>
      </c>
      <c r="F5699" t="s">
        <v>43</v>
      </c>
      <c r="G5699" t="s">
        <v>43</v>
      </c>
      <c r="H5699" t="s">
        <v>43</v>
      </c>
      <c r="I5699" t="s">
        <v>3235</v>
      </c>
      <c r="J5699" t="s">
        <v>43</v>
      </c>
      <c r="K5699" t="s">
        <v>43</v>
      </c>
      <c r="L5699" t="s">
        <v>43</v>
      </c>
      <c r="M5699" t="s">
        <v>43</v>
      </c>
      <c r="N5699" t="s">
        <v>45</v>
      </c>
      <c r="O5699" t="s">
        <v>43</v>
      </c>
      <c r="P5699" t="s">
        <v>43</v>
      </c>
      <c r="Q5699" t="s">
        <v>43</v>
      </c>
      <c r="R5699" t="s">
        <v>43</v>
      </c>
      <c r="S5699" t="s">
        <v>43</v>
      </c>
      <c r="T5699" t="s">
        <v>43</v>
      </c>
      <c r="U5699" t="s">
        <v>43</v>
      </c>
      <c r="V5699" t="s">
        <v>43</v>
      </c>
      <c r="W5699" t="s">
        <v>43</v>
      </c>
      <c r="X5699" t="s">
        <v>43</v>
      </c>
      <c r="Y5699" t="s">
        <v>43</v>
      </c>
      <c r="Z5699" t="s">
        <v>43</v>
      </c>
      <c r="AA5699" t="s">
        <v>43</v>
      </c>
      <c r="AB5699" t="s">
        <v>43</v>
      </c>
      <c r="AC5699" t="s">
        <v>43</v>
      </c>
      <c r="AD5699" t="s">
        <v>43</v>
      </c>
      <c r="AE5699" t="s">
        <v>43</v>
      </c>
      <c r="AF5699" t="s">
        <v>43</v>
      </c>
      <c r="AG5699" t="s">
        <v>43</v>
      </c>
      <c r="AH5699" t="s">
        <v>43</v>
      </c>
      <c r="AI5699" t="s">
        <v>43</v>
      </c>
      <c r="AJ5699" t="s">
        <v>43</v>
      </c>
      <c r="AK5699" t="s">
        <v>43</v>
      </c>
      <c r="AL5699" t="s">
        <v>43</v>
      </c>
      <c r="AM5699" t="s">
        <v>43</v>
      </c>
      <c r="AN5699" t="str">
        <f>HYPERLINK("https://www.google.com/maps?q=10.83317184,79.84580231","Open Location")</f>
        <v>Open Location</v>
      </c>
    </row>
    <row r="5700" spans="1:40" x14ac:dyDescent="0.3">
      <c r="A5700" s="1">
        <v>46210.339583333334</v>
      </c>
      <c r="B5700" t="s">
        <v>40</v>
      </c>
      <c r="C5700" t="s">
        <v>41</v>
      </c>
      <c r="D5700" s="1">
        <v>46210.342465277776</v>
      </c>
      <c r="E5700" t="s">
        <v>42</v>
      </c>
      <c r="F5700" t="s">
        <v>43</v>
      </c>
      <c r="G5700" t="s">
        <v>43</v>
      </c>
      <c r="H5700" t="s">
        <v>43</v>
      </c>
      <c r="I5700" t="s">
        <v>43</v>
      </c>
      <c r="J5700" t="s">
        <v>43</v>
      </c>
      <c r="K5700" t="s">
        <v>43</v>
      </c>
      <c r="L5700" t="s">
        <v>43</v>
      </c>
      <c r="M5700" t="s">
        <v>43</v>
      </c>
      <c r="N5700" t="s">
        <v>45</v>
      </c>
      <c r="O5700" t="s">
        <v>43</v>
      </c>
      <c r="P5700" t="s">
        <v>43</v>
      </c>
      <c r="Q5700" t="s">
        <v>43</v>
      </c>
      <c r="R5700" t="s">
        <v>43</v>
      </c>
      <c r="S5700" t="s">
        <v>43</v>
      </c>
      <c r="T5700" t="s">
        <v>43</v>
      </c>
      <c r="U5700" t="s">
        <v>43</v>
      </c>
      <c r="V5700" t="s">
        <v>43</v>
      </c>
      <c r="W5700" t="s">
        <v>43</v>
      </c>
      <c r="X5700" t="s">
        <v>43</v>
      </c>
      <c r="Y5700" t="s">
        <v>43</v>
      </c>
      <c r="Z5700" t="s">
        <v>43</v>
      </c>
      <c r="AA5700" t="s">
        <v>43</v>
      </c>
      <c r="AB5700" t="s">
        <v>43</v>
      </c>
      <c r="AC5700" t="s">
        <v>43</v>
      </c>
      <c r="AD5700" t="s">
        <v>43</v>
      </c>
      <c r="AE5700" t="s">
        <v>43</v>
      </c>
      <c r="AF5700" t="s">
        <v>43</v>
      </c>
      <c r="AG5700" t="s">
        <v>43</v>
      </c>
      <c r="AH5700" t="s">
        <v>43</v>
      </c>
      <c r="AI5700" t="s">
        <v>43</v>
      </c>
      <c r="AJ5700" t="s">
        <v>43</v>
      </c>
      <c r="AK5700" t="s">
        <v>43</v>
      </c>
      <c r="AL5700" t="s">
        <v>43</v>
      </c>
      <c r="AM5700" t="s">
        <v>43</v>
      </c>
      <c r="AN5700" t="s">
        <v>43</v>
      </c>
    </row>
    <row r="5701" spans="1:40" x14ac:dyDescent="0.3">
      <c r="A5701" s="1">
        <v>46210.339467592596</v>
      </c>
      <c r="B5701" t="s">
        <v>40</v>
      </c>
      <c r="C5701" t="s">
        <v>41</v>
      </c>
      <c r="D5701" s="1">
        <v>46210.342141203706</v>
      </c>
      <c r="E5701" t="s">
        <v>42</v>
      </c>
      <c r="F5701" t="s">
        <v>43</v>
      </c>
      <c r="G5701" t="s">
        <v>43</v>
      </c>
      <c r="H5701" t="s">
        <v>43</v>
      </c>
      <c r="I5701" t="s">
        <v>3236</v>
      </c>
      <c r="J5701" t="s">
        <v>43</v>
      </c>
      <c r="K5701" t="s">
        <v>43</v>
      </c>
      <c r="L5701" t="s">
        <v>43</v>
      </c>
      <c r="M5701" t="s">
        <v>43</v>
      </c>
      <c r="N5701" t="s">
        <v>45</v>
      </c>
      <c r="O5701" t="s">
        <v>43</v>
      </c>
      <c r="P5701" t="s">
        <v>43</v>
      </c>
      <c r="Q5701" t="s">
        <v>43</v>
      </c>
      <c r="R5701" t="s">
        <v>43</v>
      </c>
      <c r="S5701" t="s">
        <v>43</v>
      </c>
      <c r="T5701" t="s">
        <v>43</v>
      </c>
      <c r="U5701" t="s">
        <v>43</v>
      </c>
      <c r="V5701" t="s">
        <v>43</v>
      </c>
      <c r="W5701" t="s">
        <v>43</v>
      </c>
      <c r="X5701" t="s">
        <v>43</v>
      </c>
      <c r="Y5701" t="s">
        <v>43</v>
      </c>
      <c r="Z5701" t="s">
        <v>43</v>
      </c>
      <c r="AA5701" t="s">
        <v>43</v>
      </c>
      <c r="AB5701" t="s">
        <v>43</v>
      </c>
      <c r="AC5701" t="s">
        <v>43</v>
      </c>
      <c r="AD5701" t="s">
        <v>43</v>
      </c>
      <c r="AE5701" t="s">
        <v>43</v>
      </c>
      <c r="AF5701" t="s">
        <v>43</v>
      </c>
      <c r="AG5701" t="s">
        <v>43</v>
      </c>
      <c r="AH5701" t="s">
        <v>43</v>
      </c>
      <c r="AI5701" t="s">
        <v>43</v>
      </c>
      <c r="AJ5701" t="s">
        <v>43</v>
      </c>
      <c r="AK5701" t="s">
        <v>43</v>
      </c>
      <c r="AL5701" t="s">
        <v>43</v>
      </c>
      <c r="AM5701" t="s">
        <v>43</v>
      </c>
      <c r="AN5701" t="str">
        <f>HYPERLINK("https://www.google.com/maps?q=10.83317375,79.84579468","Open Location")</f>
        <v>Open Location</v>
      </c>
    </row>
    <row r="5702" spans="1:40" x14ac:dyDescent="0.3">
      <c r="A5702" s="1">
        <v>46210.33935185185</v>
      </c>
      <c r="B5702" t="s">
        <v>40</v>
      </c>
      <c r="C5702" t="s">
        <v>41</v>
      </c>
      <c r="D5702" s="1">
        <v>46210.342349537037</v>
      </c>
      <c r="E5702" t="s">
        <v>42</v>
      </c>
      <c r="F5702" t="s">
        <v>43</v>
      </c>
      <c r="G5702" t="s">
        <v>43</v>
      </c>
      <c r="H5702" t="s">
        <v>43</v>
      </c>
      <c r="I5702" t="s">
        <v>3237</v>
      </c>
      <c r="J5702" t="s">
        <v>43</v>
      </c>
      <c r="K5702" t="s">
        <v>43</v>
      </c>
      <c r="L5702" t="s">
        <v>43</v>
      </c>
      <c r="M5702" t="s">
        <v>43</v>
      </c>
      <c r="N5702" t="s">
        <v>45</v>
      </c>
      <c r="O5702" t="s">
        <v>43</v>
      </c>
      <c r="P5702" t="s">
        <v>43</v>
      </c>
      <c r="Q5702" t="s">
        <v>43</v>
      </c>
      <c r="R5702" t="s">
        <v>43</v>
      </c>
      <c r="S5702" t="s">
        <v>43</v>
      </c>
      <c r="T5702" t="s">
        <v>43</v>
      </c>
      <c r="U5702" t="s">
        <v>43</v>
      </c>
      <c r="V5702" t="s">
        <v>43</v>
      </c>
      <c r="W5702" t="s">
        <v>43</v>
      </c>
      <c r="X5702" t="s">
        <v>43</v>
      </c>
      <c r="Y5702" t="s">
        <v>43</v>
      </c>
      <c r="Z5702" t="s">
        <v>43</v>
      </c>
      <c r="AA5702" t="s">
        <v>43</v>
      </c>
      <c r="AB5702" t="s">
        <v>43</v>
      </c>
      <c r="AC5702" t="s">
        <v>43</v>
      </c>
      <c r="AD5702" t="s">
        <v>43</v>
      </c>
      <c r="AE5702" t="s">
        <v>43</v>
      </c>
      <c r="AF5702" t="s">
        <v>43</v>
      </c>
      <c r="AG5702" t="s">
        <v>43</v>
      </c>
      <c r="AH5702" t="s">
        <v>43</v>
      </c>
      <c r="AI5702" t="s">
        <v>43</v>
      </c>
      <c r="AJ5702" t="s">
        <v>43</v>
      </c>
      <c r="AK5702" t="s">
        <v>43</v>
      </c>
      <c r="AL5702" t="s">
        <v>43</v>
      </c>
      <c r="AM5702" t="s">
        <v>43</v>
      </c>
      <c r="AN5702" t="str">
        <f>HYPERLINK("https://www.google.com/maps?q=10.83317471,79.84580231","Open Location")</f>
        <v>Open Location</v>
      </c>
    </row>
    <row r="5703" spans="1:40" x14ac:dyDescent="0.3">
      <c r="A5703" s="1">
        <v>46210.339236111111</v>
      </c>
      <c r="B5703" t="s">
        <v>40</v>
      </c>
      <c r="C5703" t="s">
        <v>41</v>
      </c>
      <c r="D5703" s="1">
        <v>46210.341932870368</v>
      </c>
      <c r="E5703" t="s">
        <v>42</v>
      </c>
      <c r="F5703" t="s">
        <v>43</v>
      </c>
      <c r="G5703" t="s">
        <v>43</v>
      </c>
      <c r="H5703" t="s">
        <v>43</v>
      </c>
      <c r="I5703" t="s">
        <v>3236</v>
      </c>
      <c r="J5703" t="s">
        <v>43</v>
      </c>
      <c r="K5703" t="s">
        <v>43</v>
      </c>
      <c r="L5703" t="s">
        <v>43</v>
      </c>
      <c r="M5703" t="s">
        <v>43</v>
      </c>
      <c r="N5703" t="s">
        <v>45</v>
      </c>
      <c r="O5703" t="s">
        <v>43</v>
      </c>
      <c r="P5703" t="s">
        <v>43</v>
      </c>
      <c r="Q5703" t="s">
        <v>43</v>
      </c>
      <c r="R5703" t="s">
        <v>43</v>
      </c>
      <c r="S5703" t="s">
        <v>43</v>
      </c>
      <c r="T5703" t="s">
        <v>43</v>
      </c>
      <c r="U5703" t="s">
        <v>43</v>
      </c>
      <c r="V5703" t="s">
        <v>43</v>
      </c>
      <c r="W5703" t="s">
        <v>43</v>
      </c>
      <c r="X5703" t="s">
        <v>43</v>
      </c>
      <c r="Y5703" t="s">
        <v>43</v>
      </c>
      <c r="Z5703" t="s">
        <v>43</v>
      </c>
      <c r="AA5703" t="s">
        <v>43</v>
      </c>
      <c r="AB5703" t="s">
        <v>43</v>
      </c>
      <c r="AC5703" t="s">
        <v>43</v>
      </c>
      <c r="AD5703" t="s">
        <v>43</v>
      </c>
      <c r="AE5703" t="s">
        <v>43</v>
      </c>
      <c r="AF5703" t="s">
        <v>43</v>
      </c>
      <c r="AG5703" t="s">
        <v>43</v>
      </c>
      <c r="AH5703" t="s">
        <v>43</v>
      </c>
      <c r="AI5703" t="s">
        <v>43</v>
      </c>
      <c r="AJ5703" t="s">
        <v>43</v>
      </c>
      <c r="AK5703" t="s">
        <v>43</v>
      </c>
      <c r="AL5703" t="s">
        <v>43</v>
      </c>
      <c r="AM5703" t="s">
        <v>43</v>
      </c>
      <c r="AN5703" t="str">
        <f>HYPERLINK("https://www.google.com/maps?q=10.83317375,79.84579468","Open Location")</f>
        <v>Open Location</v>
      </c>
    </row>
    <row r="5704" spans="1:40" x14ac:dyDescent="0.3">
      <c r="A5704" s="1">
        <v>46210.339120370372</v>
      </c>
      <c r="B5704" t="s">
        <v>40</v>
      </c>
      <c r="C5704" t="s">
        <v>41</v>
      </c>
      <c r="D5704" s="1">
        <v>46210.341932870368</v>
      </c>
      <c r="E5704" t="s">
        <v>42</v>
      </c>
      <c r="F5704" t="s">
        <v>43</v>
      </c>
      <c r="G5704" t="s">
        <v>43</v>
      </c>
      <c r="H5704" t="s">
        <v>43</v>
      </c>
      <c r="I5704" t="s">
        <v>3236</v>
      </c>
      <c r="J5704" t="s">
        <v>43</v>
      </c>
      <c r="K5704" t="s">
        <v>43</v>
      </c>
      <c r="L5704" t="s">
        <v>43</v>
      </c>
      <c r="M5704" t="s">
        <v>43</v>
      </c>
      <c r="N5704" t="s">
        <v>45</v>
      </c>
      <c r="O5704" t="s">
        <v>43</v>
      </c>
      <c r="P5704" t="s">
        <v>43</v>
      </c>
      <c r="Q5704" t="s">
        <v>43</v>
      </c>
      <c r="R5704" t="s">
        <v>43</v>
      </c>
      <c r="S5704" t="s">
        <v>43</v>
      </c>
      <c r="T5704" t="s">
        <v>43</v>
      </c>
      <c r="U5704" t="s">
        <v>43</v>
      </c>
      <c r="V5704" t="s">
        <v>43</v>
      </c>
      <c r="W5704" t="s">
        <v>43</v>
      </c>
      <c r="X5704" t="s">
        <v>43</v>
      </c>
      <c r="Y5704" t="s">
        <v>43</v>
      </c>
      <c r="Z5704" t="s">
        <v>43</v>
      </c>
      <c r="AA5704" t="s">
        <v>43</v>
      </c>
      <c r="AB5704" t="s">
        <v>43</v>
      </c>
      <c r="AC5704" t="s">
        <v>43</v>
      </c>
      <c r="AD5704" t="s">
        <v>43</v>
      </c>
      <c r="AE5704" t="s">
        <v>43</v>
      </c>
      <c r="AF5704" t="s">
        <v>43</v>
      </c>
      <c r="AG5704" t="s">
        <v>43</v>
      </c>
      <c r="AH5704" t="s">
        <v>43</v>
      </c>
      <c r="AI5704" t="s">
        <v>43</v>
      </c>
      <c r="AJ5704" t="s">
        <v>43</v>
      </c>
      <c r="AK5704" t="s">
        <v>43</v>
      </c>
      <c r="AL5704" t="s">
        <v>43</v>
      </c>
      <c r="AM5704" t="s">
        <v>43</v>
      </c>
      <c r="AN5704" t="str">
        <f>HYPERLINK("https://www.google.com/maps?q=10.83317375,79.84579468","Open Location")</f>
        <v>Open Location</v>
      </c>
    </row>
    <row r="5705" spans="1:40" x14ac:dyDescent="0.3">
      <c r="A5705" s="1">
        <v>46210.339004629626</v>
      </c>
      <c r="B5705" t="s">
        <v>40</v>
      </c>
      <c r="C5705" t="s">
        <v>41</v>
      </c>
      <c r="D5705" s="1">
        <v>46210.341932870368</v>
      </c>
      <c r="E5705" t="s">
        <v>42</v>
      </c>
      <c r="F5705" t="s">
        <v>43</v>
      </c>
      <c r="G5705" t="s">
        <v>43</v>
      </c>
      <c r="H5705" t="s">
        <v>43</v>
      </c>
      <c r="I5705" t="s">
        <v>43</v>
      </c>
      <c r="J5705" t="s">
        <v>43</v>
      </c>
      <c r="K5705" t="s">
        <v>43</v>
      </c>
      <c r="L5705" t="s">
        <v>43</v>
      </c>
      <c r="M5705" t="s">
        <v>43</v>
      </c>
      <c r="N5705" t="s">
        <v>45</v>
      </c>
      <c r="O5705" t="s">
        <v>43</v>
      </c>
      <c r="P5705" t="s">
        <v>43</v>
      </c>
      <c r="Q5705" t="s">
        <v>43</v>
      </c>
      <c r="R5705" t="s">
        <v>43</v>
      </c>
      <c r="S5705" t="s">
        <v>43</v>
      </c>
      <c r="T5705" t="s">
        <v>43</v>
      </c>
      <c r="U5705" t="s">
        <v>43</v>
      </c>
      <c r="V5705" t="s">
        <v>43</v>
      </c>
      <c r="W5705" t="s">
        <v>43</v>
      </c>
      <c r="X5705" t="s">
        <v>43</v>
      </c>
      <c r="Y5705" t="s">
        <v>43</v>
      </c>
      <c r="Z5705" t="s">
        <v>43</v>
      </c>
      <c r="AA5705" t="s">
        <v>43</v>
      </c>
      <c r="AB5705" t="s">
        <v>43</v>
      </c>
      <c r="AC5705" t="s">
        <v>43</v>
      </c>
      <c r="AD5705" t="s">
        <v>43</v>
      </c>
      <c r="AE5705" t="s">
        <v>43</v>
      </c>
      <c r="AF5705" t="s">
        <v>43</v>
      </c>
      <c r="AG5705" t="s">
        <v>43</v>
      </c>
      <c r="AH5705" t="s">
        <v>43</v>
      </c>
      <c r="AI5705" t="s">
        <v>43</v>
      </c>
      <c r="AJ5705" t="s">
        <v>43</v>
      </c>
      <c r="AK5705" t="s">
        <v>43</v>
      </c>
      <c r="AL5705" t="s">
        <v>43</v>
      </c>
      <c r="AM5705" t="s">
        <v>43</v>
      </c>
      <c r="AN5705" t="s">
        <v>43</v>
      </c>
    </row>
    <row r="5706" spans="1:40" x14ac:dyDescent="0.3">
      <c r="A5706" s="1">
        <v>46210.338888888888</v>
      </c>
      <c r="B5706" t="s">
        <v>40</v>
      </c>
      <c r="C5706" t="s">
        <v>41</v>
      </c>
      <c r="D5706" s="1">
        <v>46210.341932870368</v>
      </c>
      <c r="E5706" t="s">
        <v>42</v>
      </c>
      <c r="F5706" t="s">
        <v>43</v>
      </c>
      <c r="G5706" t="s">
        <v>43</v>
      </c>
      <c r="H5706" t="s">
        <v>43</v>
      </c>
      <c r="I5706" t="s">
        <v>3153</v>
      </c>
      <c r="J5706" t="s">
        <v>43</v>
      </c>
      <c r="K5706" t="s">
        <v>43</v>
      </c>
      <c r="L5706" t="s">
        <v>43</v>
      </c>
      <c r="M5706" t="s">
        <v>43</v>
      </c>
      <c r="N5706" t="s">
        <v>45</v>
      </c>
      <c r="O5706" t="s">
        <v>43</v>
      </c>
      <c r="P5706" t="s">
        <v>43</v>
      </c>
      <c r="Q5706" t="s">
        <v>43</v>
      </c>
      <c r="R5706" t="s">
        <v>43</v>
      </c>
      <c r="S5706" t="s">
        <v>43</v>
      </c>
      <c r="T5706" t="s">
        <v>43</v>
      </c>
      <c r="U5706" t="s">
        <v>43</v>
      </c>
      <c r="V5706" t="s">
        <v>43</v>
      </c>
      <c r="W5706" t="s">
        <v>43</v>
      </c>
      <c r="X5706" t="s">
        <v>43</v>
      </c>
      <c r="Y5706" t="s">
        <v>43</v>
      </c>
      <c r="Z5706" t="s">
        <v>43</v>
      </c>
      <c r="AA5706" t="s">
        <v>43</v>
      </c>
      <c r="AB5706" t="s">
        <v>43</v>
      </c>
      <c r="AC5706" t="s">
        <v>43</v>
      </c>
      <c r="AD5706" t="s">
        <v>43</v>
      </c>
      <c r="AE5706" t="s">
        <v>43</v>
      </c>
      <c r="AF5706" t="s">
        <v>43</v>
      </c>
      <c r="AG5706" t="s">
        <v>43</v>
      </c>
      <c r="AH5706" t="s">
        <v>43</v>
      </c>
      <c r="AI5706" t="s">
        <v>43</v>
      </c>
      <c r="AJ5706" t="s">
        <v>43</v>
      </c>
      <c r="AK5706" t="s">
        <v>43</v>
      </c>
      <c r="AL5706" t="s">
        <v>43</v>
      </c>
      <c r="AM5706" t="s">
        <v>43</v>
      </c>
      <c r="AN5706" t="str">
        <f>HYPERLINK("https://www.google.com/maps?q=10.83317184,79.84577942","Open Location")</f>
        <v>Open Location</v>
      </c>
    </row>
    <row r="5707" spans="1:40" x14ac:dyDescent="0.3">
      <c r="A5707" s="1">
        <v>46210.338773148149</v>
      </c>
      <c r="B5707" t="s">
        <v>40</v>
      </c>
      <c r="C5707" t="s">
        <v>41</v>
      </c>
      <c r="D5707" s="1">
        <v>46210.341932870368</v>
      </c>
      <c r="E5707" t="s">
        <v>42</v>
      </c>
      <c r="F5707" t="s">
        <v>43</v>
      </c>
      <c r="G5707" t="s">
        <v>43</v>
      </c>
      <c r="H5707" t="s">
        <v>43</v>
      </c>
      <c r="I5707" t="s">
        <v>3162</v>
      </c>
      <c r="J5707" t="s">
        <v>43</v>
      </c>
      <c r="K5707" t="s">
        <v>43</v>
      </c>
      <c r="L5707" t="s">
        <v>43</v>
      </c>
      <c r="M5707" t="s">
        <v>43</v>
      </c>
      <c r="N5707" t="s">
        <v>45</v>
      </c>
      <c r="O5707" t="s">
        <v>43</v>
      </c>
      <c r="P5707" t="s">
        <v>43</v>
      </c>
      <c r="Q5707" t="s">
        <v>43</v>
      </c>
      <c r="R5707" t="s">
        <v>43</v>
      </c>
      <c r="S5707" t="s">
        <v>43</v>
      </c>
      <c r="T5707" t="s">
        <v>43</v>
      </c>
      <c r="U5707" t="s">
        <v>43</v>
      </c>
      <c r="V5707" t="s">
        <v>43</v>
      </c>
      <c r="W5707" t="s">
        <v>43</v>
      </c>
      <c r="X5707" t="s">
        <v>43</v>
      </c>
      <c r="Y5707" t="s">
        <v>43</v>
      </c>
      <c r="Z5707" t="s">
        <v>43</v>
      </c>
      <c r="AA5707" t="s">
        <v>43</v>
      </c>
      <c r="AB5707" t="s">
        <v>43</v>
      </c>
      <c r="AC5707" t="s">
        <v>43</v>
      </c>
      <c r="AD5707" t="s">
        <v>43</v>
      </c>
      <c r="AE5707" t="s">
        <v>43</v>
      </c>
      <c r="AF5707" t="s">
        <v>43</v>
      </c>
      <c r="AG5707" t="s">
        <v>43</v>
      </c>
      <c r="AH5707" t="s">
        <v>43</v>
      </c>
      <c r="AI5707" t="s">
        <v>43</v>
      </c>
      <c r="AJ5707" t="s">
        <v>43</v>
      </c>
      <c r="AK5707" t="s">
        <v>43</v>
      </c>
      <c r="AL5707" t="s">
        <v>43</v>
      </c>
      <c r="AM5707" t="s">
        <v>43</v>
      </c>
      <c r="AN5707" t="str">
        <f>HYPERLINK("https://www.google.com/maps?q=10.83316994,79.84577942","Open Location")</f>
        <v>Open Location</v>
      </c>
    </row>
    <row r="5708" spans="1:40" x14ac:dyDescent="0.3">
      <c r="A5708" s="1">
        <v>46210.33865740741</v>
      </c>
      <c r="B5708" t="s">
        <v>40</v>
      </c>
      <c r="C5708" t="s">
        <v>41</v>
      </c>
      <c r="D5708" s="1">
        <v>46210.341770833336</v>
      </c>
      <c r="E5708" t="s">
        <v>42</v>
      </c>
      <c r="F5708" t="s">
        <v>43</v>
      </c>
      <c r="G5708" t="s">
        <v>43</v>
      </c>
      <c r="H5708" t="s">
        <v>43</v>
      </c>
      <c r="I5708" t="s">
        <v>3153</v>
      </c>
      <c r="J5708" t="s">
        <v>43</v>
      </c>
      <c r="K5708" t="s">
        <v>43</v>
      </c>
      <c r="L5708" t="s">
        <v>43</v>
      </c>
      <c r="M5708" t="s">
        <v>43</v>
      </c>
      <c r="N5708" t="s">
        <v>45</v>
      </c>
      <c r="O5708" t="s">
        <v>43</v>
      </c>
      <c r="P5708" t="s">
        <v>43</v>
      </c>
      <c r="Q5708" t="s">
        <v>43</v>
      </c>
      <c r="R5708" t="s">
        <v>43</v>
      </c>
      <c r="S5708" t="s">
        <v>43</v>
      </c>
      <c r="T5708" t="s">
        <v>43</v>
      </c>
      <c r="U5708" t="s">
        <v>43</v>
      </c>
      <c r="V5708" t="s">
        <v>43</v>
      </c>
      <c r="W5708" t="s">
        <v>43</v>
      </c>
      <c r="X5708" t="s">
        <v>43</v>
      </c>
      <c r="Y5708" t="s">
        <v>43</v>
      </c>
      <c r="Z5708" t="s">
        <v>43</v>
      </c>
      <c r="AA5708" t="s">
        <v>43</v>
      </c>
      <c r="AB5708" t="s">
        <v>43</v>
      </c>
      <c r="AC5708" t="s">
        <v>43</v>
      </c>
      <c r="AD5708" t="s">
        <v>43</v>
      </c>
      <c r="AE5708" t="s">
        <v>43</v>
      </c>
      <c r="AF5708" t="s">
        <v>43</v>
      </c>
      <c r="AG5708" t="s">
        <v>43</v>
      </c>
      <c r="AH5708" t="s">
        <v>43</v>
      </c>
      <c r="AI5708" t="s">
        <v>43</v>
      </c>
      <c r="AJ5708" t="s">
        <v>43</v>
      </c>
      <c r="AK5708" t="s">
        <v>43</v>
      </c>
      <c r="AL5708" t="s">
        <v>43</v>
      </c>
      <c r="AM5708" t="s">
        <v>43</v>
      </c>
      <c r="AN5708" t="str">
        <f>HYPERLINK("https://www.google.com/maps?q=10.83317184,79.84577942","Open Location")</f>
        <v>Open Location</v>
      </c>
    </row>
    <row r="5709" spans="1:40" x14ac:dyDescent="0.3">
      <c r="A5709" s="1">
        <v>46210.338541666664</v>
      </c>
      <c r="B5709" t="s">
        <v>40</v>
      </c>
      <c r="C5709" t="s">
        <v>41</v>
      </c>
      <c r="D5709" s="1">
        <v>46210.341331018521</v>
      </c>
      <c r="E5709" t="s">
        <v>42</v>
      </c>
      <c r="F5709" t="s">
        <v>43</v>
      </c>
      <c r="G5709" t="s">
        <v>43</v>
      </c>
      <c r="H5709" t="s">
        <v>43</v>
      </c>
      <c r="I5709" t="s">
        <v>3154</v>
      </c>
      <c r="J5709" t="s">
        <v>43</v>
      </c>
      <c r="K5709" t="s">
        <v>43</v>
      </c>
      <c r="L5709" t="s">
        <v>43</v>
      </c>
      <c r="M5709" t="s">
        <v>43</v>
      </c>
      <c r="N5709" t="s">
        <v>45</v>
      </c>
      <c r="O5709" t="s">
        <v>43</v>
      </c>
      <c r="P5709" t="s">
        <v>43</v>
      </c>
      <c r="Q5709" t="s">
        <v>43</v>
      </c>
      <c r="R5709" t="s">
        <v>43</v>
      </c>
      <c r="S5709" t="s">
        <v>43</v>
      </c>
      <c r="T5709" t="s">
        <v>43</v>
      </c>
      <c r="U5709" t="s">
        <v>43</v>
      </c>
      <c r="V5709" t="s">
        <v>43</v>
      </c>
      <c r="W5709" t="s">
        <v>43</v>
      </c>
      <c r="X5709" t="s">
        <v>43</v>
      </c>
      <c r="Y5709" t="s">
        <v>43</v>
      </c>
      <c r="Z5709" t="s">
        <v>43</v>
      </c>
      <c r="AA5709" t="s">
        <v>43</v>
      </c>
      <c r="AB5709" t="s">
        <v>43</v>
      </c>
      <c r="AC5709" t="s">
        <v>43</v>
      </c>
      <c r="AD5709" t="s">
        <v>43</v>
      </c>
      <c r="AE5709" t="s">
        <v>43</v>
      </c>
      <c r="AF5709" t="s">
        <v>43</v>
      </c>
      <c r="AG5709" t="s">
        <v>43</v>
      </c>
      <c r="AH5709" t="s">
        <v>43</v>
      </c>
      <c r="AI5709" t="s">
        <v>43</v>
      </c>
      <c r="AJ5709" t="s">
        <v>43</v>
      </c>
      <c r="AK5709" t="s">
        <v>43</v>
      </c>
      <c r="AL5709" t="s">
        <v>43</v>
      </c>
      <c r="AM5709" t="s">
        <v>43</v>
      </c>
      <c r="AN5709" t="str">
        <f>HYPERLINK("https://www.google.com/maps?q=10.83317089,79.84577942","Open Location")</f>
        <v>Open Location</v>
      </c>
    </row>
    <row r="5710" spans="1:40" x14ac:dyDescent="0.3">
      <c r="A5710" s="1">
        <v>46210.338425925926</v>
      </c>
      <c r="B5710" t="s">
        <v>40</v>
      </c>
      <c r="C5710" t="s">
        <v>41</v>
      </c>
      <c r="D5710" s="1">
        <v>46210.341273148151</v>
      </c>
      <c r="E5710" t="s">
        <v>42</v>
      </c>
      <c r="F5710" t="s">
        <v>43</v>
      </c>
      <c r="G5710" t="s">
        <v>43</v>
      </c>
      <c r="H5710" t="s">
        <v>43</v>
      </c>
      <c r="I5710" t="s">
        <v>3162</v>
      </c>
      <c r="J5710" t="s">
        <v>43</v>
      </c>
      <c r="K5710" t="s">
        <v>43</v>
      </c>
      <c r="L5710" t="s">
        <v>43</v>
      </c>
      <c r="M5710" t="s">
        <v>43</v>
      </c>
      <c r="N5710" t="s">
        <v>45</v>
      </c>
      <c r="O5710" t="s">
        <v>43</v>
      </c>
      <c r="P5710" t="s">
        <v>43</v>
      </c>
      <c r="Q5710" t="s">
        <v>43</v>
      </c>
      <c r="R5710" t="s">
        <v>43</v>
      </c>
      <c r="S5710" t="s">
        <v>43</v>
      </c>
      <c r="T5710" t="s">
        <v>43</v>
      </c>
      <c r="U5710" t="s">
        <v>43</v>
      </c>
      <c r="V5710" t="s">
        <v>43</v>
      </c>
      <c r="W5710" t="s">
        <v>43</v>
      </c>
      <c r="X5710" t="s">
        <v>43</v>
      </c>
      <c r="Y5710" t="s">
        <v>43</v>
      </c>
      <c r="Z5710" t="s">
        <v>43</v>
      </c>
      <c r="AA5710" t="s">
        <v>43</v>
      </c>
      <c r="AB5710" t="s">
        <v>43</v>
      </c>
      <c r="AC5710" t="s">
        <v>43</v>
      </c>
      <c r="AD5710" t="s">
        <v>43</v>
      </c>
      <c r="AE5710" t="s">
        <v>43</v>
      </c>
      <c r="AF5710" t="s">
        <v>43</v>
      </c>
      <c r="AG5710" t="s">
        <v>43</v>
      </c>
      <c r="AH5710" t="s">
        <v>43</v>
      </c>
      <c r="AI5710" t="s">
        <v>43</v>
      </c>
      <c r="AJ5710" t="s">
        <v>43</v>
      </c>
      <c r="AK5710" t="s">
        <v>43</v>
      </c>
      <c r="AL5710" t="s">
        <v>43</v>
      </c>
      <c r="AM5710" t="s">
        <v>43</v>
      </c>
      <c r="AN5710" t="str">
        <f>HYPERLINK("https://www.google.com/maps?q=10.83316994,79.84577942","Open Location")</f>
        <v>Open Location</v>
      </c>
    </row>
    <row r="5711" spans="1:40" x14ac:dyDescent="0.3">
      <c r="A5711" s="1">
        <v>46210.338310185187</v>
      </c>
      <c r="B5711" t="s">
        <v>40</v>
      </c>
      <c r="C5711" t="s">
        <v>41</v>
      </c>
      <c r="D5711" s="1">
        <v>46210.341307870367</v>
      </c>
      <c r="E5711" t="s">
        <v>42</v>
      </c>
      <c r="F5711" t="s">
        <v>43</v>
      </c>
      <c r="G5711" t="s">
        <v>43</v>
      </c>
      <c r="H5711" t="s">
        <v>43</v>
      </c>
      <c r="I5711" t="s">
        <v>43</v>
      </c>
      <c r="J5711" t="s">
        <v>43</v>
      </c>
      <c r="K5711" t="s">
        <v>43</v>
      </c>
      <c r="L5711" t="s">
        <v>43</v>
      </c>
      <c r="M5711" t="s">
        <v>43</v>
      </c>
      <c r="N5711" t="s">
        <v>45</v>
      </c>
      <c r="O5711" t="s">
        <v>43</v>
      </c>
      <c r="P5711" t="s">
        <v>43</v>
      </c>
      <c r="Q5711" t="s">
        <v>43</v>
      </c>
      <c r="R5711" t="s">
        <v>43</v>
      </c>
      <c r="S5711" t="s">
        <v>43</v>
      </c>
      <c r="T5711" t="s">
        <v>43</v>
      </c>
      <c r="U5711" t="s">
        <v>43</v>
      </c>
      <c r="V5711" t="s">
        <v>43</v>
      </c>
      <c r="W5711" t="s">
        <v>43</v>
      </c>
      <c r="X5711" t="s">
        <v>43</v>
      </c>
      <c r="Y5711" t="s">
        <v>43</v>
      </c>
      <c r="Z5711" t="s">
        <v>43</v>
      </c>
      <c r="AA5711" t="s">
        <v>43</v>
      </c>
      <c r="AB5711" t="s">
        <v>43</v>
      </c>
      <c r="AC5711" t="s">
        <v>43</v>
      </c>
      <c r="AD5711" t="s">
        <v>43</v>
      </c>
      <c r="AE5711" t="s">
        <v>43</v>
      </c>
      <c r="AF5711" t="s">
        <v>43</v>
      </c>
      <c r="AG5711" t="s">
        <v>43</v>
      </c>
      <c r="AH5711" t="s">
        <v>43</v>
      </c>
      <c r="AI5711" t="s">
        <v>43</v>
      </c>
      <c r="AJ5711" t="s">
        <v>43</v>
      </c>
      <c r="AK5711" t="s">
        <v>43</v>
      </c>
      <c r="AL5711" t="s">
        <v>43</v>
      </c>
      <c r="AM5711" t="s">
        <v>43</v>
      </c>
      <c r="AN5711" t="s">
        <v>43</v>
      </c>
    </row>
    <row r="5712" spans="1:40" x14ac:dyDescent="0.3">
      <c r="A5712" s="1">
        <v>46210.338194444441</v>
      </c>
      <c r="B5712" t="s">
        <v>40</v>
      </c>
      <c r="C5712" t="s">
        <v>41</v>
      </c>
      <c r="D5712" s="1">
        <v>46210.341307870367</v>
      </c>
      <c r="E5712" t="s">
        <v>42</v>
      </c>
      <c r="F5712" t="s">
        <v>43</v>
      </c>
      <c r="G5712" t="s">
        <v>43</v>
      </c>
      <c r="H5712" t="s">
        <v>43</v>
      </c>
      <c r="I5712" t="s">
        <v>3153</v>
      </c>
      <c r="J5712" t="s">
        <v>43</v>
      </c>
      <c r="K5712" t="s">
        <v>43</v>
      </c>
      <c r="L5712" t="s">
        <v>43</v>
      </c>
      <c r="M5712" t="s">
        <v>43</v>
      </c>
      <c r="N5712" t="s">
        <v>45</v>
      </c>
      <c r="O5712" t="s">
        <v>43</v>
      </c>
      <c r="P5712" t="s">
        <v>43</v>
      </c>
      <c r="Q5712" t="s">
        <v>43</v>
      </c>
      <c r="R5712" t="s">
        <v>43</v>
      </c>
      <c r="S5712" t="s">
        <v>43</v>
      </c>
      <c r="T5712" t="s">
        <v>43</v>
      </c>
      <c r="U5712" t="s">
        <v>43</v>
      </c>
      <c r="V5712" t="s">
        <v>43</v>
      </c>
      <c r="W5712" t="s">
        <v>43</v>
      </c>
      <c r="X5712" t="s">
        <v>43</v>
      </c>
      <c r="Y5712" t="s">
        <v>43</v>
      </c>
      <c r="Z5712" t="s">
        <v>43</v>
      </c>
      <c r="AA5712" t="s">
        <v>43</v>
      </c>
      <c r="AB5712" t="s">
        <v>43</v>
      </c>
      <c r="AC5712" t="s">
        <v>43</v>
      </c>
      <c r="AD5712" t="s">
        <v>43</v>
      </c>
      <c r="AE5712" t="s">
        <v>43</v>
      </c>
      <c r="AF5712" t="s">
        <v>43</v>
      </c>
      <c r="AG5712" t="s">
        <v>43</v>
      </c>
      <c r="AH5712" t="s">
        <v>43</v>
      </c>
      <c r="AI5712" t="s">
        <v>43</v>
      </c>
      <c r="AJ5712" t="s">
        <v>43</v>
      </c>
      <c r="AK5712" t="s">
        <v>43</v>
      </c>
      <c r="AL5712" t="s">
        <v>43</v>
      </c>
      <c r="AM5712" t="s">
        <v>43</v>
      </c>
      <c r="AN5712" t="str">
        <f>HYPERLINK("https://www.google.com/maps?q=10.83317184,79.84577942","Open Location")</f>
        <v>Open Location</v>
      </c>
    </row>
    <row r="5713" spans="1:40" x14ac:dyDescent="0.3">
      <c r="A5713" s="1">
        <v>46210.338078703702</v>
      </c>
      <c r="B5713" t="s">
        <v>40</v>
      </c>
      <c r="C5713" t="s">
        <v>41</v>
      </c>
      <c r="D5713" s="1">
        <v>46210.341134259259</v>
      </c>
      <c r="E5713" t="s">
        <v>42</v>
      </c>
      <c r="F5713" t="s">
        <v>43</v>
      </c>
      <c r="G5713" t="s">
        <v>43</v>
      </c>
      <c r="H5713" t="s">
        <v>43</v>
      </c>
      <c r="I5713" t="s">
        <v>3205</v>
      </c>
      <c r="J5713" t="s">
        <v>43</v>
      </c>
      <c r="K5713" t="s">
        <v>43</v>
      </c>
      <c r="L5713" t="s">
        <v>43</v>
      </c>
      <c r="M5713" t="s">
        <v>43</v>
      </c>
      <c r="N5713" t="s">
        <v>45</v>
      </c>
      <c r="O5713" t="s">
        <v>43</v>
      </c>
      <c r="P5713" t="s">
        <v>43</v>
      </c>
      <c r="Q5713" t="s">
        <v>43</v>
      </c>
      <c r="R5713" t="s">
        <v>43</v>
      </c>
      <c r="S5713" t="s">
        <v>43</v>
      </c>
      <c r="T5713" t="s">
        <v>43</v>
      </c>
      <c r="U5713" t="s">
        <v>43</v>
      </c>
      <c r="V5713" t="s">
        <v>43</v>
      </c>
      <c r="W5713" t="s">
        <v>43</v>
      </c>
      <c r="X5713" t="s">
        <v>43</v>
      </c>
      <c r="Y5713" t="s">
        <v>43</v>
      </c>
      <c r="Z5713" t="s">
        <v>43</v>
      </c>
      <c r="AA5713" t="s">
        <v>43</v>
      </c>
      <c r="AB5713" t="s">
        <v>43</v>
      </c>
      <c r="AC5713" t="s">
        <v>43</v>
      </c>
      <c r="AD5713" t="s">
        <v>43</v>
      </c>
      <c r="AE5713" t="s">
        <v>43</v>
      </c>
      <c r="AF5713" t="s">
        <v>43</v>
      </c>
      <c r="AG5713" t="s">
        <v>43</v>
      </c>
      <c r="AH5713" t="s">
        <v>43</v>
      </c>
      <c r="AI5713" t="s">
        <v>43</v>
      </c>
      <c r="AJ5713" t="s">
        <v>43</v>
      </c>
      <c r="AK5713" t="s">
        <v>43</v>
      </c>
      <c r="AL5713" t="s">
        <v>43</v>
      </c>
      <c r="AM5713" t="s">
        <v>43</v>
      </c>
      <c r="AN5713" t="str">
        <f>HYPERLINK("https://www.google.com/maps?q=10.8331728,79.84577179","Open Location")</f>
        <v>Open Location</v>
      </c>
    </row>
    <row r="5714" spans="1:40" x14ac:dyDescent="0.3">
      <c r="A5714" s="1">
        <v>46210.337962962964</v>
      </c>
      <c r="B5714" t="s">
        <v>40</v>
      </c>
      <c r="C5714" t="s">
        <v>41</v>
      </c>
      <c r="D5714" s="1">
        <v>46210.34097222222</v>
      </c>
      <c r="E5714" t="s">
        <v>42</v>
      </c>
      <c r="F5714" t="s">
        <v>43</v>
      </c>
      <c r="G5714" t="s">
        <v>43</v>
      </c>
      <c r="H5714" t="s">
        <v>43</v>
      </c>
      <c r="I5714" t="s">
        <v>3238</v>
      </c>
      <c r="J5714" t="s">
        <v>43</v>
      </c>
      <c r="K5714" t="s">
        <v>43</v>
      </c>
      <c r="L5714" t="s">
        <v>43</v>
      </c>
      <c r="M5714" t="s">
        <v>43</v>
      </c>
      <c r="N5714" t="s">
        <v>45</v>
      </c>
      <c r="O5714" t="s">
        <v>43</v>
      </c>
      <c r="P5714" t="s">
        <v>43</v>
      </c>
      <c r="Q5714" t="s">
        <v>43</v>
      </c>
      <c r="R5714" t="s">
        <v>43</v>
      </c>
      <c r="S5714" t="s">
        <v>43</v>
      </c>
      <c r="T5714" t="s">
        <v>43</v>
      </c>
      <c r="U5714" t="s">
        <v>43</v>
      </c>
      <c r="V5714" t="s">
        <v>43</v>
      </c>
      <c r="W5714" t="s">
        <v>43</v>
      </c>
      <c r="X5714" t="s">
        <v>43</v>
      </c>
      <c r="Y5714" t="s">
        <v>43</v>
      </c>
      <c r="Z5714" t="s">
        <v>43</v>
      </c>
      <c r="AA5714" t="s">
        <v>43</v>
      </c>
      <c r="AB5714" t="s">
        <v>43</v>
      </c>
      <c r="AC5714" t="s">
        <v>43</v>
      </c>
      <c r="AD5714" t="s">
        <v>43</v>
      </c>
      <c r="AE5714" t="s">
        <v>43</v>
      </c>
      <c r="AF5714" t="s">
        <v>43</v>
      </c>
      <c r="AG5714" t="s">
        <v>43</v>
      </c>
      <c r="AH5714" t="s">
        <v>43</v>
      </c>
      <c r="AI5714" t="s">
        <v>43</v>
      </c>
      <c r="AJ5714" t="s">
        <v>43</v>
      </c>
      <c r="AK5714" t="s">
        <v>43</v>
      </c>
      <c r="AL5714" t="s">
        <v>43</v>
      </c>
      <c r="AM5714" t="s">
        <v>43</v>
      </c>
      <c r="AN5714" t="str">
        <f>HYPERLINK("https://www.google.com/maps?q=10.83317375,79.84575653","Open Location")</f>
        <v>Open Location</v>
      </c>
    </row>
    <row r="5715" spans="1:40" x14ac:dyDescent="0.3">
      <c r="A5715" s="1">
        <v>46210.337847222225</v>
      </c>
      <c r="B5715" t="s">
        <v>40</v>
      </c>
      <c r="C5715" t="s">
        <v>41</v>
      </c>
      <c r="D5715" s="1">
        <v>46210.340787037036</v>
      </c>
      <c r="E5715" t="s">
        <v>42</v>
      </c>
      <c r="F5715" t="s">
        <v>43</v>
      </c>
      <c r="G5715" t="s">
        <v>43</v>
      </c>
      <c r="H5715" t="s">
        <v>43</v>
      </c>
      <c r="I5715" t="s">
        <v>3187</v>
      </c>
      <c r="J5715" t="s">
        <v>43</v>
      </c>
      <c r="K5715" t="s">
        <v>43</v>
      </c>
      <c r="L5715" t="s">
        <v>43</v>
      </c>
      <c r="M5715" t="s">
        <v>43</v>
      </c>
      <c r="N5715" t="s">
        <v>45</v>
      </c>
      <c r="O5715" t="s">
        <v>43</v>
      </c>
      <c r="P5715" t="s">
        <v>43</v>
      </c>
      <c r="Q5715" t="s">
        <v>43</v>
      </c>
      <c r="R5715" t="s">
        <v>43</v>
      </c>
      <c r="S5715" t="s">
        <v>43</v>
      </c>
      <c r="T5715" t="s">
        <v>43</v>
      </c>
      <c r="U5715" t="s">
        <v>43</v>
      </c>
      <c r="V5715" t="s">
        <v>43</v>
      </c>
      <c r="W5715" t="s">
        <v>43</v>
      </c>
      <c r="X5715" t="s">
        <v>43</v>
      </c>
      <c r="Y5715" t="s">
        <v>43</v>
      </c>
      <c r="Z5715" t="s">
        <v>43</v>
      </c>
      <c r="AA5715" t="s">
        <v>43</v>
      </c>
      <c r="AB5715" t="s">
        <v>43</v>
      </c>
      <c r="AC5715" t="s">
        <v>43</v>
      </c>
      <c r="AD5715" t="s">
        <v>43</v>
      </c>
      <c r="AE5715" t="s">
        <v>43</v>
      </c>
      <c r="AF5715" t="s">
        <v>43</v>
      </c>
      <c r="AG5715" t="s">
        <v>43</v>
      </c>
      <c r="AH5715" t="s">
        <v>43</v>
      </c>
      <c r="AI5715" t="s">
        <v>43</v>
      </c>
      <c r="AJ5715" t="s">
        <v>43</v>
      </c>
      <c r="AK5715" t="s">
        <v>43</v>
      </c>
      <c r="AL5715" t="s">
        <v>43</v>
      </c>
      <c r="AM5715" t="s">
        <v>43</v>
      </c>
      <c r="AN5715" t="str">
        <f>HYPERLINK("https://www.google.com/maps?q=10.83317471,79.84575653","Open Location")</f>
        <v>Open Location</v>
      </c>
    </row>
    <row r="5716" spans="1:40" x14ac:dyDescent="0.3">
      <c r="A5716" s="1">
        <v>46210.337731481479</v>
      </c>
      <c r="B5716" t="s">
        <v>40</v>
      </c>
      <c r="C5716" t="s">
        <v>41</v>
      </c>
      <c r="D5716" s="1">
        <v>46210.340717592589</v>
      </c>
      <c r="E5716" t="s">
        <v>42</v>
      </c>
      <c r="F5716" t="s">
        <v>43</v>
      </c>
      <c r="G5716" t="s">
        <v>43</v>
      </c>
      <c r="H5716" t="s">
        <v>43</v>
      </c>
      <c r="I5716" t="s">
        <v>3239</v>
      </c>
      <c r="J5716" t="s">
        <v>43</v>
      </c>
      <c r="K5716" t="s">
        <v>43</v>
      </c>
      <c r="L5716" t="s">
        <v>43</v>
      </c>
      <c r="M5716" t="s">
        <v>43</v>
      </c>
      <c r="N5716" t="s">
        <v>45</v>
      </c>
      <c r="O5716" t="s">
        <v>43</v>
      </c>
      <c r="P5716" t="s">
        <v>43</v>
      </c>
      <c r="Q5716" t="s">
        <v>43</v>
      </c>
      <c r="R5716" t="s">
        <v>43</v>
      </c>
      <c r="S5716" t="s">
        <v>43</v>
      </c>
      <c r="T5716" t="s">
        <v>43</v>
      </c>
      <c r="U5716" t="s">
        <v>43</v>
      </c>
      <c r="V5716" t="s">
        <v>43</v>
      </c>
      <c r="W5716" t="s">
        <v>43</v>
      </c>
      <c r="X5716" t="s">
        <v>43</v>
      </c>
      <c r="Y5716" t="s">
        <v>43</v>
      </c>
      <c r="Z5716" t="s">
        <v>43</v>
      </c>
      <c r="AA5716" t="s">
        <v>43</v>
      </c>
      <c r="AB5716" t="s">
        <v>43</v>
      </c>
      <c r="AC5716" t="s">
        <v>43</v>
      </c>
      <c r="AD5716" t="s">
        <v>43</v>
      </c>
      <c r="AE5716" t="s">
        <v>43</v>
      </c>
      <c r="AF5716" t="s">
        <v>43</v>
      </c>
      <c r="AG5716" t="s">
        <v>43</v>
      </c>
      <c r="AH5716" t="s">
        <v>43</v>
      </c>
      <c r="AI5716" t="s">
        <v>43</v>
      </c>
      <c r="AJ5716" t="s">
        <v>43</v>
      </c>
      <c r="AK5716" t="s">
        <v>43</v>
      </c>
      <c r="AL5716" t="s">
        <v>43</v>
      </c>
      <c r="AM5716" t="s">
        <v>43</v>
      </c>
      <c r="AN5716" t="str">
        <f>HYPERLINK("https://www.google.com/maps?q=10.83317757,79.84575653","Open Location")</f>
        <v>Open Location</v>
      </c>
    </row>
    <row r="5717" spans="1:40" x14ac:dyDescent="0.3">
      <c r="A5717" s="1">
        <v>46210.33761574074</v>
      </c>
      <c r="B5717" t="s">
        <v>40</v>
      </c>
      <c r="C5717" t="s">
        <v>41</v>
      </c>
      <c r="D5717" s="1">
        <v>46210.34039351852</v>
      </c>
      <c r="E5717" t="s">
        <v>42</v>
      </c>
      <c r="F5717" t="s">
        <v>43</v>
      </c>
      <c r="G5717" t="s">
        <v>43</v>
      </c>
      <c r="H5717" t="s">
        <v>43</v>
      </c>
      <c r="I5717" t="s">
        <v>43</v>
      </c>
      <c r="J5717" t="s">
        <v>43</v>
      </c>
      <c r="K5717" t="s">
        <v>43</v>
      </c>
      <c r="L5717" t="s">
        <v>43</v>
      </c>
      <c r="M5717" t="s">
        <v>43</v>
      </c>
      <c r="N5717" t="s">
        <v>45</v>
      </c>
      <c r="O5717" t="s">
        <v>43</v>
      </c>
      <c r="P5717" t="s">
        <v>43</v>
      </c>
      <c r="Q5717" t="s">
        <v>43</v>
      </c>
      <c r="R5717" t="s">
        <v>43</v>
      </c>
      <c r="S5717" t="s">
        <v>43</v>
      </c>
      <c r="T5717" t="s">
        <v>43</v>
      </c>
      <c r="U5717" t="s">
        <v>43</v>
      </c>
      <c r="V5717" t="s">
        <v>43</v>
      </c>
      <c r="W5717" t="s">
        <v>43</v>
      </c>
      <c r="X5717" t="s">
        <v>43</v>
      </c>
      <c r="Y5717" t="s">
        <v>43</v>
      </c>
      <c r="Z5717" t="s">
        <v>43</v>
      </c>
      <c r="AA5717" t="s">
        <v>43</v>
      </c>
      <c r="AB5717" t="s">
        <v>43</v>
      </c>
      <c r="AC5717" t="s">
        <v>43</v>
      </c>
      <c r="AD5717" t="s">
        <v>43</v>
      </c>
      <c r="AE5717" t="s">
        <v>43</v>
      </c>
      <c r="AF5717" t="s">
        <v>43</v>
      </c>
      <c r="AG5717" t="s">
        <v>43</v>
      </c>
      <c r="AH5717" t="s">
        <v>43</v>
      </c>
      <c r="AI5717" t="s">
        <v>43</v>
      </c>
      <c r="AJ5717" t="s">
        <v>43</v>
      </c>
      <c r="AK5717" t="s">
        <v>43</v>
      </c>
      <c r="AL5717" t="s">
        <v>43</v>
      </c>
      <c r="AM5717" t="s">
        <v>43</v>
      </c>
      <c r="AN5717" t="s">
        <v>43</v>
      </c>
    </row>
    <row r="5718" spans="1:40" x14ac:dyDescent="0.3">
      <c r="A5718" s="1">
        <v>46210.337500000001</v>
      </c>
      <c r="B5718" t="s">
        <v>40</v>
      </c>
      <c r="C5718" t="s">
        <v>41</v>
      </c>
      <c r="D5718" s="1">
        <v>46210.340578703705</v>
      </c>
      <c r="E5718" t="s">
        <v>42</v>
      </c>
      <c r="F5718" t="s">
        <v>43</v>
      </c>
      <c r="G5718" t="s">
        <v>43</v>
      </c>
      <c r="H5718" t="s">
        <v>43</v>
      </c>
      <c r="I5718" t="s">
        <v>3240</v>
      </c>
      <c r="J5718" t="s">
        <v>43</v>
      </c>
      <c r="K5718" t="s">
        <v>43</v>
      </c>
      <c r="L5718" t="s">
        <v>43</v>
      </c>
      <c r="M5718" t="s">
        <v>43</v>
      </c>
      <c r="N5718" t="s">
        <v>45</v>
      </c>
      <c r="O5718" t="s">
        <v>43</v>
      </c>
      <c r="P5718" t="s">
        <v>43</v>
      </c>
      <c r="Q5718" t="s">
        <v>43</v>
      </c>
      <c r="R5718" t="s">
        <v>43</v>
      </c>
      <c r="S5718" t="s">
        <v>43</v>
      </c>
      <c r="T5718" t="s">
        <v>43</v>
      </c>
      <c r="U5718" t="s">
        <v>43</v>
      </c>
      <c r="V5718" t="s">
        <v>43</v>
      </c>
      <c r="W5718" t="s">
        <v>43</v>
      </c>
      <c r="X5718" t="s">
        <v>43</v>
      </c>
      <c r="Y5718" t="s">
        <v>43</v>
      </c>
      <c r="Z5718" t="s">
        <v>43</v>
      </c>
      <c r="AA5718" t="s">
        <v>43</v>
      </c>
      <c r="AB5718" t="s">
        <v>43</v>
      </c>
      <c r="AC5718" t="s">
        <v>43</v>
      </c>
      <c r="AD5718" t="s">
        <v>43</v>
      </c>
      <c r="AE5718" t="s">
        <v>43</v>
      </c>
      <c r="AF5718" t="s">
        <v>43</v>
      </c>
      <c r="AG5718" t="s">
        <v>43</v>
      </c>
      <c r="AH5718" t="s">
        <v>43</v>
      </c>
      <c r="AI5718" t="s">
        <v>43</v>
      </c>
      <c r="AJ5718" t="s">
        <v>43</v>
      </c>
      <c r="AK5718" t="s">
        <v>43</v>
      </c>
      <c r="AL5718" t="s">
        <v>43</v>
      </c>
      <c r="AM5718" t="s">
        <v>43</v>
      </c>
      <c r="AN5718" t="str">
        <f>HYPERLINK("https://www.google.com/maps?q=10.8331852,79.84575653","Open Location")</f>
        <v>Open Location</v>
      </c>
    </row>
    <row r="5719" spans="1:40" x14ac:dyDescent="0.3">
      <c r="A5719" s="1">
        <v>46210.337384259263</v>
      </c>
      <c r="B5719" t="s">
        <v>40</v>
      </c>
      <c r="C5719" t="s">
        <v>41</v>
      </c>
      <c r="D5719" s="1">
        <v>46210.340219907404</v>
      </c>
      <c r="E5719" t="s">
        <v>42</v>
      </c>
      <c r="F5719" t="s">
        <v>43</v>
      </c>
      <c r="G5719" t="s">
        <v>43</v>
      </c>
      <c r="H5719" t="s">
        <v>43</v>
      </c>
      <c r="I5719" t="s">
        <v>3241</v>
      </c>
      <c r="J5719" t="s">
        <v>43</v>
      </c>
      <c r="K5719" t="s">
        <v>43</v>
      </c>
      <c r="L5719" t="s">
        <v>43</v>
      </c>
      <c r="M5719" t="s">
        <v>43</v>
      </c>
      <c r="N5719" t="s">
        <v>45</v>
      </c>
      <c r="O5719" t="s">
        <v>43</v>
      </c>
      <c r="P5719" t="s">
        <v>43</v>
      </c>
      <c r="Q5719" t="s">
        <v>43</v>
      </c>
      <c r="R5719" t="s">
        <v>43</v>
      </c>
      <c r="S5719" t="s">
        <v>43</v>
      </c>
      <c r="T5719" t="s">
        <v>43</v>
      </c>
      <c r="U5719" t="s">
        <v>43</v>
      </c>
      <c r="V5719" t="s">
        <v>43</v>
      </c>
      <c r="W5719" t="s">
        <v>43</v>
      </c>
      <c r="X5719" t="s">
        <v>43</v>
      </c>
      <c r="Y5719" t="s">
        <v>43</v>
      </c>
      <c r="Z5719" t="s">
        <v>43</v>
      </c>
      <c r="AA5719" t="s">
        <v>43</v>
      </c>
      <c r="AB5719" t="s">
        <v>43</v>
      </c>
      <c r="AC5719" t="s">
        <v>43</v>
      </c>
      <c r="AD5719" t="s">
        <v>43</v>
      </c>
      <c r="AE5719" t="s">
        <v>43</v>
      </c>
      <c r="AF5719" t="s">
        <v>43</v>
      </c>
      <c r="AG5719" t="s">
        <v>43</v>
      </c>
      <c r="AH5719" t="s">
        <v>43</v>
      </c>
      <c r="AI5719" t="s">
        <v>43</v>
      </c>
      <c r="AJ5719" t="s">
        <v>43</v>
      </c>
      <c r="AK5719" t="s">
        <v>43</v>
      </c>
      <c r="AL5719" t="s">
        <v>43</v>
      </c>
      <c r="AM5719" t="s">
        <v>43</v>
      </c>
      <c r="AN5719" t="str">
        <f>HYPERLINK("https://www.google.com/maps?q=10.83318901,79.84575653","Open Location")</f>
        <v>Open Location</v>
      </c>
    </row>
    <row r="5720" spans="1:40" x14ac:dyDescent="0.3">
      <c r="A5720" s="1">
        <v>46210.337268518517</v>
      </c>
      <c r="B5720" t="s">
        <v>40</v>
      </c>
      <c r="C5720" t="s">
        <v>41</v>
      </c>
      <c r="D5720" s="1">
        <v>46210.340173611112</v>
      </c>
      <c r="E5720" t="s">
        <v>42</v>
      </c>
      <c r="F5720" t="s">
        <v>43</v>
      </c>
      <c r="G5720" t="s">
        <v>43</v>
      </c>
      <c r="H5720" t="s">
        <v>43</v>
      </c>
      <c r="I5720" t="s">
        <v>3242</v>
      </c>
      <c r="J5720" t="s">
        <v>43</v>
      </c>
      <c r="K5720" t="s">
        <v>43</v>
      </c>
      <c r="L5720" t="s">
        <v>43</v>
      </c>
      <c r="M5720" t="s">
        <v>43</v>
      </c>
      <c r="N5720" t="s">
        <v>45</v>
      </c>
      <c r="O5720" t="s">
        <v>43</v>
      </c>
      <c r="P5720" t="s">
        <v>43</v>
      </c>
      <c r="Q5720" t="s">
        <v>43</v>
      </c>
      <c r="R5720" t="s">
        <v>43</v>
      </c>
      <c r="S5720" t="s">
        <v>43</v>
      </c>
      <c r="T5720" t="s">
        <v>43</v>
      </c>
      <c r="U5720" t="s">
        <v>43</v>
      </c>
      <c r="V5720" t="s">
        <v>43</v>
      </c>
      <c r="W5720" t="s">
        <v>43</v>
      </c>
      <c r="X5720" t="s">
        <v>43</v>
      </c>
      <c r="Y5720" t="s">
        <v>43</v>
      </c>
      <c r="Z5720" t="s">
        <v>43</v>
      </c>
      <c r="AA5720" t="s">
        <v>43</v>
      </c>
      <c r="AB5720" t="s">
        <v>43</v>
      </c>
      <c r="AC5720" t="s">
        <v>43</v>
      </c>
      <c r="AD5720" t="s">
        <v>43</v>
      </c>
      <c r="AE5720" t="s">
        <v>43</v>
      </c>
      <c r="AF5720" t="s">
        <v>43</v>
      </c>
      <c r="AG5720" t="s">
        <v>43</v>
      </c>
      <c r="AH5720" t="s">
        <v>43</v>
      </c>
      <c r="AI5720" t="s">
        <v>43</v>
      </c>
      <c r="AJ5720" t="s">
        <v>43</v>
      </c>
      <c r="AK5720" t="s">
        <v>43</v>
      </c>
      <c r="AL5720" t="s">
        <v>43</v>
      </c>
      <c r="AM5720" t="s">
        <v>43</v>
      </c>
      <c r="AN5720" t="str">
        <f>HYPERLINK("https://www.google.com/maps?q=10.83319187,79.84577179","Open Location")</f>
        <v>Open Location</v>
      </c>
    </row>
    <row r="5721" spans="1:40" x14ac:dyDescent="0.3">
      <c r="A5721" s="1">
        <v>46210.337152777778</v>
      </c>
      <c r="B5721" t="s">
        <v>40</v>
      </c>
      <c r="C5721" t="s">
        <v>41</v>
      </c>
      <c r="D5721" s="1">
        <v>46210.339965277781</v>
      </c>
      <c r="E5721" t="s">
        <v>42</v>
      </c>
      <c r="F5721" t="s">
        <v>43</v>
      </c>
      <c r="G5721" t="s">
        <v>43</v>
      </c>
      <c r="H5721" t="s">
        <v>43</v>
      </c>
      <c r="I5721" t="s">
        <v>3243</v>
      </c>
      <c r="J5721" t="s">
        <v>43</v>
      </c>
      <c r="K5721" t="s">
        <v>43</v>
      </c>
      <c r="L5721" t="s">
        <v>43</v>
      </c>
      <c r="M5721" t="s">
        <v>43</v>
      </c>
      <c r="N5721" t="s">
        <v>45</v>
      </c>
      <c r="O5721" t="s">
        <v>43</v>
      </c>
      <c r="P5721" t="s">
        <v>43</v>
      </c>
      <c r="Q5721" t="s">
        <v>43</v>
      </c>
      <c r="R5721" t="s">
        <v>43</v>
      </c>
      <c r="S5721" t="s">
        <v>43</v>
      </c>
      <c r="T5721" t="s">
        <v>43</v>
      </c>
      <c r="U5721" t="s">
        <v>43</v>
      </c>
      <c r="V5721" t="s">
        <v>43</v>
      </c>
      <c r="W5721" t="s">
        <v>43</v>
      </c>
      <c r="X5721" t="s">
        <v>43</v>
      </c>
      <c r="Y5721" t="s">
        <v>43</v>
      </c>
      <c r="Z5721" t="s">
        <v>43</v>
      </c>
      <c r="AA5721" t="s">
        <v>43</v>
      </c>
      <c r="AB5721" t="s">
        <v>43</v>
      </c>
      <c r="AC5721" t="s">
        <v>43</v>
      </c>
      <c r="AD5721" t="s">
        <v>43</v>
      </c>
      <c r="AE5721" t="s">
        <v>43</v>
      </c>
      <c r="AF5721" t="s">
        <v>43</v>
      </c>
      <c r="AG5721" t="s">
        <v>43</v>
      </c>
      <c r="AH5721" t="s">
        <v>43</v>
      </c>
      <c r="AI5721" t="s">
        <v>43</v>
      </c>
      <c r="AJ5721" t="s">
        <v>43</v>
      </c>
      <c r="AK5721" t="s">
        <v>43</v>
      </c>
      <c r="AL5721" t="s">
        <v>43</v>
      </c>
      <c r="AM5721" t="s">
        <v>43</v>
      </c>
      <c r="AN5721" t="str">
        <f>HYPERLINK("https://www.google.com/maps?q=10.83319283,79.84577179","Open Location")</f>
        <v>Open Location</v>
      </c>
    </row>
    <row r="5722" spans="1:40" x14ac:dyDescent="0.3">
      <c r="A5722" s="1">
        <v>46210.337037037039</v>
      </c>
      <c r="B5722" t="s">
        <v>40</v>
      </c>
      <c r="C5722" t="s">
        <v>41</v>
      </c>
      <c r="D5722" s="1">
        <v>46210.339918981481</v>
      </c>
      <c r="E5722" t="s">
        <v>42</v>
      </c>
      <c r="F5722" t="s">
        <v>43</v>
      </c>
      <c r="G5722" t="s">
        <v>43</v>
      </c>
      <c r="H5722" t="s">
        <v>43</v>
      </c>
      <c r="I5722" t="s">
        <v>43</v>
      </c>
      <c r="J5722" t="s">
        <v>43</v>
      </c>
      <c r="K5722" t="s">
        <v>43</v>
      </c>
      <c r="L5722" t="s">
        <v>43</v>
      </c>
      <c r="M5722" t="s">
        <v>43</v>
      </c>
      <c r="N5722" t="s">
        <v>45</v>
      </c>
      <c r="O5722" t="s">
        <v>43</v>
      </c>
      <c r="P5722" t="s">
        <v>43</v>
      </c>
      <c r="Q5722" t="s">
        <v>43</v>
      </c>
      <c r="R5722" t="s">
        <v>43</v>
      </c>
      <c r="S5722" t="s">
        <v>43</v>
      </c>
      <c r="T5722" t="s">
        <v>43</v>
      </c>
      <c r="U5722" t="s">
        <v>43</v>
      </c>
      <c r="V5722" t="s">
        <v>43</v>
      </c>
      <c r="W5722" t="s">
        <v>43</v>
      </c>
      <c r="X5722" t="s">
        <v>43</v>
      </c>
      <c r="Y5722" t="s">
        <v>43</v>
      </c>
      <c r="Z5722" t="s">
        <v>43</v>
      </c>
      <c r="AA5722" t="s">
        <v>43</v>
      </c>
      <c r="AB5722" t="s">
        <v>43</v>
      </c>
      <c r="AC5722" t="s">
        <v>43</v>
      </c>
      <c r="AD5722" t="s">
        <v>43</v>
      </c>
      <c r="AE5722" t="s">
        <v>43</v>
      </c>
      <c r="AF5722" t="s">
        <v>43</v>
      </c>
      <c r="AG5722" t="s">
        <v>43</v>
      </c>
      <c r="AH5722" t="s">
        <v>43</v>
      </c>
      <c r="AI5722" t="s">
        <v>43</v>
      </c>
      <c r="AJ5722" t="s">
        <v>43</v>
      </c>
      <c r="AK5722" t="s">
        <v>43</v>
      </c>
      <c r="AL5722" t="s">
        <v>43</v>
      </c>
      <c r="AM5722" t="s">
        <v>43</v>
      </c>
      <c r="AN5722" t="s">
        <v>43</v>
      </c>
    </row>
    <row r="5723" spans="1:40" x14ac:dyDescent="0.3">
      <c r="A5723" s="1">
        <v>46210.336921296293</v>
      </c>
      <c r="B5723" t="s">
        <v>40</v>
      </c>
      <c r="C5723" t="s">
        <v>41</v>
      </c>
      <c r="D5723" s="1">
        <v>46210.33966435185</v>
      </c>
      <c r="E5723" t="s">
        <v>42</v>
      </c>
      <c r="F5723" t="s">
        <v>43</v>
      </c>
      <c r="G5723" t="s">
        <v>43</v>
      </c>
      <c r="H5723" t="s">
        <v>43</v>
      </c>
      <c r="I5723" t="s">
        <v>3244</v>
      </c>
      <c r="J5723" t="s">
        <v>43</v>
      </c>
      <c r="K5723" t="s">
        <v>43</v>
      </c>
      <c r="L5723" t="s">
        <v>43</v>
      </c>
      <c r="M5723" t="s">
        <v>43</v>
      </c>
      <c r="N5723" t="s">
        <v>45</v>
      </c>
      <c r="O5723" t="s">
        <v>43</v>
      </c>
      <c r="P5723" t="s">
        <v>43</v>
      </c>
      <c r="Q5723" t="s">
        <v>43</v>
      </c>
      <c r="R5723" t="s">
        <v>43</v>
      </c>
      <c r="S5723" t="s">
        <v>43</v>
      </c>
      <c r="T5723" t="s">
        <v>43</v>
      </c>
      <c r="U5723" t="s">
        <v>43</v>
      </c>
      <c r="V5723" t="s">
        <v>43</v>
      </c>
      <c r="W5723" t="s">
        <v>43</v>
      </c>
      <c r="X5723" t="s">
        <v>43</v>
      </c>
      <c r="Y5723" t="s">
        <v>43</v>
      </c>
      <c r="Z5723" t="s">
        <v>43</v>
      </c>
      <c r="AA5723" t="s">
        <v>43</v>
      </c>
      <c r="AB5723" t="s">
        <v>43</v>
      </c>
      <c r="AC5723" t="s">
        <v>43</v>
      </c>
      <c r="AD5723" t="s">
        <v>43</v>
      </c>
      <c r="AE5723" t="s">
        <v>43</v>
      </c>
      <c r="AF5723" t="s">
        <v>43</v>
      </c>
      <c r="AG5723" t="s">
        <v>43</v>
      </c>
      <c r="AH5723" t="s">
        <v>43</v>
      </c>
      <c r="AI5723" t="s">
        <v>43</v>
      </c>
      <c r="AJ5723" t="s">
        <v>43</v>
      </c>
      <c r="AK5723" t="s">
        <v>43</v>
      </c>
      <c r="AL5723" t="s">
        <v>43</v>
      </c>
      <c r="AM5723" t="s">
        <v>43</v>
      </c>
      <c r="AN5723" t="str">
        <f>HYPERLINK("https://www.google.com/maps?q=10.83319283,79.84575653","Open Location")</f>
        <v>Open Location</v>
      </c>
    </row>
    <row r="5724" spans="1:40" x14ac:dyDescent="0.3">
      <c r="A5724" s="1">
        <v>46210.336805555555</v>
      </c>
      <c r="B5724" t="s">
        <v>40</v>
      </c>
      <c r="C5724" t="s">
        <v>41</v>
      </c>
      <c r="D5724" s="1">
        <v>46210.339837962965</v>
      </c>
      <c r="E5724" t="s">
        <v>42</v>
      </c>
      <c r="F5724" t="s">
        <v>43</v>
      </c>
      <c r="G5724" t="s">
        <v>43</v>
      </c>
      <c r="H5724" t="s">
        <v>43</v>
      </c>
      <c r="I5724" t="s">
        <v>3244</v>
      </c>
      <c r="J5724" t="s">
        <v>43</v>
      </c>
      <c r="K5724" t="s">
        <v>43</v>
      </c>
      <c r="L5724" t="s">
        <v>43</v>
      </c>
      <c r="M5724" t="s">
        <v>43</v>
      </c>
      <c r="N5724" t="s">
        <v>45</v>
      </c>
      <c r="O5724" t="s">
        <v>43</v>
      </c>
      <c r="P5724" t="s">
        <v>43</v>
      </c>
      <c r="Q5724" t="s">
        <v>43</v>
      </c>
      <c r="R5724" t="s">
        <v>43</v>
      </c>
      <c r="S5724" t="s">
        <v>43</v>
      </c>
      <c r="T5724" t="s">
        <v>43</v>
      </c>
      <c r="U5724" t="s">
        <v>43</v>
      </c>
      <c r="V5724" t="s">
        <v>43</v>
      </c>
      <c r="W5724" t="s">
        <v>43</v>
      </c>
      <c r="X5724" t="s">
        <v>43</v>
      </c>
      <c r="Y5724" t="s">
        <v>43</v>
      </c>
      <c r="Z5724" t="s">
        <v>43</v>
      </c>
      <c r="AA5724" t="s">
        <v>43</v>
      </c>
      <c r="AB5724" t="s">
        <v>43</v>
      </c>
      <c r="AC5724" t="s">
        <v>43</v>
      </c>
      <c r="AD5724" t="s">
        <v>43</v>
      </c>
      <c r="AE5724" t="s">
        <v>43</v>
      </c>
      <c r="AF5724" t="s">
        <v>43</v>
      </c>
      <c r="AG5724" t="s">
        <v>43</v>
      </c>
      <c r="AH5724" t="s">
        <v>43</v>
      </c>
      <c r="AI5724" t="s">
        <v>43</v>
      </c>
      <c r="AJ5724" t="s">
        <v>43</v>
      </c>
      <c r="AK5724" t="s">
        <v>43</v>
      </c>
      <c r="AL5724" t="s">
        <v>43</v>
      </c>
      <c r="AM5724" t="s">
        <v>43</v>
      </c>
      <c r="AN5724" t="str">
        <f>HYPERLINK("https://www.google.com/maps?q=10.83319283,79.84575653","Open Location")</f>
        <v>Open Location</v>
      </c>
    </row>
    <row r="5725" spans="1:40" x14ac:dyDescent="0.3">
      <c r="A5725" s="1">
        <v>46210.336689814816</v>
      </c>
      <c r="B5725" t="s">
        <v>40</v>
      </c>
      <c r="C5725" t="s">
        <v>41</v>
      </c>
      <c r="D5725" s="1">
        <v>46210.33966435185</v>
      </c>
      <c r="E5725" t="s">
        <v>42</v>
      </c>
      <c r="F5725" t="s">
        <v>43</v>
      </c>
      <c r="G5725" t="s">
        <v>43</v>
      </c>
      <c r="H5725" t="s">
        <v>43</v>
      </c>
      <c r="I5725" t="s">
        <v>3245</v>
      </c>
      <c r="J5725" t="s">
        <v>43</v>
      </c>
      <c r="K5725" t="s">
        <v>43</v>
      </c>
      <c r="L5725" t="s">
        <v>43</v>
      </c>
      <c r="M5725" t="s">
        <v>43</v>
      </c>
      <c r="N5725" t="s">
        <v>45</v>
      </c>
      <c r="O5725" t="s">
        <v>43</v>
      </c>
      <c r="P5725" t="s">
        <v>43</v>
      </c>
      <c r="Q5725" t="s">
        <v>43</v>
      </c>
      <c r="R5725" t="s">
        <v>43</v>
      </c>
      <c r="S5725" t="s">
        <v>43</v>
      </c>
      <c r="T5725" t="s">
        <v>43</v>
      </c>
      <c r="U5725" t="s">
        <v>43</v>
      </c>
      <c r="V5725" t="s">
        <v>43</v>
      </c>
      <c r="W5725" t="s">
        <v>43</v>
      </c>
      <c r="X5725" t="s">
        <v>43</v>
      </c>
      <c r="Y5725" t="s">
        <v>43</v>
      </c>
      <c r="Z5725" t="s">
        <v>43</v>
      </c>
      <c r="AA5725" t="s">
        <v>43</v>
      </c>
      <c r="AB5725" t="s">
        <v>43</v>
      </c>
      <c r="AC5725" t="s">
        <v>43</v>
      </c>
      <c r="AD5725" t="s">
        <v>43</v>
      </c>
      <c r="AE5725" t="s">
        <v>43</v>
      </c>
      <c r="AF5725" t="s">
        <v>43</v>
      </c>
      <c r="AG5725" t="s">
        <v>43</v>
      </c>
      <c r="AH5725" t="s">
        <v>43</v>
      </c>
      <c r="AI5725" t="s">
        <v>43</v>
      </c>
      <c r="AJ5725" t="s">
        <v>43</v>
      </c>
      <c r="AK5725" t="s">
        <v>43</v>
      </c>
      <c r="AL5725" t="s">
        <v>43</v>
      </c>
      <c r="AM5725" t="s">
        <v>43</v>
      </c>
      <c r="AN5725" t="str">
        <f>HYPERLINK("https://www.google.com/maps?q=10.83318806,79.84575653","Open Location")</f>
        <v>Open Location</v>
      </c>
    </row>
    <row r="5726" spans="1:40" x14ac:dyDescent="0.3">
      <c r="A5726" s="1">
        <v>46210.336574074077</v>
      </c>
      <c r="B5726" t="s">
        <v>40</v>
      </c>
      <c r="C5726" t="s">
        <v>41</v>
      </c>
      <c r="D5726" s="1">
        <v>46210.339560185188</v>
      </c>
      <c r="E5726" t="s">
        <v>42</v>
      </c>
      <c r="F5726" t="s">
        <v>43</v>
      </c>
      <c r="G5726" t="s">
        <v>43</v>
      </c>
      <c r="H5726" t="s">
        <v>43</v>
      </c>
      <c r="I5726" t="s">
        <v>3246</v>
      </c>
      <c r="J5726" t="s">
        <v>43</v>
      </c>
      <c r="K5726" t="s">
        <v>43</v>
      </c>
      <c r="L5726" t="s">
        <v>43</v>
      </c>
      <c r="M5726" t="s">
        <v>43</v>
      </c>
      <c r="N5726" t="s">
        <v>45</v>
      </c>
      <c r="O5726" t="s">
        <v>43</v>
      </c>
      <c r="P5726" t="s">
        <v>43</v>
      </c>
      <c r="Q5726" t="s">
        <v>43</v>
      </c>
      <c r="R5726" t="s">
        <v>43</v>
      </c>
      <c r="S5726" t="s">
        <v>43</v>
      </c>
      <c r="T5726" t="s">
        <v>43</v>
      </c>
      <c r="U5726" t="s">
        <v>43</v>
      </c>
      <c r="V5726" t="s">
        <v>43</v>
      </c>
      <c r="W5726" t="s">
        <v>43</v>
      </c>
      <c r="X5726" t="s">
        <v>43</v>
      </c>
      <c r="Y5726" t="s">
        <v>43</v>
      </c>
      <c r="Z5726" t="s">
        <v>43</v>
      </c>
      <c r="AA5726" t="s">
        <v>43</v>
      </c>
      <c r="AB5726" t="s">
        <v>43</v>
      </c>
      <c r="AC5726" t="s">
        <v>43</v>
      </c>
      <c r="AD5726" t="s">
        <v>43</v>
      </c>
      <c r="AE5726" t="s">
        <v>43</v>
      </c>
      <c r="AF5726" t="s">
        <v>43</v>
      </c>
      <c r="AG5726" t="s">
        <v>43</v>
      </c>
      <c r="AH5726" t="s">
        <v>43</v>
      </c>
      <c r="AI5726" t="s">
        <v>43</v>
      </c>
      <c r="AJ5726" t="s">
        <v>43</v>
      </c>
      <c r="AK5726" t="s">
        <v>43</v>
      </c>
      <c r="AL5726" t="s">
        <v>43</v>
      </c>
      <c r="AM5726" t="s">
        <v>43</v>
      </c>
      <c r="AN5726" t="str">
        <f>HYPERLINK("https://www.google.com/maps?q=10.83318615,79.8457489","Open Location")</f>
        <v>Open Location</v>
      </c>
    </row>
    <row r="5727" spans="1:40" x14ac:dyDescent="0.3">
      <c r="A5727" s="1">
        <v>46210.336458333331</v>
      </c>
      <c r="B5727" t="s">
        <v>40</v>
      </c>
      <c r="C5727" t="s">
        <v>41</v>
      </c>
      <c r="D5727" s="1">
        <v>46210.339236111111</v>
      </c>
      <c r="E5727" t="s">
        <v>42</v>
      </c>
      <c r="F5727" t="s">
        <v>43</v>
      </c>
      <c r="G5727" t="s">
        <v>43</v>
      </c>
      <c r="H5727" t="s">
        <v>43</v>
      </c>
      <c r="I5727" t="s">
        <v>3247</v>
      </c>
      <c r="J5727" t="s">
        <v>43</v>
      </c>
      <c r="K5727" t="s">
        <v>43</v>
      </c>
      <c r="L5727" t="s">
        <v>43</v>
      </c>
      <c r="M5727" t="s">
        <v>43</v>
      </c>
      <c r="N5727" t="s">
        <v>45</v>
      </c>
      <c r="O5727" t="s">
        <v>43</v>
      </c>
      <c r="P5727" t="s">
        <v>43</v>
      </c>
      <c r="Q5727" t="s">
        <v>43</v>
      </c>
      <c r="R5727" t="s">
        <v>43</v>
      </c>
      <c r="S5727" t="s">
        <v>43</v>
      </c>
      <c r="T5727" t="s">
        <v>43</v>
      </c>
      <c r="U5727" t="s">
        <v>43</v>
      </c>
      <c r="V5727" t="s">
        <v>43</v>
      </c>
      <c r="W5727" t="s">
        <v>43</v>
      </c>
      <c r="X5727" t="s">
        <v>43</v>
      </c>
      <c r="Y5727" t="s">
        <v>43</v>
      </c>
      <c r="Z5727" t="s">
        <v>43</v>
      </c>
      <c r="AA5727" t="s">
        <v>43</v>
      </c>
      <c r="AB5727" t="s">
        <v>43</v>
      </c>
      <c r="AC5727" t="s">
        <v>43</v>
      </c>
      <c r="AD5727" t="s">
        <v>43</v>
      </c>
      <c r="AE5727" t="s">
        <v>43</v>
      </c>
      <c r="AF5727" t="s">
        <v>43</v>
      </c>
      <c r="AG5727" t="s">
        <v>43</v>
      </c>
      <c r="AH5727" t="s">
        <v>43</v>
      </c>
      <c r="AI5727" t="s">
        <v>43</v>
      </c>
      <c r="AJ5727" t="s">
        <v>43</v>
      </c>
      <c r="AK5727" t="s">
        <v>43</v>
      </c>
      <c r="AL5727" t="s">
        <v>43</v>
      </c>
      <c r="AM5727" t="s">
        <v>43</v>
      </c>
      <c r="AN5727" t="str">
        <f>HYPERLINK("https://www.google.com/maps?q=10.83318329,79.8457489","Open Location")</f>
        <v>Open Location</v>
      </c>
    </row>
    <row r="5728" spans="1:40" x14ac:dyDescent="0.3">
      <c r="A5728" s="1">
        <v>46210.336342592593</v>
      </c>
      <c r="B5728" t="s">
        <v>40</v>
      </c>
      <c r="C5728" t="s">
        <v>41</v>
      </c>
      <c r="D5728" s="1">
        <v>46210.339305555557</v>
      </c>
      <c r="E5728" t="s">
        <v>42</v>
      </c>
      <c r="F5728" t="s">
        <v>43</v>
      </c>
      <c r="G5728" t="s">
        <v>43</v>
      </c>
      <c r="H5728" t="s">
        <v>43</v>
      </c>
      <c r="I5728" t="s">
        <v>43</v>
      </c>
      <c r="J5728" t="s">
        <v>43</v>
      </c>
      <c r="K5728" t="s">
        <v>43</v>
      </c>
      <c r="L5728" t="s">
        <v>43</v>
      </c>
      <c r="M5728" t="s">
        <v>43</v>
      </c>
      <c r="N5728" t="s">
        <v>45</v>
      </c>
      <c r="O5728" t="s">
        <v>43</v>
      </c>
      <c r="P5728" t="s">
        <v>43</v>
      </c>
      <c r="Q5728" t="s">
        <v>43</v>
      </c>
      <c r="R5728" t="s">
        <v>43</v>
      </c>
      <c r="S5728" t="s">
        <v>43</v>
      </c>
      <c r="T5728" t="s">
        <v>43</v>
      </c>
      <c r="U5728" t="s">
        <v>43</v>
      </c>
      <c r="V5728" t="s">
        <v>43</v>
      </c>
      <c r="W5728" t="s">
        <v>43</v>
      </c>
      <c r="X5728" t="s">
        <v>43</v>
      </c>
      <c r="Y5728" t="s">
        <v>43</v>
      </c>
      <c r="Z5728" t="s">
        <v>43</v>
      </c>
      <c r="AA5728" t="s">
        <v>43</v>
      </c>
      <c r="AB5728" t="s">
        <v>43</v>
      </c>
      <c r="AC5728" t="s">
        <v>43</v>
      </c>
      <c r="AD5728" t="s">
        <v>43</v>
      </c>
      <c r="AE5728" t="s">
        <v>43</v>
      </c>
      <c r="AF5728" t="s">
        <v>43</v>
      </c>
      <c r="AG5728" t="s">
        <v>43</v>
      </c>
      <c r="AH5728" t="s">
        <v>43</v>
      </c>
      <c r="AI5728" t="s">
        <v>43</v>
      </c>
      <c r="AJ5728" t="s">
        <v>43</v>
      </c>
      <c r="AK5728" t="s">
        <v>43</v>
      </c>
      <c r="AL5728" t="s">
        <v>43</v>
      </c>
      <c r="AM5728" t="s">
        <v>43</v>
      </c>
      <c r="AN5728" t="s">
        <v>43</v>
      </c>
    </row>
    <row r="5729" spans="1:40" x14ac:dyDescent="0.3">
      <c r="A5729" s="1">
        <v>46210.336226851854</v>
      </c>
      <c r="B5729" t="s">
        <v>40</v>
      </c>
      <c r="C5729" t="s">
        <v>41</v>
      </c>
      <c r="D5729" s="1">
        <v>46210.339236111111</v>
      </c>
      <c r="E5729" t="s">
        <v>42</v>
      </c>
      <c r="F5729" t="s">
        <v>43</v>
      </c>
      <c r="G5729" t="s">
        <v>43</v>
      </c>
      <c r="H5729" t="s">
        <v>43</v>
      </c>
      <c r="I5729" t="s">
        <v>3248</v>
      </c>
      <c r="J5729" t="s">
        <v>43</v>
      </c>
      <c r="K5729" t="s">
        <v>43</v>
      </c>
      <c r="L5729" t="s">
        <v>43</v>
      </c>
      <c r="M5729" t="s">
        <v>43</v>
      </c>
      <c r="N5729" t="s">
        <v>45</v>
      </c>
      <c r="O5729" t="s">
        <v>43</v>
      </c>
      <c r="P5729" t="s">
        <v>43</v>
      </c>
      <c r="Q5729" t="s">
        <v>43</v>
      </c>
      <c r="R5729" t="s">
        <v>43</v>
      </c>
      <c r="S5729" t="s">
        <v>43</v>
      </c>
      <c r="T5729" t="s">
        <v>43</v>
      </c>
      <c r="U5729" t="s">
        <v>43</v>
      </c>
      <c r="V5729" t="s">
        <v>43</v>
      </c>
      <c r="W5729" t="s">
        <v>43</v>
      </c>
      <c r="X5729" t="s">
        <v>43</v>
      </c>
      <c r="Y5729" t="s">
        <v>43</v>
      </c>
      <c r="Z5729" t="s">
        <v>43</v>
      </c>
      <c r="AA5729" t="s">
        <v>43</v>
      </c>
      <c r="AB5729" t="s">
        <v>43</v>
      </c>
      <c r="AC5729" t="s">
        <v>43</v>
      </c>
      <c r="AD5729" t="s">
        <v>43</v>
      </c>
      <c r="AE5729" t="s">
        <v>43</v>
      </c>
      <c r="AF5729" t="s">
        <v>43</v>
      </c>
      <c r="AG5729" t="s">
        <v>43</v>
      </c>
      <c r="AH5729" t="s">
        <v>43</v>
      </c>
      <c r="AI5729" t="s">
        <v>43</v>
      </c>
      <c r="AJ5729" t="s">
        <v>43</v>
      </c>
      <c r="AK5729" t="s">
        <v>43</v>
      </c>
      <c r="AL5729" t="s">
        <v>43</v>
      </c>
      <c r="AM5729" t="s">
        <v>43</v>
      </c>
      <c r="AN5729" t="str">
        <f>HYPERLINK("https://www.google.com/maps?q=10.83318233,79.8457489","Open Location")</f>
        <v>Open Location</v>
      </c>
    </row>
    <row r="5730" spans="1:40" x14ac:dyDescent="0.3">
      <c r="A5730" s="1">
        <v>46210.336111111108</v>
      </c>
      <c r="B5730" t="s">
        <v>40</v>
      </c>
      <c r="C5730" t="s">
        <v>41</v>
      </c>
      <c r="D5730" s="1">
        <v>46210.339201388888</v>
      </c>
      <c r="E5730" t="s">
        <v>42</v>
      </c>
      <c r="F5730" t="s">
        <v>43</v>
      </c>
      <c r="G5730" t="s">
        <v>43</v>
      </c>
      <c r="H5730" t="s">
        <v>43</v>
      </c>
      <c r="I5730" t="s">
        <v>3249</v>
      </c>
      <c r="J5730" t="s">
        <v>43</v>
      </c>
      <c r="K5730" t="s">
        <v>43</v>
      </c>
      <c r="L5730" t="s">
        <v>43</v>
      </c>
      <c r="M5730" t="s">
        <v>43</v>
      </c>
      <c r="N5730" t="s">
        <v>45</v>
      </c>
      <c r="O5730" t="s">
        <v>43</v>
      </c>
      <c r="P5730" t="s">
        <v>43</v>
      </c>
      <c r="Q5730" t="s">
        <v>43</v>
      </c>
      <c r="R5730" t="s">
        <v>43</v>
      </c>
      <c r="S5730" t="s">
        <v>43</v>
      </c>
      <c r="T5730" t="s">
        <v>43</v>
      </c>
      <c r="U5730" t="s">
        <v>43</v>
      </c>
      <c r="V5730" t="s">
        <v>43</v>
      </c>
      <c r="W5730" t="s">
        <v>43</v>
      </c>
      <c r="X5730" t="s">
        <v>43</v>
      </c>
      <c r="Y5730" t="s">
        <v>43</v>
      </c>
      <c r="Z5730" t="s">
        <v>43</v>
      </c>
      <c r="AA5730" t="s">
        <v>43</v>
      </c>
      <c r="AB5730" t="s">
        <v>43</v>
      </c>
      <c r="AC5730" t="s">
        <v>43</v>
      </c>
      <c r="AD5730" t="s">
        <v>43</v>
      </c>
      <c r="AE5730" t="s">
        <v>43</v>
      </c>
      <c r="AF5730" t="s">
        <v>43</v>
      </c>
      <c r="AG5730" t="s">
        <v>43</v>
      </c>
      <c r="AH5730" t="s">
        <v>43</v>
      </c>
      <c r="AI5730" t="s">
        <v>43</v>
      </c>
      <c r="AJ5730" t="s">
        <v>43</v>
      </c>
      <c r="AK5730" t="s">
        <v>43</v>
      </c>
      <c r="AL5730" t="s">
        <v>43</v>
      </c>
      <c r="AM5730" t="s">
        <v>43</v>
      </c>
      <c r="AN5730" t="str">
        <f>HYPERLINK("https://www.google.com/maps?q=10.83318233,79.84574127","Open Location")</f>
        <v>Open Location</v>
      </c>
    </row>
    <row r="5731" spans="1:40" x14ac:dyDescent="0.3">
      <c r="A5731" s="1">
        <v>46210.335995370369</v>
      </c>
      <c r="B5731" t="s">
        <v>40</v>
      </c>
      <c r="C5731" t="s">
        <v>41</v>
      </c>
      <c r="D5731" s="1">
        <v>46210.338796296295</v>
      </c>
      <c r="E5731" t="s">
        <v>42</v>
      </c>
      <c r="F5731" t="s">
        <v>43</v>
      </c>
      <c r="G5731" t="s">
        <v>43</v>
      </c>
      <c r="H5731" t="s">
        <v>43</v>
      </c>
      <c r="I5731" t="s">
        <v>3250</v>
      </c>
      <c r="J5731" t="s">
        <v>43</v>
      </c>
      <c r="K5731" t="s">
        <v>43</v>
      </c>
      <c r="L5731" t="s">
        <v>43</v>
      </c>
      <c r="M5731" t="s">
        <v>43</v>
      </c>
      <c r="N5731" t="s">
        <v>45</v>
      </c>
      <c r="O5731" t="s">
        <v>43</v>
      </c>
      <c r="P5731" t="s">
        <v>43</v>
      </c>
      <c r="Q5731" t="s">
        <v>43</v>
      </c>
      <c r="R5731" t="s">
        <v>43</v>
      </c>
      <c r="S5731" t="s">
        <v>43</v>
      </c>
      <c r="T5731" t="s">
        <v>43</v>
      </c>
      <c r="U5731" t="s">
        <v>43</v>
      </c>
      <c r="V5731" t="s">
        <v>43</v>
      </c>
      <c r="W5731" t="s">
        <v>43</v>
      </c>
      <c r="X5731" t="s">
        <v>43</v>
      </c>
      <c r="Y5731" t="s">
        <v>43</v>
      </c>
      <c r="Z5731" t="s">
        <v>43</v>
      </c>
      <c r="AA5731" t="s">
        <v>43</v>
      </c>
      <c r="AB5731" t="s">
        <v>43</v>
      </c>
      <c r="AC5731" t="s">
        <v>43</v>
      </c>
      <c r="AD5731" t="s">
        <v>43</v>
      </c>
      <c r="AE5731" t="s">
        <v>43</v>
      </c>
      <c r="AF5731" t="s">
        <v>43</v>
      </c>
      <c r="AG5731" t="s">
        <v>43</v>
      </c>
      <c r="AH5731" t="s">
        <v>43</v>
      </c>
      <c r="AI5731" t="s">
        <v>43</v>
      </c>
      <c r="AJ5731" t="s">
        <v>43</v>
      </c>
      <c r="AK5731" t="s">
        <v>43</v>
      </c>
      <c r="AL5731" t="s">
        <v>43</v>
      </c>
      <c r="AM5731" t="s">
        <v>43</v>
      </c>
      <c r="AN5731" t="str">
        <f>HYPERLINK("https://www.google.com/maps?q=10.83317947,79.8457489","Open Location")</f>
        <v>Open Location</v>
      </c>
    </row>
    <row r="5732" spans="1:40" x14ac:dyDescent="0.3">
      <c r="A5732" s="1">
        <v>46210.335879629631</v>
      </c>
      <c r="B5732" t="s">
        <v>40</v>
      </c>
      <c r="C5732" t="s">
        <v>41</v>
      </c>
      <c r="D5732" s="1">
        <v>46210.339074074072</v>
      </c>
      <c r="E5732" t="s">
        <v>42</v>
      </c>
      <c r="F5732" t="s">
        <v>43</v>
      </c>
      <c r="G5732" t="s">
        <v>43</v>
      </c>
      <c r="H5732" t="s">
        <v>43</v>
      </c>
      <c r="I5732" t="s">
        <v>3251</v>
      </c>
      <c r="J5732" t="s">
        <v>43</v>
      </c>
      <c r="K5732" t="s">
        <v>43</v>
      </c>
      <c r="L5732" t="s">
        <v>43</v>
      </c>
      <c r="M5732" t="s">
        <v>43</v>
      </c>
      <c r="N5732" t="s">
        <v>45</v>
      </c>
      <c r="O5732" t="s">
        <v>43</v>
      </c>
      <c r="P5732" t="s">
        <v>43</v>
      </c>
      <c r="Q5732" t="s">
        <v>43</v>
      </c>
      <c r="R5732" t="s">
        <v>43</v>
      </c>
      <c r="S5732" t="s">
        <v>43</v>
      </c>
      <c r="T5732" t="s">
        <v>43</v>
      </c>
      <c r="U5732" t="s">
        <v>43</v>
      </c>
      <c r="V5732" t="s">
        <v>43</v>
      </c>
      <c r="W5732" t="s">
        <v>43</v>
      </c>
      <c r="X5732" t="s">
        <v>43</v>
      </c>
      <c r="Y5732" t="s">
        <v>43</v>
      </c>
      <c r="Z5732" t="s">
        <v>43</v>
      </c>
      <c r="AA5732" t="s">
        <v>43</v>
      </c>
      <c r="AB5732" t="s">
        <v>43</v>
      </c>
      <c r="AC5732" t="s">
        <v>43</v>
      </c>
      <c r="AD5732" t="s">
        <v>43</v>
      </c>
      <c r="AE5732" t="s">
        <v>43</v>
      </c>
      <c r="AF5732" t="s">
        <v>43</v>
      </c>
      <c r="AG5732" t="s">
        <v>43</v>
      </c>
      <c r="AH5732" t="s">
        <v>43</v>
      </c>
      <c r="AI5732" t="s">
        <v>43</v>
      </c>
      <c r="AJ5732" t="s">
        <v>43</v>
      </c>
      <c r="AK5732" t="s">
        <v>43</v>
      </c>
      <c r="AL5732" t="s">
        <v>43</v>
      </c>
      <c r="AM5732" t="s">
        <v>43</v>
      </c>
      <c r="AN5732" t="str">
        <f>HYPERLINK("https://www.google.com/maps?q=10.83318043,79.8457489","Open Location")</f>
        <v>Open Location</v>
      </c>
    </row>
    <row r="5733" spans="1:40" x14ac:dyDescent="0.3">
      <c r="A5733" s="1">
        <v>46210.335763888892</v>
      </c>
      <c r="B5733" t="s">
        <v>40</v>
      </c>
      <c r="C5733" t="s">
        <v>41</v>
      </c>
      <c r="D5733" s="1">
        <v>46210.338645833333</v>
      </c>
      <c r="E5733" t="s">
        <v>42</v>
      </c>
      <c r="F5733" t="s">
        <v>43</v>
      </c>
      <c r="G5733" t="s">
        <v>43</v>
      </c>
      <c r="H5733" t="s">
        <v>43</v>
      </c>
      <c r="I5733" t="s">
        <v>3239</v>
      </c>
      <c r="J5733" t="s">
        <v>43</v>
      </c>
      <c r="K5733" t="s">
        <v>43</v>
      </c>
      <c r="L5733" t="s">
        <v>43</v>
      </c>
      <c r="M5733" t="s">
        <v>43</v>
      </c>
      <c r="N5733" t="s">
        <v>45</v>
      </c>
      <c r="O5733" t="s">
        <v>43</v>
      </c>
      <c r="P5733" t="s">
        <v>43</v>
      </c>
      <c r="Q5733" t="s">
        <v>43</v>
      </c>
      <c r="R5733" t="s">
        <v>43</v>
      </c>
      <c r="S5733" t="s">
        <v>43</v>
      </c>
      <c r="T5733" t="s">
        <v>43</v>
      </c>
      <c r="U5733" t="s">
        <v>43</v>
      </c>
      <c r="V5733" t="s">
        <v>43</v>
      </c>
      <c r="W5733" t="s">
        <v>43</v>
      </c>
      <c r="X5733" t="s">
        <v>43</v>
      </c>
      <c r="Y5733" t="s">
        <v>43</v>
      </c>
      <c r="Z5733" t="s">
        <v>43</v>
      </c>
      <c r="AA5733" t="s">
        <v>43</v>
      </c>
      <c r="AB5733" t="s">
        <v>43</v>
      </c>
      <c r="AC5733" t="s">
        <v>43</v>
      </c>
      <c r="AD5733" t="s">
        <v>43</v>
      </c>
      <c r="AE5733" t="s">
        <v>43</v>
      </c>
      <c r="AF5733" t="s">
        <v>43</v>
      </c>
      <c r="AG5733" t="s">
        <v>43</v>
      </c>
      <c r="AH5733" t="s">
        <v>43</v>
      </c>
      <c r="AI5733" t="s">
        <v>43</v>
      </c>
      <c r="AJ5733" t="s">
        <v>43</v>
      </c>
      <c r="AK5733" t="s">
        <v>43</v>
      </c>
      <c r="AL5733" t="s">
        <v>43</v>
      </c>
      <c r="AM5733" t="s">
        <v>43</v>
      </c>
      <c r="AN5733" t="str">
        <f>HYPERLINK("https://www.google.com/maps?q=10.83317757,79.84575653","Open Location")</f>
        <v>Open Location</v>
      </c>
    </row>
    <row r="5734" spans="1:40" x14ac:dyDescent="0.3">
      <c r="A5734" s="1">
        <v>46210.335648148146</v>
      </c>
      <c r="B5734" t="s">
        <v>40</v>
      </c>
      <c r="C5734" t="s">
        <v>41</v>
      </c>
      <c r="D5734" s="1">
        <v>46210.338935185187</v>
      </c>
      <c r="E5734" t="s">
        <v>42</v>
      </c>
      <c r="F5734" t="s">
        <v>43</v>
      </c>
      <c r="G5734" t="s">
        <v>43</v>
      </c>
      <c r="H5734" t="s">
        <v>43</v>
      </c>
      <c r="I5734" t="s">
        <v>43</v>
      </c>
      <c r="J5734" t="s">
        <v>43</v>
      </c>
      <c r="K5734" t="s">
        <v>43</v>
      </c>
      <c r="L5734" t="s">
        <v>43</v>
      </c>
      <c r="M5734" t="s">
        <v>43</v>
      </c>
      <c r="N5734" t="s">
        <v>45</v>
      </c>
      <c r="O5734" t="s">
        <v>43</v>
      </c>
      <c r="P5734" t="s">
        <v>43</v>
      </c>
      <c r="Q5734" t="s">
        <v>43</v>
      </c>
      <c r="R5734" t="s">
        <v>43</v>
      </c>
      <c r="S5734" t="s">
        <v>43</v>
      </c>
      <c r="T5734" t="s">
        <v>43</v>
      </c>
      <c r="U5734" t="s">
        <v>43</v>
      </c>
      <c r="V5734" t="s">
        <v>43</v>
      </c>
      <c r="W5734" t="s">
        <v>43</v>
      </c>
      <c r="X5734" t="s">
        <v>43</v>
      </c>
      <c r="Y5734" t="s">
        <v>43</v>
      </c>
      <c r="Z5734" t="s">
        <v>43</v>
      </c>
      <c r="AA5734" t="s">
        <v>43</v>
      </c>
      <c r="AB5734" t="s">
        <v>43</v>
      </c>
      <c r="AC5734" t="s">
        <v>43</v>
      </c>
      <c r="AD5734" t="s">
        <v>43</v>
      </c>
      <c r="AE5734" t="s">
        <v>43</v>
      </c>
      <c r="AF5734" t="s">
        <v>43</v>
      </c>
      <c r="AG5734" t="s">
        <v>43</v>
      </c>
      <c r="AH5734" t="s">
        <v>43</v>
      </c>
      <c r="AI5734" t="s">
        <v>43</v>
      </c>
      <c r="AJ5734" t="s">
        <v>43</v>
      </c>
      <c r="AK5734" t="s">
        <v>43</v>
      </c>
      <c r="AL5734" t="s">
        <v>43</v>
      </c>
      <c r="AM5734" t="s">
        <v>43</v>
      </c>
      <c r="AN5734" t="s">
        <v>43</v>
      </c>
    </row>
    <row r="5735" spans="1:40" x14ac:dyDescent="0.3">
      <c r="A5735" s="1">
        <v>46210.335532407407</v>
      </c>
      <c r="B5735" t="s">
        <v>40</v>
      </c>
      <c r="C5735" t="s">
        <v>41</v>
      </c>
      <c r="D5735" s="1">
        <v>46210.338495370372</v>
      </c>
      <c r="E5735" t="s">
        <v>42</v>
      </c>
      <c r="F5735" t="s">
        <v>43</v>
      </c>
      <c r="G5735" t="s">
        <v>43</v>
      </c>
      <c r="H5735" t="s">
        <v>43</v>
      </c>
      <c r="I5735" t="s">
        <v>3250</v>
      </c>
      <c r="J5735" t="s">
        <v>43</v>
      </c>
      <c r="K5735" t="s">
        <v>43</v>
      </c>
      <c r="L5735" t="s">
        <v>43</v>
      </c>
      <c r="M5735" t="s">
        <v>43</v>
      </c>
      <c r="N5735" t="s">
        <v>45</v>
      </c>
      <c r="O5735" t="s">
        <v>43</v>
      </c>
      <c r="P5735" t="s">
        <v>43</v>
      </c>
      <c r="Q5735" t="s">
        <v>43</v>
      </c>
      <c r="R5735" t="s">
        <v>43</v>
      </c>
      <c r="S5735" t="s">
        <v>43</v>
      </c>
      <c r="T5735" t="s">
        <v>43</v>
      </c>
      <c r="U5735" t="s">
        <v>43</v>
      </c>
      <c r="V5735" t="s">
        <v>43</v>
      </c>
      <c r="W5735" t="s">
        <v>43</v>
      </c>
      <c r="X5735" t="s">
        <v>43</v>
      </c>
      <c r="Y5735" t="s">
        <v>43</v>
      </c>
      <c r="Z5735" t="s">
        <v>43</v>
      </c>
      <c r="AA5735" t="s">
        <v>43</v>
      </c>
      <c r="AB5735" t="s">
        <v>43</v>
      </c>
      <c r="AC5735" t="s">
        <v>43</v>
      </c>
      <c r="AD5735" t="s">
        <v>43</v>
      </c>
      <c r="AE5735" t="s">
        <v>43</v>
      </c>
      <c r="AF5735" t="s">
        <v>43</v>
      </c>
      <c r="AG5735" t="s">
        <v>43</v>
      </c>
      <c r="AH5735" t="s">
        <v>43</v>
      </c>
      <c r="AI5735" t="s">
        <v>43</v>
      </c>
      <c r="AJ5735" t="s">
        <v>43</v>
      </c>
      <c r="AK5735" t="s">
        <v>43</v>
      </c>
      <c r="AL5735" t="s">
        <v>43</v>
      </c>
      <c r="AM5735" t="s">
        <v>43</v>
      </c>
      <c r="AN5735" t="str">
        <f>HYPERLINK("https://www.google.com/maps?q=10.83317947,79.8457489","Open Location")</f>
        <v>Open Location</v>
      </c>
    </row>
    <row r="5736" spans="1:40" x14ac:dyDescent="0.3">
      <c r="A5736" s="1">
        <v>46210.335416666669</v>
      </c>
      <c r="B5736" t="s">
        <v>40</v>
      </c>
      <c r="C5736" t="s">
        <v>41</v>
      </c>
      <c r="D5736" s="1">
        <v>46210.338368055556</v>
      </c>
      <c r="E5736" t="s">
        <v>42</v>
      </c>
      <c r="F5736" t="s">
        <v>43</v>
      </c>
      <c r="G5736" t="s">
        <v>43</v>
      </c>
      <c r="H5736" t="s">
        <v>43</v>
      </c>
      <c r="I5736" t="s">
        <v>3251</v>
      </c>
      <c r="J5736" t="s">
        <v>43</v>
      </c>
      <c r="K5736" t="s">
        <v>43</v>
      </c>
      <c r="L5736" t="s">
        <v>43</v>
      </c>
      <c r="M5736" t="s">
        <v>43</v>
      </c>
      <c r="N5736" t="s">
        <v>45</v>
      </c>
      <c r="O5736" t="s">
        <v>43</v>
      </c>
      <c r="P5736" t="s">
        <v>43</v>
      </c>
      <c r="Q5736" t="s">
        <v>43</v>
      </c>
      <c r="R5736" t="s">
        <v>43</v>
      </c>
      <c r="S5736" t="s">
        <v>43</v>
      </c>
      <c r="T5736" t="s">
        <v>43</v>
      </c>
      <c r="U5736" t="s">
        <v>43</v>
      </c>
      <c r="V5736" t="s">
        <v>43</v>
      </c>
      <c r="W5736" t="s">
        <v>43</v>
      </c>
      <c r="X5736" t="s">
        <v>43</v>
      </c>
      <c r="Y5736" t="s">
        <v>43</v>
      </c>
      <c r="Z5736" t="s">
        <v>43</v>
      </c>
      <c r="AA5736" t="s">
        <v>43</v>
      </c>
      <c r="AB5736" t="s">
        <v>43</v>
      </c>
      <c r="AC5736" t="s">
        <v>43</v>
      </c>
      <c r="AD5736" t="s">
        <v>43</v>
      </c>
      <c r="AE5736" t="s">
        <v>43</v>
      </c>
      <c r="AF5736" t="s">
        <v>43</v>
      </c>
      <c r="AG5736" t="s">
        <v>43</v>
      </c>
      <c r="AH5736" t="s">
        <v>43</v>
      </c>
      <c r="AI5736" t="s">
        <v>43</v>
      </c>
      <c r="AJ5736" t="s">
        <v>43</v>
      </c>
      <c r="AK5736" t="s">
        <v>43</v>
      </c>
      <c r="AL5736" t="s">
        <v>43</v>
      </c>
      <c r="AM5736" t="s">
        <v>43</v>
      </c>
      <c r="AN5736" t="str">
        <f>HYPERLINK("https://www.google.com/maps?q=10.83318043,79.8457489","Open Location")</f>
        <v>Open Location</v>
      </c>
    </row>
    <row r="5737" spans="1:40" x14ac:dyDescent="0.3">
      <c r="A5737" s="1">
        <v>46210.335300925923</v>
      </c>
      <c r="B5737" t="s">
        <v>40</v>
      </c>
      <c r="C5737" t="s">
        <v>41</v>
      </c>
      <c r="D5737" s="1">
        <v>46210.338043981479</v>
      </c>
      <c r="E5737" t="s">
        <v>42</v>
      </c>
      <c r="F5737" t="s">
        <v>43</v>
      </c>
      <c r="G5737" t="s">
        <v>43</v>
      </c>
      <c r="H5737" t="s">
        <v>43</v>
      </c>
      <c r="I5737" t="s">
        <v>3252</v>
      </c>
      <c r="J5737" t="s">
        <v>43</v>
      </c>
      <c r="K5737" t="s">
        <v>43</v>
      </c>
      <c r="L5737" t="s">
        <v>43</v>
      </c>
      <c r="M5737" t="s">
        <v>43</v>
      </c>
      <c r="N5737" t="s">
        <v>45</v>
      </c>
      <c r="O5737" t="s">
        <v>43</v>
      </c>
      <c r="P5737" t="s">
        <v>43</v>
      </c>
      <c r="Q5737" t="s">
        <v>43</v>
      </c>
      <c r="R5737" t="s">
        <v>43</v>
      </c>
      <c r="S5737" t="s">
        <v>43</v>
      </c>
      <c r="T5737" t="s">
        <v>43</v>
      </c>
      <c r="U5737" t="s">
        <v>43</v>
      </c>
      <c r="V5737" t="s">
        <v>43</v>
      </c>
      <c r="W5737" t="s">
        <v>43</v>
      </c>
      <c r="X5737" t="s">
        <v>43</v>
      </c>
      <c r="Y5737" t="s">
        <v>43</v>
      </c>
      <c r="Z5737" t="s">
        <v>43</v>
      </c>
      <c r="AA5737" t="s">
        <v>43</v>
      </c>
      <c r="AB5737" t="s">
        <v>43</v>
      </c>
      <c r="AC5737" t="s">
        <v>43</v>
      </c>
      <c r="AD5737" t="s">
        <v>43</v>
      </c>
      <c r="AE5737" t="s">
        <v>43</v>
      </c>
      <c r="AF5737" t="s">
        <v>43</v>
      </c>
      <c r="AG5737" t="s">
        <v>43</v>
      </c>
      <c r="AH5737" t="s">
        <v>43</v>
      </c>
      <c r="AI5737" t="s">
        <v>43</v>
      </c>
      <c r="AJ5737" t="s">
        <v>43</v>
      </c>
      <c r="AK5737" t="s">
        <v>43</v>
      </c>
      <c r="AL5737" t="s">
        <v>43</v>
      </c>
      <c r="AM5737" t="s">
        <v>43</v>
      </c>
      <c r="AN5737" t="str">
        <f>HYPERLINK("https://www.google.com/maps?q=10.83318329,79.84574127","Open Location")</f>
        <v>Open Location</v>
      </c>
    </row>
    <row r="5738" spans="1:40" x14ac:dyDescent="0.3">
      <c r="A5738" s="1">
        <v>46210.335185185184</v>
      </c>
      <c r="B5738" t="s">
        <v>40</v>
      </c>
      <c r="C5738" t="s">
        <v>41</v>
      </c>
      <c r="D5738" s="1">
        <v>46210.338067129633</v>
      </c>
      <c r="E5738" t="s">
        <v>42</v>
      </c>
      <c r="F5738" t="s">
        <v>43</v>
      </c>
      <c r="G5738" t="s">
        <v>43</v>
      </c>
      <c r="H5738" t="s">
        <v>43</v>
      </c>
      <c r="I5738" t="s">
        <v>3253</v>
      </c>
      <c r="J5738" t="s">
        <v>43</v>
      </c>
      <c r="K5738" t="s">
        <v>43</v>
      </c>
      <c r="L5738" t="s">
        <v>43</v>
      </c>
      <c r="M5738" t="s">
        <v>43</v>
      </c>
      <c r="N5738" t="s">
        <v>45</v>
      </c>
      <c r="O5738" t="s">
        <v>43</v>
      </c>
      <c r="P5738" t="s">
        <v>43</v>
      </c>
      <c r="Q5738" t="s">
        <v>43</v>
      </c>
      <c r="R5738" t="s">
        <v>43</v>
      </c>
      <c r="S5738" t="s">
        <v>43</v>
      </c>
      <c r="T5738" t="s">
        <v>43</v>
      </c>
      <c r="U5738" t="s">
        <v>43</v>
      </c>
      <c r="V5738" t="s">
        <v>43</v>
      </c>
      <c r="W5738" t="s">
        <v>43</v>
      </c>
      <c r="X5738" t="s">
        <v>43</v>
      </c>
      <c r="Y5738" t="s">
        <v>43</v>
      </c>
      <c r="Z5738" t="s">
        <v>43</v>
      </c>
      <c r="AA5738" t="s">
        <v>43</v>
      </c>
      <c r="AB5738" t="s">
        <v>43</v>
      </c>
      <c r="AC5738" t="s">
        <v>43</v>
      </c>
      <c r="AD5738" t="s">
        <v>43</v>
      </c>
      <c r="AE5738" t="s">
        <v>43</v>
      </c>
      <c r="AF5738" t="s">
        <v>43</v>
      </c>
      <c r="AG5738" t="s">
        <v>43</v>
      </c>
      <c r="AH5738" t="s">
        <v>43</v>
      </c>
      <c r="AI5738" t="s">
        <v>43</v>
      </c>
      <c r="AJ5738" t="s">
        <v>43</v>
      </c>
      <c r="AK5738" t="s">
        <v>43</v>
      </c>
      <c r="AL5738" t="s">
        <v>43</v>
      </c>
      <c r="AM5738" t="s">
        <v>43</v>
      </c>
      <c r="AN5738" t="str">
        <f>HYPERLINK("https://www.google.com/maps?q=10.83318424,79.8457489","Open Location")</f>
        <v>Open Location</v>
      </c>
    </row>
    <row r="5739" spans="1:40" x14ac:dyDescent="0.3">
      <c r="A5739" s="1">
        <v>46210.335069444445</v>
      </c>
      <c r="B5739" t="s">
        <v>40</v>
      </c>
      <c r="C5739" t="s">
        <v>41</v>
      </c>
      <c r="D5739" s="1">
        <v>46210.337766203702</v>
      </c>
      <c r="E5739" t="s">
        <v>42</v>
      </c>
      <c r="F5739" t="s">
        <v>43</v>
      </c>
      <c r="G5739" t="s">
        <v>43</v>
      </c>
      <c r="H5739" t="s">
        <v>43</v>
      </c>
      <c r="I5739" t="s">
        <v>43</v>
      </c>
      <c r="J5739" t="s">
        <v>43</v>
      </c>
      <c r="K5739" t="s">
        <v>43</v>
      </c>
      <c r="L5739" t="s">
        <v>43</v>
      </c>
      <c r="M5739" t="s">
        <v>43</v>
      </c>
      <c r="N5739" t="s">
        <v>45</v>
      </c>
      <c r="O5739" t="s">
        <v>43</v>
      </c>
      <c r="P5739" t="s">
        <v>43</v>
      </c>
      <c r="Q5739" t="s">
        <v>43</v>
      </c>
      <c r="R5739" t="s">
        <v>43</v>
      </c>
      <c r="S5739" t="s">
        <v>43</v>
      </c>
      <c r="T5739" t="s">
        <v>43</v>
      </c>
      <c r="U5739" t="s">
        <v>43</v>
      </c>
      <c r="V5739" t="s">
        <v>43</v>
      </c>
      <c r="W5739" t="s">
        <v>43</v>
      </c>
      <c r="X5739" t="s">
        <v>43</v>
      </c>
      <c r="Y5739" t="s">
        <v>43</v>
      </c>
      <c r="Z5739" t="s">
        <v>43</v>
      </c>
      <c r="AA5739" t="s">
        <v>43</v>
      </c>
      <c r="AB5739" t="s">
        <v>43</v>
      </c>
      <c r="AC5739" t="s">
        <v>43</v>
      </c>
      <c r="AD5739" t="s">
        <v>43</v>
      </c>
      <c r="AE5739" t="s">
        <v>43</v>
      </c>
      <c r="AF5739" t="s">
        <v>43</v>
      </c>
      <c r="AG5739" t="s">
        <v>43</v>
      </c>
      <c r="AH5739" t="s">
        <v>43</v>
      </c>
      <c r="AI5739" t="s">
        <v>43</v>
      </c>
      <c r="AJ5739" t="s">
        <v>43</v>
      </c>
      <c r="AK5739" t="s">
        <v>43</v>
      </c>
      <c r="AL5739" t="s">
        <v>43</v>
      </c>
      <c r="AM5739" t="s">
        <v>43</v>
      </c>
      <c r="AN5739" t="s">
        <v>43</v>
      </c>
    </row>
    <row r="5740" spans="1:40" x14ac:dyDescent="0.3">
      <c r="A5740" s="1">
        <v>46210.334953703707</v>
      </c>
      <c r="B5740" t="s">
        <v>40</v>
      </c>
      <c r="C5740" t="s">
        <v>41</v>
      </c>
      <c r="D5740" s="1">
        <v>46210.337777777779</v>
      </c>
      <c r="E5740" t="s">
        <v>42</v>
      </c>
      <c r="F5740" t="s">
        <v>43</v>
      </c>
      <c r="G5740" t="s">
        <v>43</v>
      </c>
      <c r="H5740" t="s">
        <v>43</v>
      </c>
      <c r="I5740" t="s">
        <v>3254</v>
      </c>
      <c r="J5740" t="s">
        <v>43</v>
      </c>
      <c r="K5740" t="s">
        <v>43</v>
      </c>
      <c r="L5740" t="s">
        <v>43</v>
      </c>
      <c r="M5740" t="s">
        <v>43</v>
      </c>
      <c r="N5740" t="s">
        <v>45</v>
      </c>
      <c r="O5740" t="s">
        <v>43</v>
      </c>
      <c r="P5740" t="s">
        <v>43</v>
      </c>
      <c r="Q5740" t="s">
        <v>43</v>
      </c>
      <c r="R5740" t="s">
        <v>43</v>
      </c>
      <c r="S5740" t="s">
        <v>43</v>
      </c>
      <c r="T5740" t="s">
        <v>43</v>
      </c>
      <c r="U5740" t="s">
        <v>43</v>
      </c>
      <c r="V5740" t="s">
        <v>43</v>
      </c>
      <c r="W5740" t="s">
        <v>43</v>
      </c>
      <c r="X5740" t="s">
        <v>43</v>
      </c>
      <c r="Y5740" t="s">
        <v>43</v>
      </c>
      <c r="Z5740" t="s">
        <v>43</v>
      </c>
      <c r="AA5740" t="s">
        <v>43</v>
      </c>
      <c r="AB5740" t="s">
        <v>43</v>
      </c>
      <c r="AC5740" t="s">
        <v>43</v>
      </c>
      <c r="AD5740" t="s">
        <v>43</v>
      </c>
      <c r="AE5740" t="s">
        <v>43</v>
      </c>
      <c r="AF5740" t="s">
        <v>43</v>
      </c>
      <c r="AG5740" t="s">
        <v>43</v>
      </c>
      <c r="AH5740" t="s">
        <v>43</v>
      </c>
      <c r="AI5740" t="s">
        <v>43</v>
      </c>
      <c r="AJ5740" t="s">
        <v>43</v>
      </c>
      <c r="AK5740" t="s">
        <v>43</v>
      </c>
      <c r="AL5740" t="s">
        <v>43</v>
      </c>
      <c r="AM5740" t="s">
        <v>43</v>
      </c>
      <c r="AN5740" t="str">
        <f>HYPERLINK("https://www.google.com/maps?q=10.8331871,79.84574127","Open Location")</f>
        <v>Open Location</v>
      </c>
    </row>
    <row r="5741" spans="1:40" x14ac:dyDescent="0.3">
      <c r="A5741" s="1">
        <v>46210.334837962961</v>
      </c>
      <c r="B5741" t="s">
        <v>40</v>
      </c>
      <c r="C5741" t="s">
        <v>41</v>
      </c>
      <c r="D5741" s="1">
        <v>46210.337673611109</v>
      </c>
      <c r="E5741" t="s">
        <v>42</v>
      </c>
      <c r="F5741" t="s">
        <v>43</v>
      </c>
      <c r="G5741" t="s">
        <v>43</v>
      </c>
      <c r="H5741" t="s">
        <v>43</v>
      </c>
      <c r="I5741" t="s">
        <v>3255</v>
      </c>
      <c r="J5741" t="s">
        <v>43</v>
      </c>
      <c r="K5741" t="s">
        <v>43</v>
      </c>
      <c r="L5741" t="s">
        <v>43</v>
      </c>
      <c r="M5741" t="s">
        <v>43</v>
      </c>
      <c r="N5741" t="s">
        <v>45</v>
      </c>
      <c r="O5741" t="s">
        <v>43</v>
      </c>
      <c r="P5741" t="s">
        <v>43</v>
      </c>
      <c r="Q5741" t="s">
        <v>43</v>
      </c>
      <c r="R5741" t="s">
        <v>43</v>
      </c>
      <c r="S5741" t="s">
        <v>43</v>
      </c>
      <c r="T5741" t="s">
        <v>43</v>
      </c>
      <c r="U5741" t="s">
        <v>43</v>
      </c>
      <c r="V5741" t="s">
        <v>43</v>
      </c>
      <c r="W5741" t="s">
        <v>43</v>
      </c>
      <c r="X5741" t="s">
        <v>43</v>
      </c>
      <c r="Y5741" t="s">
        <v>43</v>
      </c>
      <c r="Z5741" t="s">
        <v>43</v>
      </c>
      <c r="AA5741" t="s">
        <v>43</v>
      </c>
      <c r="AB5741" t="s">
        <v>43</v>
      </c>
      <c r="AC5741" t="s">
        <v>43</v>
      </c>
      <c r="AD5741" t="s">
        <v>43</v>
      </c>
      <c r="AE5741" t="s">
        <v>43</v>
      </c>
      <c r="AF5741" t="s">
        <v>43</v>
      </c>
      <c r="AG5741" t="s">
        <v>43</v>
      </c>
      <c r="AH5741" t="s">
        <v>43</v>
      </c>
      <c r="AI5741" t="s">
        <v>43</v>
      </c>
      <c r="AJ5741" t="s">
        <v>43</v>
      </c>
      <c r="AK5741" t="s">
        <v>43</v>
      </c>
      <c r="AL5741" t="s">
        <v>43</v>
      </c>
      <c r="AM5741" t="s">
        <v>43</v>
      </c>
      <c r="AN5741" t="str">
        <f>HYPERLINK("https://www.google.com/maps?q=10.83318806,79.84574127","Open Location")</f>
        <v>Open Location</v>
      </c>
    </row>
    <row r="5742" spans="1:40" x14ac:dyDescent="0.3">
      <c r="A5742" s="1">
        <v>46210.334722222222</v>
      </c>
      <c r="B5742" t="s">
        <v>40</v>
      </c>
      <c r="C5742" t="s">
        <v>41</v>
      </c>
      <c r="D5742" s="1">
        <v>46210.337858796294</v>
      </c>
      <c r="E5742" t="s">
        <v>42</v>
      </c>
      <c r="F5742" t="s">
        <v>43</v>
      </c>
      <c r="G5742" t="s">
        <v>43</v>
      </c>
      <c r="H5742" t="s">
        <v>43</v>
      </c>
      <c r="I5742" t="s">
        <v>3256</v>
      </c>
      <c r="J5742" t="s">
        <v>43</v>
      </c>
      <c r="K5742" t="s">
        <v>43</v>
      </c>
      <c r="L5742" t="s">
        <v>43</v>
      </c>
      <c r="M5742" t="s">
        <v>43</v>
      </c>
      <c r="N5742" t="s">
        <v>45</v>
      </c>
      <c r="O5742" t="s">
        <v>43</v>
      </c>
      <c r="P5742" t="s">
        <v>43</v>
      </c>
      <c r="Q5742" t="s">
        <v>43</v>
      </c>
      <c r="R5742" t="s">
        <v>43</v>
      </c>
      <c r="S5742" t="s">
        <v>43</v>
      </c>
      <c r="T5742" t="s">
        <v>43</v>
      </c>
      <c r="U5742" t="s">
        <v>43</v>
      </c>
      <c r="V5742" t="s">
        <v>43</v>
      </c>
      <c r="W5742" t="s">
        <v>43</v>
      </c>
      <c r="X5742" t="s">
        <v>43</v>
      </c>
      <c r="Y5742" t="s">
        <v>43</v>
      </c>
      <c r="Z5742" t="s">
        <v>43</v>
      </c>
      <c r="AA5742" t="s">
        <v>43</v>
      </c>
      <c r="AB5742" t="s">
        <v>43</v>
      </c>
      <c r="AC5742" t="s">
        <v>43</v>
      </c>
      <c r="AD5742" t="s">
        <v>43</v>
      </c>
      <c r="AE5742" t="s">
        <v>43</v>
      </c>
      <c r="AF5742" t="s">
        <v>43</v>
      </c>
      <c r="AG5742" t="s">
        <v>43</v>
      </c>
      <c r="AH5742" t="s">
        <v>43</v>
      </c>
      <c r="AI5742" t="s">
        <v>43</v>
      </c>
      <c r="AJ5742" t="s">
        <v>43</v>
      </c>
      <c r="AK5742" t="s">
        <v>43</v>
      </c>
      <c r="AL5742" t="s">
        <v>43</v>
      </c>
      <c r="AM5742" t="s">
        <v>43</v>
      </c>
      <c r="AN5742" t="str">
        <f>HYPERLINK("https://www.google.com/maps?q=10.83318615,79.84574127","Open Location")</f>
        <v>Open Location</v>
      </c>
    </row>
    <row r="5743" spans="1:40" x14ac:dyDescent="0.3">
      <c r="A5743" s="1">
        <v>46210.334606481483</v>
      </c>
      <c r="B5743" t="s">
        <v>40</v>
      </c>
      <c r="C5743" t="s">
        <v>41</v>
      </c>
      <c r="D5743" s="1">
        <v>46210.337291666663</v>
      </c>
      <c r="E5743" t="s">
        <v>42</v>
      </c>
      <c r="F5743" t="s">
        <v>43</v>
      </c>
      <c r="G5743" t="s">
        <v>43</v>
      </c>
      <c r="H5743" t="s">
        <v>43</v>
      </c>
      <c r="I5743" t="s">
        <v>3257</v>
      </c>
      <c r="J5743" t="s">
        <v>43</v>
      </c>
      <c r="K5743" t="s">
        <v>43</v>
      </c>
      <c r="L5743" t="s">
        <v>43</v>
      </c>
      <c r="M5743" t="s">
        <v>43</v>
      </c>
      <c r="N5743" t="s">
        <v>45</v>
      </c>
      <c r="O5743" t="s">
        <v>43</v>
      </c>
      <c r="P5743" t="s">
        <v>43</v>
      </c>
      <c r="Q5743" t="s">
        <v>43</v>
      </c>
      <c r="R5743" t="s">
        <v>43</v>
      </c>
      <c r="S5743" t="s">
        <v>43</v>
      </c>
      <c r="T5743" t="s">
        <v>43</v>
      </c>
      <c r="U5743" t="s">
        <v>43</v>
      </c>
      <c r="V5743" t="s">
        <v>43</v>
      </c>
      <c r="W5743" t="s">
        <v>43</v>
      </c>
      <c r="X5743" t="s">
        <v>43</v>
      </c>
      <c r="Y5743" t="s">
        <v>43</v>
      </c>
      <c r="Z5743" t="s">
        <v>43</v>
      </c>
      <c r="AA5743" t="s">
        <v>43</v>
      </c>
      <c r="AB5743" t="s">
        <v>43</v>
      </c>
      <c r="AC5743" t="s">
        <v>43</v>
      </c>
      <c r="AD5743" t="s">
        <v>43</v>
      </c>
      <c r="AE5743" t="s">
        <v>43</v>
      </c>
      <c r="AF5743" t="s">
        <v>43</v>
      </c>
      <c r="AG5743" t="s">
        <v>43</v>
      </c>
      <c r="AH5743" t="s">
        <v>43</v>
      </c>
      <c r="AI5743" t="s">
        <v>43</v>
      </c>
      <c r="AJ5743" t="s">
        <v>43</v>
      </c>
      <c r="AK5743" t="s">
        <v>43</v>
      </c>
      <c r="AL5743" t="s">
        <v>43</v>
      </c>
      <c r="AM5743" t="s">
        <v>43</v>
      </c>
      <c r="AN5743" t="str">
        <f>HYPERLINK("https://www.google.com/maps?q=10.8331871,79.8457489","Open Location")</f>
        <v>Open Location</v>
      </c>
    </row>
    <row r="5744" spans="1:40" x14ac:dyDescent="0.3">
      <c r="A5744" s="1">
        <v>46210.334490740737</v>
      </c>
      <c r="B5744" t="s">
        <v>40</v>
      </c>
      <c r="C5744" t="s">
        <v>41</v>
      </c>
      <c r="D5744" s="1">
        <v>46210.33734953704</v>
      </c>
      <c r="E5744" t="s">
        <v>42</v>
      </c>
      <c r="F5744" t="s">
        <v>43</v>
      </c>
      <c r="G5744" t="s">
        <v>43</v>
      </c>
      <c r="H5744" t="s">
        <v>43</v>
      </c>
      <c r="I5744" t="s">
        <v>3258</v>
      </c>
      <c r="J5744" t="s">
        <v>43</v>
      </c>
      <c r="K5744" t="s">
        <v>43</v>
      </c>
      <c r="L5744" t="s">
        <v>43</v>
      </c>
      <c r="M5744" t="s">
        <v>43</v>
      </c>
      <c r="N5744" t="s">
        <v>45</v>
      </c>
      <c r="O5744" t="s">
        <v>43</v>
      </c>
      <c r="P5744" t="s">
        <v>43</v>
      </c>
      <c r="Q5744" t="s">
        <v>43</v>
      </c>
      <c r="R5744" t="s">
        <v>43</v>
      </c>
      <c r="S5744" t="s">
        <v>43</v>
      </c>
      <c r="T5744" t="s">
        <v>43</v>
      </c>
      <c r="U5744" t="s">
        <v>43</v>
      </c>
      <c r="V5744" t="s">
        <v>43</v>
      </c>
      <c r="W5744" t="s">
        <v>43</v>
      </c>
      <c r="X5744" t="s">
        <v>43</v>
      </c>
      <c r="Y5744" t="s">
        <v>43</v>
      </c>
      <c r="Z5744" t="s">
        <v>43</v>
      </c>
      <c r="AA5744" t="s">
        <v>43</v>
      </c>
      <c r="AB5744" t="s">
        <v>43</v>
      </c>
      <c r="AC5744" t="s">
        <v>43</v>
      </c>
      <c r="AD5744" t="s">
        <v>43</v>
      </c>
      <c r="AE5744" t="s">
        <v>43</v>
      </c>
      <c r="AF5744" t="s">
        <v>43</v>
      </c>
      <c r="AG5744" t="s">
        <v>43</v>
      </c>
      <c r="AH5744" t="s">
        <v>43</v>
      </c>
      <c r="AI5744" t="s">
        <v>43</v>
      </c>
      <c r="AJ5744" t="s">
        <v>43</v>
      </c>
      <c r="AK5744" t="s">
        <v>43</v>
      </c>
      <c r="AL5744" t="s">
        <v>43</v>
      </c>
      <c r="AM5744" t="s">
        <v>43</v>
      </c>
      <c r="AN5744" t="str">
        <f>HYPERLINK("https://www.google.com/maps?q=10.83319092,79.8457489","Open Location")</f>
        <v>Open Location</v>
      </c>
    </row>
    <row r="5745" spans="1:40" x14ac:dyDescent="0.3">
      <c r="A5745" s="1">
        <v>46210.334374999999</v>
      </c>
      <c r="B5745" t="s">
        <v>40</v>
      </c>
      <c r="C5745" t="s">
        <v>41</v>
      </c>
      <c r="D5745" s="1">
        <v>46210.337199074071</v>
      </c>
      <c r="E5745" t="s">
        <v>42</v>
      </c>
      <c r="F5745" t="s">
        <v>43</v>
      </c>
      <c r="G5745" t="s">
        <v>43</v>
      </c>
      <c r="H5745" t="s">
        <v>43</v>
      </c>
      <c r="I5745" t="s">
        <v>43</v>
      </c>
      <c r="J5745" t="s">
        <v>43</v>
      </c>
      <c r="K5745" t="s">
        <v>43</v>
      </c>
      <c r="L5745" t="s">
        <v>43</v>
      </c>
      <c r="M5745" t="s">
        <v>43</v>
      </c>
      <c r="N5745" t="s">
        <v>45</v>
      </c>
      <c r="O5745" t="s">
        <v>43</v>
      </c>
      <c r="P5745" t="s">
        <v>43</v>
      </c>
      <c r="Q5745" t="s">
        <v>43</v>
      </c>
      <c r="R5745" t="s">
        <v>43</v>
      </c>
      <c r="S5745" t="s">
        <v>43</v>
      </c>
      <c r="T5745" t="s">
        <v>43</v>
      </c>
      <c r="U5745" t="s">
        <v>43</v>
      </c>
      <c r="V5745" t="s">
        <v>43</v>
      </c>
      <c r="W5745" t="s">
        <v>43</v>
      </c>
      <c r="X5745" t="s">
        <v>43</v>
      </c>
      <c r="Y5745" t="s">
        <v>43</v>
      </c>
      <c r="Z5745" t="s">
        <v>43</v>
      </c>
      <c r="AA5745" t="s">
        <v>43</v>
      </c>
      <c r="AB5745" t="s">
        <v>43</v>
      </c>
      <c r="AC5745" t="s">
        <v>43</v>
      </c>
      <c r="AD5745" t="s">
        <v>43</v>
      </c>
      <c r="AE5745" t="s">
        <v>43</v>
      </c>
      <c r="AF5745" t="s">
        <v>43</v>
      </c>
      <c r="AG5745" t="s">
        <v>43</v>
      </c>
      <c r="AH5745" t="s">
        <v>43</v>
      </c>
      <c r="AI5745" t="s">
        <v>43</v>
      </c>
      <c r="AJ5745" t="s">
        <v>43</v>
      </c>
      <c r="AK5745" t="s">
        <v>43</v>
      </c>
      <c r="AL5745" t="s">
        <v>43</v>
      </c>
      <c r="AM5745" t="s">
        <v>43</v>
      </c>
      <c r="AN5745" t="s">
        <v>43</v>
      </c>
    </row>
    <row r="5746" spans="1:40" x14ac:dyDescent="0.3">
      <c r="A5746" s="1">
        <v>46210.33425925926</v>
      </c>
      <c r="B5746" t="s">
        <v>40</v>
      </c>
      <c r="C5746" t="s">
        <v>41</v>
      </c>
      <c r="D5746" s="1">
        <v>46210.337326388886</v>
      </c>
      <c r="E5746" t="s">
        <v>42</v>
      </c>
      <c r="F5746" t="s">
        <v>43</v>
      </c>
      <c r="G5746" t="s">
        <v>43</v>
      </c>
      <c r="H5746" t="s">
        <v>43</v>
      </c>
      <c r="I5746" t="s">
        <v>3244</v>
      </c>
      <c r="J5746" t="s">
        <v>43</v>
      </c>
      <c r="K5746" t="s">
        <v>43</v>
      </c>
      <c r="L5746" t="s">
        <v>43</v>
      </c>
      <c r="M5746" t="s">
        <v>43</v>
      </c>
      <c r="N5746" t="s">
        <v>45</v>
      </c>
      <c r="O5746" t="s">
        <v>43</v>
      </c>
      <c r="P5746" t="s">
        <v>43</v>
      </c>
      <c r="Q5746" t="s">
        <v>43</v>
      </c>
      <c r="R5746" t="s">
        <v>43</v>
      </c>
      <c r="S5746" t="s">
        <v>43</v>
      </c>
      <c r="T5746" t="s">
        <v>43</v>
      </c>
      <c r="U5746" t="s">
        <v>43</v>
      </c>
      <c r="V5746" t="s">
        <v>43</v>
      </c>
      <c r="W5746" t="s">
        <v>43</v>
      </c>
      <c r="X5746" t="s">
        <v>43</v>
      </c>
      <c r="Y5746" t="s">
        <v>43</v>
      </c>
      <c r="Z5746" t="s">
        <v>43</v>
      </c>
      <c r="AA5746" t="s">
        <v>43</v>
      </c>
      <c r="AB5746" t="s">
        <v>43</v>
      </c>
      <c r="AC5746" t="s">
        <v>43</v>
      </c>
      <c r="AD5746" t="s">
        <v>43</v>
      </c>
      <c r="AE5746" t="s">
        <v>43</v>
      </c>
      <c r="AF5746" t="s">
        <v>43</v>
      </c>
      <c r="AG5746" t="s">
        <v>43</v>
      </c>
      <c r="AH5746" t="s">
        <v>43</v>
      </c>
      <c r="AI5746" t="s">
        <v>43</v>
      </c>
      <c r="AJ5746" t="s">
        <v>43</v>
      </c>
      <c r="AK5746" t="s">
        <v>43</v>
      </c>
      <c r="AL5746" t="s">
        <v>43</v>
      </c>
      <c r="AM5746" t="s">
        <v>43</v>
      </c>
      <c r="AN5746" t="str">
        <f>HYPERLINK("https://www.google.com/maps?q=10.83319283,79.84575653","Open Location")</f>
        <v>Open Location</v>
      </c>
    </row>
    <row r="5747" spans="1:40" x14ac:dyDescent="0.3">
      <c r="A5747" s="1">
        <v>46210.334143518521</v>
      </c>
      <c r="B5747" t="s">
        <v>40</v>
      </c>
      <c r="C5747" t="s">
        <v>41</v>
      </c>
      <c r="D5747" s="1">
        <v>46210.337002314816</v>
      </c>
      <c r="E5747" t="s">
        <v>42</v>
      </c>
      <c r="F5747" t="s">
        <v>43</v>
      </c>
      <c r="G5747" t="s">
        <v>43</v>
      </c>
      <c r="H5747" t="s">
        <v>43</v>
      </c>
      <c r="I5747" t="s">
        <v>3259</v>
      </c>
      <c r="J5747" t="s">
        <v>43</v>
      </c>
      <c r="K5747" t="s">
        <v>43</v>
      </c>
      <c r="L5747" t="s">
        <v>43</v>
      </c>
      <c r="M5747" t="s">
        <v>43</v>
      </c>
      <c r="N5747" t="s">
        <v>45</v>
      </c>
      <c r="O5747" t="s">
        <v>43</v>
      </c>
      <c r="P5747" t="s">
        <v>43</v>
      </c>
      <c r="Q5747" t="s">
        <v>43</v>
      </c>
      <c r="R5747" t="s">
        <v>43</v>
      </c>
      <c r="S5747" t="s">
        <v>43</v>
      </c>
      <c r="T5747" t="s">
        <v>43</v>
      </c>
      <c r="U5747" t="s">
        <v>43</v>
      </c>
      <c r="V5747" t="s">
        <v>43</v>
      </c>
      <c r="W5747" t="s">
        <v>43</v>
      </c>
      <c r="X5747" t="s">
        <v>43</v>
      </c>
      <c r="Y5747" t="s">
        <v>43</v>
      </c>
      <c r="Z5747" t="s">
        <v>43</v>
      </c>
      <c r="AA5747" t="s">
        <v>43</v>
      </c>
      <c r="AB5747" t="s">
        <v>43</v>
      </c>
      <c r="AC5747" t="s">
        <v>43</v>
      </c>
      <c r="AD5747" t="s">
        <v>43</v>
      </c>
      <c r="AE5747" t="s">
        <v>43</v>
      </c>
      <c r="AF5747" t="s">
        <v>43</v>
      </c>
      <c r="AG5747" t="s">
        <v>43</v>
      </c>
      <c r="AH5747" t="s">
        <v>43</v>
      </c>
      <c r="AI5747" t="s">
        <v>43</v>
      </c>
      <c r="AJ5747" t="s">
        <v>43</v>
      </c>
      <c r="AK5747" t="s">
        <v>43</v>
      </c>
      <c r="AL5747" t="s">
        <v>43</v>
      </c>
      <c r="AM5747" t="s">
        <v>43</v>
      </c>
      <c r="AN5747" t="str">
        <f>HYPERLINK("https://www.google.com/maps?q=10.83319759,79.84575653","Open Location")</f>
        <v>Open Location</v>
      </c>
    </row>
    <row r="5748" spans="1:40" x14ac:dyDescent="0.3">
      <c r="A5748" s="1">
        <v>46210.334027777775</v>
      </c>
      <c r="B5748" t="s">
        <v>40</v>
      </c>
      <c r="C5748" t="s">
        <v>41</v>
      </c>
      <c r="D5748" s="1">
        <v>46210.337280092594</v>
      </c>
      <c r="E5748" t="s">
        <v>42</v>
      </c>
      <c r="F5748" t="s">
        <v>43</v>
      </c>
      <c r="G5748" t="s">
        <v>43</v>
      </c>
      <c r="H5748" t="s">
        <v>43</v>
      </c>
      <c r="I5748" t="s">
        <v>3242</v>
      </c>
      <c r="J5748" t="s">
        <v>43</v>
      </c>
      <c r="K5748" t="s">
        <v>43</v>
      </c>
      <c r="L5748" t="s">
        <v>43</v>
      </c>
      <c r="M5748" t="s">
        <v>43</v>
      </c>
      <c r="N5748" t="s">
        <v>45</v>
      </c>
      <c r="O5748" t="s">
        <v>43</v>
      </c>
      <c r="P5748" t="s">
        <v>43</v>
      </c>
      <c r="Q5748" t="s">
        <v>43</v>
      </c>
      <c r="R5748" t="s">
        <v>43</v>
      </c>
      <c r="S5748" t="s">
        <v>43</v>
      </c>
      <c r="T5748" t="s">
        <v>43</v>
      </c>
      <c r="U5748" t="s">
        <v>43</v>
      </c>
      <c r="V5748" t="s">
        <v>43</v>
      </c>
      <c r="W5748" t="s">
        <v>43</v>
      </c>
      <c r="X5748" t="s">
        <v>43</v>
      </c>
      <c r="Y5748" t="s">
        <v>43</v>
      </c>
      <c r="Z5748" t="s">
        <v>43</v>
      </c>
      <c r="AA5748" t="s">
        <v>43</v>
      </c>
      <c r="AB5748" t="s">
        <v>43</v>
      </c>
      <c r="AC5748" t="s">
        <v>43</v>
      </c>
      <c r="AD5748" t="s">
        <v>43</v>
      </c>
      <c r="AE5748" t="s">
        <v>43</v>
      </c>
      <c r="AF5748" t="s">
        <v>43</v>
      </c>
      <c r="AG5748" t="s">
        <v>43</v>
      </c>
      <c r="AH5748" t="s">
        <v>43</v>
      </c>
      <c r="AI5748" t="s">
        <v>43</v>
      </c>
      <c r="AJ5748" t="s">
        <v>43</v>
      </c>
      <c r="AK5748" t="s">
        <v>43</v>
      </c>
      <c r="AL5748" t="s">
        <v>43</v>
      </c>
      <c r="AM5748" t="s">
        <v>43</v>
      </c>
      <c r="AN5748" t="str">
        <f>HYPERLINK("https://www.google.com/maps?q=10.83319187,79.84577179","Open Location")</f>
        <v>Open Location</v>
      </c>
    </row>
    <row r="5749" spans="1:40" x14ac:dyDescent="0.3">
      <c r="A5749" s="1">
        <v>46210.333912037036</v>
      </c>
      <c r="B5749" t="s">
        <v>40</v>
      </c>
      <c r="C5749" t="s">
        <v>41</v>
      </c>
      <c r="D5749" s="1">
        <v>46210.336840277778</v>
      </c>
      <c r="E5749" t="s">
        <v>42</v>
      </c>
      <c r="F5749" t="s">
        <v>43</v>
      </c>
      <c r="G5749" t="s">
        <v>43</v>
      </c>
      <c r="H5749" t="s">
        <v>43</v>
      </c>
      <c r="I5749" t="s">
        <v>3260</v>
      </c>
      <c r="J5749" t="s">
        <v>43</v>
      </c>
      <c r="K5749" t="s">
        <v>43</v>
      </c>
      <c r="L5749" t="s">
        <v>43</v>
      </c>
      <c r="M5749" t="s">
        <v>43</v>
      </c>
      <c r="N5749" t="s">
        <v>45</v>
      </c>
      <c r="O5749" t="s">
        <v>43</v>
      </c>
      <c r="P5749" t="s">
        <v>43</v>
      </c>
      <c r="Q5749" t="s">
        <v>43</v>
      </c>
      <c r="R5749" t="s">
        <v>43</v>
      </c>
      <c r="S5749" t="s">
        <v>43</v>
      </c>
      <c r="T5749" t="s">
        <v>43</v>
      </c>
      <c r="U5749" t="s">
        <v>43</v>
      </c>
      <c r="V5749" t="s">
        <v>43</v>
      </c>
      <c r="W5749" t="s">
        <v>43</v>
      </c>
      <c r="X5749" t="s">
        <v>43</v>
      </c>
      <c r="Y5749" t="s">
        <v>43</v>
      </c>
      <c r="Z5749" t="s">
        <v>43</v>
      </c>
      <c r="AA5749" t="s">
        <v>43</v>
      </c>
      <c r="AB5749" t="s">
        <v>43</v>
      </c>
      <c r="AC5749" t="s">
        <v>43</v>
      </c>
      <c r="AD5749" t="s">
        <v>43</v>
      </c>
      <c r="AE5749" t="s">
        <v>43</v>
      </c>
      <c r="AF5749" t="s">
        <v>43</v>
      </c>
      <c r="AG5749" t="s">
        <v>43</v>
      </c>
      <c r="AH5749" t="s">
        <v>43</v>
      </c>
      <c r="AI5749" t="s">
        <v>43</v>
      </c>
      <c r="AJ5749" t="s">
        <v>43</v>
      </c>
      <c r="AK5749" t="s">
        <v>43</v>
      </c>
      <c r="AL5749" t="s">
        <v>43</v>
      </c>
      <c r="AM5749" t="s">
        <v>43</v>
      </c>
      <c r="AN5749" t="str">
        <f>HYPERLINK("https://www.google.com/maps?q=10.83318806,79.84577179","Open Location")</f>
        <v>Open Location</v>
      </c>
    </row>
    <row r="5750" spans="1:40" x14ac:dyDescent="0.3">
      <c r="A5750" s="1">
        <v>46210.333796296298</v>
      </c>
      <c r="B5750" t="s">
        <v>40</v>
      </c>
      <c r="C5750" t="s">
        <v>41</v>
      </c>
      <c r="D5750" s="1">
        <v>46210.336759259262</v>
      </c>
      <c r="E5750" t="s">
        <v>42</v>
      </c>
      <c r="F5750" t="s">
        <v>43</v>
      </c>
      <c r="G5750" t="s">
        <v>43</v>
      </c>
      <c r="H5750" t="s">
        <v>43</v>
      </c>
      <c r="I5750" t="s">
        <v>3261</v>
      </c>
      <c r="J5750" t="s">
        <v>43</v>
      </c>
      <c r="K5750" t="s">
        <v>43</v>
      </c>
      <c r="L5750" t="s">
        <v>43</v>
      </c>
      <c r="M5750" t="s">
        <v>43</v>
      </c>
      <c r="N5750" t="s">
        <v>45</v>
      </c>
      <c r="O5750" t="s">
        <v>43</v>
      </c>
      <c r="P5750" t="s">
        <v>43</v>
      </c>
      <c r="Q5750" t="s">
        <v>43</v>
      </c>
      <c r="R5750" t="s">
        <v>43</v>
      </c>
      <c r="S5750" t="s">
        <v>43</v>
      </c>
      <c r="T5750" t="s">
        <v>43</v>
      </c>
      <c r="U5750" t="s">
        <v>43</v>
      </c>
      <c r="V5750" t="s">
        <v>43</v>
      </c>
      <c r="W5750" t="s">
        <v>43</v>
      </c>
      <c r="X5750" t="s">
        <v>43</v>
      </c>
      <c r="Y5750" t="s">
        <v>43</v>
      </c>
      <c r="Z5750" t="s">
        <v>43</v>
      </c>
      <c r="AA5750" t="s">
        <v>43</v>
      </c>
      <c r="AB5750" t="s">
        <v>43</v>
      </c>
      <c r="AC5750" t="s">
        <v>43</v>
      </c>
      <c r="AD5750" t="s">
        <v>43</v>
      </c>
      <c r="AE5750" t="s">
        <v>43</v>
      </c>
      <c r="AF5750" t="s">
        <v>43</v>
      </c>
      <c r="AG5750" t="s">
        <v>43</v>
      </c>
      <c r="AH5750" t="s">
        <v>43</v>
      </c>
      <c r="AI5750" t="s">
        <v>43</v>
      </c>
      <c r="AJ5750" t="s">
        <v>43</v>
      </c>
      <c r="AK5750" t="s">
        <v>43</v>
      </c>
      <c r="AL5750" t="s">
        <v>43</v>
      </c>
      <c r="AM5750" t="s">
        <v>43</v>
      </c>
      <c r="AN5750" t="str">
        <f>HYPERLINK("https://www.google.com/maps?q=10.8331871,79.84577179","Open Location")</f>
        <v>Open Location</v>
      </c>
    </row>
    <row r="5751" spans="1:40" x14ac:dyDescent="0.3">
      <c r="A5751" s="1">
        <v>46210.333680555559</v>
      </c>
      <c r="B5751" t="s">
        <v>40</v>
      </c>
      <c r="C5751" t="s">
        <v>41</v>
      </c>
      <c r="D5751" s="1">
        <v>46210.336562500001</v>
      </c>
      <c r="E5751" t="s">
        <v>42</v>
      </c>
      <c r="F5751" t="s">
        <v>43</v>
      </c>
      <c r="G5751" t="s">
        <v>43</v>
      </c>
      <c r="H5751" t="s">
        <v>43</v>
      </c>
      <c r="I5751" t="s">
        <v>43</v>
      </c>
      <c r="J5751" t="s">
        <v>43</v>
      </c>
      <c r="K5751" t="s">
        <v>43</v>
      </c>
      <c r="L5751" t="s">
        <v>43</v>
      </c>
      <c r="M5751" t="s">
        <v>43</v>
      </c>
      <c r="N5751" t="s">
        <v>45</v>
      </c>
      <c r="O5751" t="s">
        <v>43</v>
      </c>
      <c r="P5751" t="s">
        <v>43</v>
      </c>
      <c r="Q5751" t="s">
        <v>43</v>
      </c>
      <c r="R5751" t="s">
        <v>43</v>
      </c>
      <c r="S5751" t="s">
        <v>43</v>
      </c>
      <c r="T5751" t="s">
        <v>43</v>
      </c>
      <c r="U5751" t="s">
        <v>43</v>
      </c>
      <c r="V5751" t="s">
        <v>43</v>
      </c>
      <c r="W5751" t="s">
        <v>43</v>
      </c>
      <c r="X5751" t="s">
        <v>43</v>
      </c>
      <c r="Y5751" t="s">
        <v>43</v>
      </c>
      <c r="Z5751" t="s">
        <v>43</v>
      </c>
      <c r="AA5751" t="s">
        <v>43</v>
      </c>
      <c r="AB5751" t="s">
        <v>43</v>
      </c>
      <c r="AC5751" t="s">
        <v>43</v>
      </c>
      <c r="AD5751" t="s">
        <v>43</v>
      </c>
      <c r="AE5751" t="s">
        <v>43</v>
      </c>
      <c r="AF5751" t="s">
        <v>43</v>
      </c>
      <c r="AG5751" t="s">
        <v>43</v>
      </c>
      <c r="AH5751" t="s">
        <v>43</v>
      </c>
      <c r="AI5751" t="s">
        <v>43</v>
      </c>
      <c r="AJ5751" t="s">
        <v>43</v>
      </c>
      <c r="AK5751" t="s">
        <v>43</v>
      </c>
      <c r="AL5751" t="s">
        <v>43</v>
      </c>
      <c r="AM5751" t="s">
        <v>43</v>
      </c>
      <c r="AN5751" t="s">
        <v>43</v>
      </c>
    </row>
    <row r="5752" spans="1:40" x14ac:dyDescent="0.3">
      <c r="A5752" s="1">
        <v>46210.333564814813</v>
      </c>
      <c r="B5752" t="s">
        <v>40</v>
      </c>
      <c r="C5752" t="s">
        <v>41</v>
      </c>
      <c r="D5752" s="1">
        <v>46210.336469907408</v>
      </c>
      <c r="E5752" t="s">
        <v>42</v>
      </c>
      <c r="F5752" t="s">
        <v>43</v>
      </c>
      <c r="G5752" t="s">
        <v>43</v>
      </c>
      <c r="H5752" t="s">
        <v>43</v>
      </c>
      <c r="I5752" t="s">
        <v>3262</v>
      </c>
      <c r="J5752" t="s">
        <v>43</v>
      </c>
      <c r="K5752" t="s">
        <v>43</v>
      </c>
      <c r="L5752" t="s">
        <v>43</v>
      </c>
      <c r="M5752" t="s">
        <v>43</v>
      </c>
      <c r="N5752" t="s">
        <v>45</v>
      </c>
      <c r="O5752" t="s">
        <v>43</v>
      </c>
      <c r="P5752" t="s">
        <v>43</v>
      </c>
      <c r="Q5752" t="s">
        <v>43</v>
      </c>
      <c r="R5752" t="s">
        <v>43</v>
      </c>
      <c r="S5752" t="s">
        <v>43</v>
      </c>
      <c r="T5752" t="s">
        <v>43</v>
      </c>
      <c r="U5752" t="s">
        <v>43</v>
      </c>
      <c r="V5752" t="s">
        <v>43</v>
      </c>
      <c r="W5752" t="s">
        <v>43</v>
      </c>
      <c r="X5752" t="s">
        <v>43</v>
      </c>
      <c r="Y5752" t="s">
        <v>43</v>
      </c>
      <c r="Z5752" t="s">
        <v>43</v>
      </c>
      <c r="AA5752" t="s">
        <v>43</v>
      </c>
      <c r="AB5752" t="s">
        <v>43</v>
      </c>
      <c r="AC5752" t="s">
        <v>43</v>
      </c>
      <c r="AD5752" t="s">
        <v>43</v>
      </c>
      <c r="AE5752" t="s">
        <v>43</v>
      </c>
      <c r="AF5752" t="s">
        <v>43</v>
      </c>
      <c r="AG5752" t="s">
        <v>43</v>
      </c>
      <c r="AH5752" t="s">
        <v>43</v>
      </c>
      <c r="AI5752" t="s">
        <v>43</v>
      </c>
      <c r="AJ5752" t="s">
        <v>43</v>
      </c>
      <c r="AK5752" t="s">
        <v>43</v>
      </c>
      <c r="AL5752" t="s">
        <v>43</v>
      </c>
      <c r="AM5752" t="s">
        <v>43</v>
      </c>
      <c r="AN5752" t="str">
        <f>HYPERLINK("https://www.google.com/maps?q=10.83318996,79.84577179","Open Location")</f>
        <v>Open Location</v>
      </c>
    </row>
    <row r="5753" spans="1:40" x14ac:dyDescent="0.3">
      <c r="A5753" s="1">
        <v>46210.333449074074</v>
      </c>
      <c r="B5753" t="s">
        <v>40</v>
      </c>
      <c r="C5753" t="s">
        <v>41</v>
      </c>
      <c r="D5753" s="1">
        <v>46210.336134259262</v>
      </c>
      <c r="E5753" t="s">
        <v>42</v>
      </c>
      <c r="F5753" t="s">
        <v>43</v>
      </c>
      <c r="G5753" t="s">
        <v>43</v>
      </c>
      <c r="H5753" t="s">
        <v>43</v>
      </c>
      <c r="I5753" t="s">
        <v>3260</v>
      </c>
      <c r="J5753" t="s">
        <v>43</v>
      </c>
      <c r="K5753" t="s">
        <v>43</v>
      </c>
      <c r="L5753" t="s">
        <v>43</v>
      </c>
      <c r="M5753" t="s">
        <v>43</v>
      </c>
      <c r="N5753" t="s">
        <v>45</v>
      </c>
      <c r="O5753" t="s">
        <v>43</v>
      </c>
      <c r="P5753" t="s">
        <v>43</v>
      </c>
      <c r="Q5753" t="s">
        <v>43</v>
      </c>
      <c r="R5753" t="s">
        <v>43</v>
      </c>
      <c r="S5753" t="s">
        <v>43</v>
      </c>
      <c r="T5753" t="s">
        <v>43</v>
      </c>
      <c r="U5753" t="s">
        <v>43</v>
      </c>
      <c r="V5753" t="s">
        <v>43</v>
      </c>
      <c r="W5753" t="s">
        <v>43</v>
      </c>
      <c r="X5753" t="s">
        <v>43</v>
      </c>
      <c r="Y5753" t="s">
        <v>43</v>
      </c>
      <c r="Z5753" t="s">
        <v>43</v>
      </c>
      <c r="AA5753" t="s">
        <v>43</v>
      </c>
      <c r="AB5753" t="s">
        <v>43</v>
      </c>
      <c r="AC5753" t="s">
        <v>43</v>
      </c>
      <c r="AD5753" t="s">
        <v>43</v>
      </c>
      <c r="AE5753" t="s">
        <v>43</v>
      </c>
      <c r="AF5753" t="s">
        <v>43</v>
      </c>
      <c r="AG5753" t="s">
        <v>43</v>
      </c>
      <c r="AH5753" t="s">
        <v>43</v>
      </c>
      <c r="AI5753" t="s">
        <v>43</v>
      </c>
      <c r="AJ5753" t="s">
        <v>43</v>
      </c>
      <c r="AK5753" t="s">
        <v>43</v>
      </c>
      <c r="AL5753" t="s">
        <v>43</v>
      </c>
      <c r="AM5753" t="s">
        <v>43</v>
      </c>
      <c r="AN5753" t="str">
        <f>HYPERLINK("https://www.google.com/maps?q=10.83318806,79.84577179","Open Location")</f>
        <v>Open Location</v>
      </c>
    </row>
    <row r="5754" spans="1:40" x14ac:dyDescent="0.3">
      <c r="A5754" s="1">
        <v>46210.333333333336</v>
      </c>
      <c r="B5754" t="s">
        <v>40</v>
      </c>
      <c r="C5754" t="s">
        <v>41</v>
      </c>
      <c r="D5754" s="1">
        <v>46210.336134259262</v>
      </c>
      <c r="E5754" t="s">
        <v>42</v>
      </c>
      <c r="F5754" t="s">
        <v>43</v>
      </c>
      <c r="G5754" t="s">
        <v>43</v>
      </c>
      <c r="H5754" t="s">
        <v>43</v>
      </c>
      <c r="I5754" t="s">
        <v>3263</v>
      </c>
      <c r="J5754" t="s">
        <v>43</v>
      </c>
      <c r="K5754" t="s">
        <v>43</v>
      </c>
      <c r="L5754" t="s">
        <v>43</v>
      </c>
      <c r="M5754" t="s">
        <v>43</v>
      </c>
      <c r="N5754" t="s">
        <v>45</v>
      </c>
      <c r="O5754" t="s">
        <v>43</v>
      </c>
      <c r="P5754" t="s">
        <v>43</v>
      </c>
      <c r="Q5754" t="s">
        <v>43</v>
      </c>
      <c r="R5754" t="s">
        <v>43</v>
      </c>
      <c r="S5754" t="s">
        <v>43</v>
      </c>
      <c r="T5754" t="s">
        <v>43</v>
      </c>
      <c r="U5754" t="s">
        <v>43</v>
      </c>
      <c r="V5754" t="s">
        <v>43</v>
      </c>
      <c r="W5754" t="s">
        <v>43</v>
      </c>
      <c r="X5754" t="s">
        <v>43</v>
      </c>
      <c r="Y5754" t="s">
        <v>43</v>
      </c>
      <c r="Z5754" t="s">
        <v>43</v>
      </c>
      <c r="AA5754" t="s">
        <v>43</v>
      </c>
      <c r="AB5754" t="s">
        <v>43</v>
      </c>
      <c r="AC5754" t="s">
        <v>43</v>
      </c>
      <c r="AD5754" t="s">
        <v>43</v>
      </c>
      <c r="AE5754" t="s">
        <v>43</v>
      </c>
      <c r="AF5754" t="s">
        <v>43</v>
      </c>
      <c r="AG5754" t="s">
        <v>43</v>
      </c>
      <c r="AH5754" t="s">
        <v>43</v>
      </c>
      <c r="AI5754" t="s">
        <v>43</v>
      </c>
      <c r="AJ5754" t="s">
        <v>43</v>
      </c>
      <c r="AK5754" t="s">
        <v>43</v>
      </c>
      <c r="AL5754" t="s">
        <v>43</v>
      </c>
      <c r="AM5754" t="s">
        <v>43</v>
      </c>
      <c r="AN5754" t="str">
        <f>HYPERLINK("https://www.google.com/maps?q=10.83319378,79.84575653","Open Location")</f>
        <v>Open Location</v>
      </c>
    </row>
    <row r="5755" spans="1:40" x14ac:dyDescent="0.3">
      <c r="A5755" s="1">
        <v>46210.33321759259</v>
      </c>
      <c r="B5755" t="s">
        <v>40</v>
      </c>
      <c r="C5755" t="s">
        <v>41</v>
      </c>
      <c r="D5755" s="1">
        <v>46210.335925925923</v>
      </c>
      <c r="E5755" t="s">
        <v>42</v>
      </c>
      <c r="F5755" t="s">
        <v>43</v>
      </c>
      <c r="G5755" t="s">
        <v>43</v>
      </c>
      <c r="H5755" t="s">
        <v>43</v>
      </c>
      <c r="I5755" t="s">
        <v>3264</v>
      </c>
      <c r="J5755" t="s">
        <v>43</v>
      </c>
      <c r="K5755" t="s">
        <v>43</v>
      </c>
      <c r="L5755" t="s">
        <v>43</v>
      </c>
      <c r="M5755" t="s">
        <v>43</v>
      </c>
      <c r="N5755" t="s">
        <v>45</v>
      </c>
      <c r="O5755" t="s">
        <v>43</v>
      </c>
      <c r="P5755" t="s">
        <v>43</v>
      </c>
      <c r="Q5755" t="s">
        <v>43</v>
      </c>
      <c r="R5755" t="s">
        <v>43</v>
      </c>
      <c r="S5755" t="s">
        <v>43</v>
      </c>
      <c r="T5755" t="s">
        <v>43</v>
      </c>
      <c r="U5755" t="s">
        <v>43</v>
      </c>
      <c r="V5755" t="s">
        <v>43</v>
      </c>
      <c r="W5755" t="s">
        <v>43</v>
      </c>
      <c r="X5755" t="s">
        <v>43</v>
      </c>
      <c r="Y5755" t="s">
        <v>43</v>
      </c>
      <c r="Z5755" t="s">
        <v>43</v>
      </c>
      <c r="AA5755" t="s">
        <v>43</v>
      </c>
      <c r="AB5755" t="s">
        <v>43</v>
      </c>
      <c r="AC5755" t="s">
        <v>43</v>
      </c>
      <c r="AD5755" t="s">
        <v>43</v>
      </c>
      <c r="AE5755" t="s">
        <v>43</v>
      </c>
      <c r="AF5755" t="s">
        <v>43</v>
      </c>
      <c r="AG5755" t="s">
        <v>43</v>
      </c>
      <c r="AH5755" t="s">
        <v>43</v>
      </c>
      <c r="AI5755" t="s">
        <v>43</v>
      </c>
      <c r="AJ5755" t="s">
        <v>43</v>
      </c>
      <c r="AK5755" t="s">
        <v>43</v>
      </c>
      <c r="AL5755" t="s">
        <v>43</v>
      </c>
      <c r="AM5755" t="s">
        <v>43</v>
      </c>
      <c r="AN5755" t="str">
        <f>HYPERLINK("https://www.google.com/maps?q=10.83319664,79.84577179","Open Location")</f>
        <v>Open Location</v>
      </c>
    </row>
    <row r="5756" spans="1:40" x14ac:dyDescent="0.3">
      <c r="A5756" s="1">
        <v>46210.333101851851</v>
      </c>
      <c r="B5756" t="s">
        <v>40</v>
      </c>
      <c r="C5756" t="s">
        <v>41</v>
      </c>
      <c r="D5756" s="1">
        <v>46210.3359375</v>
      </c>
      <c r="E5756" t="s">
        <v>42</v>
      </c>
      <c r="F5756" t="s">
        <v>43</v>
      </c>
      <c r="G5756" t="s">
        <v>43</v>
      </c>
      <c r="H5756" t="s">
        <v>43</v>
      </c>
      <c r="I5756" t="s">
        <v>43</v>
      </c>
      <c r="J5756" t="s">
        <v>43</v>
      </c>
      <c r="K5756" t="s">
        <v>43</v>
      </c>
      <c r="L5756" t="s">
        <v>43</v>
      </c>
      <c r="M5756" t="s">
        <v>43</v>
      </c>
      <c r="N5756" t="s">
        <v>45</v>
      </c>
      <c r="O5756" t="s">
        <v>43</v>
      </c>
      <c r="P5756" t="s">
        <v>43</v>
      </c>
      <c r="Q5756" t="s">
        <v>43</v>
      </c>
      <c r="R5756" t="s">
        <v>43</v>
      </c>
      <c r="S5756" t="s">
        <v>43</v>
      </c>
      <c r="T5756" t="s">
        <v>43</v>
      </c>
      <c r="U5756" t="s">
        <v>43</v>
      </c>
      <c r="V5756" t="s">
        <v>43</v>
      </c>
      <c r="W5756" t="s">
        <v>43</v>
      </c>
      <c r="X5756" t="s">
        <v>43</v>
      </c>
      <c r="Y5756" t="s">
        <v>43</v>
      </c>
      <c r="Z5756" t="s">
        <v>43</v>
      </c>
      <c r="AA5756" t="s">
        <v>43</v>
      </c>
      <c r="AB5756" t="s">
        <v>43</v>
      </c>
      <c r="AC5756" t="s">
        <v>43</v>
      </c>
      <c r="AD5756" t="s">
        <v>43</v>
      </c>
      <c r="AE5756" t="s">
        <v>43</v>
      </c>
      <c r="AF5756" t="s">
        <v>43</v>
      </c>
      <c r="AG5756" t="s">
        <v>43</v>
      </c>
      <c r="AH5756" t="s">
        <v>43</v>
      </c>
      <c r="AI5756" t="s">
        <v>43</v>
      </c>
      <c r="AJ5756" t="s">
        <v>43</v>
      </c>
      <c r="AK5756" t="s">
        <v>43</v>
      </c>
      <c r="AL5756" t="s">
        <v>43</v>
      </c>
      <c r="AM5756" t="s">
        <v>43</v>
      </c>
      <c r="AN5756" t="s">
        <v>43</v>
      </c>
    </row>
    <row r="5757" spans="1:40" x14ac:dyDescent="0.3">
      <c r="A5757" s="1">
        <v>46210.332986111112</v>
      </c>
      <c r="B5757" t="s">
        <v>40</v>
      </c>
      <c r="C5757" t="s">
        <v>41</v>
      </c>
      <c r="D5757" s="1">
        <v>46210.335763888892</v>
      </c>
      <c r="E5757" t="s">
        <v>42</v>
      </c>
      <c r="F5757" t="s">
        <v>43</v>
      </c>
      <c r="G5757" t="s">
        <v>43</v>
      </c>
      <c r="H5757" t="s">
        <v>43</v>
      </c>
      <c r="I5757" t="s">
        <v>3264</v>
      </c>
      <c r="J5757" t="s">
        <v>43</v>
      </c>
      <c r="K5757" t="s">
        <v>43</v>
      </c>
      <c r="L5757" t="s">
        <v>43</v>
      </c>
      <c r="M5757" t="s">
        <v>43</v>
      </c>
      <c r="N5757" t="s">
        <v>45</v>
      </c>
      <c r="O5757" t="s">
        <v>43</v>
      </c>
      <c r="P5757" t="s">
        <v>43</v>
      </c>
      <c r="Q5757" t="s">
        <v>43</v>
      </c>
      <c r="R5757" t="s">
        <v>43</v>
      </c>
      <c r="S5757" t="s">
        <v>43</v>
      </c>
      <c r="T5757" t="s">
        <v>43</v>
      </c>
      <c r="U5757" t="s">
        <v>43</v>
      </c>
      <c r="V5757" t="s">
        <v>43</v>
      </c>
      <c r="W5757" t="s">
        <v>43</v>
      </c>
      <c r="X5757" t="s">
        <v>43</v>
      </c>
      <c r="Y5757" t="s">
        <v>43</v>
      </c>
      <c r="Z5757" t="s">
        <v>43</v>
      </c>
      <c r="AA5757" t="s">
        <v>43</v>
      </c>
      <c r="AB5757" t="s">
        <v>43</v>
      </c>
      <c r="AC5757" t="s">
        <v>43</v>
      </c>
      <c r="AD5757" t="s">
        <v>43</v>
      </c>
      <c r="AE5757" t="s">
        <v>43</v>
      </c>
      <c r="AF5757" t="s">
        <v>43</v>
      </c>
      <c r="AG5757" t="s">
        <v>43</v>
      </c>
      <c r="AH5757" t="s">
        <v>43</v>
      </c>
      <c r="AI5757" t="s">
        <v>43</v>
      </c>
      <c r="AJ5757" t="s">
        <v>43</v>
      </c>
      <c r="AK5757" t="s">
        <v>43</v>
      </c>
      <c r="AL5757" t="s">
        <v>43</v>
      </c>
      <c r="AM5757" t="s">
        <v>43</v>
      </c>
      <c r="AN5757" t="str">
        <f>HYPERLINK("https://www.google.com/maps?q=10.83319664,79.84577179","Open Location")</f>
        <v>Open Location</v>
      </c>
    </row>
    <row r="5758" spans="1:40" x14ac:dyDescent="0.3">
      <c r="A5758" s="1">
        <v>46210.332870370374</v>
      </c>
      <c r="B5758" t="s">
        <v>40</v>
      </c>
      <c r="C5758" t="s">
        <v>41</v>
      </c>
      <c r="D5758" s="1">
        <v>46210.3359837963</v>
      </c>
      <c r="E5758" t="s">
        <v>42</v>
      </c>
      <c r="F5758" t="s">
        <v>43</v>
      </c>
      <c r="G5758" t="s">
        <v>43</v>
      </c>
      <c r="H5758" t="s">
        <v>43</v>
      </c>
      <c r="I5758" t="s">
        <v>3265</v>
      </c>
      <c r="J5758" t="s">
        <v>43</v>
      </c>
      <c r="K5758" t="s">
        <v>43</v>
      </c>
      <c r="L5758" t="s">
        <v>43</v>
      </c>
      <c r="M5758" t="s">
        <v>43</v>
      </c>
      <c r="N5758" t="s">
        <v>45</v>
      </c>
      <c r="O5758" t="s">
        <v>43</v>
      </c>
      <c r="P5758" t="s">
        <v>43</v>
      </c>
      <c r="Q5758" t="s">
        <v>43</v>
      </c>
      <c r="R5758" t="s">
        <v>43</v>
      </c>
      <c r="S5758" t="s">
        <v>43</v>
      </c>
      <c r="T5758" t="s">
        <v>43</v>
      </c>
      <c r="U5758" t="s">
        <v>43</v>
      </c>
      <c r="V5758" t="s">
        <v>43</v>
      </c>
      <c r="W5758" t="s">
        <v>43</v>
      </c>
      <c r="X5758" t="s">
        <v>43</v>
      </c>
      <c r="Y5758" t="s">
        <v>43</v>
      </c>
      <c r="Z5758" t="s">
        <v>43</v>
      </c>
      <c r="AA5758" t="s">
        <v>43</v>
      </c>
      <c r="AB5758" t="s">
        <v>43</v>
      </c>
      <c r="AC5758" t="s">
        <v>43</v>
      </c>
      <c r="AD5758" t="s">
        <v>43</v>
      </c>
      <c r="AE5758" t="s">
        <v>43</v>
      </c>
      <c r="AF5758" t="s">
        <v>43</v>
      </c>
      <c r="AG5758" t="s">
        <v>43</v>
      </c>
      <c r="AH5758" t="s">
        <v>43</v>
      </c>
      <c r="AI5758" t="s">
        <v>43</v>
      </c>
      <c r="AJ5758" t="s">
        <v>43</v>
      </c>
      <c r="AK5758" t="s">
        <v>43</v>
      </c>
      <c r="AL5758" t="s">
        <v>43</v>
      </c>
      <c r="AM5758" t="s">
        <v>43</v>
      </c>
      <c r="AN5758" t="str">
        <f>HYPERLINK("https://www.google.com/maps?q=10.83319283,79.84577942","Open Location")</f>
        <v>Open Location</v>
      </c>
    </row>
    <row r="5759" spans="1:40" x14ac:dyDescent="0.3">
      <c r="A5759" s="1">
        <v>46210.332754629628</v>
      </c>
      <c r="B5759" t="s">
        <v>40</v>
      </c>
      <c r="C5759" t="s">
        <v>41</v>
      </c>
      <c r="D5759" s="1">
        <v>46210.335648148146</v>
      </c>
      <c r="E5759" t="s">
        <v>42</v>
      </c>
      <c r="F5759" t="s">
        <v>43</v>
      </c>
      <c r="G5759" t="s">
        <v>43</v>
      </c>
      <c r="H5759" t="s">
        <v>43</v>
      </c>
      <c r="I5759" t="s">
        <v>3266</v>
      </c>
      <c r="J5759" t="s">
        <v>43</v>
      </c>
      <c r="K5759" t="s">
        <v>43</v>
      </c>
      <c r="L5759" t="s">
        <v>43</v>
      </c>
      <c r="M5759" t="s">
        <v>43</v>
      </c>
      <c r="N5759" t="s">
        <v>45</v>
      </c>
      <c r="O5759" t="s">
        <v>43</v>
      </c>
      <c r="P5759" t="s">
        <v>43</v>
      </c>
      <c r="Q5759" t="s">
        <v>43</v>
      </c>
      <c r="R5759" t="s">
        <v>43</v>
      </c>
      <c r="S5759" t="s">
        <v>43</v>
      </c>
      <c r="T5759" t="s">
        <v>43</v>
      </c>
      <c r="U5759" t="s">
        <v>43</v>
      </c>
      <c r="V5759" t="s">
        <v>43</v>
      </c>
      <c r="W5759" t="s">
        <v>43</v>
      </c>
      <c r="X5759" t="s">
        <v>43</v>
      </c>
      <c r="Y5759" t="s">
        <v>43</v>
      </c>
      <c r="Z5759" t="s">
        <v>43</v>
      </c>
      <c r="AA5759" t="s">
        <v>43</v>
      </c>
      <c r="AB5759" t="s">
        <v>43</v>
      </c>
      <c r="AC5759" t="s">
        <v>43</v>
      </c>
      <c r="AD5759" t="s">
        <v>43</v>
      </c>
      <c r="AE5759" t="s">
        <v>43</v>
      </c>
      <c r="AF5759" t="s">
        <v>43</v>
      </c>
      <c r="AG5759" t="s">
        <v>43</v>
      </c>
      <c r="AH5759" t="s">
        <v>43</v>
      </c>
      <c r="AI5759" t="s">
        <v>43</v>
      </c>
      <c r="AJ5759" t="s">
        <v>43</v>
      </c>
      <c r="AK5759" t="s">
        <v>43</v>
      </c>
      <c r="AL5759" t="s">
        <v>43</v>
      </c>
      <c r="AM5759" t="s">
        <v>43</v>
      </c>
      <c r="AN5759" t="str">
        <f>HYPERLINK("https://www.google.com/maps?q=10.83319187,79.84577942","Open Location")</f>
        <v>Open Location</v>
      </c>
    </row>
    <row r="5760" spans="1:40" x14ac:dyDescent="0.3">
      <c r="A5760" s="1">
        <v>46210.332638888889</v>
      </c>
      <c r="B5760" t="s">
        <v>40</v>
      </c>
      <c r="C5760" t="s">
        <v>41</v>
      </c>
      <c r="D5760" s="1">
        <v>46210.335740740738</v>
      </c>
      <c r="E5760" t="s">
        <v>42</v>
      </c>
      <c r="F5760" t="s">
        <v>43</v>
      </c>
      <c r="G5760" t="s">
        <v>43</v>
      </c>
      <c r="H5760" t="s">
        <v>43</v>
      </c>
      <c r="I5760" t="s">
        <v>3265</v>
      </c>
      <c r="J5760" t="s">
        <v>43</v>
      </c>
      <c r="K5760" t="s">
        <v>43</v>
      </c>
      <c r="L5760" t="s">
        <v>43</v>
      </c>
      <c r="M5760" t="s">
        <v>43</v>
      </c>
      <c r="N5760" t="s">
        <v>45</v>
      </c>
      <c r="O5760" t="s">
        <v>43</v>
      </c>
      <c r="P5760" t="s">
        <v>43</v>
      </c>
      <c r="Q5760" t="s">
        <v>43</v>
      </c>
      <c r="R5760" t="s">
        <v>43</v>
      </c>
      <c r="S5760" t="s">
        <v>43</v>
      </c>
      <c r="T5760" t="s">
        <v>43</v>
      </c>
      <c r="U5760" t="s">
        <v>43</v>
      </c>
      <c r="V5760" t="s">
        <v>43</v>
      </c>
      <c r="W5760" t="s">
        <v>43</v>
      </c>
      <c r="X5760" t="s">
        <v>43</v>
      </c>
      <c r="Y5760" t="s">
        <v>43</v>
      </c>
      <c r="Z5760" t="s">
        <v>43</v>
      </c>
      <c r="AA5760" t="s">
        <v>43</v>
      </c>
      <c r="AB5760" t="s">
        <v>43</v>
      </c>
      <c r="AC5760" t="s">
        <v>43</v>
      </c>
      <c r="AD5760" t="s">
        <v>43</v>
      </c>
      <c r="AE5760" t="s">
        <v>43</v>
      </c>
      <c r="AF5760" t="s">
        <v>43</v>
      </c>
      <c r="AG5760" t="s">
        <v>43</v>
      </c>
      <c r="AH5760" t="s">
        <v>43</v>
      </c>
      <c r="AI5760" t="s">
        <v>43</v>
      </c>
      <c r="AJ5760" t="s">
        <v>43</v>
      </c>
      <c r="AK5760" t="s">
        <v>43</v>
      </c>
      <c r="AL5760" t="s">
        <v>43</v>
      </c>
      <c r="AM5760" t="s">
        <v>43</v>
      </c>
      <c r="AN5760" t="str">
        <f>HYPERLINK("https://www.google.com/maps?q=10.83319283,79.84577942","Open Location")</f>
        <v>Open Location</v>
      </c>
    </row>
    <row r="5761" spans="1:40" x14ac:dyDescent="0.3">
      <c r="A5761" s="1">
        <v>46210.33252314815</v>
      </c>
      <c r="B5761" t="s">
        <v>40</v>
      </c>
      <c r="C5761" t="s">
        <v>41</v>
      </c>
      <c r="D5761" s="1">
        <v>46210.335393518515</v>
      </c>
      <c r="E5761" t="s">
        <v>42</v>
      </c>
      <c r="F5761" t="s">
        <v>43</v>
      </c>
      <c r="G5761" t="s">
        <v>43</v>
      </c>
      <c r="H5761" t="s">
        <v>43</v>
      </c>
      <c r="I5761" t="s">
        <v>3267</v>
      </c>
      <c r="J5761" t="s">
        <v>43</v>
      </c>
      <c r="K5761" t="s">
        <v>43</v>
      </c>
      <c r="L5761" t="s">
        <v>43</v>
      </c>
      <c r="M5761" t="s">
        <v>43</v>
      </c>
      <c r="N5761" t="s">
        <v>45</v>
      </c>
      <c r="O5761" t="s">
        <v>43</v>
      </c>
      <c r="P5761" t="s">
        <v>43</v>
      </c>
      <c r="Q5761" t="s">
        <v>43</v>
      </c>
      <c r="R5761" t="s">
        <v>43</v>
      </c>
      <c r="S5761" t="s">
        <v>43</v>
      </c>
      <c r="T5761" t="s">
        <v>43</v>
      </c>
      <c r="U5761" t="s">
        <v>43</v>
      </c>
      <c r="V5761" t="s">
        <v>43</v>
      </c>
      <c r="W5761" t="s">
        <v>43</v>
      </c>
      <c r="X5761" t="s">
        <v>43</v>
      </c>
      <c r="Y5761" t="s">
        <v>43</v>
      </c>
      <c r="Z5761" t="s">
        <v>43</v>
      </c>
      <c r="AA5761" t="s">
        <v>43</v>
      </c>
      <c r="AB5761" t="s">
        <v>43</v>
      </c>
      <c r="AC5761" t="s">
        <v>43</v>
      </c>
      <c r="AD5761" t="s">
        <v>43</v>
      </c>
      <c r="AE5761" t="s">
        <v>43</v>
      </c>
      <c r="AF5761" t="s">
        <v>43</v>
      </c>
      <c r="AG5761" t="s">
        <v>43</v>
      </c>
      <c r="AH5761" t="s">
        <v>43</v>
      </c>
      <c r="AI5761" t="s">
        <v>43</v>
      </c>
      <c r="AJ5761" t="s">
        <v>43</v>
      </c>
      <c r="AK5761" t="s">
        <v>43</v>
      </c>
      <c r="AL5761" t="s">
        <v>43</v>
      </c>
      <c r="AM5761" t="s">
        <v>43</v>
      </c>
      <c r="AN5761" t="str">
        <f>HYPERLINK("https://www.google.com/maps?q=10.83318901,79.84577179","Open Location")</f>
        <v>Open Location</v>
      </c>
    </row>
    <row r="5762" spans="1:40" x14ac:dyDescent="0.3">
      <c r="A5762" s="1">
        <v>46210.332407407404</v>
      </c>
      <c r="B5762" t="s">
        <v>40</v>
      </c>
      <c r="C5762" t="s">
        <v>41</v>
      </c>
      <c r="D5762" s="1">
        <v>46210.335393518515</v>
      </c>
      <c r="E5762" t="s">
        <v>42</v>
      </c>
      <c r="F5762" t="s">
        <v>43</v>
      </c>
      <c r="G5762" t="s">
        <v>43</v>
      </c>
      <c r="H5762" t="s">
        <v>43</v>
      </c>
      <c r="I5762" t="s">
        <v>43</v>
      </c>
      <c r="J5762" t="s">
        <v>43</v>
      </c>
      <c r="K5762" t="s">
        <v>43</v>
      </c>
      <c r="L5762" t="s">
        <v>43</v>
      </c>
      <c r="M5762" t="s">
        <v>43</v>
      </c>
      <c r="N5762" t="s">
        <v>45</v>
      </c>
      <c r="O5762" t="s">
        <v>43</v>
      </c>
      <c r="P5762" t="s">
        <v>43</v>
      </c>
      <c r="Q5762" t="s">
        <v>43</v>
      </c>
      <c r="R5762" t="s">
        <v>43</v>
      </c>
      <c r="S5762" t="s">
        <v>43</v>
      </c>
      <c r="T5762" t="s">
        <v>43</v>
      </c>
      <c r="U5762" t="s">
        <v>43</v>
      </c>
      <c r="V5762" t="s">
        <v>43</v>
      </c>
      <c r="W5762" t="s">
        <v>43</v>
      </c>
      <c r="X5762" t="s">
        <v>43</v>
      </c>
      <c r="Y5762" t="s">
        <v>43</v>
      </c>
      <c r="Z5762" t="s">
        <v>43</v>
      </c>
      <c r="AA5762" t="s">
        <v>43</v>
      </c>
      <c r="AB5762" t="s">
        <v>43</v>
      </c>
      <c r="AC5762" t="s">
        <v>43</v>
      </c>
      <c r="AD5762" t="s">
        <v>43</v>
      </c>
      <c r="AE5762" t="s">
        <v>43</v>
      </c>
      <c r="AF5762" t="s">
        <v>43</v>
      </c>
      <c r="AG5762" t="s">
        <v>43</v>
      </c>
      <c r="AH5762" t="s">
        <v>43</v>
      </c>
      <c r="AI5762" t="s">
        <v>43</v>
      </c>
      <c r="AJ5762" t="s">
        <v>43</v>
      </c>
      <c r="AK5762" t="s">
        <v>43</v>
      </c>
      <c r="AL5762" t="s">
        <v>43</v>
      </c>
      <c r="AM5762" t="s">
        <v>43</v>
      </c>
      <c r="AN5762" t="s">
        <v>43</v>
      </c>
    </row>
    <row r="5763" spans="1:40" x14ac:dyDescent="0.3">
      <c r="A5763" s="1">
        <v>46210.332291666666</v>
      </c>
      <c r="B5763" t="s">
        <v>40</v>
      </c>
      <c r="C5763" t="s">
        <v>41</v>
      </c>
      <c r="D5763" s="1">
        <v>46210.335219907407</v>
      </c>
      <c r="E5763" t="s">
        <v>42</v>
      </c>
      <c r="F5763" t="s">
        <v>43</v>
      </c>
      <c r="G5763" t="s">
        <v>43</v>
      </c>
      <c r="H5763" t="s">
        <v>43</v>
      </c>
      <c r="I5763" t="s">
        <v>3268</v>
      </c>
      <c r="J5763" t="s">
        <v>43</v>
      </c>
      <c r="K5763" t="s">
        <v>43</v>
      </c>
      <c r="L5763" t="s">
        <v>43</v>
      </c>
      <c r="M5763" t="s">
        <v>43</v>
      </c>
      <c r="N5763" t="s">
        <v>45</v>
      </c>
      <c r="O5763" t="s">
        <v>43</v>
      </c>
      <c r="P5763" t="s">
        <v>43</v>
      </c>
      <c r="Q5763" t="s">
        <v>43</v>
      </c>
      <c r="R5763" t="s">
        <v>43</v>
      </c>
      <c r="S5763" t="s">
        <v>43</v>
      </c>
      <c r="T5763" t="s">
        <v>43</v>
      </c>
      <c r="U5763" t="s">
        <v>43</v>
      </c>
      <c r="V5763" t="s">
        <v>43</v>
      </c>
      <c r="W5763" t="s">
        <v>43</v>
      </c>
      <c r="X5763" t="s">
        <v>43</v>
      </c>
      <c r="Y5763" t="s">
        <v>43</v>
      </c>
      <c r="Z5763" t="s">
        <v>43</v>
      </c>
      <c r="AA5763" t="s">
        <v>43</v>
      </c>
      <c r="AB5763" t="s">
        <v>43</v>
      </c>
      <c r="AC5763" t="s">
        <v>43</v>
      </c>
      <c r="AD5763" t="s">
        <v>43</v>
      </c>
      <c r="AE5763" t="s">
        <v>43</v>
      </c>
      <c r="AF5763" t="s">
        <v>43</v>
      </c>
      <c r="AG5763" t="s">
        <v>43</v>
      </c>
      <c r="AH5763" t="s">
        <v>43</v>
      </c>
      <c r="AI5763" t="s">
        <v>43</v>
      </c>
      <c r="AJ5763" t="s">
        <v>43</v>
      </c>
      <c r="AK5763" t="s">
        <v>43</v>
      </c>
      <c r="AL5763" t="s">
        <v>43</v>
      </c>
      <c r="AM5763" t="s">
        <v>43</v>
      </c>
      <c r="AN5763" t="str">
        <f>HYPERLINK("https://www.google.com/maps?q=10.83318615,79.84577942","Open Location")</f>
        <v>Open Location</v>
      </c>
    </row>
    <row r="5764" spans="1:40" x14ac:dyDescent="0.3">
      <c r="A5764" s="1">
        <v>46210.332175925927</v>
      </c>
      <c r="B5764" t="s">
        <v>40</v>
      </c>
      <c r="C5764" t="s">
        <v>41</v>
      </c>
      <c r="D5764" s="1">
        <v>46210.335243055553</v>
      </c>
      <c r="E5764" t="s">
        <v>42</v>
      </c>
      <c r="F5764" t="s">
        <v>43</v>
      </c>
      <c r="G5764" t="s">
        <v>43</v>
      </c>
      <c r="H5764" t="s">
        <v>43</v>
      </c>
      <c r="I5764" t="s">
        <v>3268</v>
      </c>
      <c r="J5764" t="s">
        <v>43</v>
      </c>
      <c r="K5764" t="s">
        <v>43</v>
      </c>
      <c r="L5764" t="s">
        <v>43</v>
      </c>
      <c r="M5764" t="s">
        <v>43</v>
      </c>
      <c r="N5764" t="s">
        <v>45</v>
      </c>
      <c r="O5764" t="s">
        <v>43</v>
      </c>
      <c r="P5764" t="s">
        <v>43</v>
      </c>
      <c r="Q5764" t="s">
        <v>43</v>
      </c>
      <c r="R5764" t="s">
        <v>43</v>
      </c>
      <c r="S5764" t="s">
        <v>43</v>
      </c>
      <c r="T5764" t="s">
        <v>43</v>
      </c>
      <c r="U5764" t="s">
        <v>43</v>
      </c>
      <c r="V5764" t="s">
        <v>43</v>
      </c>
      <c r="W5764" t="s">
        <v>43</v>
      </c>
      <c r="X5764" t="s">
        <v>43</v>
      </c>
      <c r="Y5764" t="s">
        <v>43</v>
      </c>
      <c r="Z5764" t="s">
        <v>43</v>
      </c>
      <c r="AA5764" t="s">
        <v>43</v>
      </c>
      <c r="AB5764" t="s">
        <v>43</v>
      </c>
      <c r="AC5764" t="s">
        <v>43</v>
      </c>
      <c r="AD5764" t="s">
        <v>43</v>
      </c>
      <c r="AE5764" t="s">
        <v>43</v>
      </c>
      <c r="AF5764" t="s">
        <v>43</v>
      </c>
      <c r="AG5764" t="s">
        <v>43</v>
      </c>
      <c r="AH5764" t="s">
        <v>43</v>
      </c>
      <c r="AI5764" t="s">
        <v>43</v>
      </c>
      <c r="AJ5764" t="s">
        <v>43</v>
      </c>
      <c r="AK5764" t="s">
        <v>43</v>
      </c>
      <c r="AL5764" t="s">
        <v>43</v>
      </c>
      <c r="AM5764" t="s">
        <v>43</v>
      </c>
      <c r="AN5764" t="str">
        <f>HYPERLINK("https://www.google.com/maps?q=10.83318615,79.84577942","Open Location")</f>
        <v>Open Location</v>
      </c>
    </row>
    <row r="5765" spans="1:40" x14ac:dyDescent="0.3">
      <c r="A5765" s="1">
        <v>46210.332060185188</v>
      </c>
      <c r="B5765" t="s">
        <v>40</v>
      </c>
      <c r="C5765" t="s">
        <v>41</v>
      </c>
      <c r="D5765" s="1">
        <v>46210.334791666668</v>
      </c>
      <c r="E5765" t="s">
        <v>42</v>
      </c>
      <c r="F5765" t="s">
        <v>43</v>
      </c>
      <c r="G5765" t="s">
        <v>43</v>
      </c>
      <c r="H5765" t="s">
        <v>43</v>
      </c>
      <c r="I5765" t="s">
        <v>3269</v>
      </c>
      <c r="J5765" t="s">
        <v>43</v>
      </c>
      <c r="K5765" t="s">
        <v>43</v>
      </c>
      <c r="L5765" t="s">
        <v>43</v>
      </c>
      <c r="M5765" t="s">
        <v>43</v>
      </c>
      <c r="N5765" t="s">
        <v>45</v>
      </c>
      <c r="O5765" t="s">
        <v>43</v>
      </c>
      <c r="P5765" t="s">
        <v>43</v>
      </c>
      <c r="Q5765" t="s">
        <v>43</v>
      </c>
      <c r="R5765" t="s">
        <v>43</v>
      </c>
      <c r="S5765" t="s">
        <v>43</v>
      </c>
      <c r="T5765" t="s">
        <v>43</v>
      </c>
      <c r="U5765" t="s">
        <v>43</v>
      </c>
      <c r="V5765" t="s">
        <v>43</v>
      </c>
      <c r="W5765" t="s">
        <v>43</v>
      </c>
      <c r="X5765" t="s">
        <v>43</v>
      </c>
      <c r="Y5765" t="s">
        <v>43</v>
      </c>
      <c r="Z5765" t="s">
        <v>43</v>
      </c>
      <c r="AA5765" t="s">
        <v>43</v>
      </c>
      <c r="AB5765" t="s">
        <v>43</v>
      </c>
      <c r="AC5765" t="s">
        <v>43</v>
      </c>
      <c r="AD5765" t="s">
        <v>43</v>
      </c>
      <c r="AE5765" t="s">
        <v>43</v>
      </c>
      <c r="AF5765" t="s">
        <v>43</v>
      </c>
      <c r="AG5765" t="s">
        <v>43</v>
      </c>
      <c r="AH5765" t="s">
        <v>43</v>
      </c>
      <c r="AI5765" t="s">
        <v>43</v>
      </c>
      <c r="AJ5765" t="s">
        <v>43</v>
      </c>
      <c r="AK5765" t="s">
        <v>43</v>
      </c>
      <c r="AL5765" t="s">
        <v>43</v>
      </c>
      <c r="AM5765" t="s">
        <v>43</v>
      </c>
      <c r="AN5765" t="str">
        <f>HYPERLINK("https://www.google.com/maps?q=10.83318806,79.84577942","Open Location")</f>
        <v>Open Location</v>
      </c>
    </row>
    <row r="5766" spans="1:40" x14ac:dyDescent="0.3">
      <c r="A5766" s="1">
        <v>46210.331944444442</v>
      </c>
      <c r="B5766" t="s">
        <v>40</v>
      </c>
      <c r="C5766" t="s">
        <v>41</v>
      </c>
      <c r="D5766" s="1">
        <v>46210.33494212963</v>
      </c>
      <c r="E5766" t="s">
        <v>42</v>
      </c>
      <c r="F5766" t="s">
        <v>43</v>
      </c>
      <c r="G5766" t="s">
        <v>43</v>
      </c>
      <c r="H5766" t="s">
        <v>43</v>
      </c>
      <c r="I5766" t="s">
        <v>3268</v>
      </c>
      <c r="J5766" t="s">
        <v>43</v>
      </c>
      <c r="K5766" t="s">
        <v>43</v>
      </c>
      <c r="L5766" t="s">
        <v>43</v>
      </c>
      <c r="M5766" t="s">
        <v>43</v>
      </c>
      <c r="N5766" t="s">
        <v>45</v>
      </c>
      <c r="O5766" t="s">
        <v>43</v>
      </c>
      <c r="P5766" t="s">
        <v>43</v>
      </c>
      <c r="Q5766" t="s">
        <v>43</v>
      </c>
      <c r="R5766" t="s">
        <v>43</v>
      </c>
      <c r="S5766" t="s">
        <v>43</v>
      </c>
      <c r="T5766" t="s">
        <v>43</v>
      </c>
      <c r="U5766" t="s">
        <v>43</v>
      </c>
      <c r="V5766" t="s">
        <v>43</v>
      </c>
      <c r="W5766" t="s">
        <v>43</v>
      </c>
      <c r="X5766" t="s">
        <v>43</v>
      </c>
      <c r="Y5766" t="s">
        <v>43</v>
      </c>
      <c r="Z5766" t="s">
        <v>43</v>
      </c>
      <c r="AA5766" t="s">
        <v>43</v>
      </c>
      <c r="AB5766" t="s">
        <v>43</v>
      </c>
      <c r="AC5766" t="s">
        <v>43</v>
      </c>
      <c r="AD5766" t="s">
        <v>43</v>
      </c>
      <c r="AE5766" t="s">
        <v>43</v>
      </c>
      <c r="AF5766" t="s">
        <v>43</v>
      </c>
      <c r="AG5766" t="s">
        <v>43</v>
      </c>
      <c r="AH5766" t="s">
        <v>43</v>
      </c>
      <c r="AI5766" t="s">
        <v>43</v>
      </c>
      <c r="AJ5766" t="s">
        <v>43</v>
      </c>
      <c r="AK5766" t="s">
        <v>43</v>
      </c>
      <c r="AL5766" t="s">
        <v>43</v>
      </c>
      <c r="AM5766" t="s">
        <v>43</v>
      </c>
      <c r="AN5766" t="str">
        <f>HYPERLINK("https://www.google.com/maps?q=10.83318615,79.84577942","Open Location")</f>
        <v>Open Location</v>
      </c>
    </row>
    <row r="5767" spans="1:40" x14ac:dyDescent="0.3">
      <c r="A5767" s="1">
        <v>46210.331828703704</v>
      </c>
      <c r="B5767" t="s">
        <v>40</v>
      </c>
      <c r="C5767" t="s">
        <v>41</v>
      </c>
      <c r="D5767" s="1">
        <v>46210.334583333337</v>
      </c>
      <c r="E5767" t="s">
        <v>42</v>
      </c>
      <c r="F5767" t="s">
        <v>43</v>
      </c>
      <c r="G5767" t="s">
        <v>43</v>
      </c>
      <c r="H5767" t="s">
        <v>43</v>
      </c>
      <c r="I5767" t="s">
        <v>3270</v>
      </c>
      <c r="J5767" t="s">
        <v>43</v>
      </c>
      <c r="K5767" t="s">
        <v>43</v>
      </c>
      <c r="L5767" t="s">
        <v>43</v>
      </c>
      <c r="M5767" t="s">
        <v>43</v>
      </c>
      <c r="N5767" t="s">
        <v>45</v>
      </c>
      <c r="O5767" t="s">
        <v>43</v>
      </c>
      <c r="P5767" t="s">
        <v>43</v>
      </c>
      <c r="Q5767" t="s">
        <v>43</v>
      </c>
      <c r="R5767" t="s">
        <v>43</v>
      </c>
      <c r="S5767" t="s">
        <v>43</v>
      </c>
      <c r="T5767" t="s">
        <v>43</v>
      </c>
      <c r="U5767" t="s">
        <v>43</v>
      </c>
      <c r="V5767" t="s">
        <v>43</v>
      </c>
      <c r="W5767" t="s">
        <v>43</v>
      </c>
      <c r="X5767" t="s">
        <v>43</v>
      </c>
      <c r="Y5767" t="s">
        <v>43</v>
      </c>
      <c r="Z5767" t="s">
        <v>43</v>
      </c>
      <c r="AA5767" t="s">
        <v>43</v>
      </c>
      <c r="AB5767" t="s">
        <v>43</v>
      </c>
      <c r="AC5767" t="s">
        <v>43</v>
      </c>
      <c r="AD5767" t="s">
        <v>43</v>
      </c>
      <c r="AE5767" t="s">
        <v>43</v>
      </c>
      <c r="AF5767" t="s">
        <v>43</v>
      </c>
      <c r="AG5767" t="s">
        <v>43</v>
      </c>
      <c r="AH5767" t="s">
        <v>43</v>
      </c>
      <c r="AI5767" t="s">
        <v>43</v>
      </c>
      <c r="AJ5767" t="s">
        <v>43</v>
      </c>
      <c r="AK5767" t="s">
        <v>43</v>
      </c>
      <c r="AL5767" t="s">
        <v>43</v>
      </c>
      <c r="AM5767" t="s">
        <v>43</v>
      </c>
      <c r="AN5767" t="str">
        <f>HYPERLINK("https://www.google.com/maps?q=10.83318043,79.84577942","Open Location")</f>
        <v>Open Location</v>
      </c>
    </row>
    <row r="5768" spans="1:40" x14ac:dyDescent="0.3">
      <c r="A5768" s="1">
        <v>46210.331712962965</v>
      </c>
      <c r="B5768" t="s">
        <v>40</v>
      </c>
      <c r="C5768" t="s">
        <v>41</v>
      </c>
      <c r="D5768" s="1">
        <v>46210.334618055553</v>
      </c>
      <c r="E5768" t="s">
        <v>42</v>
      </c>
      <c r="F5768" t="s">
        <v>43</v>
      </c>
      <c r="G5768" t="s">
        <v>43</v>
      </c>
      <c r="H5768" t="s">
        <v>43</v>
      </c>
      <c r="I5768" t="s">
        <v>43</v>
      </c>
      <c r="J5768" t="s">
        <v>43</v>
      </c>
      <c r="K5768" t="s">
        <v>43</v>
      </c>
      <c r="L5768" t="s">
        <v>43</v>
      </c>
      <c r="M5768" t="s">
        <v>43</v>
      </c>
      <c r="N5768" t="s">
        <v>45</v>
      </c>
      <c r="O5768" t="s">
        <v>43</v>
      </c>
      <c r="P5768" t="s">
        <v>43</v>
      </c>
      <c r="Q5768" t="s">
        <v>43</v>
      </c>
      <c r="R5768" t="s">
        <v>43</v>
      </c>
      <c r="S5768" t="s">
        <v>43</v>
      </c>
      <c r="T5768" t="s">
        <v>43</v>
      </c>
      <c r="U5768" t="s">
        <v>43</v>
      </c>
      <c r="V5768" t="s">
        <v>43</v>
      </c>
      <c r="W5768" t="s">
        <v>43</v>
      </c>
      <c r="X5768" t="s">
        <v>43</v>
      </c>
      <c r="Y5768" t="s">
        <v>43</v>
      </c>
      <c r="Z5768" t="s">
        <v>43</v>
      </c>
      <c r="AA5768" t="s">
        <v>43</v>
      </c>
      <c r="AB5768" t="s">
        <v>43</v>
      </c>
      <c r="AC5768" t="s">
        <v>43</v>
      </c>
      <c r="AD5768" t="s">
        <v>43</v>
      </c>
      <c r="AE5768" t="s">
        <v>43</v>
      </c>
      <c r="AF5768" t="s">
        <v>43</v>
      </c>
      <c r="AG5768" t="s">
        <v>43</v>
      </c>
      <c r="AH5768" t="s">
        <v>43</v>
      </c>
      <c r="AI5768" t="s">
        <v>43</v>
      </c>
      <c r="AJ5768" t="s">
        <v>43</v>
      </c>
      <c r="AK5768" t="s">
        <v>43</v>
      </c>
      <c r="AL5768" t="s">
        <v>43</v>
      </c>
      <c r="AM5768" t="s">
        <v>43</v>
      </c>
      <c r="AN5768" t="s">
        <v>43</v>
      </c>
    </row>
    <row r="5769" spans="1:40" x14ac:dyDescent="0.3">
      <c r="A5769" s="1">
        <v>46210.331597222219</v>
      </c>
      <c r="B5769" t="s">
        <v>40</v>
      </c>
      <c r="C5769" t="s">
        <v>41</v>
      </c>
      <c r="D5769" s="1">
        <v>46210.334606481483</v>
      </c>
      <c r="E5769" t="s">
        <v>42</v>
      </c>
      <c r="F5769" t="s">
        <v>43</v>
      </c>
      <c r="G5769" t="s">
        <v>43</v>
      </c>
      <c r="H5769" t="s">
        <v>43</v>
      </c>
      <c r="I5769" t="s">
        <v>3271</v>
      </c>
      <c r="J5769" t="s">
        <v>43</v>
      </c>
      <c r="K5769" t="s">
        <v>43</v>
      </c>
      <c r="L5769" t="s">
        <v>43</v>
      </c>
      <c r="M5769" t="s">
        <v>43</v>
      </c>
      <c r="N5769" t="s">
        <v>45</v>
      </c>
      <c r="O5769" t="s">
        <v>43</v>
      </c>
      <c r="P5769" t="s">
        <v>43</v>
      </c>
      <c r="Q5769" t="s">
        <v>43</v>
      </c>
      <c r="R5769" t="s">
        <v>43</v>
      </c>
      <c r="S5769" t="s">
        <v>43</v>
      </c>
      <c r="T5769" t="s">
        <v>43</v>
      </c>
      <c r="U5769" t="s">
        <v>43</v>
      </c>
      <c r="V5769" t="s">
        <v>43</v>
      </c>
      <c r="W5769" t="s">
        <v>43</v>
      </c>
      <c r="X5769" t="s">
        <v>43</v>
      </c>
      <c r="Y5769" t="s">
        <v>43</v>
      </c>
      <c r="Z5769" t="s">
        <v>43</v>
      </c>
      <c r="AA5769" t="s">
        <v>43</v>
      </c>
      <c r="AB5769" t="s">
        <v>43</v>
      </c>
      <c r="AC5769" t="s">
        <v>43</v>
      </c>
      <c r="AD5769" t="s">
        <v>43</v>
      </c>
      <c r="AE5769" t="s">
        <v>43</v>
      </c>
      <c r="AF5769" t="s">
        <v>43</v>
      </c>
      <c r="AG5769" t="s">
        <v>43</v>
      </c>
      <c r="AH5769" t="s">
        <v>43</v>
      </c>
      <c r="AI5769" t="s">
        <v>43</v>
      </c>
      <c r="AJ5769" t="s">
        <v>43</v>
      </c>
      <c r="AK5769" t="s">
        <v>43</v>
      </c>
      <c r="AL5769" t="s">
        <v>43</v>
      </c>
      <c r="AM5769" t="s">
        <v>43</v>
      </c>
      <c r="AN5769" t="str">
        <f>HYPERLINK("https://www.google.com/maps?q=10.83318138,79.84577942","Open Location")</f>
        <v>Open Location</v>
      </c>
    </row>
    <row r="5770" spans="1:40" x14ac:dyDescent="0.3">
      <c r="A5770" s="1">
        <v>46210.33148148148</v>
      </c>
      <c r="B5770" t="s">
        <v>40</v>
      </c>
      <c r="C5770" t="s">
        <v>41</v>
      </c>
      <c r="D5770" s="1">
        <v>46210.334467592591</v>
      </c>
      <c r="E5770" t="s">
        <v>42</v>
      </c>
      <c r="F5770" t="s">
        <v>43</v>
      </c>
      <c r="G5770" t="s">
        <v>43</v>
      </c>
      <c r="H5770" t="s">
        <v>43</v>
      </c>
      <c r="I5770" t="s">
        <v>3272</v>
      </c>
      <c r="J5770" t="s">
        <v>43</v>
      </c>
      <c r="K5770" t="s">
        <v>43</v>
      </c>
      <c r="L5770" t="s">
        <v>43</v>
      </c>
      <c r="M5770" t="s">
        <v>43</v>
      </c>
      <c r="N5770" t="s">
        <v>45</v>
      </c>
      <c r="O5770" t="s">
        <v>43</v>
      </c>
      <c r="P5770" t="s">
        <v>43</v>
      </c>
      <c r="Q5770" t="s">
        <v>43</v>
      </c>
      <c r="R5770" t="s">
        <v>43</v>
      </c>
      <c r="S5770" t="s">
        <v>43</v>
      </c>
      <c r="T5770" t="s">
        <v>43</v>
      </c>
      <c r="U5770" t="s">
        <v>43</v>
      </c>
      <c r="V5770" t="s">
        <v>43</v>
      </c>
      <c r="W5770" t="s">
        <v>43</v>
      </c>
      <c r="X5770" t="s">
        <v>43</v>
      </c>
      <c r="Y5770" t="s">
        <v>43</v>
      </c>
      <c r="Z5770" t="s">
        <v>43</v>
      </c>
      <c r="AA5770" t="s">
        <v>43</v>
      </c>
      <c r="AB5770" t="s">
        <v>43</v>
      </c>
      <c r="AC5770" t="s">
        <v>43</v>
      </c>
      <c r="AD5770" t="s">
        <v>43</v>
      </c>
      <c r="AE5770" t="s">
        <v>43</v>
      </c>
      <c r="AF5770" t="s">
        <v>43</v>
      </c>
      <c r="AG5770" t="s">
        <v>43</v>
      </c>
      <c r="AH5770" t="s">
        <v>43</v>
      </c>
      <c r="AI5770" t="s">
        <v>43</v>
      </c>
      <c r="AJ5770" t="s">
        <v>43</v>
      </c>
      <c r="AK5770" t="s">
        <v>43</v>
      </c>
      <c r="AL5770" t="s">
        <v>43</v>
      </c>
      <c r="AM5770" t="s">
        <v>43</v>
      </c>
      <c r="AN5770" t="str">
        <f>HYPERLINK("https://www.google.com/maps?q=10.83318424,79.84577179","Open Location")</f>
        <v>Open Location</v>
      </c>
    </row>
    <row r="5771" spans="1:40" x14ac:dyDescent="0.3">
      <c r="A5771" s="1">
        <v>46210.331365740742</v>
      </c>
      <c r="B5771" t="s">
        <v>40</v>
      </c>
      <c r="C5771" t="s">
        <v>41</v>
      </c>
      <c r="D5771" s="1">
        <v>46210.334178240744</v>
      </c>
      <c r="E5771" t="s">
        <v>42</v>
      </c>
      <c r="F5771" t="s">
        <v>43</v>
      </c>
      <c r="G5771" t="s">
        <v>43</v>
      </c>
      <c r="H5771" t="s">
        <v>43</v>
      </c>
      <c r="I5771" t="s">
        <v>3268</v>
      </c>
      <c r="J5771" t="s">
        <v>43</v>
      </c>
      <c r="K5771" t="s">
        <v>43</v>
      </c>
      <c r="L5771" t="s">
        <v>43</v>
      </c>
      <c r="M5771" t="s">
        <v>43</v>
      </c>
      <c r="N5771" t="s">
        <v>45</v>
      </c>
      <c r="O5771" t="s">
        <v>43</v>
      </c>
      <c r="P5771" t="s">
        <v>43</v>
      </c>
      <c r="Q5771" t="s">
        <v>43</v>
      </c>
      <c r="R5771" t="s">
        <v>43</v>
      </c>
      <c r="S5771" t="s">
        <v>43</v>
      </c>
      <c r="T5771" t="s">
        <v>43</v>
      </c>
      <c r="U5771" t="s">
        <v>43</v>
      </c>
      <c r="V5771" t="s">
        <v>43</v>
      </c>
      <c r="W5771" t="s">
        <v>43</v>
      </c>
      <c r="X5771" t="s">
        <v>43</v>
      </c>
      <c r="Y5771" t="s">
        <v>43</v>
      </c>
      <c r="Z5771" t="s">
        <v>43</v>
      </c>
      <c r="AA5771" t="s">
        <v>43</v>
      </c>
      <c r="AB5771" t="s">
        <v>43</v>
      </c>
      <c r="AC5771" t="s">
        <v>43</v>
      </c>
      <c r="AD5771" t="s">
        <v>43</v>
      </c>
      <c r="AE5771" t="s">
        <v>43</v>
      </c>
      <c r="AF5771" t="s">
        <v>43</v>
      </c>
      <c r="AG5771" t="s">
        <v>43</v>
      </c>
      <c r="AH5771" t="s">
        <v>43</v>
      </c>
      <c r="AI5771" t="s">
        <v>43</v>
      </c>
      <c r="AJ5771" t="s">
        <v>43</v>
      </c>
      <c r="AK5771" t="s">
        <v>43</v>
      </c>
      <c r="AL5771" t="s">
        <v>43</v>
      </c>
      <c r="AM5771" t="s">
        <v>43</v>
      </c>
      <c r="AN5771" t="str">
        <f>HYPERLINK("https://www.google.com/maps?q=10.83318615,79.84577942","Open Location")</f>
        <v>Open Location</v>
      </c>
    </row>
    <row r="5772" spans="1:40" x14ac:dyDescent="0.3">
      <c r="A5772" s="1">
        <v>46210.331250000003</v>
      </c>
      <c r="B5772" t="s">
        <v>40</v>
      </c>
      <c r="C5772" t="s">
        <v>41</v>
      </c>
      <c r="D5772" s="1">
        <v>46210.33421296296</v>
      </c>
      <c r="E5772" t="s">
        <v>42</v>
      </c>
      <c r="F5772" t="s">
        <v>43</v>
      </c>
      <c r="G5772" t="s">
        <v>43</v>
      </c>
      <c r="H5772" t="s">
        <v>43</v>
      </c>
      <c r="I5772" t="s">
        <v>3268</v>
      </c>
      <c r="J5772" t="s">
        <v>43</v>
      </c>
      <c r="K5772" t="s">
        <v>43</v>
      </c>
      <c r="L5772" t="s">
        <v>43</v>
      </c>
      <c r="M5772" t="s">
        <v>43</v>
      </c>
      <c r="N5772" t="s">
        <v>45</v>
      </c>
      <c r="O5772" t="s">
        <v>43</v>
      </c>
      <c r="P5772" t="s">
        <v>43</v>
      </c>
      <c r="Q5772" t="s">
        <v>43</v>
      </c>
      <c r="R5772" t="s">
        <v>43</v>
      </c>
      <c r="S5772" t="s">
        <v>43</v>
      </c>
      <c r="T5772" t="s">
        <v>43</v>
      </c>
      <c r="U5772" t="s">
        <v>43</v>
      </c>
      <c r="V5772" t="s">
        <v>43</v>
      </c>
      <c r="W5772" t="s">
        <v>43</v>
      </c>
      <c r="X5772" t="s">
        <v>43</v>
      </c>
      <c r="Y5772" t="s">
        <v>43</v>
      </c>
      <c r="Z5772" t="s">
        <v>43</v>
      </c>
      <c r="AA5772" t="s">
        <v>43</v>
      </c>
      <c r="AB5772" t="s">
        <v>43</v>
      </c>
      <c r="AC5772" t="s">
        <v>43</v>
      </c>
      <c r="AD5772" t="s">
        <v>43</v>
      </c>
      <c r="AE5772" t="s">
        <v>43</v>
      </c>
      <c r="AF5772" t="s">
        <v>43</v>
      </c>
      <c r="AG5772" t="s">
        <v>43</v>
      </c>
      <c r="AH5772" t="s">
        <v>43</v>
      </c>
      <c r="AI5772" t="s">
        <v>43</v>
      </c>
      <c r="AJ5772" t="s">
        <v>43</v>
      </c>
      <c r="AK5772" t="s">
        <v>43</v>
      </c>
      <c r="AL5772" t="s">
        <v>43</v>
      </c>
      <c r="AM5772" t="s">
        <v>43</v>
      </c>
      <c r="AN5772" t="str">
        <f>HYPERLINK("https://www.google.com/maps?q=10.83318615,79.84577942","Open Location")</f>
        <v>Open Location</v>
      </c>
    </row>
    <row r="5773" spans="1:40" x14ac:dyDescent="0.3">
      <c r="A5773" s="1">
        <v>46210.331134259257</v>
      </c>
      <c r="B5773" t="s">
        <v>40</v>
      </c>
      <c r="C5773" t="s">
        <v>41</v>
      </c>
      <c r="D5773" s="1">
        <v>46210.334178240744</v>
      </c>
      <c r="E5773" t="s">
        <v>42</v>
      </c>
      <c r="F5773" t="s">
        <v>43</v>
      </c>
      <c r="G5773" t="s">
        <v>43</v>
      </c>
      <c r="H5773" t="s">
        <v>43</v>
      </c>
      <c r="I5773" t="s">
        <v>43</v>
      </c>
      <c r="J5773" t="s">
        <v>43</v>
      </c>
      <c r="K5773" t="s">
        <v>43</v>
      </c>
      <c r="L5773" t="s">
        <v>43</v>
      </c>
      <c r="M5773" t="s">
        <v>43</v>
      </c>
      <c r="N5773" t="s">
        <v>45</v>
      </c>
      <c r="O5773" t="s">
        <v>43</v>
      </c>
      <c r="P5773" t="s">
        <v>43</v>
      </c>
      <c r="Q5773" t="s">
        <v>43</v>
      </c>
      <c r="R5773" t="s">
        <v>43</v>
      </c>
      <c r="S5773" t="s">
        <v>43</v>
      </c>
      <c r="T5773" t="s">
        <v>43</v>
      </c>
      <c r="U5773" t="s">
        <v>43</v>
      </c>
      <c r="V5773" t="s">
        <v>43</v>
      </c>
      <c r="W5773" t="s">
        <v>43</v>
      </c>
      <c r="X5773" t="s">
        <v>43</v>
      </c>
      <c r="Y5773" t="s">
        <v>43</v>
      </c>
      <c r="Z5773" t="s">
        <v>43</v>
      </c>
      <c r="AA5773" t="s">
        <v>43</v>
      </c>
      <c r="AB5773" t="s">
        <v>43</v>
      </c>
      <c r="AC5773" t="s">
        <v>43</v>
      </c>
      <c r="AD5773" t="s">
        <v>43</v>
      </c>
      <c r="AE5773" t="s">
        <v>43</v>
      </c>
      <c r="AF5773" t="s">
        <v>43</v>
      </c>
      <c r="AG5773" t="s">
        <v>43</v>
      </c>
      <c r="AH5773" t="s">
        <v>43</v>
      </c>
      <c r="AI5773" t="s">
        <v>43</v>
      </c>
      <c r="AJ5773" t="s">
        <v>43</v>
      </c>
      <c r="AK5773" t="s">
        <v>43</v>
      </c>
      <c r="AL5773" t="s">
        <v>43</v>
      </c>
      <c r="AM5773" t="s">
        <v>43</v>
      </c>
      <c r="AN5773" t="s">
        <v>43</v>
      </c>
    </row>
    <row r="5774" spans="1:40" x14ac:dyDescent="0.3">
      <c r="A5774" s="1">
        <v>46210.331018518518</v>
      </c>
      <c r="B5774" t="s">
        <v>40</v>
      </c>
      <c r="C5774" t="s">
        <v>41</v>
      </c>
      <c r="D5774" s="1">
        <v>46210.334085648145</v>
      </c>
      <c r="E5774" t="s">
        <v>42</v>
      </c>
      <c r="F5774" t="s">
        <v>43</v>
      </c>
      <c r="G5774" t="s">
        <v>43</v>
      </c>
      <c r="H5774" t="s">
        <v>43</v>
      </c>
      <c r="I5774" t="s">
        <v>3273</v>
      </c>
      <c r="J5774" t="s">
        <v>43</v>
      </c>
      <c r="K5774" t="s">
        <v>43</v>
      </c>
      <c r="L5774" t="s">
        <v>43</v>
      </c>
      <c r="M5774" t="s">
        <v>43</v>
      </c>
      <c r="N5774" t="s">
        <v>45</v>
      </c>
      <c r="O5774" t="s">
        <v>43</v>
      </c>
      <c r="P5774" t="s">
        <v>43</v>
      </c>
      <c r="Q5774" t="s">
        <v>43</v>
      </c>
      <c r="R5774" t="s">
        <v>43</v>
      </c>
      <c r="S5774" t="s">
        <v>43</v>
      </c>
      <c r="T5774" t="s">
        <v>43</v>
      </c>
      <c r="U5774" t="s">
        <v>43</v>
      </c>
      <c r="V5774" t="s">
        <v>43</v>
      </c>
      <c r="W5774" t="s">
        <v>43</v>
      </c>
      <c r="X5774" t="s">
        <v>43</v>
      </c>
      <c r="Y5774" t="s">
        <v>43</v>
      </c>
      <c r="Z5774" t="s">
        <v>43</v>
      </c>
      <c r="AA5774" t="s">
        <v>43</v>
      </c>
      <c r="AB5774" t="s">
        <v>43</v>
      </c>
      <c r="AC5774" t="s">
        <v>43</v>
      </c>
      <c r="AD5774" t="s">
        <v>43</v>
      </c>
      <c r="AE5774" t="s">
        <v>43</v>
      </c>
      <c r="AF5774" t="s">
        <v>43</v>
      </c>
      <c r="AG5774" t="s">
        <v>43</v>
      </c>
      <c r="AH5774" t="s">
        <v>43</v>
      </c>
      <c r="AI5774" t="s">
        <v>43</v>
      </c>
      <c r="AJ5774" t="s">
        <v>43</v>
      </c>
      <c r="AK5774" t="s">
        <v>43</v>
      </c>
      <c r="AL5774" t="s">
        <v>43</v>
      </c>
      <c r="AM5774" t="s">
        <v>43</v>
      </c>
      <c r="AN5774" t="str">
        <f>HYPERLINK("https://www.google.com/maps?q=10.83318996,79.84577942","Open Location")</f>
        <v>Open Location</v>
      </c>
    </row>
    <row r="5775" spans="1:40" x14ac:dyDescent="0.3">
      <c r="A5775" s="1">
        <v>46210.33090277778</v>
      </c>
      <c r="B5775" t="s">
        <v>40</v>
      </c>
      <c r="C5775" t="s">
        <v>41</v>
      </c>
      <c r="D5775" s="1">
        <v>46210.333622685182</v>
      </c>
      <c r="E5775" t="s">
        <v>42</v>
      </c>
      <c r="F5775" t="s">
        <v>43</v>
      </c>
      <c r="G5775" t="s">
        <v>43</v>
      </c>
      <c r="H5775" t="s">
        <v>43</v>
      </c>
      <c r="I5775" t="s">
        <v>3274</v>
      </c>
      <c r="J5775" t="s">
        <v>43</v>
      </c>
      <c r="K5775" t="s">
        <v>43</v>
      </c>
      <c r="L5775" t="s">
        <v>43</v>
      </c>
      <c r="M5775" t="s">
        <v>43</v>
      </c>
      <c r="N5775" t="s">
        <v>45</v>
      </c>
      <c r="O5775" t="s">
        <v>43</v>
      </c>
      <c r="P5775" t="s">
        <v>43</v>
      </c>
      <c r="Q5775" t="s">
        <v>43</v>
      </c>
      <c r="R5775" t="s">
        <v>43</v>
      </c>
      <c r="S5775" t="s">
        <v>43</v>
      </c>
      <c r="T5775" t="s">
        <v>43</v>
      </c>
      <c r="U5775" t="s">
        <v>43</v>
      </c>
      <c r="V5775" t="s">
        <v>43</v>
      </c>
      <c r="W5775" t="s">
        <v>43</v>
      </c>
      <c r="X5775" t="s">
        <v>43</v>
      </c>
      <c r="Y5775" t="s">
        <v>43</v>
      </c>
      <c r="Z5775" t="s">
        <v>43</v>
      </c>
      <c r="AA5775" t="s">
        <v>43</v>
      </c>
      <c r="AB5775" t="s">
        <v>43</v>
      </c>
      <c r="AC5775" t="s">
        <v>43</v>
      </c>
      <c r="AD5775" t="s">
        <v>43</v>
      </c>
      <c r="AE5775" t="s">
        <v>43</v>
      </c>
      <c r="AF5775" t="s">
        <v>43</v>
      </c>
      <c r="AG5775" t="s">
        <v>43</v>
      </c>
      <c r="AH5775" t="s">
        <v>43</v>
      </c>
      <c r="AI5775" t="s">
        <v>43</v>
      </c>
      <c r="AJ5775" t="s">
        <v>43</v>
      </c>
      <c r="AK5775" t="s">
        <v>43</v>
      </c>
      <c r="AL5775" t="s">
        <v>43</v>
      </c>
      <c r="AM5775" t="s">
        <v>43</v>
      </c>
      <c r="AN5775" t="str">
        <f>HYPERLINK("https://www.google.com/maps?q=10.83319092,79.84577942","Open Location")</f>
        <v>Open Location</v>
      </c>
    </row>
    <row r="5776" spans="1:40" x14ac:dyDescent="0.3">
      <c r="A5776" s="1">
        <v>46210.330787037034</v>
      </c>
      <c r="B5776" t="s">
        <v>40</v>
      </c>
      <c r="C5776" t="s">
        <v>41</v>
      </c>
      <c r="D5776" s="1">
        <v>46210.333807870367</v>
      </c>
      <c r="E5776" t="s">
        <v>42</v>
      </c>
      <c r="F5776" t="s">
        <v>43</v>
      </c>
      <c r="G5776" t="s">
        <v>43</v>
      </c>
      <c r="H5776" t="s">
        <v>43</v>
      </c>
      <c r="I5776" t="s">
        <v>3275</v>
      </c>
      <c r="J5776" t="s">
        <v>43</v>
      </c>
      <c r="K5776" t="s">
        <v>43</v>
      </c>
      <c r="L5776" t="s">
        <v>43</v>
      </c>
      <c r="M5776" t="s">
        <v>43</v>
      </c>
      <c r="N5776" t="s">
        <v>45</v>
      </c>
      <c r="O5776" t="s">
        <v>43</v>
      </c>
      <c r="P5776" t="s">
        <v>43</v>
      </c>
      <c r="Q5776" t="s">
        <v>43</v>
      </c>
      <c r="R5776" t="s">
        <v>43</v>
      </c>
      <c r="S5776" t="s">
        <v>43</v>
      </c>
      <c r="T5776" t="s">
        <v>43</v>
      </c>
      <c r="U5776" t="s">
        <v>43</v>
      </c>
      <c r="V5776" t="s">
        <v>43</v>
      </c>
      <c r="W5776" t="s">
        <v>43</v>
      </c>
      <c r="X5776" t="s">
        <v>43</v>
      </c>
      <c r="Y5776" t="s">
        <v>43</v>
      </c>
      <c r="Z5776" t="s">
        <v>43</v>
      </c>
      <c r="AA5776" t="s">
        <v>43</v>
      </c>
      <c r="AB5776" t="s">
        <v>43</v>
      </c>
      <c r="AC5776" t="s">
        <v>43</v>
      </c>
      <c r="AD5776" t="s">
        <v>43</v>
      </c>
      <c r="AE5776" t="s">
        <v>43</v>
      </c>
      <c r="AF5776" t="s">
        <v>43</v>
      </c>
      <c r="AG5776" t="s">
        <v>43</v>
      </c>
      <c r="AH5776" t="s">
        <v>43</v>
      </c>
      <c r="AI5776" t="s">
        <v>43</v>
      </c>
      <c r="AJ5776" t="s">
        <v>43</v>
      </c>
      <c r="AK5776" t="s">
        <v>43</v>
      </c>
      <c r="AL5776" t="s">
        <v>43</v>
      </c>
      <c r="AM5776" t="s">
        <v>43</v>
      </c>
      <c r="AN5776" t="str">
        <f>HYPERLINK("https://www.google.com/maps?q=10.8331871,79.84578705","Open Location")</f>
        <v>Open Location</v>
      </c>
    </row>
    <row r="5777" spans="1:40" x14ac:dyDescent="0.3">
      <c r="A5777" s="1">
        <v>46210.330671296295</v>
      </c>
      <c r="B5777" t="s">
        <v>40</v>
      </c>
      <c r="C5777" t="s">
        <v>41</v>
      </c>
      <c r="D5777" s="1">
        <v>46210.333634259259</v>
      </c>
      <c r="E5777" t="s">
        <v>42</v>
      </c>
      <c r="F5777" t="s">
        <v>43</v>
      </c>
      <c r="G5777" t="s">
        <v>43</v>
      </c>
      <c r="H5777" t="s">
        <v>43</v>
      </c>
      <c r="I5777" t="s">
        <v>3268</v>
      </c>
      <c r="J5777" t="s">
        <v>43</v>
      </c>
      <c r="K5777" t="s">
        <v>43</v>
      </c>
      <c r="L5777" t="s">
        <v>43</v>
      </c>
      <c r="M5777" t="s">
        <v>43</v>
      </c>
      <c r="N5777" t="s">
        <v>45</v>
      </c>
      <c r="O5777" t="s">
        <v>43</v>
      </c>
      <c r="P5777" t="s">
        <v>43</v>
      </c>
      <c r="Q5777" t="s">
        <v>43</v>
      </c>
      <c r="R5777" t="s">
        <v>43</v>
      </c>
      <c r="S5777" t="s">
        <v>43</v>
      </c>
      <c r="T5777" t="s">
        <v>43</v>
      </c>
      <c r="U5777" t="s">
        <v>43</v>
      </c>
      <c r="V5777" t="s">
        <v>43</v>
      </c>
      <c r="W5777" t="s">
        <v>43</v>
      </c>
      <c r="X5777" t="s">
        <v>43</v>
      </c>
      <c r="Y5777" t="s">
        <v>43</v>
      </c>
      <c r="Z5777" t="s">
        <v>43</v>
      </c>
      <c r="AA5777" t="s">
        <v>43</v>
      </c>
      <c r="AB5777" t="s">
        <v>43</v>
      </c>
      <c r="AC5777" t="s">
        <v>43</v>
      </c>
      <c r="AD5777" t="s">
        <v>43</v>
      </c>
      <c r="AE5777" t="s">
        <v>43</v>
      </c>
      <c r="AF5777" t="s">
        <v>43</v>
      </c>
      <c r="AG5777" t="s">
        <v>43</v>
      </c>
      <c r="AH5777" t="s">
        <v>43</v>
      </c>
      <c r="AI5777" t="s">
        <v>43</v>
      </c>
      <c r="AJ5777" t="s">
        <v>43</v>
      </c>
      <c r="AK5777" t="s">
        <v>43</v>
      </c>
      <c r="AL5777" t="s">
        <v>43</v>
      </c>
      <c r="AM5777" t="s">
        <v>43</v>
      </c>
      <c r="AN5777" t="str">
        <f>HYPERLINK("https://www.google.com/maps?q=10.83318615,79.84577942","Open Location")</f>
        <v>Open Location</v>
      </c>
    </row>
    <row r="5778" spans="1:40" x14ac:dyDescent="0.3">
      <c r="A5778" s="1">
        <v>46210.330555555556</v>
      </c>
      <c r="B5778" t="s">
        <v>40</v>
      </c>
      <c r="C5778" t="s">
        <v>41</v>
      </c>
      <c r="D5778" s="1">
        <v>46210.333738425928</v>
      </c>
      <c r="E5778" t="s">
        <v>42</v>
      </c>
      <c r="F5778" t="s">
        <v>43</v>
      </c>
      <c r="G5778" t="s">
        <v>43</v>
      </c>
      <c r="H5778" t="s">
        <v>43</v>
      </c>
      <c r="I5778" t="s">
        <v>3276</v>
      </c>
      <c r="J5778" t="s">
        <v>43</v>
      </c>
      <c r="K5778" t="s">
        <v>43</v>
      </c>
      <c r="L5778" t="s">
        <v>43</v>
      </c>
      <c r="M5778" t="s">
        <v>43</v>
      </c>
      <c r="N5778" t="s">
        <v>45</v>
      </c>
      <c r="O5778" t="s">
        <v>43</v>
      </c>
      <c r="P5778" t="s">
        <v>43</v>
      </c>
      <c r="Q5778" t="s">
        <v>43</v>
      </c>
      <c r="R5778" t="s">
        <v>43</v>
      </c>
      <c r="S5778" t="s">
        <v>43</v>
      </c>
      <c r="T5778" t="s">
        <v>43</v>
      </c>
      <c r="U5778" t="s">
        <v>43</v>
      </c>
      <c r="V5778" t="s">
        <v>43</v>
      </c>
      <c r="W5778" t="s">
        <v>43</v>
      </c>
      <c r="X5778" t="s">
        <v>43</v>
      </c>
      <c r="Y5778" t="s">
        <v>43</v>
      </c>
      <c r="Z5778" t="s">
        <v>43</v>
      </c>
      <c r="AA5778" t="s">
        <v>43</v>
      </c>
      <c r="AB5778" t="s">
        <v>43</v>
      </c>
      <c r="AC5778" t="s">
        <v>43</v>
      </c>
      <c r="AD5778" t="s">
        <v>43</v>
      </c>
      <c r="AE5778" t="s">
        <v>43</v>
      </c>
      <c r="AF5778" t="s">
        <v>43</v>
      </c>
      <c r="AG5778" t="s">
        <v>43</v>
      </c>
      <c r="AH5778" t="s">
        <v>43</v>
      </c>
      <c r="AI5778" t="s">
        <v>43</v>
      </c>
      <c r="AJ5778" t="s">
        <v>43</v>
      </c>
      <c r="AK5778" t="s">
        <v>43</v>
      </c>
      <c r="AL5778" t="s">
        <v>43</v>
      </c>
      <c r="AM5778" t="s">
        <v>43</v>
      </c>
      <c r="AN5778" t="str">
        <f>HYPERLINK("https://www.google.com/maps?q=10.83318329,79.84577942","Open Location")</f>
        <v>Open Location</v>
      </c>
    </row>
    <row r="5779" spans="1:40" x14ac:dyDescent="0.3">
      <c r="A5779" s="1">
        <v>46210.330439814818</v>
      </c>
      <c r="B5779" t="s">
        <v>40</v>
      </c>
      <c r="C5779" t="s">
        <v>41</v>
      </c>
      <c r="D5779" s="1">
        <v>46210.333275462966</v>
      </c>
      <c r="E5779" t="s">
        <v>42</v>
      </c>
      <c r="F5779" t="s">
        <v>43</v>
      </c>
      <c r="G5779" t="s">
        <v>43</v>
      </c>
      <c r="H5779" t="s">
        <v>43</v>
      </c>
      <c r="I5779" t="s">
        <v>43</v>
      </c>
      <c r="J5779" t="s">
        <v>43</v>
      </c>
      <c r="K5779" t="s">
        <v>43</v>
      </c>
      <c r="L5779" t="s">
        <v>43</v>
      </c>
      <c r="M5779" t="s">
        <v>43</v>
      </c>
      <c r="N5779" t="s">
        <v>45</v>
      </c>
      <c r="O5779" t="s">
        <v>43</v>
      </c>
      <c r="P5779" t="s">
        <v>43</v>
      </c>
      <c r="Q5779" t="s">
        <v>43</v>
      </c>
      <c r="R5779" t="s">
        <v>43</v>
      </c>
      <c r="S5779" t="s">
        <v>43</v>
      </c>
      <c r="T5779" t="s">
        <v>43</v>
      </c>
      <c r="U5779" t="s">
        <v>43</v>
      </c>
      <c r="V5779" t="s">
        <v>43</v>
      </c>
      <c r="W5779" t="s">
        <v>43</v>
      </c>
      <c r="X5779" t="s">
        <v>43</v>
      </c>
      <c r="Y5779" t="s">
        <v>43</v>
      </c>
      <c r="Z5779" t="s">
        <v>43</v>
      </c>
      <c r="AA5779" t="s">
        <v>43</v>
      </c>
      <c r="AB5779" t="s">
        <v>43</v>
      </c>
      <c r="AC5779" t="s">
        <v>43</v>
      </c>
      <c r="AD5779" t="s">
        <v>43</v>
      </c>
      <c r="AE5779" t="s">
        <v>43</v>
      </c>
      <c r="AF5779" t="s">
        <v>43</v>
      </c>
      <c r="AG5779" t="s">
        <v>43</v>
      </c>
      <c r="AH5779" t="s">
        <v>43</v>
      </c>
      <c r="AI5779" t="s">
        <v>43</v>
      </c>
      <c r="AJ5779" t="s">
        <v>43</v>
      </c>
      <c r="AK5779" t="s">
        <v>43</v>
      </c>
      <c r="AL5779" t="s">
        <v>43</v>
      </c>
      <c r="AM5779" t="s">
        <v>43</v>
      </c>
      <c r="AN5779" t="s">
        <v>43</v>
      </c>
    </row>
    <row r="5780" spans="1:40" x14ac:dyDescent="0.3">
      <c r="A5780" s="1">
        <v>46210.330324074072</v>
      </c>
      <c r="B5780" t="s">
        <v>40</v>
      </c>
      <c r="C5780" t="s">
        <v>41</v>
      </c>
      <c r="D5780" s="1">
        <v>46210.333379629628</v>
      </c>
      <c r="E5780" t="s">
        <v>42</v>
      </c>
      <c r="F5780" t="s">
        <v>43</v>
      </c>
      <c r="G5780" t="s">
        <v>43</v>
      </c>
      <c r="H5780" t="s">
        <v>43</v>
      </c>
      <c r="I5780" t="s">
        <v>3271</v>
      </c>
      <c r="J5780" t="s">
        <v>43</v>
      </c>
      <c r="K5780" t="s">
        <v>43</v>
      </c>
      <c r="L5780" t="s">
        <v>43</v>
      </c>
      <c r="M5780" t="s">
        <v>43</v>
      </c>
      <c r="N5780" t="s">
        <v>45</v>
      </c>
      <c r="O5780" t="s">
        <v>43</v>
      </c>
      <c r="P5780" t="s">
        <v>43</v>
      </c>
      <c r="Q5780" t="s">
        <v>43</v>
      </c>
      <c r="R5780" t="s">
        <v>43</v>
      </c>
      <c r="S5780" t="s">
        <v>43</v>
      </c>
      <c r="T5780" t="s">
        <v>43</v>
      </c>
      <c r="U5780" t="s">
        <v>43</v>
      </c>
      <c r="V5780" t="s">
        <v>43</v>
      </c>
      <c r="W5780" t="s">
        <v>43</v>
      </c>
      <c r="X5780" t="s">
        <v>43</v>
      </c>
      <c r="Y5780" t="s">
        <v>43</v>
      </c>
      <c r="Z5780" t="s">
        <v>43</v>
      </c>
      <c r="AA5780" t="s">
        <v>43</v>
      </c>
      <c r="AB5780" t="s">
        <v>43</v>
      </c>
      <c r="AC5780" t="s">
        <v>43</v>
      </c>
      <c r="AD5780" t="s">
        <v>43</v>
      </c>
      <c r="AE5780" t="s">
        <v>43</v>
      </c>
      <c r="AF5780" t="s">
        <v>43</v>
      </c>
      <c r="AG5780" t="s">
        <v>43</v>
      </c>
      <c r="AH5780" t="s">
        <v>43</v>
      </c>
      <c r="AI5780" t="s">
        <v>43</v>
      </c>
      <c r="AJ5780" t="s">
        <v>43</v>
      </c>
      <c r="AK5780" t="s">
        <v>43</v>
      </c>
      <c r="AL5780" t="s">
        <v>43</v>
      </c>
      <c r="AM5780" t="s">
        <v>43</v>
      </c>
      <c r="AN5780" t="str">
        <f>HYPERLINK("https://www.google.com/maps?q=10.83318138,79.84577942","Open Location")</f>
        <v>Open Location</v>
      </c>
    </row>
    <row r="5781" spans="1:40" x14ac:dyDescent="0.3">
      <c r="A5781" s="1">
        <v>46210.330208333333</v>
      </c>
      <c r="B5781" t="s">
        <v>40</v>
      </c>
      <c r="C5781" t="s">
        <v>41</v>
      </c>
      <c r="D5781" s="1">
        <v>46210.333171296297</v>
      </c>
      <c r="E5781" t="s">
        <v>42</v>
      </c>
      <c r="F5781" t="s">
        <v>43</v>
      </c>
      <c r="G5781" t="s">
        <v>43</v>
      </c>
      <c r="H5781" t="s">
        <v>43</v>
      </c>
      <c r="I5781" t="s">
        <v>3269</v>
      </c>
      <c r="J5781" t="s">
        <v>43</v>
      </c>
      <c r="K5781" t="s">
        <v>43</v>
      </c>
      <c r="L5781" t="s">
        <v>43</v>
      </c>
      <c r="M5781" t="s">
        <v>43</v>
      </c>
      <c r="N5781" t="s">
        <v>45</v>
      </c>
      <c r="O5781" t="s">
        <v>43</v>
      </c>
      <c r="P5781" t="s">
        <v>43</v>
      </c>
      <c r="Q5781" t="s">
        <v>43</v>
      </c>
      <c r="R5781" t="s">
        <v>43</v>
      </c>
      <c r="S5781" t="s">
        <v>43</v>
      </c>
      <c r="T5781" t="s">
        <v>43</v>
      </c>
      <c r="U5781" t="s">
        <v>43</v>
      </c>
      <c r="V5781" t="s">
        <v>43</v>
      </c>
      <c r="W5781" t="s">
        <v>43</v>
      </c>
      <c r="X5781" t="s">
        <v>43</v>
      </c>
      <c r="Y5781" t="s">
        <v>43</v>
      </c>
      <c r="Z5781" t="s">
        <v>43</v>
      </c>
      <c r="AA5781" t="s">
        <v>43</v>
      </c>
      <c r="AB5781" t="s">
        <v>43</v>
      </c>
      <c r="AC5781" t="s">
        <v>43</v>
      </c>
      <c r="AD5781" t="s">
        <v>43</v>
      </c>
      <c r="AE5781" t="s">
        <v>43</v>
      </c>
      <c r="AF5781" t="s">
        <v>43</v>
      </c>
      <c r="AG5781" t="s">
        <v>43</v>
      </c>
      <c r="AH5781" t="s">
        <v>43</v>
      </c>
      <c r="AI5781" t="s">
        <v>43</v>
      </c>
      <c r="AJ5781" t="s">
        <v>43</v>
      </c>
      <c r="AK5781" t="s">
        <v>43</v>
      </c>
      <c r="AL5781" t="s">
        <v>43</v>
      </c>
      <c r="AM5781" t="s">
        <v>43</v>
      </c>
      <c r="AN5781" t="str">
        <f>HYPERLINK("https://www.google.com/maps?q=10.83318806,79.84577942","Open Location")</f>
        <v>Open Location</v>
      </c>
    </row>
    <row r="5782" spans="1:40" x14ac:dyDescent="0.3">
      <c r="A5782" s="1">
        <v>46210.330092592594</v>
      </c>
      <c r="B5782" t="s">
        <v>40</v>
      </c>
      <c r="C5782" t="s">
        <v>41</v>
      </c>
      <c r="D5782" s="1">
        <v>46210.333090277774</v>
      </c>
      <c r="E5782" t="s">
        <v>42</v>
      </c>
      <c r="F5782" t="s">
        <v>43</v>
      </c>
      <c r="G5782" t="s">
        <v>43</v>
      </c>
      <c r="H5782" t="s">
        <v>43</v>
      </c>
      <c r="I5782" t="s">
        <v>3277</v>
      </c>
      <c r="J5782" t="s">
        <v>43</v>
      </c>
      <c r="K5782" t="s">
        <v>43</v>
      </c>
      <c r="L5782" t="s">
        <v>43</v>
      </c>
      <c r="M5782" t="s">
        <v>43</v>
      </c>
      <c r="N5782" t="s">
        <v>45</v>
      </c>
      <c r="O5782" t="s">
        <v>43</v>
      </c>
      <c r="P5782" t="s">
        <v>43</v>
      </c>
      <c r="Q5782" t="s">
        <v>43</v>
      </c>
      <c r="R5782" t="s">
        <v>43</v>
      </c>
      <c r="S5782" t="s">
        <v>43</v>
      </c>
      <c r="T5782" t="s">
        <v>43</v>
      </c>
      <c r="U5782" t="s">
        <v>43</v>
      </c>
      <c r="V5782" t="s">
        <v>43</v>
      </c>
      <c r="W5782" t="s">
        <v>43</v>
      </c>
      <c r="X5782" t="s">
        <v>43</v>
      </c>
      <c r="Y5782" t="s">
        <v>43</v>
      </c>
      <c r="Z5782" t="s">
        <v>43</v>
      </c>
      <c r="AA5782" t="s">
        <v>43</v>
      </c>
      <c r="AB5782" t="s">
        <v>43</v>
      </c>
      <c r="AC5782" t="s">
        <v>43</v>
      </c>
      <c r="AD5782" t="s">
        <v>43</v>
      </c>
      <c r="AE5782" t="s">
        <v>43</v>
      </c>
      <c r="AF5782" t="s">
        <v>43</v>
      </c>
      <c r="AG5782" t="s">
        <v>43</v>
      </c>
      <c r="AH5782" t="s">
        <v>43</v>
      </c>
      <c r="AI5782" t="s">
        <v>43</v>
      </c>
      <c r="AJ5782" t="s">
        <v>43</v>
      </c>
      <c r="AK5782" t="s">
        <v>43</v>
      </c>
      <c r="AL5782" t="s">
        <v>43</v>
      </c>
      <c r="AM5782" t="s">
        <v>43</v>
      </c>
      <c r="AN5782" t="str">
        <f>HYPERLINK("https://www.google.com/maps?q=10.8331852,79.84577942","Open Location")</f>
        <v>Open Location</v>
      </c>
    </row>
    <row r="5783" spans="1:40" x14ac:dyDescent="0.3">
      <c r="A5783" s="1">
        <v>46210.329976851855</v>
      </c>
      <c r="B5783" t="s">
        <v>40</v>
      </c>
      <c r="C5783" t="s">
        <v>41</v>
      </c>
      <c r="D5783" s="1">
        <v>46210.332986111112</v>
      </c>
      <c r="E5783" t="s">
        <v>42</v>
      </c>
      <c r="F5783" t="s">
        <v>43</v>
      </c>
      <c r="G5783" t="s">
        <v>43</v>
      </c>
      <c r="H5783" t="s">
        <v>43</v>
      </c>
      <c r="I5783" t="s">
        <v>3278</v>
      </c>
      <c r="J5783" t="s">
        <v>43</v>
      </c>
      <c r="K5783" t="s">
        <v>43</v>
      </c>
      <c r="L5783" t="s">
        <v>43</v>
      </c>
      <c r="M5783" t="s">
        <v>43</v>
      </c>
      <c r="N5783" t="s">
        <v>45</v>
      </c>
      <c r="O5783" t="s">
        <v>43</v>
      </c>
      <c r="P5783" t="s">
        <v>43</v>
      </c>
      <c r="Q5783" t="s">
        <v>43</v>
      </c>
      <c r="R5783" t="s">
        <v>43</v>
      </c>
      <c r="S5783" t="s">
        <v>43</v>
      </c>
      <c r="T5783" t="s">
        <v>43</v>
      </c>
      <c r="U5783" t="s">
        <v>43</v>
      </c>
      <c r="V5783" t="s">
        <v>43</v>
      </c>
      <c r="W5783" t="s">
        <v>43</v>
      </c>
      <c r="X5783" t="s">
        <v>43</v>
      </c>
      <c r="Y5783" t="s">
        <v>43</v>
      </c>
      <c r="Z5783" t="s">
        <v>43</v>
      </c>
      <c r="AA5783" t="s">
        <v>43</v>
      </c>
      <c r="AB5783" t="s">
        <v>43</v>
      </c>
      <c r="AC5783" t="s">
        <v>43</v>
      </c>
      <c r="AD5783" t="s">
        <v>43</v>
      </c>
      <c r="AE5783" t="s">
        <v>43</v>
      </c>
      <c r="AF5783" t="s">
        <v>43</v>
      </c>
      <c r="AG5783" t="s">
        <v>43</v>
      </c>
      <c r="AH5783" t="s">
        <v>43</v>
      </c>
      <c r="AI5783" t="s">
        <v>43</v>
      </c>
      <c r="AJ5783" t="s">
        <v>43</v>
      </c>
      <c r="AK5783" t="s">
        <v>43</v>
      </c>
      <c r="AL5783" t="s">
        <v>43</v>
      </c>
      <c r="AM5783" t="s">
        <v>43</v>
      </c>
      <c r="AN5783" t="str">
        <f>HYPERLINK("https://www.google.com/maps?q=10.83318424,79.84577942","Open Location")</f>
        <v>Open Location</v>
      </c>
    </row>
    <row r="5784" spans="1:40" x14ac:dyDescent="0.3">
      <c r="A5784" s="1">
        <v>46210.329861111109</v>
      </c>
      <c r="B5784" t="s">
        <v>40</v>
      </c>
      <c r="C5784" t="s">
        <v>41</v>
      </c>
      <c r="D5784" s="1">
        <v>46210.332905092589</v>
      </c>
      <c r="E5784" t="s">
        <v>42</v>
      </c>
      <c r="F5784" t="s">
        <v>43</v>
      </c>
      <c r="G5784" t="s">
        <v>43</v>
      </c>
      <c r="H5784" t="s">
        <v>43</v>
      </c>
      <c r="I5784" t="s">
        <v>3279</v>
      </c>
      <c r="J5784" t="s">
        <v>43</v>
      </c>
      <c r="K5784" t="s">
        <v>43</v>
      </c>
      <c r="L5784" t="s">
        <v>43</v>
      </c>
      <c r="M5784" t="s">
        <v>43</v>
      </c>
      <c r="N5784" t="s">
        <v>45</v>
      </c>
      <c r="O5784" t="s">
        <v>43</v>
      </c>
      <c r="P5784" t="s">
        <v>43</v>
      </c>
      <c r="Q5784" t="s">
        <v>43</v>
      </c>
      <c r="R5784" t="s">
        <v>43</v>
      </c>
      <c r="S5784" t="s">
        <v>43</v>
      </c>
      <c r="T5784" t="s">
        <v>43</v>
      </c>
      <c r="U5784" t="s">
        <v>43</v>
      </c>
      <c r="V5784" t="s">
        <v>43</v>
      </c>
      <c r="W5784" t="s">
        <v>43</v>
      </c>
      <c r="X5784" t="s">
        <v>43</v>
      </c>
      <c r="Y5784" t="s">
        <v>43</v>
      </c>
      <c r="Z5784" t="s">
        <v>43</v>
      </c>
      <c r="AA5784" t="s">
        <v>43</v>
      </c>
      <c r="AB5784" t="s">
        <v>43</v>
      </c>
      <c r="AC5784" t="s">
        <v>43</v>
      </c>
      <c r="AD5784" t="s">
        <v>43</v>
      </c>
      <c r="AE5784" t="s">
        <v>43</v>
      </c>
      <c r="AF5784" t="s">
        <v>43</v>
      </c>
      <c r="AG5784" t="s">
        <v>43</v>
      </c>
      <c r="AH5784" t="s">
        <v>43</v>
      </c>
      <c r="AI5784" t="s">
        <v>43</v>
      </c>
      <c r="AJ5784" t="s">
        <v>43</v>
      </c>
      <c r="AK5784" t="s">
        <v>43</v>
      </c>
      <c r="AL5784" t="s">
        <v>43</v>
      </c>
      <c r="AM5784" t="s">
        <v>43</v>
      </c>
      <c r="AN5784" t="str">
        <f>HYPERLINK("https://www.google.com/maps?q=10.83318233,79.84577942","Open Location")</f>
        <v>Open Location</v>
      </c>
    </row>
    <row r="5785" spans="1:40" x14ac:dyDescent="0.3">
      <c r="A5785" s="1">
        <v>46210.329745370371</v>
      </c>
      <c r="B5785" t="s">
        <v>40</v>
      </c>
      <c r="C5785" t="s">
        <v>41</v>
      </c>
      <c r="D5785" s="1">
        <v>46210.332569444443</v>
      </c>
      <c r="E5785" t="s">
        <v>42</v>
      </c>
      <c r="F5785" t="s">
        <v>43</v>
      </c>
      <c r="G5785" t="s">
        <v>43</v>
      </c>
      <c r="H5785" t="s">
        <v>43</v>
      </c>
      <c r="I5785" t="s">
        <v>43</v>
      </c>
      <c r="J5785" t="s">
        <v>43</v>
      </c>
      <c r="K5785" t="s">
        <v>43</v>
      </c>
      <c r="L5785" t="s">
        <v>43</v>
      </c>
      <c r="M5785" t="s">
        <v>43</v>
      </c>
      <c r="N5785" t="s">
        <v>45</v>
      </c>
      <c r="O5785" t="s">
        <v>43</v>
      </c>
      <c r="P5785" t="s">
        <v>43</v>
      </c>
      <c r="Q5785" t="s">
        <v>43</v>
      </c>
      <c r="R5785" t="s">
        <v>43</v>
      </c>
      <c r="S5785" t="s">
        <v>43</v>
      </c>
      <c r="T5785" t="s">
        <v>43</v>
      </c>
      <c r="U5785" t="s">
        <v>43</v>
      </c>
      <c r="V5785" t="s">
        <v>43</v>
      </c>
      <c r="W5785" t="s">
        <v>43</v>
      </c>
      <c r="X5785" t="s">
        <v>43</v>
      </c>
      <c r="Y5785" t="s">
        <v>43</v>
      </c>
      <c r="Z5785" t="s">
        <v>43</v>
      </c>
      <c r="AA5785" t="s">
        <v>43</v>
      </c>
      <c r="AB5785" t="s">
        <v>43</v>
      </c>
      <c r="AC5785" t="s">
        <v>43</v>
      </c>
      <c r="AD5785" t="s">
        <v>43</v>
      </c>
      <c r="AE5785" t="s">
        <v>43</v>
      </c>
      <c r="AF5785" t="s">
        <v>43</v>
      </c>
      <c r="AG5785" t="s">
        <v>43</v>
      </c>
      <c r="AH5785" t="s">
        <v>43</v>
      </c>
      <c r="AI5785" t="s">
        <v>43</v>
      </c>
      <c r="AJ5785" t="s">
        <v>43</v>
      </c>
      <c r="AK5785" t="s">
        <v>43</v>
      </c>
      <c r="AL5785" t="s">
        <v>43</v>
      </c>
      <c r="AM5785" t="s">
        <v>43</v>
      </c>
      <c r="AN5785" t="s">
        <v>43</v>
      </c>
    </row>
    <row r="5786" spans="1:40" x14ac:dyDescent="0.3">
      <c r="A5786" s="1">
        <v>46210.329629629632</v>
      </c>
      <c r="B5786" t="s">
        <v>40</v>
      </c>
      <c r="C5786" t="s">
        <v>41</v>
      </c>
      <c r="D5786" s="1">
        <v>46210.332569444443</v>
      </c>
      <c r="E5786" t="s">
        <v>42</v>
      </c>
      <c r="F5786" t="s">
        <v>43</v>
      </c>
      <c r="G5786" t="s">
        <v>43</v>
      </c>
      <c r="H5786" t="s">
        <v>43</v>
      </c>
      <c r="I5786" t="s">
        <v>3280</v>
      </c>
      <c r="J5786" t="s">
        <v>43</v>
      </c>
      <c r="K5786" t="s">
        <v>43</v>
      </c>
      <c r="L5786" t="s">
        <v>43</v>
      </c>
      <c r="M5786" t="s">
        <v>43</v>
      </c>
      <c r="N5786" t="s">
        <v>45</v>
      </c>
      <c r="O5786" t="s">
        <v>43</v>
      </c>
      <c r="P5786" t="s">
        <v>43</v>
      </c>
      <c r="Q5786" t="s">
        <v>43</v>
      </c>
      <c r="R5786" t="s">
        <v>43</v>
      </c>
      <c r="S5786" t="s">
        <v>43</v>
      </c>
      <c r="T5786" t="s">
        <v>43</v>
      </c>
      <c r="U5786" t="s">
        <v>43</v>
      </c>
      <c r="V5786" t="s">
        <v>43</v>
      </c>
      <c r="W5786" t="s">
        <v>43</v>
      </c>
      <c r="X5786" t="s">
        <v>43</v>
      </c>
      <c r="Y5786" t="s">
        <v>43</v>
      </c>
      <c r="Z5786" t="s">
        <v>43</v>
      </c>
      <c r="AA5786" t="s">
        <v>43</v>
      </c>
      <c r="AB5786" t="s">
        <v>43</v>
      </c>
      <c r="AC5786" t="s">
        <v>43</v>
      </c>
      <c r="AD5786" t="s">
        <v>43</v>
      </c>
      <c r="AE5786" t="s">
        <v>43</v>
      </c>
      <c r="AF5786" t="s">
        <v>43</v>
      </c>
      <c r="AG5786" t="s">
        <v>43</v>
      </c>
      <c r="AH5786" t="s">
        <v>43</v>
      </c>
      <c r="AI5786" t="s">
        <v>43</v>
      </c>
      <c r="AJ5786" t="s">
        <v>43</v>
      </c>
      <c r="AK5786" t="s">
        <v>43</v>
      </c>
      <c r="AL5786" t="s">
        <v>43</v>
      </c>
      <c r="AM5786" t="s">
        <v>43</v>
      </c>
      <c r="AN5786" t="str">
        <f>HYPERLINK("https://www.google.com/maps?q=10.83318615,79.84578705","Open Location")</f>
        <v>Open Location</v>
      </c>
    </row>
    <row r="5787" spans="1:40" x14ac:dyDescent="0.3">
      <c r="A5787" s="1">
        <v>46210.329513888886</v>
      </c>
      <c r="B5787" t="s">
        <v>40</v>
      </c>
      <c r="C5787" t="s">
        <v>41</v>
      </c>
      <c r="D5787" s="1">
        <v>46210.332361111112</v>
      </c>
      <c r="E5787" t="s">
        <v>42</v>
      </c>
      <c r="F5787" t="s">
        <v>43</v>
      </c>
      <c r="G5787" t="s">
        <v>43</v>
      </c>
      <c r="H5787" t="s">
        <v>43</v>
      </c>
      <c r="I5787" t="s">
        <v>3281</v>
      </c>
      <c r="J5787" t="s">
        <v>43</v>
      </c>
      <c r="K5787" t="s">
        <v>43</v>
      </c>
      <c r="L5787" t="s">
        <v>43</v>
      </c>
      <c r="M5787" t="s">
        <v>43</v>
      </c>
      <c r="N5787" t="s">
        <v>45</v>
      </c>
      <c r="O5787" t="s">
        <v>43</v>
      </c>
      <c r="P5787" t="s">
        <v>43</v>
      </c>
      <c r="Q5787" t="s">
        <v>43</v>
      </c>
      <c r="R5787" t="s">
        <v>43</v>
      </c>
      <c r="S5787" t="s">
        <v>43</v>
      </c>
      <c r="T5787" t="s">
        <v>43</v>
      </c>
      <c r="U5787" t="s">
        <v>43</v>
      </c>
      <c r="V5787" t="s">
        <v>43</v>
      </c>
      <c r="W5787" t="s">
        <v>43</v>
      </c>
      <c r="X5787" t="s">
        <v>43</v>
      </c>
      <c r="Y5787" t="s">
        <v>43</v>
      </c>
      <c r="Z5787" t="s">
        <v>43</v>
      </c>
      <c r="AA5787" t="s">
        <v>43</v>
      </c>
      <c r="AB5787" t="s">
        <v>43</v>
      </c>
      <c r="AC5787" t="s">
        <v>43</v>
      </c>
      <c r="AD5787" t="s">
        <v>43</v>
      </c>
      <c r="AE5787" t="s">
        <v>43</v>
      </c>
      <c r="AF5787" t="s">
        <v>43</v>
      </c>
      <c r="AG5787" t="s">
        <v>43</v>
      </c>
      <c r="AH5787" t="s">
        <v>43</v>
      </c>
      <c r="AI5787" t="s">
        <v>43</v>
      </c>
      <c r="AJ5787" t="s">
        <v>43</v>
      </c>
      <c r="AK5787" t="s">
        <v>43</v>
      </c>
      <c r="AL5787" t="s">
        <v>43</v>
      </c>
      <c r="AM5787" t="s">
        <v>43</v>
      </c>
      <c r="AN5787" t="str">
        <f>HYPERLINK("https://www.google.com/maps?q=10.83318901,79.84578705","Open Location")</f>
        <v>Open Location</v>
      </c>
    </row>
    <row r="5788" spans="1:40" x14ac:dyDescent="0.3">
      <c r="A5788" s="1">
        <v>46210.329398148147</v>
      </c>
      <c r="B5788" t="s">
        <v>40</v>
      </c>
      <c r="C5788" t="s">
        <v>41</v>
      </c>
      <c r="D5788" s="1">
        <v>46210.332361111112</v>
      </c>
      <c r="E5788" t="s">
        <v>42</v>
      </c>
      <c r="F5788" t="s">
        <v>43</v>
      </c>
      <c r="G5788" t="s">
        <v>43</v>
      </c>
      <c r="H5788" t="s">
        <v>43</v>
      </c>
      <c r="I5788" t="s">
        <v>3281</v>
      </c>
      <c r="J5788" t="s">
        <v>43</v>
      </c>
      <c r="K5788" t="s">
        <v>43</v>
      </c>
      <c r="L5788" t="s">
        <v>43</v>
      </c>
      <c r="M5788" t="s">
        <v>43</v>
      </c>
      <c r="N5788" t="s">
        <v>45</v>
      </c>
      <c r="O5788" t="s">
        <v>43</v>
      </c>
      <c r="P5788" t="s">
        <v>43</v>
      </c>
      <c r="Q5788" t="s">
        <v>43</v>
      </c>
      <c r="R5788" t="s">
        <v>43</v>
      </c>
      <c r="S5788" t="s">
        <v>43</v>
      </c>
      <c r="T5788" t="s">
        <v>43</v>
      </c>
      <c r="U5788" t="s">
        <v>43</v>
      </c>
      <c r="V5788" t="s">
        <v>43</v>
      </c>
      <c r="W5788" t="s">
        <v>43</v>
      </c>
      <c r="X5788" t="s">
        <v>43</v>
      </c>
      <c r="Y5788" t="s">
        <v>43</v>
      </c>
      <c r="Z5788" t="s">
        <v>43</v>
      </c>
      <c r="AA5788" t="s">
        <v>43</v>
      </c>
      <c r="AB5788" t="s">
        <v>43</v>
      </c>
      <c r="AC5788" t="s">
        <v>43</v>
      </c>
      <c r="AD5788" t="s">
        <v>43</v>
      </c>
      <c r="AE5788" t="s">
        <v>43</v>
      </c>
      <c r="AF5788" t="s">
        <v>43</v>
      </c>
      <c r="AG5788" t="s">
        <v>43</v>
      </c>
      <c r="AH5788" t="s">
        <v>43</v>
      </c>
      <c r="AI5788" t="s">
        <v>43</v>
      </c>
      <c r="AJ5788" t="s">
        <v>43</v>
      </c>
      <c r="AK5788" t="s">
        <v>43</v>
      </c>
      <c r="AL5788" t="s">
        <v>43</v>
      </c>
      <c r="AM5788" t="s">
        <v>43</v>
      </c>
      <c r="AN5788" t="str">
        <f>HYPERLINK("https://www.google.com/maps?q=10.83318901,79.84578705","Open Location")</f>
        <v>Open Location</v>
      </c>
    </row>
    <row r="5789" spans="1:40" x14ac:dyDescent="0.3">
      <c r="A5789" s="1">
        <v>46210.329282407409</v>
      </c>
      <c r="B5789" t="s">
        <v>40</v>
      </c>
      <c r="C5789" t="s">
        <v>41</v>
      </c>
      <c r="D5789" s="1">
        <v>46210.332233796296</v>
      </c>
      <c r="E5789" t="s">
        <v>42</v>
      </c>
      <c r="F5789" t="s">
        <v>43</v>
      </c>
      <c r="G5789" t="s">
        <v>43</v>
      </c>
      <c r="H5789" t="s">
        <v>43</v>
      </c>
      <c r="I5789" t="s">
        <v>3269</v>
      </c>
      <c r="J5789" t="s">
        <v>43</v>
      </c>
      <c r="K5789" t="s">
        <v>43</v>
      </c>
      <c r="L5789" t="s">
        <v>43</v>
      </c>
      <c r="M5789" t="s">
        <v>43</v>
      </c>
      <c r="N5789" t="s">
        <v>45</v>
      </c>
      <c r="O5789" t="s">
        <v>43</v>
      </c>
      <c r="P5789" t="s">
        <v>43</v>
      </c>
      <c r="Q5789" t="s">
        <v>43</v>
      </c>
      <c r="R5789" t="s">
        <v>43</v>
      </c>
      <c r="S5789" t="s">
        <v>43</v>
      </c>
      <c r="T5789" t="s">
        <v>43</v>
      </c>
      <c r="U5789" t="s">
        <v>43</v>
      </c>
      <c r="V5789" t="s">
        <v>43</v>
      </c>
      <c r="W5789" t="s">
        <v>43</v>
      </c>
      <c r="X5789" t="s">
        <v>43</v>
      </c>
      <c r="Y5789" t="s">
        <v>43</v>
      </c>
      <c r="Z5789" t="s">
        <v>43</v>
      </c>
      <c r="AA5789" t="s">
        <v>43</v>
      </c>
      <c r="AB5789" t="s">
        <v>43</v>
      </c>
      <c r="AC5789" t="s">
        <v>43</v>
      </c>
      <c r="AD5789" t="s">
        <v>43</v>
      </c>
      <c r="AE5789" t="s">
        <v>43</v>
      </c>
      <c r="AF5789" t="s">
        <v>43</v>
      </c>
      <c r="AG5789" t="s">
        <v>43</v>
      </c>
      <c r="AH5789" t="s">
        <v>43</v>
      </c>
      <c r="AI5789" t="s">
        <v>43</v>
      </c>
      <c r="AJ5789" t="s">
        <v>43</v>
      </c>
      <c r="AK5789" t="s">
        <v>43</v>
      </c>
      <c r="AL5789" t="s">
        <v>43</v>
      </c>
      <c r="AM5789" t="s">
        <v>43</v>
      </c>
      <c r="AN5789" t="str">
        <f>HYPERLINK("https://www.google.com/maps?q=10.83318806,79.84577942","Open Location")</f>
        <v>Open Location</v>
      </c>
    </row>
    <row r="5790" spans="1:40" x14ac:dyDescent="0.3">
      <c r="A5790" s="1">
        <v>46210.32916666667</v>
      </c>
      <c r="B5790" t="s">
        <v>40</v>
      </c>
      <c r="C5790" t="s">
        <v>41</v>
      </c>
      <c r="D5790" s="1">
        <v>46210.332152777781</v>
      </c>
      <c r="E5790" t="s">
        <v>42</v>
      </c>
      <c r="F5790" t="s">
        <v>43</v>
      </c>
      <c r="G5790" t="s">
        <v>43</v>
      </c>
      <c r="H5790" t="s">
        <v>43</v>
      </c>
      <c r="I5790" t="s">
        <v>3276</v>
      </c>
      <c r="J5790" t="s">
        <v>43</v>
      </c>
      <c r="K5790" t="s">
        <v>43</v>
      </c>
      <c r="L5790" t="s">
        <v>43</v>
      </c>
      <c r="M5790" t="s">
        <v>43</v>
      </c>
      <c r="N5790" t="s">
        <v>45</v>
      </c>
      <c r="O5790" t="s">
        <v>43</v>
      </c>
      <c r="P5790" t="s">
        <v>43</v>
      </c>
      <c r="Q5790" t="s">
        <v>43</v>
      </c>
      <c r="R5790" t="s">
        <v>43</v>
      </c>
      <c r="S5790" t="s">
        <v>43</v>
      </c>
      <c r="T5790" t="s">
        <v>43</v>
      </c>
      <c r="U5790" t="s">
        <v>43</v>
      </c>
      <c r="V5790" t="s">
        <v>43</v>
      </c>
      <c r="W5790" t="s">
        <v>43</v>
      </c>
      <c r="X5790" t="s">
        <v>43</v>
      </c>
      <c r="Y5790" t="s">
        <v>43</v>
      </c>
      <c r="Z5790" t="s">
        <v>43</v>
      </c>
      <c r="AA5790" t="s">
        <v>43</v>
      </c>
      <c r="AB5790" t="s">
        <v>43</v>
      </c>
      <c r="AC5790" t="s">
        <v>43</v>
      </c>
      <c r="AD5790" t="s">
        <v>43</v>
      </c>
      <c r="AE5790" t="s">
        <v>43</v>
      </c>
      <c r="AF5790" t="s">
        <v>43</v>
      </c>
      <c r="AG5790" t="s">
        <v>43</v>
      </c>
      <c r="AH5790" t="s">
        <v>43</v>
      </c>
      <c r="AI5790" t="s">
        <v>43</v>
      </c>
      <c r="AJ5790" t="s">
        <v>43</v>
      </c>
      <c r="AK5790" t="s">
        <v>43</v>
      </c>
      <c r="AL5790" t="s">
        <v>43</v>
      </c>
      <c r="AM5790" t="s">
        <v>43</v>
      </c>
      <c r="AN5790" t="str">
        <f>HYPERLINK("https://www.google.com/maps?q=10.83318329,79.84577942","Open Location")</f>
        <v>Open Location</v>
      </c>
    </row>
    <row r="5791" spans="1:40" x14ac:dyDescent="0.3">
      <c r="A5791" s="1">
        <v>46210.329050925924</v>
      </c>
      <c r="B5791" t="s">
        <v>40</v>
      </c>
      <c r="C5791" t="s">
        <v>41</v>
      </c>
      <c r="D5791" s="1">
        <v>46210.33222222222</v>
      </c>
      <c r="E5791" t="s">
        <v>42</v>
      </c>
      <c r="F5791" t="s">
        <v>43</v>
      </c>
      <c r="G5791" t="s">
        <v>43</v>
      </c>
      <c r="H5791" t="s">
        <v>43</v>
      </c>
      <c r="I5791" t="s">
        <v>43</v>
      </c>
      <c r="J5791" t="s">
        <v>43</v>
      </c>
      <c r="K5791" t="s">
        <v>43</v>
      </c>
      <c r="L5791" t="s">
        <v>43</v>
      </c>
      <c r="M5791" t="s">
        <v>43</v>
      </c>
      <c r="N5791" t="s">
        <v>45</v>
      </c>
      <c r="O5791" t="s">
        <v>43</v>
      </c>
      <c r="P5791" t="s">
        <v>43</v>
      </c>
      <c r="Q5791" t="s">
        <v>43</v>
      </c>
      <c r="R5791" t="s">
        <v>43</v>
      </c>
      <c r="S5791" t="s">
        <v>43</v>
      </c>
      <c r="T5791" t="s">
        <v>43</v>
      </c>
      <c r="U5791" t="s">
        <v>43</v>
      </c>
      <c r="V5791" t="s">
        <v>43</v>
      </c>
      <c r="W5791" t="s">
        <v>43</v>
      </c>
      <c r="X5791" t="s">
        <v>43</v>
      </c>
      <c r="Y5791" t="s">
        <v>43</v>
      </c>
      <c r="Z5791" t="s">
        <v>43</v>
      </c>
      <c r="AA5791" t="s">
        <v>43</v>
      </c>
      <c r="AB5791" t="s">
        <v>43</v>
      </c>
      <c r="AC5791" t="s">
        <v>43</v>
      </c>
      <c r="AD5791" t="s">
        <v>43</v>
      </c>
      <c r="AE5791" t="s">
        <v>43</v>
      </c>
      <c r="AF5791" t="s">
        <v>43</v>
      </c>
      <c r="AG5791" t="s">
        <v>43</v>
      </c>
      <c r="AH5791" t="s">
        <v>43</v>
      </c>
      <c r="AI5791" t="s">
        <v>43</v>
      </c>
      <c r="AJ5791" t="s">
        <v>43</v>
      </c>
      <c r="AK5791" t="s">
        <v>43</v>
      </c>
      <c r="AL5791" t="s">
        <v>43</v>
      </c>
      <c r="AM5791" t="s">
        <v>43</v>
      </c>
      <c r="AN5791" t="s">
        <v>43</v>
      </c>
    </row>
    <row r="5792" spans="1:40" x14ac:dyDescent="0.3">
      <c r="A5792" s="1">
        <v>46210.328935185185</v>
      </c>
      <c r="B5792" t="s">
        <v>40</v>
      </c>
      <c r="C5792" t="s">
        <v>41</v>
      </c>
      <c r="D5792" s="1">
        <v>46210.33222222222</v>
      </c>
      <c r="E5792" t="s">
        <v>42</v>
      </c>
      <c r="F5792" t="s">
        <v>43</v>
      </c>
      <c r="G5792" t="s">
        <v>43</v>
      </c>
      <c r="H5792" t="s">
        <v>43</v>
      </c>
      <c r="I5792" t="s">
        <v>3191</v>
      </c>
      <c r="J5792" t="s">
        <v>43</v>
      </c>
      <c r="K5792" t="s">
        <v>43</v>
      </c>
      <c r="L5792" t="s">
        <v>43</v>
      </c>
      <c r="M5792" t="s">
        <v>43</v>
      </c>
      <c r="N5792" t="s">
        <v>45</v>
      </c>
      <c r="O5792" t="s">
        <v>43</v>
      </c>
      <c r="P5792" t="s">
        <v>43</v>
      </c>
      <c r="Q5792" t="s">
        <v>43</v>
      </c>
      <c r="R5792" t="s">
        <v>43</v>
      </c>
      <c r="S5792" t="s">
        <v>43</v>
      </c>
      <c r="T5792" t="s">
        <v>43</v>
      </c>
      <c r="U5792" t="s">
        <v>43</v>
      </c>
      <c r="V5792" t="s">
        <v>43</v>
      </c>
      <c r="W5792" t="s">
        <v>43</v>
      </c>
      <c r="X5792" t="s">
        <v>43</v>
      </c>
      <c r="Y5792" t="s">
        <v>43</v>
      </c>
      <c r="Z5792" t="s">
        <v>43</v>
      </c>
      <c r="AA5792" t="s">
        <v>43</v>
      </c>
      <c r="AB5792" t="s">
        <v>43</v>
      </c>
      <c r="AC5792" t="s">
        <v>43</v>
      </c>
      <c r="AD5792" t="s">
        <v>43</v>
      </c>
      <c r="AE5792" t="s">
        <v>43</v>
      </c>
      <c r="AF5792" t="s">
        <v>43</v>
      </c>
      <c r="AG5792" t="s">
        <v>43</v>
      </c>
      <c r="AH5792" t="s">
        <v>43</v>
      </c>
      <c r="AI5792" t="s">
        <v>43</v>
      </c>
      <c r="AJ5792" t="s">
        <v>43</v>
      </c>
      <c r="AK5792" t="s">
        <v>43</v>
      </c>
      <c r="AL5792" t="s">
        <v>43</v>
      </c>
      <c r="AM5792" t="s">
        <v>43</v>
      </c>
      <c r="AN5792" t="str">
        <f>HYPERLINK("https://www.google.com/maps?q=10.83317757,79.84577942","Open Location")</f>
        <v>Open Location</v>
      </c>
    </row>
    <row r="5793" spans="1:40" x14ac:dyDescent="0.3">
      <c r="A5793" s="1">
        <v>46210.328819444447</v>
      </c>
      <c r="B5793" t="s">
        <v>40</v>
      </c>
      <c r="C5793" t="s">
        <v>41</v>
      </c>
      <c r="D5793" s="1">
        <v>46210.33152777778</v>
      </c>
      <c r="E5793" t="s">
        <v>42</v>
      </c>
      <c r="F5793" t="s">
        <v>43</v>
      </c>
      <c r="G5793" t="s">
        <v>43</v>
      </c>
      <c r="H5793" t="s">
        <v>43</v>
      </c>
      <c r="I5793" t="s">
        <v>3282</v>
      </c>
      <c r="J5793" t="s">
        <v>43</v>
      </c>
      <c r="K5793" t="s">
        <v>43</v>
      </c>
      <c r="L5793" t="s">
        <v>43</v>
      </c>
      <c r="M5793" t="s">
        <v>43</v>
      </c>
      <c r="N5793" t="s">
        <v>45</v>
      </c>
      <c r="O5793" t="s">
        <v>43</v>
      </c>
      <c r="P5793" t="s">
        <v>43</v>
      </c>
      <c r="Q5793" t="s">
        <v>43</v>
      </c>
      <c r="R5793" t="s">
        <v>43</v>
      </c>
      <c r="S5793" t="s">
        <v>43</v>
      </c>
      <c r="T5793" t="s">
        <v>43</v>
      </c>
      <c r="U5793" t="s">
        <v>43</v>
      </c>
      <c r="V5793" t="s">
        <v>43</v>
      </c>
      <c r="W5793" t="s">
        <v>43</v>
      </c>
      <c r="X5793" t="s">
        <v>43</v>
      </c>
      <c r="Y5793" t="s">
        <v>43</v>
      </c>
      <c r="Z5793" t="s">
        <v>43</v>
      </c>
      <c r="AA5793" t="s">
        <v>43</v>
      </c>
      <c r="AB5793" t="s">
        <v>43</v>
      </c>
      <c r="AC5793" t="s">
        <v>43</v>
      </c>
      <c r="AD5793" t="s">
        <v>43</v>
      </c>
      <c r="AE5793" t="s">
        <v>43</v>
      </c>
      <c r="AF5793" t="s">
        <v>43</v>
      </c>
      <c r="AG5793" t="s">
        <v>43</v>
      </c>
      <c r="AH5793" t="s">
        <v>43</v>
      </c>
      <c r="AI5793" t="s">
        <v>43</v>
      </c>
      <c r="AJ5793" t="s">
        <v>43</v>
      </c>
      <c r="AK5793" t="s">
        <v>43</v>
      </c>
      <c r="AL5793" t="s">
        <v>43</v>
      </c>
      <c r="AM5793" t="s">
        <v>43</v>
      </c>
      <c r="AN5793" t="str">
        <f>HYPERLINK("https://www.google.com/maps?q=10.83318043,79.84577179","Open Location")</f>
        <v>Open Location</v>
      </c>
    </row>
    <row r="5794" spans="1:40" x14ac:dyDescent="0.3">
      <c r="A5794" s="1">
        <v>46210.328703703701</v>
      </c>
      <c r="B5794" t="s">
        <v>40</v>
      </c>
      <c r="C5794" t="s">
        <v>41</v>
      </c>
      <c r="D5794" s="1">
        <v>46210.33152777778</v>
      </c>
      <c r="E5794" t="s">
        <v>42</v>
      </c>
      <c r="F5794" t="s">
        <v>43</v>
      </c>
      <c r="G5794" t="s">
        <v>43</v>
      </c>
      <c r="H5794" t="s">
        <v>43</v>
      </c>
      <c r="I5794" t="s">
        <v>3282</v>
      </c>
      <c r="J5794" t="s">
        <v>43</v>
      </c>
      <c r="K5794" t="s">
        <v>43</v>
      </c>
      <c r="L5794" t="s">
        <v>43</v>
      </c>
      <c r="M5794" t="s">
        <v>43</v>
      </c>
      <c r="N5794" t="s">
        <v>45</v>
      </c>
      <c r="O5794" t="s">
        <v>43</v>
      </c>
      <c r="P5794" t="s">
        <v>43</v>
      </c>
      <c r="Q5794" t="s">
        <v>43</v>
      </c>
      <c r="R5794" t="s">
        <v>43</v>
      </c>
      <c r="S5794" t="s">
        <v>43</v>
      </c>
      <c r="T5794" t="s">
        <v>43</v>
      </c>
      <c r="U5794" t="s">
        <v>43</v>
      </c>
      <c r="V5794" t="s">
        <v>43</v>
      </c>
      <c r="W5794" t="s">
        <v>43</v>
      </c>
      <c r="X5794" t="s">
        <v>43</v>
      </c>
      <c r="Y5794" t="s">
        <v>43</v>
      </c>
      <c r="Z5794" t="s">
        <v>43</v>
      </c>
      <c r="AA5794" t="s">
        <v>43</v>
      </c>
      <c r="AB5794" t="s">
        <v>43</v>
      </c>
      <c r="AC5794" t="s">
        <v>43</v>
      </c>
      <c r="AD5794" t="s">
        <v>43</v>
      </c>
      <c r="AE5794" t="s">
        <v>43</v>
      </c>
      <c r="AF5794" t="s">
        <v>43</v>
      </c>
      <c r="AG5794" t="s">
        <v>43</v>
      </c>
      <c r="AH5794" t="s">
        <v>43</v>
      </c>
      <c r="AI5794" t="s">
        <v>43</v>
      </c>
      <c r="AJ5794" t="s">
        <v>43</v>
      </c>
      <c r="AK5794" t="s">
        <v>43</v>
      </c>
      <c r="AL5794" t="s">
        <v>43</v>
      </c>
      <c r="AM5794" t="s">
        <v>43</v>
      </c>
      <c r="AN5794" t="str">
        <f>HYPERLINK("https://www.google.com/maps?q=10.83318043,79.84577179","Open Location")</f>
        <v>Open Location</v>
      </c>
    </row>
    <row r="5795" spans="1:40" x14ac:dyDescent="0.3">
      <c r="A5795" s="1">
        <v>46210.328587962962</v>
      </c>
      <c r="B5795" t="s">
        <v>40</v>
      </c>
      <c r="C5795" t="s">
        <v>41</v>
      </c>
      <c r="D5795" s="1">
        <v>46210.331412037034</v>
      </c>
      <c r="E5795" t="s">
        <v>42</v>
      </c>
      <c r="F5795" t="s">
        <v>43</v>
      </c>
      <c r="G5795" t="s">
        <v>43</v>
      </c>
      <c r="H5795" t="s">
        <v>43</v>
      </c>
      <c r="I5795" t="s">
        <v>3283</v>
      </c>
      <c r="J5795" t="s">
        <v>43</v>
      </c>
      <c r="K5795" t="s">
        <v>43</v>
      </c>
      <c r="L5795" t="s">
        <v>43</v>
      </c>
      <c r="M5795" t="s">
        <v>43</v>
      </c>
      <c r="N5795" t="s">
        <v>45</v>
      </c>
      <c r="O5795" t="s">
        <v>43</v>
      </c>
      <c r="P5795" t="s">
        <v>43</v>
      </c>
      <c r="Q5795" t="s">
        <v>43</v>
      </c>
      <c r="R5795" t="s">
        <v>43</v>
      </c>
      <c r="S5795" t="s">
        <v>43</v>
      </c>
      <c r="T5795" t="s">
        <v>43</v>
      </c>
      <c r="U5795" t="s">
        <v>43</v>
      </c>
      <c r="V5795" t="s">
        <v>43</v>
      </c>
      <c r="W5795" t="s">
        <v>43</v>
      </c>
      <c r="X5795" t="s">
        <v>43</v>
      </c>
      <c r="Y5795" t="s">
        <v>43</v>
      </c>
      <c r="Z5795" t="s">
        <v>43</v>
      </c>
      <c r="AA5795" t="s">
        <v>43</v>
      </c>
      <c r="AB5795" t="s">
        <v>43</v>
      </c>
      <c r="AC5795" t="s">
        <v>43</v>
      </c>
      <c r="AD5795" t="s">
        <v>43</v>
      </c>
      <c r="AE5795" t="s">
        <v>43</v>
      </c>
      <c r="AF5795" t="s">
        <v>43</v>
      </c>
      <c r="AG5795" t="s">
        <v>43</v>
      </c>
      <c r="AH5795" t="s">
        <v>43</v>
      </c>
      <c r="AI5795" t="s">
        <v>43</v>
      </c>
      <c r="AJ5795" t="s">
        <v>43</v>
      </c>
      <c r="AK5795" t="s">
        <v>43</v>
      </c>
      <c r="AL5795" t="s">
        <v>43</v>
      </c>
      <c r="AM5795" t="s">
        <v>43</v>
      </c>
      <c r="AN5795" t="str">
        <f>HYPERLINK("https://www.google.com/maps?q=10.83318043,79.84575653","Open Location")</f>
        <v>Open Location</v>
      </c>
    </row>
    <row r="5796" spans="1:40" x14ac:dyDescent="0.3">
      <c r="A5796" s="1">
        <v>46210.328472222223</v>
      </c>
      <c r="B5796" t="s">
        <v>40</v>
      </c>
      <c r="C5796" t="s">
        <v>41</v>
      </c>
      <c r="D5796" s="1">
        <v>46210.331296296295</v>
      </c>
      <c r="E5796" t="s">
        <v>42</v>
      </c>
      <c r="F5796" t="s">
        <v>43</v>
      </c>
      <c r="G5796" t="s">
        <v>43</v>
      </c>
      <c r="H5796" t="s">
        <v>43</v>
      </c>
      <c r="I5796" t="s">
        <v>43</v>
      </c>
      <c r="J5796" t="s">
        <v>43</v>
      </c>
      <c r="K5796" t="s">
        <v>43</v>
      </c>
      <c r="L5796" t="s">
        <v>43</v>
      </c>
      <c r="M5796" t="s">
        <v>43</v>
      </c>
      <c r="N5796" t="s">
        <v>45</v>
      </c>
      <c r="O5796" t="s">
        <v>43</v>
      </c>
      <c r="P5796" t="s">
        <v>43</v>
      </c>
      <c r="Q5796" t="s">
        <v>43</v>
      </c>
      <c r="R5796" t="s">
        <v>43</v>
      </c>
      <c r="S5796" t="s">
        <v>43</v>
      </c>
      <c r="T5796" t="s">
        <v>43</v>
      </c>
      <c r="U5796" t="s">
        <v>43</v>
      </c>
      <c r="V5796" t="s">
        <v>43</v>
      </c>
      <c r="W5796" t="s">
        <v>43</v>
      </c>
      <c r="X5796" t="s">
        <v>43</v>
      </c>
      <c r="Y5796" t="s">
        <v>43</v>
      </c>
      <c r="Z5796" t="s">
        <v>43</v>
      </c>
      <c r="AA5796" t="s">
        <v>43</v>
      </c>
      <c r="AB5796" t="s">
        <v>43</v>
      </c>
      <c r="AC5796" t="s">
        <v>43</v>
      </c>
      <c r="AD5796" t="s">
        <v>43</v>
      </c>
      <c r="AE5796" t="s">
        <v>43</v>
      </c>
      <c r="AF5796" t="s">
        <v>43</v>
      </c>
      <c r="AG5796" t="s">
        <v>43</v>
      </c>
      <c r="AH5796" t="s">
        <v>43</v>
      </c>
      <c r="AI5796" t="s">
        <v>43</v>
      </c>
      <c r="AJ5796" t="s">
        <v>43</v>
      </c>
      <c r="AK5796" t="s">
        <v>43</v>
      </c>
      <c r="AL5796" t="s">
        <v>43</v>
      </c>
      <c r="AM5796" t="s">
        <v>43</v>
      </c>
      <c r="AN5796" t="s">
        <v>43</v>
      </c>
    </row>
    <row r="5797" spans="1:40" x14ac:dyDescent="0.3">
      <c r="A5797" s="1">
        <v>46210.328356481485</v>
      </c>
      <c r="B5797" t="s">
        <v>40</v>
      </c>
      <c r="C5797" t="s">
        <v>41</v>
      </c>
      <c r="D5797" s="1">
        <v>46210.331145833334</v>
      </c>
      <c r="E5797" t="s">
        <v>42</v>
      </c>
      <c r="F5797" t="s">
        <v>43</v>
      </c>
      <c r="G5797" t="s">
        <v>43</v>
      </c>
      <c r="H5797" t="s">
        <v>43</v>
      </c>
      <c r="I5797" t="s">
        <v>3194</v>
      </c>
      <c r="J5797" t="s">
        <v>43</v>
      </c>
      <c r="K5797" t="s">
        <v>43</v>
      </c>
      <c r="L5797" t="s">
        <v>43</v>
      </c>
      <c r="M5797" t="s">
        <v>43</v>
      </c>
      <c r="N5797" t="s">
        <v>45</v>
      </c>
      <c r="O5797" t="s">
        <v>43</v>
      </c>
      <c r="P5797" t="s">
        <v>43</v>
      </c>
      <c r="Q5797" t="s">
        <v>43</v>
      </c>
      <c r="R5797" t="s">
        <v>43</v>
      </c>
      <c r="S5797" t="s">
        <v>43</v>
      </c>
      <c r="T5797" t="s">
        <v>43</v>
      </c>
      <c r="U5797" t="s">
        <v>43</v>
      </c>
      <c r="V5797" t="s">
        <v>43</v>
      </c>
      <c r="W5797" t="s">
        <v>43</v>
      </c>
      <c r="X5797" t="s">
        <v>43</v>
      </c>
      <c r="Y5797" t="s">
        <v>43</v>
      </c>
      <c r="Z5797" t="s">
        <v>43</v>
      </c>
      <c r="AA5797" t="s">
        <v>43</v>
      </c>
      <c r="AB5797" t="s">
        <v>43</v>
      </c>
      <c r="AC5797" t="s">
        <v>43</v>
      </c>
      <c r="AD5797" t="s">
        <v>43</v>
      </c>
      <c r="AE5797" t="s">
        <v>43</v>
      </c>
      <c r="AF5797" t="s">
        <v>43</v>
      </c>
      <c r="AG5797" t="s">
        <v>43</v>
      </c>
      <c r="AH5797" t="s">
        <v>43</v>
      </c>
      <c r="AI5797" t="s">
        <v>43</v>
      </c>
      <c r="AJ5797" t="s">
        <v>43</v>
      </c>
      <c r="AK5797" t="s">
        <v>43</v>
      </c>
      <c r="AL5797" t="s">
        <v>43</v>
      </c>
      <c r="AM5797" t="s">
        <v>43</v>
      </c>
      <c r="AN5797" t="str">
        <f>HYPERLINK("https://www.google.com/maps?q=10.83317757,79.84577179","Open Location")</f>
        <v>Open Location</v>
      </c>
    </row>
    <row r="5798" spans="1:40" x14ac:dyDescent="0.3">
      <c r="A5798" s="1">
        <v>46210.328240740739</v>
      </c>
      <c r="B5798" t="s">
        <v>40</v>
      </c>
      <c r="C5798" t="s">
        <v>41</v>
      </c>
      <c r="D5798" s="1">
        <v>46210.331296296295</v>
      </c>
      <c r="E5798" t="s">
        <v>42</v>
      </c>
      <c r="F5798" t="s">
        <v>43</v>
      </c>
      <c r="G5798" t="s">
        <v>43</v>
      </c>
      <c r="H5798" t="s">
        <v>43</v>
      </c>
      <c r="I5798" t="s">
        <v>3284</v>
      </c>
      <c r="J5798" t="s">
        <v>43</v>
      </c>
      <c r="K5798" t="s">
        <v>43</v>
      </c>
      <c r="L5798" t="s">
        <v>43</v>
      </c>
      <c r="M5798" t="s">
        <v>43</v>
      </c>
      <c r="N5798" t="s">
        <v>45</v>
      </c>
      <c r="O5798" t="s">
        <v>43</v>
      </c>
      <c r="P5798" t="s">
        <v>43</v>
      </c>
      <c r="Q5798" t="s">
        <v>43</v>
      </c>
      <c r="R5798" t="s">
        <v>43</v>
      </c>
      <c r="S5798" t="s">
        <v>43</v>
      </c>
      <c r="T5798" t="s">
        <v>43</v>
      </c>
      <c r="U5798" t="s">
        <v>43</v>
      </c>
      <c r="V5798" t="s">
        <v>43</v>
      </c>
      <c r="W5798" t="s">
        <v>43</v>
      </c>
      <c r="X5798" t="s">
        <v>43</v>
      </c>
      <c r="Y5798" t="s">
        <v>43</v>
      </c>
      <c r="Z5798" t="s">
        <v>43</v>
      </c>
      <c r="AA5798" t="s">
        <v>43</v>
      </c>
      <c r="AB5798" t="s">
        <v>43</v>
      </c>
      <c r="AC5798" t="s">
        <v>43</v>
      </c>
      <c r="AD5798" t="s">
        <v>43</v>
      </c>
      <c r="AE5798" t="s">
        <v>43</v>
      </c>
      <c r="AF5798" t="s">
        <v>43</v>
      </c>
      <c r="AG5798" t="s">
        <v>43</v>
      </c>
      <c r="AH5798" t="s">
        <v>43</v>
      </c>
      <c r="AI5798" t="s">
        <v>43</v>
      </c>
      <c r="AJ5798" t="s">
        <v>43</v>
      </c>
      <c r="AK5798" t="s">
        <v>43</v>
      </c>
      <c r="AL5798" t="s">
        <v>43</v>
      </c>
      <c r="AM5798" t="s">
        <v>43</v>
      </c>
      <c r="AN5798" t="str">
        <f>HYPERLINK("https://www.google.com/maps?q=10.83317471,79.84577942","Open Location")</f>
        <v>Open Location</v>
      </c>
    </row>
    <row r="5799" spans="1:40" x14ac:dyDescent="0.3">
      <c r="A5799" s="1">
        <v>46210.328125</v>
      </c>
      <c r="B5799" t="s">
        <v>40</v>
      </c>
      <c r="C5799" t="s">
        <v>41</v>
      </c>
      <c r="D5799" s="1">
        <v>46210.330960648149</v>
      </c>
      <c r="E5799" t="s">
        <v>42</v>
      </c>
      <c r="F5799" t="s">
        <v>43</v>
      </c>
      <c r="G5799" t="s">
        <v>43</v>
      </c>
      <c r="H5799" t="s">
        <v>43</v>
      </c>
      <c r="I5799" t="s">
        <v>3162</v>
      </c>
      <c r="J5799" t="s">
        <v>43</v>
      </c>
      <c r="K5799" t="s">
        <v>43</v>
      </c>
      <c r="L5799" t="s">
        <v>43</v>
      </c>
      <c r="M5799" t="s">
        <v>43</v>
      </c>
      <c r="N5799" t="s">
        <v>45</v>
      </c>
      <c r="O5799" t="s">
        <v>43</v>
      </c>
      <c r="P5799" t="s">
        <v>43</v>
      </c>
      <c r="Q5799" t="s">
        <v>43</v>
      </c>
      <c r="R5799" t="s">
        <v>43</v>
      </c>
      <c r="S5799" t="s">
        <v>43</v>
      </c>
      <c r="T5799" t="s">
        <v>43</v>
      </c>
      <c r="U5799" t="s">
        <v>43</v>
      </c>
      <c r="V5799" t="s">
        <v>43</v>
      </c>
      <c r="W5799" t="s">
        <v>43</v>
      </c>
      <c r="X5799" t="s">
        <v>43</v>
      </c>
      <c r="Y5799" t="s">
        <v>43</v>
      </c>
      <c r="Z5799" t="s">
        <v>43</v>
      </c>
      <c r="AA5799" t="s">
        <v>43</v>
      </c>
      <c r="AB5799" t="s">
        <v>43</v>
      </c>
      <c r="AC5799" t="s">
        <v>43</v>
      </c>
      <c r="AD5799" t="s">
        <v>43</v>
      </c>
      <c r="AE5799" t="s">
        <v>43</v>
      </c>
      <c r="AF5799" t="s">
        <v>43</v>
      </c>
      <c r="AG5799" t="s">
        <v>43</v>
      </c>
      <c r="AH5799" t="s">
        <v>43</v>
      </c>
      <c r="AI5799" t="s">
        <v>43</v>
      </c>
      <c r="AJ5799" t="s">
        <v>43</v>
      </c>
      <c r="AK5799" t="s">
        <v>43</v>
      </c>
      <c r="AL5799" t="s">
        <v>43</v>
      </c>
      <c r="AM5799" t="s">
        <v>43</v>
      </c>
      <c r="AN5799" t="str">
        <f>HYPERLINK("https://www.google.com/maps?q=10.83316994,79.84577942","Open Location")</f>
        <v>Open Location</v>
      </c>
    </row>
    <row r="5800" spans="1:40" x14ac:dyDescent="0.3">
      <c r="A5800" s="1">
        <v>46210.328009259261</v>
      </c>
      <c r="B5800" t="s">
        <v>40</v>
      </c>
      <c r="C5800" t="s">
        <v>41</v>
      </c>
      <c r="D5800" s="1">
        <v>46210.331018518518</v>
      </c>
      <c r="E5800" t="s">
        <v>42</v>
      </c>
      <c r="F5800" t="s">
        <v>43</v>
      </c>
      <c r="G5800" t="s">
        <v>43</v>
      </c>
      <c r="H5800" t="s">
        <v>43</v>
      </c>
      <c r="I5800" t="s">
        <v>3156</v>
      </c>
      <c r="J5800" t="s">
        <v>43</v>
      </c>
      <c r="K5800" t="s">
        <v>43</v>
      </c>
      <c r="L5800" t="s">
        <v>43</v>
      </c>
      <c r="M5800" t="s">
        <v>43</v>
      </c>
      <c r="N5800" t="s">
        <v>45</v>
      </c>
      <c r="O5800" t="s">
        <v>43</v>
      </c>
      <c r="P5800" t="s">
        <v>43</v>
      </c>
      <c r="Q5800" t="s">
        <v>43</v>
      </c>
      <c r="R5800" t="s">
        <v>43</v>
      </c>
      <c r="S5800" t="s">
        <v>43</v>
      </c>
      <c r="T5800" t="s">
        <v>43</v>
      </c>
      <c r="U5800" t="s">
        <v>43</v>
      </c>
      <c r="V5800" t="s">
        <v>43</v>
      </c>
      <c r="W5800" t="s">
        <v>43</v>
      </c>
      <c r="X5800" t="s">
        <v>43</v>
      </c>
      <c r="Y5800" t="s">
        <v>43</v>
      </c>
      <c r="Z5800" t="s">
        <v>43</v>
      </c>
      <c r="AA5800" t="s">
        <v>43</v>
      </c>
      <c r="AB5800" t="s">
        <v>43</v>
      </c>
      <c r="AC5800" t="s">
        <v>43</v>
      </c>
      <c r="AD5800" t="s">
        <v>43</v>
      </c>
      <c r="AE5800" t="s">
        <v>43</v>
      </c>
      <c r="AF5800" t="s">
        <v>43</v>
      </c>
      <c r="AG5800" t="s">
        <v>43</v>
      </c>
      <c r="AH5800" t="s">
        <v>43</v>
      </c>
      <c r="AI5800" t="s">
        <v>43</v>
      </c>
      <c r="AJ5800" t="s">
        <v>43</v>
      </c>
      <c r="AK5800" t="s">
        <v>43</v>
      </c>
      <c r="AL5800" t="s">
        <v>43</v>
      </c>
      <c r="AM5800" t="s">
        <v>43</v>
      </c>
      <c r="AN5800" t="str">
        <f>HYPERLINK("https://www.google.com/maps?q=10.83316422,79.84577942","Open Location")</f>
        <v>Open Location</v>
      </c>
    </row>
    <row r="5801" spans="1:40" x14ac:dyDescent="0.3">
      <c r="A5801" s="1">
        <v>46210.327893518515</v>
      </c>
      <c r="B5801" t="s">
        <v>40</v>
      </c>
      <c r="C5801" t="s">
        <v>41</v>
      </c>
      <c r="D5801" s="1">
        <v>46210.331041666665</v>
      </c>
      <c r="E5801" t="s">
        <v>42</v>
      </c>
      <c r="F5801" t="s">
        <v>43</v>
      </c>
      <c r="G5801" t="s">
        <v>43</v>
      </c>
      <c r="H5801" t="s">
        <v>43</v>
      </c>
      <c r="I5801" t="s">
        <v>3171</v>
      </c>
      <c r="J5801" t="s">
        <v>43</v>
      </c>
      <c r="K5801" t="s">
        <v>43</v>
      </c>
      <c r="L5801" t="s">
        <v>43</v>
      </c>
      <c r="M5801" t="s">
        <v>43</v>
      </c>
      <c r="N5801" t="s">
        <v>45</v>
      </c>
      <c r="O5801" t="s">
        <v>43</v>
      </c>
      <c r="P5801" t="s">
        <v>43</v>
      </c>
      <c r="Q5801" t="s">
        <v>43</v>
      </c>
      <c r="R5801" t="s">
        <v>43</v>
      </c>
      <c r="S5801" t="s">
        <v>43</v>
      </c>
      <c r="T5801" t="s">
        <v>43</v>
      </c>
      <c r="U5801" t="s">
        <v>43</v>
      </c>
      <c r="V5801" t="s">
        <v>43</v>
      </c>
      <c r="W5801" t="s">
        <v>43</v>
      </c>
      <c r="X5801" t="s">
        <v>43</v>
      </c>
      <c r="Y5801" t="s">
        <v>43</v>
      </c>
      <c r="Z5801" t="s">
        <v>43</v>
      </c>
      <c r="AA5801" t="s">
        <v>43</v>
      </c>
      <c r="AB5801" t="s">
        <v>43</v>
      </c>
      <c r="AC5801" t="s">
        <v>43</v>
      </c>
      <c r="AD5801" t="s">
        <v>43</v>
      </c>
      <c r="AE5801" t="s">
        <v>43</v>
      </c>
      <c r="AF5801" t="s">
        <v>43</v>
      </c>
      <c r="AG5801" t="s">
        <v>43</v>
      </c>
      <c r="AH5801" t="s">
        <v>43</v>
      </c>
      <c r="AI5801" t="s">
        <v>43</v>
      </c>
      <c r="AJ5801" t="s">
        <v>43</v>
      </c>
      <c r="AK5801" t="s">
        <v>43</v>
      </c>
      <c r="AL5801" t="s">
        <v>43</v>
      </c>
      <c r="AM5801" t="s">
        <v>43</v>
      </c>
      <c r="AN5801" t="str">
        <f>HYPERLINK("https://www.google.com/maps?q=10.83316231,79.84577942","Open Location")</f>
        <v>Open Location</v>
      </c>
    </row>
    <row r="5802" spans="1:40" x14ac:dyDescent="0.3">
      <c r="A5802" s="1">
        <v>46210.327777777777</v>
      </c>
      <c r="B5802" t="s">
        <v>40</v>
      </c>
      <c r="C5802" t="s">
        <v>41</v>
      </c>
      <c r="D5802" s="1">
        <v>46210.331064814818</v>
      </c>
      <c r="E5802" t="s">
        <v>42</v>
      </c>
      <c r="F5802" t="s">
        <v>43</v>
      </c>
      <c r="G5802" t="s">
        <v>43</v>
      </c>
      <c r="H5802" t="s">
        <v>43</v>
      </c>
      <c r="I5802" t="s">
        <v>43</v>
      </c>
      <c r="J5802" t="s">
        <v>43</v>
      </c>
      <c r="K5802" t="s">
        <v>43</v>
      </c>
      <c r="L5802" t="s">
        <v>43</v>
      </c>
      <c r="M5802" t="s">
        <v>43</v>
      </c>
      <c r="N5802" t="s">
        <v>45</v>
      </c>
      <c r="O5802" t="s">
        <v>43</v>
      </c>
      <c r="P5802" t="s">
        <v>43</v>
      </c>
      <c r="Q5802" t="s">
        <v>43</v>
      </c>
      <c r="R5802" t="s">
        <v>43</v>
      </c>
      <c r="S5802" t="s">
        <v>43</v>
      </c>
      <c r="T5802" t="s">
        <v>43</v>
      </c>
      <c r="U5802" t="s">
        <v>43</v>
      </c>
      <c r="V5802" t="s">
        <v>43</v>
      </c>
      <c r="W5802" t="s">
        <v>43</v>
      </c>
      <c r="X5802" t="s">
        <v>43</v>
      </c>
      <c r="Y5802" t="s">
        <v>43</v>
      </c>
      <c r="Z5802" t="s">
        <v>43</v>
      </c>
      <c r="AA5802" t="s">
        <v>43</v>
      </c>
      <c r="AB5802" t="s">
        <v>43</v>
      </c>
      <c r="AC5802" t="s">
        <v>43</v>
      </c>
      <c r="AD5802" t="s">
        <v>43</v>
      </c>
      <c r="AE5802" t="s">
        <v>43</v>
      </c>
      <c r="AF5802" t="s">
        <v>43</v>
      </c>
      <c r="AG5802" t="s">
        <v>43</v>
      </c>
      <c r="AH5802" t="s">
        <v>43</v>
      </c>
      <c r="AI5802" t="s">
        <v>43</v>
      </c>
      <c r="AJ5802" t="s">
        <v>43</v>
      </c>
      <c r="AK5802" t="s">
        <v>43</v>
      </c>
      <c r="AL5802" t="s">
        <v>43</v>
      </c>
      <c r="AM5802" t="s">
        <v>43</v>
      </c>
      <c r="AN5802" t="s">
        <v>43</v>
      </c>
    </row>
    <row r="5803" spans="1:40" x14ac:dyDescent="0.3">
      <c r="A5803" s="1">
        <v>46210.327662037038</v>
      </c>
      <c r="B5803" t="s">
        <v>40</v>
      </c>
      <c r="C5803" t="s">
        <v>41</v>
      </c>
      <c r="D5803" s="1">
        <v>46210.330613425926</v>
      </c>
      <c r="E5803" t="s">
        <v>42</v>
      </c>
      <c r="F5803" t="s">
        <v>43</v>
      </c>
      <c r="G5803" t="s">
        <v>43</v>
      </c>
      <c r="H5803" t="s">
        <v>43</v>
      </c>
      <c r="I5803" t="s">
        <v>3285</v>
      </c>
      <c r="J5803" t="s">
        <v>43</v>
      </c>
      <c r="K5803" t="s">
        <v>43</v>
      </c>
      <c r="L5803" t="s">
        <v>43</v>
      </c>
      <c r="M5803" t="s">
        <v>43</v>
      </c>
      <c r="N5803" t="s">
        <v>45</v>
      </c>
      <c r="O5803" t="s">
        <v>43</v>
      </c>
      <c r="P5803" t="s">
        <v>43</v>
      </c>
      <c r="Q5803" t="s">
        <v>43</v>
      </c>
      <c r="R5803" t="s">
        <v>43</v>
      </c>
      <c r="S5803" t="s">
        <v>43</v>
      </c>
      <c r="T5803" t="s">
        <v>43</v>
      </c>
      <c r="U5803" t="s">
        <v>43</v>
      </c>
      <c r="V5803" t="s">
        <v>43</v>
      </c>
      <c r="W5803" t="s">
        <v>43</v>
      </c>
      <c r="X5803" t="s">
        <v>43</v>
      </c>
      <c r="Y5803" t="s">
        <v>43</v>
      </c>
      <c r="Z5803" t="s">
        <v>43</v>
      </c>
      <c r="AA5803" t="s">
        <v>43</v>
      </c>
      <c r="AB5803" t="s">
        <v>43</v>
      </c>
      <c r="AC5803" t="s">
        <v>43</v>
      </c>
      <c r="AD5803" t="s">
        <v>43</v>
      </c>
      <c r="AE5803" t="s">
        <v>43</v>
      </c>
      <c r="AF5803" t="s">
        <v>43</v>
      </c>
      <c r="AG5803" t="s">
        <v>43</v>
      </c>
      <c r="AH5803" t="s">
        <v>43</v>
      </c>
      <c r="AI5803" t="s">
        <v>43</v>
      </c>
      <c r="AJ5803" t="s">
        <v>43</v>
      </c>
      <c r="AK5803" t="s">
        <v>43</v>
      </c>
      <c r="AL5803" t="s">
        <v>43</v>
      </c>
      <c r="AM5803" t="s">
        <v>43</v>
      </c>
      <c r="AN5803" t="str">
        <f>HYPERLINK("https://www.google.com/maps?q=10.83316326,79.84578705","Open Location")</f>
        <v>Open Location</v>
      </c>
    </row>
    <row r="5804" spans="1:40" x14ac:dyDescent="0.3">
      <c r="A5804" s="1">
        <v>46210.327546296299</v>
      </c>
      <c r="B5804" t="s">
        <v>40</v>
      </c>
      <c r="C5804" t="s">
        <v>41</v>
      </c>
      <c r="D5804" s="1">
        <v>46210.33053240741</v>
      </c>
      <c r="E5804" t="s">
        <v>42</v>
      </c>
      <c r="F5804" t="s">
        <v>43</v>
      </c>
      <c r="G5804" t="s">
        <v>43</v>
      </c>
      <c r="H5804" t="s">
        <v>43</v>
      </c>
      <c r="I5804" t="s">
        <v>3214</v>
      </c>
      <c r="J5804" t="s">
        <v>43</v>
      </c>
      <c r="K5804" t="s">
        <v>43</v>
      </c>
      <c r="L5804" t="s">
        <v>43</v>
      </c>
      <c r="M5804" t="s">
        <v>43</v>
      </c>
      <c r="N5804" t="s">
        <v>45</v>
      </c>
      <c r="O5804" t="s">
        <v>43</v>
      </c>
      <c r="P5804" t="s">
        <v>43</v>
      </c>
      <c r="Q5804" t="s">
        <v>43</v>
      </c>
      <c r="R5804" t="s">
        <v>43</v>
      </c>
      <c r="S5804" t="s">
        <v>43</v>
      </c>
      <c r="T5804" t="s">
        <v>43</v>
      </c>
      <c r="U5804" t="s">
        <v>43</v>
      </c>
      <c r="V5804" t="s">
        <v>43</v>
      </c>
      <c r="W5804" t="s">
        <v>43</v>
      </c>
      <c r="X5804" t="s">
        <v>43</v>
      </c>
      <c r="Y5804" t="s">
        <v>43</v>
      </c>
      <c r="Z5804" t="s">
        <v>43</v>
      </c>
      <c r="AA5804" t="s">
        <v>43</v>
      </c>
      <c r="AB5804" t="s">
        <v>43</v>
      </c>
      <c r="AC5804" t="s">
        <v>43</v>
      </c>
      <c r="AD5804" t="s">
        <v>43</v>
      </c>
      <c r="AE5804" t="s">
        <v>43</v>
      </c>
      <c r="AF5804" t="s">
        <v>43</v>
      </c>
      <c r="AG5804" t="s">
        <v>43</v>
      </c>
      <c r="AH5804" t="s">
        <v>43</v>
      </c>
      <c r="AI5804" t="s">
        <v>43</v>
      </c>
      <c r="AJ5804" t="s">
        <v>43</v>
      </c>
      <c r="AK5804" t="s">
        <v>43</v>
      </c>
      <c r="AL5804" t="s">
        <v>43</v>
      </c>
      <c r="AM5804" t="s">
        <v>43</v>
      </c>
      <c r="AN5804" t="str">
        <f>HYPERLINK("https://www.google.com/maps?q=10.83315659,79.84577942","Open Location")</f>
        <v>Open Location</v>
      </c>
    </row>
    <row r="5805" spans="1:40" x14ac:dyDescent="0.3">
      <c r="A5805" s="1">
        <v>46210.327430555553</v>
      </c>
      <c r="B5805" t="s">
        <v>40</v>
      </c>
      <c r="C5805" t="s">
        <v>41</v>
      </c>
      <c r="D5805" s="1">
        <v>46210.330671296295</v>
      </c>
      <c r="E5805" t="s">
        <v>42</v>
      </c>
      <c r="F5805" t="s">
        <v>43</v>
      </c>
      <c r="G5805" t="s">
        <v>43</v>
      </c>
      <c r="H5805" t="s">
        <v>43</v>
      </c>
      <c r="I5805" t="s">
        <v>3286</v>
      </c>
      <c r="J5805" t="s">
        <v>43</v>
      </c>
      <c r="K5805" t="s">
        <v>43</v>
      </c>
      <c r="L5805" t="s">
        <v>43</v>
      </c>
      <c r="M5805" t="s">
        <v>43</v>
      </c>
      <c r="N5805" t="s">
        <v>45</v>
      </c>
      <c r="O5805" t="s">
        <v>43</v>
      </c>
      <c r="P5805" t="s">
        <v>43</v>
      </c>
      <c r="Q5805" t="s">
        <v>43</v>
      </c>
      <c r="R5805" t="s">
        <v>43</v>
      </c>
      <c r="S5805">
        <v>0</v>
      </c>
      <c r="T5805">
        <v>-40</v>
      </c>
      <c r="U5805">
        <v>43</v>
      </c>
      <c r="V5805">
        <v>0</v>
      </c>
      <c r="W5805" t="s">
        <v>43</v>
      </c>
      <c r="X5805" t="s">
        <v>43</v>
      </c>
      <c r="Y5805" t="s">
        <v>43</v>
      </c>
      <c r="Z5805" t="s">
        <v>43</v>
      </c>
      <c r="AA5805" t="s">
        <v>43</v>
      </c>
      <c r="AB5805" t="s">
        <v>43</v>
      </c>
      <c r="AC5805" t="s">
        <v>43</v>
      </c>
      <c r="AD5805" t="s">
        <v>43</v>
      </c>
      <c r="AE5805" t="s">
        <v>43</v>
      </c>
      <c r="AF5805" t="s">
        <v>43</v>
      </c>
      <c r="AG5805" t="s">
        <v>43</v>
      </c>
      <c r="AH5805" t="s">
        <v>43</v>
      </c>
      <c r="AI5805" t="s">
        <v>43</v>
      </c>
      <c r="AJ5805" t="s">
        <v>43</v>
      </c>
      <c r="AK5805" t="s">
        <v>43</v>
      </c>
      <c r="AL5805" t="s">
        <v>43</v>
      </c>
      <c r="AM5805" t="s">
        <v>43</v>
      </c>
      <c r="AN5805" t="str">
        <f>HYPERLINK("https://www.google.com/maps?q=10.83314991,79.84577942","Open Location")</f>
        <v>Open Location</v>
      </c>
    </row>
    <row r="5806" spans="1:40" x14ac:dyDescent="0.3">
      <c r="A5806" s="1">
        <v>46210.327314814815</v>
      </c>
      <c r="B5806" t="s">
        <v>40</v>
      </c>
      <c r="C5806" t="s">
        <v>41</v>
      </c>
      <c r="D5806" s="1">
        <v>46210.330671296295</v>
      </c>
      <c r="E5806" t="s">
        <v>42</v>
      </c>
      <c r="F5806" t="s">
        <v>43</v>
      </c>
      <c r="G5806" t="s">
        <v>43</v>
      </c>
      <c r="H5806" t="s">
        <v>43</v>
      </c>
      <c r="I5806" t="s">
        <v>3287</v>
      </c>
      <c r="J5806" t="s">
        <v>43</v>
      </c>
      <c r="K5806" t="s">
        <v>43</v>
      </c>
      <c r="L5806" t="s">
        <v>43</v>
      </c>
      <c r="M5806" t="s">
        <v>43</v>
      </c>
      <c r="N5806" t="s">
        <v>45</v>
      </c>
      <c r="O5806" t="s">
        <v>43</v>
      </c>
      <c r="P5806" t="s">
        <v>43</v>
      </c>
      <c r="Q5806" t="s">
        <v>43</v>
      </c>
      <c r="R5806" t="s">
        <v>43</v>
      </c>
      <c r="S5806">
        <v>0</v>
      </c>
      <c r="T5806">
        <v>-40</v>
      </c>
      <c r="U5806">
        <v>43</v>
      </c>
      <c r="V5806">
        <v>0</v>
      </c>
      <c r="W5806" t="s">
        <v>43</v>
      </c>
      <c r="X5806" t="s">
        <v>43</v>
      </c>
      <c r="Y5806" t="s">
        <v>43</v>
      </c>
      <c r="Z5806" t="s">
        <v>43</v>
      </c>
      <c r="AA5806" t="s">
        <v>43</v>
      </c>
      <c r="AB5806" t="s">
        <v>43</v>
      </c>
      <c r="AC5806" t="s">
        <v>43</v>
      </c>
      <c r="AD5806" t="s">
        <v>43</v>
      </c>
      <c r="AE5806" t="s">
        <v>43</v>
      </c>
      <c r="AF5806" t="s">
        <v>43</v>
      </c>
      <c r="AG5806" t="s">
        <v>43</v>
      </c>
      <c r="AH5806" t="s">
        <v>43</v>
      </c>
      <c r="AI5806" t="s">
        <v>43</v>
      </c>
      <c r="AJ5806" t="s">
        <v>43</v>
      </c>
      <c r="AK5806" t="s">
        <v>43</v>
      </c>
      <c r="AL5806" t="s">
        <v>43</v>
      </c>
      <c r="AM5806" t="s">
        <v>43</v>
      </c>
      <c r="AN5806" t="str">
        <f>HYPERLINK("https://www.google.com/maps?q=10.83315563,79.84578705","Open Location")</f>
        <v>Open Location</v>
      </c>
    </row>
    <row r="5807" spans="1:40" x14ac:dyDescent="0.3">
      <c r="A5807" s="1">
        <v>46210.327199074076</v>
      </c>
      <c r="B5807" t="s">
        <v>40</v>
      </c>
      <c r="C5807" t="s">
        <v>41</v>
      </c>
      <c r="D5807" s="1">
        <v>46210.330196759256</v>
      </c>
      <c r="E5807" t="s">
        <v>42</v>
      </c>
      <c r="F5807" t="s">
        <v>43</v>
      </c>
      <c r="G5807" t="s">
        <v>43</v>
      </c>
      <c r="H5807" t="s">
        <v>43</v>
      </c>
      <c r="I5807" t="s">
        <v>3287</v>
      </c>
      <c r="J5807" t="s">
        <v>43</v>
      </c>
      <c r="K5807" t="s">
        <v>43</v>
      </c>
      <c r="L5807" t="s">
        <v>43</v>
      </c>
      <c r="M5807" t="s">
        <v>43</v>
      </c>
      <c r="N5807" t="s">
        <v>45</v>
      </c>
      <c r="O5807" t="s">
        <v>43</v>
      </c>
      <c r="P5807" t="s">
        <v>43</v>
      </c>
      <c r="Q5807" t="s">
        <v>43</v>
      </c>
      <c r="R5807" t="s">
        <v>43</v>
      </c>
      <c r="S5807">
        <v>0</v>
      </c>
      <c r="T5807">
        <v>-40</v>
      </c>
      <c r="U5807">
        <v>43</v>
      </c>
      <c r="V5807">
        <v>0</v>
      </c>
      <c r="W5807" t="s">
        <v>43</v>
      </c>
      <c r="X5807" t="s">
        <v>43</v>
      </c>
      <c r="Y5807" t="s">
        <v>43</v>
      </c>
      <c r="Z5807" t="s">
        <v>43</v>
      </c>
      <c r="AA5807" t="s">
        <v>43</v>
      </c>
      <c r="AB5807" t="s">
        <v>43</v>
      </c>
      <c r="AC5807" t="s">
        <v>43</v>
      </c>
      <c r="AD5807" t="s">
        <v>43</v>
      </c>
      <c r="AE5807" t="s">
        <v>43</v>
      </c>
      <c r="AF5807" t="s">
        <v>43</v>
      </c>
      <c r="AG5807" t="s">
        <v>43</v>
      </c>
      <c r="AH5807" t="s">
        <v>43</v>
      </c>
      <c r="AI5807" t="s">
        <v>43</v>
      </c>
      <c r="AJ5807" t="s">
        <v>43</v>
      </c>
      <c r="AK5807" t="s">
        <v>43</v>
      </c>
      <c r="AL5807" t="s">
        <v>43</v>
      </c>
      <c r="AM5807" t="s">
        <v>43</v>
      </c>
      <c r="AN5807" t="str">
        <f>HYPERLINK("https://www.google.com/maps?q=10.83315563,79.84578705","Open Location")</f>
        <v>Open Location</v>
      </c>
    </row>
    <row r="5808" spans="1:40" x14ac:dyDescent="0.3">
      <c r="A5808" s="1">
        <v>46210.32708333333</v>
      </c>
      <c r="B5808" t="s">
        <v>40</v>
      </c>
      <c r="C5808" t="s">
        <v>41</v>
      </c>
      <c r="D5808" s="1">
        <v>46210.329942129632</v>
      </c>
      <c r="E5808" t="s">
        <v>42</v>
      </c>
      <c r="F5808" t="s">
        <v>43</v>
      </c>
      <c r="G5808" t="s">
        <v>43</v>
      </c>
      <c r="H5808" t="s">
        <v>43</v>
      </c>
      <c r="I5808" t="s">
        <v>43</v>
      </c>
      <c r="J5808" t="s">
        <v>43</v>
      </c>
      <c r="K5808" t="s">
        <v>43</v>
      </c>
      <c r="L5808" t="s">
        <v>43</v>
      </c>
      <c r="M5808" t="s">
        <v>43</v>
      </c>
      <c r="N5808" t="s">
        <v>45</v>
      </c>
      <c r="O5808" t="s">
        <v>43</v>
      </c>
      <c r="P5808" t="s">
        <v>43</v>
      </c>
      <c r="Q5808" t="s">
        <v>43</v>
      </c>
      <c r="R5808" t="s">
        <v>43</v>
      </c>
      <c r="S5808">
        <v>0</v>
      </c>
      <c r="T5808">
        <v>-40</v>
      </c>
      <c r="U5808">
        <v>43</v>
      </c>
      <c r="V5808">
        <v>0</v>
      </c>
      <c r="W5808" t="s">
        <v>43</v>
      </c>
      <c r="X5808" t="s">
        <v>43</v>
      </c>
      <c r="Y5808" t="s">
        <v>43</v>
      </c>
      <c r="Z5808" t="s">
        <v>43</v>
      </c>
      <c r="AA5808" t="s">
        <v>43</v>
      </c>
      <c r="AB5808" t="s">
        <v>43</v>
      </c>
      <c r="AC5808" t="s">
        <v>43</v>
      </c>
      <c r="AD5808" t="s">
        <v>43</v>
      </c>
      <c r="AE5808" t="s">
        <v>43</v>
      </c>
      <c r="AF5808" t="s">
        <v>43</v>
      </c>
      <c r="AG5808" t="s">
        <v>43</v>
      </c>
      <c r="AH5808" t="s">
        <v>43</v>
      </c>
      <c r="AI5808" t="s">
        <v>43</v>
      </c>
      <c r="AJ5808" t="s">
        <v>43</v>
      </c>
      <c r="AK5808" t="s">
        <v>43</v>
      </c>
      <c r="AL5808" t="s">
        <v>43</v>
      </c>
      <c r="AM5808" t="s">
        <v>43</v>
      </c>
      <c r="AN5808" t="s">
        <v>43</v>
      </c>
    </row>
    <row r="5809" spans="1:40" x14ac:dyDescent="0.3">
      <c r="A5809" s="1">
        <v>46210.326967592591</v>
      </c>
      <c r="B5809" t="s">
        <v>40</v>
      </c>
      <c r="C5809" t="s">
        <v>41</v>
      </c>
      <c r="D5809" s="1">
        <v>46210.32980324074</v>
      </c>
      <c r="E5809" t="s">
        <v>42</v>
      </c>
      <c r="F5809" t="s">
        <v>43</v>
      </c>
      <c r="G5809" t="s">
        <v>43</v>
      </c>
      <c r="H5809" t="s">
        <v>43</v>
      </c>
      <c r="I5809" t="s">
        <v>3217</v>
      </c>
      <c r="J5809" t="s">
        <v>43</v>
      </c>
      <c r="K5809" t="s">
        <v>43</v>
      </c>
      <c r="L5809" t="s">
        <v>43</v>
      </c>
      <c r="M5809" t="s">
        <v>43</v>
      </c>
      <c r="N5809" t="s">
        <v>45</v>
      </c>
      <c r="O5809" t="s">
        <v>43</v>
      </c>
      <c r="P5809" t="s">
        <v>43</v>
      </c>
      <c r="Q5809" t="s">
        <v>43</v>
      </c>
      <c r="R5809" t="s">
        <v>43</v>
      </c>
      <c r="S5809">
        <v>0</v>
      </c>
      <c r="T5809">
        <v>-40</v>
      </c>
      <c r="U5809">
        <v>43</v>
      </c>
      <c r="V5809">
        <v>0</v>
      </c>
      <c r="W5809" t="s">
        <v>43</v>
      </c>
      <c r="X5809" t="s">
        <v>43</v>
      </c>
      <c r="Y5809" t="s">
        <v>43</v>
      </c>
      <c r="Z5809" t="s">
        <v>43</v>
      </c>
      <c r="AA5809" t="s">
        <v>43</v>
      </c>
      <c r="AB5809" t="s">
        <v>43</v>
      </c>
      <c r="AC5809" t="s">
        <v>43</v>
      </c>
      <c r="AD5809" t="s">
        <v>43</v>
      </c>
      <c r="AE5809" t="s">
        <v>43</v>
      </c>
      <c r="AF5809" t="s">
        <v>43</v>
      </c>
      <c r="AG5809" t="s">
        <v>43</v>
      </c>
      <c r="AH5809" t="s">
        <v>43</v>
      </c>
      <c r="AI5809" t="s">
        <v>43</v>
      </c>
      <c r="AJ5809" t="s">
        <v>43</v>
      </c>
      <c r="AK5809" t="s">
        <v>43</v>
      </c>
      <c r="AL5809" t="s">
        <v>43</v>
      </c>
      <c r="AM5809" t="s">
        <v>43</v>
      </c>
      <c r="AN5809" t="str">
        <f>HYPERLINK("https://www.google.com/maps?q=10.83315754,79.84578705","Open Location")</f>
        <v>Open Location</v>
      </c>
    </row>
    <row r="5810" spans="1:40" x14ac:dyDescent="0.3">
      <c r="A5810" s="1">
        <v>46210.326851851853</v>
      </c>
      <c r="B5810" t="s">
        <v>40</v>
      </c>
      <c r="C5810" t="s">
        <v>41</v>
      </c>
      <c r="D5810" s="1">
        <v>46210.329930555556</v>
      </c>
      <c r="E5810" t="s">
        <v>42</v>
      </c>
      <c r="F5810" t="s">
        <v>43</v>
      </c>
      <c r="G5810" t="s">
        <v>43</v>
      </c>
      <c r="H5810" t="s">
        <v>43</v>
      </c>
      <c r="I5810" t="s">
        <v>3288</v>
      </c>
      <c r="J5810" t="s">
        <v>43</v>
      </c>
      <c r="K5810" t="s">
        <v>43</v>
      </c>
      <c r="L5810" t="s">
        <v>43</v>
      </c>
      <c r="M5810" t="s">
        <v>43</v>
      </c>
      <c r="N5810" t="s">
        <v>45</v>
      </c>
      <c r="O5810" t="s">
        <v>43</v>
      </c>
      <c r="P5810" t="s">
        <v>43</v>
      </c>
      <c r="Q5810" t="s">
        <v>43</v>
      </c>
      <c r="R5810" t="s">
        <v>43</v>
      </c>
      <c r="S5810">
        <v>0</v>
      </c>
      <c r="T5810">
        <v>-40</v>
      </c>
      <c r="U5810">
        <v>43</v>
      </c>
      <c r="V5810">
        <v>0</v>
      </c>
      <c r="W5810" t="s">
        <v>43</v>
      </c>
      <c r="X5810" t="s">
        <v>43</v>
      </c>
      <c r="Y5810" t="s">
        <v>43</v>
      </c>
      <c r="Z5810" t="s">
        <v>43</v>
      </c>
      <c r="AA5810" t="s">
        <v>43</v>
      </c>
      <c r="AB5810" t="s">
        <v>43</v>
      </c>
      <c r="AC5810" t="s">
        <v>43</v>
      </c>
      <c r="AD5810" t="s">
        <v>43</v>
      </c>
      <c r="AE5810" t="s">
        <v>43</v>
      </c>
      <c r="AF5810" t="s">
        <v>43</v>
      </c>
      <c r="AG5810" t="s">
        <v>43</v>
      </c>
      <c r="AH5810" t="s">
        <v>43</v>
      </c>
      <c r="AI5810" t="s">
        <v>43</v>
      </c>
      <c r="AJ5810" t="s">
        <v>43</v>
      </c>
      <c r="AK5810" t="s">
        <v>43</v>
      </c>
      <c r="AL5810" t="s">
        <v>43</v>
      </c>
      <c r="AM5810" t="s">
        <v>43</v>
      </c>
      <c r="AN5810" t="str">
        <f>HYPERLINK("https://www.google.com/maps?q=10.83316612,79.84578705","Open Location")</f>
        <v>Open Location</v>
      </c>
    </row>
    <row r="5811" spans="1:40" x14ac:dyDescent="0.3">
      <c r="A5811" s="1">
        <v>46210.326736111114</v>
      </c>
      <c r="B5811" t="s">
        <v>40</v>
      </c>
      <c r="C5811" t="s">
        <v>41</v>
      </c>
      <c r="D5811" s="1">
        <v>46210.329479166663</v>
      </c>
      <c r="E5811" t="s">
        <v>42</v>
      </c>
      <c r="F5811" t="s">
        <v>43</v>
      </c>
      <c r="G5811" t="s">
        <v>43</v>
      </c>
      <c r="H5811" t="s">
        <v>43</v>
      </c>
      <c r="I5811" t="s">
        <v>3289</v>
      </c>
      <c r="J5811" t="s">
        <v>43</v>
      </c>
      <c r="K5811" t="s">
        <v>43</v>
      </c>
      <c r="L5811" t="s">
        <v>43</v>
      </c>
      <c r="M5811" t="s">
        <v>43</v>
      </c>
      <c r="N5811" t="s">
        <v>45</v>
      </c>
      <c r="O5811" t="s">
        <v>43</v>
      </c>
      <c r="P5811" t="s">
        <v>43</v>
      </c>
      <c r="Q5811" t="s">
        <v>43</v>
      </c>
      <c r="R5811" t="s">
        <v>43</v>
      </c>
      <c r="S5811">
        <v>0</v>
      </c>
      <c r="T5811">
        <v>-40</v>
      </c>
      <c r="U5811">
        <v>43</v>
      </c>
      <c r="V5811">
        <v>0</v>
      </c>
      <c r="W5811" t="s">
        <v>43</v>
      </c>
      <c r="X5811" t="s">
        <v>43</v>
      </c>
      <c r="Y5811" t="s">
        <v>43</v>
      </c>
      <c r="Z5811" t="s">
        <v>43</v>
      </c>
      <c r="AA5811" t="s">
        <v>43</v>
      </c>
      <c r="AB5811" t="s">
        <v>43</v>
      </c>
      <c r="AC5811" t="s">
        <v>43</v>
      </c>
      <c r="AD5811" t="s">
        <v>43</v>
      </c>
      <c r="AE5811" t="s">
        <v>43</v>
      </c>
      <c r="AF5811" t="s">
        <v>43</v>
      </c>
      <c r="AG5811" t="s">
        <v>43</v>
      </c>
      <c r="AH5811" t="s">
        <v>43</v>
      </c>
      <c r="AI5811" t="s">
        <v>43</v>
      </c>
      <c r="AJ5811" t="s">
        <v>43</v>
      </c>
      <c r="AK5811" t="s">
        <v>43</v>
      </c>
      <c r="AL5811" t="s">
        <v>43</v>
      </c>
      <c r="AM5811" t="s">
        <v>43</v>
      </c>
      <c r="AN5811" t="str">
        <f>HYPERLINK("https://www.google.com/maps?q=10.8331604,79.84578705","Open Location")</f>
        <v>Open Location</v>
      </c>
    </row>
    <row r="5812" spans="1:40" x14ac:dyDescent="0.3">
      <c r="A5812" s="1">
        <v>46210.326620370368</v>
      </c>
      <c r="B5812" t="s">
        <v>40</v>
      </c>
      <c r="C5812" t="s">
        <v>41</v>
      </c>
      <c r="D5812" s="1">
        <v>46210.329664351855</v>
      </c>
      <c r="E5812" t="s">
        <v>42</v>
      </c>
      <c r="F5812" t="s">
        <v>43</v>
      </c>
      <c r="G5812" t="s">
        <v>43</v>
      </c>
      <c r="H5812" t="s">
        <v>43</v>
      </c>
      <c r="I5812" t="s">
        <v>3213</v>
      </c>
      <c r="J5812" t="s">
        <v>43</v>
      </c>
      <c r="K5812" t="s">
        <v>43</v>
      </c>
      <c r="L5812" t="s">
        <v>43</v>
      </c>
      <c r="M5812" t="s">
        <v>43</v>
      </c>
      <c r="N5812" t="s">
        <v>45</v>
      </c>
      <c r="O5812" t="s">
        <v>43</v>
      </c>
      <c r="P5812" t="s">
        <v>43</v>
      </c>
      <c r="Q5812" t="s">
        <v>43</v>
      </c>
      <c r="R5812" t="s">
        <v>43</v>
      </c>
      <c r="S5812">
        <v>0</v>
      </c>
      <c r="T5812">
        <v>-40</v>
      </c>
      <c r="U5812">
        <v>43</v>
      </c>
      <c r="V5812">
        <v>0</v>
      </c>
      <c r="W5812" t="s">
        <v>43</v>
      </c>
      <c r="X5812" t="s">
        <v>43</v>
      </c>
      <c r="Y5812" t="s">
        <v>43</v>
      </c>
      <c r="Z5812" t="s">
        <v>43</v>
      </c>
      <c r="AA5812" t="s">
        <v>43</v>
      </c>
      <c r="AB5812" t="s">
        <v>43</v>
      </c>
      <c r="AC5812" t="s">
        <v>43</v>
      </c>
      <c r="AD5812" t="s">
        <v>43</v>
      </c>
      <c r="AE5812" t="s">
        <v>43</v>
      </c>
      <c r="AF5812" t="s">
        <v>43</v>
      </c>
      <c r="AG5812" t="s">
        <v>43</v>
      </c>
      <c r="AH5812" t="s">
        <v>43</v>
      </c>
      <c r="AI5812" t="s">
        <v>43</v>
      </c>
      <c r="AJ5812" t="s">
        <v>43</v>
      </c>
      <c r="AK5812" t="s">
        <v>43</v>
      </c>
      <c r="AL5812" t="s">
        <v>43</v>
      </c>
      <c r="AM5812" t="s">
        <v>43</v>
      </c>
      <c r="AN5812" t="str">
        <f>HYPERLINK("https://www.google.com/maps?q=10.83316231,79.84578705","Open Location")</f>
        <v>Open Location</v>
      </c>
    </row>
    <row r="5813" spans="1:40" x14ac:dyDescent="0.3">
      <c r="A5813" s="1">
        <v>46210.326504629629</v>
      </c>
      <c r="B5813" t="s">
        <v>40</v>
      </c>
      <c r="C5813" t="s">
        <v>41</v>
      </c>
      <c r="D5813" s="1">
        <v>46210.329386574071</v>
      </c>
      <c r="E5813" t="s">
        <v>42</v>
      </c>
      <c r="F5813" t="s">
        <v>43</v>
      </c>
      <c r="G5813" t="s">
        <v>43</v>
      </c>
      <c r="H5813" t="s">
        <v>43</v>
      </c>
      <c r="I5813" t="s">
        <v>43</v>
      </c>
      <c r="J5813" t="s">
        <v>43</v>
      </c>
      <c r="K5813" t="s">
        <v>43</v>
      </c>
      <c r="L5813" t="s">
        <v>43</v>
      </c>
      <c r="M5813" t="s">
        <v>43</v>
      </c>
      <c r="N5813" t="s">
        <v>45</v>
      </c>
      <c r="O5813" t="s">
        <v>43</v>
      </c>
      <c r="P5813" t="s">
        <v>43</v>
      </c>
      <c r="Q5813" t="s">
        <v>43</v>
      </c>
      <c r="R5813" t="s">
        <v>43</v>
      </c>
      <c r="S5813">
        <v>0</v>
      </c>
      <c r="T5813">
        <v>-40</v>
      </c>
      <c r="U5813">
        <v>43</v>
      </c>
      <c r="V5813">
        <v>0</v>
      </c>
      <c r="W5813" t="s">
        <v>43</v>
      </c>
      <c r="X5813" t="s">
        <v>43</v>
      </c>
      <c r="Y5813" t="s">
        <v>43</v>
      </c>
      <c r="Z5813" t="s">
        <v>43</v>
      </c>
      <c r="AA5813" t="s">
        <v>43</v>
      </c>
      <c r="AB5813" t="s">
        <v>43</v>
      </c>
      <c r="AC5813" t="s">
        <v>43</v>
      </c>
      <c r="AD5813" t="s">
        <v>43</v>
      </c>
      <c r="AE5813" t="s">
        <v>43</v>
      </c>
      <c r="AF5813" t="s">
        <v>43</v>
      </c>
      <c r="AG5813" t="s">
        <v>43</v>
      </c>
      <c r="AH5813" t="s">
        <v>43</v>
      </c>
      <c r="AI5813" t="s">
        <v>43</v>
      </c>
      <c r="AJ5813" t="s">
        <v>43</v>
      </c>
      <c r="AK5813" t="s">
        <v>43</v>
      </c>
      <c r="AL5813" t="s">
        <v>43</v>
      </c>
      <c r="AM5813" t="s">
        <v>43</v>
      </c>
      <c r="AN5813" t="s">
        <v>43</v>
      </c>
    </row>
    <row r="5814" spans="1:40" x14ac:dyDescent="0.3">
      <c r="A5814" s="1">
        <v>46210.326388888891</v>
      </c>
      <c r="B5814" t="s">
        <v>40</v>
      </c>
      <c r="C5814" t="s">
        <v>41</v>
      </c>
      <c r="D5814" s="1">
        <v>46210.329363425924</v>
      </c>
      <c r="E5814" t="s">
        <v>42</v>
      </c>
      <c r="F5814" t="s">
        <v>83</v>
      </c>
      <c r="G5814">
        <v>0</v>
      </c>
      <c r="H5814" t="s">
        <v>43</v>
      </c>
      <c r="I5814" t="s">
        <v>3212</v>
      </c>
      <c r="J5814">
        <v>63</v>
      </c>
      <c r="K5814">
        <v>9</v>
      </c>
      <c r="L5814">
        <v>98</v>
      </c>
      <c r="M5814">
        <v>631.59997558999999</v>
      </c>
      <c r="N5814" t="s">
        <v>81</v>
      </c>
      <c r="O5814" t="s">
        <v>82</v>
      </c>
      <c r="P5814">
        <v>125</v>
      </c>
      <c r="Q5814" t="s">
        <v>82</v>
      </c>
      <c r="R5814">
        <v>0</v>
      </c>
      <c r="S5814">
        <v>0</v>
      </c>
      <c r="T5814">
        <v>-40</v>
      </c>
      <c r="U5814">
        <v>43</v>
      </c>
      <c r="V5814">
        <v>0</v>
      </c>
      <c r="W5814">
        <v>29</v>
      </c>
      <c r="X5814">
        <v>29</v>
      </c>
      <c r="Y5814">
        <v>5</v>
      </c>
      <c r="Z5814">
        <v>6</v>
      </c>
      <c r="AA5814">
        <v>26</v>
      </c>
      <c r="AB5814">
        <v>4</v>
      </c>
      <c r="AC5814">
        <v>2</v>
      </c>
      <c r="AD5814">
        <v>3.2959999999999998</v>
      </c>
      <c r="AE5814">
        <v>6</v>
      </c>
      <c r="AF5814">
        <v>30</v>
      </c>
      <c r="AG5814">
        <v>3.28800011</v>
      </c>
      <c r="AH5814">
        <v>5</v>
      </c>
      <c r="AI5814">
        <v>10</v>
      </c>
      <c r="AJ5814" t="s">
        <v>43</v>
      </c>
      <c r="AK5814" t="s">
        <v>43</v>
      </c>
      <c r="AL5814" t="s">
        <v>43</v>
      </c>
      <c r="AM5814" t="s">
        <v>43</v>
      </c>
      <c r="AN5814" t="str">
        <f>HYPERLINK("https://www.google.com/maps?q=10.83316517,79.84578705","Open Location")</f>
        <v>Open Location</v>
      </c>
    </row>
    <row r="5815" spans="1:40" x14ac:dyDescent="0.3">
      <c r="A5815" s="1">
        <v>46210.326273148145</v>
      </c>
      <c r="B5815" t="s">
        <v>40</v>
      </c>
      <c r="C5815" t="s">
        <v>41</v>
      </c>
      <c r="D5815" s="1">
        <v>46210.329074074078</v>
      </c>
      <c r="E5815" t="s">
        <v>42</v>
      </c>
      <c r="F5815" t="s">
        <v>83</v>
      </c>
      <c r="G5815">
        <v>6</v>
      </c>
      <c r="H5815">
        <v>33083</v>
      </c>
      <c r="I5815" t="s">
        <v>3290</v>
      </c>
      <c r="J5815">
        <v>63</v>
      </c>
      <c r="K5815">
        <v>27</v>
      </c>
      <c r="L5815">
        <v>98</v>
      </c>
      <c r="M5815">
        <v>630.90002441000001</v>
      </c>
      <c r="N5815" t="s">
        <v>87</v>
      </c>
      <c r="O5815" t="s">
        <v>86</v>
      </c>
      <c r="P5815">
        <v>127</v>
      </c>
      <c r="Q5815">
        <v>2</v>
      </c>
      <c r="R5815">
        <v>11</v>
      </c>
      <c r="S5815">
        <v>1336</v>
      </c>
      <c r="T5815">
        <v>-40</v>
      </c>
      <c r="U5815">
        <v>43</v>
      </c>
      <c r="V5815">
        <v>80</v>
      </c>
      <c r="W5815">
        <v>29</v>
      </c>
      <c r="X5815">
        <v>29</v>
      </c>
      <c r="Y5815">
        <v>5</v>
      </c>
      <c r="Z5815">
        <v>6</v>
      </c>
      <c r="AA5815">
        <v>26</v>
      </c>
      <c r="AB5815">
        <v>4</v>
      </c>
      <c r="AC5815">
        <v>2</v>
      </c>
      <c r="AD5815">
        <v>3.2909998900000001</v>
      </c>
      <c r="AE5815">
        <v>1</v>
      </c>
      <c r="AF5815">
        <v>25</v>
      </c>
      <c r="AG5815">
        <v>3.2839999199999999</v>
      </c>
      <c r="AH5815">
        <v>4</v>
      </c>
      <c r="AI5815">
        <v>17</v>
      </c>
      <c r="AJ5815">
        <v>1</v>
      </c>
      <c r="AK5815">
        <v>22</v>
      </c>
      <c r="AL5815">
        <v>35</v>
      </c>
      <c r="AM5815" t="s">
        <v>43</v>
      </c>
      <c r="AN5815" t="str">
        <f>HYPERLINK("https://www.google.com/maps?q=10.83316994,79.8458252","Open Location")</f>
        <v>Open Location</v>
      </c>
    </row>
    <row r="5816" spans="1:40" x14ac:dyDescent="0.3">
      <c r="A5816" s="1">
        <v>46210.326157407406</v>
      </c>
      <c r="B5816" t="s">
        <v>40</v>
      </c>
      <c r="C5816" t="s">
        <v>41</v>
      </c>
      <c r="D5816" s="1">
        <v>46210.328923611109</v>
      </c>
      <c r="E5816" t="s">
        <v>43</v>
      </c>
      <c r="F5816" t="s">
        <v>83</v>
      </c>
      <c r="G5816">
        <v>6</v>
      </c>
      <c r="H5816">
        <v>33083</v>
      </c>
      <c r="I5816" t="s">
        <v>3291</v>
      </c>
      <c r="J5816">
        <v>63</v>
      </c>
      <c r="K5816">
        <v>61</v>
      </c>
      <c r="L5816">
        <v>98</v>
      </c>
      <c r="M5816">
        <v>629.79998779000005</v>
      </c>
      <c r="N5816" t="s">
        <v>87</v>
      </c>
      <c r="O5816" t="s">
        <v>86</v>
      </c>
      <c r="P5816">
        <v>127</v>
      </c>
      <c r="Q5816">
        <v>2</v>
      </c>
      <c r="R5816">
        <v>32</v>
      </c>
      <c r="S5816">
        <v>1226</v>
      </c>
      <c r="T5816">
        <v>-40</v>
      </c>
      <c r="U5816">
        <v>44</v>
      </c>
      <c r="V5816">
        <v>240</v>
      </c>
      <c r="W5816">
        <v>28</v>
      </c>
      <c r="X5816">
        <v>28</v>
      </c>
      <c r="Y5816">
        <v>1</v>
      </c>
      <c r="Z5816">
        <v>1</v>
      </c>
      <c r="AA5816">
        <v>26</v>
      </c>
      <c r="AB5816">
        <v>4</v>
      </c>
      <c r="AC5816">
        <v>2</v>
      </c>
      <c r="AD5816">
        <v>3.28600001</v>
      </c>
      <c r="AE5816">
        <v>1</v>
      </c>
      <c r="AF5816">
        <v>25</v>
      </c>
      <c r="AG5816">
        <v>3.2780001200000002</v>
      </c>
      <c r="AH5816">
        <v>4</v>
      </c>
      <c r="AI5816">
        <v>17</v>
      </c>
      <c r="AJ5816">
        <v>1</v>
      </c>
      <c r="AK5816">
        <v>18</v>
      </c>
      <c r="AL5816">
        <v>35</v>
      </c>
      <c r="AM5816" t="s">
        <v>43</v>
      </c>
      <c r="AN5816" t="str">
        <f>HYPERLINK("https://www.google.com/maps?q=10.83318996,79.84603119","Open Location")</f>
        <v>Open Location</v>
      </c>
    </row>
    <row r="5817" spans="1:40" x14ac:dyDescent="0.3">
      <c r="A5817" s="1">
        <v>46210.326041666667</v>
      </c>
      <c r="B5817" t="s">
        <v>40</v>
      </c>
      <c r="C5817" t="s">
        <v>41</v>
      </c>
      <c r="D5817" s="1">
        <v>46210.329074074078</v>
      </c>
      <c r="E5817" t="s">
        <v>42</v>
      </c>
      <c r="F5817" t="s">
        <v>83</v>
      </c>
      <c r="G5817">
        <v>0</v>
      </c>
      <c r="H5817">
        <v>33083</v>
      </c>
      <c r="I5817" t="s">
        <v>3292</v>
      </c>
      <c r="J5817">
        <v>63</v>
      </c>
      <c r="K5817">
        <v>9</v>
      </c>
      <c r="L5817">
        <v>98</v>
      </c>
      <c r="M5817">
        <v>632.20001220999995</v>
      </c>
      <c r="N5817" t="s">
        <v>85</v>
      </c>
      <c r="O5817" t="s">
        <v>86</v>
      </c>
      <c r="P5817">
        <v>127</v>
      </c>
      <c r="Q5817">
        <v>2</v>
      </c>
      <c r="R5817">
        <v>0</v>
      </c>
      <c r="S5817">
        <v>0</v>
      </c>
      <c r="T5817">
        <v>-40</v>
      </c>
      <c r="U5817">
        <v>41</v>
      </c>
      <c r="V5817">
        <v>0</v>
      </c>
      <c r="W5817">
        <v>28</v>
      </c>
      <c r="X5817">
        <v>28</v>
      </c>
      <c r="Y5817">
        <v>1</v>
      </c>
      <c r="Z5817">
        <v>1</v>
      </c>
      <c r="AA5817">
        <v>26</v>
      </c>
      <c r="AB5817">
        <v>4</v>
      </c>
      <c r="AC5817">
        <v>2</v>
      </c>
      <c r="AD5817">
        <v>3.2939999100000001</v>
      </c>
      <c r="AE5817">
        <v>1</v>
      </c>
      <c r="AF5817">
        <v>25</v>
      </c>
      <c r="AG5817">
        <v>3.28600001</v>
      </c>
      <c r="AH5817">
        <v>4</v>
      </c>
      <c r="AI5817">
        <v>17</v>
      </c>
      <c r="AJ5817">
        <v>1</v>
      </c>
      <c r="AK5817">
        <v>22</v>
      </c>
      <c r="AL5817">
        <v>35</v>
      </c>
      <c r="AM5817" t="s">
        <v>43</v>
      </c>
      <c r="AN5817" t="str">
        <f>HYPERLINK("https://www.google.com/maps?q=10.83313465,79.84617615","Open Location")</f>
        <v>Open Location</v>
      </c>
    </row>
    <row r="5818" spans="1:40" x14ac:dyDescent="0.3">
      <c r="A5818" s="1">
        <v>46210.325925925928</v>
      </c>
      <c r="B5818" t="s">
        <v>40</v>
      </c>
      <c r="C5818" t="s">
        <v>41</v>
      </c>
      <c r="D5818" s="1">
        <v>46210.328923611109</v>
      </c>
      <c r="E5818" t="s">
        <v>42</v>
      </c>
      <c r="F5818" t="s">
        <v>83</v>
      </c>
      <c r="G5818">
        <v>0</v>
      </c>
      <c r="H5818">
        <v>33083</v>
      </c>
      <c r="I5818" t="s">
        <v>3293</v>
      </c>
      <c r="J5818">
        <v>0</v>
      </c>
      <c r="K5818">
        <v>-3200</v>
      </c>
      <c r="L5818">
        <v>0</v>
      </c>
      <c r="M5818">
        <v>0</v>
      </c>
      <c r="N5818" t="s">
        <v>81</v>
      </c>
      <c r="O5818" t="s">
        <v>82</v>
      </c>
      <c r="P5818">
        <v>125</v>
      </c>
      <c r="Q5818" t="s">
        <v>43</v>
      </c>
      <c r="R5818">
        <v>0</v>
      </c>
      <c r="S5818">
        <v>0</v>
      </c>
      <c r="T5818">
        <v>-40</v>
      </c>
      <c r="U5818">
        <v>41</v>
      </c>
      <c r="V5818">
        <v>0</v>
      </c>
      <c r="W5818">
        <v>28</v>
      </c>
      <c r="X5818">
        <v>28</v>
      </c>
      <c r="Y5818">
        <v>1</v>
      </c>
      <c r="Z5818">
        <v>1</v>
      </c>
      <c r="AA5818">
        <v>26</v>
      </c>
      <c r="AB5818">
        <v>3</v>
      </c>
      <c r="AC5818">
        <v>2</v>
      </c>
      <c r="AD5818">
        <v>3.3020000500000002</v>
      </c>
      <c r="AE5818">
        <v>6</v>
      </c>
      <c r="AF5818">
        <v>30</v>
      </c>
      <c r="AG5818">
        <v>3.2950000799999999</v>
      </c>
      <c r="AH5818">
        <v>2</v>
      </c>
      <c r="AI5818">
        <v>45</v>
      </c>
      <c r="AJ5818">
        <v>0</v>
      </c>
      <c r="AK5818">
        <v>0</v>
      </c>
      <c r="AL5818">
        <v>35</v>
      </c>
      <c r="AM5818" t="s">
        <v>43</v>
      </c>
      <c r="AN5818" t="str">
        <f>HYPERLINK("https://www.google.com/maps?q=10.83313847,79.84616852","Open Location")</f>
        <v>Open Location</v>
      </c>
    </row>
    <row r="5819" spans="1:40" x14ac:dyDescent="0.3">
      <c r="A5819" s="1">
        <v>46210.325810185182</v>
      </c>
      <c r="B5819" t="s">
        <v>40</v>
      </c>
      <c r="C5819" t="s">
        <v>41</v>
      </c>
      <c r="D5819" s="1">
        <v>46210.328460648147</v>
      </c>
      <c r="E5819" t="s">
        <v>42</v>
      </c>
      <c r="F5819" t="s">
        <v>43</v>
      </c>
      <c r="G5819" t="s">
        <v>43</v>
      </c>
      <c r="H5819" t="s">
        <v>43</v>
      </c>
      <c r="I5819" t="s">
        <v>43</v>
      </c>
      <c r="J5819" t="s">
        <v>43</v>
      </c>
      <c r="K5819" t="s">
        <v>43</v>
      </c>
      <c r="L5819" t="s">
        <v>43</v>
      </c>
      <c r="M5819" t="s">
        <v>43</v>
      </c>
      <c r="N5819" t="s">
        <v>45</v>
      </c>
      <c r="O5819" t="s">
        <v>43</v>
      </c>
      <c r="P5819" t="s">
        <v>43</v>
      </c>
      <c r="Q5819" t="s">
        <v>43</v>
      </c>
      <c r="R5819" t="s">
        <v>43</v>
      </c>
      <c r="S5819" t="s">
        <v>43</v>
      </c>
      <c r="T5819" t="s">
        <v>43</v>
      </c>
      <c r="U5819" t="s">
        <v>43</v>
      </c>
      <c r="V5819" t="s">
        <v>43</v>
      </c>
      <c r="W5819" t="s">
        <v>43</v>
      </c>
      <c r="X5819" t="s">
        <v>43</v>
      </c>
      <c r="Y5819" t="s">
        <v>43</v>
      </c>
      <c r="Z5819" t="s">
        <v>43</v>
      </c>
      <c r="AA5819" t="s">
        <v>43</v>
      </c>
      <c r="AB5819" t="s">
        <v>43</v>
      </c>
      <c r="AC5819" t="s">
        <v>43</v>
      </c>
      <c r="AD5819" t="s">
        <v>43</v>
      </c>
      <c r="AE5819" t="s">
        <v>43</v>
      </c>
      <c r="AF5819" t="s">
        <v>43</v>
      </c>
      <c r="AG5819" t="s">
        <v>43</v>
      </c>
      <c r="AH5819" t="s">
        <v>43</v>
      </c>
      <c r="AI5819" t="s">
        <v>43</v>
      </c>
      <c r="AJ5819" t="s">
        <v>43</v>
      </c>
      <c r="AK5819" t="s">
        <v>43</v>
      </c>
      <c r="AL5819" t="s">
        <v>43</v>
      </c>
      <c r="AM5819" t="s">
        <v>43</v>
      </c>
      <c r="AN5819" t="s">
        <v>43</v>
      </c>
    </row>
    <row r="5820" spans="1:40" x14ac:dyDescent="0.3">
      <c r="A5820" s="1">
        <v>46210.325694444444</v>
      </c>
      <c r="B5820" t="s">
        <v>40</v>
      </c>
      <c r="C5820" t="s">
        <v>41</v>
      </c>
      <c r="D5820" s="1">
        <v>46210.328657407408</v>
      </c>
      <c r="E5820" t="s">
        <v>42</v>
      </c>
      <c r="F5820" t="s">
        <v>43</v>
      </c>
      <c r="G5820" t="s">
        <v>43</v>
      </c>
      <c r="H5820" t="s">
        <v>43</v>
      </c>
      <c r="I5820" t="s">
        <v>3294</v>
      </c>
      <c r="J5820" t="s">
        <v>43</v>
      </c>
      <c r="K5820" t="s">
        <v>43</v>
      </c>
      <c r="L5820" t="s">
        <v>43</v>
      </c>
      <c r="M5820" t="s">
        <v>43</v>
      </c>
      <c r="N5820" t="s">
        <v>45</v>
      </c>
      <c r="O5820" t="s">
        <v>43</v>
      </c>
      <c r="P5820" t="s">
        <v>43</v>
      </c>
      <c r="Q5820" t="s">
        <v>43</v>
      </c>
      <c r="R5820" t="s">
        <v>43</v>
      </c>
      <c r="S5820" t="s">
        <v>43</v>
      </c>
      <c r="T5820" t="s">
        <v>43</v>
      </c>
      <c r="U5820" t="s">
        <v>43</v>
      </c>
      <c r="V5820" t="s">
        <v>43</v>
      </c>
      <c r="W5820" t="s">
        <v>43</v>
      </c>
      <c r="X5820" t="s">
        <v>43</v>
      </c>
      <c r="Y5820" t="s">
        <v>43</v>
      </c>
      <c r="Z5820" t="s">
        <v>43</v>
      </c>
      <c r="AA5820" t="s">
        <v>43</v>
      </c>
      <c r="AB5820" t="s">
        <v>43</v>
      </c>
      <c r="AC5820" t="s">
        <v>43</v>
      </c>
      <c r="AD5820" t="s">
        <v>43</v>
      </c>
      <c r="AE5820" t="s">
        <v>43</v>
      </c>
      <c r="AF5820" t="s">
        <v>43</v>
      </c>
      <c r="AG5820" t="s">
        <v>43</v>
      </c>
      <c r="AH5820" t="s">
        <v>43</v>
      </c>
      <c r="AI5820" t="s">
        <v>43</v>
      </c>
      <c r="AJ5820" t="s">
        <v>43</v>
      </c>
      <c r="AK5820" t="s">
        <v>43</v>
      </c>
      <c r="AL5820" t="s">
        <v>43</v>
      </c>
      <c r="AM5820" t="s">
        <v>43</v>
      </c>
      <c r="AN5820" t="str">
        <f>HYPERLINK("https://www.google.com/maps?q=10.83313942,79.84616089","Open Location")</f>
        <v>Open Location</v>
      </c>
    </row>
    <row r="5821" spans="1:40" x14ac:dyDescent="0.3">
      <c r="A5821" s="1">
        <v>46210.325578703705</v>
      </c>
      <c r="B5821" t="s">
        <v>40</v>
      </c>
      <c r="C5821" t="s">
        <v>41</v>
      </c>
      <c r="D5821" s="1">
        <v>46210.328344907408</v>
      </c>
      <c r="E5821" t="s">
        <v>42</v>
      </c>
      <c r="F5821" t="s">
        <v>43</v>
      </c>
      <c r="G5821" t="s">
        <v>43</v>
      </c>
      <c r="H5821" t="s">
        <v>43</v>
      </c>
      <c r="I5821" t="s">
        <v>3295</v>
      </c>
      <c r="J5821" t="s">
        <v>43</v>
      </c>
      <c r="K5821" t="s">
        <v>43</v>
      </c>
      <c r="L5821" t="s">
        <v>43</v>
      </c>
      <c r="M5821" t="s">
        <v>43</v>
      </c>
      <c r="N5821" t="s">
        <v>45</v>
      </c>
      <c r="O5821" t="s">
        <v>43</v>
      </c>
      <c r="P5821" t="s">
        <v>43</v>
      </c>
      <c r="Q5821" t="s">
        <v>43</v>
      </c>
      <c r="R5821" t="s">
        <v>43</v>
      </c>
      <c r="S5821" t="s">
        <v>43</v>
      </c>
      <c r="T5821" t="s">
        <v>43</v>
      </c>
      <c r="U5821" t="s">
        <v>43</v>
      </c>
      <c r="V5821" t="s">
        <v>43</v>
      </c>
      <c r="W5821" t="s">
        <v>43</v>
      </c>
      <c r="X5821" t="s">
        <v>43</v>
      </c>
      <c r="Y5821" t="s">
        <v>43</v>
      </c>
      <c r="Z5821" t="s">
        <v>43</v>
      </c>
      <c r="AA5821" t="s">
        <v>43</v>
      </c>
      <c r="AB5821" t="s">
        <v>43</v>
      </c>
      <c r="AC5821" t="s">
        <v>43</v>
      </c>
      <c r="AD5821" t="s">
        <v>43</v>
      </c>
      <c r="AE5821" t="s">
        <v>43</v>
      </c>
      <c r="AF5821" t="s">
        <v>43</v>
      </c>
      <c r="AG5821" t="s">
        <v>43</v>
      </c>
      <c r="AH5821" t="s">
        <v>43</v>
      </c>
      <c r="AI5821" t="s">
        <v>43</v>
      </c>
      <c r="AJ5821" t="s">
        <v>43</v>
      </c>
      <c r="AK5821" t="s">
        <v>43</v>
      </c>
      <c r="AL5821" t="s">
        <v>43</v>
      </c>
      <c r="AM5821" t="s">
        <v>43</v>
      </c>
      <c r="AN5821" t="str">
        <f>HYPERLINK("https://www.google.com/maps?q=10.83314419,79.84616852","Open Location")</f>
        <v>Open Location</v>
      </c>
    </row>
    <row r="5822" spans="1:40" x14ac:dyDescent="0.3">
      <c r="A5822" s="1">
        <v>46210.325462962966</v>
      </c>
      <c r="B5822" t="s">
        <v>40</v>
      </c>
      <c r="C5822" t="s">
        <v>41</v>
      </c>
      <c r="D5822" s="1">
        <v>46210.328310185185</v>
      </c>
      <c r="E5822" t="s">
        <v>42</v>
      </c>
      <c r="F5822" t="s">
        <v>43</v>
      </c>
      <c r="G5822" t="s">
        <v>43</v>
      </c>
      <c r="H5822" t="s">
        <v>43</v>
      </c>
      <c r="I5822" t="s">
        <v>3296</v>
      </c>
      <c r="J5822" t="s">
        <v>43</v>
      </c>
      <c r="K5822" t="s">
        <v>43</v>
      </c>
      <c r="L5822" t="s">
        <v>43</v>
      </c>
      <c r="M5822" t="s">
        <v>43</v>
      </c>
      <c r="N5822" t="s">
        <v>45</v>
      </c>
      <c r="O5822" t="s">
        <v>43</v>
      </c>
      <c r="P5822" t="s">
        <v>43</v>
      </c>
      <c r="Q5822" t="s">
        <v>43</v>
      </c>
      <c r="R5822" t="s">
        <v>43</v>
      </c>
      <c r="S5822" t="s">
        <v>43</v>
      </c>
      <c r="T5822" t="s">
        <v>43</v>
      </c>
      <c r="U5822" t="s">
        <v>43</v>
      </c>
      <c r="V5822" t="s">
        <v>43</v>
      </c>
      <c r="W5822" t="s">
        <v>43</v>
      </c>
      <c r="X5822" t="s">
        <v>43</v>
      </c>
      <c r="Y5822" t="s">
        <v>43</v>
      </c>
      <c r="Z5822" t="s">
        <v>43</v>
      </c>
      <c r="AA5822" t="s">
        <v>43</v>
      </c>
      <c r="AB5822" t="s">
        <v>43</v>
      </c>
      <c r="AC5822" t="s">
        <v>43</v>
      </c>
      <c r="AD5822" t="s">
        <v>43</v>
      </c>
      <c r="AE5822" t="s">
        <v>43</v>
      </c>
      <c r="AF5822" t="s">
        <v>43</v>
      </c>
      <c r="AG5822" t="s">
        <v>43</v>
      </c>
      <c r="AH5822" t="s">
        <v>43</v>
      </c>
      <c r="AI5822" t="s">
        <v>43</v>
      </c>
      <c r="AJ5822" t="s">
        <v>43</v>
      </c>
      <c r="AK5822" t="s">
        <v>43</v>
      </c>
      <c r="AL5822" t="s">
        <v>43</v>
      </c>
      <c r="AM5822" t="s">
        <v>43</v>
      </c>
      <c r="AN5822" t="str">
        <f>HYPERLINK("https://www.google.com/maps?q=10.8331461,79.84616852","Open Location")</f>
        <v>Open Location</v>
      </c>
    </row>
    <row r="5823" spans="1:40" x14ac:dyDescent="0.3">
      <c r="A5823" s="1">
        <v>46210.32534722222</v>
      </c>
      <c r="B5823" t="s">
        <v>40</v>
      </c>
      <c r="C5823" t="s">
        <v>41</v>
      </c>
      <c r="D5823" s="1">
        <v>46210.328344907408</v>
      </c>
      <c r="E5823" t="s">
        <v>42</v>
      </c>
      <c r="F5823" t="s">
        <v>43</v>
      </c>
      <c r="G5823" t="s">
        <v>43</v>
      </c>
      <c r="H5823" t="s">
        <v>43</v>
      </c>
      <c r="I5823" t="s">
        <v>3297</v>
      </c>
      <c r="J5823" t="s">
        <v>43</v>
      </c>
      <c r="K5823" t="s">
        <v>43</v>
      </c>
      <c r="L5823" t="s">
        <v>43</v>
      </c>
      <c r="M5823" t="s">
        <v>43</v>
      </c>
      <c r="N5823" t="s">
        <v>45</v>
      </c>
      <c r="O5823" t="s">
        <v>43</v>
      </c>
      <c r="P5823" t="s">
        <v>43</v>
      </c>
      <c r="Q5823" t="s">
        <v>43</v>
      </c>
      <c r="R5823" t="s">
        <v>43</v>
      </c>
      <c r="S5823" t="s">
        <v>43</v>
      </c>
      <c r="T5823" t="s">
        <v>43</v>
      </c>
      <c r="U5823" t="s">
        <v>43</v>
      </c>
      <c r="V5823" t="s">
        <v>43</v>
      </c>
      <c r="W5823" t="s">
        <v>43</v>
      </c>
      <c r="X5823" t="s">
        <v>43</v>
      </c>
      <c r="Y5823" t="s">
        <v>43</v>
      </c>
      <c r="Z5823" t="s">
        <v>43</v>
      </c>
      <c r="AA5823" t="s">
        <v>43</v>
      </c>
      <c r="AB5823" t="s">
        <v>43</v>
      </c>
      <c r="AC5823" t="s">
        <v>43</v>
      </c>
      <c r="AD5823" t="s">
        <v>43</v>
      </c>
      <c r="AE5823" t="s">
        <v>43</v>
      </c>
      <c r="AF5823" t="s">
        <v>43</v>
      </c>
      <c r="AG5823" t="s">
        <v>43</v>
      </c>
      <c r="AH5823" t="s">
        <v>43</v>
      </c>
      <c r="AI5823" t="s">
        <v>43</v>
      </c>
      <c r="AJ5823" t="s">
        <v>43</v>
      </c>
      <c r="AK5823" t="s">
        <v>43</v>
      </c>
      <c r="AL5823" t="s">
        <v>43</v>
      </c>
      <c r="AM5823" t="s">
        <v>43</v>
      </c>
      <c r="AN5823" t="str">
        <f>HYPERLINK("https://www.google.com/maps?q=10.83315277,79.84616089","Open Location")</f>
        <v>Open Location</v>
      </c>
    </row>
    <row r="5824" spans="1:40" x14ac:dyDescent="0.3">
      <c r="A5824" s="1">
        <v>46210.325231481482</v>
      </c>
      <c r="B5824" t="s">
        <v>40</v>
      </c>
      <c r="C5824" t="s">
        <v>41</v>
      </c>
      <c r="D5824" s="1">
        <v>46210.328090277777</v>
      </c>
      <c r="E5824" t="s">
        <v>42</v>
      </c>
      <c r="F5824" t="s">
        <v>43</v>
      </c>
      <c r="G5824" t="s">
        <v>43</v>
      </c>
      <c r="H5824" t="s">
        <v>43</v>
      </c>
      <c r="I5824" t="s">
        <v>3297</v>
      </c>
      <c r="J5824" t="s">
        <v>43</v>
      </c>
      <c r="K5824" t="s">
        <v>43</v>
      </c>
      <c r="L5824" t="s">
        <v>43</v>
      </c>
      <c r="M5824" t="s">
        <v>43</v>
      </c>
      <c r="N5824" t="s">
        <v>45</v>
      </c>
      <c r="O5824" t="s">
        <v>43</v>
      </c>
      <c r="P5824" t="s">
        <v>43</v>
      </c>
      <c r="Q5824" t="s">
        <v>43</v>
      </c>
      <c r="R5824" t="s">
        <v>43</v>
      </c>
      <c r="S5824" t="s">
        <v>43</v>
      </c>
      <c r="T5824" t="s">
        <v>43</v>
      </c>
      <c r="U5824" t="s">
        <v>43</v>
      </c>
      <c r="V5824" t="s">
        <v>43</v>
      </c>
      <c r="W5824" t="s">
        <v>43</v>
      </c>
      <c r="X5824" t="s">
        <v>43</v>
      </c>
      <c r="Y5824" t="s">
        <v>43</v>
      </c>
      <c r="Z5824" t="s">
        <v>43</v>
      </c>
      <c r="AA5824" t="s">
        <v>43</v>
      </c>
      <c r="AB5824" t="s">
        <v>43</v>
      </c>
      <c r="AC5824" t="s">
        <v>43</v>
      </c>
      <c r="AD5824" t="s">
        <v>43</v>
      </c>
      <c r="AE5824" t="s">
        <v>43</v>
      </c>
      <c r="AF5824" t="s">
        <v>43</v>
      </c>
      <c r="AG5824" t="s">
        <v>43</v>
      </c>
      <c r="AH5824" t="s">
        <v>43</v>
      </c>
      <c r="AI5824" t="s">
        <v>43</v>
      </c>
      <c r="AJ5824" t="s">
        <v>43</v>
      </c>
      <c r="AK5824" t="s">
        <v>43</v>
      </c>
      <c r="AL5824" t="s">
        <v>43</v>
      </c>
      <c r="AM5824" t="s">
        <v>43</v>
      </c>
      <c r="AN5824" t="str">
        <f>HYPERLINK("https://www.google.com/maps?q=10.83315277,79.84616089","Open Location")</f>
        <v>Open Location</v>
      </c>
    </row>
    <row r="5825" spans="1:40" x14ac:dyDescent="0.3">
      <c r="A5825" s="1">
        <v>46210.325115740743</v>
      </c>
      <c r="B5825" t="s">
        <v>40</v>
      </c>
      <c r="C5825" t="s">
        <v>41</v>
      </c>
      <c r="D5825" s="1">
        <v>46210.327881944446</v>
      </c>
      <c r="E5825" t="s">
        <v>42</v>
      </c>
      <c r="F5825" t="s">
        <v>43</v>
      </c>
      <c r="G5825" t="s">
        <v>43</v>
      </c>
      <c r="H5825" t="s">
        <v>43</v>
      </c>
      <c r="I5825" t="s">
        <v>43</v>
      </c>
      <c r="J5825" t="s">
        <v>43</v>
      </c>
      <c r="K5825" t="s">
        <v>43</v>
      </c>
      <c r="L5825" t="s">
        <v>43</v>
      </c>
      <c r="M5825" t="s">
        <v>43</v>
      </c>
      <c r="N5825" t="s">
        <v>45</v>
      </c>
      <c r="O5825" t="s">
        <v>43</v>
      </c>
      <c r="P5825" t="s">
        <v>43</v>
      </c>
      <c r="Q5825" t="s">
        <v>43</v>
      </c>
      <c r="R5825" t="s">
        <v>43</v>
      </c>
      <c r="S5825" t="s">
        <v>43</v>
      </c>
      <c r="T5825" t="s">
        <v>43</v>
      </c>
      <c r="U5825" t="s">
        <v>43</v>
      </c>
      <c r="V5825" t="s">
        <v>43</v>
      </c>
      <c r="W5825" t="s">
        <v>43</v>
      </c>
      <c r="X5825" t="s">
        <v>43</v>
      </c>
      <c r="Y5825" t="s">
        <v>43</v>
      </c>
      <c r="Z5825" t="s">
        <v>43</v>
      </c>
      <c r="AA5825" t="s">
        <v>43</v>
      </c>
      <c r="AB5825" t="s">
        <v>43</v>
      </c>
      <c r="AC5825" t="s">
        <v>43</v>
      </c>
      <c r="AD5825" t="s">
        <v>43</v>
      </c>
      <c r="AE5825" t="s">
        <v>43</v>
      </c>
      <c r="AF5825" t="s">
        <v>43</v>
      </c>
      <c r="AG5825" t="s">
        <v>43</v>
      </c>
      <c r="AH5825" t="s">
        <v>43</v>
      </c>
      <c r="AI5825" t="s">
        <v>43</v>
      </c>
      <c r="AJ5825" t="s">
        <v>43</v>
      </c>
      <c r="AK5825" t="s">
        <v>43</v>
      </c>
      <c r="AL5825" t="s">
        <v>43</v>
      </c>
      <c r="AM5825" t="s">
        <v>43</v>
      </c>
      <c r="AN5825" t="s">
        <v>43</v>
      </c>
    </row>
    <row r="5826" spans="1:40" x14ac:dyDescent="0.3">
      <c r="A5826" s="1">
        <v>46210.324999999997</v>
      </c>
      <c r="B5826" t="s">
        <v>40</v>
      </c>
      <c r="C5826" t="s">
        <v>41</v>
      </c>
      <c r="D5826" s="1">
        <v>46210.327881944446</v>
      </c>
      <c r="E5826" t="s">
        <v>42</v>
      </c>
      <c r="F5826" t="s">
        <v>43</v>
      </c>
      <c r="G5826" t="s">
        <v>43</v>
      </c>
      <c r="H5826" t="s">
        <v>43</v>
      </c>
      <c r="I5826" t="s">
        <v>3298</v>
      </c>
      <c r="J5826" t="s">
        <v>43</v>
      </c>
      <c r="K5826" t="s">
        <v>43</v>
      </c>
      <c r="L5826" t="s">
        <v>43</v>
      </c>
      <c r="M5826" t="s">
        <v>43</v>
      </c>
      <c r="N5826" t="s">
        <v>45</v>
      </c>
      <c r="O5826" t="s">
        <v>43</v>
      </c>
      <c r="P5826" t="s">
        <v>43</v>
      </c>
      <c r="Q5826" t="s">
        <v>43</v>
      </c>
      <c r="R5826" t="s">
        <v>43</v>
      </c>
      <c r="S5826" t="s">
        <v>43</v>
      </c>
      <c r="T5826" t="s">
        <v>43</v>
      </c>
      <c r="U5826" t="s">
        <v>43</v>
      </c>
      <c r="V5826" t="s">
        <v>43</v>
      </c>
      <c r="W5826" t="s">
        <v>43</v>
      </c>
      <c r="X5826" t="s">
        <v>43</v>
      </c>
      <c r="Y5826" t="s">
        <v>43</v>
      </c>
      <c r="Z5826" t="s">
        <v>43</v>
      </c>
      <c r="AA5826" t="s">
        <v>43</v>
      </c>
      <c r="AB5826" t="s">
        <v>43</v>
      </c>
      <c r="AC5826" t="s">
        <v>43</v>
      </c>
      <c r="AD5826" t="s">
        <v>43</v>
      </c>
      <c r="AE5826" t="s">
        <v>43</v>
      </c>
      <c r="AF5826" t="s">
        <v>43</v>
      </c>
      <c r="AG5826" t="s">
        <v>43</v>
      </c>
      <c r="AH5826" t="s">
        <v>43</v>
      </c>
      <c r="AI5826" t="s">
        <v>43</v>
      </c>
      <c r="AJ5826" t="s">
        <v>43</v>
      </c>
      <c r="AK5826" t="s">
        <v>43</v>
      </c>
      <c r="AL5826" t="s">
        <v>43</v>
      </c>
      <c r="AM5826" t="s">
        <v>43</v>
      </c>
      <c r="AN5826" t="str">
        <f>HYPERLINK("https://www.google.com/maps?q=10.83315563,79.84616089","Open Location")</f>
        <v>Open Location</v>
      </c>
    </row>
    <row r="5827" spans="1:40" x14ac:dyDescent="0.3">
      <c r="A5827" s="1">
        <v>46210.324884259258</v>
      </c>
      <c r="B5827" t="s">
        <v>40</v>
      </c>
      <c r="C5827" t="s">
        <v>41</v>
      </c>
      <c r="D5827" s="1">
        <v>46210.327696759261</v>
      </c>
      <c r="E5827" t="s">
        <v>42</v>
      </c>
      <c r="F5827" t="s">
        <v>43</v>
      </c>
      <c r="G5827" t="s">
        <v>43</v>
      </c>
      <c r="H5827" t="s">
        <v>43</v>
      </c>
      <c r="I5827" t="s">
        <v>3299</v>
      </c>
      <c r="J5827" t="s">
        <v>43</v>
      </c>
      <c r="K5827" t="s">
        <v>43</v>
      </c>
      <c r="L5827" t="s">
        <v>43</v>
      </c>
      <c r="M5827" t="s">
        <v>43</v>
      </c>
      <c r="N5827" t="s">
        <v>45</v>
      </c>
      <c r="O5827" t="s">
        <v>43</v>
      </c>
      <c r="P5827" t="s">
        <v>43</v>
      </c>
      <c r="Q5827" t="s">
        <v>43</v>
      </c>
      <c r="R5827" t="s">
        <v>43</v>
      </c>
      <c r="S5827" t="s">
        <v>43</v>
      </c>
      <c r="T5827" t="s">
        <v>43</v>
      </c>
      <c r="U5827" t="s">
        <v>43</v>
      </c>
      <c r="V5827" t="s">
        <v>43</v>
      </c>
      <c r="W5827" t="s">
        <v>43</v>
      </c>
      <c r="X5827" t="s">
        <v>43</v>
      </c>
      <c r="Y5827" t="s">
        <v>43</v>
      </c>
      <c r="Z5827" t="s">
        <v>43</v>
      </c>
      <c r="AA5827" t="s">
        <v>43</v>
      </c>
      <c r="AB5827" t="s">
        <v>43</v>
      </c>
      <c r="AC5827" t="s">
        <v>43</v>
      </c>
      <c r="AD5827" t="s">
        <v>43</v>
      </c>
      <c r="AE5827" t="s">
        <v>43</v>
      </c>
      <c r="AF5827" t="s">
        <v>43</v>
      </c>
      <c r="AG5827" t="s">
        <v>43</v>
      </c>
      <c r="AH5827" t="s">
        <v>43</v>
      </c>
      <c r="AI5827" t="s">
        <v>43</v>
      </c>
      <c r="AJ5827" t="s">
        <v>43</v>
      </c>
      <c r="AK5827" t="s">
        <v>43</v>
      </c>
      <c r="AL5827" t="s">
        <v>43</v>
      </c>
      <c r="AM5827" t="s">
        <v>43</v>
      </c>
      <c r="AN5827" t="str">
        <f>HYPERLINK("https://www.google.com/maps?q=10.8331604,79.84616089","Open Location")</f>
        <v>Open Location</v>
      </c>
    </row>
    <row r="5828" spans="1:40" x14ac:dyDescent="0.3">
      <c r="A5828" s="1">
        <v>46210.32476851852</v>
      </c>
      <c r="B5828" t="s">
        <v>40</v>
      </c>
      <c r="C5828" t="s">
        <v>41</v>
      </c>
      <c r="D5828" s="1">
        <v>46210.327696759261</v>
      </c>
      <c r="E5828" t="s">
        <v>42</v>
      </c>
      <c r="F5828" t="s">
        <v>43</v>
      </c>
      <c r="G5828" t="s">
        <v>43</v>
      </c>
      <c r="H5828" t="s">
        <v>43</v>
      </c>
      <c r="I5828" t="s">
        <v>3300</v>
      </c>
      <c r="J5828" t="s">
        <v>43</v>
      </c>
      <c r="K5828" t="s">
        <v>43</v>
      </c>
      <c r="L5828" t="s">
        <v>43</v>
      </c>
      <c r="M5828" t="s">
        <v>43</v>
      </c>
      <c r="N5828" t="s">
        <v>45</v>
      </c>
      <c r="O5828" t="s">
        <v>43</v>
      </c>
      <c r="P5828" t="s">
        <v>43</v>
      </c>
      <c r="Q5828" t="s">
        <v>43</v>
      </c>
      <c r="R5828" t="s">
        <v>43</v>
      </c>
      <c r="S5828" t="s">
        <v>43</v>
      </c>
      <c r="T5828" t="s">
        <v>43</v>
      </c>
      <c r="U5828" t="s">
        <v>43</v>
      </c>
      <c r="V5828" t="s">
        <v>43</v>
      </c>
      <c r="W5828" t="s">
        <v>43</v>
      </c>
      <c r="X5828" t="s">
        <v>43</v>
      </c>
      <c r="Y5828" t="s">
        <v>43</v>
      </c>
      <c r="Z5828" t="s">
        <v>43</v>
      </c>
      <c r="AA5828" t="s">
        <v>43</v>
      </c>
      <c r="AB5828" t="s">
        <v>43</v>
      </c>
      <c r="AC5828" t="s">
        <v>43</v>
      </c>
      <c r="AD5828" t="s">
        <v>43</v>
      </c>
      <c r="AE5828" t="s">
        <v>43</v>
      </c>
      <c r="AF5828" t="s">
        <v>43</v>
      </c>
      <c r="AG5828" t="s">
        <v>43</v>
      </c>
      <c r="AH5828" t="s">
        <v>43</v>
      </c>
      <c r="AI5828" t="s">
        <v>43</v>
      </c>
      <c r="AJ5828" t="s">
        <v>43</v>
      </c>
      <c r="AK5828" t="s">
        <v>43</v>
      </c>
      <c r="AL5828" t="s">
        <v>43</v>
      </c>
      <c r="AM5828" t="s">
        <v>43</v>
      </c>
      <c r="AN5828" t="str">
        <f>HYPERLINK("https://www.google.com/maps?q=10.83316231,79.84615326","Open Location")</f>
        <v>Open Location</v>
      </c>
    </row>
    <row r="5829" spans="1:40" x14ac:dyDescent="0.3">
      <c r="A5829" s="1">
        <v>46210.324652777781</v>
      </c>
      <c r="B5829" t="s">
        <v>40</v>
      </c>
      <c r="C5829" t="s">
        <v>41</v>
      </c>
      <c r="D5829" s="1">
        <v>46210.327384259261</v>
      </c>
      <c r="E5829" t="s">
        <v>42</v>
      </c>
      <c r="F5829" t="s">
        <v>43</v>
      </c>
      <c r="G5829" t="s">
        <v>43</v>
      </c>
      <c r="H5829" t="s">
        <v>43</v>
      </c>
      <c r="I5829" t="s">
        <v>3301</v>
      </c>
      <c r="J5829" t="s">
        <v>43</v>
      </c>
      <c r="K5829" t="s">
        <v>43</v>
      </c>
      <c r="L5829" t="s">
        <v>43</v>
      </c>
      <c r="M5829" t="s">
        <v>43</v>
      </c>
      <c r="N5829" t="s">
        <v>45</v>
      </c>
      <c r="O5829" t="s">
        <v>43</v>
      </c>
      <c r="P5829" t="s">
        <v>43</v>
      </c>
      <c r="Q5829" t="s">
        <v>43</v>
      </c>
      <c r="R5829" t="s">
        <v>43</v>
      </c>
      <c r="S5829" t="s">
        <v>43</v>
      </c>
      <c r="T5829" t="s">
        <v>43</v>
      </c>
      <c r="U5829" t="s">
        <v>43</v>
      </c>
      <c r="V5829" t="s">
        <v>43</v>
      </c>
      <c r="W5829" t="s">
        <v>43</v>
      </c>
      <c r="X5829" t="s">
        <v>43</v>
      </c>
      <c r="Y5829" t="s">
        <v>43</v>
      </c>
      <c r="Z5829" t="s">
        <v>43</v>
      </c>
      <c r="AA5829" t="s">
        <v>43</v>
      </c>
      <c r="AB5829" t="s">
        <v>43</v>
      </c>
      <c r="AC5829" t="s">
        <v>43</v>
      </c>
      <c r="AD5829" t="s">
        <v>43</v>
      </c>
      <c r="AE5829" t="s">
        <v>43</v>
      </c>
      <c r="AF5829" t="s">
        <v>43</v>
      </c>
      <c r="AG5829" t="s">
        <v>43</v>
      </c>
      <c r="AH5829" t="s">
        <v>43</v>
      </c>
      <c r="AI5829" t="s">
        <v>43</v>
      </c>
      <c r="AJ5829" t="s">
        <v>43</v>
      </c>
      <c r="AK5829" t="s">
        <v>43</v>
      </c>
      <c r="AL5829" t="s">
        <v>43</v>
      </c>
      <c r="AM5829" t="s">
        <v>43</v>
      </c>
      <c r="AN5829" t="str">
        <f>HYPERLINK("https://www.google.com/maps?q=10.8331604,79.84615326","Open Location")</f>
        <v>Open Location</v>
      </c>
    </row>
    <row r="5830" spans="1:40" x14ac:dyDescent="0.3">
      <c r="A5830" s="1">
        <v>46210.324537037035</v>
      </c>
      <c r="B5830" t="s">
        <v>40</v>
      </c>
      <c r="C5830" t="s">
        <v>41</v>
      </c>
      <c r="D5830" s="1">
        <v>46210.327384259261</v>
      </c>
      <c r="E5830" t="s">
        <v>42</v>
      </c>
      <c r="F5830" t="s">
        <v>43</v>
      </c>
      <c r="G5830" t="s">
        <v>43</v>
      </c>
      <c r="H5830" t="s">
        <v>43</v>
      </c>
      <c r="I5830" t="s">
        <v>43</v>
      </c>
      <c r="J5830" t="s">
        <v>43</v>
      </c>
      <c r="K5830" t="s">
        <v>43</v>
      </c>
      <c r="L5830" t="s">
        <v>43</v>
      </c>
      <c r="M5830" t="s">
        <v>43</v>
      </c>
      <c r="N5830" t="s">
        <v>45</v>
      </c>
      <c r="O5830" t="s">
        <v>43</v>
      </c>
      <c r="P5830" t="s">
        <v>43</v>
      </c>
      <c r="Q5830" t="s">
        <v>43</v>
      </c>
      <c r="R5830" t="s">
        <v>43</v>
      </c>
      <c r="S5830" t="s">
        <v>43</v>
      </c>
      <c r="T5830" t="s">
        <v>43</v>
      </c>
      <c r="U5830" t="s">
        <v>43</v>
      </c>
      <c r="V5830" t="s">
        <v>43</v>
      </c>
      <c r="W5830" t="s">
        <v>43</v>
      </c>
      <c r="X5830" t="s">
        <v>43</v>
      </c>
      <c r="Y5830" t="s">
        <v>43</v>
      </c>
      <c r="Z5830" t="s">
        <v>43</v>
      </c>
      <c r="AA5830" t="s">
        <v>43</v>
      </c>
      <c r="AB5830" t="s">
        <v>43</v>
      </c>
      <c r="AC5830" t="s">
        <v>43</v>
      </c>
      <c r="AD5830" t="s">
        <v>43</v>
      </c>
      <c r="AE5830" t="s">
        <v>43</v>
      </c>
      <c r="AF5830" t="s">
        <v>43</v>
      </c>
      <c r="AG5830" t="s">
        <v>43</v>
      </c>
      <c r="AH5830" t="s">
        <v>43</v>
      </c>
      <c r="AI5830" t="s">
        <v>43</v>
      </c>
      <c r="AJ5830" t="s">
        <v>43</v>
      </c>
      <c r="AK5830" t="s">
        <v>43</v>
      </c>
      <c r="AL5830" t="s">
        <v>43</v>
      </c>
      <c r="AM5830" t="s">
        <v>43</v>
      </c>
      <c r="AN5830" t="s">
        <v>43</v>
      </c>
    </row>
    <row r="5831" spans="1:40" x14ac:dyDescent="0.3">
      <c r="A5831" s="1">
        <v>46210.324421296296</v>
      </c>
      <c r="B5831" t="s">
        <v>40</v>
      </c>
      <c r="C5831" t="s">
        <v>41</v>
      </c>
      <c r="D5831" s="1">
        <v>46210.327175925922</v>
      </c>
      <c r="E5831" t="s">
        <v>42</v>
      </c>
      <c r="F5831" t="s">
        <v>43</v>
      </c>
      <c r="G5831" t="s">
        <v>43</v>
      </c>
      <c r="H5831" t="s">
        <v>43</v>
      </c>
      <c r="I5831" t="s">
        <v>3302</v>
      </c>
      <c r="J5831" t="s">
        <v>43</v>
      </c>
      <c r="K5831" t="s">
        <v>43</v>
      </c>
      <c r="L5831" t="s">
        <v>43</v>
      </c>
      <c r="M5831" t="s">
        <v>43</v>
      </c>
      <c r="N5831" t="s">
        <v>45</v>
      </c>
      <c r="O5831" t="s">
        <v>43</v>
      </c>
      <c r="P5831" t="s">
        <v>43</v>
      </c>
      <c r="Q5831" t="s">
        <v>43</v>
      </c>
      <c r="R5831" t="s">
        <v>43</v>
      </c>
      <c r="S5831" t="s">
        <v>43</v>
      </c>
      <c r="T5831" t="s">
        <v>43</v>
      </c>
      <c r="U5831" t="s">
        <v>43</v>
      </c>
      <c r="V5831" t="s">
        <v>43</v>
      </c>
      <c r="W5831" t="s">
        <v>43</v>
      </c>
      <c r="X5831" t="s">
        <v>43</v>
      </c>
      <c r="Y5831" t="s">
        <v>43</v>
      </c>
      <c r="Z5831" t="s">
        <v>43</v>
      </c>
      <c r="AA5831" t="s">
        <v>43</v>
      </c>
      <c r="AB5831" t="s">
        <v>43</v>
      </c>
      <c r="AC5831" t="s">
        <v>43</v>
      </c>
      <c r="AD5831" t="s">
        <v>43</v>
      </c>
      <c r="AE5831" t="s">
        <v>43</v>
      </c>
      <c r="AF5831" t="s">
        <v>43</v>
      </c>
      <c r="AG5831" t="s">
        <v>43</v>
      </c>
      <c r="AH5831" t="s">
        <v>43</v>
      </c>
      <c r="AI5831" t="s">
        <v>43</v>
      </c>
      <c r="AJ5831" t="s">
        <v>43</v>
      </c>
      <c r="AK5831" t="s">
        <v>43</v>
      </c>
      <c r="AL5831" t="s">
        <v>43</v>
      </c>
      <c r="AM5831" t="s">
        <v>43</v>
      </c>
      <c r="AN5831" t="str">
        <f>HYPERLINK("https://www.google.com/maps?q=10.83315945,79.84615326","Open Location")</f>
        <v>Open Location</v>
      </c>
    </row>
    <row r="5832" spans="1:40" x14ac:dyDescent="0.3">
      <c r="A5832" s="1">
        <v>46210.324305555558</v>
      </c>
      <c r="B5832" t="s">
        <v>40</v>
      </c>
      <c r="C5832" t="s">
        <v>41</v>
      </c>
      <c r="D5832" s="1">
        <v>46210.327453703707</v>
      </c>
      <c r="E5832" t="s">
        <v>42</v>
      </c>
      <c r="F5832" t="s">
        <v>43</v>
      </c>
      <c r="G5832" t="s">
        <v>43</v>
      </c>
      <c r="H5832" t="s">
        <v>43</v>
      </c>
      <c r="I5832" t="s">
        <v>3300</v>
      </c>
      <c r="J5832" t="s">
        <v>43</v>
      </c>
      <c r="K5832" t="s">
        <v>43</v>
      </c>
      <c r="L5832" t="s">
        <v>43</v>
      </c>
      <c r="M5832" t="s">
        <v>43</v>
      </c>
      <c r="N5832" t="s">
        <v>45</v>
      </c>
      <c r="O5832" t="s">
        <v>43</v>
      </c>
      <c r="P5832" t="s">
        <v>43</v>
      </c>
      <c r="Q5832" t="s">
        <v>43</v>
      </c>
      <c r="R5832" t="s">
        <v>43</v>
      </c>
      <c r="S5832" t="s">
        <v>43</v>
      </c>
      <c r="T5832" t="s">
        <v>43</v>
      </c>
      <c r="U5832" t="s">
        <v>43</v>
      </c>
      <c r="V5832" t="s">
        <v>43</v>
      </c>
      <c r="W5832" t="s">
        <v>43</v>
      </c>
      <c r="X5832" t="s">
        <v>43</v>
      </c>
      <c r="Y5832" t="s">
        <v>43</v>
      </c>
      <c r="Z5832" t="s">
        <v>43</v>
      </c>
      <c r="AA5832" t="s">
        <v>43</v>
      </c>
      <c r="AB5832" t="s">
        <v>43</v>
      </c>
      <c r="AC5832" t="s">
        <v>43</v>
      </c>
      <c r="AD5832" t="s">
        <v>43</v>
      </c>
      <c r="AE5832" t="s">
        <v>43</v>
      </c>
      <c r="AF5832" t="s">
        <v>43</v>
      </c>
      <c r="AG5832" t="s">
        <v>43</v>
      </c>
      <c r="AH5832" t="s">
        <v>43</v>
      </c>
      <c r="AI5832" t="s">
        <v>43</v>
      </c>
      <c r="AJ5832" t="s">
        <v>43</v>
      </c>
      <c r="AK5832" t="s">
        <v>43</v>
      </c>
      <c r="AL5832" t="s">
        <v>43</v>
      </c>
      <c r="AM5832" t="s">
        <v>43</v>
      </c>
      <c r="AN5832" t="str">
        <f>HYPERLINK("https://www.google.com/maps?q=10.83316231,79.84615326","Open Location")</f>
        <v>Open Location</v>
      </c>
    </row>
    <row r="5833" spans="1:40" x14ac:dyDescent="0.3">
      <c r="A5833" s="1">
        <v>46210.324189814812</v>
      </c>
      <c r="B5833" t="s">
        <v>40</v>
      </c>
      <c r="C5833" t="s">
        <v>41</v>
      </c>
      <c r="D5833" s="1">
        <v>46210.327268518522</v>
      </c>
      <c r="E5833" t="s">
        <v>42</v>
      </c>
      <c r="F5833" t="s">
        <v>43</v>
      </c>
      <c r="G5833" t="s">
        <v>43</v>
      </c>
      <c r="H5833" t="s">
        <v>43</v>
      </c>
      <c r="I5833" t="s">
        <v>3300</v>
      </c>
      <c r="J5833" t="s">
        <v>43</v>
      </c>
      <c r="K5833" t="s">
        <v>43</v>
      </c>
      <c r="L5833" t="s">
        <v>43</v>
      </c>
      <c r="M5833" t="s">
        <v>43</v>
      </c>
      <c r="N5833" t="s">
        <v>45</v>
      </c>
      <c r="O5833" t="s">
        <v>43</v>
      </c>
      <c r="P5833" t="s">
        <v>43</v>
      </c>
      <c r="Q5833" t="s">
        <v>43</v>
      </c>
      <c r="R5833" t="s">
        <v>43</v>
      </c>
      <c r="S5833" t="s">
        <v>43</v>
      </c>
      <c r="T5833" t="s">
        <v>43</v>
      </c>
      <c r="U5833" t="s">
        <v>43</v>
      </c>
      <c r="V5833" t="s">
        <v>43</v>
      </c>
      <c r="W5833" t="s">
        <v>43</v>
      </c>
      <c r="X5833" t="s">
        <v>43</v>
      </c>
      <c r="Y5833" t="s">
        <v>43</v>
      </c>
      <c r="Z5833" t="s">
        <v>43</v>
      </c>
      <c r="AA5833" t="s">
        <v>43</v>
      </c>
      <c r="AB5833" t="s">
        <v>43</v>
      </c>
      <c r="AC5833" t="s">
        <v>43</v>
      </c>
      <c r="AD5833" t="s">
        <v>43</v>
      </c>
      <c r="AE5833" t="s">
        <v>43</v>
      </c>
      <c r="AF5833" t="s">
        <v>43</v>
      </c>
      <c r="AG5833" t="s">
        <v>43</v>
      </c>
      <c r="AH5833" t="s">
        <v>43</v>
      </c>
      <c r="AI5833" t="s">
        <v>43</v>
      </c>
      <c r="AJ5833" t="s">
        <v>43</v>
      </c>
      <c r="AK5833" t="s">
        <v>43</v>
      </c>
      <c r="AL5833" t="s">
        <v>43</v>
      </c>
      <c r="AM5833" t="s">
        <v>43</v>
      </c>
      <c r="AN5833" t="str">
        <f>HYPERLINK("https://www.google.com/maps?q=10.83316231,79.84615326","Open Location")</f>
        <v>Open Location</v>
      </c>
    </row>
    <row r="5834" spans="1:40" x14ac:dyDescent="0.3">
      <c r="A5834" s="1">
        <v>46210.324074074073</v>
      </c>
      <c r="B5834" t="s">
        <v>40</v>
      </c>
      <c r="C5834" t="s">
        <v>41</v>
      </c>
      <c r="D5834" s="1">
        <v>46210.327280092592</v>
      </c>
      <c r="E5834" t="s">
        <v>42</v>
      </c>
      <c r="F5834" t="s">
        <v>43</v>
      </c>
      <c r="G5834" t="s">
        <v>43</v>
      </c>
      <c r="H5834" t="s">
        <v>43</v>
      </c>
      <c r="I5834" t="s">
        <v>3301</v>
      </c>
      <c r="J5834" t="s">
        <v>43</v>
      </c>
      <c r="K5834" t="s">
        <v>43</v>
      </c>
      <c r="L5834" t="s">
        <v>43</v>
      </c>
      <c r="M5834" t="s">
        <v>43</v>
      </c>
      <c r="N5834" t="s">
        <v>45</v>
      </c>
      <c r="O5834" t="s">
        <v>43</v>
      </c>
      <c r="P5834" t="s">
        <v>43</v>
      </c>
      <c r="Q5834" t="s">
        <v>43</v>
      </c>
      <c r="R5834" t="s">
        <v>43</v>
      </c>
      <c r="S5834" t="s">
        <v>43</v>
      </c>
      <c r="T5834" t="s">
        <v>43</v>
      </c>
      <c r="U5834" t="s">
        <v>43</v>
      </c>
      <c r="V5834" t="s">
        <v>43</v>
      </c>
      <c r="W5834" t="s">
        <v>43</v>
      </c>
      <c r="X5834" t="s">
        <v>43</v>
      </c>
      <c r="Y5834" t="s">
        <v>43</v>
      </c>
      <c r="Z5834" t="s">
        <v>43</v>
      </c>
      <c r="AA5834" t="s">
        <v>43</v>
      </c>
      <c r="AB5834" t="s">
        <v>43</v>
      </c>
      <c r="AC5834" t="s">
        <v>43</v>
      </c>
      <c r="AD5834" t="s">
        <v>43</v>
      </c>
      <c r="AE5834" t="s">
        <v>43</v>
      </c>
      <c r="AF5834" t="s">
        <v>43</v>
      </c>
      <c r="AG5834" t="s">
        <v>43</v>
      </c>
      <c r="AH5834" t="s">
        <v>43</v>
      </c>
      <c r="AI5834" t="s">
        <v>43</v>
      </c>
      <c r="AJ5834" t="s">
        <v>43</v>
      </c>
      <c r="AK5834" t="s">
        <v>43</v>
      </c>
      <c r="AL5834" t="s">
        <v>43</v>
      </c>
      <c r="AM5834" t="s">
        <v>43</v>
      </c>
      <c r="AN5834" t="str">
        <f>HYPERLINK("https://www.google.com/maps?q=10.8331604,79.84615326","Open Location")</f>
        <v>Open Location</v>
      </c>
    </row>
    <row r="5835" spans="1:40" x14ac:dyDescent="0.3">
      <c r="A5835" s="1">
        <v>46210.323958333334</v>
      </c>
      <c r="B5835" t="s">
        <v>40</v>
      </c>
      <c r="C5835" t="s">
        <v>41</v>
      </c>
      <c r="D5835" s="1">
        <v>46210.326851851853</v>
      </c>
      <c r="E5835" t="s">
        <v>42</v>
      </c>
      <c r="F5835" t="s">
        <v>43</v>
      </c>
      <c r="G5835" t="s">
        <v>43</v>
      </c>
      <c r="H5835" t="s">
        <v>43</v>
      </c>
      <c r="I5835" t="s">
        <v>3301</v>
      </c>
      <c r="J5835" t="s">
        <v>43</v>
      </c>
      <c r="K5835" t="s">
        <v>43</v>
      </c>
      <c r="L5835" t="s">
        <v>43</v>
      </c>
      <c r="M5835" t="s">
        <v>43</v>
      </c>
      <c r="N5835" t="s">
        <v>45</v>
      </c>
      <c r="O5835" t="s">
        <v>43</v>
      </c>
      <c r="P5835" t="s">
        <v>43</v>
      </c>
      <c r="Q5835" t="s">
        <v>43</v>
      </c>
      <c r="R5835" t="s">
        <v>43</v>
      </c>
      <c r="S5835" t="s">
        <v>43</v>
      </c>
      <c r="T5835" t="s">
        <v>43</v>
      </c>
      <c r="U5835" t="s">
        <v>43</v>
      </c>
      <c r="V5835" t="s">
        <v>43</v>
      </c>
      <c r="W5835" t="s">
        <v>43</v>
      </c>
      <c r="X5835" t="s">
        <v>43</v>
      </c>
      <c r="Y5835" t="s">
        <v>43</v>
      </c>
      <c r="Z5835" t="s">
        <v>43</v>
      </c>
      <c r="AA5835" t="s">
        <v>43</v>
      </c>
      <c r="AB5835" t="s">
        <v>43</v>
      </c>
      <c r="AC5835" t="s">
        <v>43</v>
      </c>
      <c r="AD5835" t="s">
        <v>43</v>
      </c>
      <c r="AE5835" t="s">
        <v>43</v>
      </c>
      <c r="AF5835" t="s">
        <v>43</v>
      </c>
      <c r="AG5835" t="s">
        <v>43</v>
      </c>
      <c r="AH5835" t="s">
        <v>43</v>
      </c>
      <c r="AI5835" t="s">
        <v>43</v>
      </c>
      <c r="AJ5835" t="s">
        <v>43</v>
      </c>
      <c r="AK5835" t="s">
        <v>43</v>
      </c>
      <c r="AL5835" t="s">
        <v>43</v>
      </c>
      <c r="AM5835" t="s">
        <v>43</v>
      </c>
      <c r="AN5835" t="str">
        <f>HYPERLINK("https://www.google.com/maps?q=10.8331604,79.84615326","Open Location")</f>
        <v>Open Location</v>
      </c>
    </row>
    <row r="5836" spans="1:40" x14ac:dyDescent="0.3">
      <c r="A5836" s="1">
        <v>46210.323842592596</v>
      </c>
      <c r="B5836" t="s">
        <v>40</v>
      </c>
      <c r="C5836" t="s">
        <v>41</v>
      </c>
      <c r="D5836" s="1">
        <v>46210.326909722222</v>
      </c>
      <c r="E5836" t="s">
        <v>42</v>
      </c>
      <c r="F5836" t="s">
        <v>43</v>
      </c>
      <c r="G5836" t="s">
        <v>43</v>
      </c>
      <c r="H5836" t="s">
        <v>43</v>
      </c>
      <c r="I5836" t="s">
        <v>43</v>
      </c>
      <c r="J5836" t="s">
        <v>43</v>
      </c>
      <c r="K5836" t="s">
        <v>43</v>
      </c>
      <c r="L5836" t="s">
        <v>43</v>
      </c>
      <c r="M5836" t="s">
        <v>43</v>
      </c>
      <c r="N5836" t="s">
        <v>45</v>
      </c>
      <c r="O5836" t="s">
        <v>43</v>
      </c>
      <c r="P5836" t="s">
        <v>43</v>
      </c>
      <c r="Q5836" t="s">
        <v>43</v>
      </c>
      <c r="R5836" t="s">
        <v>43</v>
      </c>
      <c r="S5836" t="s">
        <v>43</v>
      </c>
      <c r="T5836" t="s">
        <v>43</v>
      </c>
      <c r="U5836" t="s">
        <v>43</v>
      </c>
      <c r="V5836" t="s">
        <v>43</v>
      </c>
      <c r="W5836" t="s">
        <v>43</v>
      </c>
      <c r="X5836" t="s">
        <v>43</v>
      </c>
      <c r="Y5836" t="s">
        <v>43</v>
      </c>
      <c r="Z5836" t="s">
        <v>43</v>
      </c>
      <c r="AA5836" t="s">
        <v>43</v>
      </c>
      <c r="AB5836" t="s">
        <v>43</v>
      </c>
      <c r="AC5836" t="s">
        <v>43</v>
      </c>
      <c r="AD5836" t="s">
        <v>43</v>
      </c>
      <c r="AE5836" t="s">
        <v>43</v>
      </c>
      <c r="AF5836" t="s">
        <v>43</v>
      </c>
      <c r="AG5836" t="s">
        <v>43</v>
      </c>
      <c r="AH5836" t="s">
        <v>43</v>
      </c>
      <c r="AI5836" t="s">
        <v>43</v>
      </c>
      <c r="AJ5836" t="s">
        <v>43</v>
      </c>
      <c r="AK5836" t="s">
        <v>43</v>
      </c>
      <c r="AL5836" t="s">
        <v>43</v>
      </c>
      <c r="AM5836" t="s">
        <v>43</v>
      </c>
      <c r="AN5836" t="s">
        <v>43</v>
      </c>
    </row>
    <row r="5837" spans="1:40" x14ac:dyDescent="0.3">
      <c r="A5837" s="1">
        <v>46210.32372685185</v>
      </c>
      <c r="B5837" t="s">
        <v>40</v>
      </c>
      <c r="C5837" t="s">
        <v>41</v>
      </c>
      <c r="D5837" s="1">
        <v>46210.32644675926</v>
      </c>
      <c r="E5837" t="s">
        <v>42</v>
      </c>
      <c r="F5837" t="s">
        <v>43</v>
      </c>
      <c r="G5837" t="s">
        <v>43</v>
      </c>
      <c r="H5837" t="s">
        <v>43</v>
      </c>
      <c r="I5837" t="s">
        <v>3301</v>
      </c>
      <c r="J5837" t="s">
        <v>43</v>
      </c>
      <c r="K5837" t="s">
        <v>43</v>
      </c>
      <c r="L5837" t="s">
        <v>43</v>
      </c>
      <c r="M5837" t="s">
        <v>43</v>
      </c>
      <c r="N5837" t="s">
        <v>45</v>
      </c>
      <c r="O5837" t="s">
        <v>43</v>
      </c>
      <c r="P5837" t="s">
        <v>43</v>
      </c>
      <c r="Q5837" t="s">
        <v>43</v>
      </c>
      <c r="R5837" t="s">
        <v>43</v>
      </c>
      <c r="S5837" t="s">
        <v>43</v>
      </c>
      <c r="T5837" t="s">
        <v>43</v>
      </c>
      <c r="U5837" t="s">
        <v>43</v>
      </c>
      <c r="V5837" t="s">
        <v>43</v>
      </c>
      <c r="W5837" t="s">
        <v>43</v>
      </c>
      <c r="X5837" t="s">
        <v>43</v>
      </c>
      <c r="Y5837" t="s">
        <v>43</v>
      </c>
      <c r="Z5837" t="s">
        <v>43</v>
      </c>
      <c r="AA5837" t="s">
        <v>43</v>
      </c>
      <c r="AB5837" t="s">
        <v>43</v>
      </c>
      <c r="AC5837" t="s">
        <v>43</v>
      </c>
      <c r="AD5837" t="s">
        <v>43</v>
      </c>
      <c r="AE5837" t="s">
        <v>43</v>
      </c>
      <c r="AF5837" t="s">
        <v>43</v>
      </c>
      <c r="AG5837" t="s">
        <v>43</v>
      </c>
      <c r="AH5837" t="s">
        <v>43</v>
      </c>
      <c r="AI5837" t="s">
        <v>43</v>
      </c>
      <c r="AJ5837" t="s">
        <v>43</v>
      </c>
      <c r="AK5837" t="s">
        <v>43</v>
      </c>
      <c r="AL5837" t="s">
        <v>43</v>
      </c>
      <c r="AM5837" t="s">
        <v>43</v>
      </c>
      <c r="AN5837" t="str">
        <f>HYPERLINK("https://www.google.com/maps?q=10.8331604,79.84615326","Open Location")</f>
        <v>Open Location</v>
      </c>
    </row>
    <row r="5838" spans="1:40" x14ac:dyDescent="0.3">
      <c r="A5838" s="1">
        <v>46210.323611111111</v>
      </c>
      <c r="B5838" t="s">
        <v>40</v>
      </c>
      <c r="C5838" t="s">
        <v>41</v>
      </c>
      <c r="D5838" s="1">
        <v>46210.32671296296</v>
      </c>
      <c r="E5838" t="s">
        <v>42</v>
      </c>
      <c r="F5838" t="s">
        <v>43</v>
      </c>
      <c r="G5838" t="s">
        <v>43</v>
      </c>
      <c r="H5838" t="s">
        <v>43</v>
      </c>
      <c r="I5838" t="s">
        <v>3302</v>
      </c>
      <c r="J5838" t="s">
        <v>43</v>
      </c>
      <c r="K5838" t="s">
        <v>43</v>
      </c>
      <c r="L5838" t="s">
        <v>43</v>
      </c>
      <c r="M5838" t="s">
        <v>43</v>
      </c>
      <c r="N5838" t="s">
        <v>45</v>
      </c>
      <c r="O5838" t="s">
        <v>43</v>
      </c>
      <c r="P5838" t="s">
        <v>43</v>
      </c>
      <c r="Q5838" t="s">
        <v>43</v>
      </c>
      <c r="R5838" t="s">
        <v>43</v>
      </c>
      <c r="S5838" t="s">
        <v>43</v>
      </c>
      <c r="T5838" t="s">
        <v>43</v>
      </c>
      <c r="U5838" t="s">
        <v>43</v>
      </c>
      <c r="V5838" t="s">
        <v>43</v>
      </c>
      <c r="W5838" t="s">
        <v>43</v>
      </c>
      <c r="X5838" t="s">
        <v>43</v>
      </c>
      <c r="Y5838" t="s">
        <v>43</v>
      </c>
      <c r="Z5838" t="s">
        <v>43</v>
      </c>
      <c r="AA5838" t="s">
        <v>43</v>
      </c>
      <c r="AB5838" t="s">
        <v>43</v>
      </c>
      <c r="AC5838" t="s">
        <v>43</v>
      </c>
      <c r="AD5838" t="s">
        <v>43</v>
      </c>
      <c r="AE5838" t="s">
        <v>43</v>
      </c>
      <c r="AF5838" t="s">
        <v>43</v>
      </c>
      <c r="AG5838" t="s">
        <v>43</v>
      </c>
      <c r="AH5838" t="s">
        <v>43</v>
      </c>
      <c r="AI5838" t="s">
        <v>43</v>
      </c>
      <c r="AJ5838" t="s">
        <v>43</v>
      </c>
      <c r="AK5838" t="s">
        <v>43</v>
      </c>
      <c r="AL5838" t="s">
        <v>43</v>
      </c>
      <c r="AM5838" t="s">
        <v>43</v>
      </c>
      <c r="AN5838" t="str">
        <f>HYPERLINK("https://www.google.com/maps?q=10.83315945,79.84615326","Open Location")</f>
        <v>Open Location</v>
      </c>
    </row>
    <row r="5839" spans="1:40" x14ac:dyDescent="0.3">
      <c r="A5839" s="1">
        <v>46210.323495370372</v>
      </c>
      <c r="B5839" t="s">
        <v>40</v>
      </c>
      <c r="C5839" t="s">
        <v>41</v>
      </c>
      <c r="D5839" s="1">
        <v>46210.326423611114</v>
      </c>
      <c r="E5839" t="s">
        <v>42</v>
      </c>
      <c r="F5839" t="s">
        <v>43</v>
      </c>
      <c r="G5839" t="s">
        <v>43</v>
      </c>
      <c r="H5839" t="s">
        <v>43</v>
      </c>
      <c r="I5839" t="s">
        <v>3303</v>
      </c>
      <c r="J5839" t="s">
        <v>43</v>
      </c>
      <c r="K5839" t="s">
        <v>43</v>
      </c>
      <c r="L5839" t="s">
        <v>43</v>
      </c>
      <c r="M5839" t="s">
        <v>43</v>
      </c>
      <c r="N5839" t="s">
        <v>45</v>
      </c>
      <c r="O5839" t="s">
        <v>43</v>
      </c>
      <c r="P5839" t="s">
        <v>43</v>
      </c>
      <c r="Q5839" t="s">
        <v>43</v>
      </c>
      <c r="R5839" t="s">
        <v>43</v>
      </c>
      <c r="S5839" t="s">
        <v>43</v>
      </c>
      <c r="T5839" t="s">
        <v>43</v>
      </c>
      <c r="U5839" t="s">
        <v>43</v>
      </c>
      <c r="V5839" t="s">
        <v>43</v>
      </c>
      <c r="W5839" t="s">
        <v>43</v>
      </c>
      <c r="X5839" t="s">
        <v>43</v>
      </c>
      <c r="Y5839" t="s">
        <v>43</v>
      </c>
      <c r="Z5839" t="s">
        <v>43</v>
      </c>
      <c r="AA5839" t="s">
        <v>43</v>
      </c>
      <c r="AB5839" t="s">
        <v>43</v>
      </c>
      <c r="AC5839" t="s">
        <v>43</v>
      </c>
      <c r="AD5839" t="s">
        <v>43</v>
      </c>
      <c r="AE5839" t="s">
        <v>43</v>
      </c>
      <c r="AF5839" t="s">
        <v>43</v>
      </c>
      <c r="AG5839" t="s">
        <v>43</v>
      </c>
      <c r="AH5839" t="s">
        <v>43</v>
      </c>
      <c r="AI5839" t="s">
        <v>43</v>
      </c>
      <c r="AJ5839" t="s">
        <v>43</v>
      </c>
      <c r="AK5839" t="s">
        <v>43</v>
      </c>
      <c r="AL5839" t="s">
        <v>43</v>
      </c>
      <c r="AM5839" t="s">
        <v>43</v>
      </c>
      <c r="AN5839" t="str">
        <f>HYPERLINK("https://www.google.com/maps?q=10.83315945,79.84614563","Open Location")</f>
        <v>Open Location</v>
      </c>
    </row>
    <row r="5840" spans="1:40" x14ac:dyDescent="0.3">
      <c r="A5840" s="1">
        <v>46210.323379629626</v>
      </c>
      <c r="B5840" t="s">
        <v>40</v>
      </c>
      <c r="C5840" t="s">
        <v>41</v>
      </c>
      <c r="D5840" s="1">
        <v>46210.326458333337</v>
      </c>
      <c r="E5840" t="s">
        <v>42</v>
      </c>
      <c r="F5840" t="s">
        <v>43</v>
      </c>
      <c r="G5840" t="s">
        <v>43</v>
      </c>
      <c r="H5840" t="s">
        <v>43</v>
      </c>
      <c r="I5840" t="s">
        <v>3302</v>
      </c>
      <c r="J5840" t="s">
        <v>43</v>
      </c>
      <c r="K5840" t="s">
        <v>43</v>
      </c>
      <c r="L5840" t="s">
        <v>43</v>
      </c>
      <c r="M5840" t="s">
        <v>43</v>
      </c>
      <c r="N5840" t="s">
        <v>45</v>
      </c>
      <c r="O5840" t="s">
        <v>43</v>
      </c>
      <c r="P5840" t="s">
        <v>43</v>
      </c>
      <c r="Q5840" t="s">
        <v>43</v>
      </c>
      <c r="R5840" t="s">
        <v>43</v>
      </c>
      <c r="S5840" t="s">
        <v>43</v>
      </c>
      <c r="T5840" t="s">
        <v>43</v>
      </c>
      <c r="U5840" t="s">
        <v>43</v>
      </c>
      <c r="V5840" t="s">
        <v>43</v>
      </c>
      <c r="W5840" t="s">
        <v>43</v>
      </c>
      <c r="X5840" t="s">
        <v>43</v>
      </c>
      <c r="Y5840" t="s">
        <v>43</v>
      </c>
      <c r="Z5840" t="s">
        <v>43</v>
      </c>
      <c r="AA5840" t="s">
        <v>43</v>
      </c>
      <c r="AB5840" t="s">
        <v>43</v>
      </c>
      <c r="AC5840" t="s">
        <v>43</v>
      </c>
      <c r="AD5840" t="s">
        <v>43</v>
      </c>
      <c r="AE5840" t="s">
        <v>43</v>
      </c>
      <c r="AF5840" t="s">
        <v>43</v>
      </c>
      <c r="AG5840" t="s">
        <v>43</v>
      </c>
      <c r="AH5840" t="s">
        <v>43</v>
      </c>
      <c r="AI5840" t="s">
        <v>43</v>
      </c>
      <c r="AJ5840" t="s">
        <v>43</v>
      </c>
      <c r="AK5840" t="s">
        <v>43</v>
      </c>
      <c r="AL5840" t="s">
        <v>43</v>
      </c>
      <c r="AM5840" t="s">
        <v>43</v>
      </c>
      <c r="AN5840" t="str">
        <f>HYPERLINK("https://www.google.com/maps?q=10.83315945,79.84615326","Open Location")</f>
        <v>Open Location</v>
      </c>
    </row>
    <row r="5841" spans="1:40" x14ac:dyDescent="0.3">
      <c r="A5841" s="1">
        <v>46210.323263888888</v>
      </c>
      <c r="B5841" t="s">
        <v>40</v>
      </c>
      <c r="C5841" t="s">
        <v>41</v>
      </c>
      <c r="D5841" s="1">
        <v>46210.326354166667</v>
      </c>
      <c r="E5841" t="s">
        <v>42</v>
      </c>
      <c r="F5841" t="s">
        <v>43</v>
      </c>
      <c r="G5841" t="s">
        <v>43</v>
      </c>
      <c r="H5841" t="s">
        <v>43</v>
      </c>
      <c r="I5841" t="s">
        <v>3304</v>
      </c>
      <c r="J5841" t="s">
        <v>43</v>
      </c>
      <c r="K5841" t="s">
        <v>43</v>
      </c>
      <c r="L5841" t="s">
        <v>43</v>
      </c>
      <c r="M5841" t="s">
        <v>43</v>
      </c>
      <c r="N5841" t="s">
        <v>45</v>
      </c>
      <c r="O5841" t="s">
        <v>43</v>
      </c>
      <c r="P5841" t="s">
        <v>43</v>
      </c>
      <c r="Q5841" t="s">
        <v>43</v>
      </c>
      <c r="R5841" t="s">
        <v>43</v>
      </c>
      <c r="S5841" t="s">
        <v>43</v>
      </c>
      <c r="T5841" t="s">
        <v>43</v>
      </c>
      <c r="U5841" t="s">
        <v>43</v>
      </c>
      <c r="V5841" t="s">
        <v>43</v>
      </c>
      <c r="W5841" t="s">
        <v>43</v>
      </c>
      <c r="X5841" t="s">
        <v>43</v>
      </c>
      <c r="Y5841" t="s">
        <v>43</v>
      </c>
      <c r="Z5841" t="s">
        <v>43</v>
      </c>
      <c r="AA5841" t="s">
        <v>43</v>
      </c>
      <c r="AB5841" t="s">
        <v>43</v>
      </c>
      <c r="AC5841" t="s">
        <v>43</v>
      </c>
      <c r="AD5841" t="s">
        <v>43</v>
      </c>
      <c r="AE5841" t="s">
        <v>43</v>
      </c>
      <c r="AF5841" t="s">
        <v>43</v>
      </c>
      <c r="AG5841" t="s">
        <v>43</v>
      </c>
      <c r="AH5841" t="s">
        <v>43</v>
      </c>
      <c r="AI5841" t="s">
        <v>43</v>
      </c>
      <c r="AJ5841" t="s">
        <v>43</v>
      </c>
      <c r="AK5841" t="s">
        <v>43</v>
      </c>
      <c r="AL5841" t="s">
        <v>43</v>
      </c>
      <c r="AM5841" t="s">
        <v>43</v>
      </c>
      <c r="AN5841" t="str">
        <f>HYPERLINK("https://www.google.com/maps?q=10.83316422,79.84614563","Open Location")</f>
        <v>Open Location</v>
      </c>
    </row>
    <row r="5842" spans="1:40" x14ac:dyDescent="0.3">
      <c r="A5842" s="1">
        <v>46210.323148148149</v>
      </c>
      <c r="B5842" t="s">
        <v>40</v>
      </c>
      <c r="C5842" t="s">
        <v>41</v>
      </c>
      <c r="D5842" s="1">
        <v>46210.326192129629</v>
      </c>
      <c r="E5842" t="s">
        <v>42</v>
      </c>
      <c r="F5842" t="s">
        <v>43</v>
      </c>
      <c r="G5842" t="s">
        <v>43</v>
      </c>
      <c r="H5842" t="s">
        <v>43</v>
      </c>
      <c r="I5842" t="s">
        <v>43</v>
      </c>
      <c r="J5842" t="s">
        <v>43</v>
      </c>
      <c r="K5842" t="s">
        <v>43</v>
      </c>
      <c r="L5842" t="s">
        <v>43</v>
      </c>
      <c r="M5842" t="s">
        <v>43</v>
      </c>
      <c r="N5842" t="s">
        <v>45</v>
      </c>
      <c r="O5842" t="s">
        <v>43</v>
      </c>
      <c r="P5842" t="s">
        <v>43</v>
      </c>
      <c r="Q5842" t="s">
        <v>43</v>
      </c>
      <c r="R5842" t="s">
        <v>43</v>
      </c>
      <c r="S5842" t="s">
        <v>43</v>
      </c>
      <c r="T5842" t="s">
        <v>43</v>
      </c>
      <c r="U5842" t="s">
        <v>43</v>
      </c>
      <c r="V5842" t="s">
        <v>43</v>
      </c>
      <c r="W5842" t="s">
        <v>43</v>
      </c>
      <c r="X5842" t="s">
        <v>43</v>
      </c>
      <c r="Y5842" t="s">
        <v>43</v>
      </c>
      <c r="Z5842" t="s">
        <v>43</v>
      </c>
      <c r="AA5842" t="s">
        <v>43</v>
      </c>
      <c r="AB5842" t="s">
        <v>43</v>
      </c>
      <c r="AC5842" t="s">
        <v>43</v>
      </c>
      <c r="AD5842" t="s">
        <v>43</v>
      </c>
      <c r="AE5842" t="s">
        <v>43</v>
      </c>
      <c r="AF5842" t="s">
        <v>43</v>
      </c>
      <c r="AG5842" t="s">
        <v>43</v>
      </c>
      <c r="AH5842" t="s">
        <v>43</v>
      </c>
      <c r="AI5842" t="s">
        <v>43</v>
      </c>
      <c r="AJ5842" t="s">
        <v>43</v>
      </c>
      <c r="AK5842" t="s">
        <v>43</v>
      </c>
      <c r="AL5842" t="s">
        <v>43</v>
      </c>
      <c r="AM5842" t="s">
        <v>43</v>
      </c>
      <c r="AN5842" t="s">
        <v>43</v>
      </c>
    </row>
    <row r="5843" spans="1:40" x14ac:dyDescent="0.3">
      <c r="A5843" s="1">
        <v>46210.32303240741</v>
      </c>
      <c r="B5843" t="s">
        <v>40</v>
      </c>
      <c r="C5843" t="s">
        <v>41</v>
      </c>
      <c r="D5843" s="1">
        <v>46210.32576388889</v>
      </c>
      <c r="E5843" t="s">
        <v>42</v>
      </c>
      <c r="F5843" t="s">
        <v>43</v>
      </c>
      <c r="G5843" t="s">
        <v>43</v>
      </c>
      <c r="H5843" t="s">
        <v>43</v>
      </c>
      <c r="I5843" t="s">
        <v>3305</v>
      </c>
      <c r="J5843" t="s">
        <v>43</v>
      </c>
      <c r="K5843" t="s">
        <v>43</v>
      </c>
      <c r="L5843" t="s">
        <v>43</v>
      </c>
      <c r="M5843" t="s">
        <v>43</v>
      </c>
      <c r="N5843" t="s">
        <v>45</v>
      </c>
      <c r="O5843" t="s">
        <v>43</v>
      </c>
      <c r="P5843" t="s">
        <v>43</v>
      </c>
      <c r="Q5843" t="s">
        <v>43</v>
      </c>
      <c r="R5843" t="s">
        <v>43</v>
      </c>
      <c r="S5843" t="s">
        <v>43</v>
      </c>
      <c r="T5843" t="s">
        <v>43</v>
      </c>
      <c r="U5843" t="s">
        <v>43</v>
      </c>
      <c r="V5843" t="s">
        <v>43</v>
      </c>
      <c r="W5843" t="s">
        <v>43</v>
      </c>
      <c r="X5843" t="s">
        <v>43</v>
      </c>
      <c r="Y5843" t="s">
        <v>43</v>
      </c>
      <c r="Z5843" t="s">
        <v>43</v>
      </c>
      <c r="AA5843" t="s">
        <v>43</v>
      </c>
      <c r="AB5843" t="s">
        <v>43</v>
      </c>
      <c r="AC5843" t="s">
        <v>43</v>
      </c>
      <c r="AD5843" t="s">
        <v>43</v>
      </c>
      <c r="AE5843" t="s">
        <v>43</v>
      </c>
      <c r="AF5843" t="s">
        <v>43</v>
      </c>
      <c r="AG5843" t="s">
        <v>43</v>
      </c>
      <c r="AH5843" t="s">
        <v>43</v>
      </c>
      <c r="AI5843" t="s">
        <v>43</v>
      </c>
      <c r="AJ5843" t="s">
        <v>43</v>
      </c>
      <c r="AK5843" t="s">
        <v>43</v>
      </c>
      <c r="AL5843" t="s">
        <v>43</v>
      </c>
      <c r="AM5843" t="s">
        <v>43</v>
      </c>
      <c r="AN5843" t="str">
        <f>HYPERLINK("https://www.google.com/maps?q=10.83316517,79.84614563","Open Location")</f>
        <v>Open Location</v>
      </c>
    </row>
    <row r="5844" spans="1:40" x14ac:dyDescent="0.3">
      <c r="A5844" s="1">
        <v>46210.322916666664</v>
      </c>
      <c r="B5844" t="s">
        <v>40</v>
      </c>
      <c r="C5844" t="s">
        <v>41</v>
      </c>
      <c r="D5844" s="1">
        <v>46210.325937499998</v>
      </c>
      <c r="E5844" t="s">
        <v>42</v>
      </c>
      <c r="F5844" t="s">
        <v>43</v>
      </c>
      <c r="G5844" t="s">
        <v>43</v>
      </c>
      <c r="H5844" t="s">
        <v>43</v>
      </c>
      <c r="I5844" t="s">
        <v>3306</v>
      </c>
      <c r="J5844" t="s">
        <v>43</v>
      </c>
      <c r="K5844" t="s">
        <v>43</v>
      </c>
      <c r="L5844" t="s">
        <v>43</v>
      </c>
      <c r="M5844" t="s">
        <v>43</v>
      </c>
      <c r="N5844" t="s">
        <v>45</v>
      </c>
      <c r="O5844" t="s">
        <v>43</v>
      </c>
      <c r="P5844" t="s">
        <v>43</v>
      </c>
      <c r="Q5844" t="s">
        <v>43</v>
      </c>
      <c r="R5844" t="s">
        <v>43</v>
      </c>
      <c r="S5844" t="s">
        <v>43</v>
      </c>
      <c r="T5844" t="s">
        <v>43</v>
      </c>
      <c r="U5844" t="s">
        <v>43</v>
      </c>
      <c r="V5844" t="s">
        <v>43</v>
      </c>
      <c r="W5844" t="s">
        <v>43</v>
      </c>
      <c r="X5844" t="s">
        <v>43</v>
      </c>
      <c r="Y5844" t="s">
        <v>43</v>
      </c>
      <c r="Z5844" t="s">
        <v>43</v>
      </c>
      <c r="AA5844" t="s">
        <v>43</v>
      </c>
      <c r="AB5844" t="s">
        <v>43</v>
      </c>
      <c r="AC5844" t="s">
        <v>43</v>
      </c>
      <c r="AD5844" t="s">
        <v>43</v>
      </c>
      <c r="AE5844" t="s">
        <v>43</v>
      </c>
      <c r="AF5844" t="s">
        <v>43</v>
      </c>
      <c r="AG5844" t="s">
        <v>43</v>
      </c>
      <c r="AH5844" t="s">
        <v>43</v>
      </c>
      <c r="AI5844" t="s">
        <v>43</v>
      </c>
      <c r="AJ5844" t="s">
        <v>43</v>
      </c>
      <c r="AK5844" t="s">
        <v>43</v>
      </c>
      <c r="AL5844" t="s">
        <v>43</v>
      </c>
      <c r="AM5844" t="s">
        <v>43</v>
      </c>
      <c r="AN5844" t="str">
        <f>HYPERLINK("https://www.google.com/maps?q=10.83316803,79.84614563","Open Location")</f>
        <v>Open Location</v>
      </c>
    </row>
    <row r="5845" spans="1:40" x14ac:dyDescent="0.3">
      <c r="A5845" s="1">
        <v>46210.322800925926</v>
      </c>
      <c r="B5845" t="s">
        <v>40</v>
      </c>
      <c r="C5845" t="s">
        <v>41</v>
      </c>
      <c r="D5845" s="1">
        <v>46210.325601851851</v>
      </c>
      <c r="E5845" t="s">
        <v>42</v>
      </c>
      <c r="F5845" t="s">
        <v>43</v>
      </c>
      <c r="G5845" t="s">
        <v>43</v>
      </c>
      <c r="H5845" t="s">
        <v>43</v>
      </c>
      <c r="I5845" t="s">
        <v>3307</v>
      </c>
      <c r="J5845" t="s">
        <v>43</v>
      </c>
      <c r="K5845" t="s">
        <v>43</v>
      </c>
      <c r="L5845" t="s">
        <v>43</v>
      </c>
      <c r="M5845" t="s">
        <v>43</v>
      </c>
      <c r="N5845" t="s">
        <v>45</v>
      </c>
      <c r="O5845" t="s">
        <v>43</v>
      </c>
      <c r="P5845" t="s">
        <v>43</v>
      </c>
      <c r="Q5845" t="s">
        <v>43</v>
      </c>
      <c r="R5845" t="s">
        <v>43</v>
      </c>
      <c r="S5845" t="s">
        <v>43</v>
      </c>
      <c r="T5845" t="s">
        <v>43</v>
      </c>
      <c r="U5845" t="s">
        <v>43</v>
      </c>
      <c r="V5845" t="s">
        <v>43</v>
      </c>
      <c r="W5845" t="s">
        <v>43</v>
      </c>
      <c r="X5845" t="s">
        <v>43</v>
      </c>
      <c r="Y5845" t="s">
        <v>43</v>
      </c>
      <c r="Z5845" t="s">
        <v>43</v>
      </c>
      <c r="AA5845" t="s">
        <v>43</v>
      </c>
      <c r="AB5845" t="s">
        <v>43</v>
      </c>
      <c r="AC5845" t="s">
        <v>43</v>
      </c>
      <c r="AD5845" t="s">
        <v>43</v>
      </c>
      <c r="AE5845" t="s">
        <v>43</v>
      </c>
      <c r="AF5845" t="s">
        <v>43</v>
      </c>
      <c r="AG5845" t="s">
        <v>43</v>
      </c>
      <c r="AH5845" t="s">
        <v>43</v>
      </c>
      <c r="AI5845" t="s">
        <v>43</v>
      </c>
      <c r="AJ5845" t="s">
        <v>43</v>
      </c>
      <c r="AK5845" t="s">
        <v>43</v>
      </c>
      <c r="AL5845" t="s">
        <v>43</v>
      </c>
      <c r="AM5845" t="s">
        <v>43</v>
      </c>
      <c r="AN5845" t="str">
        <f>HYPERLINK("https://www.google.com/maps?q=10.83317184,79.84614563","Open Location")</f>
        <v>Open Location</v>
      </c>
    </row>
    <row r="5846" spans="1:40" x14ac:dyDescent="0.3">
      <c r="A5846" s="1">
        <v>46210.322685185187</v>
      </c>
      <c r="B5846" t="s">
        <v>40</v>
      </c>
      <c r="C5846" t="s">
        <v>41</v>
      </c>
      <c r="D5846" s="1">
        <v>46210.325636574074</v>
      </c>
      <c r="E5846" t="s">
        <v>42</v>
      </c>
      <c r="F5846" t="s">
        <v>43</v>
      </c>
      <c r="G5846" t="s">
        <v>43</v>
      </c>
      <c r="H5846" t="s">
        <v>43</v>
      </c>
      <c r="I5846" t="s">
        <v>3308</v>
      </c>
      <c r="J5846" t="s">
        <v>43</v>
      </c>
      <c r="K5846" t="s">
        <v>43</v>
      </c>
      <c r="L5846" t="s">
        <v>43</v>
      </c>
      <c r="M5846" t="s">
        <v>43</v>
      </c>
      <c r="N5846" t="s">
        <v>45</v>
      </c>
      <c r="O5846" t="s">
        <v>43</v>
      </c>
      <c r="P5846" t="s">
        <v>43</v>
      </c>
      <c r="Q5846" t="s">
        <v>43</v>
      </c>
      <c r="R5846" t="s">
        <v>43</v>
      </c>
      <c r="S5846" t="s">
        <v>43</v>
      </c>
      <c r="T5846" t="s">
        <v>43</v>
      </c>
      <c r="U5846" t="s">
        <v>43</v>
      </c>
      <c r="V5846" t="s">
        <v>43</v>
      </c>
      <c r="W5846" t="s">
        <v>43</v>
      </c>
      <c r="X5846" t="s">
        <v>43</v>
      </c>
      <c r="Y5846" t="s">
        <v>43</v>
      </c>
      <c r="Z5846" t="s">
        <v>43</v>
      </c>
      <c r="AA5846" t="s">
        <v>43</v>
      </c>
      <c r="AB5846" t="s">
        <v>43</v>
      </c>
      <c r="AC5846" t="s">
        <v>43</v>
      </c>
      <c r="AD5846" t="s">
        <v>43</v>
      </c>
      <c r="AE5846" t="s">
        <v>43</v>
      </c>
      <c r="AF5846" t="s">
        <v>43</v>
      </c>
      <c r="AG5846" t="s">
        <v>43</v>
      </c>
      <c r="AH5846" t="s">
        <v>43</v>
      </c>
      <c r="AI5846" t="s">
        <v>43</v>
      </c>
      <c r="AJ5846" t="s">
        <v>43</v>
      </c>
      <c r="AK5846" t="s">
        <v>43</v>
      </c>
      <c r="AL5846" t="s">
        <v>43</v>
      </c>
      <c r="AM5846" t="s">
        <v>43</v>
      </c>
      <c r="AN5846" t="str">
        <f>HYPERLINK("https://www.google.com/maps?q=10.83317757,79.84614563","Open Location")</f>
        <v>Open Location</v>
      </c>
    </row>
    <row r="5847" spans="1:40" x14ac:dyDescent="0.3">
      <c r="A5847" s="1">
        <v>46210.322569444441</v>
      </c>
      <c r="B5847" t="s">
        <v>40</v>
      </c>
      <c r="C5847" t="s">
        <v>41</v>
      </c>
      <c r="D5847" s="1">
        <v>46210.325752314813</v>
      </c>
      <c r="E5847" t="s">
        <v>42</v>
      </c>
      <c r="F5847" t="s">
        <v>43</v>
      </c>
      <c r="G5847" t="s">
        <v>43</v>
      </c>
      <c r="H5847" t="s">
        <v>43</v>
      </c>
      <c r="I5847" t="s">
        <v>43</v>
      </c>
      <c r="J5847" t="s">
        <v>43</v>
      </c>
      <c r="K5847" t="s">
        <v>43</v>
      </c>
      <c r="L5847" t="s">
        <v>43</v>
      </c>
      <c r="M5847" t="s">
        <v>43</v>
      </c>
      <c r="N5847" t="s">
        <v>45</v>
      </c>
      <c r="O5847" t="s">
        <v>43</v>
      </c>
      <c r="P5847" t="s">
        <v>43</v>
      </c>
      <c r="Q5847" t="s">
        <v>43</v>
      </c>
      <c r="R5847" t="s">
        <v>43</v>
      </c>
      <c r="S5847" t="s">
        <v>43</v>
      </c>
      <c r="T5847" t="s">
        <v>43</v>
      </c>
      <c r="U5847" t="s">
        <v>43</v>
      </c>
      <c r="V5847" t="s">
        <v>43</v>
      </c>
      <c r="W5847" t="s">
        <v>43</v>
      </c>
      <c r="X5847" t="s">
        <v>43</v>
      </c>
      <c r="Y5847" t="s">
        <v>43</v>
      </c>
      <c r="Z5847" t="s">
        <v>43</v>
      </c>
      <c r="AA5847" t="s">
        <v>43</v>
      </c>
      <c r="AB5847" t="s">
        <v>43</v>
      </c>
      <c r="AC5847" t="s">
        <v>43</v>
      </c>
      <c r="AD5847" t="s">
        <v>43</v>
      </c>
      <c r="AE5847" t="s">
        <v>43</v>
      </c>
      <c r="AF5847" t="s">
        <v>43</v>
      </c>
      <c r="AG5847" t="s">
        <v>43</v>
      </c>
      <c r="AH5847" t="s">
        <v>43</v>
      </c>
      <c r="AI5847" t="s">
        <v>43</v>
      </c>
      <c r="AJ5847" t="s">
        <v>43</v>
      </c>
      <c r="AK5847" t="s">
        <v>43</v>
      </c>
      <c r="AL5847" t="s">
        <v>43</v>
      </c>
      <c r="AM5847" t="s">
        <v>43</v>
      </c>
      <c r="AN5847" t="s">
        <v>43</v>
      </c>
    </row>
    <row r="5848" spans="1:40" x14ac:dyDescent="0.3">
      <c r="A5848" s="1">
        <v>46210.322453703702</v>
      </c>
      <c r="B5848" t="s">
        <v>40</v>
      </c>
      <c r="C5848" t="s">
        <v>41</v>
      </c>
      <c r="D5848" s="1">
        <v>46210.32539351852</v>
      </c>
      <c r="E5848" t="s">
        <v>42</v>
      </c>
      <c r="F5848" t="s">
        <v>43</v>
      </c>
      <c r="G5848" t="s">
        <v>43</v>
      </c>
      <c r="H5848" t="s">
        <v>43</v>
      </c>
      <c r="I5848" t="s">
        <v>3309</v>
      </c>
      <c r="J5848" t="s">
        <v>43</v>
      </c>
      <c r="K5848" t="s">
        <v>43</v>
      </c>
      <c r="L5848" t="s">
        <v>43</v>
      </c>
      <c r="M5848" t="s">
        <v>43</v>
      </c>
      <c r="N5848" t="s">
        <v>45</v>
      </c>
      <c r="O5848" t="s">
        <v>43</v>
      </c>
      <c r="P5848" t="s">
        <v>43</v>
      </c>
      <c r="Q5848" t="s">
        <v>43</v>
      </c>
      <c r="R5848" t="s">
        <v>43</v>
      </c>
      <c r="S5848" t="s">
        <v>43</v>
      </c>
      <c r="T5848" t="s">
        <v>43</v>
      </c>
      <c r="U5848" t="s">
        <v>43</v>
      </c>
      <c r="V5848" t="s">
        <v>43</v>
      </c>
      <c r="W5848" t="s">
        <v>43</v>
      </c>
      <c r="X5848" t="s">
        <v>43</v>
      </c>
      <c r="Y5848" t="s">
        <v>43</v>
      </c>
      <c r="Z5848" t="s">
        <v>43</v>
      </c>
      <c r="AA5848" t="s">
        <v>43</v>
      </c>
      <c r="AB5848" t="s">
        <v>43</v>
      </c>
      <c r="AC5848" t="s">
        <v>43</v>
      </c>
      <c r="AD5848" t="s">
        <v>43</v>
      </c>
      <c r="AE5848" t="s">
        <v>43</v>
      </c>
      <c r="AF5848" t="s">
        <v>43</v>
      </c>
      <c r="AG5848" t="s">
        <v>43</v>
      </c>
      <c r="AH5848" t="s">
        <v>43</v>
      </c>
      <c r="AI5848" t="s">
        <v>43</v>
      </c>
      <c r="AJ5848" t="s">
        <v>43</v>
      </c>
      <c r="AK5848" t="s">
        <v>43</v>
      </c>
      <c r="AL5848" t="s">
        <v>43</v>
      </c>
      <c r="AM5848" t="s">
        <v>43</v>
      </c>
      <c r="AN5848" t="str">
        <f>HYPERLINK("https://www.google.com/maps?q=10.83318233,79.846138","Open Location")</f>
        <v>Open Location</v>
      </c>
    </row>
    <row r="5849" spans="1:40" x14ac:dyDescent="0.3">
      <c r="A5849" s="1">
        <v>46210.322337962964</v>
      </c>
      <c r="B5849" t="s">
        <v>40</v>
      </c>
      <c r="C5849" t="s">
        <v>41</v>
      </c>
      <c r="D5849" s="1">
        <v>46210.325231481482</v>
      </c>
      <c r="E5849" t="s">
        <v>42</v>
      </c>
      <c r="F5849" t="s">
        <v>43</v>
      </c>
      <c r="G5849" t="s">
        <v>43</v>
      </c>
      <c r="H5849" t="s">
        <v>43</v>
      </c>
      <c r="I5849" t="s">
        <v>3310</v>
      </c>
      <c r="J5849" t="s">
        <v>43</v>
      </c>
      <c r="K5849" t="s">
        <v>43</v>
      </c>
      <c r="L5849" t="s">
        <v>43</v>
      </c>
      <c r="M5849" t="s">
        <v>43</v>
      </c>
      <c r="N5849" t="s">
        <v>45</v>
      </c>
      <c r="O5849" t="s">
        <v>43</v>
      </c>
      <c r="P5849" t="s">
        <v>43</v>
      </c>
      <c r="Q5849" t="s">
        <v>43</v>
      </c>
      <c r="R5849" t="s">
        <v>43</v>
      </c>
      <c r="S5849" t="s">
        <v>43</v>
      </c>
      <c r="T5849" t="s">
        <v>43</v>
      </c>
      <c r="U5849" t="s">
        <v>43</v>
      </c>
      <c r="V5849" t="s">
        <v>43</v>
      </c>
      <c r="W5849" t="s">
        <v>43</v>
      </c>
      <c r="X5849" t="s">
        <v>43</v>
      </c>
      <c r="Y5849" t="s">
        <v>43</v>
      </c>
      <c r="Z5849" t="s">
        <v>43</v>
      </c>
      <c r="AA5849" t="s">
        <v>43</v>
      </c>
      <c r="AB5849" t="s">
        <v>43</v>
      </c>
      <c r="AC5849" t="s">
        <v>43</v>
      </c>
      <c r="AD5849" t="s">
        <v>43</v>
      </c>
      <c r="AE5849" t="s">
        <v>43</v>
      </c>
      <c r="AF5849" t="s">
        <v>43</v>
      </c>
      <c r="AG5849" t="s">
        <v>43</v>
      </c>
      <c r="AH5849" t="s">
        <v>43</v>
      </c>
      <c r="AI5849" t="s">
        <v>43</v>
      </c>
      <c r="AJ5849" t="s">
        <v>43</v>
      </c>
      <c r="AK5849" t="s">
        <v>43</v>
      </c>
      <c r="AL5849" t="s">
        <v>43</v>
      </c>
      <c r="AM5849" t="s">
        <v>43</v>
      </c>
      <c r="AN5849" t="str">
        <f>HYPERLINK("https://www.google.com/maps?q=10.83318329,79.84614563","Open Location")</f>
        <v>Open Location</v>
      </c>
    </row>
    <row r="5850" spans="1:40" x14ac:dyDescent="0.3">
      <c r="A5850" s="1">
        <v>46210.322222222225</v>
      </c>
      <c r="B5850" t="s">
        <v>40</v>
      </c>
      <c r="C5850" t="s">
        <v>41</v>
      </c>
      <c r="D5850" s="1">
        <v>46210.325023148151</v>
      </c>
      <c r="E5850" t="s">
        <v>42</v>
      </c>
      <c r="F5850" t="s">
        <v>43</v>
      </c>
      <c r="G5850" t="s">
        <v>43</v>
      </c>
      <c r="H5850" t="s">
        <v>43</v>
      </c>
      <c r="I5850" t="s">
        <v>3310</v>
      </c>
      <c r="J5850" t="s">
        <v>43</v>
      </c>
      <c r="K5850" t="s">
        <v>43</v>
      </c>
      <c r="L5850" t="s">
        <v>43</v>
      </c>
      <c r="M5850" t="s">
        <v>43</v>
      </c>
      <c r="N5850" t="s">
        <v>45</v>
      </c>
      <c r="O5850" t="s">
        <v>43</v>
      </c>
      <c r="P5850" t="s">
        <v>43</v>
      </c>
      <c r="Q5850" t="s">
        <v>43</v>
      </c>
      <c r="R5850" t="s">
        <v>43</v>
      </c>
      <c r="S5850" t="s">
        <v>43</v>
      </c>
      <c r="T5850" t="s">
        <v>43</v>
      </c>
      <c r="U5850" t="s">
        <v>43</v>
      </c>
      <c r="V5850" t="s">
        <v>43</v>
      </c>
      <c r="W5850" t="s">
        <v>43</v>
      </c>
      <c r="X5850" t="s">
        <v>43</v>
      </c>
      <c r="Y5850" t="s">
        <v>43</v>
      </c>
      <c r="Z5850" t="s">
        <v>43</v>
      </c>
      <c r="AA5850" t="s">
        <v>43</v>
      </c>
      <c r="AB5850" t="s">
        <v>43</v>
      </c>
      <c r="AC5850" t="s">
        <v>43</v>
      </c>
      <c r="AD5850" t="s">
        <v>43</v>
      </c>
      <c r="AE5850" t="s">
        <v>43</v>
      </c>
      <c r="AF5850" t="s">
        <v>43</v>
      </c>
      <c r="AG5850" t="s">
        <v>43</v>
      </c>
      <c r="AH5850" t="s">
        <v>43</v>
      </c>
      <c r="AI5850" t="s">
        <v>43</v>
      </c>
      <c r="AJ5850" t="s">
        <v>43</v>
      </c>
      <c r="AK5850" t="s">
        <v>43</v>
      </c>
      <c r="AL5850" t="s">
        <v>43</v>
      </c>
      <c r="AM5850" t="s">
        <v>43</v>
      </c>
      <c r="AN5850" t="str">
        <f>HYPERLINK("https://www.google.com/maps?q=10.83318329,79.84614563","Open Location")</f>
        <v>Open Location</v>
      </c>
    </row>
    <row r="5851" spans="1:40" x14ac:dyDescent="0.3">
      <c r="A5851" s="1">
        <v>46210.322106481479</v>
      </c>
      <c r="B5851" t="s">
        <v>40</v>
      </c>
      <c r="C5851" t="s">
        <v>41</v>
      </c>
      <c r="D5851" s="1">
        <v>46210.324837962966</v>
      </c>
      <c r="E5851" t="s">
        <v>42</v>
      </c>
      <c r="F5851" t="s">
        <v>43</v>
      </c>
      <c r="G5851" t="s">
        <v>43</v>
      </c>
      <c r="H5851" t="s">
        <v>43</v>
      </c>
      <c r="I5851" t="s">
        <v>3311</v>
      </c>
      <c r="J5851" t="s">
        <v>43</v>
      </c>
      <c r="K5851" t="s">
        <v>43</v>
      </c>
      <c r="L5851" t="s">
        <v>43</v>
      </c>
      <c r="M5851" t="s">
        <v>43</v>
      </c>
      <c r="N5851" t="s">
        <v>45</v>
      </c>
      <c r="O5851" t="s">
        <v>43</v>
      </c>
      <c r="P5851" t="s">
        <v>43</v>
      </c>
      <c r="Q5851" t="s">
        <v>43</v>
      </c>
      <c r="R5851" t="s">
        <v>43</v>
      </c>
      <c r="S5851" t="s">
        <v>43</v>
      </c>
      <c r="T5851" t="s">
        <v>43</v>
      </c>
      <c r="U5851" t="s">
        <v>43</v>
      </c>
      <c r="V5851" t="s">
        <v>43</v>
      </c>
      <c r="W5851" t="s">
        <v>43</v>
      </c>
      <c r="X5851" t="s">
        <v>43</v>
      </c>
      <c r="Y5851" t="s">
        <v>43</v>
      </c>
      <c r="Z5851" t="s">
        <v>43</v>
      </c>
      <c r="AA5851" t="s">
        <v>43</v>
      </c>
      <c r="AB5851" t="s">
        <v>43</v>
      </c>
      <c r="AC5851" t="s">
        <v>43</v>
      </c>
      <c r="AD5851" t="s">
        <v>43</v>
      </c>
      <c r="AE5851" t="s">
        <v>43</v>
      </c>
      <c r="AF5851" t="s">
        <v>43</v>
      </c>
      <c r="AG5851" t="s">
        <v>43</v>
      </c>
      <c r="AH5851" t="s">
        <v>43</v>
      </c>
      <c r="AI5851" t="s">
        <v>43</v>
      </c>
      <c r="AJ5851" t="s">
        <v>43</v>
      </c>
      <c r="AK5851" t="s">
        <v>43</v>
      </c>
      <c r="AL5851" t="s">
        <v>43</v>
      </c>
      <c r="AM5851" t="s">
        <v>43</v>
      </c>
      <c r="AN5851" t="str">
        <f>HYPERLINK("https://www.google.com/maps?q=10.83318424,79.84614563","Open Location")</f>
        <v>Open Location</v>
      </c>
    </row>
    <row r="5852" spans="1:40" x14ac:dyDescent="0.3">
      <c r="A5852" s="1">
        <v>46210.32199074074</v>
      </c>
      <c r="B5852" t="s">
        <v>40</v>
      </c>
      <c r="C5852" t="s">
        <v>41</v>
      </c>
      <c r="D5852" s="1">
        <v>46210.324930555558</v>
      </c>
      <c r="E5852" t="s">
        <v>42</v>
      </c>
      <c r="F5852" t="s">
        <v>43</v>
      </c>
      <c r="G5852" t="s">
        <v>43</v>
      </c>
      <c r="H5852" t="s">
        <v>43</v>
      </c>
      <c r="I5852" t="s">
        <v>3312</v>
      </c>
      <c r="J5852" t="s">
        <v>43</v>
      </c>
      <c r="K5852" t="s">
        <v>43</v>
      </c>
      <c r="L5852" t="s">
        <v>43</v>
      </c>
      <c r="M5852" t="s">
        <v>43</v>
      </c>
      <c r="N5852" t="s">
        <v>45</v>
      </c>
      <c r="O5852" t="s">
        <v>43</v>
      </c>
      <c r="P5852" t="s">
        <v>43</v>
      </c>
      <c r="Q5852" t="s">
        <v>43</v>
      </c>
      <c r="R5852" t="s">
        <v>43</v>
      </c>
      <c r="S5852" t="s">
        <v>43</v>
      </c>
      <c r="T5852" t="s">
        <v>43</v>
      </c>
      <c r="U5852" t="s">
        <v>43</v>
      </c>
      <c r="V5852" t="s">
        <v>43</v>
      </c>
      <c r="W5852" t="s">
        <v>43</v>
      </c>
      <c r="X5852" t="s">
        <v>43</v>
      </c>
      <c r="Y5852" t="s">
        <v>43</v>
      </c>
      <c r="Z5852" t="s">
        <v>43</v>
      </c>
      <c r="AA5852" t="s">
        <v>43</v>
      </c>
      <c r="AB5852" t="s">
        <v>43</v>
      </c>
      <c r="AC5852" t="s">
        <v>43</v>
      </c>
      <c r="AD5852" t="s">
        <v>43</v>
      </c>
      <c r="AE5852" t="s">
        <v>43</v>
      </c>
      <c r="AF5852" t="s">
        <v>43</v>
      </c>
      <c r="AG5852" t="s">
        <v>43</v>
      </c>
      <c r="AH5852" t="s">
        <v>43</v>
      </c>
      <c r="AI5852" t="s">
        <v>43</v>
      </c>
      <c r="AJ5852" t="s">
        <v>43</v>
      </c>
      <c r="AK5852" t="s">
        <v>43</v>
      </c>
      <c r="AL5852" t="s">
        <v>43</v>
      </c>
      <c r="AM5852" t="s">
        <v>43</v>
      </c>
      <c r="AN5852" t="str">
        <f>HYPERLINK("https://www.google.com/maps?q=10.83318233,79.84614563","Open Location")</f>
        <v>Open Location</v>
      </c>
    </row>
    <row r="5853" spans="1:40" x14ac:dyDescent="0.3">
      <c r="A5853" s="1">
        <v>46210.321875000001</v>
      </c>
      <c r="B5853" t="s">
        <v>40</v>
      </c>
      <c r="C5853" t="s">
        <v>41</v>
      </c>
      <c r="D5853" s="1">
        <v>46210.324652777781</v>
      </c>
      <c r="E5853" t="s">
        <v>42</v>
      </c>
      <c r="F5853" t="s">
        <v>43</v>
      </c>
      <c r="G5853" t="s">
        <v>43</v>
      </c>
      <c r="H5853" t="s">
        <v>43</v>
      </c>
      <c r="I5853" t="s">
        <v>43</v>
      </c>
      <c r="J5853" t="s">
        <v>43</v>
      </c>
      <c r="K5853" t="s">
        <v>43</v>
      </c>
      <c r="L5853" t="s">
        <v>43</v>
      </c>
      <c r="M5853" t="s">
        <v>43</v>
      </c>
      <c r="N5853" t="s">
        <v>45</v>
      </c>
      <c r="O5853" t="s">
        <v>43</v>
      </c>
      <c r="P5853" t="s">
        <v>43</v>
      </c>
      <c r="Q5853" t="s">
        <v>43</v>
      </c>
      <c r="R5853" t="s">
        <v>43</v>
      </c>
      <c r="S5853" t="s">
        <v>43</v>
      </c>
      <c r="T5853" t="s">
        <v>43</v>
      </c>
      <c r="U5853" t="s">
        <v>43</v>
      </c>
      <c r="V5853" t="s">
        <v>43</v>
      </c>
      <c r="W5853" t="s">
        <v>43</v>
      </c>
      <c r="X5853" t="s">
        <v>43</v>
      </c>
      <c r="Y5853" t="s">
        <v>43</v>
      </c>
      <c r="Z5853" t="s">
        <v>43</v>
      </c>
      <c r="AA5853" t="s">
        <v>43</v>
      </c>
      <c r="AB5853" t="s">
        <v>43</v>
      </c>
      <c r="AC5853" t="s">
        <v>43</v>
      </c>
      <c r="AD5853" t="s">
        <v>43</v>
      </c>
      <c r="AE5853" t="s">
        <v>43</v>
      </c>
      <c r="AF5853" t="s">
        <v>43</v>
      </c>
      <c r="AG5853" t="s">
        <v>43</v>
      </c>
      <c r="AH5853" t="s">
        <v>43</v>
      </c>
      <c r="AI5853" t="s">
        <v>43</v>
      </c>
      <c r="AJ5853" t="s">
        <v>43</v>
      </c>
      <c r="AK5853" t="s">
        <v>43</v>
      </c>
      <c r="AL5853" t="s">
        <v>43</v>
      </c>
      <c r="AM5853" t="s">
        <v>43</v>
      </c>
      <c r="AN5853" t="s">
        <v>43</v>
      </c>
    </row>
    <row r="5854" spans="1:40" x14ac:dyDescent="0.3">
      <c r="A5854" s="1">
        <v>46210.321759259263</v>
      </c>
      <c r="B5854" t="s">
        <v>40</v>
      </c>
      <c r="C5854" t="s">
        <v>41</v>
      </c>
      <c r="D5854" s="1">
        <v>46210.324513888889</v>
      </c>
      <c r="E5854" t="s">
        <v>42</v>
      </c>
      <c r="F5854" t="s">
        <v>43</v>
      </c>
      <c r="G5854" t="s">
        <v>43</v>
      </c>
      <c r="H5854" t="s">
        <v>43</v>
      </c>
      <c r="I5854" t="s">
        <v>3313</v>
      </c>
      <c r="J5854" t="s">
        <v>43</v>
      </c>
      <c r="K5854" t="s">
        <v>43</v>
      </c>
      <c r="L5854" t="s">
        <v>43</v>
      </c>
      <c r="M5854" t="s">
        <v>43</v>
      </c>
      <c r="N5854" t="s">
        <v>45</v>
      </c>
      <c r="O5854" t="s">
        <v>43</v>
      </c>
      <c r="P5854" t="s">
        <v>43</v>
      </c>
      <c r="Q5854" t="s">
        <v>43</v>
      </c>
      <c r="R5854" t="s">
        <v>43</v>
      </c>
      <c r="S5854" t="s">
        <v>43</v>
      </c>
      <c r="T5854" t="s">
        <v>43</v>
      </c>
      <c r="U5854" t="s">
        <v>43</v>
      </c>
      <c r="V5854" t="s">
        <v>43</v>
      </c>
      <c r="W5854" t="s">
        <v>43</v>
      </c>
      <c r="X5854" t="s">
        <v>43</v>
      </c>
      <c r="Y5854" t="s">
        <v>43</v>
      </c>
      <c r="Z5854" t="s">
        <v>43</v>
      </c>
      <c r="AA5854" t="s">
        <v>43</v>
      </c>
      <c r="AB5854" t="s">
        <v>43</v>
      </c>
      <c r="AC5854" t="s">
        <v>43</v>
      </c>
      <c r="AD5854" t="s">
        <v>43</v>
      </c>
      <c r="AE5854" t="s">
        <v>43</v>
      </c>
      <c r="AF5854" t="s">
        <v>43</v>
      </c>
      <c r="AG5854" t="s">
        <v>43</v>
      </c>
      <c r="AH5854" t="s">
        <v>43</v>
      </c>
      <c r="AI5854" t="s">
        <v>43</v>
      </c>
      <c r="AJ5854" t="s">
        <v>43</v>
      </c>
      <c r="AK5854" t="s">
        <v>43</v>
      </c>
      <c r="AL5854" t="s">
        <v>43</v>
      </c>
      <c r="AM5854" t="s">
        <v>43</v>
      </c>
      <c r="AN5854" t="str">
        <f>HYPERLINK("https://www.google.com/maps?q=10.83318043,79.84614563","Open Location")</f>
        <v>Open Location</v>
      </c>
    </row>
    <row r="5855" spans="1:40" x14ac:dyDescent="0.3">
      <c r="A5855" s="1">
        <v>46210.321643518517</v>
      </c>
      <c r="B5855" t="s">
        <v>40</v>
      </c>
      <c r="C5855" t="s">
        <v>41</v>
      </c>
      <c r="D5855" s="1">
        <v>46210.324513888889</v>
      </c>
      <c r="E5855" t="s">
        <v>42</v>
      </c>
      <c r="F5855" t="s">
        <v>43</v>
      </c>
      <c r="G5855" t="s">
        <v>43</v>
      </c>
      <c r="H5855" t="s">
        <v>43</v>
      </c>
      <c r="I5855" t="s">
        <v>3314</v>
      </c>
      <c r="J5855" t="s">
        <v>43</v>
      </c>
      <c r="K5855" t="s">
        <v>43</v>
      </c>
      <c r="L5855" t="s">
        <v>43</v>
      </c>
      <c r="M5855" t="s">
        <v>43</v>
      </c>
      <c r="N5855" t="s">
        <v>45</v>
      </c>
      <c r="O5855" t="s">
        <v>43</v>
      </c>
      <c r="P5855" t="s">
        <v>43</v>
      </c>
      <c r="Q5855" t="s">
        <v>43</v>
      </c>
      <c r="R5855" t="s">
        <v>43</v>
      </c>
      <c r="S5855" t="s">
        <v>43</v>
      </c>
      <c r="T5855" t="s">
        <v>43</v>
      </c>
      <c r="U5855" t="s">
        <v>43</v>
      </c>
      <c r="V5855" t="s">
        <v>43</v>
      </c>
      <c r="W5855" t="s">
        <v>43</v>
      </c>
      <c r="X5855" t="s">
        <v>43</v>
      </c>
      <c r="Y5855" t="s">
        <v>43</v>
      </c>
      <c r="Z5855" t="s">
        <v>43</v>
      </c>
      <c r="AA5855" t="s">
        <v>43</v>
      </c>
      <c r="AB5855" t="s">
        <v>43</v>
      </c>
      <c r="AC5855" t="s">
        <v>43</v>
      </c>
      <c r="AD5855" t="s">
        <v>43</v>
      </c>
      <c r="AE5855" t="s">
        <v>43</v>
      </c>
      <c r="AF5855" t="s">
        <v>43</v>
      </c>
      <c r="AG5855" t="s">
        <v>43</v>
      </c>
      <c r="AH5855" t="s">
        <v>43</v>
      </c>
      <c r="AI5855" t="s">
        <v>43</v>
      </c>
      <c r="AJ5855" t="s">
        <v>43</v>
      </c>
      <c r="AK5855" t="s">
        <v>43</v>
      </c>
      <c r="AL5855" t="s">
        <v>43</v>
      </c>
      <c r="AM5855" t="s">
        <v>43</v>
      </c>
      <c r="AN5855" t="str">
        <f>HYPERLINK("https://www.google.com/maps?q=10.83317947,79.84614563","Open Location")</f>
        <v>Open Location</v>
      </c>
    </row>
    <row r="5856" spans="1:40" x14ac:dyDescent="0.3">
      <c r="A5856" s="1">
        <v>46210.321527777778</v>
      </c>
      <c r="B5856" t="s">
        <v>40</v>
      </c>
      <c r="C5856" t="s">
        <v>41</v>
      </c>
      <c r="D5856" s="1">
        <v>46210.324548611112</v>
      </c>
      <c r="E5856" t="s">
        <v>42</v>
      </c>
      <c r="F5856" t="s">
        <v>43</v>
      </c>
      <c r="G5856" t="s">
        <v>43</v>
      </c>
      <c r="H5856" t="s">
        <v>43</v>
      </c>
      <c r="I5856" t="s">
        <v>3315</v>
      </c>
      <c r="J5856" t="s">
        <v>43</v>
      </c>
      <c r="K5856" t="s">
        <v>43</v>
      </c>
      <c r="L5856" t="s">
        <v>43</v>
      </c>
      <c r="M5856" t="s">
        <v>43</v>
      </c>
      <c r="N5856" t="s">
        <v>45</v>
      </c>
      <c r="O5856" t="s">
        <v>43</v>
      </c>
      <c r="P5856" t="s">
        <v>43</v>
      </c>
      <c r="Q5856" t="s">
        <v>43</v>
      </c>
      <c r="R5856" t="s">
        <v>43</v>
      </c>
      <c r="S5856" t="s">
        <v>43</v>
      </c>
      <c r="T5856" t="s">
        <v>43</v>
      </c>
      <c r="U5856" t="s">
        <v>43</v>
      </c>
      <c r="V5856" t="s">
        <v>43</v>
      </c>
      <c r="W5856" t="s">
        <v>43</v>
      </c>
      <c r="X5856" t="s">
        <v>43</v>
      </c>
      <c r="Y5856" t="s">
        <v>43</v>
      </c>
      <c r="Z5856" t="s">
        <v>43</v>
      </c>
      <c r="AA5856" t="s">
        <v>43</v>
      </c>
      <c r="AB5856" t="s">
        <v>43</v>
      </c>
      <c r="AC5856" t="s">
        <v>43</v>
      </c>
      <c r="AD5856" t="s">
        <v>43</v>
      </c>
      <c r="AE5856" t="s">
        <v>43</v>
      </c>
      <c r="AF5856" t="s">
        <v>43</v>
      </c>
      <c r="AG5856" t="s">
        <v>43</v>
      </c>
      <c r="AH5856" t="s">
        <v>43</v>
      </c>
      <c r="AI5856" t="s">
        <v>43</v>
      </c>
      <c r="AJ5856" t="s">
        <v>43</v>
      </c>
      <c r="AK5856" t="s">
        <v>43</v>
      </c>
      <c r="AL5856" t="s">
        <v>43</v>
      </c>
      <c r="AM5856" t="s">
        <v>43</v>
      </c>
      <c r="AN5856" t="str">
        <f>HYPERLINK("https://www.google.com/maps?q=10.83317566,79.84614563","Open Location")</f>
        <v>Open Location</v>
      </c>
    </row>
    <row r="5857" spans="1:40" x14ac:dyDescent="0.3">
      <c r="A5857" s="1">
        <v>46210.321412037039</v>
      </c>
      <c r="B5857" t="s">
        <v>40</v>
      </c>
      <c r="C5857" t="s">
        <v>41</v>
      </c>
      <c r="D5857" s="1">
        <v>46210.324293981481</v>
      </c>
      <c r="E5857" t="s">
        <v>42</v>
      </c>
      <c r="F5857" t="s">
        <v>43</v>
      </c>
      <c r="G5857" t="s">
        <v>43</v>
      </c>
      <c r="H5857" t="s">
        <v>43</v>
      </c>
      <c r="I5857" t="s">
        <v>3316</v>
      </c>
      <c r="J5857" t="s">
        <v>43</v>
      </c>
      <c r="K5857" t="s">
        <v>43</v>
      </c>
      <c r="L5857" t="s">
        <v>43</v>
      </c>
      <c r="M5857" t="s">
        <v>43</v>
      </c>
      <c r="N5857" t="s">
        <v>45</v>
      </c>
      <c r="O5857" t="s">
        <v>43</v>
      </c>
      <c r="P5857" t="s">
        <v>43</v>
      </c>
      <c r="Q5857" t="s">
        <v>43</v>
      </c>
      <c r="R5857" t="s">
        <v>43</v>
      </c>
      <c r="S5857" t="s">
        <v>43</v>
      </c>
      <c r="T5857" t="s">
        <v>43</v>
      </c>
      <c r="U5857" t="s">
        <v>43</v>
      </c>
      <c r="V5857" t="s">
        <v>43</v>
      </c>
      <c r="W5857" t="s">
        <v>43</v>
      </c>
      <c r="X5857" t="s">
        <v>43</v>
      </c>
      <c r="Y5857" t="s">
        <v>43</v>
      </c>
      <c r="Z5857" t="s">
        <v>43</v>
      </c>
      <c r="AA5857" t="s">
        <v>43</v>
      </c>
      <c r="AB5857" t="s">
        <v>43</v>
      </c>
      <c r="AC5857" t="s">
        <v>43</v>
      </c>
      <c r="AD5857" t="s">
        <v>43</v>
      </c>
      <c r="AE5857" t="s">
        <v>43</v>
      </c>
      <c r="AF5857" t="s">
        <v>43</v>
      </c>
      <c r="AG5857" t="s">
        <v>43</v>
      </c>
      <c r="AH5857" t="s">
        <v>43</v>
      </c>
      <c r="AI5857" t="s">
        <v>43</v>
      </c>
      <c r="AJ5857" t="s">
        <v>43</v>
      </c>
      <c r="AK5857" t="s">
        <v>43</v>
      </c>
      <c r="AL5857" t="s">
        <v>43</v>
      </c>
      <c r="AM5857" t="s">
        <v>43</v>
      </c>
      <c r="AN5857" t="str">
        <f>HYPERLINK("https://www.google.com/maps?q=10.83317471,79.84614563","Open Location")</f>
        <v>Open Location</v>
      </c>
    </row>
    <row r="5858" spans="1:40" x14ac:dyDescent="0.3">
      <c r="A5858" s="1">
        <v>46210.321296296293</v>
      </c>
      <c r="B5858" t="s">
        <v>40</v>
      </c>
      <c r="C5858" t="s">
        <v>41</v>
      </c>
      <c r="D5858" s="1">
        <v>46210.324189814812</v>
      </c>
      <c r="E5858" t="s">
        <v>42</v>
      </c>
      <c r="F5858" t="s">
        <v>43</v>
      </c>
      <c r="G5858" t="s">
        <v>43</v>
      </c>
      <c r="H5858" t="s">
        <v>43</v>
      </c>
      <c r="I5858" t="s">
        <v>3317</v>
      </c>
      <c r="J5858" t="s">
        <v>43</v>
      </c>
      <c r="K5858" t="s">
        <v>43</v>
      </c>
      <c r="L5858" t="s">
        <v>43</v>
      </c>
      <c r="M5858" t="s">
        <v>43</v>
      </c>
      <c r="N5858" t="s">
        <v>45</v>
      </c>
      <c r="O5858" t="s">
        <v>43</v>
      </c>
      <c r="P5858" t="s">
        <v>43</v>
      </c>
      <c r="Q5858" t="s">
        <v>43</v>
      </c>
      <c r="R5858" t="s">
        <v>43</v>
      </c>
      <c r="S5858" t="s">
        <v>43</v>
      </c>
      <c r="T5858" t="s">
        <v>43</v>
      </c>
      <c r="U5858" t="s">
        <v>43</v>
      </c>
      <c r="V5858" t="s">
        <v>43</v>
      </c>
      <c r="W5858" t="s">
        <v>43</v>
      </c>
      <c r="X5858" t="s">
        <v>43</v>
      </c>
      <c r="Y5858" t="s">
        <v>43</v>
      </c>
      <c r="Z5858" t="s">
        <v>43</v>
      </c>
      <c r="AA5858" t="s">
        <v>43</v>
      </c>
      <c r="AB5858" t="s">
        <v>43</v>
      </c>
      <c r="AC5858" t="s">
        <v>43</v>
      </c>
      <c r="AD5858" t="s">
        <v>43</v>
      </c>
      <c r="AE5858" t="s">
        <v>43</v>
      </c>
      <c r="AF5858" t="s">
        <v>43</v>
      </c>
      <c r="AG5858" t="s">
        <v>43</v>
      </c>
      <c r="AH5858" t="s">
        <v>43</v>
      </c>
      <c r="AI5858" t="s">
        <v>43</v>
      </c>
      <c r="AJ5858" t="s">
        <v>43</v>
      </c>
      <c r="AK5858" t="s">
        <v>43</v>
      </c>
      <c r="AL5858" t="s">
        <v>43</v>
      </c>
      <c r="AM5858" t="s">
        <v>43</v>
      </c>
      <c r="AN5858" t="str">
        <f>HYPERLINK("https://www.google.com/maps?q=10.83316898,79.84615326","Open Location")</f>
        <v>Open Location</v>
      </c>
    </row>
    <row r="5859" spans="1:40" x14ac:dyDescent="0.3">
      <c r="A5859" s="1">
        <v>46210.321180555555</v>
      </c>
      <c r="B5859" t="s">
        <v>40</v>
      </c>
      <c r="C5859" t="s">
        <v>41</v>
      </c>
      <c r="D5859" s="1">
        <v>46210.324062500003</v>
      </c>
      <c r="E5859" t="s">
        <v>42</v>
      </c>
      <c r="F5859" t="s">
        <v>43</v>
      </c>
      <c r="G5859" t="s">
        <v>43</v>
      </c>
      <c r="H5859" t="s">
        <v>43</v>
      </c>
      <c r="I5859" t="s">
        <v>43</v>
      </c>
      <c r="J5859" t="s">
        <v>43</v>
      </c>
      <c r="K5859" t="s">
        <v>43</v>
      </c>
      <c r="L5859" t="s">
        <v>43</v>
      </c>
      <c r="M5859" t="s">
        <v>43</v>
      </c>
      <c r="N5859" t="s">
        <v>45</v>
      </c>
      <c r="O5859" t="s">
        <v>43</v>
      </c>
      <c r="P5859" t="s">
        <v>43</v>
      </c>
      <c r="Q5859" t="s">
        <v>43</v>
      </c>
      <c r="R5859" t="s">
        <v>43</v>
      </c>
      <c r="S5859" t="s">
        <v>43</v>
      </c>
      <c r="T5859" t="s">
        <v>43</v>
      </c>
      <c r="U5859" t="s">
        <v>43</v>
      </c>
      <c r="V5859" t="s">
        <v>43</v>
      </c>
      <c r="W5859" t="s">
        <v>43</v>
      </c>
      <c r="X5859" t="s">
        <v>43</v>
      </c>
      <c r="Y5859" t="s">
        <v>43</v>
      </c>
      <c r="Z5859" t="s">
        <v>43</v>
      </c>
      <c r="AA5859" t="s">
        <v>43</v>
      </c>
      <c r="AB5859" t="s">
        <v>43</v>
      </c>
      <c r="AC5859" t="s">
        <v>43</v>
      </c>
      <c r="AD5859" t="s">
        <v>43</v>
      </c>
      <c r="AE5859" t="s">
        <v>43</v>
      </c>
      <c r="AF5859" t="s">
        <v>43</v>
      </c>
      <c r="AG5859" t="s">
        <v>43</v>
      </c>
      <c r="AH5859" t="s">
        <v>43</v>
      </c>
      <c r="AI5859" t="s">
        <v>43</v>
      </c>
      <c r="AJ5859" t="s">
        <v>43</v>
      </c>
      <c r="AK5859" t="s">
        <v>43</v>
      </c>
      <c r="AL5859" t="s">
        <v>43</v>
      </c>
      <c r="AM5859" t="s">
        <v>43</v>
      </c>
      <c r="AN5859" t="s">
        <v>43</v>
      </c>
    </row>
    <row r="5860" spans="1:40" x14ac:dyDescent="0.3">
      <c r="A5860" s="1">
        <v>46210.321064814816</v>
      </c>
      <c r="B5860" t="s">
        <v>40</v>
      </c>
      <c r="C5860" t="s">
        <v>41</v>
      </c>
      <c r="D5860" s="1">
        <v>46210.324131944442</v>
      </c>
      <c r="E5860" t="s">
        <v>42</v>
      </c>
      <c r="F5860" t="s">
        <v>43</v>
      </c>
      <c r="G5860" t="s">
        <v>43</v>
      </c>
      <c r="H5860" t="s">
        <v>43</v>
      </c>
      <c r="I5860" t="s">
        <v>3318</v>
      </c>
      <c r="J5860" t="s">
        <v>43</v>
      </c>
      <c r="K5860" t="s">
        <v>43</v>
      </c>
      <c r="L5860" t="s">
        <v>43</v>
      </c>
      <c r="M5860" t="s">
        <v>43</v>
      </c>
      <c r="N5860" t="s">
        <v>45</v>
      </c>
      <c r="O5860" t="s">
        <v>43</v>
      </c>
      <c r="P5860" t="s">
        <v>43</v>
      </c>
      <c r="Q5860" t="s">
        <v>43</v>
      </c>
      <c r="R5860" t="s">
        <v>43</v>
      </c>
      <c r="S5860" t="s">
        <v>43</v>
      </c>
      <c r="T5860" t="s">
        <v>43</v>
      </c>
      <c r="U5860" t="s">
        <v>43</v>
      </c>
      <c r="V5860" t="s">
        <v>43</v>
      </c>
      <c r="W5860" t="s">
        <v>43</v>
      </c>
      <c r="X5860" t="s">
        <v>43</v>
      </c>
      <c r="Y5860" t="s">
        <v>43</v>
      </c>
      <c r="Z5860" t="s">
        <v>43</v>
      </c>
      <c r="AA5860" t="s">
        <v>43</v>
      </c>
      <c r="AB5860" t="s">
        <v>43</v>
      </c>
      <c r="AC5860" t="s">
        <v>43</v>
      </c>
      <c r="AD5860" t="s">
        <v>43</v>
      </c>
      <c r="AE5860" t="s">
        <v>43</v>
      </c>
      <c r="AF5860" t="s">
        <v>43</v>
      </c>
      <c r="AG5860" t="s">
        <v>43</v>
      </c>
      <c r="AH5860" t="s">
        <v>43</v>
      </c>
      <c r="AI5860" t="s">
        <v>43</v>
      </c>
      <c r="AJ5860" t="s">
        <v>43</v>
      </c>
      <c r="AK5860" t="s">
        <v>43</v>
      </c>
      <c r="AL5860" t="s">
        <v>43</v>
      </c>
      <c r="AM5860" t="s">
        <v>43</v>
      </c>
      <c r="AN5860" t="str">
        <f>HYPERLINK("https://www.google.com/maps?q=10.83316612,79.84615326","Open Location")</f>
        <v>Open Location</v>
      </c>
    </row>
    <row r="5861" spans="1:40" x14ac:dyDescent="0.3">
      <c r="A5861" s="1">
        <v>46210.320949074077</v>
      </c>
      <c r="B5861" t="s">
        <v>40</v>
      </c>
      <c r="C5861" t="s">
        <v>41</v>
      </c>
      <c r="D5861" s="1">
        <v>46210.323819444442</v>
      </c>
      <c r="E5861" t="s">
        <v>42</v>
      </c>
      <c r="F5861" t="s">
        <v>43</v>
      </c>
      <c r="G5861" t="s">
        <v>43</v>
      </c>
      <c r="H5861" t="s">
        <v>43</v>
      </c>
      <c r="I5861" t="s">
        <v>3319</v>
      </c>
      <c r="J5861" t="s">
        <v>43</v>
      </c>
      <c r="K5861" t="s">
        <v>43</v>
      </c>
      <c r="L5861" t="s">
        <v>43</v>
      </c>
      <c r="M5861" t="s">
        <v>43</v>
      </c>
      <c r="N5861" t="s">
        <v>45</v>
      </c>
      <c r="O5861" t="s">
        <v>43</v>
      </c>
      <c r="P5861" t="s">
        <v>43</v>
      </c>
      <c r="Q5861" t="s">
        <v>43</v>
      </c>
      <c r="R5861" t="s">
        <v>43</v>
      </c>
      <c r="S5861" t="s">
        <v>43</v>
      </c>
      <c r="T5861" t="s">
        <v>43</v>
      </c>
      <c r="U5861" t="s">
        <v>43</v>
      </c>
      <c r="V5861" t="s">
        <v>43</v>
      </c>
      <c r="W5861" t="s">
        <v>43</v>
      </c>
      <c r="X5861" t="s">
        <v>43</v>
      </c>
      <c r="Y5861" t="s">
        <v>43</v>
      </c>
      <c r="Z5861" t="s">
        <v>43</v>
      </c>
      <c r="AA5861" t="s">
        <v>43</v>
      </c>
      <c r="AB5861" t="s">
        <v>43</v>
      </c>
      <c r="AC5861" t="s">
        <v>43</v>
      </c>
      <c r="AD5861" t="s">
        <v>43</v>
      </c>
      <c r="AE5861" t="s">
        <v>43</v>
      </c>
      <c r="AF5861" t="s">
        <v>43</v>
      </c>
      <c r="AG5861" t="s">
        <v>43</v>
      </c>
      <c r="AH5861" t="s">
        <v>43</v>
      </c>
      <c r="AI5861" t="s">
        <v>43</v>
      </c>
      <c r="AJ5861" t="s">
        <v>43</v>
      </c>
      <c r="AK5861" t="s">
        <v>43</v>
      </c>
      <c r="AL5861" t="s">
        <v>43</v>
      </c>
      <c r="AM5861" t="s">
        <v>43</v>
      </c>
      <c r="AN5861" t="str">
        <f>HYPERLINK("https://www.google.com/maps?q=10.83316422,79.84615326","Open Location")</f>
        <v>Open Location</v>
      </c>
    </row>
    <row r="5862" spans="1:40" x14ac:dyDescent="0.3">
      <c r="A5862" s="1">
        <v>46210.320833333331</v>
      </c>
      <c r="B5862" t="s">
        <v>40</v>
      </c>
      <c r="C5862" t="s">
        <v>41</v>
      </c>
      <c r="D5862" s="1">
        <v>46210.323831018519</v>
      </c>
      <c r="E5862" t="s">
        <v>42</v>
      </c>
      <c r="F5862" t="s">
        <v>43</v>
      </c>
      <c r="G5862" t="s">
        <v>43</v>
      </c>
      <c r="H5862" t="s">
        <v>43</v>
      </c>
      <c r="I5862" t="s">
        <v>3304</v>
      </c>
      <c r="J5862" t="s">
        <v>43</v>
      </c>
      <c r="K5862" t="s">
        <v>43</v>
      </c>
      <c r="L5862" t="s">
        <v>43</v>
      </c>
      <c r="M5862" t="s">
        <v>43</v>
      </c>
      <c r="N5862" t="s">
        <v>45</v>
      </c>
      <c r="O5862" t="s">
        <v>43</v>
      </c>
      <c r="P5862" t="s">
        <v>43</v>
      </c>
      <c r="Q5862" t="s">
        <v>43</v>
      </c>
      <c r="R5862" t="s">
        <v>43</v>
      </c>
      <c r="S5862" t="s">
        <v>43</v>
      </c>
      <c r="T5862" t="s">
        <v>43</v>
      </c>
      <c r="U5862" t="s">
        <v>43</v>
      </c>
      <c r="V5862" t="s">
        <v>43</v>
      </c>
      <c r="W5862" t="s">
        <v>43</v>
      </c>
      <c r="X5862" t="s">
        <v>43</v>
      </c>
      <c r="Y5862" t="s">
        <v>43</v>
      </c>
      <c r="Z5862" t="s">
        <v>43</v>
      </c>
      <c r="AA5862" t="s">
        <v>43</v>
      </c>
      <c r="AB5862" t="s">
        <v>43</v>
      </c>
      <c r="AC5862" t="s">
        <v>43</v>
      </c>
      <c r="AD5862" t="s">
        <v>43</v>
      </c>
      <c r="AE5862" t="s">
        <v>43</v>
      </c>
      <c r="AF5862" t="s">
        <v>43</v>
      </c>
      <c r="AG5862" t="s">
        <v>43</v>
      </c>
      <c r="AH5862" t="s">
        <v>43</v>
      </c>
      <c r="AI5862" t="s">
        <v>43</v>
      </c>
      <c r="AJ5862" t="s">
        <v>43</v>
      </c>
      <c r="AK5862" t="s">
        <v>43</v>
      </c>
      <c r="AL5862" t="s">
        <v>43</v>
      </c>
      <c r="AM5862" t="s">
        <v>43</v>
      </c>
      <c r="AN5862" t="str">
        <f>HYPERLINK("https://www.google.com/maps?q=10.83316422,79.84614563","Open Location")</f>
        <v>Open Location</v>
      </c>
    </row>
    <row r="5863" spans="1:40" x14ac:dyDescent="0.3">
      <c r="A5863" s="1">
        <v>46210.320717592593</v>
      </c>
      <c r="B5863" t="s">
        <v>40</v>
      </c>
      <c r="C5863" t="s">
        <v>41</v>
      </c>
      <c r="D5863" s="1">
        <v>46210.323495370372</v>
      </c>
      <c r="E5863" t="s">
        <v>42</v>
      </c>
      <c r="F5863" t="s">
        <v>43</v>
      </c>
      <c r="G5863" t="s">
        <v>43</v>
      </c>
      <c r="H5863" t="s">
        <v>43</v>
      </c>
      <c r="I5863" t="s">
        <v>3320</v>
      </c>
      <c r="J5863" t="s">
        <v>43</v>
      </c>
      <c r="K5863" t="s">
        <v>43</v>
      </c>
      <c r="L5863" t="s">
        <v>43</v>
      </c>
      <c r="M5863" t="s">
        <v>43</v>
      </c>
      <c r="N5863" t="s">
        <v>45</v>
      </c>
      <c r="O5863" t="s">
        <v>43</v>
      </c>
      <c r="P5863" t="s">
        <v>43</v>
      </c>
      <c r="Q5863" t="s">
        <v>43</v>
      </c>
      <c r="R5863" t="s">
        <v>43</v>
      </c>
      <c r="S5863" t="s">
        <v>43</v>
      </c>
      <c r="T5863" t="s">
        <v>43</v>
      </c>
      <c r="U5863" t="s">
        <v>43</v>
      </c>
      <c r="V5863" t="s">
        <v>43</v>
      </c>
      <c r="W5863" t="s">
        <v>43</v>
      </c>
      <c r="X5863" t="s">
        <v>43</v>
      </c>
      <c r="Y5863" t="s">
        <v>43</v>
      </c>
      <c r="Z5863" t="s">
        <v>43</v>
      </c>
      <c r="AA5863" t="s">
        <v>43</v>
      </c>
      <c r="AB5863" t="s">
        <v>43</v>
      </c>
      <c r="AC5863" t="s">
        <v>43</v>
      </c>
      <c r="AD5863" t="s">
        <v>43</v>
      </c>
      <c r="AE5863" t="s">
        <v>43</v>
      </c>
      <c r="AF5863" t="s">
        <v>43</v>
      </c>
      <c r="AG5863" t="s">
        <v>43</v>
      </c>
      <c r="AH5863" t="s">
        <v>43</v>
      </c>
      <c r="AI5863" t="s">
        <v>43</v>
      </c>
      <c r="AJ5863" t="s">
        <v>43</v>
      </c>
      <c r="AK5863" t="s">
        <v>43</v>
      </c>
      <c r="AL5863" t="s">
        <v>43</v>
      </c>
      <c r="AM5863" t="s">
        <v>43</v>
      </c>
      <c r="AN5863" t="str">
        <f>HYPERLINK("https://www.google.com/maps?q=10.83316326,79.84614563","Open Location")</f>
        <v>Open Location</v>
      </c>
    </row>
    <row r="5864" spans="1:40" x14ac:dyDescent="0.3">
      <c r="A5864" s="1">
        <v>46210.320601851854</v>
      </c>
      <c r="B5864" t="s">
        <v>40</v>
      </c>
      <c r="C5864" t="s">
        <v>41</v>
      </c>
      <c r="D5864" s="1">
        <v>46210.323611111111</v>
      </c>
      <c r="E5864" t="s">
        <v>42</v>
      </c>
      <c r="F5864" t="s">
        <v>43</v>
      </c>
      <c r="G5864" t="s">
        <v>43</v>
      </c>
      <c r="H5864" t="s">
        <v>43</v>
      </c>
      <c r="I5864" t="s">
        <v>43</v>
      </c>
      <c r="J5864" t="s">
        <v>43</v>
      </c>
      <c r="K5864" t="s">
        <v>43</v>
      </c>
      <c r="L5864" t="s">
        <v>43</v>
      </c>
      <c r="M5864" t="s">
        <v>43</v>
      </c>
      <c r="N5864" t="s">
        <v>45</v>
      </c>
      <c r="O5864" t="s">
        <v>43</v>
      </c>
      <c r="P5864" t="s">
        <v>43</v>
      </c>
      <c r="Q5864" t="s">
        <v>43</v>
      </c>
      <c r="R5864" t="s">
        <v>43</v>
      </c>
      <c r="S5864" t="s">
        <v>43</v>
      </c>
      <c r="T5864" t="s">
        <v>43</v>
      </c>
      <c r="U5864" t="s">
        <v>43</v>
      </c>
      <c r="V5864" t="s">
        <v>43</v>
      </c>
      <c r="W5864" t="s">
        <v>43</v>
      </c>
      <c r="X5864" t="s">
        <v>43</v>
      </c>
      <c r="Y5864" t="s">
        <v>43</v>
      </c>
      <c r="Z5864" t="s">
        <v>43</v>
      </c>
      <c r="AA5864" t="s">
        <v>43</v>
      </c>
      <c r="AB5864" t="s">
        <v>43</v>
      </c>
      <c r="AC5864" t="s">
        <v>43</v>
      </c>
      <c r="AD5864" t="s">
        <v>43</v>
      </c>
      <c r="AE5864" t="s">
        <v>43</v>
      </c>
      <c r="AF5864" t="s">
        <v>43</v>
      </c>
      <c r="AG5864" t="s">
        <v>43</v>
      </c>
      <c r="AH5864" t="s">
        <v>43</v>
      </c>
      <c r="AI5864" t="s">
        <v>43</v>
      </c>
      <c r="AJ5864" t="s">
        <v>43</v>
      </c>
      <c r="AK5864" t="s">
        <v>43</v>
      </c>
      <c r="AL5864" t="s">
        <v>43</v>
      </c>
      <c r="AM5864" t="s">
        <v>43</v>
      </c>
      <c r="AN5864" t="s">
        <v>43</v>
      </c>
    </row>
    <row r="5865" spans="1:40" x14ac:dyDescent="0.3">
      <c r="A5865" s="1">
        <v>46210.320486111108</v>
      </c>
      <c r="B5865" t="s">
        <v>40</v>
      </c>
      <c r="C5865" t="s">
        <v>41</v>
      </c>
      <c r="D5865" s="1">
        <v>46210.32340277778</v>
      </c>
      <c r="E5865" t="s">
        <v>42</v>
      </c>
      <c r="F5865" t="s">
        <v>43</v>
      </c>
      <c r="G5865" t="s">
        <v>43</v>
      </c>
      <c r="H5865" t="s">
        <v>43</v>
      </c>
      <c r="I5865" t="s">
        <v>3321</v>
      </c>
      <c r="J5865" t="s">
        <v>43</v>
      </c>
      <c r="K5865" t="s">
        <v>43</v>
      </c>
      <c r="L5865" t="s">
        <v>43</v>
      </c>
      <c r="M5865" t="s">
        <v>43</v>
      </c>
      <c r="N5865" t="s">
        <v>45</v>
      </c>
      <c r="O5865" t="s">
        <v>43</v>
      </c>
      <c r="P5865" t="s">
        <v>43</v>
      </c>
      <c r="Q5865" t="s">
        <v>43</v>
      </c>
      <c r="R5865" t="s">
        <v>43</v>
      </c>
      <c r="S5865" t="s">
        <v>43</v>
      </c>
      <c r="T5865" t="s">
        <v>43</v>
      </c>
      <c r="U5865" t="s">
        <v>43</v>
      </c>
      <c r="V5865" t="s">
        <v>43</v>
      </c>
      <c r="W5865" t="s">
        <v>43</v>
      </c>
      <c r="X5865" t="s">
        <v>43</v>
      </c>
      <c r="Y5865" t="s">
        <v>43</v>
      </c>
      <c r="Z5865" t="s">
        <v>43</v>
      </c>
      <c r="AA5865" t="s">
        <v>43</v>
      </c>
      <c r="AB5865" t="s">
        <v>43</v>
      </c>
      <c r="AC5865" t="s">
        <v>43</v>
      </c>
      <c r="AD5865" t="s">
        <v>43</v>
      </c>
      <c r="AE5865" t="s">
        <v>43</v>
      </c>
      <c r="AF5865" t="s">
        <v>43</v>
      </c>
      <c r="AG5865" t="s">
        <v>43</v>
      </c>
      <c r="AH5865" t="s">
        <v>43</v>
      </c>
      <c r="AI5865" t="s">
        <v>43</v>
      </c>
      <c r="AJ5865" t="s">
        <v>43</v>
      </c>
      <c r="AK5865" t="s">
        <v>43</v>
      </c>
      <c r="AL5865" t="s">
        <v>43</v>
      </c>
      <c r="AM5865" t="s">
        <v>43</v>
      </c>
      <c r="AN5865" t="str">
        <f>HYPERLINK("https://www.google.com/maps?q=10.83316231,79.84614563","Open Location")</f>
        <v>Open Location</v>
      </c>
    </row>
    <row r="5866" spans="1:40" x14ac:dyDescent="0.3">
      <c r="A5866" s="1">
        <v>46210.320370370369</v>
      </c>
      <c r="B5866" t="s">
        <v>40</v>
      </c>
      <c r="C5866" t="s">
        <v>41</v>
      </c>
      <c r="D5866" s="1">
        <v>46210.323252314818</v>
      </c>
      <c r="E5866" t="s">
        <v>42</v>
      </c>
      <c r="F5866" t="s">
        <v>43</v>
      </c>
      <c r="G5866" t="s">
        <v>43</v>
      </c>
      <c r="H5866" t="s">
        <v>43</v>
      </c>
      <c r="I5866" t="s">
        <v>3321</v>
      </c>
      <c r="J5866" t="s">
        <v>43</v>
      </c>
      <c r="K5866" t="s">
        <v>43</v>
      </c>
      <c r="L5866" t="s">
        <v>43</v>
      </c>
      <c r="M5866" t="s">
        <v>43</v>
      </c>
      <c r="N5866" t="s">
        <v>45</v>
      </c>
      <c r="O5866" t="s">
        <v>43</v>
      </c>
      <c r="P5866" t="s">
        <v>43</v>
      </c>
      <c r="Q5866" t="s">
        <v>43</v>
      </c>
      <c r="R5866" t="s">
        <v>43</v>
      </c>
      <c r="S5866" t="s">
        <v>43</v>
      </c>
      <c r="T5866" t="s">
        <v>43</v>
      </c>
      <c r="U5866" t="s">
        <v>43</v>
      </c>
      <c r="V5866" t="s">
        <v>43</v>
      </c>
      <c r="W5866" t="s">
        <v>43</v>
      </c>
      <c r="X5866" t="s">
        <v>43</v>
      </c>
      <c r="Y5866" t="s">
        <v>43</v>
      </c>
      <c r="Z5866" t="s">
        <v>43</v>
      </c>
      <c r="AA5866" t="s">
        <v>43</v>
      </c>
      <c r="AB5866" t="s">
        <v>43</v>
      </c>
      <c r="AC5866" t="s">
        <v>43</v>
      </c>
      <c r="AD5866" t="s">
        <v>43</v>
      </c>
      <c r="AE5866" t="s">
        <v>43</v>
      </c>
      <c r="AF5866" t="s">
        <v>43</v>
      </c>
      <c r="AG5866" t="s">
        <v>43</v>
      </c>
      <c r="AH5866" t="s">
        <v>43</v>
      </c>
      <c r="AI5866" t="s">
        <v>43</v>
      </c>
      <c r="AJ5866" t="s">
        <v>43</v>
      </c>
      <c r="AK5866" t="s">
        <v>43</v>
      </c>
      <c r="AL5866" t="s">
        <v>43</v>
      </c>
      <c r="AM5866" t="s">
        <v>43</v>
      </c>
      <c r="AN5866" t="str">
        <f>HYPERLINK("https://www.google.com/maps?q=10.83316231,79.84614563","Open Location")</f>
        <v>Open Location</v>
      </c>
    </row>
    <row r="5867" spans="1:40" x14ac:dyDescent="0.3">
      <c r="A5867" s="1">
        <v>46210.320254629631</v>
      </c>
      <c r="B5867" t="s">
        <v>40</v>
      </c>
      <c r="C5867" t="s">
        <v>41</v>
      </c>
      <c r="D5867" s="1">
        <v>46210.32309027778</v>
      </c>
      <c r="E5867" t="s">
        <v>42</v>
      </c>
      <c r="F5867" t="s">
        <v>43</v>
      </c>
      <c r="G5867" t="s">
        <v>43</v>
      </c>
      <c r="H5867" t="s">
        <v>43</v>
      </c>
      <c r="I5867" t="s">
        <v>3301</v>
      </c>
      <c r="J5867" t="s">
        <v>43</v>
      </c>
      <c r="K5867" t="s">
        <v>43</v>
      </c>
      <c r="L5867" t="s">
        <v>43</v>
      </c>
      <c r="M5867" t="s">
        <v>43</v>
      </c>
      <c r="N5867" t="s">
        <v>45</v>
      </c>
      <c r="O5867" t="s">
        <v>43</v>
      </c>
      <c r="P5867" t="s">
        <v>43</v>
      </c>
      <c r="Q5867" t="s">
        <v>43</v>
      </c>
      <c r="R5867" t="s">
        <v>43</v>
      </c>
      <c r="S5867" t="s">
        <v>43</v>
      </c>
      <c r="T5867" t="s">
        <v>43</v>
      </c>
      <c r="U5867" t="s">
        <v>43</v>
      </c>
      <c r="V5867" t="s">
        <v>43</v>
      </c>
      <c r="W5867" t="s">
        <v>43</v>
      </c>
      <c r="X5867" t="s">
        <v>43</v>
      </c>
      <c r="Y5867" t="s">
        <v>43</v>
      </c>
      <c r="Z5867" t="s">
        <v>43</v>
      </c>
      <c r="AA5867" t="s">
        <v>43</v>
      </c>
      <c r="AB5867" t="s">
        <v>43</v>
      </c>
      <c r="AC5867" t="s">
        <v>43</v>
      </c>
      <c r="AD5867" t="s">
        <v>43</v>
      </c>
      <c r="AE5867" t="s">
        <v>43</v>
      </c>
      <c r="AF5867" t="s">
        <v>43</v>
      </c>
      <c r="AG5867" t="s">
        <v>43</v>
      </c>
      <c r="AH5867" t="s">
        <v>43</v>
      </c>
      <c r="AI5867" t="s">
        <v>43</v>
      </c>
      <c r="AJ5867" t="s">
        <v>43</v>
      </c>
      <c r="AK5867" t="s">
        <v>43</v>
      </c>
      <c r="AL5867" t="s">
        <v>43</v>
      </c>
      <c r="AM5867" t="s">
        <v>43</v>
      </c>
      <c r="AN5867" t="str">
        <f>HYPERLINK("https://www.google.com/maps?q=10.8331604,79.84615326","Open Location")</f>
        <v>Open Location</v>
      </c>
    </row>
    <row r="5868" spans="1:40" x14ac:dyDescent="0.3">
      <c r="A5868" s="1">
        <v>46210.320138888892</v>
      </c>
      <c r="B5868" t="s">
        <v>40</v>
      </c>
      <c r="C5868" t="s">
        <v>41</v>
      </c>
      <c r="D5868" s="1">
        <v>46210.32309027778</v>
      </c>
      <c r="E5868" t="s">
        <v>42</v>
      </c>
      <c r="F5868" t="s">
        <v>43</v>
      </c>
      <c r="G5868" t="s">
        <v>43</v>
      </c>
      <c r="H5868" t="s">
        <v>43</v>
      </c>
      <c r="I5868" t="s">
        <v>3300</v>
      </c>
      <c r="J5868" t="s">
        <v>43</v>
      </c>
      <c r="K5868" t="s">
        <v>43</v>
      </c>
      <c r="L5868" t="s">
        <v>43</v>
      </c>
      <c r="M5868" t="s">
        <v>43</v>
      </c>
      <c r="N5868" t="s">
        <v>45</v>
      </c>
      <c r="O5868" t="s">
        <v>43</v>
      </c>
      <c r="P5868" t="s">
        <v>43</v>
      </c>
      <c r="Q5868" t="s">
        <v>43</v>
      </c>
      <c r="R5868" t="s">
        <v>43</v>
      </c>
      <c r="S5868" t="s">
        <v>43</v>
      </c>
      <c r="T5868" t="s">
        <v>43</v>
      </c>
      <c r="U5868" t="s">
        <v>43</v>
      </c>
      <c r="V5868" t="s">
        <v>43</v>
      </c>
      <c r="W5868" t="s">
        <v>43</v>
      </c>
      <c r="X5868" t="s">
        <v>43</v>
      </c>
      <c r="Y5868" t="s">
        <v>43</v>
      </c>
      <c r="Z5868" t="s">
        <v>43</v>
      </c>
      <c r="AA5868" t="s">
        <v>43</v>
      </c>
      <c r="AB5868" t="s">
        <v>43</v>
      </c>
      <c r="AC5868" t="s">
        <v>43</v>
      </c>
      <c r="AD5868" t="s">
        <v>43</v>
      </c>
      <c r="AE5868" t="s">
        <v>43</v>
      </c>
      <c r="AF5868" t="s">
        <v>43</v>
      </c>
      <c r="AG5868" t="s">
        <v>43</v>
      </c>
      <c r="AH5868" t="s">
        <v>43</v>
      </c>
      <c r="AI5868" t="s">
        <v>43</v>
      </c>
      <c r="AJ5868" t="s">
        <v>43</v>
      </c>
      <c r="AK5868" t="s">
        <v>43</v>
      </c>
      <c r="AL5868" t="s">
        <v>43</v>
      </c>
      <c r="AM5868" t="s">
        <v>43</v>
      </c>
      <c r="AN5868" t="str">
        <f>HYPERLINK("https://www.google.com/maps?q=10.83316231,79.84615326","Open Location")</f>
        <v>Open Location</v>
      </c>
    </row>
    <row r="5869" spans="1:40" x14ac:dyDescent="0.3">
      <c r="A5869" s="1">
        <v>46210.320023148146</v>
      </c>
      <c r="B5869" t="s">
        <v>40</v>
      </c>
      <c r="C5869" t="s">
        <v>41</v>
      </c>
      <c r="D5869" s="1">
        <v>46210.322974537034</v>
      </c>
      <c r="E5869" t="s">
        <v>42</v>
      </c>
      <c r="F5869" t="s">
        <v>43</v>
      </c>
      <c r="G5869" t="s">
        <v>43</v>
      </c>
      <c r="H5869" t="s">
        <v>43</v>
      </c>
      <c r="I5869" t="s">
        <v>3322</v>
      </c>
      <c r="J5869" t="s">
        <v>43</v>
      </c>
      <c r="K5869" t="s">
        <v>43</v>
      </c>
      <c r="L5869" t="s">
        <v>43</v>
      </c>
      <c r="M5869" t="s">
        <v>43</v>
      </c>
      <c r="N5869" t="s">
        <v>45</v>
      </c>
      <c r="O5869" t="s">
        <v>43</v>
      </c>
      <c r="P5869" t="s">
        <v>43</v>
      </c>
      <c r="Q5869" t="s">
        <v>43</v>
      </c>
      <c r="R5869" t="s">
        <v>43</v>
      </c>
      <c r="S5869" t="s">
        <v>43</v>
      </c>
      <c r="T5869" t="s">
        <v>43</v>
      </c>
      <c r="U5869" t="s">
        <v>43</v>
      </c>
      <c r="V5869" t="s">
        <v>43</v>
      </c>
      <c r="W5869" t="s">
        <v>43</v>
      </c>
      <c r="X5869" t="s">
        <v>43</v>
      </c>
      <c r="Y5869" t="s">
        <v>43</v>
      </c>
      <c r="Z5869" t="s">
        <v>43</v>
      </c>
      <c r="AA5869" t="s">
        <v>43</v>
      </c>
      <c r="AB5869" t="s">
        <v>43</v>
      </c>
      <c r="AC5869" t="s">
        <v>43</v>
      </c>
      <c r="AD5869" t="s">
        <v>43</v>
      </c>
      <c r="AE5869" t="s">
        <v>43</v>
      </c>
      <c r="AF5869" t="s">
        <v>43</v>
      </c>
      <c r="AG5869" t="s">
        <v>43</v>
      </c>
      <c r="AH5869" t="s">
        <v>43</v>
      </c>
      <c r="AI5869" t="s">
        <v>43</v>
      </c>
      <c r="AJ5869" t="s">
        <v>43</v>
      </c>
      <c r="AK5869" t="s">
        <v>43</v>
      </c>
      <c r="AL5869" t="s">
        <v>43</v>
      </c>
      <c r="AM5869" t="s">
        <v>43</v>
      </c>
      <c r="AN5869" t="str">
        <f>HYPERLINK("https://www.google.com/maps?q=10.83316326,79.84615326","Open Location")</f>
        <v>Open Location</v>
      </c>
    </row>
    <row r="5870" spans="1:40" x14ac:dyDescent="0.3">
      <c r="A5870" s="1">
        <v>46210.319907407407</v>
      </c>
      <c r="B5870" t="s">
        <v>40</v>
      </c>
      <c r="C5870" t="s">
        <v>41</v>
      </c>
      <c r="D5870" s="1">
        <v>46210.322997685187</v>
      </c>
      <c r="E5870" t="s">
        <v>42</v>
      </c>
      <c r="F5870" t="s">
        <v>43</v>
      </c>
      <c r="G5870" t="s">
        <v>43</v>
      </c>
      <c r="H5870" t="s">
        <v>43</v>
      </c>
      <c r="I5870" t="s">
        <v>43</v>
      </c>
      <c r="J5870" t="s">
        <v>43</v>
      </c>
      <c r="K5870" t="s">
        <v>43</v>
      </c>
      <c r="L5870" t="s">
        <v>43</v>
      </c>
      <c r="M5870" t="s">
        <v>43</v>
      </c>
      <c r="N5870" t="s">
        <v>45</v>
      </c>
      <c r="O5870" t="s">
        <v>43</v>
      </c>
      <c r="P5870" t="s">
        <v>43</v>
      </c>
      <c r="Q5870" t="s">
        <v>43</v>
      </c>
      <c r="R5870" t="s">
        <v>43</v>
      </c>
      <c r="S5870" t="s">
        <v>43</v>
      </c>
      <c r="T5870" t="s">
        <v>43</v>
      </c>
      <c r="U5870" t="s">
        <v>43</v>
      </c>
      <c r="V5870" t="s">
        <v>43</v>
      </c>
      <c r="W5870" t="s">
        <v>43</v>
      </c>
      <c r="X5870" t="s">
        <v>43</v>
      </c>
      <c r="Y5870" t="s">
        <v>43</v>
      </c>
      <c r="Z5870" t="s">
        <v>43</v>
      </c>
      <c r="AA5870" t="s">
        <v>43</v>
      </c>
      <c r="AB5870" t="s">
        <v>43</v>
      </c>
      <c r="AC5870" t="s">
        <v>43</v>
      </c>
      <c r="AD5870" t="s">
        <v>43</v>
      </c>
      <c r="AE5870" t="s">
        <v>43</v>
      </c>
      <c r="AF5870" t="s">
        <v>43</v>
      </c>
      <c r="AG5870" t="s">
        <v>43</v>
      </c>
      <c r="AH5870" t="s">
        <v>43</v>
      </c>
      <c r="AI5870" t="s">
        <v>43</v>
      </c>
      <c r="AJ5870" t="s">
        <v>43</v>
      </c>
      <c r="AK5870" t="s">
        <v>43</v>
      </c>
      <c r="AL5870" t="s">
        <v>43</v>
      </c>
      <c r="AM5870" t="s">
        <v>43</v>
      </c>
      <c r="AN5870" t="s">
        <v>43</v>
      </c>
    </row>
    <row r="5871" spans="1:40" x14ac:dyDescent="0.3">
      <c r="A5871" s="1">
        <v>46210.319791666669</v>
      </c>
      <c r="B5871" t="s">
        <v>40</v>
      </c>
      <c r="C5871" t="s">
        <v>41</v>
      </c>
      <c r="D5871" s="1">
        <v>46210.322615740741</v>
      </c>
      <c r="E5871" t="s">
        <v>42</v>
      </c>
      <c r="F5871" t="s">
        <v>43</v>
      </c>
      <c r="G5871" t="s">
        <v>43</v>
      </c>
      <c r="H5871" t="s">
        <v>43</v>
      </c>
      <c r="I5871" t="s">
        <v>3323</v>
      </c>
      <c r="J5871" t="s">
        <v>43</v>
      </c>
      <c r="K5871" t="s">
        <v>43</v>
      </c>
      <c r="L5871" t="s">
        <v>43</v>
      </c>
      <c r="M5871" t="s">
        <v>43</v>
      </c>
      <c r="N5871" t="s">
        <v>45</v>
      </c>
      <c r="O5871" t="s">
        <v>43</v>
      </c>
      <c r="P5871" t="s">
        <v>43</v>
      </c>
      <c r="Q5871" t="s">
        <v>43</v>
      </c>
      <c r="R5871" t="s">
        <v>43</v>
      </c>
      <c r="S5871" t="s">
        <v>43</v>
      </c>
      <c r="T5871" t="s">
        <v>43</v>
      </c>
      <c r="U5871" t="s">
        <v>43</v>
      </c>
      <c r="V5871" t="s">
        <v>43</v>
      </c>
      <c r="W5871" t="s">
        <v>43</v>
      </c>
      <c r="X5871" t="s">
        <v>43</v>
      </c>
      <c r="Y5871" t="s">
        <v>43</v>
      </c>
      <c r="Z5871" t="s">
        <v>43</v>
      </c>
      <c r="AA5871" t="s">
        <v>43</v>
      </c>
      <c r="AB5871" t="s">
        <v>43</v>
      </c>
      <c r="AC5871" t="s">
        <v>43</v>
      </c>
      <c r="AD5871" t="s">
        <v>43</v>
      </c>
      <c r="AE5871" t="s">
        <v>43</v>
      </c>
      <c r="AF5871" t="s">
        <v>43</v>
      </c>
      <c r="AG5871" t="s">
        <v>43</v>
      </c>
      <c r="AH5871" t="s">
        <v>43</v>
      </c>
      <c r="AI5871" t="s">
        <v>43</v>
      </c>
      <c r="AJ5871" t="s">
        <v>43</v>
      </c>
      <c r="AK5871" t="s">
        <v>43</v>
      </c>
      <c r="AL5871" t="s">
        <v>43</v>
      </c>
      <c r="AM5871" t="s">
        <v>43</v>
      </c>
      <c r="AN5871" t="str">
        <f>HYPERLINK("https://www.google.com/maps?q=10.83316517,79.84615326","Open Location")</f>
        <v>Open Location</v>
      </c>
    </row>
    <row r="5872" spans="1:40" x14ac:dyDescent="0.3">
      <c r="A5872" s="1">
        <v>46210.319675925923</v>
      </c>
      <c r="B5872" t="s">
        <v>40</v>
      </c>
      <c r="C5872" t="s">
        <v>41</v>
      </c>
      <c r="D5872" s="1">
        <v>46210.322581018518</v>
      </c>
      <c r="E5872" t="s">
        <v>42</v>
      </c>
      <c r="F5872" t="s">
        <v>43</v>
      </c>
      <c r="G5872" t="s">
        <v>43</v>
      </c>
      <c r="H5872" t="s">
        <v>43</v>
      </c>
      <c r="I5872" t="s">
        <v>3300</v>
      </c>
      <c r="J5872" t="s">
        <v>43</v>
      </c>
      <c r="K5872" t="s">
        <v>43</v>
      </c>
      <c r="L5872" t="s">
        <v>43</v>
      </c>
      <c r="M5872" t="s">
        <v>43</v>
      </c>
      <c r="N5872" t="s">
        <v>45</v>
      </c>
      <c r="O5872" t="s">
        <v>43</v>
      </c>
      <c r="P5872" t="s">
        <v>43</v>
      </c>
      <c r="Q5872" t="s">
        <v>43</v>
      </c>
      <c r="R5872" t="s">
        <v>43</v>
      </c>
      <c r="S5872" t="s">
        <v>43</v>
      </c>
      <c r="T5872" t="s">
        <v>43</v>
      </c>
      <c r="U5872" t="s">
        <v>43</v>
      </c>
      <c r="V5872" t="s">
        <v>43</v>
      </c>
      <c r="W5872" t="s">
        <v>43</v>
      </c>
      <c r="X5872" t="s">
        <v>43</v>
      </c>
      <c r="Y5872" t="s">
        <v>43</v>
      </c>
      <c r="Z5872" t="s">
        <v>43</v>
      </c>
      <c r="AA5872" t="s">
        <v>43</v>
      </c>
      <c r="AB5872" t="s">
        <v>43</v>
      </c>
      <c r="AC5872" t="s">
        <v>43</v>
      </c>
      <c r="AD5872" t="s">
        <v>43</v>
      </c>
      <c r="AE5872" t="s">
        <v>43</v>
      </c>
      <c r="AF5872" t="s">
        <v>43</v>
      </c>
      <c r="AG5872" t="s">
        <v>43</v>
      </c>
      <c r="AH5872" t="s">
        <v>43</v>
      </c>
      <c r="AI5872" t="s">
        <v>43</v>
      </c>
      <c r="AJ5872" t="s">
        <v>43</v>
      </c>
      <c r="AK5872" t="s">
        <v>43</v>
      </c>
      <c r="AL5872" t="s">
        <v>43</v>
      </c>
      <c r="AM5872" t="s">
        <v>43</v>
      </c>
      <c r="AN5872" t="str">
        <f>HYPERLINK("https://www.google.com/maps?q=10.83316231,79.84615326","Open Location")</f>
        <v>Open Location</v>
      </c>
    </row>
    <row r="5873" spans="1:40" x14ac:dyDescent="0.3">
      <c r="A5873" s="1">
        <v>46210.319560185184</v>
      </c>
      <c r="B5873" t="s">
        <v>40</v>
      </c>
      <c r="C5873" t="s">
        <v>41</v>
      </c>
      <c r="D5873" s="1">
        <v>46210.322523148148</v>
      </c>
      <c r="E5873" t="s">
        <v>42</v>
      </c>
      <c r="F5873" t="s">
        <v>43</v>
      </c>
      <c r="G5873" t="s">
        <v>43</v>
      </c>
      <c r="H5873" t="s">
        <v>43</v>
      </c>
      <c r="I5873" t="s">
        <v>3324</v>
      </c>
      <c r="J5873" t="s">
        <v>43</v>
      </c>
      <c r="K5873" t="s">
        <v>43</v>
      </c>
      <c r="L5873" t="s">
        <v>43</v>
      </c>
      <c r="M5873" t="s">
        <v>43</v>
      </c>
      <c r="N5873" t="s">
        <v>45</v>
      </c>
      <c r="O5873" t="s">
        <v>43</v>
      </c>
      <c r="P5873" t="s">
        <v>43</v>
      </c>
      <c r="Q5873" t="s">
        <v>43</v>
      </c>
      <c r="R5873" t="s">
        <v>43</v>
      </c>
      <c r="S5873" t="s">
        <v>43</v>
      </c>
      <c r="T5873" t="s">
        <v>43</v>
      </c>
      <c r="U5873" t="s">
        <v>43</v>
      </c>
      <c r="V5873" t="s">
        <v>43</v>
      </c>
      <c r="W5873" t="s">
        <v>43</v>
      </c>
      <c r="X5873" t="s">
        <v>43</v>
      </c>
      <c r="Y5873" t="s">
        <v>43</v>
      </c>
      <c r="Z5873" t="s">
        <v>43</v>
      </c>
      <c r="AA5873" t="s">
        <v>43</v>
      </c>
      <c r="AB5873" t="s">
        <v>43</v>
      </c>
      <c r="AC5873" t="s">
        <v>43</v>
      </c>
      <c r="AD5873" t="s">
        <v>43</v>
      </c>
      <c r="AE5873" t="s">
        <v>43</v>
      </c>
      <c r="AF5873" t="s">
        <v>43</v>
      </c>
      <c r="AG5873" t="s">
        <v>43</v>
      </c>
      <c r="AH5873" t="s">
        <v>43</v>
      </c>
      <c r="AI5873" t="s">
        <v>43</v>
      </c>
      <c r="AJ5873" t="s">
        <v>43</v>
      </c>
      <c r="AK5873" t="s">
        <v>43</v>
      </c>
      <c r="AL5873" t="s">
        <v>43</v>
      </c>
      <c r="AM5873" t="s">
        <v>43</v>
      </c>
      <c r="AN5873" t="str">
        <f>HYPERLINK("https://www.google.com/maps?q=10.83315659,79.84615326","Open Location")</f>
        <v>Open Location</v>
      </c>
    </row>
    <row r="5874" spans="1:40" x14ac:dyDescent="0.3">
      <c r="A5874" s="1">
        <v>46210.319444444445</v>
      </c>
      <c r="B5874" t="s">
        <v>40</v>
      </c>
      <c r="C5874" t="s">
        <v>41</v>
      </c>
      <c r="D5874" s="1">
        <v>46210.322534722225</v>
      </c>
      <c r="E5874" t="s">
        <v>42</v>
      </c>
      <c r="F5874" t="s">
        <v>43</v>
      </c>
      <c r="G5874" t="s">
        <v>43</v>
      </c>
      <c r="H5874" t="s">
        <v>43</v>
      </c>
      <c r="I5874" t="s">
        <v>3325</v>
      </c>
      <c r="J5874" t="s">
        <v>43</v>
      </c>
      <c r="K5874" t="s">
        <v>43</v>
      </c>
      <c r="L5874" t="s">
        <v>43</v>
      </c>
      <c r="M5874" t="s">
        <v>43</v>
      </c>
      <c r="N5874" t="s">
        <v>45</v>
      </c>
      <c r="O5874" t="s">
        <v>43</v>
      </c>
      <c r="P5874" t="s">
        <v>43</v>
      </c>
      <c r="Q5874" t="s">
        <v>43</v>
      </c>
      <c r="R5874" t="s">
        <v>43</v>
      </c>
      <c r="S5874" t="s">
        <v>43</v>
      </c>
      <c r="T5874" t="s">
        <v>43</v>
      </c>
      <c r="U5874" t="s">
        <v>43</v>
      </c>
      <c r="V5874" t="s">
        <v>43</v>
      </c>
      <c r="W5874" t="s">
        <v>43</v>
      </c>
      <c r="X5874" t="s">
        <v>43</v>
      </c>
      <c r="Y5874" t="s">
        <v>43</v>
      </c>
      <c r="Z5874" t="s">
        <v>43</v>
      </c>
      <c r="AA5874" t="s">
        <v>43</v>
      </c>
      <c r="AB5874" t="s">
        <v>43</v>
      </c>
      <c r="AC5874" t="s">
        <v>43</v>
      </c>
      <c r="AD5874" t="s">
        <v>43</v>
      </c>
      <c r="AE5874" t="s">
        <v>43</v>
      </c>
      <c r="AF5874" t="s">
        <v>43</v>
      </c>
      <c r="AG5874" t="s">
        <v>43</v>
      </c>
      <c r="AH5874" t="s">
        <v>43</v>
      </c>
      <c r="AI5874" t="s">
        <v>43</v>
      </c>
      <c r="AJ5874" t="s">
        <v>43</v>
      </c>
      <c r="AK5874" t="s">
        <v>43</v>
      </c>
      <c r="AL5874" t="s">
        <v>43</v>
      </c>
      <c r="AM5874" t="s">
        <v>43</v>
      </c>
      <c r="AN5874" t="str">
        <f>HYPERLINK("https://www.google.com/maps?q=10.83315277,79.84615326","Open Location")</f>
        <v>Open Location</v>
      </c>
    </row>
    <row r="5875" spans="1:40" x14ac:dyDescent="0.3">
      <c r="A5875" s="1">
        <v>46210.319328703707</v>
      </c>
      <c r="B5875" t="s">
        <v>40</v>
      </c>
      <c r="C5875" t="s">
        <v>41</v>
      </c>
      <c r="D5875" s="1">
        <v>46210.322222222225</v>
      </c>
      <c r="E5875" t="s">
        <v>42</v>
      </c>
      <c r="F5875" t="s">
        <v>43</v>
      </c>
      <c r="G5875" t="s">
        <v>43</v>
      </c>
      <c r="H5875" t="s">
        <v>43</v>
      </c>
      <c r="I5875" t="s">
        <v>3326</v>
      </c>
      <c r="J5875" t="s">
        <v>43</v>
      </c>
      <c r="K5875" t="s">
        <v>43</v>
      </c>
      <c r="L5875" t="s">
        <v>43</v>
      </c>
      <c r="M5875" t="s">
        <v>43</v>
      </c>
      <c r="N5875" t="s">
        <v>45</v>
      </c>
      <c r="O5875" t="s">
        <v>43</v>
      </c>
      <c r="P5875" t="s">
        <v>43</v>
      </c>
      <c r="Q5875" t="s">
        <v>43</v>
      </c>
      <c r="R5875" t="s">
        <v>43</v>
      </c>
      <c r="S5875" t="s">
        <v>43</v>
      </c>
      <c r="T5875" t="s">
        <v>43</v>
      </c>
      <c r="U5875" t="s">
        <v>43</v>
      </c>
      <c r="V5875" t="s">
        <v>43</v>
      </c>
      <c r="W5875" t="s">
        <v>43</v>
      </c>
      <c r="X5875" t="s">
        <v>43</v>
      </c>
      <c r="Y5875" t="s">
        <v>43</v>
      </c>
      <c r="Z5875" t="s">
        <v>43</v>
      </c>
      <c r="AA5875" t="s">
        <v>43</v>
      </c>
      <c r="AB5875" t="s">
        <v>43</v>
      </c>
      <c r="AC5875" t="s">
        <v>43</v>
      </c>
      <c r="AD5875" t="s">
        <v>43</v>
      </c>
      <c r="AE5875" t="s">
        <v>43</v>
      </c>
      <c r="AF5875" t="s">
        <v>43</v>
      </c>
      <c r="AG5875" t="s">
        <v>43</v>
      </c>
      <c r="AH5875" t="s">
        <v>43</v>
      </c>
      <c r="AI5875" t="s">
        <v>43</v>
      </c>
      <c r="AJ5875" t="s">
        <v>43</v>
      </c>
      <c r="AK5875" t="s">
        <v>43</v>
      </c>
      <c r="AL5875" t="s">
        <v>43</v>
      </c>
      <c r="AM5875" t="s">
        <v>43</v>
      </c>
      <c r="AN5875" t="str">
        <f>HYPERLINK("https://www.google.com/maps?q=10.83315563,79.84615326","Open Location")</f>
        <v>Open Location</v>
      </c>
    </row>
    <row r="5876" spans="1:40" x14ac:dyDescent="0.3">
      <c r="A5876" s="1">
        <v>46210.319212962961</v>
      </c>
      <c r="B5876" t="s">
        <v>40</v>
      </c>
      <c r="C5876" t="s">
        <v>41</v>
      </c>
      <c r="D5876" s="1">
        <v>46210.322048611109</v>
      </c>
      <c r="E5876" t="s">
        <v>42</v>
      </c>
      <c r="F5876" t="s">
        <v>43</v>
      </c>
      <c r="G5876" t="s">
        <v>43</v>
      </c>
      <c r="H5876" t="s">
        <v>43</v>
      </c>
      <c r="I5876" t="s">
        <v>43</v>
      </c>
      <c r="J5876" t="s">
        <v>43</v>
      </c>
      <c r="K5876" t="s">
        <v>43</v>
      </c>
      <c r="L5876" t="s">
        <v>43</v>
      </c>
      <c r="M5876" t="s">
        <v>43</v>
      </c>
      <c r="N5876" t="s">
        <v>45</v>
      </c>
      <c r="O5876" t="s">
        <v>43</v>
      </c>
      <c r="P5876" t="s">
        <v>43</v>
      </c>
      <c r="Q5876" t="s">
        <v>43</v>
      </c>
      <c r="R5876" t="s">
        <v>43</v>
      </c>
      <c r="S5876" t="s">
        <v>43</v>
      </c>
      <c r="T5876" t="s">
        <v>43</v>
      </c>
      <c r="U5876" t="s">
        <v>43</v>
      </c>
      <c r="V5876" t="s">
        <v>43</v>
      </c>
      <c r="W5876" t="s">
        <v>43</v>
      </c>
      <c r="X5876" t="s">
        <v>43</v>
      </c>
      <c r="Y5876" t="s">
        <v>43</v>
      </c>
      <c r="Z5876" t="s">
        <v>43</v>
      </c>
      <c r="AA5876" t="s">
        <v>43</v>
      </c>
      <c r="AB5876" t="s">
        <v>43</v>
      </c>
      <c r="AC5876" t="s">
        <v>43</v>
      </c>
      <c r="AD5876" t="s">
        <v>43</v>
      </c>
      <c r="AE5876" t="s">
        <v>43</v>
      </c>
      <c r="AF5876" t="s">
        <v>43</v>
      </c>
      <c r="AG5876" t="s">
        <v>43</v>
      </c>
      <c r="AH5876" t="s">
        <v>43</v>
      </c>
      <c r="AI5876" t="s">
        <v>43</v>
      </c>
      <c r="AJ5876" t="s">
        <v>43</v>
      </c>
      <c r="AK5876" t="s">
        <v>43</v>
      </c>
      <c r="AL5876" t="s">
        <v>43</v>
      </c>
      <c r="AM5876" t="s">
        <v>43</v>
      </c>
      <c r="AN5876" t="s">
        <v>43</v>
      </c>
    </row>
    <row r="5877" spans="1:40" x14ac:dyDescent="0.3">
      <c r="A5877" s="1">
        <v>46210.319097222222</v>
      </c>
      <c r="B5877" t="s">
        <v>40</v>
      </c>
      <c r="C5877" t="s">
        <v>41</v>
      </c>
      <c r="D5877" s="1">
        <v>46210.321840277778</v>
      </c>
      <c r="E5877" t="s">
        <v>42</v>
      </c>
      <c r="F5877" t="s">
        <v>43</v>
      </c>
      <c r="G5877" t="s">
        <v>43</v>
      </c>
      <c r="H5877" t="s">
        <v>43</v>
      </c>
      <c r="I5877" t="s">
        <v>3326</v>
      </c>
      <c r="J5877" t="s">
        <v>43</v>
      </c>
      <c r="K5877" t="s">
        <v>43</v>
      </c>
      <c r="L5877" t="s">
        <v>43</v>
      </c>
      <c r="M5877" t="s">
        <v>43</v>
      </c>
      <c r="N5877" t="s">
        <v>45</v>
      </c>
      <c r="O5877" t="s">
        <v>43</v>
      </c>
      <c r="P5877" t="s">
        <v>43</v>
      </c>
      <c r="Q5877" t="s">
        <v>43</v>
      </c>
      <c r="R5877" t="s">
        <v>43</v>
      </c>
      <c r="S5877" t="s">
        <v>43</v>
      </c>
      <c r="T5877" t="s">
        <v>43</v>
      </c>
      <c r="U5877" t="s">
        <v>43</v>
      </c>
      <c r="V5877" t="s">
        <v>43</v>
      </c>
      <c r="W5877" t="s">
        <v>43</v>
      </c>
      <c r="X5877" t="s">
        <v>43</v>
      </c>
      <c r="Y5877" t="s">
        <v>43</v>
      </c>
      <c r="Z5877" t="s">
        <v>43</v>
      </c>
      <c r="AA5877" t="s">
        <v>43</v>
      </c>
      <c r="AB5877" t="s">
        <v>43</v>
      </c>
      <c r="AC5877" t="s">
        <v>43</v>
      </c>
      <c r="AD5877" t="s">
        <v>43</v>
      </c>
      <c r="AE5877" t="s">
        <v>43</v>
      </c>
      <c r="AF5877" t="s">
        <v>43</v>
      </c>
      <c r="AG5877" t="s">
        <v>43</v>
      </c>
      <c r="AH5877" t="s">
        <v>43</v>
      </c>
      <c r="AI5877" t="s">
        <v>43</v>
      </c>
      <c r="AJ5877" t="s">
        <v>43</v>
      </c>
      <c r="AK5877" t="s">
        <v>43</v>
      </c>
      <c r="AL5877" t="s">
        <v>43</v>
      </c>
      <c r="AM5877" t="s">
        <v>43</v>
      </c>
      <c r="AN5877" t="str">
        <f>HYPERLINK("https://www.google.com/maps?q=10.83315563,79.84615326","Open Location")</f>
        <v>Open Location</v>
      </c>
    </row>
    <row r="5878" spans="1:40" x14ac:dyDescent="0.3">
      <c r="A5878" s="1">
        <v>46210.318981481483</v>
      </c>
      <c r="B5878" t="s">
        <v>40</v>
      </c>
      <c r="C5878" t="s">
        <v>41</v>
      </c>
      <c r="D5878" s="1">
        <v>46210.321863425925</v>
      </c>
      <c r="E5878" t="s">
        <v>42</v>
      </c>
      <c r="F5878" t="s">
        <v>43</v>
      </c>
      <c r="G5878" t="s">
        <v>43</v>
      </c>
      <c r="H5878" t="s">
        <v>43</v>
      </c>
      <c r="I5878" t="s">
        <v>3324</v>
      </c>
      <c r="J5878" t="s">
        <v>43</v>
      </c>
      <c r="K5878" t="s">
        <v>43</v>
      </c>
      <c r="L5878" t="s">
        <v>43</v>
      </c>
      <c r="M5878" t="s">
        <v>43</v>
      </c>
      <c r="N5878" t="s">
        <v>45</v>
      </c>
      <c r="O5878" t="s">
        <v>43</v>
      </c>
      <c r="P5878" t="s">
        <v>43</v>
      </c>
      <c r="Q5878" t="s">
        <v>43</v>
      </c>
      <c r="R5878" t="s">
        <v>43</v>
      </c>
      <c r="S5878" t="s">
        <v>43</v>
      </c>
      <c r="T5878" t="s">
        <v>43</v>
      </c>
      <c r="U5878" t="s">
        <v>43</v>
      </c>
      <c r="V5878" t="s">
        <v>43</v>
      </c>
      <c r="W5878" t="s">
        <v>43</v>
      </c>
      <c r="X5878" t="s">
        <v>43</v>
      </c>
      <c r="Y5878" t="s">
        <v>43</v>
      </c>
      <c r="Z5878" t="s">
        <v>43</v>
      </c>
      <c r="AA5878" t="s">
        <v>43</v>
      </c>
      <c r="AB5878" t="s">
        <v>43</v>
      </c>
      <c r="AC5878" t="s">
        <v>43</v>
      </c>
      <c r="AD5878" t="s">
        <v>43</v>
      </c>
      <c r="AE5878" t="s">
        <v>43</v>
      </c>
      <c r="AF5878" t="s">
        <v>43</v>
      </c>
      <c r="AG5878" t="s">
        <v>43</v>
      </c>
      <c r="AH5878" t="s">
        <v>43</v>
      </c>
      <c r="AI5878" t="s">
        <v>43</v>
      </c>
      <c r="AJ5878" t="s">
        <v>43</v>
      </c>
      <c r="AK5878" t="s">
        <v>43</v>
      </c>
      <c r="AL5878" t="s">
        <v>43</v>
      </c>
      <c r="AM5878" t="s">
        <v>43</v>
      </c>
      <c r="AN5878" t="str">
        <f>HYPERLINK("https://www.google.com/maps?q=10.83315659,79.84615326","Open Location")</f>
        <v>Open Location</v>
      </c>
    </row>
    <row r="5879" spans="1:40" x14ac:dyDescent="0.3">
      <c r="A5879" s="1">
        <v>46210.318865740737</v>
      </c>
      <c r="B5879" t="s">
        <v>40</v>
      </c>
      <c r="C5879" t="s">
        <v>41</v>
      </c>
      <c r="D5879" s="1">
        <v>46210.321840277778</v>
      </c>
      <c r="E5879" t="s">
        <v>42</v>
      </c>
      <c r="F5879" t="s">
        <v>43</v>
      </c>
      <c r="G5879" t="s">
        <v>43</v>
      </c>
      <c r="H5879" t="s">
        <v>43</v>
      </c>
      <c r="I5879" t="s">
        <v>3301</v>
      </c>
      <c r="J5879" t="s">
        <v>43</v>
      </c>
      <c r="K5879" t="s">
        <v>43</v>
      </c>
      <c r="L5879" t="s">
        <v>43</v>
      </c>
      <c r="M5879" t="s">
        <v>43</v>
      </c>
      <c r="N5879" t="s">
        <v>45</v>
      </c>
      <c r="O5879" t="s">
        <v>43</v>
      </c>
      <c r="P5879" t="s">
        <v>43</v>
      </c>
      <c r="Q5879" t="s">
        <v>43</v>
      </c>
      <c r="R5879" t="s">
        <v>43</v>
      </c>
      <c r="S5879" t="s">
        <v>43</v>
      </c>
      <c r="T5879" t="s">
        <v>43</v>
      </c>
      <c r="U5879" t="s">
        <v>43</v>
      </c>
      <c r="V5879" t="s">
        <v>43</v>
      </c>
      <c r="W5879" t="s">
        <v>43</v>
      </c>
      <c r="X5879" t="s">
        <v>43</v>
      </c>
      <c r="Y5879" t="s">
        <v>43</v>
      </c>
      <c r="Z5879" t="s">
        <v>43</v>
      </c>
      <c r="AA5879" t="s">
        <v>43</v>
      </c>
      <c r="AB5879" t="s">
        <v>43</v>
      </c>
      <c r="AC5879" t="s">
        <v>43</v>
      </c>
      <c r="AD5879" t="s">
        <v>43</v>
      </c>
      <c r="AE5879" t="s">
        <v>43</v>
      </c>
      <c r="AF5879" t="s">
        <v>43</v>
      </c>
      <c r="AG5879" t="s">
        <v>43</v>
      </c>
      <c r="AH5879" t="s">
        <v>43</v>
      </c>
      <c r="AI5879" t="s">
        <v>43</v>
      </c>
      <c r="AJ5879" t="s">
        <v>43</v>
      </c>
      <c r="AK5879" t="s">
        <v>43</v>
      </c>
      <c r="AL5879" t="s">
        <v>43</v>
      </c>
      <c r="AM5879" t="s">
        <v>43</v>
      </c>
      <c r="AN5879" t="str">
        <f>HYPERLINK("https://www.google.com/maps?q=10.8331604,79.84615326","Open Location")</f>
        <v>Open Location</v>
      </c>
    </row>
    <row r="5880" spans="1:40" x14ac:dyDescent="0.3">
      <c r="A5880" s="1">
        <v>46210.318749999999</v>
      </c>
      <c r="B5880" t="s">
        <v>40</v>
      </c>
      <c r="C5880" t="s">
        <v>41</v>
      </c>
      <c r="D5880" s="1">
        <v>46210.321770833332</v>
      </c>
      <c r="E5880" t="s">
        <v>42</v>
      </c>
      <c r="F5880" t="s">
        <v>43</v>
      </c>
      <c r="G5880" t="s">
        <v>43</v>
      </c>
      <c r="H5880" t="s">
        <v>43</v>
      </c>
      <c r="I5880" t="s">
        <v>3302</v>
      </c>
      <c r="J5880" t="s">
        <v>43</v>
      </c>
      <c r="K5880" t="s">
        <v>43</v>
      </c>
      <c r="L5880" t="s">
        <v>43</v>
      </c>
      <c r="M5880" t="s">
        <v>43</v>
      </c>
      <c r="N5880" t="s">
        <v>45</v>
      </c>
      <c r="O5880" t="s">
        <v>43</v>
      </c>
      <c r="P5880" t="s">
        <v>43</v>
      </c>
      <c r="Q5880" t="s">
        <v>43</v>
      </c>
      <c r="R5880" t="s">
        <v>43</v>
      </c>
      <c r="S5880" t="s">
        <v>43</v>
      </c>
      <c r="T5880" t="s">
        <v>43</v>
      </c>
      <c r="U5880" t="s">
        <v>43</v>
      </c>
      <c r="V5880" t="s">
        <v>43</v>
      </c>
      <c r="W5880" t="s">
        <v>43</v>
      </c>
      <c r="X5880" t="s">
        <v>43</v>
      </c>
      <c r="Y5880" t="s">
        <v>43</v>
      </c>
      <c r="Z5880" t="s">
        <v>43</v>
      </c>
      <c r="AA5880" t="s">
        <v>43</v>
      </c>
      <c r="AB5880" t="s">
        <v>43</v>
      </c>
      <c r="AC5880" t="s">
        <v>43</v>
      </c>
      <c r="AD5880" t="s">
        <v>43</v>
      </c>
      <c r="AE5880" t="s">
        <v>43</v>
      </c>
      <c r="AF5880" t="s">
        <v>43</v>
      </c>
      <c r="AG5880" t="s">
        <v>43</v>
      </c>
      <c r="AH5880" t="s">
        <v>43</v>
      </c>
      <c r="AI5880" t="s">
        <v>43</v>
      </c>
      <c r="AJ5880" t="s">
        <v>43</v>
      </c>
      <c r="AK5880" t="s">
        <v>43</v>
      </c>
      <c r="AL5880" t="s">
        <v>43</v>
      </c>
      <c r="AM5880" t="s">
        <v>43</v>
      </c>
      <c r="AN5880" t="str">
        <f>HYPERLINK("https://www.google.com/maps?q=10.83315945,79.84615326","Open Location")</f>
        <v>Open Location</v>
      </c>
    </row>
    <row r="5881" spans="1:40" x14ac:dyDescent="0.3">
      <c r="A5881" s="1">
        <v>46210.31863425926</v>
      </c>
      <c r="B5881" t="s">
        <v>40</v>
      </c>
      <c r="C5881" t="s">
        <v>41</v>
      </c>
      <c r="D5881" s="1">
        <v>46210.321446759262</v>
      </c>
      <c r="E5881" t="s">
        <v>42</v>
      </c>
      <c r="F5881" t="s">
        <v>43</v>
      </c>
      <c r="G5881" t="s">
        <v>43</v>
      </c>
      <c r="H5881" t="s">
        <v>43</v>
      </c>
      <c r="I5881" t="s">
        <v>43</v>
      </c>
      <c r="J5881" t="s">
        <v>43</v>
      </c>
      <c r="K5881" t="s">
        <v>43</v>
      </c>
      <c r="L5881" t="s">
        <v>43</v>
      </c>
      <c r="M5881" t="s">
        <v>43</v>
      </c>
      <c r="N5881" t="s">
        <v>45</v>
      </c>
      <c r="O5881" t="s">
        <v>43</v>
      </c>
      <c r="P5881" t="s">
        <v>43</v>
      </c>
      <c r="Q5881" t="s">
        <v>43</v>
      </c>
      <c r="R5881" t="s">
        <v>43</v>
      </c>
      <c r="S5881" t="s">
        <v>43</v>
      </c>
      <c r="T5881" t="s">
        <v>43</v>
      </c>
      <c r="U5881" t="s">
        <v>43</v>
      </c>
      <c r="V5881" t="s">
        <v>43</v>
      </c>
      <c r="W5881" t="s">
        <v>43</v>
      </c>
      <c r="X5881" t="s">
        <v>43</v>
      </c>
      <c r="Y5881" t="s">
        <v>43</v>
      </c>
      <c r="Z5881" t="s">
        <v>43</v>
      </c>
      <c r="AA5881" t="s">
        <v>43</v>
      </c>
      <c r="AB5881" t="s">
        <v>43</v>
      </c>
      <c r="AC5881" t="s">
        <v>43</v>
      </c>
      <c r="AD5881" t="s">
        <v>43</v>
      </c>
      <c r="AE5881" t="s">
        <v>43</v>
      </c>
      <c r="AF5881" t="s">
        <v>43</v>
      </c>
      <c r="AG5881" t="s">
        <v>43</v>
      </c>
      <c r="AH5881" t="s">
        <v>43</v>
      </c>
      <c r="AI5881" t="s">
        <v>43</v>
      </c>
      <c r="AJ5881" t="s">
        <v>43</v>
      </c>
      <c r="AK5881" t="s">
        <v>43</v>
      </c>
      <c r="AL5881" t="s">
        <v>43</v>
      </c>
      <c r="AM5881" t="s">
        <v>43</v>
      </c>
      <c r="AN5881" t="s">
        <v>43</v>
      </c>
    </row>
    <row r="5882" spans="1:40" x14ac:dyDescent="0.3">
      <c r="A5882" s="1">
        <v>46210.318518518521</v>
      </c>
      <c r="B5882" t="s">
        <v>40</v>
      </c>
      <c r="C5882" t="s">
        <v>41</v>
      </c>
      <c r="D5882" s="1">
        <v>46210.321527777778</v>
      </c>
      <c r="E5882" t="s">
        <v>42</v>
      </c>
      <c r="F5882" t="s">
        <v>43</v>
      </c>
      <c r="G5882" t="s">
        <v>43</v>
      </c>
      <c r="H5882" t="s">
        <v>43</v>
      </c>
      <c r="I5882" t="s">
        <v>3327</v>
      </c>
      <c r="J5882" t="s">
        <v>43</v>
      </c>
      <c r="K5882" t="s">
        <v>43</v>
      </c>
      <c r="L5882" t="s">
        <v>43</v>
      </c>
      <c r="M5882" t="s">
        <v>43</v>
      </c>
      <c r="N5882" t="s">
        <v>45</v>
      </c>
      <c r="O5882" t="s">
        <v>43</v>
      </c>
      <c r="P5882" t="s">
        <v>43</v>
      </c>
      <c r="Q5882" t="s">
        <v>43</v>
      </c>
      <c r="R5882" t="s">
        <v>43</v>
      </c>
      <c r="S5882" t="s">
        <v>43</v>
      </c>
      <c r="T5882" t="s">
        <v>43</v>
      </c>
      <c r="U5882" t="s">
        <v>43</v>
      </c>
      <c r="V5882" t="s">
        <v>43</v>
      </c>
      <c r="W5882" t="s">
        <v>43</v>
      </c>
      <c r="X5882" t="s">
        <v>43</v>
      </c>
      <c r="Y5882" t="s">
        <v>43</v>
      </c>
      <c r="Z5882" t="s">
        <v>43</v>
      </c>
      <c r="AA5882" t="s">
        <v>43</v>
      </c>
      <c r="AB5882" t="s">
        <v>43</v>
      </c>
      <c r="AC5882" t="s">
        <v>43</v>
      </c>
      <c r="AD5882" t="s">
        <v>43</v>
      </c>
      <c r="AE5882" t="s">
        <v>43</v>
      </c>
      <c r="AF5882" t="s">
        <v>43</v>
      </c>
      <c r="AG5882" t="s">
        <v>43</v>
      </c>
      <c r="AH5882" t="s">
        <v>43</v>
      </c>
      <c r="AI5882" t="s">
        <v>43</v>
      </c>
      <c r="AJ5882" t="s">
        <v>43</v>
      </c>
      <c r="AK5882" t="s">
        <v>43</v>
      </c>
      <c r="AL5882" t="s">
        <v>43</v>
      </c>
      <c r="AM5882" t="s">
        <v>43</v>
      </c>
      <c r="AN5882" t="str">
        <f>HYPERLINK("https://www.google.com/maps?q=10.83316135,79.84615326","Open Location")</f>
        <v>Open Location</v>
      </c>
    </row>
    <row r="5883" spans="1:40" x14ac:dyDescent="0.3">
      <c r="A5883" s="1">
        <v>46210.318402777775</v>
      </c>
      <c r="B5883" t="s">
        <v>40</v>
      </c>
      <c r="C5883" t="s">
        <v>41</v>
      </c>
      <c r="D5883" s="1">
        <v>46210.321238425924</v>
      </c>
      <c r="E5883" t="s">
        <v>42</v>
      </c>
      <c r="F5883" t="s">
        <v>43</v>
      </c>
      <c r="G5883" t="s">
        <v>43</v>
      </c>
      <c r="H5883" t="s">
        <v>43</v>
      </c>
      <c r="I5883" t="s">
        <v>3324</v>
      </c>
      <c r="J5883" t="s">
        <v>43</v>
      </c>
      <c r="K5883" t="s">
        <v>43</v>
      </c>
      <c r="L5883" t="s">
        <v>43</v>
      </c>
      <c r="M5883" t="s">
        <v>43</v>
      </c>
      <c r="N5883" t="s">
        <v>45</v>
      </c>
      <c r="O5883" t="s">
        <v>43</v>
      </c>
      <c r="P5883" t="s">
        <v>43</v>
      </c>
      <c r="Q5883" t="s">
        <v>43</v>
      </c>
      <c r="R5883" t="s">
        <v>43</v>
      </c>
      <c r="S5883" t="s">
        <v>43</v>
      </c>
      <c r="T5883" t="s">
        <v>43</v>
      </c>
      <c r="U5883" t="s">
        <v>43</v>
      </c>
      <c r="V5883" t="s">
        <v>43</v>
      </c>
      <c r="W5883" t="s">
        <v>43</v>
      </c>
      <c r="X5883" t="s">
        <v>43</v>
      </c>
      <c r="Y5883" t="s">
        <v>43</v>
      </c>
      <c r="Z5883" t="s">
        <v>43</v>
      </c>
      <c r="AA5883" t="s">
        <v>43</v>
      </c>
      <c r="AB5883" t="s">
        <v>43</v>
      </c>
      <c r="AC5883" t="s">
        <v>43</v>
      </c>
      <c r="AD5883" t="s">
        <v>43</v>
      </c>
      <c r="AE5883" t="s">
        <v>43</v>
      </c>
      <c r="AF5883" t="s">
        <v>43</v>
      </c>
      <c r="AG5883" t="s">
        <v>43</v>
      </c>
      <c r="AH5883" t="s">
        <v>43</v>
      </c>
      <c r="AI5883" t="s">
        <v>43</v>
      </c>
      <c r="AJ5883" t="s">
        <v>43</v>
      </c>
      <c r="AK5883" t="s">
        <v>43</v>
      </c>
      <c r="AL5883" t="s">
        <v>43</v>
      </c>
      <c r="AM5883" t="s">
        <v>43</v>
      </c>
      <c r="AN5883" t="str">
        <f>HYPERLINK("https://www.google.com/maps?q=10.83315659,79.84615326","Open Location")</f>
        <v>Open Location</v>
      </c>
    </row>
    <row r="5884" spans="1:40" x14ac:dyDescent="0.3">
      <c r="A5884" s="1">
        <v>46210.318287037036</v>
      </c>
      <c r="B5884" t="s">
        <v>40</v>
      </c>
      <c r="C5884" t="s">
        <v>41</v>
      </c>
      <c r="D5884" s="1">
        <v>46210.321296296293</v>
      </c>
      <c r="E5884" t="s">
        <v>42</v>
      </c>
      <c r="F5884" t="s">
        <v>43</v>
      </c>
      <c r="G5884" t="s">
        <v>43</v>
      </c>
      <c r="H5884" t="s">
        <v>43</v>
      </c>
      <c r="I5884" t="s">
        <v>3301</v>
      </c>
      <c r="J5884" t="s">
        <v>43</v>
      </c>
      <c r="K5884" t="s">
        <v>43</v>
      </c>
      <c r="L5884" t="s">
        <v>43</v>
      </c>
      <c r="M5884" t="s">
        <v>43</v>
      </c>
      <c r="N5884" t="s">
        <v>45</v>
      </c>
      <c r="O5884" t="s">
        <v>43</v>
      </c>
      <c r="P5884" t="s">
        <v>43</v>
      </c>
      <c r="Q5884" t="s">
        <v>43</v>
      </c>
      <c r="R5884" t="s">
        <v>43</v>
      </c>
      <c r="S5884" t="s">
        <v>43</v>
      </c>
      <c r="T5884" t="s">
        <v>43</v>
      </c>
      <c r="U5884" t="s">
        <v>43</v>
      </c>
      <c r="V5884" t="s">
        <v>43</v>
      </c>
      <c r="W5884" t="s">
        <v>43</v>
      </c>
      <c r="X5884" t="s">
        <v>43</v>
      </c>
      <c r="Y5884" t="s">
        <v>43</v>
      </c>
      <c r="Z5884" t="s">
        <v>43</v>
      </c>
      <c r="AA5884" t="s">
        <v>43</v>
      </c>
      <c r="AB5884" t="s">
        <v>43</v>
      </c>
      <c r="AC5884" t="s">
        <v>43</v>
      </c>
      <c r="AD5884" t="s">
        <v>43</v>
      </c>
      <c r="AE5884" t="s">
        <v>43</v>
      </c>
      <c r="AF5884" t="s">
        <v>43</v>
      </c>
      <c r="AG5884" t="s">
        <v>43</v>
      </c>
      <c r="AH5884" t="s">
        <v>43</v>
      </c>
      <c r="AI5884" t="s">
        <v>43</v>
      </c>
      <c r="AJ5884" t="s">
        <v>43</v>
      </c>
      <c r="AK5884" t="s">
        <v>43</v>
      </c>
      <c r="AL5884" t="s">
        <v>43</v>
      </c>
      <c r="AM5884" t="s">
        <v>43</v>
      </c>
      <c r="AN5884" t="str">
        <f>HYPERLINK("https://www.google.com/maps?q=10.8331604,79.84615326","Open Location")</f>
        <v>Open Location</v>
      </c>
    </row>
    <row r="5885" spans="1:40" x14ac:dyDescent="0.3">
      <c r="A5885" s="1">
        <v>46210.318171296298</v>
      </c>
      <c r="B5885" t="s">
        <v>40</v>
      </c>
      <c r="C5885" t="s">
        <v>41</v>
      </c>
      <c r="D5885" s="1">
        <v>46210.321076388886</v>
      </c>
      <c r="E5885" t="s">
        <v>42</v>
      </c>
      <c r="F5885" t="s">
        <v>43</v>
      </c>
      <c r="G5885" t="s">
        <v>43</v>
      </c>
      <c r="H5885" t="s">
        <v>43</v>
      </c>
      <c r="I5885" t="s">
        <v>3328</v>
      </c>
      <c r="J5885" t="s">
        <v>43</v>
      </c>
      <c r="K5885" t="s">
        <v>43</v>
      </c>
      <c r="L5885" t="s">
        <v>43</v>
      </c>
      <c r="M5885" t="s">
        <v>43</v>
      </c>
      <c r="N5885" t="s">
        <v>45</v>
      </c>
      <c r="O5885" t="s">
        <v>43</v>
      </c>
      <c r="P5885" t="s">
        <v>43</v>
      </c>
      <c r="Q5885" t="s">
        <v>43</v>
      </c>
      <c r="R5885" t="s">
        <v>43</v>
      </c>
      <c r="S5885" t="s">
        <v>43</v>
      </c>
      <c r="T5885" t="s">
        <v>43</v>
      </c>
      <c r="U5885" t="s">
        <v>43</v>
      </c>
      <c r="V5885" t="s">
        <v>43</v>
      </c>
      <c r="W5885" t="s">
        <v>43</v>
      </c>
      <c r="X5885" t="s">
        <v>43</v>
      </c>
      <c r="Y5885" t="s">
        <v>43</v>
      </c>
      <c r="Z5885" t="s">
        <v>43</v>
      </c>
      <c r="AA5885" t="s">
        <v>43</v>
      </c>
      <c r="AB5885" t="s">
        <v>43</v>
      </c>
      <c r="AC5885" t="s">
        <v>43</v>
      </c>
      <c r="AD5885" t="s">
        <v>43</v>
      </c>
      <c r="AE5885" t="s">
        <v>43</v>
      </c>
      <c r="AF5885" t="s">
        <v>43</v>
      </c>
      <c r="AG5885" t="s">
        <v>43</v>
      </c>
      <c r="AH5885" t="s">
        <v>43</v>
      </c>
      <c r="AI5885" t="s">
        <v>43</v>
      </c>
      <c r="AJ5885" t="s">
        <v>43</v>
      </c>
      <c r="AK5885" t="s">
        <v>43</v>
      </c>
      <c r="AL5885" t="s">
        <v>43</v>
      </c>
      <c r="AM5885" t="s">
        <v>43</v>
      </c>
      <c r="AN5885" t="str">
        <f>HYPERLINK("https://www.google.com/maps?q=10.83316708,79.84615326","Open Location")</f>
        <v>Open Location</v>
      </c>
    </row>
    <row r="5886" spans="1:40" x14ac:dyDescent="0.3">
      <c r="A5886" s="1">
        <v>46210.318055555559</v>
      </c>
      <c r="B5886" t="s">
        <v>40</v>
      </c>
      <c r="C5886" t="s">
        <v>41</v>
      </c>
      <c r="D5886" s="1">
        <v>46210.321076388886</v>
      </c>
      <c r="E5886" t="s">
        <v>42</v>
      </c>
      <c r="F5886" t="s">
        <v>43</v>
      </c>
      <c r="G5886" t="s">
        <v>43</v>
      </c>
      <c r="H5886" t="s">
        <v>43</v>
      </c>
      <c r="I5886" t="s">
        <v>3329</v>
      </c>
      <c r="J5886" t="s">
        <v>43</v>
      </c>
      <c r="K5886" t="s">
        <v>43</v>
      </c>
      <c r="L5886" t="s">
        <v>43</v>
      </c>
      <c r="M5886" t="s">
        <v>43</v>
      </c>
      <c r="N5886" t="s">
        <v>45</v>
      </c>
      <c r="O5886" t="s">
        <v>43</v>
      </c>
      <c r="P5886" t="s">
        <v>43</v>
      </c>
      <c r="Q5886" t="s">
        <v>43</v>
      </c>
      <c r="R5886" t="s">
        <v>43</v>
      </c>
      <c r="S5886" t="s">
        <v>43</v>
      </c>
      <c r="T5886" t="s">
        <v>43</v>
      </c>
      <c r="U5886" t="s">
        <v>43</v>
      </c>
      <c r="V5886" t="s">
        <v>43</v>
      </c>
      <c r="W5886" t="s">
        <v>43</v>
      </c>
      <c r="X5886" t="s">
        <v>43</v>
      </c>
      <c r="Y5886" t="s">
        <v>43</v>
      </c>
      <c r="Z5886" t="s">
        <v>43</v>
      </c>
      <c r="AA5886" t="s">
        <v>43</v>
      </c>
      <c r="AB5886" t="s">
        <v>43</v>
      </c>
      <c r="AC5886" t="s">
        <v>43</v>
      </c>
      <c r="AD5886" t="s">
        <v>43</v>
      </c>
      <c r="AE5886" t="s">
        <v>43</v>
      </c>
      <c r="AF5886" t="s">
        <v>43</v>
      </c>
      <c r="AG5886" t="s">
        <v>43</v>
      </c>
      <c r="AH5886" t="s">
        <v>43</v>
      </c>
      <c r="AI5886" t="s">
        <v>43</v>
      </c>
      <c r="AJ5886" t="s">
        <v>43</v>
      </c>
      <c r="AK5886" t="s">
        <v>43</v>
      </c>
      <c r="AL5886" t="s">
        <v>43</v>
      </c>
      <c r="AM5886" t="s">
        <v>43</v>
      </c>
      <c r="AN5886" t="str">
        <f>HYPERLINK("https://www.google.com/maps?q=10.83316326,79.84616089","Open Location")</f>
        <v>Open Location</v>
      </c>
    </row>
    <row r="5887" spans="1:40" x14ac:dyDescent="0.3">
      <c r="A5887" s="1">
        <v>46210.317939814813</v>
      </c>
      <c r="B5887" t="s">
        <v>40</v>
      </c>
      <c r="C5887" t="s">
        <v>41</v>
      </c>
      <c r="D5887" s="1">
        <v>46210.320625</v>
      </c>
      <c r="E5887" t="s">
        <v>42</v>
      </c>
      <c r="F5887" t="s">
        <v>43</v>
      </c>
      <c r="G5887" t="s">
        <v>43</v>
      </c>
      <c r="H5887" t="s">
        <v>43</v>
      </c>
      <c r="I5887" t="s">
        <v>43</v>
      </c>
      <c r="J5887" t="s">
        <v>43</v>
      </c>
      <c r="K5887" t="s">
        <v>43</v>
      </c>
      <c r="L5887" t="s">
        <v>43</v>
      </c>
      <c r="M5887" t="s">
        <v>43</v>
      </c>
      <c r="N5887" t="s">
        <v>45</v>
      </c>
      <c r="O5887" t="s">
        <v>43</v>
      </c>
      <c r="P5887" t="s">
        <v>43</v>
      </c>
      <c r="Q5887" t="s">
        <v>43</v>
      </c>
      <c r="R5887" t="s">
        <v>43</v>
      </c>
      <c r="S5887" t="s">
        <v>43</v>
      </c>
      <c r="T5887" t="s">
        <v>43</v>
      </c>
      <c r="U5887" t="s">
        <v>43</v>
      </c>
      <c r="V5887" t="s">
        <v>43</v>
      </c>
      <c r="W5887" t="s">
        <v>43</v>
      </c>
      <c r="X5887" t="s">
        <v>43</v>
      </c>
      <c r="Y5887" t="s">
        <v>43</v>
      </c>
      <c r="Z5887" t="s">
        <v>43</v>
      </c>
      <c r="AA5887" t="s">
        <v>43</v>
      </c>
      <c r="AB5887" t="s">
        <v>43</v>
      </c>
      <c r="AC5887" t="s">
        <v>43</v>
      </c>
      <c r="AD5887" t="s">
        <v>43</v>
      </c>
      <c r="AE5887" t="s">
        <v>43</v>
      </c>
      <c r="AF5887" t="s">
        <v>43</v>
      </c>
      <c r="AG5887" t="s">
        <v>43</v>
      </c>
      <c r="AH5887" t="s">
        <v>43</v>
      </c>
      <c r="AI5887" t="s">
        <v>43</v>
      </c>
      <c r="AJ5887" t="s">
        <v>43</v>
      </c>
      <c r="AK5887" t="s">
        <v>43</v>
      </c>
      <c r="AL5887" t="s">
        <v>43</v>
      </c>
      <c r="AM5887" t="s">
        <v>43</v>
      </c>
      <c r="AN5887" t="s">
        <v>43</v>
      </c>
    </row>
    <row r="5888" spans="1:40" x14ac:dyDescent="0.3">
      <c r="A5888" s="1">
        <v>46210.317824074074</v>
      </c>
      <c r="B5888" t="s">
        <v>40</v>
      </c>
      <c r="C5888" t="s">
        <v>41</v>
      </c>
      <c r="D5888" s="1">
        <v>46210.320706018516</v>
      </c>
      <c r="E5888" t="s">
        <v>42</v>
      </c>
      <c r="F5888" t="s">
        <v>43</v>
      </c>
      <c r="G5888" t="s">
        <v>43</v>
      </c>
      <c r="H5888" t="s">
        <v>43</v>
      </c>
      <c r="I5888" t="s">
        <v>3330</v>
      </c>
      <c r="J5888" t="s">
        <v>43</v>
      </c>
      <c r="K5888" t="s">
        <v>43</v>
      </c>
      <c r="L5888" t="s">
        <v>43</v>
      </c>
      <c r="M5888" t="s">
        <v>43</v>
      </c>
      <c r="N5888" t="s">
        <v>45</v>
      </c>
      <c r="O5888" t="s">
        <v>43</v>
      </c>
      <c r="P5888" t="s">
        <v>43</v>
      </c>
      <c r="Q5888" t="s">
        <v>43</v>
      </c>
      <c r="R5888" t="s">
        <v>43</v>
      </c>
      <c r="S5888" t="s">
        <v>43</v>
      </c>
      <c r="T5888" t="s">
        <v>43</v>
      </c>
      <c r="U5888" t="s">
        <v>43</v>
      </c>
      <c r="V5888" t="s">
        <v>43</v>
      </c>
      <c r="W5888" t="s">
        <v>43</v>
      </c>
      <c r="X5888" t="s">
        <v>43</v>
      </c>
      <c r="Y5888" t="s">
        <v>43</v>
      </c>
      <c r="Z5888" t="s">
        <v>43</v>
      </c>
      <c r="AA5888" t="s">
        <v>43</v>
      </c>
      <c r="AB5888" t="s">
        <v>43</v>
      </c>
      <c r="AC5888" t="s">
        <v>43</v>
      </c>
      <c r="AD5888" t="s">
        <v>43</v>
      </c>
      <c r="AE5888" t="s">
        <v>43</v>
      </c>
      <c r="AF5888" t="s">
        <v>43</v>
      </c>
      <c r="AG5888" t="s">
        <v>43</v>
      </c>
      <c r="AH5888" t="s">
        <v>43</v>
      </c>
      <c r="AI5888" t="s">
        <v>43</v>
      </c>
      <c r="AJ5888" t="s">
        <v>43</v>
      </c>
      <c r="AK5888" t="s">
        <v>43</v>
      </c>
      <c r="AL5888" t="s">
        <v>43</v>
      </c>
      <c r="AM5888" t="s">
        <v>43</v>
      </c>
      <c r="AN5888" t="str">
        <f>HYPERLINK("https://www.google.com/maps?q=10.83316231,79.84616089","Open Location")</f>
        <v>Open Location</v>
      </c>
    </row>
    <row r="5889" spans="1:40" x14ac:dyDescent="0.3">
      <c r="A5889" s="1">
        <v>46210.317708333336</v>
      </c>
      <c r="B5889" t="s">
        <v>40</v>
      </c>
      <c r="C5889" t="s">
        <v>41</v>
      </c>
      <c r="D5889" s="1">
        <v>46210.320706018516</v>
      </c>
      <c r="E5889" t="s">
        <v>42</v>
      </c>
      <c r="F5889" t="s">
        <v>43</v>
      </c>
      <c r="G5889" t="s">
        <v>43</v>
      </c>
      <c r="H5889" t="s">
        <v>43</v>
      </c>
      <c r="I5889" t="s">
        <v>3299</v>
      </c>
      <c r="J5889" t="s">
        <v>43</v>
      </c>
      <c r="K5889" t="s">
        <v>43</v>
      </c>
      <c r="L5889" t="s">
        <v>43</v>
      </c>
      <c r="M5889" t="s">
        <v>43</v>
      </c>
      <c r="N5889" t="s">
        <v>45</v>
      </c>
      <c r="O5889" t="s">
        <v>43</v>
      </c>
      <c r="P5889" t="s">
        <v>43</v>
      </c>
      <c r="Q5889" t="s">
        <v>43</v>
      </c>
      <c r="R5889" t="s">
        <v>43</v>
      </c>
      <c r="S5889" t="s">
        <v>43</v>
      </c>
      <c r="T5889" t="s">
        <v>43</v>
      </c>
      <c r="U5889" t="s">
        <v>43</v>
      </c>
      <c r="V5889" t="s">
        <v>43</v>
      </c>
      <c r="W5889" t="s">
        <v>43</v>
      </c>
      <c r="X5889" t="s">
        <v>43</v>
      </c>
      <c r="Y5889" t="s">
        <v>43</v>
      </c>
      <c r="Z5889" t="s">
        <v>43</v>
      </c>
      <c r="AA5889" t="s">
        <v>43</v>
      </c>
      <c r="AB5889" t="s">
        <v>43</v>
      </c>
      <c r="AC5889" t="s">
        <v>43</v>
      </c>
      <c r="AD5889" t="s">
        <v>43</v>
      </c>
      <c r="AE5889" t="s">
        <v>43</v>
      </c>
      <c r="AF5889" t="s">
        <v>43</v>
      </c>
      <c r="AG5889" t="s">
        <v>43</v>
      </c>
      <c r="AH5889" t="s">
        <v>43</v>
      </c>
      <c r="AI5889" t="s">
        <v>43</v>
      </c>
      <c r="AJ5889" t="s">
        <v>43</v>
      </c>
      <c r="AK5889" t="s">
        <v>43</v>
      </c>
      <c r="AL5889" t="s">
        <v>43</v>
      </c>
      <c r="AM5889" t="s">
        <v>43</v>
      </c>
      <c r="AN5889" t="str">
        <f>HYPERLINK("https://www.google.com/maps?q=10.8331604,79.84616089","Open Location")</f>
        <v>Open Location</v>
      </c>
    </row>
    <row r="5890" spans="1:40" x14ac:dyDescent="0.3">
      <c r="A5890" s="1">
        <v>46210.31759259259</v>
      </c>
      <c r="B5890" t="s">
        <v>40</v>
      </c>
      <c r="C5890" t="s">
        <v>41</v>
      </c>
      <c r="D5890" s="1">
        <v>46210.320706018516</v>
      </c>
      <c r="E5890" t="s">
        <v>42</v>
      </c>
      <c r="F5890" t="s">
        <v>43</v>
      </c>
      <c r="G5890" t="s">
        <v>43</v>
      </c>
      <c r="H5890" t="s">
        <v>43</v>
      </c>
      <c r="I5890" t="s">
        <v>3327</v>
      </c>
      <c r="J5890" t="s">
        <v>43</v>
      </c>
      <c r="K5890" t="s">
        <v>43</v>
      </c>
      <c r="L5890" t="s">
        <v>43</v>
      </c>
      <c r="M5890" t="s">
        <v>43</v>
      </c>
      <c r="N5890" t="s">
        <v>45</v>
      </c>
      <c r="O5890" t="s">
        <v>43</v>
      </c>
      <c r="P5890" t="s">
        <v>43</v>
      </c>
      <c r="Q5890" t="s">
        <v>43</v>
      </c>
      <c r="R5890" t="s">
        <v>43</v>
      </c>
      <c r="S5890" t="s">
        <v>43</v>
      </c>
      <c r="T5890" t="s">
        <v>43</v>
      </c>
      <c r="U5890" t="s">
        <v>43</v>
      </c>
      <c r="V5890" t="s">
        <v>43</v>
      </c>
      <c r="W5890" t="s">
        <v>43</v>
      </c>
      <c r="X5890" t="s">
        <v>43</v>
      </c>
      <c r="Y5890" t="s">
        <v>43</v>
      </c>
      <c r="Z5890" t="s">
        <v>43</v>
      </c>
      <c r="AA5890" t="s">
        <v>43</v>
      </c>
      <c r="AB5890" t="s">
        <v>43</v>
      </c>
      <c r="AC5890" t="s">
        <v>43</v>
      </c>
      <c r="AD5890" t="s">
        <v>43</v>
      </c>
      <c r="AE5890" t="s">
        <v>43</v>
      </c>
      <c r="AF5890" t="s">
        <v>43</v>
      </c>
      <c r="AG5890" t="s">
        <v>43</v>
      </c>
      <c r="AH5890" t="s">
        <v>43</v>
      </c>
      <c r="AI5890" t="s">
        <v>43</v>
      </c>
      <c r="AJ5890" t="s">
        <v>43</v>
      </c>
      <c r="AK5890" t="s">
        <v>43</v>
      </c>
      <c r="AL5890" t="s">
        <v>43</v>
      </c>
      <c r="AM5890" t="s">
        <v>43</v>
      </c>
      <c r="AN5890" t="str">
        <f>HYPERLINK("https://www.google.com/maps?q=10.83316135,79.84615326","Open Location")</f>
        <v>Open Location</v>
      </c>
    </row>
    <row r="5891" spans="1:40" x14ac:dyDescent="0.3">
      <c r="A5891" s="1">
        <v>46210.317476851851</v>
      </c>
      <c r="B5891" t="s">
        <v>40</v>
      </c>
      <c r="C5891" t="s">
        <v>41</v>
      </c>
      <c r="D5891" s="1">
        <v>46210.320439814815</v>
      </c>
      <c r="E5891" t="s">
        <v>42</v>
      </c>
      <c r="F5891" t="s">
        <v>43</v>
      </c>
      <c r="G5891" t="s">
        <v>43</v>
      </c>
      <c r="H5891" t="s">
        <v>43</v>
      </c>
      <c r="I5891" t="s">
        <v>3304</v>
      </c>
      <c r="J5891" t="s">
        <v>43</v>
      </c>
      <c r="K5891" t="s">
        <v>43</v>
      </c>
      <c r="L5891" t="s">
        <v>43</v>
      </c>
      <c r="M5891" t="s">
        <v>43</v>
      </c>
      <c r="N5891" t="s">
        <v>45</v>
      </c>
      <c r="O5891" t="s">
        <v>43</v>
      </c>
      <c r="P5891" t="s">
        <v>43</v>
      </c>
      <c r="Q5891" t="s">
        <v>43</v>
      </c>
      <c r="R5891" t="s">
        <v>43</v>
      </c>
      <c r="S5891" t="s">
        <v>43</v>
      </c>
      <c r="T5891" t="s">
        <v>43</v>
      </c>
      <c r="U5891" t="s">
        <v>43</v>
      </c>
      <c r="V5891" t="s">
        <v>43</v>
      </c>
      <c r="W5891" t="s">
        <v>43</v>
      </c>
      <c r="X5891" t="s">
        <v>43</v>
      </c>
      <c r="Y5891" t="s">
        <v>43</v>
      </c>
      <c r="Z5891" t="s">
        <v>43</v>
      </c>
      <c r="AA5891" t="s">
        <v>43</v>
      </c>
      <c r="AB5891" t="s">
        <v>43</v>
      </c>
      <c r="AC5891" t="s">
        <v>43</v>
      </c>
      <c r="AD5891" t="s">
        <v>43</v>
      </c>
      <c r="AE5891" t="s">
        <v>43</v>
      </c>
      <c r="AF5891" t="s">
        <v>43</v>
      </c>
      <c r="AG5891" t="s">
        <v>43</v>
      </c>
      <c r="AH5891" t="s">
        <v>43</v>
      </c>
      <c r="AI5891" t="s">
        <v>43</v>
      </c>
      <c r="AJ5891" t="s">
        <v>43</v>
      </c>
      <c r="AK5891" t="s">
        <v>43</v>
      </c>
      <c r="AL5891" t="s">
        <v>43</v>
      </c>
      <c r="AM5891" t="s">
        <v>43</v>
      </c>
      <c r="AN5891" t="str">
        <f>HYPERLINK("https://www.google.com/maps?q=10.83316422,79.84614563","Open Location")</f>
        <v>Open Location</v>
      </c>
    </row>
    <row r="5892" spans="1:40" x14ac:dyDescent="0.3">
      <c r="A5892" s="1">
        <v>46210.317361111112</v>
      </c>
      <c r="B5892" t="s">
        <v>40</v>
      </c>
      <c r="C5892" t="s">
        <v>41</v>
      </c>
      <c r="D5892" s="1">
        <v>46210.320393518516</v>
      </c>
      <c r="E5892" t="s">
        <v>42</v>
      </c>
      <c r="F5892" t="s">
        <v>43</v>
      </c>
      <c r="G5892" t="s">
        <v>43</v>
      </c>
      <c r="H5892" t="s">
        <v>43</v>
      </c>
      <c r="I5892" t="s">
        <v>3320</v>
      </c>
      <c r="J5892" t="s">
        <v>43</v>
      </c>
      <c r="K5892" t="s">
        <v>43</v>
      </c>
      <c r="L5892" t="s">
        <v>43</v>
      </c>
      <c r="M5892" t="s">
        <v>43</v>
      </c>
      <c r="N5892" t="s">
        <v>45</v>
      </c>
      <c r="O5892" t="s">
        <v>43</v>
      </c>
      <c r="P5892" t="s">
        <v>43</v>
      </c>
      <c r="Q5892" t="s">
        <v>43</v>
      </c>
      <c r="R5892" t="s">
        <v>43</v>
      </c>
      <c r="S5892" t="s">
        <v>43</v>
      </c>
      <c r="T5892" t="s">
        <v>43</v>
      </c>
      <c r="U5892" t="s">
        <v>43</v>
      </c>
      <c r="V5892" t="s">
        <v>43</v>
      </c>
      <c r="W5892" t="s">
        <v>43</v>
      </c>
      <c r="X5892" t="s">
        <v>43</v>
      </c>
      <c r="Y5892" t="s">
        <v>43</v>
      </c>
      <c r="Z5892" t="s">
        <v>43</v>
      </c>
      <c r="AA5892" t="s">
        <v>43</v>
      </c>
      <c r="AB5892" t="s">
        <v>43</v>
      </c>
      <c r="AC5892" t="s">
        <v>43</v>
      </c>
      <c r="AD5892" t="s">
        <v>43</v>
      </c>
      <c r="AE5892" t="s">
        <v>43</v>
      </c>
      <c r="AF5892" t="s">
        <v>43</v>
      </c>
      <c r="AG5892" t="s">
        <v>43</v>
      </c>
      <c r="AH5892" t="s">
        <v>43</v>
      </c>
      <c r="AI5892" t="s">
        <v>43</v>
      </c>
      <c r="AJ5892" t="s">
        <v>43</v>
      </c>
      <c r="AK5892" t="s">
        <v>43</v>
      </c>
      <c r="AL5892" t="s">
        <v>43</v>
      </c>
      <c r="AM5892" t="s">
        <v>43</v>
      </c>
      <c r="AN5892" t="str">
        <f>HYPERLINK("https://www.google.com/maps?q=10.83316326,79.84614563","Open Location")</f>
        <v>Open Location</v>
      </c>
    </row>
    <row r="5893" spans="1:40" x14ac:dyDescent="0.3">
      <c r="A5893" s="1">
        <v>46210.317245370374</v>
      </c>
      <c r="B5893" t="s">
        <v>40</v>
      </c>
      <c r="C5893" t="s">
        <v>41</v>
      </c>
      <c r="D5893" s="1">
        <v>46210.320243055554</v>
      </c>
      <c r="E5893" t="s">
        <v>42</v>
      </c>
      <c r="F5893" t="s">
        <v>43</v>
      </c>
      <c r="G5893" t="s">
        <v>43</v>
      </c>
      <c r="H5893" t="s">
        <v>43</v>
      </c>
      <c r="I5893" t="s">
        <v>43</v>
      </c>
      <c r="J5893" t="s">
        <v>43</v>
      </c>
      <c r="K5893" t="s">
        <v>43</v>
      </c>
      <c r="L5893" t="s">
        <v>43</v>
      </c>
      <c r="M5893" t="s">
        <v>43</v>
      </c>
      <c r="N5893" t="s">
        <v>45</v>
      </c>
      <c r="O5893" t="s">
        <v>43</v>
      </c>
      <c r="P5893" t="s">
        <v>43</v>
      </c>
      <c r="Q5893" t="s">
        <v>43</v>
      </c>
      <c r="R5893" t="s">
        <v>43</v>
      </c>
      <c r="S5893" t="s">
        <v>43</v>
      </c>
      <c r="T5893" t="s">
        <v>43</v>
      </c>
      <c r="U5893" t="s">
        <v>43</v>
      </c>
      <c r="V5893" t="s">
        <v>43</v>
      </c>
      <c r="W5893" t="s">
        <v>43</v>
      </c>
      <c r="X5893" t="s">
        <v>43</v>
      </c>
      <c r="Y5893" t="s">
        <v>43</v>
      </c>
      <c r="Z5893" t="s">
        <v>43</v>
      </c>
      <c r="AA5893" t="s">
        <v>43</v>
      </c>
      <c r="AB5893" t="s">
        <v>43</v>
      </c>
      <c r="AC5893" t="s">
        <v>43</v>
      </c>
      <c r="AD5893" t="s">
        <v>43</v>
      </c>
      <c r="AE5893" t="s">
        <v>43</v>
      </c>
      <c r="AF5893" t="s">
        <v>43</v>
      </c>
      <c r="AG5893" t="s">
        <v>43</v>
      </c>
      <c r="AH5893" t="s">
        <v>43</v>
      </c>
      <c r="AI5893" t="s">
        <v>43</v>
      </c>
      <c r="AJ5893" t="s">
        <v>43</v>
      </c>
      <c r="AK5893" t="s">
        <v>43</v>
      </c>
      <c r="AL5893" t="s">
        <v>43</v>
      </c>
      <c r="AM5893" t="s">
        <v>43</v>
      </c>
      <c r="AN5893" t="s">
        <v>43</v>
      </c>
    </row>
    <row r="5894" spans="1:40" x14ac:dyDescent="0.3">
      <c r="A5894" s="1">
        <v>46210.317129629628</v>
      </c>
      <c r="B5894" t="s">
        <v>40</v>
      </c>
      <c r="C5894" t="s">
        <v>41</v>
      </c>
      <c r="D5894" s="1">
        <v>46210.320081018515</v>
      </c>
      <c r="E5894" t="s">
        <v>42</v>
      </c>
      <c r="F5894" t="s">
        <v>43</v>
      </c>
      <c r="G5894" t="s">
        <v>43</v>
      </c>
      <c r="H5894" t="s">
        <v>43</v>
      </c>
      <c r="I5894" t="s">
        <v>3322</v>
      </c>
      <c r="J5894" t="s">
        <v>43</v>
      </c>
      <c r="K5894" t="s">
        <v>43</v>
      </c>
      <c r="L5894" t="s">
        <v>43</v>
      </c>
      <c r="M5894" t="s">
        <v>43</v>
      </c>
      <c r="N5894" t="s">
        <v>45</v>
      </c>
      <c r="O5894" t="s">
        <v>43</v>
      </c>
      <c r="P5894" t="s">
        <v>43</v>
      </c>
      <c r="Q5894" t="s">
        <v>43</v>
      </c>
      <c r="R5894" t="s">
        <v>43</v>
      </c>
      <c r="S5894" t="s">
        <v>43</v>
      </c>
      <c r="T5894" t="s">
        <v>43</v>
      </c>
      <c r="U5894" t="s">
        <v>43</v>
      </c>
      <c r="V5894" t="s">
        <v>43</v>
      </c>
      <c r="W5894" t="s">
        <v>43</v>
      </c>
      <c r="X5894" t="s">
        <v>43</v>
      </c>
      <c r="Y5894" t="s">
        <v>43</v>
      </c>
      <c r="Z5894" t="s">
        <v>43</v>
      </c>
      <c r="AA5894" t="s">
        <v>43</v>
      </c>
      <c r="AB5894" t="s">
        <v>43</v>
      </c>
      <c r="AC5894" t="s">
        <v>43</v>
      </c>
      <c r="AD5894" t="s">
        <v>43</v>
      </c>
      <c r="AE5894" t="s">
        <v>43</v>
      </c>
      <c r="AF5894" t="s">
        <v>43</v>
      </c>
      <c r="AG5894" t="s">
        <v>43</v>
      </c>
      <c r="AH5894" t="s">
        <v>43</v>
      </c>
      <c r="AI5894" t="s">
        <v>43</v>
      </c>
      <c r="AJ5894" t="s">
        <v>43</v>
      </c>
      <c r="AK5894" t="s">
        <v>43</v>
      </c>
      <c r="AL5894" t="s">
        <v>43</v>
      </c>
      <c r="AM5894" t="s">
        <v>43</v>
      </c>
      <c r="AN5894" t="str">
        <f>HYPERLINK("https://www.google.com/maps?q=10.83316326,79.84615326","Open Location")</f>
        <v>Open Location</v>
      </c>
    </row>
    <row r="5895" spans="1:40" x14ac:dyDescent="0.3">
      <c r="A5895" s="1">
        <v>46210.317013888889</v>
      </c>
      <c r="B5895" t="s">
        <v>40</v>
      </c>
      <c r="C5895" t="s">
        <v>41</v>
      </c>
      <c r="D5895" s="1">
        <v>46210.320069444446</v>
      </c>
      <c r="E5895" t="s">
        <v>42</v>
      </c>
      <c r="F5895" t="s">
        <v>43</v>
      </c>
      <c r="G5895" t="s">
        <v>43</v>
      </c>
      <c r="H5895" t="s">
        <v>43</v>
      </c>
      <c r="I5895" t="s">
        <v>3303</v>
      </c>
      <c r="J5895" t="s">
        <v>43</v>
      </c>
      <c r="K5895" t="s">
        <v>43</v>
      </c>
      <c r="L5895" t="s">
        <v>43</v>
      </c>
      <c r="M5895" t="s">
        <v>43</v>
      </c>
      <c r="N5895" t="s">
        <v>45</v>
      </c>
      <c r="O5895" t="s">
        <v>43</v>
      </c>
      <c r="P5895" t="s">
        <v>43</v>
      </c>
      <c r="Q5895" t="s">
        <v>43</v>
      </c>
      <c r="R5895" t="s">
        <v>43</v>
      </c>
      <c r="S5895" t="s">
        <v>43</v>
      </c>
      <c r="T5895" t="s">
        <v>43</v>
      </c>
      <c r="U5895" t="s">
        <v>43</v>
      </c>
      <c r="V5895" t="s">
        <v>43</v>
      </c>
      <c r="W5895" t="s">
        <v>43</v>
      </c>
      <c r="X5895" t="s">
        <v>43</v>
      </c>
      <c r="Y5895" t="s">
        <v>43</v>
      </c>
      <c r="Z5895" t="s">
        <v>43</v>
      </c>
      <c r="AA5895" t="s">
        <v>43</v>
      </c>
      <c r="AB5895" t="s">
        <v>43</v>
      </c>
      <c r="AC5895" t="s">
        <v>43</v>
      </c>
      <c r="AD5895" t="s">
        <v>43</v>
      </c>
      <c r="AE5895" t="s">
        <v>43</v>
      </c>
      <c r="AF5895" t="s">
        <v>43</v>
      </c>
      <c r="AG5895" t="s">
        <v>43</v>
      </c>
      <c r="AH5895" t="s">
        <v>43</v>
      </c>
      <c r="AI5895" t="s">
        <v>43</v>
      </c>
      <c r="AJ5895" t="s">
        <v>43</v>
      </c>
      <c r="AK5895" t="s">
        <v>43</v>
      </c>
      <c r="AL5895" t="s">
        <v>43</v>
      </c>
      <c r="AM5895" t="s">
        <v>43</v>
      </c>
      <c r="AN5895" t="str">
        <f>HYPERLINK("https://www.google.com/maps?q=10.83315945,79.84614563","Open Location")</f>
        <v>Open Location</v>
      </c>
    </row>
    <row r="5896" spans="1:40" x14ac:dyDescent="0.3">
      <c r="A5896" s="1">
        <v>46210.31689814815</v>
      </c>
      <c r="B5896" t="s">
        <v>40</v>
      </c>
      <c r="C5896" t="s">
        <v>41</v>
      </c>
      <c r="D5896" s="1">
        <v>46210.319756944446</v>
      </c>
      <c r="E5896" t="s">
        <v>42</v>
      </c>
      <c r="F5896" t="s">
        <v>43</v>
      </c>
      <c r="G5896" t="s">
        <v>43</v>
      </c>
      <c r="H5896" t="s">
        <v>43</v>
      </c>
      <c r="I5896" t="s">
        <v>3331</v>
      </c>
      <c r="J5896" t="s">
        <v>43</v>
      </c>
      <c r="K5896" t="s">
        <v>43</v>
      </c>
      <c r="L5896" t="s">
        <v>43</v>
      </c>
      <c r="M5896" t="s">
        <v>43</v>
      </c>
      <c r="N5896" t="s">
        <v>45</v>
      </c>
      <c r="O5896" t="s">
        <v>43</v>
      </c>
      <c r="P5896" t="s">
        <v>43</v>
      </c>
      <c r="Q5896" t="s">
        <v>43</v>
      </c>
      <c r="R5896" t="s">
        <v>43</v>
      </c>
      <c r="S5896" t="s">
        <v>43</v>
      </c>
      <c r="T5896" t="s">
        <v>43</v>
      </c>
      <c r="U5896" t="s">
        <v>43</v>
      </c>
      <c r="V5896" t="s">
        <v>43</v>
      </c>
      <c r="W5896" t="s">
        <v>43</v>
      </c>
      <c r="X5896" t="s">
        <v>43</v>
      </c>
      <c r="Y5896" t="s">
        <v>43</v>
      </c>
      <c r="Z5896" t="s">
        <v>43</v>
      </c>
      <c r="AA5896" t="s">
        <v>43</v>
      </c>
      <c r="AB5896" t="s">
        <v>43</v>
      </c>
      <c r="AC5896" t="s">
        <v>43</v>
      </c>
      <c r="AD5896" t="s">
        <v>43</v>
      </c>
      <c r="AE5896" t="s">
        <v>43</v>
      </c>
      <c r="AF5896" t="s">
        <v>43</v>
      </c>
      <c r="AG5896" t="s">
        <v>43</v>
      </c>
      <c r="AH5896" t="s">
        <v>43</v>
      </c>
      <c r="AI5896" t="s">
        <v>43</v>
      </c>
      <c r="AJ5896" t="s">
        <v>43</v>
      </c>
      <c r="AK5896" t="s">
        <v>43</v>
      </c>
      <c r="AL5896" t="s">
        <v>43</v>
      </c>
      <c r="AM5896" t="s">
        <v>43</v>
      </c>
      <c r="AN5896" t="str">
        <f>HYPERLINK("https://www.google.com/maps?q=10.83316135,79.84614563","Open Location")</f>
        <v>Open Location</v>
      </c>
    </row>
    <row r="5897" spans="1:40" x14ac:dyDescent="0.3">
      <c r="A5897" s="1">
        <v>46210.316782407404</v>
      </c>
      <c r="B5897" t="s">
        <v>40</v>
      </c>
      <c r="C5897" t="s">
        <v>41</v>
      </c>
      <c r="D5897" s="1">
        <v>46210.319687499999</v>
      </c>
      <c r="E5897" t="s">
        <v>42</v>
      </c>
      <c r="F5897" t="s">
        <v>43</v>
      </c>
      <c r="G5897" t="s">
        <v>43</v>
      </c>
      <c r="H5897" t="s">
        <v>43</v>
      </c>
      <c r="I5897" t="s">
        <v>3320</v>
      </c>
      <c r="J5897" t="s">
        <v>43</v>
      </c>
      <c r="K5897" t="s">
        <v>43</v>
      </c>
      <c r="L5897" t="s">
        <v>43</v>
      </c>
      <c r="M5897" t="s">
        <v>43</v>
      </c>
      <c r="N5897" t="s">
        <v>45</v>
      </c>
      <c r="O5897" t="s">
        <v>43</v>
      </c>
      <c r="P5897" t="s">
        <v>43</v>
      </c>
      <c r="Q5897" t="s">
        <v>43</v>
      </c>
      <c r="R5897" t="s">
        <v>43</v>
      </c>
      <c r="S5897" t="s">
        <v>43</v>
      </c>
      <c r="T5897" t="s">
        <v>43</v>
      </c>
      <c r="U5897" t="s">
        <v>43</v>
      </c>
      <c r="V5897" t="s">
        <v>43</v>
      </c>
      <c r="W5897" t="s">
        <v>43</v>
      </c>
      <c r="X5897" t="s">
        <v>43</v>
      </c>
      <c r="Y5897" t="s">
        <v>43</v>
      </c>
      <c r="Z5897" t="s">
        <v>43</v>
      </c>
      <c r="AA5897" t="s">
        <v>43</v>
      </c>
      <c r="AB5897" t="s">
        <v>43</v>
      </c>
      <c r="AC5897" t="s">
        <v>43</v>
      </c>
      <c r="AD5897" t="s">
        <v>43</v>
      </c>
      <c r="AE5897" t="s">
        <v>43</v>
      </c>
      <c r="AF5897" t="s">
        <v>43</v>
      </c>
      <c r="AG5897" t="s">
        <v>43</v>
      </c>
      <c r="AH5897" t="s">
        <v>43</v>
      </c>
      <c r="AI5897" t="s">
        <v>43</v>
      </c>
      <c r="AJ5897" t="s">
        <v>43</v>
      </c>
      <c r="AK5897" t="s">
        <v>43</v>
      </c>
      <c r="AL5897" t="s">
        <v>43</v>
      </c>
      <c r="AM5897" t="s">
        <v>43</v>
      </c>
      <c r="AN5897" t="str">
        <f>HYPERLINK("https://www.google.com/maps?q=10.83316326,79.84614563","Open Location")</f>
        <v>Open Location</v>
      </c>
    </row>
    <row r="5898" spans="1:40" x14ac:dyDescent="0.3">
      <c r="A5898" s="1">
        <v>46210.316666666666</v>
      </c>
      <c r="B5898" t="s">
        <v>40</v>
      </c>
      <c r="C5898" t="s">
        <v>41</v>
      </c>
      <c r="D5898" s="1">
        <v>46210.319606481484</v>
      </c>
      <c r="E5898" t="s">
        <v>42</v>
      </c>
      <c r="F5898" t="s">
        <v>43</v>
      </c>
      <c r="G5898" t="s">
        <v>43</v>
      </c>
      <c r="H5898" t="s">
        <v>43</v>
      </c>
      <c r="I5898" t="s">
        <v>43</v>
      </c>
      <c r="J5898" t="s">
        <v>43</v>
      </c>
      <c r="K5898" t="s">
        <v>43</v>
      </c>
      <c r="L5898" t="s">
        <v>43</v>
      </c>
      <c r="M5898" t="s">
        <v>43</v>
      </c>
      <c r="N5898" t="s">
        <v>45</v>
      </c>
      <c r="O5898" t="s">
        <v>43</v>
      </c>
      <c r="P5898" t="s">
        <v>43</v>
      </c>
      <c r="Q5898" t="s">
        <v>43</v>
      </c>
      <c r="R5898" t="s">
        <v>43</v>
      </c>
      <c r="S5898" t="s">
        <v>43</v>
      </c>
      <c r="T5898" t="s">
        <v>43</v>
      </c>
      <c r="U5898" t="s">
        <v>43</v>
      </c>
      <c r="V5898" t="s">
        <v>43</v>
      </c>
      <c r="W5898" t="s">
        <v>43</v>
      </c>
      <c r="X5898" t="s">
        <v>43</v>
      </c>
      <c r="Y5898" t="s">
        <v>43</v>
      </c>
      <c r="Z5898" t="s">
        <v>43</v>
      </c>
      <c r="AA5898" t="s">
        <v>43</v>
      </c>
      <c r="AB5898" t="s">
        <v>43</v>
      </c>
      <c r="AC5898" t="s">
        <v>43</v>
      </c>
      <c r="AD5898" t="s">
        <v>43</v>
      </c>
      <c r="AE5898" t="s">
        <v>43</v>
      </c>
      <c r="AF5898" t="s">
        <v>43</v>
      </c>
      <c r="AG5898" t="s">
        <v>43</v>
      </c>
      <c r="AH5898" t="s">
        <v>43</v>
      </c>
      <c r="AI5898" t="s">
        <v>43</v>
      </c>
      <c r="AJ5898" t="s">
        <v>43</v>
      </c>
      <c r="AK5898" t="s">
        <v>43</v>
      </c>
      <c r="AL5898" t="s">
        <v>43</v>
      </c>
      <c r="AM5898" t="s">
        <v>43</v>
      </c>
      <c r="AN5898" t="s">
        <v>43</v>
      </c>
    </row>
    <row r="5899" spans="1:40" x14ac:dyDescent="0.3">
      <c r="A5899" s="1">
        <v>46210.316550925927</v>
      </c>
      <c r="B5899" t="s">
        <v>40</v>
      </c>
      <c r="C5899" t="s">
        <v>41</v>
      </c>
      <c r="D5899" s="1">
        <v>46210.319421296299</v>
      </c>
      <c r="E5899" t="s">
        <v>42</v>
      </c>
      <c r="F5899" t="s">
        <v>43</v>
      </c>
      <c r="G5899" t="s">
        <v>43</v>
      </c>
      <c r="H5899" t="s">
        <v>43</v>
      </c>
      <c r="I5899" t="s">
        <v>3332</v>
      </c>
      <c r="J5899" t="s">
        <v>43</v>
      </c>
      <c r="K5899" t="s">
        <v>43</v>
      </c>
      <c r="L5899" t="s">
        <v>43</v>
      </c>
      <c r="M5899" t="s">
        <v>43</v>
      </c>
      <c r="N5899" t="s">
        <v>45</v>
      </c>
      <c r="O5899" t="s">
        <v>43</v>
      </c>
      <c r="P5899" t="s">
        <v>43</v>
      </c>
      <c r="Q5899" t="s">
        <v>43</v>
      </c>
      <c r="R5899" t="s">
        <v>43</v>
      </c>
      <c r="S5899" t="s">
        <v>43</v>
      </c>
      <c r="T5899" t="s">
        <v>43</v>
      </c>
      <c r="U5899" t="s">
        <v>43</v>
      </c>
      <c r="V5899" t="s">
        <v>43</v>
      </c>
      <c r="W5899" t="s">
        <v>43</v>
      </c>
      <c r="X5899" t="s">
        <v>43</v>
      </c>
      <c r="Y5899" t="s">
        <v>43</v>
      </c>
      <c r="Z5899" t="s">
        <v>43</v>
      </c>
      <c r="AA5899" t="s">
        <v>43</v>
      </c>
      <c r="AB5899" t="s">
        <v>43</v>
      </c>
      <c r="AC5899" t="s">
        <v>43</v>
      </c>
      <c r="AD5899" t="s">
        <v>43</v>
      </c>
      <c r="AE5899" t="s">
        <v>43</v>
      </c>
      <c r="AF5899" t="s">
        <v>43</v>
      </c>
      <c r="AG5899" t="s">
        <v>43</v>
      </c>
      <c r="AH5899" t="s">
        <v>43</v>
      </c>
      <c r="AI5899" t="s">
        <v>43</v>
      </c>
      <c r="AJ5899" t="s">
        <v>43</v>
      </c>
      <c r="AK5899" t="s">
        <v>43</v>
      </c>
      <c r="AL5899" t="s">
        <v>43</v>
      </c>
      <c r="AM5899" t="s">
        <v>43</v>
      </c>
      <c r="AN5899" t="str">
        <f>HYPERLINK("https://www.google.com/maps?q=10.83316994,79.84614563","Open Location")</f>
        <v>Open Location</v>
      </c>
    </row>
    <row r="5900" spans="1:40" x14ac:dyDescent="0.3">
      <c r="A5900" s="1">
        <v>46210.316435185188</v>
      </c>
      <c r="B5900" t="s">
        <v>40</v>
      </c>
      <c r="C5900" t="s">
        <v>41</v>
      </c>
      <c r="D5900" s="1">
        <v>46210.319363425922</v>
      </c>
      <c r="E5900" t="s">
        <v>42</v>
      </c>
      <c r="F5900" t="s">
        <v>43</v>
      </c>
      <c r="G5900" t="s">
        <v>43</v>
      </c>
      <c r="H5900" t="s">
        <v>43</v>
      </c>
      <c r="I5900" t="s">
        <v>3333</v>
      </c>
      <c r="J5900" t="s">
        <v>43</v>
      </c>
      <c r="K5900" t="s">
        <v>43</v>
      </c>
      <c r="L5900" t="s">
        <v>43</v>
      </c>
      <c r="M5900" t="s">
        <v>43</v>
      </c>
      <c r="N5900" t="s">
        <v>45</v>
      </c>
      <c r="O5900" t="s">
        <v>43</v>
      </c>
      <c r="P5900" t="s">
        <v>43</v>
      </c>
      <c r="Q5900" t="s">
        <v>43</v>
      </c>
      <c r="R5900" t="s">
        <v>43</v>
      </c>
      <c r="S5900" t="s">
        <v>43</v>
      </c>
      <c r="T5900" t="s">
        <v>43</v>
      </c>
      <c r="U5900" t="s">
        <v>43</v>
      </c>
      <c r="V5900" t="s">
        <v>43</v>
      </c>
      <c r="W5900" t="s">
        <v>43</v>
      </c>
      <c r="X5900" t="s">
        <v>43</v>
      </c>
      <c r="Y5900" t="s">
        <v>43</v>
      </c>
      <c r="Z5900" t="s">
        <v>43</v>
      </c>
      <c r="AA5900" t="s">
        <v>43</v>
      </c>
      <c r="AB5900" t="s">
        <v>43</v>
      </c>
      <c r="AC5900" t="s">
        <v>43</v>
      </c>
      <c r="AD5900" t="s">
        <v>43</v>
      </c>
      <c r="AE5900" t="s">
        <v>43</v>
      </c>
      <c r="AF5900" t="s">
        <v>43</v>
      </c>
      <c r="AG5900" t="s">
        <v>43</v>
      </c>
      <c r="AH5900" t="s">
        <v>43</v>
      </c>
      <c r="AI5900" t="s">
        <v>43</v>
      </c>
      <c r="AJ5900" t="s">
        <v>43</v>
      </c>
      <c r="AK5900" t="s">
        <v>43</v>
      </c>
      <c r="AL5900" t="s">
        <v>43</v>
      </c>
      <c r="AM5900" t="s">
        <v>43</v>
      </c>
      <c r="AN5900" t="str">
        <f>HYPERLINK("https://www.google.com/maps?q=10.83317089,79.84614563","Open Location")</f>
        <v>Open Location</v>
      </c>
    </row>
    <row r="5901" spans="1:40" x14ac:dyDescent="0.3">
      <c r="A5901" s="1">
        <v>46210.316319444442</v>
      </c>
      <c r="B5901" t="s">
        <v>40</v>
      </c>
      <c r="C5901" t="s">
        <v>41</v>
      </c>
      <c r="D5901" s="1">
        <v>46210.319189814814</v>
      </c>
      <c r="E5901" t="s">
        <v>42</v>
      </c>
      <c r="F5901" t="s">
        <v>43</v>
      </c>
      <c r="G5901" t="s">
        <v>43</v>
      </c>
      <c r="H5901" t="s">
        <v>43</v>
      </c>
      <c r="I5901" t="s">
        <v>3334</v>
      </c>
      <c r="J5901" t="s">
        <v>43</v>
      </c>
      <c r="K5901" t="s">
        <v>43</v>
      </c>
      <c r="L5901" t="s">
        <v>43</v>
      </c>
      <c r="M5901" t="s">
        <v>43</v>
      </c>
      <c r="N5901" t="s">
        <v>45</v>
      </c>
      <c r="O5901" t="s">
        <v>43</v>
      </c>
      <c r="P5901" t="s">
        <v>43</v>
      </c>
      <c r="Q5901" t="s">
        <v>43</v>
      </c>
      <c r="R5901" t="s">
        <v>43</v>
      </c>
      <c r="S5901" t="s">
        <v>43</v>
      </c>
      <c r="T5901" t="s">
        <v>43</v>
      </c>
      <c r="U5901" t="s">
        <v>43</v>
      </c>
      <c r="V5901" t="s">
        <v>43</v>
      </c>
      <c r="W5901" t="s">
        <v>43</v>
      </c>
      <c r="X5901" t="s">
        <v>43</v>
      </c>
      <c r="Y5901" t="s">
        <v>43</v>
      </c>
      <c r="Z5901" t="s">
        <v>43</v>
      </c>
      <c r="AA5901" t="s">
        <v>43</v>
      </c>
      <c r="AB5901" t="s">
        <v>43</v>
      </c>
      <c r="AC5901" t="s">
        <v>43</v>
      </c>
      <c r="AD5901" t="s">
        <v>43</v>
      </c>
      <c r="AE5901" t="s">
        <v>43</v>
      </c>
      <c r="AF5901" t="s">
        <v>43</v>
      </c>
      <c r="AG5901" t="s">
        <v>43</v>
      </c>
      <c r="AH5901" t="s">
        <v>43</v>
      </c>
      <c r="AI5901" t="s">
        <v>43</v>
      </c>
      <c r="AJ5901" t="s">
        <v>43</v>
      </c>
      <c r="AK5901" t="s">
        <v>43</v>
      </c>
      <c r="AL5901" t="s">
        <v>43</v>
      </c>
      <c r="AM5901" t="s">
        <v>43</v>
      </c>
      <c r="AN5901" t="str">
        <f>HYPERLINK("https://www.google.com/maps?q=10.8331728,79.84614563","Open Location")</f>
        <v>Open Location</v>
      </c>
    </row>
    <row r="5902" spans="1:40" x14ac:dyDescent="0.3">
      <c r="A5902" s="1">
        <v>46210.316203703704</v>
      </c>
      <c r="B5902" t="s">
        <v>40</v>
      </c>
      <c r="C5902" t="s">
        <v>41</v>
      </c>
      <c r="D5902" s="1">
        <v>46210.319166666668</v>
      </c>
      <c r="E5902" t="s">
        <v>42</v>
      </c>
      <c r="F5902" t="s">
        <v>43</v>
      </c>
      <c r="G5902" t="s">
        <v>43</v>
      </c>
      <c r="H5902" t="s">
        <v>43</v>
      </c>
      <c r="I5902" t="s">
        <v>3333</v>
      </c>
      <c r="J5902" t="s">
        <v>43</v>
      </c>
      <c r="K5902" t="s">
        <v>43</v>
      </c>
      <c r="L5902" t="s">
        <v>43</v>
      </c>
      <c r="M5902" t="s">
        <v>43</v>
      </c>
      <c r="N5902" t="s">
        <v>45</v>
      </c>
      <c r="O5902" t="s">
        <v>43</v>
      </c>
      <c r="P5902" t="s">
        <v>43</v>
      </c>
      <c r="Q5902" t="s">
        <v>43</v>
      </c>
      <c r="R5902" t="s">
        <v>43</v>
      </c>
      <c r="S5902" t="s">
        <v>43</v>
      </c>
      <c r="T5902" t="s">
        <v>43</v>
      </c>
      <c r="U5902" t="s">
        <v>43</v>
      </c>
      <c r="V5902" t="s">
        <v>43</v>
      </c>
      <c r="W5902" t="s">
        <v>43</v>
      </c>
      <c r="X5902" t="s">
        <v>43</v>
      </c>
      <c r="Y5902" t="s">
        <v>43</v>
      </c>
      <c r="Z5902" t="s">
        <v>43</v>
      </c>
      <c r="AA5902" t="s">
        <v>43</v>
      </c>
      <c r="AB5902" t="s">
        <v>43</v>
      </c>
      <c r="AC5902" t="s">
        <v>43</v>
      </c>
      <c r="AD5902" t="s">
        <v>43</v>
      </c>
      <c r="AE5902" t="s">
        <v>43</v>
      </c>
      <c r="AF5902" t="s">
        <v>43</v>
      </c>
      <c r="AG5902" t="s">
        <v>43</v>
      </c>
      <c r="AH5902" t="s">
        <v>43</v>
      </c>
      <c r="AI5902" t="s">
        <v>43</v>
      </c>
      <c r="AJ5902" t="s">
        <v>43</v>
      </c>
      <c r="AK5902" t="s">
        <v>43</v>
      </c>
      <c r="AL5902" t="s">
        <v>43</v>
      </c>
      <c r="AM5902" t="s">
        <v>43</v>
      </c>
      <c r="AN5902" t="str">
        <f>HYPERLINK("https://www.google.com/maps?q=10.83317089,79.84614563","Open Location")</f>
        <v>Open Location</v>
      </c>
    </row>
    <row r="5903" spans="1:40" x14ac:dyDescent="0.3">
      <c r="A5903" s="1">
        <v>46210.316087962965</v>
      </c>
      <c r="B5903" t="s">
        <v>40</v>
      </c>
      <c r="C5903" t="s">
        <v>41</v>
      </c>
      <c r="D5903" s="1">
        <v>46210.318912037037</v>
      </c>
      <c r="E5903" t="s">
        <v>42</v>
      </c>
      <c r="F5903" t="s">
        <v>43</v>
      </c>
      <c r="G5903" t="s">
        <v>43</v>
      </c>
      <c r="H5903" t="s">
        <v>43</v>
      </c>
      <c r="I5903" t="s">
        <v>3307</v>
      </c>
      <c r="J5903" t="s">
        <v>43</v>
      </c>
      <c r="K5903" t="s">
        <v>43</v>
      </c>
      <c r="L5903" t="s">
        <v>43</v>
      </c>
      <c r="M5903" t="s">
        <v>43</v>
      </c>
      <c r="N5903" t="s">
        <v>45</v>
      </c>
      <c r="O5903" t="s">
        <v>43</v>
      </c>
      <c r="P5903" t="s">
        <v>43</v>
      </c>
      <c r="Q5903" t="s">
        <v>43</v>
      </c>
      <c r="R5903" t="s">
        <v>43</v>
      </c>
      <c r="S5903" t="s">
        <v>43</v>
      </c>
      <c r="T5903" t="s">
        <v>43</v>
      </c>
      <c r="U5903" t="s">
        <v>43</v>
      </c>
      <c r="V5903" t="s">
        <v>43</v>
      </c>
      <c r="W5903" t="s">
        <v>43</v>
      </c>
      <c r="X5903" t="s">
        <v>43</v>
      </c>
      <c r="Y5903" t="s">
        <v>43</v>
      </c>
      <c r="Z5903" t="s">
        <v>43</v>
      </c>
      <c r="AA5903" t="s">
        <v>43</v>
      </c>
      <c r="AB5903" t="s">
        <v>43</v>
      </c>
      <c r="AC5903" t="s">
        <v>43</v>
      </c>
      <c r="AD5903" t="s">
        <v>43</v>
      </c>
      <c r="AE5903" t="s">
        <v>43</v>
      </c>
      <c r="AF5903" t="s">
        <v>43</v>
      </c>
      <c r="AG5903" t="s">
        <v>43</v>
      </c>
      <c r="AH5903" t="s">
        <v>43</v>
      </c>
      <c r="AI5903" t="s">
        <v>43</v>
      </c>
      <c r="AJ5903" t="s">
        <v>43</v>
      </c>
      <c r="AK5903" t="s">
        <v>43</v>
      </c>
      <c r="AL5903" t="s">
        <v>43</v>
      </c>
      <c r="AM5903" t="s">
        <v>43</v>
      </c>
      <c r="AN5903" t="str">
        <f>HYPERLINK("https://www.google.com/maps?q=10.83317184,79.84614563","Open Location")</f>
        <v>Open Location</v>
      </c>
    </row>
    <row r="5904" spans="1:40" x14ac:dyDescent="0.3">
      <c r="A5904" s="1">
        <v>46210.315972222219</v>
      </c>
      <c r="B5904" t="s">
        <v>40</v>
      </c>
      <c r="C5904" t="s">
        <v>41</v>
      </c>
      <c r="D5904" s="1">
        <v>46210.318993055553</v>
      </c>
      <c r="E5904" t="s">
        <v>42</v>
      </c>
      <c r="F5904" t="s">
        <v>43</v>
      </c>
      <c r="G5904" t="s">
        <v>43</v>
      </c>
      <c r="H5904" t="s">
        <v>43</v>
      </c>
      <c r="I5904" t="s">
        <v>43</v>
      </c>
      <c r="J5904" t="s">
        <v>43</v>
      </c>
      <c r="K5904" t="s">
        <v>43</v>
      </c>
      <c r="L5904" t="s">
        <v>43</v>
      </c>
      <c r="M5904" t="s">
        <v>43</v>
      </c>
      <c r="N5904" t="s">
        <v>45</v>
      </c>
      <c r="O5904" t="s">
        <v>43</v>
      </c>
      <c r="P5904" t="s">
        <v>43</v>
      </c>
      <c r="Q5904" t="s">
        <v>43</v>
      </c>
      <c r="R5904" t="s">
        <v>43</v>
      </c>
      <c r="S5904" t="s">
        <v>43</v>
      </c>
      <c r="T5904" t="s">
        <v>43</v>
      </c>
      <c r="U5904" t="s">
        <v>43</v>
      </c>
      <c r="V5904" t="s">
        <v>43</v>
      </c>
      <c r="W5904" t="s">
        <v>43</v>
      </c>
      <c r="X5904" t="s">
        <v>43</v>
      </c>
      <c r="Y5904" t="s">
        <v>43</v>
      </c>
      <c r="Z5904" t="s">
        <v>43</v>
      </c>
      <c r="AA5904" t="s">
        <v>43</v>
      </c>
      <c r="AB5904" t="s">
        <v>43</v>
      </c>
      <c r="AC5904" t="s">
        <v>43</v>
      </c>
      <c r="AD5904" t="s">
        <v>43</v>
      </c>
      <c r="AE5904" t="s">
        <v>43</v>
      </c>
      <c r="AF5904" t="s">
        <v>43</v>
      </c>
      <c r="AG5904" t="s">
        <v>43</v>
      </c>
      <c r="AH5904" t="s">
        <v>43</v>
      </c>
      <c r="AI5904" t="s">
        <v>43</v>
      </c>
      <c r="AJ5904" t="s">
        <v>43</v>
      </c>
      <c r="AK5904" t="s">
        <v>43</v>
      </c>
      <c r="AL5904" t="s">
        <v>43</v>
      </c>
      <c r="AM5904" t="s">
        <v>43</v>
      </c>
      <c r="AN5904" t="s">
        <v>43</v>
      </c>
    </row>
    <row r="5905" spans="1:40" x14ac:dyDescent="0.3">
      <c r="A5905" s="1">
        <v>46210.31585648148</v>
      </c>
      <c r="B5905" t="s">
        <v>40</v>
      </c>
      <c r="C5905" t="s">
        <v>41</v>
      </c>
      <c r="D5905" s="1">
        <v>46210.318807870368</v>
      </c>
      <c r="E5905" t="s">
        <v>42</v>
      </c>
      <c r="F5905" t="s">
        <v>43</v>
      </c>
      <c r="G5905" t="s">
        <v>43</v>
      </c>
      <c r="H5905" t="s">
        <v>43</v>
      </c>
      <c r="I5905" t="s">
        <v>3332</v>
      </c>
      <c r="J5905" t="s">
        <v>43</v>
      </c>
      <c r="K5905" t="s">
        <v>43</v>
      </c>
      <c r="L5905" t="s">
        <v>43</v>
      </c>
      <c r="M5905" t="s">
        <v>43</v>
      </c>
      <c r="N5905" t="s">
        <v>45</v>
      </c>
      <c r="O5905" t="s">
        <v>43</v>
      </c>
      <c r="P5905" t="s">
        <v>43</v>
      </c>
      <c r="Q5905" t="s">
        <v>43</v>
      </c>
      <c r="R5905" t="s">
        <v>43</v>
      </c>
      <c r="S5905" t="s">
        <v>43</v>
      </c>
      <c r="T5905" t="s">
        <v>43</v>
      </c>
      <c r="U5905" t="s">
        <v>43</v>
      </c>
      <c r="V5905" t="s">
        <v>43</v>
      </c>
      <c r="W5905" t="s">
        <v>43</v>
      </c>
      <c r="X5905" t="s">
        <v>43</v>
      </c>
      <c r="Y5905" t="s">
        <v>43</v>
      </c>
      <c r="Z5905" t="s">
        <v>43</v>
      </c>
      <c r="AA5905" t="s">
        <v>43</v>
      </c>
      <c r="AB5905" t="s">
        <v>43</v>
      </c>
      <c r="AC5905" t="s">
        <v>43</v>
      </c>
      <c r="AD5905" t="s">
        <v>43</v>
      </c>
      <c r="AE5905" t="s">
        <v>43</v>
      </c>
      <c r="AF5905" t="s">
        <v>43</v>
      </c>
      <c r="AG5905" t="s">
        <v>43</v>
      </c>
      <c r="AH5905" t="s">
        <v>43</v>
      </c>
      <c r="AI5905" t="s">
        <v>43</v>
      </c>
      <c r="AJ5905" t="s">
        <v>43</v>
      </c>
      <c r="AK5905" t="s">
        <v>43</v>
      </c>
      <c r="AL5905" t="s">
        <v>43</v>
      </c>
      <c r="AM5905" t="s">
        <v>43</v>
      </c>
      <c r="AN5905" t="str">
        <f>HYPERLINK("https://www.google.com/maps?q=10.83316994,79.84614563","Open Location")</f>
        <v>Open Location</v>
      </c>
    </row>
    <row r="5906" spans="1:40" x14ac:dyDescent="0.3">
      <c r="A5906" s="1">
        <v>46210.315740740742</v>
      </c>
      <c r="B5906" t="s">
        <v>40</v>
      </c>
      <c r="C5906" t="s">
        <v>41</v>
      </c>
      <c r="D5906" s="1">
        <v>46210.318645833337</v>
      </c>
      <c r="E5906" t="s">
        <v>42</v>
      </c>
      <c r="F5906" t="s">
        <v>43</v>
      </c>
      <c r="G5906" t="s">
        <v>43</v>
      </c>
      <c r="H5906" t="s">
        <v>43</v>
      </c>
      <c r="I5906" t="s">
        <v>3335</v>
      </c>
      <c r="J5906" t="s">
        <v>43</v>
      </c>
      <c r="K5906" t="s">
        <v>43</v>
      </c>
      <c r="L5906" t="s">
        <v>43</v>
      </c>
      <c r="M5906" t="s">
        <v>43</v>
      </c>
      <c r="N5906" t="s">
        <v>45</v>
      </c>
      <c r="O5906" t="s">
        <v>43</v>
      </c>
      <c r="P5906" t="s">
        <v>43</v>
      </c>
      <c r="Q5906" t="s">
        <v>43</v>
      </c>
      <c r="R5906" t="s">
        <v>43</v>
      </c>
      <c r="S5906" t="s">
        <v>43</v>
      </c>
      <c r="T5906" t="s">
        <v>43</v>
      </c>
      <c r="U5906" t="s">
        <v>43</v>
      </c>
      <c r="V5906" t="s">
        <v>43</v>
      </c>
      <c r="W5906" t="s">
        <v>43</v>
      </c>
      <c r="X5906" t="s">
        <v>43</v>
      </c>
      <c r="Y5906" t="s">
        <v>43</v>
      </c>
      <c r="Z5906" t="s">
        <v>43</v>
      </c>
      <c r="AA5906" t="s">
        <v>43</v>
      </c>
      <c r="AB5906" t="s">
        <v>43</v>
      </c>
      <c r="AC5906" t="s">
        <v>43</v>
      </c>
      <c r="AD5906" t="s">
        <v>43</v>
      </c>
      <c r="AE5906" t="s">
        <v>43</v>
      </c>
      <c r="AF5906" t="s">
        <v>43</v>
      </c>
      <c r="AG5906" t="s">
        <v>43</v>
      </c>
      <c r="AH5906" t="s">
        <v>43</v>
      </c>
      <c r="AI5906" t="s">
        <v>43</v>
      </c>
      <c r="AJ5906" t="s">
        <v>43</v>
      </c>
      <c r="AK5906" t="s">
        <v>43</v>
      </c>
      <c r="AL5906" t="s">
        <v>43</v>
      </c>
      <c r="AM5906" t="s">
        <v>43</v>
      </c>
      <c r="AN5906" t="str">
        <f>HYPERLINK("https://www.google.com/maps?q=10.83316708,79.846138","Open Location")</f>
        <v>Open Location</v>
      </c>
    </row>
    <row r="5907" spans="1:40" x14ac:dyDescent="0.3">
      <c r="A5907" s="1">
        <v>46210.315625000003</v>
      </c>
      <c r="B5907" t="s">
        <v>40</v>
      </c>
      <c r="C5907" t="s">
        <v>41</v>
      </c>
      <c r="D5907" s="1">
        <v>46210.318310185183</v>
      </c>
      <c r="E5907" t="s">
        <v>42</v>
      </c>
      <c r="F5907" t="s">
        <v>43</v>
      </c>
      <c r="G5907" t="s">
        <v>43</v>
      </c>
      <c r="H5907" t="s">
        <v>43</v>
      </c>
      <c r="I5907" t="s">
        <v>3336</v>
      </c>
      <c r="J5907" t="s">
        <v>43</v>
      </c>
      <c r="K5907" t="s">
        <v>43</v>
      </c>
      <c r="L5907" t="s">
        <v>43</v>
      </c>
      <c r="M5907" t="s">
        <v>43</v>
      </c>
      <c r="N5907" t="s">
        <v>45</v>
      </c>
      <c r="O5907" t="s">
        <v>43</v>
      </c>
      <c r="P5907" t="s">
        <v>43</v>
      </c>
      <c r="Q5907" t="s">
        <v>43</v>
      </c>
      <c r="R5907" t="s">
        <v>43</v>
      </c>
      <c r="S5907" t="s">
        <v>43</v>
      </c>
      <c r="T5907" t="s">
        <v>43</v>
      </c>
      <c r="U5907" t="s">
        <v>43</v>
      </c>
      <c r="V5907" t="s">
        <v>43</v>
      </c>
      <c r="W5907" t="s">
        <v>43</v>
      </c>
      <c r="X5907" t="s">
        <v>43</v>
      </c>
      <c r="Y5907" t="s">
        <v>43</v>
      </c>
      <c r="Z5907" t="s">
        <v>43</v>
      </c>
      <c r="AA5907" t="s">
        <v>43</v>
      </c>
      <c r="AB5907" t="s">
        <v>43</v>
      </c>
      <c r="AC5907" t="s">
        <v>43</v>
      </c>
      <c r="AD5907" t="s">
        <v>43</v>
      </c>
      <c r="AE5907" t="s">
        <v>43</v>
      </c>
      <c r="AF5907" t="s">
        <v>43</v>
      </c>
      <c r="AG5907" t="s">
        <v>43</v>
      </c>
      <c r="AH5907" t="s">
        <v>43</v>
      </c>
      <c r="AI5907" t="s">
        <v>43</v>
      </c>
      <c r="AJ5907" t="s">
        <v>43</v>
      </c>
      <c r="AK5907" t="s">
        <v>43</v>
      </c>
      <c r="AL5907" t="s">
        <v>43</v>
      </c>
      <c r="AM5907" t="s">
        <v>43</v>
      </c>
      <c r="AN5907" t="str">
        <f>HYPERLINK("https://www.google.com/maps?q=10.83316803,79.846138","Open Location")</f>
        <v>Open Location</v>
      </c>
    </row>
    <row r="5908" spans="1:40" x14ac:dyDescent="0.3">
      <c r="A5908" s="1">
        <v>46210.315509259257</v>
      </c>
      <c r="B5908" t="s">
        <v>40</v>
      </c>
      <c r="C5908" t="s">
        <v>41</v>
      </c>
      <c r="D5908" s="1">
        <v>46210.318298611113</v>
      </c>
      <c r="E5908" t="s">
        <v>42</v>
      </c>
      <c r="F5908" t="s">
        <v>43</v>
      </c>
      <c r="G5908" t="s">
        <v>43</v>
      </c>
      <c r="H5908" t="s">
        <v>43</v>
      </c>
      <c r="I5908" t="s">
        <v>3335</v>
      </c>
      <c r="J5908" t="s">
        <v>43</v>
      </c>
      <c r="K5908" t="s">
        <v>43</v>
      </c>
      <c r="L5908" t="s">
        <v>43</v>
      </c>
      <c r="M5908" t="s">
        <v>43</v>
      </c>
      <c r="N5908" t="s">
        <v>45</v>
      </c>
      <c r="O5908" t="s">
        <v>43</v>
      </c>
      <c r="P5908" t="s">
        <v>43</v>
      </c>
      <c r="Q5908" t="s">
        <v>43</v>
      </c>
      <c r="R5908" t="s">
        <v>43</v>
      </c>
      <c r="S5908" t="s">
        <v>43</v>
      </c>
      <c r="T5908" t="s">
        <v>43</v>
      </c>
      <c r="U5908" t="s">
        <v>43</v>
      </c>
      <c r="V5908" t="s">
        <v>43</v>
      </c>
      <c r="W5908" t="s">
        <v>43</v>
      </c>
      <c r="X5908" t="s">
        <v>43</v>
      </c>
      <c r="Y5908" t="s">
        <v>43</v>
      </c>
      <c r="Z5908" t="s">
        <v>43</v>
      </c>
      <c r="AA5908" t="s">
        <v>43</v>
      </c>
      <c r="AB5908" t="s">
        <v>43</v>
      </c>
      <c r="AC5908" t="s">
        <v>43</v>
      </c>
      <c r="AD5908" t="s">
        <v>43</v>
      </c>
      <c r="AE5908" t="s">
        <v>43</v>
      </c>
      <c r="AF5908" t="s">
        <v>43</v>
      </c>
      <c r="AG5908" t="s">
        <v>43</v>
      </c>
      <c r="AH5908" t="s">
        <v>43</v>
      </c>
      <c r="AI5908" t="s">
        <v>43</v>
      </c>
      <c r="AJ5908" t="s">
        <v>43</v>
      </c>
      <c r="AK5908" t="s">
        <v>43</v>
      </c>
      <c r="AL5908" t="s">
        <v>43</v>
      </c>
      <c r="AM5908" t="s">
        <v>43</v>
      </c>
      <c r="AN5908" t="str">
        <f>HYPERLINK("https://www.google.com/maps?q=10.83316708,79.846138","Open Location")</f>
        <v>Open Location</v>
      </c>
    </row>
    <row r="5909" spans="1:40" x14ac:dyDescent="0.3">
      <c r="A5909" s="1">
        <v>46210.315393518518</v>
      </c>
      <c r="B5909" t="s">
        <v>40</v>
      </c>
      <c r="C5909" t="s">
        <v>41</v>
      </c>
      <c r="D5909" s="1">
        <v>46210.318298611113</v>
      </c>
      <c r="E5909" t="s">
        <v>42</v>
      </c>
      <c r="F5909" t="s">
        <v>43</v>
      </c>
      <c r="G5909" t="s">
        <v>43</v>
      </c>
      <c r="H5909" t="s">
        <v>43</v>
      </c>
      <c r="I5909" t="s">
        <v>3337</v>
      </c>
      <c r="J5909" t="s">
        <v>43</v>
      </c>
      <c r="K5909" t="s">
        <v>43</v>
      </c>
      <c r="L5909" t="s">
        <v>43</v>
      </c>
      <c r="M5909" t="s">
        <v>43</v>
      </c>
      <c r="N5909" t="s">
        <v>45</v>
      </c>
      <c r="O5909" t="s">
        <v>43</v>
      </c>
      <c r="P5909" t="s">
        <v>43</v>
      </c>
      <c r="Q5909" t="s">
        <v>43</v>
      </c>
      <c r="R5909" t="s">
        <v>43</v>
      </c>
      <c r="S5909" t="s">
        <v>43</v>
      </c>
      <c r="T5909" t="s">
        <v>43</v>
      </c>
      <c r="U5909" t="s">
        <v>43</v>
      </c>
      <c r="V5909" t="s">
        <v>43</v>
      </c>
      <c r="W5909" t="s">
        <v>43</v>
      </c>
      <c r="X5909" t="s">
        <v>43</v>
      </c>
      <c r="Y5909" t="s">
        <v>43</v>
      </c>
      <c r="Z5909" t="s">
        <v>43</v>
      </c>
      <c r="AA5909" t="s">
        <v>43</v>
      </c>
      <c r="AB5909" t="s">
        <v>43</v>
      </c>
      <c r="AC5909" t="s">
        <v>43</v>
      </c>
      <c r="AD5909" t="s">
        <v>43</v>
      </c>
      <c r="AE5909" t="s">
        <v>43</v>
      </c>
      <c r="AF5909" t="s">
        <v>43</v>
      </c>
      <c r="AG5909" t="s">
        <v>43</v>
      </c>
      <c r="AH5909" t="s">
        <v>43</v>
      </c>
      <c r="AI5909" t="s">
        <v>43</v>
      </c>
      <c r="AJ5909" t="s">
        <v>43</v>
      </c>
      <c r="AK5909" t="s">
        <v>43</v>
      </c>
      <c r="AL5909" t="s">
        <v>43</v>
      </c>
      <c r="AM5909" t="s">
        <v>43</v>
      </c>
      <c r="AN5909" t="str">
        <f>HYPERLINK("https://www.google.com/maps?q=10.83316708,79.84614563","Open Location")</f>
        <v>Open Location</v>
      </c>
    </row>
    <row r="5910" spans="1:40" x14ac:dyDescent="0.3">
      <c r="A5910" s="1">
        <v>46210.31527777778</v>
      </c>
      <c r="B5910" t="s">
        <v>40</v>
      </c>
      <c r="C5910" t="s">
        <v>41</v>
      </c>
      <c r="D5910" s="1">
        <v>46210.318298611113</v>
      </c>
      <c r="E5910" t="s">
        <v>42</v>
      </c>
      <c r="F5910" t="s">
        <v>43</v>
      </c>
      <c r="G5910" t="s">
        <v>43</v>
      </c>
      <c r="H5910" t="s">
        <v>43</v>
      </c>
      <c r="I5910" t="s">
        <v>43</v>
      </c>
      <c r="J5910" t="s">
        <v>43</v>
      </c>
      <c r="K5910" t="s">
        <v>43</v>
      </c>
      <c r="L5910" t="s">
        <v>43</v>
      </c>
      <c r="M5910" t="s">
        <v>43</v>
      </c>
      <c r="N5910" t="s">
        <v>45</v>
      </c>
      <c r="O5910" t="s">
        <v>43</v>
      </c>
      <c r="P5910" t="s">
        <v>43</v>
      </c>
      <c r="Q5910" t="s">
        <v>43</v>
      </c>
      <c r="R5910" t="s">
        <v>43</v>
      </c>
      <c r="S5910" t="s">
        <v>43</v>
      </c>
      <c r="T5910" t="s">
        <v>43</v>
      </c>
      <c r="U5910" t="s">
        <v>43</v>
      </c>
      <c r="V5910" t="s">
        <v>43</v>
      </c>
      <c r="W5910" t="s">
        <v>43</v>
      </c>
      <c r="X5910" t="s">
        <v>43</v>
      </c>
      <c r="Y5910" t="s">
        <v>43</v>
      </c>
      <c r="Z5910" t="s">
        <v>43</v>
      </c>
      <c r="AA5910" t="s">
        <v>43</v>
      </c>
      <c r="AB5910" t="s">
        <v>43</v>
      </c>
      <c r="AC5910" t="s">
        <v>43</v>
      </c>
      <c r="AD5910" t="s">
        <v>43</v>
      </c>
      <c r="AE5910" t="s">
        <v>43</v>
      </c>
      <c r="AF5910" t="s">
        <v>43</v>
      </c>
      <c r="AG5910" t="s">
        <v>43</v>
      </c>
      <c r="AH5910" t="s">
        <v>43</v>
      </c>
      <c r="AI5910" t="s">
        <v>43</v>
      </c>
      <c r="AJ5910" t="s">
        <v>43</v>
      </c>
      <c r="AK5910" t="s">
        <v>43</v>
      </c>
      <c r="AL5910" t="s">
        <v>43</v>
      </c>
      <c r="AM5910" t="s">
        <v>43</v>
      </c>
      <c r="AN5910" t="s">
        <v>43</v>
      </c>
    </row>
    <row r="5911" spans="1:40" x14ac:dyDescent="0.3">
      <c r="A5911" s="1">
        <v>46210.315162037034</v>
      </c>
      <c r="B5911" t="s">
        <v>40</v>
      </c>
      <c r="C5911" t="s">
        <v>41</v>
      </c>
      <c r="D5911" s="1">
        <v>46210.318090277775</v>
      </c>
      <c r="E5911" t="s">
        <v>42</v>
      </c>
      <c r="F5911" t="s">
        <v>43</v>
      </c>
      <c r="G5911" t="s">
        <v>43</v>
      </c>
      <c r="H5911" t="s">
        <v>43</v>
      </c>
      <c r="I5911" t="s">
        <v>3337</v>
      </c>
      <c r="J5911" t="s">
        <v>43</v>
      </c>
      <c r="K5911" t="s">
        <v>43</v>
      </c>
      <c r="L5911" t="s">
        <v>43</v>
      </c>
      <c r="M5911" t="s">
        <v>43</v>
      </c>
      <c r="N5911" t="s">
        <v>45</v>
      </c>
      <c r="O5911" t="s">
        <v>43</v>
      </c>
      <c r="P5911" t="s">
        <v>43</v>
      </c>
      <c r="Q5911" t="s">
        <v>43</v>
      </c>
      <c r="R5911" t="s">
        <v>43</v>
      </c>
      <c r="S5911" t="s">
        <v>43</v>
      </c>
      <c r="T5911" t="s">
        <v>43</v>
      </c>
      <c r="U5911" t="s">
        <v>43</v>
      </c>
      <c r="V5911" t="s">
        <v>43</v>
      </c>
      <c r="W5911" t="s">
        <v>43</v>
      </c>
      <c r="X5911" t="s">
        <v>43</v>
      </c>
      <c r="Y5911" t="s">
        <v>43</v>
      </c>
      <c r="Z5911" t="s">
        <v>43</v>
      </c>
      <c r="AA5911" t="s">
        <v>43</v>
      </c>
      <c r="AB5911" t="s">
        <v>43</v>
      </c>
      <c r="AC5911" t="s">
        <v>43</v>
      </c>
      <c r="AD5911" t="s">
        <v>43</v>
      </c>
      <c r="AE5911" t="s">
        <v>43</v>
      </c>
      <c r="AF5911" t="s">
        <v>43</v>
      </c>
      <c r="AG5911" t="s">
        <v>43</v>
      </c>
      <c r="AH5911" t="s">
        <v>43</v>
      </c>
      <c r="AI5911" t="s">
        <v>43</v>
      </c>
      <c r="AJ5911" t="s">
        <v>43</v>
      </c>
      <c r="AK5911" t="s">
        <v>43</v>
      </c>
      <c r="AL5911" t="s">
        <v>43</v>
      </c>
      <c r="AM5911" t="s">
        <v>43</v>
      </c>
      <c r="AN5911" t="str">
        <f>HYPERLINK("https://www.google.com/maps?q=10.83316708,79.84614563","Open Location")</f>
        <v>Open Location</v>
      </c>
    </row>
    <row r="5912" spans="1:40" x14ac:dyDescent="0.3">
      <c r="A5912" s="1">
        <v>46210.315046296295</v>
      </c>
      <c r="B5912" t="s">
        <v>40</v>
      </c>
      <c r="C5912" t="s">
        <v>41</v>
      </c>
      <c r="D5912" s="1">
        <v>46210.318113425928</v>
      </c>
      <c r="E5912" t="s">
        <v>42</v>
      </c>
      <c r="F5912" t="s">
        <v>43</v>
      </c>
      <c r="G5912" t="s">
        <v>43</v>
      </c>
      <c r="H5912" t="s">
        <v>43</v>
      </c>
      <c r="I5912" t="s">
        <v>3337</v>
      </c>
      <c r="J5912" t="s">
        <v>43</v>
      </c>
      <c r="K5912" t="s">
        <v>43</v>
      </c>
      <c r="L5912" t="s">
        <v>43</v>
      </c>
      <c r="M5912" t="s">
        <v>43</v>
      </c>
      <c r="N5912" t="s">
        <v>45</v>
      </c>
      <c r="O5912" t="s">
        <v>43</v>
      </c>
      <c r="P5912" t="s">
        <v>43</v>
      </c>
      <c r="Q5912" t="s">
        <v>43</v>
      </c>
      <c r="R5912" t="s">
        <v>43</v>
      </c>
      <c r="S5912" t="s">
        <v>43</v>
      </c>
      <c r="T5912" t="s">
        <v>43</v>
      </c>
      <c r="U5912" t="s">
        <v>43</v>
      </c>
      <c r="V5912" t="s">
        <v>43</v>
      </c>
      <c r="W5912" t="s">
        <v>43</v>
      </c>
      <c r="X5912" t="s">
        <v>43</v>
      </c>
      <c r="Y5912" t="s">
        <v>43</v>
      </c>
      <c r="Z5912" t="s">
        <v>43</v>
      </c>
      <c r="AA5912" t="s">
        <v>43</v>
      </c>
      <c r="AB5912" t="s">
        <v>43</v>
      </c>
      <c r="AC5912" t="s">
        <v>43</v>
      </c>
      <c r="AD5912" t="s">
        <v>43</v>
      </c>
      <c r="AE5912" t="s">
        <v>43</v>
      </c>
      <c r="AF5912" t="s">
        <v>43</v>
      </c>
      <c r="AG5912" t="s">
        <v>43</v>
      </c>
      <c r="AH5912" t="s">
        <v>43</v>
      </c>
      <c r="AI5912" t="s">
        <v>43</v>
      </c>
      <c r="AJ5912" t="s">
        <v>43</v>
      </c>
      <c r="AK5912" t="s">
        <v>43</v>
      </c>
      <c r="AL5912" t="s">
        <v>43</v>
      </c>
      <c r="AM5912" t="s">
        <v>43</v>
      </c>
      <c r="AN5912" t="str">
        <f>HYPERLINK("https://www.google.com/maps?q=10.83316708,79.84614563","Open Location")</f>
        <v>Open Location</v>
      </c>
    </row>
    <row r="5913" spans="1:40" x14ac:dyDescent="0.3">
      <c r="A5913" s="1">
        <v>46210.314930555556</v>
      </c>
      <c r="B5913" t="s">
        <v>40</v>
      </c>
      <c r="C5913" t="s">
        <v>41</v>
      </c>
      <c r="D5913" s="1">
        <v>46210.317754629628</v>
      </c>
      <c r="E5913" t="s">
        <v>42</v>
      </c>
      <c r="F5913" t="s">
        <v>43</v>
      </c>
      <c r="G5913" t="s">
        <v>43</v>
      </c>
      <c r="H5913" t="s">
        <v>43</v>
      </c>
      <c r="I5913" t="s">
        <v>3306</v>
      </c>
      <c r="J5913" t="s">
        <v>43</v>
      </c>
      <c r="K5913" t="s">
        <v>43</v>
      </c>
      <c r="L5913" t="s">
        <v>43</v>
      </c>
      <c r="M5913" t="s">
        <v>43</v>
      </c>
      <c r="N5913" t="s">
        <v>45</v>
      </c>
      <c r="O5913" t="s">
        <v>43</v>
      </c>
      <c r="P5913" t="s">
        <v>43</v>
      </c>
      <c r="Q5913" t="s">
        <v>43</v>
      </c>
      <c r="R5913" t="s">
        <v>43</v>
      </c>
      <c r="S5913" t="s">
        <v>43</v>
      </c>
      <c r="T5913" t="s">
        <v>43</v>
      </c>
      <c r="U5913" t="s">
        <v>43</v>
      </c>
      <c r="V5913" t="s">
        <v>43</v>
      </c>
      <c r="W5913" t="s">
        <v>43</v>
      </c>
      <c r="X5913" t="s">
        <v>43</v>
      </c>
      <c r="Y5913" t="s">
        <v>43</v>
      </c>
      <c r="Z5913" t="s">
        <v>43</v>
      </c>
      <c r="AA5913" t="s">
        <v>43</v>
      </c>
      <c r="AB5913" t="s">
        <v>43</v>
      </c>
      <c r="AC5913" t="s">
        <v>43</v>
      </c>
      <c r="AD5913" t="s">
        <v>43</v>
      </c>
      <c r="AE5913" t="s">
        <v>43</v>
      </c>
      <c r="AF5913" t="s">
        <v>43</v>
      </c>
      <c r="AG5913" t="s">
        <v>43</v>
      </c>
      <c r="AH5913" t="s">
        <v>43</v>
      </c>
      <c r="AI5913" t="s">
        <v>43</v>
      </c>
      <c r="AJ5913" t="s">
        <v>43</v>
      </c>
      <c r="AK5913" t="s">
        <v>43</v>
      </c>
      <c r="AL5913" t="s">
        <v>43</v>
      </c>
      <c r="AM5913" t="s">
        <v>43</v>
      </c>
      <c r="AN5913" t="str">
        <f>HYPERLINK("https://www.google.com/maps?q=10.83316803,79.84614563","Open Location")</f>
        <v>Open Location</v>
      </c>
    </row>
    <row r="5914" spans="1:40" x14ac:dyDescent="0.3">
      <c r="A5914" s="1">
        <v>46210.314814814818</v>
      </c>
      <c r="B5914" t="s">
        <v>40</v>
      </c>
      <c r="C5914" t="s">
        <v>41</v>
      </c>
      <c r="D5914" s="1">
        <v>46210.317893518521</v>
      </c>
      <c r="E5914" t="s">
        <v>42</v>
      </c>
      <c r="F5914" t="s">
        <v>43</v>
      </c>
      <c r="G5914" t="s">
        <v>43</v>
      </c>
      <c r="H5914" t="s">
        <v>43</v>
      </c>
      <c r="I5914" t="s">
        <v>3338</v>
      </c>
      <c r="J5914" t="s">
        <v>43</v>
      </c>
      <c r="K5914" t="s">
        <v>43</v>
      </c>
      <c r="L5914" t="s">
        <v>43</v>
      </c>
      <c r="M5914" t="s">
        <v>43</v>
      </c>
      <c r="N5914" t="s">
        <v>45</v>
      </c>
      <c r="O5914" t="s">
        <v>43</v>
      </c>
      <c r="P5914" t="s">
        <v>43</v>
      </c>
      <c r="Q5914" t="s">
        <v>43</v>
      </c>
      <c r="R5914" t="s">
        <v>43</v>
      </c>
      <c r="S5914" t="s">
        <v>43</v>
      </c>
      <c r="T5914" t="s">
        <v>43</v>
      </c>
      <c r="U5914" t="s">
        <v>43</v>
      </c>
      <c r="V5914" t="s">
        <v>43</v>
      </c>
      <c r="W5914" t="s">
        <v>43</v>
      </c>
      <c r="X5914" t="s">
        <v>43</v>
      </c>
      <c r="Y5914" t="s">
        <v>43</v>
      </c>
      <c r="Z5914" t="s">
        <v>43</v>
      </c>
      <c r="AA5914" t="s">
        <v>43</v>
      </c>
      <c r="AB5914" t="s">
        <v>43</v>
      </c>
      <c r="AC5914" t="s">
        <v>43</v>
      </c>
      <c r="AD5914" t="s">
        <v>43</v>
      </c>
      <c r="AE5914" t="s">
        <v>43</v>
      </c>
      <c r="AF5914" t="s">
        <v>43</v>
      </c>
      <c r="AG5914" t="s">
        <v>43</v>
      </c>
      <c r="AH5914" t="s">
        <v>43</v>
      </c>
      <c r="AI5914" t="s">
        <v>43</v>
      </c>
      <c r="AJ5914" t="s">
        <v>43</v>
      </c>
      <c r="AK5914" t="s">
        <v>43</v>
      </c>
      <c r="AL5914" t="s">
        <v>43</v>
      </c>
      <c r="AM5914" t="s">
        <v>43</v>
      </c>
      <c r="AN5914" t="str">
        <f>HYPERLINK("https://www.google.com/maps?q=10.83316612,79.84614563","Open Location")</f>
        <v>Open Location</v>
      </c>
    </row>
    <row r="5915" spans="1:40" x14ac:dyDescent="0.3">
      <c r="A5915" s="1">
        <v>46210.314699074072</v>
      </c>
      <c r="B5915" t="s">
        <v>40</v>
      </c>
      <c r="C5915" t="s">
        <v>41</v>
      </c>
      <c r="D5915" s="1">
        <v>46210.317673611113</v>
      </c>
      <c r="E5915" t="s">
        <v>42</v>
      </c>
      <c r="F5915" t="s">
        <v>43</v>
      </c>
      <c r="G5915" t="s">
        <v>43</v>
      </c>
      <c r="H5915" t="s">
        <v>43</v>
      </c>
      <c r="I5915" t="s">
        <v>43</v>
      </c>
      <c r="J5915" t="s">
        <v>43</v>
      </c>
      <c r="K5915" t="s">
        <v>43</v>
      </c>
      <c r="L5915" t="s">
        <v>43</v>
      </c>
      <c r="M5915" t="s">
        <v>43</v>
      </c>
      <c r="N5915" t="s">
        <v>45</v>
      </c>
      <c r="O5915" t="s">
        <v>43</v>
      </c>
      <c r="P5915" t="s">
        <v>43</v>
      </c>
      <c r="Q5915" t="s">
        <v>43</v>
      </c>
      <c r="R5915" t="s">
        <v>43</v>
      </c>
      <c r="S5915" t="s">
        <v>43</v>
      </c>
      <c r="T5915" t="s">
        <v>43</v>
      </c>
      <c r="U5915" t="s">
        <v>43</v>
      </c>
      <c r="V5915" t="s">
        <v>43</v>
      </c>
      <c r="W5915" t="s">
        <v>43</v>
      </c>
      <c r="X5915" t="s">
        <v>43</v>
      </c>
      <c r="Y5915" t="s">
        <v>43</v>
      </c>
      <c r="Z5915" t="s">
        <v>43</v>
      </c>
      <c r="AA5915" t="s">
        <v>43</v>
      </c>
      <c r="AB5915" t="s">
        <v>43</v>
      </c>
      <c r="AC5915" t="s">
        <v>43</v>
      </c>
      <c r="AD5915" t="s">
        <v>43</v>
      </c>
      <c r="AE5915" t="s">
        <v>43</v>
      </c>
      <c r="AF5915" t="s">
        <v>43</v>
      </c>
      <c r="AG5915" t="s">
        <v>43</v>
      </c>
      <c r="AH5915" t="s">
        <v>43</v>
      </c>
      <c r="AI5915" t="s">
        <v>43</v>
      </c>
      <c r="AJ5915" t="s">
        <v>43</v>
      </c>
      <c r="AK5915" t="s">
        <v>43</v>
      </c>
      <c r="AL5915" t="s">
        <v>43</v>
      </c>
      <c r="AM5915" t="s">
        <v>43</v>
      </c>
      <c r="AN5915" t="s">
        <v>43</v>
      </c>
    </row>
    <row r="5916" spans="1:40" x14ac:dyDescent="0.3">
      <c r="A5916" s="1">
        <v>46210.314583333333</v>
      </c>
      <c r="B5916" t="s">
        <v>40</v>
      </c>
      <c r="C5916" t="s">
        <v>41</v>
      </c>
      <c r="D5916" s="1">
        <v>46210.317673611113</v>
      </c>
      <c r="E5916" t="s">
        <v>42</v>
      </c>
      <c r="F5916" t="s">
        <v>43</v>
      </c>
      <c r="G5916" t="s">
        <v>43</v>
      </c>
      <c r="H5916" t="s">
        <v>43</v>
      </c>
      <c r="I5916" t="s">
        <v>3305</v>
      </c>
      <c r="J5916" t="s">
        <v>43</v>
      </c>
      <c r="K5916" t="s">
        <v>43</v>
      </c>
      <c r="L5916" t="s">
        <v>43</v>
      </c>
      <c r="M5916" t="s">
        <v>43</v>
      </c>
      <c r="N5916" t="s">
        <v>45</v>
      </c>
      <c r="O5916" t="s">
        <v>43</v>
      </c>
      <c r="P5916" t="s">
        <v>43</v>
      </c>
      <c r="Q5916" t="s">
        <v>43</v>
      </c>
      <c r="R5916" t="s">
        <v>43</v>
      </c>
      <c r="S5916" t="s">
        <v>43</v>
      </c>
      <c r="T5916" t="s">
        <v>43</v>
      </c>
      <c r="U5916" t="s">
        <v>43</v>
      </c>
      <c r="V5916" t="s">
        <v>43</v>
      </c>
      <c r="W5916" t="s">
        <v>43</v>
      </c>
      <c r="X5916" t="s">
        <v>43</v>
      </c>
      <c r="Y5916" t="s">
        <v>43</v>
      </c>
      <c r="Z5916" t="s">
        <v>43</v>
      </c>
      <c r="AA5916" t="s">
        <v>43</v>
      </c>
      <c r="AB5916" t="s">
        <v>43</v>
      </c>
      <c r="AC5916" t="s">
        <v>43</v>
      </c>
      <c r="AD5916" t="s">
        <v>43</v>
      </c>
      <c r="AE5916" t="s">
        <v>43</v>
      </c>
      <c r="AF5916" t="s">
        <v>43</v>
      </c>
      <c r="AG5916" t="s">
        <v>43</v>
      </c>
      <c r="AH5916" t="s">
        <v>43</v>
      </c>
      <c r="AI5916" t="s">
        <v>43</v>
      </c>
      <c r="AJ5916" t="s">
        <v>43</v>
      </c>
      <c r="AK5916" t="s">
        <v>43</v>
      </c>
      <c r="AL5916" t="s">
        <v>43</v>
      </c>
      <c r="AM5916" t="s">
        <v>43</v>
      </c>
      <c r="AN5916" t="str">
        <f>HYPERLINK("https://www.google.com/maps?q=10.83316517,79.84614563","Open Location")</f>
        <v>Open Location</v>
      </c>
    </row>
    <row r="5917" spans="1:40" x14ac:dyDescent="0.3">
      <c r="A5917" s="1">
        <v>46210.314467592594</v>
      </c>
      <c r="B5917" t="s">
        <v>40</v>
      </c>
      <c r="C5917" t="s">
        <v>41</v>
      </c>
      <c r="D5917" s="1">
        <v>46210.31758101852</v>
      </c>
      <c r="E5917" t="s">
        <v>42</v>
      </c>
      <c r="F5917" t="s">
        <v>43</v>
      </c>
      <c r="G5917" t="s">
        <v>43</v>
      </c>
      <c r="H5917" t="s">
        <v>43</v>
      </c>
      <c r="I5917" t="s">
        <v>3305</v>
      </c>
      <c r="J5917" t="s">
        <v>43</v>
      </c>
      <c r="K5917" t="s">
        <v>43</v>
      </c>
      <c r="L5917" t="s">
        <v>43</v>
      </c>
      <c r="M5917" t="s">
        <v>43</v>
      </c>
      <c r="N5917" t="s">
        <v>45</v>
      </c>
      <c r="O5917" t="s">
        <v>43</v>
      </c>
      <c r="P5917" t="s">
        <v>43</v>
      </c>
      <c r="Q5917" t="s">
        <v>43</v>
      </c>
      <c r="R5917" t="s">
        <v>43</v>
      </c>
      <c r="S5917" t="s">
        <v>43</v>
      </c>
      <c r="T5917" t="s">
        <v>43</v>
      </c>
      <c r="U5917" t="s">
        <v>43</v>
      </c>
      <c r="V5917" t="s">
        <v>43</v>
      </c>
      <c r="W5917" t="s">
        <v>43</v>
      </c>
      <c r="X5917" t="s">
        <v>43</v>
      </c>
      <c r="Y5917" t="s">
        <v>43</v>
      </c>
      <c r="Z5917" t="s">
        <v>43</v>
      </c>
      <c r="AA5917" t="s">
        <v>43</v>
      </c>
      <c r="AB5917" t="s">
        <v>43</v>
      </c>
      <c r="AC5917" t="s">
        <v>43</v>
      </c>
      <c r="AD5917" t="s">
        <v>43</v>
      </c>
      <c r="AE5917" t="s">
        <v>43</v>
      </c>
      <c r="AF5917" t="s">
        <v>43</v>
      </c>
      <c r="AG5917" t="s">
        <v>43</v>
      </c>
      <c r="AH5917" t="s">
        <v>43</v>
      </c>
      <c r="AI5917" t="s">
        <v>43</v>
      </c>
      <c r="AJ5917" t="s">
        <v>43</v>
      </c>
      <c r="AK5917" t="s">
        <v>43</v>
      </c>
      <c r="AL5917" t="s">
        <v>43</v>
      </c>
      <c r="AM5917" t="s">
        <v>43</v>
      </c>
      <c r="AN5917" t="str">
        <f>HYPERLINK("https://www.google.com/maps?q=10.83316517,79.84614563","Open Location")</f>
        <v>Open Location</v>
      </c>
    </row>
    <row r="5918" spans="1:40" x14ac:dyDescent="0.3">
      <c r="A5918" s="1">
        <v>46210.314351851855</v>
      </c>
      <c r="B5918" t="s">
        <v>40</v>
      </c>
      <c r="C5918" t="s">
        <v>41</v>
      </c>
      <c r="D5918" s="1">
        <v>46210.317442129628</v>
      </c>
      <c r="E5918" t="s">
        <v>42</v>
      </c>
      <c r="F5918" t="s">
        <v>43</v>
      </c>
      <c r="G5918" t="s">
        <v>43</v>
      </c>
      <c r="H5918" t="s">
        <v>43</v>
      </c>
      <c r="I5918" t="s">
        <v>3305</v>
      </c>
      <c r="J5918" t="s">
        <v>43</v>
      </c>
      <c r="K5918" t="s">
        <v>43</v>
      </c>
      <c r="L5918" t="s">
        <v>43</v>
      </c>
      <c r="M5918" t="s">
        <v>43</v>
      </c>
      <c r="N5918" t="s">
        <v>45</v>
      </c>
      <c r="O5918" t="s">
        <v>43</v>
      </c>
      <c r="P5918" t="s">
        <v>43</v>
      </c>
      <c r="Q5918" t="s">
        <v>43</v>
      </c>
      <c r="R5918" t="s">
        <v>43</v>
      </c>
      <c r="S5918" t="s">
        <v>43</v>
      </c>
      <c r="T5918" t="s">
        <v>43</v>
      </c>
      <c r="U5918" t="s">
        <v>43</v>
      </c>
      <c r="V5918" t="s">
        <v>43</v>
      </c>
      <c r="W5918" t="s">
        <v>43</v>
      </c>
      <c r="X5918" t="s">
        <v>43</v>
      </c>
      <c r="Y5918" t="s">
        <v>43</v>
      </c>
      <c r="Z5918" t="s">
        <v>43</v>
      </c>
      <c r="AA5918" t="s">
        <v>43</v>
      </c>
      <c r="AB5918" t="s">
        <v>43</v>
      </c>
      <c r="AC5918" t="s">
        <v>43</v>
      </c>
      <c r="AD5918" t="s">
        <v>43</v>
      </c>
      <c r="AE5918" t="s">
        <v>43</v>
      </c>
      <c r="AF5918" t="s">
        <v>43</v>
      </c>
      <c r="AG5918" t="s">
        <v>43</v>
      </c>
      <c r="AH5918" t="s">
        <v>43</v>
      </c>
      <c r="AI5918" t="s">
        <v>43</v>
      </c>
      <c r="AJ5918" t="s">
        <v>43</v>
      </c>
      <c r="AK5918" t="s">
        <v>43</v>
      </c>
      <c r="AL5918" t="s">
        <v>43</v>
      </c>
      <c r="AM5918" t="s">
        <v>43</v>
      </c>
      <c r="AN5918" t="str">
        <f>HYPERLINK("https://www.google.com/maps?q=10.83316517,79.84614563","Open Location")</f>
        <v>Open Location</v>
      </c>
    </row>
    <row r="5919" spans="1:40" x14ac:dyDescent="0.3">
      <c r="A5919" s="1">
        <v>46210.314236111109</v>
      </c>
      <c r="B5919" t="s">
        <v>40</v>
      </c>
      <c r="C5919" t="s">
        <v>41</v>
      </c>
      <c r="D5919" s="1">
        <v>46210.317037037035</v>
      </c>
      <c r="E5919" t="s">
        <v>42</v>
      </c>
      <c r="F5919" t="s">
        <v>43</v>
      </c>
      <c r="G5919" t="s">
        <v>43</v>
      </c>
      <c r="H5919" t="s">
        <v>43</v>
      </c>
      <c r="I5919" t="s">
        <v>3337</v>
      </c>
      <c r="J5919" t="s">
        <v>43</v>
      </c>
      <c r="K5919" t="s">
        <v>43</v>
      </c>
      <c r="L5919" t="s">
        <v>43</v>
      </c>
      <c r="M5919" t="s">
        <v>43</v>
      </c>
      <c r="N5919" t="s">
        <v>45</v>
      </c>
      <c r="O5919" t="s">
        <v>43</v>
      </c>
      <c r="P5919" t="s">
        <v>43</v>
      </c>
      <c r="Q5919" t="s">
        <v>43</v>
      </c>
      <c r="R5919" t="s">
        <v>43</v>
      </c>
      <c r="S5919" t="s">
        <v>43</v>
      </c>
      <c r="T5919" t="s">
        <v>43</v>
      </c>
      <c r="U5919" t="s">
        <v>43</v>
      </c>
      <c r="V5919" t="s">
        <v>43</v>
      </c>
      <c r="W5919" t="s">
        <v>43</v>
      </c>
      <c r="X5919" t="s">
        <v>43</v>
      </c>
      <c r="Y5919" t="s">
        <v>43</v>
      </c>
      <c r="Z5919" t="s">
        <v>43</v>
      </c>
      <c r="AA5919" t="s">
        <v>43</v>
      </c>
      <c r="AB5919" t="s">
        <v>43</v>
      </c>
      <c r="AC5919" t="s">
        <v>43</v>
      </c>
      <c r="AD5919" t="s">
        <v>43</v>
      </c>
      <c r="AE5919" t="s">
        <v>43</v>
      </c>
      <c r="AF5919" t="s">
        <v>43</v>
      </c>
      <c r="AG5919" t="s">
        <v>43</v>
      </c>
      <c r="AH5919" t="s">
        <v>43</v>
      </c>
      <c r="AI5919" t="s">
        <v>43</v>
      </c>
      <c r="AJ5919" t="s">
        <v>43</v>
      </c>
      <c r="AK5919" t="s">
        <v>43</v>
      </c>
      <c r="AL5919" t="s">
        <v>43</v>
      </c>
      <c r="AM5919" t="s">
        <v>43</v>
      </c>
      <c r="AN5919" t="str">
        <f>HYPERLINK("https://www.google.com/maps?q=10.83316708,79.84614563","Open Location")</f>
        <v>Open Location</v>
      </c>
    </row>
    <row r="5920" spans="1:40" x14ac:dyDescent="0.3">
      <c r="A5920" s="1">
        <v>46210.314120370371</v>
      </c>
      <c r="B5920" t="s">
        <v>40</v>
      </c>
      <c r="C5920" t="s">
        <v>41</v>
      </c>
      <c r="D5920" s="1">
        <v>46210.317303240743</v>
      </c>
      <c r="E5920" t="s">
        <v>42</v>
      </c>
      <c r="F5920" t="s">
        <v>43</v>
      </c>
      <c r="G5920" t="s">
        <v>43</v>
      </c>
      <c r="H5920" t="s">
        <v>43</v>
      </c>
      <c r="I5920" t="s">
        <v>3339</v>
      </c>
      <c r="J5920" t="s">
        <v>43</v>
      </c>
      <c r="K5920" t="s">
        <v>43</v>
      </c>
      <c r="L5920" t="s">
        <v>43</v>
      </c>
      <c r="M5920" t="s">
        <v>43</v>
      </c>
      <c r="N5920" t="s">
        <v>45</v>
      </c>
      <c r="O5920" t="s">
        <v>43</v>
      </c>
      <c r="P5920" t="s">
        <v>43</v>
      </c>
      <c r="Q5920" t="s">
        <v>43</v>
      </c>
      <c r="R5920" t="s">
        <v>43</v>
      </c>
      <c r="S5920" t="s">
        <v>43</v>
      </c>
      <c r="T5920" t="s">
        <v>43</v>
      </c>
      <c r="U5920" t="s">
        <v>43</v>
      </c>
      <c r="V5920" t="s">
        <v>43</v>
      </c>
      <c r="W5920" t="s">
        <v>43</v>
      </c>
      <c r="X5920" t="s">
        <v>43</v>
      </c>
      <c r="Y5920" t="s">
        <v>43</v>
      </c>
      <c r="Z5920" t="s">
        <v>43</v>
      </c>
      <c r="AA5920" t="s">
        <v>43</v>
      </c>
      <c r="AB5920" t="s">
        <v>43</v>
      </c>
      <c r="AC5920" t="s">
        <v>43</v>
      </c>
      <c r="AD5920" t="s">
        <v>43</v>
      </c>
      <c r="AE5920" t="s">
        <v>43</v>
      </c>
      <c r="AF5920" t="s">
        <v>43</v>
      </c>
      <c r="AG5920" t="s">
        <v>43</v>
      </c>
      <c r="AH5920" t="s">
        <v>43</v>
      </c>
      <c r="AI5920" t="s">
        <v>43</v>
      </c>
      <c r="AJ5920" t="s">
        <v>43</v>
      </c>
      <c r="AK5920" t="s">
        <v>43</v>
      </c>
      <c r="AL5920" t="s">
        <v>43</v>
      </c>
      <c r="AM5920" t="s">
        <v>43</v>
      </c>
      <c r="AN5920" t="str">
        <f>HYPERLINK("https://www.google.com/maps?q=10.83316612,79.846138","Open Location")</f>
        <v>Open Location</v>
      </c>
    </row>
    <row r="5921" spans="1:40" x14ac:dyDescent="0.3">
      <c r="A5921" s="1">
        <v>46210.314004629632</v>
      </c>
      <c r="B5921" t="s">
        <v>40</v>
      </c>
      <c r="C5921" t="s">
        <v>41</v>
      </c>
      <c r="D5921" s="1">
        <v>46210.316921296297</v>
      </c>
      <c r="E5921" t="s">
        <v>42</v>
      </c>
      <c r="F5921" t="s">
        <v>43</v>
      </c>
      <c r="G5921" t="s">
        <v>43</v>
      </c>
      <c r="H5921" t="s">
        <v>43</v>
      </c>
      <c r="I5921" t="s">
        <v>43</v>
      </c>
      <c r="J5921" t="s">
        <v>43</v>
      </c>
      <c r="K5921" t="s">
        <v>43</v>
      </c>
      <c r="L5921" t="s">
        <v>43</v>
      </c>
      <c r="M5921" t="s">
        <v>43</v>
      </c>
      <c r="N5921" t="s">
        <v>45</v>
      </c>
      <c r="O5921" t="s">
        <v>43</v>
      </c>
      <c r="P5921" t="s">
        <v>43</v>
      </c>
      <c r="Q5921" t="s">
        <v>43</v>
      </c>
      <c r="R5921" t="s">
        <v>43</v>
      </c>
      <c r="S5921" t="s">
        <v>43</v>
      </c>
      <c r="T5921" t="s">
        <v>43</v>
      </c>
      <c r="U5921" t="s">
        <v>43</v>
      </c>
      <c r="V5921" t="s">
        <v>43</v>
      </c>
      <c r="W5921" t="s">
        <v>43</v>
      </c>
      <c r="X5921" t="s">
        <v>43</v>
      </c>
      <c r="Y5921" t="s">
        <v>43</v>
      </c>
      <c r="Z5921" t="s">
        <v>43</v>
      </c>
      <c r="AA5921" t="s">
        <v>43</v>
      </c>
      <c r="AB5921" t="s">
        <v>43</v>
      </c>
      <c r="AC5921" t="s">
        <v>43</v>
      </c>
      <c r="AD5921" t="s">
        <v>43</v>
      </c>
      <c r="AE5921" t="s">
        <v>43</v>
      </c>
      <c r="AF5921" t="s">
        <v>43</v>
      </c>
      <c r="AG5921" t="s">
        <v>43</v>
      </c>
      <c r="AH5921" t="s">
        <v>43</v>
      </c>
      <c r="AI5921" t="s">
        <v>43</v>
      </c>
      <c r="AJ5921" t="s">
        <v>43</v>
      </c>
      <c r="AK5921" t="s">
        <v>43</v>
      </c>
      <c r="AL5921" t="s">
        <v>43</v>
      </c>
      <c r="AM5921" t="s">
        <v>43</v>
      </c>
      <c r="AN5921" t="s">
        <v>43</v>
      </c>
    </row>
    <row r="5922" spans="1:40" x14ac:dyDescent="0.3">
      <c r="A5922" s="1">
        <v>46210.313888888886</v>
      </c>
      <c r="B5922" t="s">
        <v>40</v>
      </c>
      <c r="C5922" t="s">
        <v>41</v>
      </c>
      <c r="D5922" s="1">
        <v>46210.316863425927</v>
      </c>
      <c r="E5922" t="s">
        <v>42</v>
      </c>
      <c r="F5922" t="s">
        <v>43</v>
      </c>
      <c r="G5922" t="s">
        <v>43</v>
      </c>
      <c r="H5922" t="s">
        <v>43</v>
      </c>
      <c r="I5922" t="s">
        <v>3335</v>
      </c>
      <c r="J5922" t="s">
        <v>43</v>
      </c>
      <c r="K5922" t="s">
        <v>43</v>
      </c>
      <c r="L5922" t="s">
        <v>43</v>
      </c>
      <c r="M5922" t="s">
        <v>43</v>
      </c>
      <c r="N5922" t="s">
        <v>45</v>
      </c>
      <c r="O5922" t="s">
        <v>43</v>
      </c>
      <c r="P5922" t="s">
        <v>43</v>
      </c>
      <c r="Q5922" t="s">
        <v>43</v>
      </c>
      <c r="R5922" t="s">
        <v>43</v>
      </c>
      <c r="S5922" t="s">
        <v>43</v>
      </c>
      <c r="T5922" t="s">
        <v>43</v>
      </c>
      <c r="U5922" t="s">
        <v>43</v>
      </c>
      <c r="V5922" t="s">
        <v>43</v>
      </c>
      <c r="W5922" t="s">
        <v>43</v>
      </c>
      <c r="X5922" t="s">
        <v>43</v>
      </c>
      <c r="Y5922" t="s">
        <v>43</v>
      </c>
      <c r="Z5922" t="s">
        <v>43</v>
      </c>
      <c r="AA5922" t="s">
        <v>43</v>
      </c>
      <c r="AB5922" t="s">
        <v>43</v>
      </c>
      <c r="AC5922" t="s">
        <v>43</v>
      </c>
      <c r="AD5922" t="s">
        <v>43</v>
      </c>
      <c r="AE5922" t="s">
        <v>43</v>
      </c>
      <c r="AF5922" t="s">
        <v>43</v>
      </c>
      <c r="AG5922" t="s">
        <v>43</v>
      </c>
      <c r="AH5922" t="s">
        <v>43</v>
      </c>
      <c r="AI5922" t="s">
        <v>43</v>
      </c>
      <c r="AJ5922" t="s">
        <v>43</v>
      </c>
      <c r="AK5922" t="s">
        <v>43</v>
      </c>
      <c r="AL5922" t="s">
        <v>43</v>
      </c>
      <c r="AM5922" t="s">
        <v>43</v>
      </c>
      <c r="AN5922" t="str">
        <f>HYPERLINK("https://www.google.com/maps?q=10.83316708,79.846138","Open Location")</f>
        <v>Open Location</v>
      </c>
    </row>
    <row r="5923" spans="1:40" x14ac:dyDescent="0.3">
      <c r="A5923" s="1">
        <v>46210.313773148147</v>
      </c>
      <c r="B5923" t="s">
        <v>40</v>
      </c>
      <c r="C5923" t="s">
        <v>41</v>
      </c>
      <c r="D5923" s="1">
        <v>46210.316550925927</v>
      </c>
      <c r="E5923" t="s">
        <v>42</v>
      </c>
      <c r="F5923" t="s">
        <v>43</v>
      </c>
      <c r="G5923" t="s">
        <v>43</v>
      </c>
      <c r="H5923" t="s">
        <v>43</v>
      </c>
      <c r="I5923" t="s">
        <v>3340</v>
      </c>
      <c r="J5923" t="s">
        <v>43</v>
      </c>
      <c r="K5923" t="s">
        <v>43</v>
      </c>
      <c r="L5923" t="s">
        <v>43</v>
      </c>
      <c r="M5923" t="s">
        <v>43</v>
      </c>
      <c r="N5923" t="s">
        <v>45</v>
      </c>
      <c r="O5923" t="s">
        <v>43</v>
      </c>
      <c r="P5923" t="s">
        <v>43</v>
      </c>
      <c r="Q5923" t="s">
        <v>43</v>
      </c>
      <c r="R5923" t="s">
        <v>43</v>
      </c>
      <c r="S5923" t="s">
        <v>43</v>
      </c>
      <c r="T5923" t="s">
        <v>43</v>
      </c>
      <c r="U5923" t="s">
        <v>43</v>
      </c>
      <c r="V5923" t="s">
        <v>43</v>
      </c>
      <c r="W5923" t="s">
        <v>43</v>
      </c>
      <c r="X5923" t="s">
        <v>43</v>
      </c>
      <c r="Y5923" t="s">
        <v>43</v>
      </c>
      <c r="Z5923" t="s">
        <v>43</v>
      </c>
      <c r="AA5923" t="s">
        <v>43</v>
      </c>
      <c r="AB5923" t="s">
        <v>43</v>
      </c>
      <c r="AC5923" t="s">
        <v>43</v>
      </c>
      <c r="AD5923" t="s">
        <v>43</v>
      </c>
      <c r="AE5923" t="s">
        <v>43</v>
      </c>
      <c r="AF5923" t="s">
        <v>43</v>
      </c>
      <c r="AG5923" t="s">
        <v>43</v>
      </c>
      <c r="AH5923" t="s">
        <v>43</v>
      </c>
      <c r="AI5923" t="s">
        <v>43</v>
      </c>
      <c r="AJ5923" t="s">
        <v>43</v>
      </c>
      <c r="AK5923" t="s">
        <v>43</v>
      </c>
      <c r="AL5923" t="s">
        <v>43</v>
      </c>
      <c r="AM5923" t="s">
        <v>43</v>
      </c>
      <c r="AN5923" t="str">
        <f>HYPERLINK("https://www.google.com/maps?q=10.83316803,79.84613037","Open Location")</f>
        <v>Open Location</v>
      </c>
    </row>
    <row r="5924" spans="1:40" x14ac:dyDescent="0.3">
      <c r="A5924" s="1">
        <v>46210.313657407409</v>
      </c>
      <c r="B5924" t="s">
        <v>40</v>
      </c>
      <c r="C5924" t="s">
        <v>41</v>
      </c>
      <c r="D5924" s="1">
        <v>46210.31653935185</v>
      </c>
      <c r="E5924" t="s">
        <v>42</v>
      </c>
      <c r="F5924" t="s">
        <v>43</v>
      </c>
      <c r="G5924" t="s">
        <v>43</v>
      </c>
      <c r="H5924" t="s">
        <v>43</v>
      </c>
      <c r="I5924" t="s">
        <v>3341</v>
      </c>
      <c r="J5924" t="s">
        <v>43</v>
      </c>
      <c r="K5924" t="s">
        <v>43</v>
      </c>
      <c r="L5924" t="s">
        <v>43</v>
      </c>
      <c r="M5924" t="s">
        <v>43</v>
      </c>
      <c r="N5924" t="s">
        <v>45</v>
      </c>
      <c r="O5924" t="s">
        <v>43</v>
      </c>
      <c r="P5924" t="s">
        <v>43</v>
      </c>
      <c r="Q5924" t="s">
        <v>43</v>
      </c>
      <c r="R5924" t="s">
        <v>43</v>
      </c>
      <c r="S5924" t="s">
        <v>43</v>
      </c>
      <c r="T5924" t="s">
        <v>43</v>
      </c>
      <c r="U5924" t="s">
        <v>43</v>
      </c>
      <c r="V5924" t="s">
        <v>43</v>
      </c>
      <c r="W5924" t="s">
        <v>43</v>
      </c>
      <c r="X5924" t="s">
        <v>43</v>
      </c>
      <c r="Y5924" t="s">
        <v>43</v>
      </c>
      <c r="Z5924" t="s">
        <v>43</v>
      </c>
      <c r="AA5924" t="s">
        <v>43</v>
      </c>
      <c r="AB5924" t="s">
        <v>43</v>
      </c>
      <c r="AC5924" t="s">
        <v>43</v>
      </c>
      <c r="AD5924" t="s">
        <v>43</v>
      </c>
      <c r="AE5924" t="s">
        <v>43</v>
      </c>
      <c r="AF5924" t="s">
        <v>43</v>
      </c>
      <c r="AG5924" t="s">
        <v>43</v>
      </c>
      <c r="AH5924" t="s">
        <v>43</v>
      </c>
      <c r="AI5924" t="s">
        <v>43</v>
      </c>
      <c r="AJ5924" t="s">
        <v>43</v>
      </c>
      <c r="AK5924" t="s">
        <v>43</v>
      </c>
      <c r="AL5924" t="s">
        <v>43</v>
      </c>
      <c r="AM5924" t="s">
        <v>43</v>
      </c>
      <c r="AN5924" t="str">
        <f>HYPERLINK("https://www.google.com/maps?q=10.83316708,79.84613037","Open Location")</f>
        <v>Open Location</v>
      </c>
    </row>
    <row r="5925" spans="1:40" x14ac:dyDescent="0.3">
      <c r="A5925" s="1">
        <v>46210.31354166667</v>
      </c>
      <c r="B5925" t="s">
        <v>40</v>
      </c>
      <c r="C5925" t="s">
        <v>41</v>
      </c>
      <c r="D5925" s="1">
        <v>46210.316331018519</v>
      </c>
      <c r="E5925" t="s">
        <v>42</v>
      </c>
      <c r="F5925" t="s">
        <v>43</v>
      </c>
      <c r="G5925" t="s">
        <v>43</v>
      </c>
      <c r="H5925" t="s">
        <v>43</v>
      </c>
      <c r="I5925" t="s">
        <v>3342</v>
      </c>
      <c r="J5925" t="s">
        <v>43</v>
      </c>
      <c r="K5925" t="s">
        <v>43</v>
      </c>
      <c r="L5925" t="s">
        <v>43</v>
      </c>
      <c r="M5925" t="s">
        <v>43</v>
      </c>
      <c r="N5925" t="s">
        <v>45</v>
      </c>
      <c r="O5925" t="s">
        <v>43</v>
      </c>
      <c r="P5925" t="s">
        <v>43</v>
      </c>
      <c r="Q5925" t="s">
        <v>43</v>
      </c>
      <c r="R5925" t="s">
        <v>43</v>
      </c>
      <c r="S5925" t="s">
        <v>43</v>
      </c>
      <c r="T5925" t="s">
        <v>43</v>
      </c>
      <c r="U5925" t="s">
        <v>43</v>
      </c>
      <c r="V5925" t="s">
        <v>43</v>
      </c>
      <c r="W5925" t="s">
        <v>43</v>
      </c>
      <c r="X5925" t="s">
        <v>43</v>
      </c>
      <c r="Y5925" t="s">
        <v>43</v>
      </c>
      <c r="Z5925" t="s">
        <v>43</v>
      </c>
      <c r="AA5925" t="s">
        <v>43</v>
      </c>
      <c r="AB5925" t="s">
        <v>43</v>
      </c>
      <c r="AC5925" t="s">
        <v>43</v>
      </c>
      <c r="AD5925" t="s">
        <v>43</v>
      </c>
      <c r="AE5925" t="s">
        <v>43</v>
      </c>
      <c r="AF5925" t="s">
        <v>43</v>
      </c>
      <c r="AG5925" t="s">
        <v>43</v>
      </c>
      <c r="AH5925" t="s">
        <v>43</v>
      </c>
      <c r="AI5925" t="s">
        <v>43</v>
      </c>
      <c r="AJ5925" t="s">
        <v>43</v>
      </c>
      <c r="AK5925" t="s">
        <v>43</v>
      </c>
      <c r="AL5925" t="s">
        <v>43</v>
      </c>
      <c r="AM5925" t="s">
        <v>43</v>
      </c>
      <c r="AN5925" t="str">
        <f>HYPERLINK("https://www.google.com/maps?q=10.83316326,79.84613037","Open Location")</f>
        <v>Open Location</v>
      </c>
    </row>
    <row r="5926" spans="1:40" x14ac:dyDescent="0.3">
      <c r="A5926" s="1">
        <v>46210.313425925924</v>
      </c>
      <c r="B5926" t="s">
        <v>40</v>
      </c>
      <c r="C5926" t="s">
        <v>41</v>
      </c>
      <c r="D5926" s="1">
        <v>46210.31653935185</v>
      </c>
      <c r="E5926" t="s">
        <v>42</v>
      </c>
      <c r="F5926" t="s">
        <v>43</v>
      </c>
      <c r="G5926" t="s">
        <v>43</v>
      </c>
      <c r="H5926" t="s">
        <v>43</v>
      </c>
      <c r="I5926" t="s">
        <v>3343</v>
      </c>
      <c r="J5926" t="s">
        <v>43</v>
      </c>
      <c r="K5926" t="s">
        <v>43</v>
      </c>
      <c r="L5926" t="s">
        <v>43</v>
      </c>
      <c r="M5926" t="s">
        <v>43</v>
      </c>
      <c r="N5926" t="s">
        <v>45</v>
      </c>
      <c r="O5926" t="s">
        <v>43</v>
      </c>
      <c r="P5926" t="s">
        <v>43</v>
      </c>
      <c r="Q5926" t="s">
        <v>43</v>
      </c>
      <c r="R5926" t="s">
        <v>43</v>
      </c>
      <c r="S5926" t="s">
        <v>43</v>
      </c>
      <c r="T5926" t="s">
        <v>43</v>
      </c>
      <c r="U5926" t="s">
        <v>43</v>
      </c>
      <c r="V5926" t="s">
        <v>43</v>
      </c>
      <c r="W5926" t="s">
        <v>43</v>
      </c>
      <c r="X5926" t="s">
        <v>43</v>
      </c>
      <c r="Y5926" t="s">
        <v>43</v>
      </c>
      <c r="Z5926" t="s">
        <v>43</v>
      </c>
      <c r="AA5926" t="s">
        <v>43</v>
      </c>
      <c r="AB5926" t="s">
        <v>43</v>
      </c>
      <c r="AC5926" t="s">
        <v>43</v>
      </c>
      <c r="AD5926" t="s">
        <v>43</v>
      </c>
      <c r="AE5926" t="s">
        <v>43</v>
      </c>
      <c r="AF5926" t="s">
        <v>43</v>
      </c>
      <c r="AG5926" t="s">
        <v>43</v>
      </c>
      <c r="AH5926" t="s">
        <v>43</v>
      </c>
      <c r="AI5926" t="s">
        <v>43</v>
      </c>
      <c r="AJ5926" t="s">
        <v>43</v>
      </c>
      <c r="AK5926" t="s">
        <v>43</v>
      </c>
      <c r="AL5926" t="s">
        <v>43</v>
      </c>
      <c r="AM5926" t="s">
        <v>43</v>
      </c>
      <c r="AN5926" t="str">
        <f>HYPERLINK("https://www.google.com/maps?q=10.8331604,79.84613037","Open Location")</f>
        <v>Open Location</v>
      </c>
    </row>
    <row r="5927" spans="1:40" x14ac:dyDescent="0.3">
      <c r="A5927" s="1">
        <v>46210.313310185185</v>
      </c>
      <c r="B5927" t="s">
        <v>40</v>
      </c>
      <c r="C5927" t="s">
        <v>41</v>
      </c>
      <c r="D5927" s="1">
        <v>46210.316192129627</v>
      </c>
      <c r="E5927" t="s">
        <v>42</v>
      </c>
      <c r="F5927" t="s">
        <v>43</v>
      </c>
      <c r="G5927" t="s">
        <v>43</v>
      </c>
      <c r="H5927" t="s">
        <v>43</v>
      </c>
      <c r="I5927" t="s">
        <v>43</v>
      </c>
      <c r="J5927" t="s">
        <v>43</v>
      </c>
      <c r="K5927" t="s">
        <v>43</v>
      </c>
      <c r="L5927" t="s">
        <v>43</v>
      </c>
      <c r="M5927" t="s">
        <v>43</v>
      </c>
      <c r="N5927" t="s">
        <v>45</v>
      </c>
      <c r="O5927" t="s">
        <v>43</v>
      </c>
      <c r="P5927" t="s">
        <v>43</v>
      </c>
      <c r="Q5927" t="s">
        <v>43</v>
      </c>
      <c r="R5927" t="s">
        <v>43</v>
      </c>
      <c r="S5927" t="s">
        <v>43</v>
      </c>
      <c r="T5927" t="s">
        <v>43</v>
      </c>
      <c r="U5927" t="s">
        <v>43</v>
      </c>
      <c r="V5927" t="s">
        <v>43</v>
      </c>
      <c r="W5927" t="s">
        <v>43</v>
      </c>
      <c r="X5927" t="s">
        <v>43</v>
      </c>
      <c r="Y5927" t="s">
        <v>43</v>
      </c>
      <c r="Z5927" t="s">
        <v>43</v>
      </c>
      <c r="AA5927" t="s">
        <v>43</v>
      </c>
      <c r="AB5927" t="s">
        <v>43</v>
      </c>
      <c r="AC5927" t="s">
        <v>43</v>
      </c>
      <c r="AD5927" t="s">
        <v>43</v>
      </c>
      <c r="AE5927" t="s">
        <v>43</v>
      </c>
      <c r="AF5927" t="s">
        <v>43</v>
      </c>
      <c r="AG5927" t="s">
        <v>43</v>
      </c>
      <c r="AH5927" t="s">
        <v>43</v>
      </c>
      <c r="AI5927" t="s">
        <v>43</v>
      </c>
      <c r="AJ5927" t="s">
        <v>43</v>
      </c>
      <c r="AK5927" t="s">
        <v>43</v>
      </c>
      <c r="AL5927" t="s">
        <v>43</v>
      </c>
      <c r="AM5927" t="s">
        <v>43</v>
      </c>
      <c r="AN5927" t="s">
        <v>43</v>
      </c>
    </row>
    <row r="5928" spans="1:40" x14ac:dyDescent="0.3">
      <c r="A5928" s="1">
        <v>46210.313194444447</v>
      </c>
      <c r="B5928" t="s">
        <v>40</v>
      </c>
      <c r="C5928" t="s">
        <v>41</v>
      </c>
      <c r="D5928" s="1">
        <v>46210.316342592596</v>
      </c>
      <c r="E5928" t="s">
        <v>42</v>
      </c>
      <c r="F5928" t="s">
        <v>43</v>
      </c>
      <c r="G5928" t="s">
        <v>43</v>
      </c>
      <c r="H5928" t="s">
        <v>43</v>
      </c>
      <c r="I5928" t="s">
        <v>3344</v>
      </c>
      <c r="J5928" t="s">
        <v>43</v>
      </c>
      <c r="K5928" t="s">
        <v>43</v>
      </c>
      <c r="L5928" t="s">
        <v>43</v>
      </c>
      <c r="M5928" t="s">
        <v>43</v>
      </c>
      <c r="N5928" t="s">
        <v>45</v>
      </c>
      <c r="O5928" t="s">
        <v>43</v>
      </c>
      <c r="P5928" t="s">
        <v>43</v>
      </c>
      <c r="Q5928" t="s">
        <v>43</v>
      </c>
      <c r="R5928" t="s">
        <v>43</v>
      </c>
      <c r="S5928" t="s">
        <v>43</v>
      </c>
      <c r="T5928" t="s">
        <v>43</v>
      </c>
      <c r="U5928" t="s">
        <v>43</v>
      </c>
      <c r="V5928" t="s">
        <v>43</v>
      </c>
      <c r="W5928" t="s">
        <v>43</v>
      </c>
      <c r="X5928" t="s">
        <v>43</v>
      </c>
      <c r="Y5928" t="s">
        <v>43</v>
      </c>
      <c r="Z5928" t="s">
        <v>43</v>
      </c>
      <c r="AA5928" t="s">
        <v>43</v>
      </c>
      <c r="AB5928" t="s">
        <v>43</v>
      </c>
      <c r="AC5928" t="s">
        <v>43</v>
      </c>
      <c r="AD5928" t="s">
        <v>43</v>
      </c>
      <c r="AE5928" t="s">
        <v>43</v>
      </c>
      <c r="AF5928" t="s">
        <v>43</v>
      </c>
      <c r="AG5928" t="s">
        <v>43</v>
      </c>
      <c r="AH5928" t="s">
        <v>43</v>
      </c>
      <c r="AI5928" t="s">
        <v>43</v>
      </c>
      <c r="AJ5928" t="s">
        <v>43</v>
      </c>
      <c r="AK5928" t="s">
        <v>43</v>
      </c>
      <c r="AL5928" t="s">
        <v>43</v>
      </c>
      <c r="AM5928" t="s">
        <v>43</v>
      </c>
      <c r="AN5928" t="str">
        <f>HYPERLINK("https://www.google.com/maps?q=10.83316231,79.84613037","Open Location")</f>
        <v>Open Location</v>
      </c>
    </row>
    <row r="5929" spans="1:40" x14ac:dyDescent="0.3">
      <c r="A5929" s="1">
        <v>46210.313078703701</v>
      </c>
      <c r="B5929" t="s">
        <v>40</v>
      </c>
      <c r="C5929" t="s">
        <v>41</v>
      </c>
      <c r="D5929" s="1">
        <v>46210.315740740742</v>
      </c>
      <c r="E5929" t="s">
        <v>42</v>
      </c>
      <c r="F5929" t="s">
        <v>43</v>
      </c>
      <c r="G5929" t="s">
        <v>43</v>
      </c>
      <c r="H5929" t="s">
        <v>43</v>
      </c>
      <c r="I5929" t="s">
        <v>3345</v>
      </c>
      <c r="J5929" t="s">
        <v>43</v>
      </c>
      <c r="K5929" t="s">
        <v>43</v>
      </c>
      <c r="L5929" t="s">
        <v>43</v>
      </c>
      <c r="M5929" t="s">
        <v>43</v>
      </c>
      <c r="N5929" t="s">
        <v>45</v>
      </c>
      <c r="O5929" t="s">
        <v>43</v>
      </c>
      <c r="P5929" t="s">
        <v>43</v>
      </c>
      <c r="Q5929" t="s">
        <v>43</v>
      </c>
      <c r="R5929" t="s">
        <v>43</v>
      </c>
      <c r="S5929" t="s">
        <v>43</v>
      </c>
      <c r="T5929" t="s">
        <v>43</v>
      </c>
      <c r="U5929" t="s">
        <v>43</v>
      </c>
      <c r="V5929" t="s">
        <v>43</v>
      </c>
      <c r="W5929" t="s">
        <v>43</v>
      </c>
      <c r="X5929" t="s">
        <v>43</v>
      </c>
      <c r="Y5929" t="s">
        <v>43</v>
      </c>
      <c r="Z5929" t="s">
        <v>43</v>
      </c>
      <c r="AA5929" t="s">
        <v>43</v>
      </c>
      <c r="AB5929" t="s">
        <v>43</v>
      </c>
      <c r="AC5929" t="s">
        <v>43</v>
      </c>
      <c r="AD5929" t="s">
        <v>43</v>
      </c>
      <c r="AE5929" t="s">
        <v>43</v>
      </c>
      <c r="AF5929" t="s">
        <v>43</v>
      </c>
      <c r="AG5929" t="s">
        <v>43</v>
      </c>
      <c r="AH5929" t="s">
        <v>43</v>
      </c>
      <c r="AI5929" t="s">
        <v>43</v>
      </c>
      <c r="AJ5929" t="s">
        <v>43</v>
      </c>
      <c r="AK5929" t="s">
        <v>43</v>
      </c>
      <c r="AL5929" t="s">
        <v>43</v>
      </c>
      <c r="AM5929" t="s">
        <v>43</v>
      </c>
      <c r="AN5929" t="str">
        <f>HYPERLINK("https://www.google.com/maps?q=10.83316326,79.846138","Open Location")</f>
        <v>Open Location</v>
      </c>
    </row>
    <row r="5930" spans="1:40" x14ac:dyDescent="0.3">
      <c r="A5930" s="1">
        <v>46210.312962962962</v>
      </c>
      <c r="B5930" t="s">
        <v>40</v>
      </c>
      <c r="C5930" t="s">
        <v>41</v>
      </c>
      <c r="D5930" s="1">
        <v>46210.315949074073</v>
      </c>
      <c r="E5930" t="s">
        <v>42</v>
      </c>
      <c r="F5930" t="s">
        <v>43</v>
      </c>
      <c r="G5930" t="s">
        <v>43</v>
      </c>
      <c r="H5930" t="s">
        <v>43</v>
      </c>
      <c r="I5930" t="s">
        <v>3346</v>
      </c>
      <c r="J5930" t="s">
        <v>43</v>
      </c>
      <c r="K5930" t="s">
        <v>43</v>
      </c>
      <c r="L5930" t="s">
        <v>43</v>
      </c>
      <c r="M5930" t="s">
        <v>43</v>
      </c>
      <c r="N5930" t="s">
        <v>45</v>
      </c>
      <c r="O5930" t="s">
        <v>43</v>
      </c>
      <c r="P5930" t="s">
        <v>43</v>
      </c>
      <c r="Q5930" t="s">
        <v>43</v>
      </c>
      <c r="R5930" t="s">
        <v>43</v>
      </c>
      <c r="S5930" t="s">
        <v>43</v>
      </c>
      <c r="T5930" t="s">
        <v>43</v>
      </c>
      <c r="U5930" t="s">
        <v>43</v>
      </c>
      <c r="V5930" t="s">
        <v>43</v>
      </c>
      <c r="W5930" t="s">
        <v>43</v>
      </c>
      <c r="X5930" t="s">
        <v>43</v>
      </c>
      <c r="Y5930" t="s">
        <v>43</v>
      </c>
      <c r="Z5930" t="s">
        <v>43</v>
      </c>
      <c r="AA5930" t="s">
        <v>43</v>
      </c>
      <c r="AB5930" t="s">
        <v>43</v>
      </c>
      <c r="AC5930" t="s">
        <v>43</v>
      </c>
      <c r="AD5930" t="s">
        <v>43</v>
      </c>
      <c r="AE5930" t="s">
        <v>43</v>
      </c>
      <c r="AF5930" t="s">
        <v>43</v>
      </c>
      <c r="AG5930" t="s">
        <v>43</v>
      </c>
      <c r="AH5930" t="s">
        <v>43</v>
      </c>
      <c r="AI5930" t="s">
        <v>43</v>
      </c>
      <c r="AJ5930" t="s">
        <v>43</v>
      </c>
      <c r="AK5930" t="s">
        <v>43</v>
      </c>
      <c r="AL5930" t="s">
        <v>43</v>
      </c>
      <c r="AM5930" t="s">
        <v>43</v>
      </c>
      <c r="AN5930" t="str">
        <f>HYPERLINK("https://www.google.com/maps?q=10.83315754,79.84614563","Open Location")</f>
        <v>Open Location</v>
      </c>
    </row>
    <row r="5931" spans="1:40" x14ac:dyDescent="0.3">
      <c r="A5931" s="1">
        <v>46210.312847222223</v>
      </c>
      <c r="B5931" t="s">
        <v>40</v>
      </c>
      <c r="C5931" t="s">
        <v>41</v>
      </c>
      <c r="D5931" s="1">
        <v>46210.315810185188</v>
      </c>
      <c r="E5931" t="s">
        <v>42</v>
      </c>
      <c r="F5931" t="s">
        <v>43</v>
      </c>
      <c r="G5931" t="s">
        <v>43</v>
      </c>
      <c r="H5931" t="s">
        <v>43</v>
      </c>
      <c r="I5931" t="s">
        <v>3347</v>
      </c>
      <c r="J5931" t="s">
        <v>43</v>
      </c>
      <c r="K5931" t="s">
        <v>43</v>
      </c>
      <c r="L5931" t="s">
        <v>43</v>
      </c>
      <c r="M5931" t="s">
        <v>43</v>
      </c>
      <c r="N5931" t="s">
        <v>45</v>
      </c>
      <c r="O5931" t="s">
        <v>43</v>
      </c>
      <c r="P5931" t="s">
        <v>43</v>
      </c>
      <c r="Q5931" t="s">
        <v>43</v>
      </c>
      <c r="R5931" t="s">
        <v>43</v>
      </c>
      <c r="S5931" t="s">
        <v>43</v>
      </c>
      <c r="T5931" t="s">
        <v>43</v>
      </c>
      <c r="U5931" t="s">
        <v>43</v>
      </c>
      <c r="V5931" t="s">
        <v>43</v>
      </c>
      <c r="W5931" t="s">
        <v>43</v>
      </c>
      <c r="X5931" t="s">
        <v>43</v>
      </c>
      <c r="Y5931" t="s">
        <v>43</v>
      </c>
      <c r="Z5931" t="s">
        <v>43</v>
      </c>
      <c r="AA5931" t="s">
        <v>43</v>
      </c>
      <c r="AB5931" t="s">
        <v>43</v>
      </c>
      <c r="AC5931" t="s">
        <v>43</v>
      </c>
      <c r="AD5931" t="s">
        <v>43</v>
      </c>
      <c r="AE5931" t="s">
        <v>43</v>
      </c>
      <c r="AF5931" t="s">
        <v>43</v>
      </c>
      <c r="AG5931" t="s">
        <v>43</v>
      </c>
      <c r="AH5931" t="s">
        <v>43</v>
      </c>
      <c r="AI5931" t="s">
        <v>43</v>
      </c>
      <c r="AJ5931" t="s">
        <v>43</v>
      </c>
      <c r="AK5931" t="s">
        <v>43</v>
      </c>
      <c r="AL5931" t="s">
        <v>43</v>
      </c>
      <c r="AM5931" t="s">
        <v>43</v>
      </c>
      <c r="AN5931" t="str">
        <f>HYPERLINK("https://www.google.com/maps?q=10.83315086,79.84614563","Open Location")</f>
        <v>Open Location</v>
      </c>
    </row>
    <row r="5932" spans="1:40" x14ac:dyDescent="0.3">
      <c r="A5932" s="1">
        <v>46210.312731481485</v>
      </c>
      <c r="B5932" t="s">
        <v>40</v>
      </c>
      <c r="C5932" t="s">
        <v>41</v>
      </c>
      <c r="D5932" s="1">
        <v>46210.315752314818</v>
      </c>
      <c r="E5932" t="s">
        <v>42</v>
      </c>
      <c r="F5932" t="s">
        <v>43</v>
      </c>
      <c r="G5932" t="s">
        <v>43</v>
      </c>
      <c r="H5932" t="s">
        <v>43</v>
      </c>
      <c r="I5932" t="s">
        <v>43</v>
      </c>
      <c r="J5932" t="s">
        <v>43</v>
      </c>
      <c r="K5932" t="s">
        <v>43</v>
      </c>
      <c r="L5932" t="s">
        <v>43</v>
      </c>
      <c r="M5932" t="s">
        <v>43</v>
      </c>
      <c r="N5932" t="s">
        <v>45</v>
      </c>
      <c r="O5932" t="s">
        <v>43</v>
      </c>
      <c r="P5932" t="s">
        <v>43</v>
      </c>
      <c r="Q5932" t="s">
        <v>43</v>
      </c>
      <c r="R5932" t="s">
        <v>43</v>
      </c>
      <c r="S5932" t="s">
        <v>43</v>
      </c>
      <c r="T5932" t="s">
        <v>43</v>
      </c>
      <c r="U5932" t="s">
        <v>43</v>
      </c>
      <c r="V5932" t="s">
        <v>43</v>
      </c>
      <c r="W5932" t="s">
        <v>43</v>
      </c>
      <c r="X5932" t="s">
        <v>43</v>
      </c>
      <c r="Y5932" t="s">
        <v>43</v>
      </c>
      <c r="Z5932" t="s">
        <v>43</v>
      </c>
      <c r="AA5932" t="s">
        <v>43</v>
      </c>
      <c r="AB5932" t="s">
        <v>43</v>
      </c>
      <c r="AC5932" t="s">
        <v>43</v>
      </c>
      <c r="AD5932" t="s">
        <v>43</v>
      </c>
      <c r="AE5932" t="s">
        <v>43</v>
      </c>
      <c r="AF5932" t="s">
        <v>43</v>
      </c>
      <c r="AG5932" t="s">
        <v>43</v>
      </c>
      <c r="AH5932" t="s">
        <v>43</v>
      </c>
      <c r="AI5932" t="s">
        <v>43</v>
      </c>
      <c r="AJ5932" t="s">
        <v>43</v>
      </c>
      <c r="AK5932" t="s">
        <v>43</v>
      </c>
      <c r="AL5932" t="s">
        <v>43</v>
      </c>
      <c r="AM5932" t="s">
        <v>43</v>
      </c>
      <c r="AN5932" t="s">
        <v>43</v>
      </c>
    </row>
    <row r="5933" spans="1:40" x14ac:dyDescent="0.3">
      <c r="A5933" s="1">
        <v>46210.312615740739</v>
      </c>
      <c r="B5933" t="s">
        <v>40</v>
      </c>
      <c r="C5933" t="s">
        <v>41</v>
      </c>
      <c r="D5933" s="1">
        <v>46210.315405092595</v>
      </c>
      <c r="E5933" t="s">
        <v>42</v>
      </c>
      <c r="F5933" t="s">
        <v>43</v>
      </c>
      <c r="G5933" t="s">
        <v>43</v>
      </c>
      <c r="H5933" t="s">
        <v>43</v>
      </c>
      <c r="I5933" t="s">
        <v>3348</v>
      </c>
      <c r="J5933" t="s">
        <v>43</v>
      </c>
      <c r="K5933" t="s">
        <v>43</v>
      </c>
      <c r="L5933" t="s">
        <v>43</v>
      </c>
      <c r="M5933" t="s">
        <v>43</v>
      </c>
      <c r="N5933" t="s">
        <v>45</v>
      </c>
      <c r="O5933" t="s">
        <v>43</v>
      </c>
      <c r="P5933" t="s">
        <v>43</v>
      </c>
      <c r="Q5933" t="s">
        <v>43</v>
      </c>
      <c r="R5933" t="s">
        <v>43</v>
      </c>
      <c r="S5933" t="s">
        <v>43</v>
      </c>
      <c r="T5933" t="s">
        <v>43</v>
      </c>
      <c r="U5933" t="s">
        <v>43</v>
      </c>
      <c r="V5933" t="s">
        <v>43</v>
      </c>
      <c r="W5933" t="s">
        <v>43</v>
      </c>
      <c r="X5933" t="s">
        <v>43</v>
      </c>
      <c r="Y5933" t="s">
        <v>43</v>
      </c>
      <c r="Z5933" t="s">
        <v>43</v>
      </c>
      <c r="AA5933" t="s">
        <v>43</v>
      </c>
      <c r="AB5933" t="s">
        <v>43</v>
      </c>
      <c r="AC5933" t="s">
        <v>43</v>
      </c>
      <c r="AD5933" t="s">
        <v>43</v>
      </c>
      <c r="AE5933" t="s">
        <v>43</v>
      </c>
      <c r="AF5933" t="s">
        <v>43</v>
      </c>
      <c r="AG5933" t="s">
        <v>43</v>
      </c>
      <c r="AH5933" t="s">
        <v>43</v>
      </c>
      <c r="AI5933" t="s">
        <v>43</v>
      </c>
      <c r="AJ5933" t="s">
        <v>43</v>
      </c>
      <c r="AK5933" t="s">
        <v>43</v>
      </c>
      <c r="AL5933" t="s">
        <v>43</v>
      </c>
      <c r="AM5933" t="s">
        <v>43</v>
      </c>
      <c r="AN5933" t="str">
        <f>HYPERLINK("https://www.google.com/maps?q=10.83314991,79.846138","Open Location")</f>
        <v>Open Location</v>
      </c>
    </row>
    <row r="5934" spans="1:40" x14ac:dyDescent="0.3">
      <c r="A5934" s="1">
        <v>46210.3125</v>
      </c>
      <c r="B5934" t="s">
        <v>40</v>
      </c>
      <c r="C5934" t="s">
        <v>41</v>
      </c>
      <c r="D5934" s="1">
        <v>46210.315428240741</v>
      </c>
      <c r="E5934" t="s">
        <v>42</v>
      </c>
      <c r="F5934" t="s">
        <v>43</v>
      </c>
      <c r="G5934" t="s">
        <v>43</v>
      </c>
      <c r="H5934" t="s">
        <v>43</v>
      </c>
      <c r="I5934" t="s">
        <v>3349</v>
      </c>
      <c r="J5934" t="s">
        <v>43</v>
      </c>
      <c r="K5934" t="s">
        <v>43</v>
      </c>
      <c r="L5934" t="s">
        <v>43</v>
      </c>
      <c r="M5934" t="s">
        <v>43</v>
      </c>
      <c r="N5934" t="s">
        <v>45</v>
      </c>
      <c r="O5934" t="s">
        <v>43</v>
      </c>
      <c r="P5934" t="s">
        <v>43</v>
      </c>
      <c r="Q5934" t="s">
        <v>43</v>
      </c>
      <c r="R5934" t="s">
        <v>43</v>
      </c>
      <c r="S5934" t="s">
        <v>43</v>
      </c>
      <c r="T5934" t="s">
        <v>43</v>
      </c>
      <c r="U5934" t="s">
        <v>43</v>
      </c>
      <c r="V5934" t="s">
        <v>43</v>
      </c>
      <c r="W5934" t="s">
        <v>43</v>
      </c>
      <c r="X5934" t="s">
        <v>43</v>
      </c>
      <c r="Y5934" t="s">
        <v>43</v>
      </c>
      <c r="Z5934" t="s">
        <v>43</v>
      </c>
      <c r="AA5934" t="s">
        <v>43</v>
      </c>
      <c r="AB5934" t="s">
        <v>43</v>
      </c>
      <c r="AC5934" t="s">
        <v>43</v>
      </c>
      <c r="AD5934" t="s">
        <v>43</v>
      </c>
      <c r="AE5934" t="s">
        <v>43</v>
      </c>
      <c r="AF5934" t="s">
        <v>43</v>
      </c>
      <c r="AG5934" t="s">
        <v>43</v>
      </c>
      <c r="AH5934" t="s">
        <v>43</v>
      </c>
      <c r="AI5934" t="s">
        <v>43</v>
      </c>
      <c r="AJ5934" t="s">
        <v>43</v>
      </c>
      <c r="AK5934" t="s">
        <v>43</v>
      </c>
      <c r="AL5934" t="s">
        <v>43</v>
      </c>
      <c r="AM5934" t="s">
        <v>43</v>
      </c>
      <c r="AN5934" t="str">
        <f>HYPERLINK("https://www.google.com/maps?q=10.83314896,79.846138","Open Location")</f>
        <v>Open Location</v>
      </c>
    </row>
    <row r="5935" spans="1:40" x14ac:dyDescent="0.3">
      <c r="A5935" s="1">
        <v>46210.312384259261</v>
      </c>
      <c r="B5935" t="s">
        <v>40</v>
      </c>
      <c r="C5935" t="s">
        <v>41</v>
      </c>
      <c r="D5935" s="1">
        <v>46210.31517361111</v>
      </c>
      <c r="E5935" t="s">
        <v>42</v>
      </c>
      <c r="F5935" t="s">
        <v>43</v>
      </c>
      <c r="G5935" t="s">
        <v>43</v>
      </c>
      <c r="H5935" t="s">
        <v>43</v>
      </c>
      <c r="I5935" t="s">
        <v>3350</v>
      </c>
      <c r="J5935" t="s">
        <v>43</v>
      </c>
      <c r="K5935" t="s">
        <v>43</v>
      </c>
      <c r="L5935" t="s">
        <v>43</v>
      </c>
      <c r="M5935" t="s">
        <v>43</v>
      </c>
      <c r="N5935" t="s">
        <v>45</v>
      </c>
      <c r="O5935" t="s">
        <v>43</v>
      </c>
      <c r="P5935" t="s">
        <v>43</v>
      </c>
      <c r="Q5935" t="s">
        <v>43</v>
      </c>
      <c r="R5935" t="s">
        <v>43</v>
      </c>
      <c r="S5935" t="s">
        <v>43</v>
      </c>
      <c r="T5935" t="s">
        <v>43</v>
      </c>
      <c r="U5935" t="s">
        <v>43</v>
      </c>
      <c r="V5935" t="s">
        <v>43</v>
      </c>
      <c r="W5935" t="s">
        <v>43</v>
      </c>
      <c r="X5935" t="s">
        <v>43</v>
      </c>
      <c r="Y5935" t="s">
        <v>43</v>
      </c>
      <c r="Z5935" t="s">
        <v>43</v>
      </c>
      <c r="AA5935" t="s">
        <v>43</v>
      </c>
      <c r="AB5935" t="s">
        <v>43</v>
      </c>
      <c r="AC5935" t="s">
        <v>43</v>
      </c>
      <c r="AD5935" t="s">
        <v>43</v>
      </c>
      <c r="AE5935" t="s">
        <v>43</v>
      </c>
      <c r="AF5935" t="s">
        <v>43</v>
      </c>
      <c r="AG5935" t="s">
        <v>43</v>
      </c>
      <c r="AH5935" t="s">
        <v>43</v>
      </c>
      <c r="AI5935" t="s">
        <v>43</v>
      </c>
      <c r="AJ5935" t="s">
        <v>43</v>
      </c>
      <c r="AK5935" t="s">
        <v>43</v>
      </c>
      <c r="AL5935" t="s">
        <v>43</v>
      </c>
      <c r="AM5935" t="s">
        <v>43</v>
      </c>
      <c r="AN5935" t="str">
        <f>HYPERLINK("https://www.google.com/maps?q=10.83314705,79.846138","Open Location")</f>
        <v>Open Location</v>
      </c>
    </row>
    <row r="5936" spans="1:40" x14ac:dyDescent="0.3">
      <c r="A5936" s="1">
        <v>46210.312268518515</v>
      </c>
      <c r="B5936" t="s">
        <v>40</v>
      </c>
      <c r="C5936" t="s">
        <v>41</v>
      </c>
      <c r="D5936" s="1">
        <v>46210.315381944441</v>
      </c>
      <c r="E5936" t="s">
        <v>42</v>
      </c>
      <c r="F5936" t="s">
        <v>43</v>
      </c>
      <c r="G5936" t="s">
        <v>43</v>
      </c>
      <c r="H5936" t="s">
        <v>43</v>
      </c>
      <c r="I5936" t="s">
        <v>3351</v>
      </c>
      <c r="J5936" t="s">
        <v>43</v>
      </c>
      <c r="K5936" t="s">
        <v>43</v>
      </c>
      <c r="L5936" t="s">
        <v>43</v>
      </c>
      <c r="M5936" t="s">
        <v>43</v>
      </c>
      <c r="N5936" t="s">
        <v>45</v>
      </c>
      <c r="O5936" t="s">
        <v>43</v>
      </c>
      <c r="P5936" t="s">
        <v>43</v>
      </c>
      <c r="Q5936" t="s">
        <v>43</v>
      </c>
      <c r="R5936" t="s">
        <v>43</v>
      </c>
      <c r="S5936" t="s">
        <v>43</v>
      </c>
      <c r="T5936" t="s">
        <v>43</v>
      </c>
      <c r="U5936" t="s">
        <v>43</v>
      </c>
      <c r="V5936" t="s">
        <v>43</v>
      </c>
      <c r="W5936" t="s">
        <v>43</v>
      </c>
      <c r="X5936" t="s">
        <v>43</v>
      </c>
      <c r="Y5936" t="s">
        <v>43</v>
      </c>
      <c r="Z5936" t="s">
        <v>43</v>
      </c>
      <c r="AA5936" t="s">
        <v>43</v>
      </c>
      <c r="AB5936" t="s">
        <v>43</v>
      </c>
      <c r="AC5936" t="s">
        <v>43</v>
      </c>
      <c r="AD5936" t="s">
        <v>43</v>
      </c>
      <c r="AE5936" t="s">
        <v>43</v>
      </c>
      <c r="AF5936" t="s">
        <v>43</v>
      </c>
      <c r="AG5936" t="s">
        <v>43</v>
      </c>
      <c r="AH5936" t="s">
        <v>43</v>
      </c>
      <c r="AI5936" t="s">
        <v>43</v>
      </c>
      <c r="AJ5936" t="s">
        <v>43</v>
      </c>
      <c r="AK5936" t="s">
        <v>43</v>
      </c>
      <c r="AL5936" t="s">
        <v>43</v>
      </c>
      <c r="AM5936" t="s">
        <v>43</v>
      </c>
      <c r="AN5936" t="str">
        <f>HYPERLINK("https://www.google.com/maps?q=10.833148,79.84613037","Open Location")</f>
        <v>Open Location</v>
      </c>
    </row>
    <row r="5937" spans="1:40" x14ac:dyDescent="0.3">
      <c r="A5937" s="1">
        <v>46210.312152777777</v>
      </c>
      <c r="B5937" t="s">
        <v>40</v>
      </c>
      <c r="C5937" t="s">
        <v>41</v>
      </c>
      <c r="D5937" s="1">
        <v>46210.315069444441</v>
      </c>
      <c r="E5937" t="s">
        <v>42</v>
      </c>
      <c r="F5937" t="s">
        <v>43</v>
      </c>
      <c r="G5937" t="s">
        <v>43</v>
      </c>
      <c r="H5937" t="s">
        <v>43</v>
      </c>
      <c r="I5937" t="s">
        <v>3352</v>
      </c>
      <c r="J5937" t="s">
        <v>43</v>
      </c>
      <c r="K5937" t="s">
        <v>43</v>
      </c>
      <c r="L5937" t="s">
        <v>43</v>
      </c>
      <c r="M5937" t="s">
        <v>43</v>
      </c>
      <c r="N5937" t="s">
        <v>45</v>
      </c>
      <c r="O5937" t="s">
        <v>43</v>
      </c>
      <c r="P5937" t="s">
        <v>43</v>
      </c>
      <c r="Q5937" t="s">
        <v>43</v>
      </c>
      <c r="R5937" t="s">
        <v>43</v>
      </c>
      <c r="S5937" t="s">
        <v>43</v>
      </c>
      <c r="T5937" t="s">
        <v>43</v>
      </c>
      <c r="U5937" t="s">
        <v>43</v>
      </c>
      <c r="V5937" t="s">
        <v>43</v>
      </c>
      <c r="W5937" t="s">
        <v>43</v>
      </c>
      <c r="X5937" t="s">
        <v>43</v>
      </c>
      <c r="Y5937" t="s">
        <v>43</v>
      </c>
      <c r="Z5937" t="s">
        <v>43</v>
      </c>
      <c r="AA5937" t="s">
        <v>43</v>
      </c>
      <c r="AB5937" t="s">
        <v>43</v>
      </c>
      <c r="AC5937" t="s">
        <v>43</v>
      </c>
      <c r="AD5937" t="s">
        <v>43</v>
      </c>
      <c r="AE5937" t="s">
        <v>43</v>
      </c>
      <c r="AF5937" t="s">
        <v>43</v>
      </c>
      <c r="AG5937" t="s">
        <v>43</v>
      </c>
      <c r="AH5937" t="s">
        <v>43</v>
      </c>
      <c r="AI5937" t="s">
        <v>43</v>
      </c>
      <c r="AJ5937" t="s">
        <v>43</v>
      </c>
      <c r="AK5937" t="s">
        <v>43</v>
      </c>
      <c r="AL5937" t="s">
        <v>43</v>
      </c>
      <c r="AM5937" t="s">
        <v>43</v>
      </c>
      <c r="AN5937" t="str">
        <f>HYPERLINK("https://www.google.com/maps?q=10.8331461,79.84613037","Open Location")</f>
        <v>Open Location</v>
      </c>
    </row>
    <row r="5938" spans="1:40" x14ac:dyDescent="0.3">
      <c r="A5938" s="1">
        <v>46210.312037037038</v>
      </c>
      <c r="B5938" t="s">
        <v>40</v>
      </c>
      <c r="C5938" t="s">
        <v>41</v>
      </c>
      <c r="D5938" s="1">
        <v>46210.31490740741</v>
      </c>
      <c r="E5938" t="s">
        <v>42</v>
      </c>
      <c r="F5938" t="s">
        <v>43</v>
      </c>
      <c r="G5938" t="s">
        <v>43</v>
      </c>
      <c r="H5938" t="s">
        <v>43</v>
      </c>
      <c r="I5938" t="s">
        <v>43</v>
      </c>
      <c r="J5938" t="s">
        <v>43</v>
      </c>
      <c r="K5938" t="s">
        <v>43</v>
      </c>
      <c r="L5938" t="s">
        <v>43</v>
      </c>
      <c r="M5938" t="s">
        <v>43</v>
      </c>
      <c r="N5938" t="s">
        <v>45</v>
      </c>
      <c r="O5938" t="s">
        <v>43</v>
      </c>
      <c r="P5938" t="s">
        <v>43</v>
      </c>
      <c r="Q5938" t="s">
        <v>43</v>
      </c>
      <c r="R5938" t="s">
        <v>43</v>
      </c>
      <c r="S5938" t="s">
        <v>43</v>
      </c>
      <c r="T5938" t="s">
        <v>43</v>
      </c>
      <c r="U5938" t="s">
        <v>43</v>
      </c>
      <c r="V5938" t="s">
        <v>43</v>
      </c>
      <c r="W5938" t="s">
        <v>43</v>
      </c>
      <c r="X5938" t="s">
        <v>43</v>
      </c>
      <c r="Y5938" t="s">
        <v>43</v>
      </c>
      <c r="Z5938" t="s">
        <v>43</v>
      </c>
      <c r="AA5938" t="s">
        <v>43</v>
      </c>
      <c r="AB5938" t="s">
        <v>43</v>
      </c>
      <c r="AC5938" t="s">
        <v>43</v>
      </c>
      <c r="AD5938" t="s">
        <v>43</v>
      </c>
      <c r="AE5938" t="s">
        <v>43</v>
      </c>
      <c r="AF5938" t="s">
        <v>43</v>
      </c>
      <c r="AG5938" t="s">
        <v>43</v>
      </c>
      <c r="AH5938" t="s">
        <v>43</v>
      </c>
      <c r="AI5938" t="s">
        <v>43</v>
      </c>
      <c r="AJ5938" t="s">
        <v>43</v>
      </c>
      <c r="AK5938" t="s">
        <v>43</v>
      </c>
      <c r="AL5938" t="s">
        <v>43</v>
      </c>
      <c r="AM5938" t="s">
        <v>43</v>
      </c>
      <c r="AN5938" t="s">
        <v>43</v>
      </c>
    </row>
    <row r="5939" spans="1:40" x14ac:dyDescent="0.3">
      <c r="A5939" s="1">
        <v>46210.311921296299</v>
      </c>
      <c r="B5939" t="s">
        <v>40</v>
      </c>
      <c r="C5939" t="s">
        <v>41</v>
      </c>
      <c r="D5939" s="1">
        <v>46210.314976851849</v>
      </c>
      <c r="E5939" t="s">
        <v>42</v>
      </c>
      <c r="F5939" t="s">
        <v>43</v>
      </c>
      <c r="G5939" t="s">
        <v>43</v>
      </c>
      <c r="H5939" t="s">
        <v>43</v>
      </c>
      <c r="I5939" t="s">
        <v>3353</v>
      </c>
      <c r="J5939" t="s">
        <v>43</v>
      </c>
      <c r="K5939" t="s">
        <v>43</v>
      </c>
      <c r="L5939" t="s">
        <v>43</v>
      </c>
      <c r="M5939" t="s">
        <v>43</v>
      </c>
      <c r="N5939" t="s">
        <v>45</v>
      </c>
      <c r="O5939" t="s">
        <v>43</v>
      </c>
      <c r="P5939" t="s">
        <v>43</v>
      </c>
      <c r="Q5939" t="s">
        <v>43</v>
      </c>
      <c r="R5939" t="s">
        <v>43</v>
      </c>
      <c r="S5939" t="s">
        <v>43</v>
      </c>
      <c r="T5939" t="s">
        <v>43</v>
      </c>
      <c r="U5939" t="s">
        <v>43</v>
      </c>
      <c r="V5939" t="s">
        <v>43</v>
      </c>
      <c r="W5939" t="s">
        <v>43</v>
      </c>
      <c r="X5939" t="s">
        <v>43</v>
      </c>
      <c r="Y5939" t="s">
        <v>43</v>
      </c>
      <c r="Z5939" t="s">
        <v>43</v>
      </c>
      <c r="AA5939" t="s">
        <v>43</v>
      </c>
      <c r="AB5939" t="s">
        <v>43</v>
      </c>
      <c r="AC5939" t="s">
        <v>43</v>
      </c>
      <c r="AD5939" t="s">
        <v>43</v>
      </c>
      <c r="AE5939" t="s">
        <v>43</v>
      </c>
      <c r="AF5939" t="s">
        <v>43</v>
      </c>
      <c r="AG5939" t="s">
        <v>43</v>
      </c>
      <c r="AH5939" t="s">
        <v>43</v>
      </c>
      <c r="AI5939" t="s">
        <v>43</v>
      </c>
      <c r="AJ5939" t="s">
        <v>43</v>
      </c>
      <c r="AK5939" t="s">
        <v>43</v>
      </c>
      <c r="AL5939" t="s">
        <v>43</v>
      </c>
      <c r="AM5939" t="s">
        <v>43</v>
      </c>
      <c r="AN5939" t="str">
        <f>HYPERLINK("https://www.google.com/maps?q=10.83314705,79.84613037","Open Location")</f>
        <v>Open Location</v>
      </c>
    </row>
    <row r="5940" spans="1:40" x14ac:dyDescent="0.3">
      <c r="A5940" s="1">
        <v>46210.311805555553</v>
      </c>
      <c r="B5940" t="s">
        <v>40</v>
      </c>
      <c r="C5940" t="s">
        <v>41</v>
      </c>
      <c r="D5940" s="1">
        <v>46210.31490740741</v>
      </c>
      <c r="E5940" t="s">
        <v>42</v>
      </c>
      <c r="F5940" t="s">
        <v>43</v>
      </c>
      <c r="G5940" t="s">
        <v>43</v>
      </c>
      <c r="H5940" t="s">
        <v>43</v>
      </c>
      <c r="I5940" t="s">
        <v>3354</v>
      </c>
      <c r="J5940" t="s">
        <v>43</v>
      </c>
      <c r="K5940" t="s">
        <v>43</v>
      </c>
      <c r="L5940" t="s">
        <v>43</v>
      </c>
      <c r="M5940" t="s">
        <v>43</v>
      </c>
      <c r="N5940" t="s">
        <v>45</v>
      </c>
      <c r="O5940" t="s">
        <v>43</v>
      </c>
      <c r="P5940" t="s">
        <v>43</v>
      </c>
      <c r="Q5940" t="s">
        <v>43</v>
      </c>
      <c r="R5940" t="s">
        <v>43</v>
      </c>
      <c r="S5940" t="s">
        <v>43</v>
      </c>
      <c r="T5940" t="s">
        <v>43</v>
      </c>
      <c r="U5940" t="s">
        <v>43</v>
      </c>
      <c r="V5940" t="s">
        <v>43</v>
      </c>
      <c r="W5940" t="s">
        <v>43</v>
      </c>
      <c r="X5940" t="s">
        <v>43</v>
      </c>
      <c r="Y5940" t="s">
        <v>43</v>
      </c>
      <c r="Z5940" t="s">
        <v>43</v>
      </c>
      <c r="AA5940" t="s">
        <v>43</v>
      </c>
      <c r="AB5940" t="s">
        <v>43</v>
      </c>
      <c r="AC5940" t="s">
        <v>43</v>
      </c>
      <c r="AD5940" t="s">
        <v>43</v>
      </c>
      <c r="AE5940" t="s">
        <v>43</v>
      </c>
      <c r="AF5940" t="s">
        <v>43</v>
      </c>
      <c r="AG5940" t="s">
        <v>43</v>
      </c>
      <c r="AH5940" t="s">
        <v>43</v>
      </c>
      <c r="AI5940" t="s">
        <v>43</v>
      </c>
      <c r="AJ5940" t="s">
        <v>43</v>
      </c>
      <c r="AK5940" t="s">
        <v>43</v>
      </c>
      <c r="AL5940" t="s">
        <v>43</v>
      </c>
      <c r="AM5940" t="s">
        <v>43</v>
      </c>
      <c r="AN5940" t="str">
        <f>HYPERLINK("https://www.google.com/maps?q=10.83314133,79.84613037","Open Location")</f>
        <v>Open Location</v>
      </c>
    </row>
    <row r="5941" spans="1:40" x14ac:dyDescent="0.3">
      <c r="A5941" s="1">
        <v>46210.311689814815</v>
      </c>
      <c r="B5941" t="s">
        <v>40</v>
      </c>
      <c r="C5941" t="s">
        <v>41</v>
      </c>
      <c r="D5941" s="1">
        <v>46210.314513888887</v>
      </c>
      <c r="E5941" t="s">
        <v>42</v>
      </c>
      <c r="F5941" t="s">
        <v>43</v>
      </c>
      <c r="G5941" t="s">
        <v>43</v>
      </c>
      <c r="H5941" t="s">
        <v>43</v>
      </c>
      <c r="I5941" t="s">
        <v>3355</v>
      </c>
      <c r="J5941" t="s">
        <v>43</v>
      </c>
      <c r="K5941" t="s">
        <v>43</v>
      </c>
      <c r="L5941" t="s">
        <v>43</v>
      </c>
      <c r="M5941" t="s">
        <v>43</v>
      </c>
      <c r="N5941" t="s">
        <v>45</v>
      </c>
      <c r="O5941" t="s">
        <v>43</v>
      </c>
      <c r="P5941" t="s">
        <v>43</v>
      </c>
      <c r="Q5941" t="s">
        <v>43</v>
      </c>
      <c r="R5941" t="s">
        <v>43</v>
      </c>
      <c r="S5941" t="s">
        <v>43</v>
      </c>
      <c r="T5941" t="s">
        <v>43</v>
      </c>
      <c r="U5941" t="s">
        <v>43</v>
      </c>
      <c r="V5941" t="s">
        <v>43</v>
      </c>
      <c r="W5941" t="s">
        <v>43</v>
      </c>
      <c r="X5941" t="s">
        <v>43</v>
      </c>
      <c r="Y5941" t="s">
        <v>43</v>
      </c>
      <c r="Z5941" t="s">
        <v>43</v>
      </c>
      <c r="AA5941" t="s">
        <v>43</v>
      </c>
      <c r="AB5941" t="s">
        <v>43</v>
      </c>
      <c r="AC5941" t="s">
        <v>43</v>
      </c>
      <c r="AD5941" t="s">
        <v>43</v>
      </c>
      <c r="AE5941" t="s">
        <v>43</v>
      </c>
      <c r="AF5941" t="s">
        <v>43</v>
      </c>
      <c r="AG5941" t="s">
        <v>43</v>
      </c>
      <c r="AH5941" t="s">
        <v>43</v>
      </c>
      <c r="AI5941" t="s">
        <v>43</v>
      </c>
      <c r="AJ5941" t="s">
        <v>43</v>
      </c>
      <c r="AK5941" t="s">
        <v>43</v>
      </c>
      <c r="AL5941" t="s">
        <v>43</v>
      </c>
      <c r="AM5941" t="s">
        <v>43</v>
      </c>
      <c r="AN5941" t="str">
        <f>HYPERLINK("https://www.google.com/maps?q=10.83314323,79.84613037","Open Location")</f>
        <v>Open Location</v>
      </c>
    </row>
    <row r="5942" spans="1:40" x14ac:dyDescent="0.3">
      <c r="A5942" s="1">
        <v>46210.311574074076</v>
      </c>
      <c r="B5942" t="s">
        <v>40</v>
      </c>
      <c r="C5942" t="s">
        <v>41</v>
      </c>
      <c r="D5942" s="1">
        <v>46210.314456018517</v>
      </c>
      <c r="E5942" t="s">
        <v>42</v>
      </c>
      <c r="F5942" t="s">
        <v>43</v>
      </c>
      <c r="G5942" t="s">
        <v>43</v>
      </c>
      <c r="H5942" t="s">
        <v>43</v>
      </c>
      <c r="I5942" t="s">
        <v>3356</v>
      </c>
      <c r="J5942" t="s">
        <v>43</v>
      </c>
      <c r="K5942" t="s">
        <v>43</v>
      </c>
      <c r="L5942" t="s">
        <v>43</v>
      </c>
      <c r="M5942" t="s">
        <v>43</v>
      </c>
      <c r="N5942" t="s">
        <v>45</v>
      </c>
      <c r="O5942" t="s">
        <v>43</v>
      </c>
      <c r="P5942" t="s">
        <v>43</v>
      </c>
      <c r="Q5942" t="s">
        <v>43</v>
      </c>
      <c r="R5942" t="s">
        <v>43</v>
      </c>
      <c r="S5942" t="s">
        <v>43</v>
      </c>
      <c r="T5942" t="s">
        <v>43</v>
      </c>
      <c r="U5942" t="s">
        <v>43</v>
      </c>
      <c r="V5942" t="s">
        <v>43</v>
      </c>
      <c r="W5942" t="s">
        <v>43</v>
      </c>
      <c r="X5942" t="s">
        <v>43</v>
      </c>
      <c r="Y5942" t="s">
        <v>43</v>
      </c>
      <c r="Z5942" t="s">
        <v>43</v>
      </c>
      <c r="AA5942" t="s">
        <v>43</v>
      </c>
      <c r="AB5942" t="s">
        <v>43</v>
      </c>
      <c r="AC5942" t="s">
        <v>43</v>
      </c>
      <c r="AD5942" t="s">
        <v>43</v>
      </c>
      <c r="AE5942" t="s">
        <v>43</v>
      </c>
      <c r="AF5942" t="s">
        <v>43</v>
      </c>
      <c r="AG5942" t="s">
        <v>43</v>
      </c>
      <c r="AH5942" t="s">
        <v>43</v>
      </c>
      <c r="AI5942" t="s">
        <v>43</v>
      </c>
      <c r="AJ5942" t="s">
        <v>43</v>
      </c>
      <c r="AK5942" t="s">
        <v>43</v>
      </c>
      <c r="AL5942" t="s">
        <v>43</v>
      </c>
      <c r="AM5942" t="s">
        <v>43</v>
      </c>
      <c r="AN5942" t="str">
        <f>HYPERLINK("https://www.google.com/maps?q=10.83314514,79.846138","Open Location")</f>
        <v>Open Location</v>
      </c>
    </row>
    <row r="5943" spans="1:40" x14ac:dyDescent="0.3">
      <c r="A5943" s="1">
        <v>46210.31145833333</v>
      </c>
      <c r="B5943" t="s">
        <v>40</v>
      </c>
      <c r="C5943" t="s">
        <v>41</v>
      </c>
      <c r="D5943" s="1">
        <v>46210.314236111109</v>
      </c>
      <c r="E5943" t="s">
        <v>42</v>
      </c>
      <c r="F5943" t="s">
        <v>43</v>
      </c>
      <c r="G5943" t="s">
        <v>43</v>
      </c>
      <c r="H5943" t="s">
        <v>43</v>
      </c>
      <c r="I5943" t="s">
        <v>3350</v>
      </c>
      <c r="J5943" t="s">
        <v>43</v>
      </c>
      <c r="K5943" t="s">
        <v>43</v>
      </c>
      <c r="L5943" t="s">
        <v>43</v>
      </c>
      <c r="M5943" t="s">
        <v>43</v>
      </c>
      <c r="N5943" t="s">
        <v>45</v>
      </c>
      <c r="O5943" t="s">
        <v>43</v>
      </c>
      <c r="P5943" t="s">
        <v>43</v>
      </c>
      <c r="Q5943" t="s">
        <v>43</v>
      </c>
      <c r="R5943" t="s">
        <v>43</v>
      </c>
      <c r="S5943" t="s">
        <v>43</v>
      </c>
      <c r="T5943" t="s">
        <v>43</v>
      </c>
      <c r="U5943" t="s">
        <v>43</v>
      </c>
      <c r="V5943" t="s">
        <v>43</v>
      </c>
      <c r="W5943" t="s">
        <v>43</v>
      </c>
      <c r="X5943" t="s">
        <v>43</v>
      </c>
      <c r="Y5943" t="s">
        <v>43</v>
      </c>
      <c r="Z5943" t="s">
        <v>43</v>
      </c>
      <c r="AA5943" t="s">
        <v>43</v>
      </c>
      <c r="AB5943" t="s">
        <v>43</v>
      </c>
      <c r="AC5943" t="s">
        <v>43</v>
      </c>
      <c r="AD5943" t="s">
        <v>43</v>
      </c>
      <c r="AE5943" t="s">
        <v>43</v>
      </c>
      <c r="AF5943" t="s">
        <v>43</v>
      </c>
      <c r="AG5943" t="s">
        <v>43</v>
      </c>
      <c r="AH5943" t="s">
        <v>43</v>
      </c>
      <c r="AI5943" t="s">
        <v>43</v>
      </c>
      <c r="AJ5943" t="s">
        <v>43</v>
      </c>
      <c r="AK5943" t="s">
        <v>43</v>
      </c>
      <c r="AL5943" t="s">
        <v>43</v>
      </c>
      <c r="AM5943" t="s">
        <v>43</v>
      </c>
      <c r="AN5943" t="str">
        <f>HYPERLINK("https://www.google.com/maps?q=10.83314705,79.846138","Open Location")</f>
        <v>Open Location</v>
      </c>
    </row>
    <row r="5944" spans="1:40" x14ac:dyDescent="0.3">
      <c r="A5944" s="1">
        <v>46210.311342592591</v>
      </c>
      <c r="B5944" t="s">
        <v>40</v>
      </c>
      <c r="C5944" t="s">
        <v>41</v>
      </c>
      <c r="D5944" s="1">
        <v>46210.314386574071</v>
      </c>
      <c r="E5944" t="s">
        <v>42</v>
      </c>
      <c r="F5944" t="s">
        <v>43</v>
      </c>
      <c r="G5944" t="s">
        <v>43</v>
      </c>
      <c r="H5944" t="s">
        <v>43</v>
      </c>
      <c r="I5944" t="s">
        <v>43</v>
      </c>
      <c r="J5944" t="s">
        <v>43</v>
      </c>
      <c r="K5944" t="s">
        <v>43</v>
      </c>
      <c r="L5944" t="s">
        <v>43</v>
      </c>
      <c r="M5944" t="s">
        <v>43</v>
      </c>
      <c r="N5944" t="s">
        <v>45</v>
      </c>
      <c r="O5944" t="s">
        <v>43</v>
      </c>
      <c r="P5944" t="s">
        <v>43</v>
      </c>
      <c r="Q5944" t="s">
        <v>43</v>
      </c>
      <c r="R5944" t="s">
        <v>43</v>
      </c>
      <c r="S5944" t="s">
        <v>43</v>
      </c>
      <c r="T5944" t="s">
        <v>43</v>
      </c>
      <c r="U5944" t="s">
        <v>43</v>
      </c>
      <c r="V5944" t="s">
        <v>43</v>
      </c>
      <c r="W5944" t="s">
        <v>43</v>
      </c>
      <c r="X5944" t="s">
        <v>43</v>
      </c>
      <c r="Y5944" t="s">
        <v>43</v>
      </c>
      <c r="Z5944" t="s">
        <v>43</v>
      </c>
      <c r="AA5944" t="s">
        <v>43</v>
      </c>
      <c r="AB5944" t="s">
        <v>43</v>
      </c>
      <c r="AC5944" t="s">
        <v>43</v>
      </c>
      <c r="AD5944" t="s">
        <v>43</v>
      </c>
      <c r="AE5944" t="s">
        <v>43</v>
      </c>
      <c r="AF5944" t="s">
        <v>43</v>
      </c>
      <c r="AG5944" t="s">
        <v>43</v>
      </c>
      <c r="AH5944" t="s">
        <v>43</v>
      </c>
      <c r="AI5944" t="s">
        <v>43</v>
      </c>
      <c r="AJ5944" t="s">
        <v>43</v>
      </c>
      <c r="AK5944" t="s">
        <v>43</v>
      </c>
      <c r="AL5944" t="s">
        <v>43</v>
      </c>
      <c r="AM5944" t="s">
        <v>43</v>
      </c>
      <c r="AN5944" t="s">
        <v>43</v>
      </c>
    </row>
    <row r="5945" spans="1:40" x14ac:dyDescent="0.3">
      <c r="A5945" s="1">
        <v>46210.311226851853</v>
      </c>
      <c r="B5945" t="s">
        <v>40</v>
      </c>
      <c r="C5945" t="s">
        <v>41</v>
      </c>
      <c r="D5945" s="1">
        <v>46210.314027777778</v>
      </c>
      <c r="E5945" t="s">
        <v>42</v>
      </c>
      <c r="F5945" t="s">
        <v>43</v>
      </c>
      <c r="G5945" t="s">
        <v>43</v>
      </c>
      <c r="H5945" t="s">
        <v>43</v>
      </c>
      <c r="I5945" t="s">
        <v>3357</v>
      </c>
      <c r="J5945" t="s">
        <v>43</v>
      </c>
      <c r="K5945" t="s">
        <v>43</v>
      </c>
      <c r="L5945" t="s">
        <v>43</v>
      </c>
      <c r="M5945" t="s">
        <v>43</v>
      </c>
      <c r="N5945" t="s">
        <v>45</v>
      </c>
      <c r="O5945" t="s">
        <v>43</v>
      </c>
      <c r="P5945" t="s">
        <v>43</v>
      </c>
      <c r="Q5945" t="s">
        <v>43</v>
      </c>
      <c r="R5945" t="s">
        <v>43</v>
      </c>
      <c r="S5945" t="s">
        <v>43</v>
      </c>
      <c r="T5945" t="s">
        <v>43</v>
      </c>
      <c r="U5945" t="s">
        <v>43</v>
      </c>
      <c r="V5945" t="s">
        <v>43</v>
      </c>
      <c r="W5945" t="s">
        <v>43</v>
      </c>
      <c r="X5945" t="s">
        <v>43</v>
      </c>
      <c r="Y5945" t="s">
        <v>43</v>
      </c>
      <c r="Z5945" t="s">
        <v>43</v>
      </c>
      <c r="AA5945" t="s">
        <v>43</v>
      </c>
      <c r="AB5945" t="s">
        <v>43</v>
      </c>
      <c r="AC5945" t="s">
        <v>43</v>
      </c>
      <c r="AD5945" t="s">
        <v>43</v>
      </c>
      <c r="AE5945" t="s">
        <v>43</v>
      </c>
      <c r="AF5945" t="s">
        <v>43</v>
      </c>
      <c r="AG5945" t="s">
        <v>43</v>
      </c>
      <c r="AH5945" t="s">
        <v>43</v>
      </c>
      <c r="AI5945" t="s">
        <v>43</v>
      </c>
      <c r="AJ5945" t="s">
        <v>43</v>
      </c>
      <c r="AK5945" t="s">
        <v>43</v>
      </c>
      <c r="AL5945" t="s">
        <v>43</v>
      </c>
      <c r="AM5945" t="s">
        <v>43</v>
      </c>
      <c r="AN5945" t="str">
        <f>HYPERLINK("https://www.google.com/maps?q=10.83314419,79.84614563","Open Location")</f>
        <v>Open Location</v>
      </c>
    </row>
    <row r="5946" spans="1:40" x14ac:dyDescent="0.3">
      <c r="A5946" s="1">
        <v>46210.311111111114</v>
      </c>
      <c r="B5946" t="s">
        <v>40</v>
      </c>
      <c r="C5946" t="s">
        <v>41</v>
      </c>
      <c r="D5946" s="1">
        <v>46210.314004629632</v>
      </c>
      <c r="E5946" t="s">
        <v>42</v>
      </c>
      <c r="F5946" t="s">
        <v>43</v>
      </c>
      <c r="G5946" t="s">
        <v>43</v>
      </c>
      <c r="H5946" t="s">
        <v>43</v>
      </c>
      <c r="I5946" t="s">
        <v>3349</v>
      </c>
      <c r="J5946" t="s">
        <v>43</v>
      </c>
      <c r="K5946" t="s">
        <v>43</v>
      </c>
      <c r="L5946" t="s">
        <v>43</v>
      </c>
      <c r="M5946" t="s">
        <v>43</v>
      </c>
      <c r="N5946" t="s">
        <v>45</v>
      </c>
      <c r="O5946" t="s">
        <v>43</v>
      </c>
      <c r="P5946" t="s">
        <v>43</v>
      </c>
      <c r="Q5946" t="s">
        <v>43</v>
      </c>
      <c r="R5946" t="s">
        <v>43</v>
      </c>
      <c r="S5946" t="s">
        <v>43</v>
      </c>
      <c r="T5946" t="s">
        <v>43</v>
      </c>
      <c r="U5946" t="s">
        <v>43</v>
      </c>
      <c r="V5946" t="s">
        <v>43</v>
      </c>
      <c r="W5946" t="s">
        <v>43</v>
      </c>
      <c r="X5946" t="s">
        <v>43</v>
      </c>
      <c r="Y5946" t="s">
        <v>43</v>
      </c>
      <c r="Z5946" t="s">
        <v>43</v>
      </c>
      <c r="AA5946" t="s">
        <v>43</v>
      </c>
      <c r="AB5946" t="s">
        <v>43</v>
      </c>
      <c r="AC5946" t="s">
        <v>43</v>
      </c>
      <c r="AD5946" t="s">
        <v>43</v>
      </c>
      <c r="AE5946" t="s">
        <v>43</v>
      </c>
      <c r="AF5946" t="s">
        <v>43</v>
      </c>
      <c r="AG5946" t="s">
        <v>43</v>
      </c>
      <c r="AH5946" t="s">
        <v>43</v>
      </c>
      <c r="AI5946" t="s">
        <v>43</v>
      </c>
      <c r="AJ5946" t="s">
        <v>43</v>
      </c>
      <c r="AK5946" t="s">
        <v>43</v>
      </c>
      <c r="AL5946" t="s">
        <v>43</v>
      </c>
      <c r="AM5946" t="s">
        <v>43</v>
      </c>
      <c r="AN5946" t="str">
        <f>HYPERLINK("https://www.google.com/maps?q=10.83314896,79.846138","Open Location")</f>
        <v>Open Location</v>
      </c>
    </row>
    <row r="5947" spans="1:40" x14ac:dyDescent="0.3">
      <c r="A5947" s="1">
        <v>46210.310995370368</v>
      </c>
      <c r="B5947" t="s">
        <v>40</v>
      </c>
      <c r="C5947" t="s">
        <v>41</v>
      </c>
      <c r="D5947" s="1">
        <v>46210.314004629632</v>
      </c>
      <c r="E5947" t="s">
        <v>42</v>
      </c>
      <c r="F5947" t="s">
        <v>43</v>
      </c>
      <c r="G5947" t="s">
        <v>43</v>
      </c>
      <c r="H5947" t="s">
        <v>43</v>
      </c>
      <c r="I5947" t="s">
        <v>3348</v>
      </c>
      <c r="J5947" t="s">
        <v>43</v>
      </c>
      <c r="K5947" t="s">
        <v>43</v>
      </c>
      <c r="L5947" t="s">
        <v>43</v>
      </c>
      <c r="M5947" t="s">
        <v>43</v>
      </c>
      <c r="N5947" t="s">
        <v>45</v>
      </c>
      <c r="O5947" t="s">
        <v>43</v>
      </c>
      <c r="P5947" t="s">
        <v>43</v>
      </c>
      <c r="Q5947" t="s">
        <v>43</v>
      </c>
      <c r="R5947" t="s">
        <v>43</v>
      </c>
      <c r="S5947" t="s">
        <v>43</v>
      </c>
      <c r="T5947" t="s">
        <v>43</v>
      </c>
      <c r="U5947" t="s">
        <v>43</v>
      </c>
      <c r="V5947" t="s">
        <v>43</v>
      </c>
      <c r="W5947" t="s">
        <v>43</v>
      </c>
      <c r="X5947" t="s">
        <v>43</v>
      </c>
      <c r="Y5947" t="s">
        <v>43</v>
      </c>
      <c r="Z5947" t="s">
        <v>43</v>
      </c>
      <c r="AA5947" t="s">
        <v>43</v>
      </c>
      <c r="AB5947" t="s">
        <v>43</v>
      </c>
      <c r="AC5947" t="s">
        <v>43</v>
      </c>
      <c r="AD5947" t="s">
        <v>43</v>
      </c>
      <c r="AE5947" t="s">
        <v>43</v>
      </c>
      <c r="AF5947" t="s">
        <v>43</v>
      </c>
      <c r="AG5947" t="s">
        <v>43</v>
      </c>
      <c r="AH5947" t="s">
        <v>43</v>
      </c>
      <c r="AI5947" t="s">
        <v>43</v>
      </c>
      <c r="AJ5947" t="s">
        <v>43</v>
      </c>
      <c r="AK5947" t="s">
        <v>43</v>
      </c>
      <c r="AL5947" t="s">
        <v>43</v>
      </c>
      <c r="AM5947" t="s">
        <v>43</v>
      </c>
      <c r="AN5947" t="str">
        <f>HYPERLINK("https://www.google.com/maps?q=10.83314991,79.846138","Open Location")</f>
        <v>Open Location</v>
      </c>
    </row>
    <row r="5948" spans="1:40" x14ac:dyDescent="0.3">
      <c r="A5948" s="1">
        <v>46210.310879629629</v>
      </c>
      <c r="B5948" t="s">
        <v>40</v>
      </c>
      <c r="C5948" t="s">
        <v>41</v>
      </c>
      <c r="D5948" s="1">
        <v>46210.313726851855</v>
      </c>
      <c r="E5948" t="s">
        <v>42</v>
      </c>
      <c r="F5948" t="s">
        <v>43</v>
      </c>
      <c r="G5948" t="s">
        <v>43</v>
      </c>
      <c r="H5948" t="s">
        <v>43</v>
      </c>
      <c r="I5948" t="s">
        <v>3358</v>
      </c>
      <c r="J5948" t="s">
        <v>43</v>
      </c>
      <c r="K5948" t="s">
        <v>43</v>
      </c>
      <c r="L5948" t="s">
        <v>43</v>
      </c>
      <c r="M5948" t="s">
        <v>43</v>
      </c>
      <c r="N5948" t="s">
        <v>45</v>
      </c>
      <c r="O5948" t="s">
        <v>43</v>
      </c>
      <c r="P5948" t="s">
        <v>43</v>
      </c>
      <c r="Q5948" t="s">
        <v>43</v>
      </c>
      <c r="R5948" t="s">
        <v>43</v>
      </c>
      <c r="S5948" t="s">
        <v>43</v>
      </c>
      <c r="T5948" t="s">
        <v>43</v>
      </c>
      <c r="U5948" t="s">
        <v>43</v>
      </c>
      <c r="V5948" t="s">
        <v>43</v>
      </c>
      <c r="W5948" t="s">
        <v>43</v>
      </c>
      <c r="X5948" t="s">
        <v>43</v>
      </c>
      <c r="Y5948" t="s">
        <v>43</v>
      </c>
      <c r="Z5948" t="s">
        <v>43</v>
      </c>
      <c r="AA5948" t="s">
        <v>43</v>
      </c>
      <c r="AB5948" t="s">
        <v>43</v>
      </c>
      <c r="AC5948" t="s">
        <v>43</v>
      </c>
      <c r="AD5948" t="s">
        <v>43</v>
      </c>
      <c r="AE5948" t="s">
        <v>43</v>
      </c>
      <c r="AF5948" t="s">
        <v>43</v>
      </c>
      <c r="AG5948" t="s">
        <v>43</v>
      </c>
      <c r="AH5948" t="s">
        <v>43</v>
      </c>
      <c r="AI5948" t="s">
        <v>43</v>
      </c>
      <c r="AJ5948" t="s">
        <v>43</v>
      </c>
      <c r="AK5948" t="s">
        <v>43</v>
      </c>
      <c r="AL5948" t="s">
        <v>43</v>
      </c>
      <c r="AM5948" t="s">
        <v>43</v>
      </c>
      <c r="AN5948" t="str">
        <f>HYPERLINK("https://www.google.com/maps?q=10.83315468,79.84613037","Open Location")</f>
        <v>Open Location</v>
      </c>
    </row>
    <row r="5949" spans="1:40" x14ac:dyDescent="0.3">
      <c r="A5949" s="1">
        <v>46210.310763888891</v>
      </c>
      <c r="B5949" t="s">
        <v>40</v>
      </c>
      <c r="C5949" t="s">
        <v>41</v>
      </c>
      <c r="D5949" s="1">
        <v>46210.313634259262</v>
      </c>
      <c r="E5949" t="s">
        <v>42</v>
      </c>
      <c r="F5949" t="s">
        <v>43</v>
      </c>
      <c r="G5949" t="s">
        <v>43</v>
      </c>
      <c r="H5949" t="s">
        <v>43</v>
      </c>
      <c r="I5949" t="s">
        <v>43</v>
      </c>
      <c r="J5949" t="s">
        <v>43</v>
      </c>
      <c r="K5949" t="s">
        <v>43</v>
      </c>
      <c r="L5949" t="s">
        <v>43</v>
      </c>
      <c r="M5949" t="s">
        <v>43</v>
      </c>
      <c r="N5949" t="s">
        <v>45</v>
      </c>
      <c r="O5949" t="s">
        <v>43</v>
      </c>
      <c r="P5949" t="s">
        <v>43</v>
      </c>
      <c r="Q5949" t="s">
        <v>43</v>
      </c>
      <c r="R5949" t="s">
        <v>43</v>
      </c>
      <c r="S5949" t="s">
        <v>43</v>
      </c>
      <c r="T5949" t="s">
        <v>43</v>
      </c>
      <c r="U5949" t="s">
        <v>43</v>
      </c>
      <c r="V5949" t="s">
        <v>43</v>
      </c>
      <c r="W5949" t="s">
        <v>43</v>
      </c>
      <c r="X5949" t="s">
        <v>43</v>
      </c>
      <c r="Y5949" t="s">
        <v>43</v>
      </c>
      <c r="Z5949" t="s">
        <v>43</v>
      </c>
      <c r="AA5949" t="s">
        <v>43</v>
      </c>
      <c r="AB5949" t="s">
        <v>43</v>
      </c>
      <c r="AC5949" t="s">
        <v>43</v>
      </c>
      <c r="AD5949" t="s">
        <v>43</v>
      </c>
      <c r="AE5949" t="s">
        <v>43</v>
      </c>
      <c r="AF5949" t="s">
        <v>43</v>
      </c>
      <c r="AG5949" t="s">
        <v>43</v>
      </c>
      <c r="AH5949" t="s">
        <v>43</v>
      </c>
      <c r="AI5949" t="s">
        <v>43</v>
      </c>
      <c r="AJ5949" t="s">
        <v>43</v>
      </c>
      <c r="AK5949" t="s">
        <v>43</v>
      </c>
      <c r="AL5949" t="s">
        <v>43</v>
      </c>
      <c r="AM5949" t="s">
        <v>43</v>
      </c>
      <c r="AN5949" t="s">
        <v>43</v>
      </c>
    </row>
    <row r="5950" spans="1:40" x14ac:dyDescent="0.3">
      <c r="A5950" s="1">
        <v>46210.310648148145</v>
      </c>
      <c r="B5950" t="s">
        <v>40</v>
      </c>
      <c r="C5950" t="s">
        <v>41</v>
      </c>
      <c r="D5950" s="1">
        <v>46210.313715277778</v>
      </c>
      <c r="E5950" t="s">
        <v>42</v>
      </c>
      <c r="F5950" t="s">
        <v>43</v>
      </c>
      <c r="G5950" t="s">
        <v>43</v>
      </c>
      <c r="H5950" t="s">
        <v>43</v>
      </c>
      <c r="I5950" t="s">
        <v>3343</v>
      </c>
      <c r="J5950" t="s">
        <v>43</v>
      </c>
      <c r="K5950" t="s">
        <v>43</v>
      </c>
      <c r="L5950" t="s">
        <v>43</v>
      </c>
      <c r="M5950" t="s">
        <v>43</v>
      </c>
      <c r="N5950" t="s">
        <v>45</v>
      </c>
      <c r="O5950" t="s">
        <v>43</v>
      </c>
      <c r="P5950" t="s">
        <v>43</v>
      </c>
      <c r="Q5950" t="s">
        <v>43</v>
      </c>
      <c r="R5950" t="s">
        <v>43</v>
      </c>
      <c r="S5950" t="s">
        <v>43</v>
      </c>
      <c r="T5950" t="s">
        <v>43</v>
      </c>
      <c r="U5950" t="s">
        <v>43</v>
      </c>
      <c r="V5950" t="s">
        <v>43</v>
      </c>
      <c r="W5950" t="s">
        <v>43</v>
      </c>
      <c r="X5950" t="s">
        <v>43</v>
      </c>
      <c r="Y5950" t="s">
        <v>43</v>
      </c>
      <c r="Z5950" t="s">
        <v>43</v>
      </c>
      <c r="AA5950" t="s">
        <v>43</v>
      </c>
      <c r="AB5950" t="s">
        <v>43</v>
      </c>
      <c r="AC5950" t="s">
        <v>43</v>
      </c>
      <c r="AD5950" t="s">
        <v>43</v>
      </c>
      <c r="AE5950" t="s">
        <v>43</v>
      </c>
      <c r="AF5950" t="s">
        <v>43</v>
      </c>
      <c r="AG5950" t="s">
        <v>43</v>
      </c>
      <c r="AH5950" t="s">
        <v>43</v>
      </c>
      <c r="AI5950" t="s">
        <v>43</v>
      </c>
      <c r="AJ5950" t="s">
        <v>43</v>
      </c>
      <c r="AK5950" t="s">
        <v>43</v>
      </c>
      <c r="AL5950" t="s">
        <v>43</v>
      </c>
      <c r="AM5950" t="s">
        <v>43</v>
      </c>
      <c r="AN5950" t="str">
        <f>HYPERLINK("https://www.google.com/maps?q=10.8331604,79.84613037","Open Location")</f>
        <v>Open Location</v>
      </c>
    </row>
    <row r="5951" spans="1:40" x14ac:dyDescent="0.3">
      <c r="A5951" s="1">
        <v>46210.310532407406</v>
      </c>
      <c r="B5951" t="s">
        <v>40</v>
      </c>
      <c r="C5951" t="s">
        <v>41</v>
      </c>
      <c r="D5951" s="1">
        <v>46210.313310185185</v>
      </c>
      <c r="E5951" t="s">
        <v>42</v>
      </c>
      <c r="F5951" t="s">
        <v>43</v>
      </c>
      <c r="G5951" t="s">
        <v>43</v>
      </c>
      <c r="H5951" t="s">
        <v>43</v>
      </c>
      <c r="I5951" t="s">
        <v>3343</v>
      </c>
      <c r="J5951" t="s">
        <v>43</v>
      </c>
      <c r="K5951" t="s">
        <v>43</v>
      </c>
      <c r="L5951" t="s">
        <v>43</v>
      </c>
      <c r="M5951" t="s">
        <v>43</v>
      </c>
      <c r="N5951" t="s">
        <v>45</v>
      </c>
      <c r="O5951" t="s">
        <v>43</v>
      </c>
      <c r="P5951" t="s">
        <v>43</v>
      </c>
      <c r="Q5951" t="s">
        <v>43</v>
      </c>
      <c r="R5951" t="s">
        <v>43</v>
      </c>
      <c r="S5951" t="s">
        <v>43</v>
      </c>
      <c r="T5951" t="s">
        <v>43</v>
      </c>
      <c r="U5951" t="s">
        <v>43</v>
      </c>
      <c r="V5951" t="s">
        <v>43</v>
      </c>
      <c r="W5951" t="s">
        <v>43</v>
      </c>
      <c r="X5951" t="s">
        <v>43</v>
      </c>
      <c r="Y5951" t="s">
        <v>43</v>
      </c>
      <c r="Z5951" t="s">
        <v>43</v>
      </c>
      <c r="AA5951" t="s">
        <v>43</v>
      </c>
      <c r="AB5951" t="s">
        <v>43</v>
      </c>
      <c r="AC5951" t="s">
        <v>43</v>
      </c>
      <c r="AD5951" t="s">
        <v>43</v>
      </c>
      <c r="AE5951" t="s">
        <v>43</v>
      </c>
      <c r="AF5951" t="s">
        <v>43</v>
      </c>
      <c r="AG5951" t="s">
        <v>43</v>
      </c>
      <c r="AH5951" t="s">
        <v>43</v>
      </c>
      <c r="AI5951" t="s">
        <v>43</v>
      </c>
      <c r="AJ5951" t="s">
        <v>43</v>
      </c>
      <c r="AK5951" t="s">
        <v>43</v>
      </c>
      <c r="AL5951" t="s">
        <v>43</v>
      </c>
      <c r="AM5951" t="s">
        <v>43</v>
      </c>
      <c r="AN5951" t="str">
        <f>HYPERLINK("https://www.google.com/maps?q=10.8331604,79.84613037","Open Location")</f>
        <v>Open Location</v>
      </c>
    </row>
    <row r="5952" spans="1:40" x14ac:dyDescent="0.3">
      <c r="A5952" s="1">
        <v>46210.310416666667</v>
      </c>
      <c r="B5952" t="s">
        <v>40</v>
      </c>
      <c r="C5952" t="s">
        <v>41</v>
      </c>
      <c r="D5952" s="1">
        <v>46210.313275462962</v>
      </c>
      <c r="E5952" t="s">
        <v>42</v>
      </c>
      <c r="F5952" t="s">
        <v>43</v>
      </c>
      <c r="G5952" t="s">
        <v>43</v>
      </c>
      <c r="H5952" t="s">
        <v>43</v>
      </c>
      <c r="I5952" t="s">
        <v>3359</v>
      </c>
      <c r="J5952" t="s">
        <v>43</v>
      </c>
      <c r="K5952" t="s">
        <v>43</v>
      </c>
      <c r="L5952" t="s">
        <v>43</v>
      </c>
      <c r="M5952" t="s">
        <v>43</v>
      </c>
      <c r="N5952" t="s">
        <v>45</v>
      </c>
      <c r="O5952" t="s">
        <v>43</v>
      </c>
      <c r="P5952" t="s">
        <v>43</v>
      </c>
      <c r="Q5952" t="s">
        <v>43</v>
      </c>
      <c r="R5952" t="s">
        <v>43</v>
      </c>
      <c r="S5952" t="s">
        <v>43</v>
      </c>
      <c r="T5952" t="s">
        <v>43</v>
      </c>
      <c r="U5952" t="s">
        <v>43</v>
      </c>
      <c r="V5952" t="s">
        <v>43</v>
      </c>
      <c r="W5952" t="s">
        <v>43</v>
      </c>
      <c r="X5952" t="s">
        <v>43</v>
      </c>
      <c r="Y5952" t="s">
        <v>43</v>
      </c>
      <c r="Z5952" t="s">
        <v>43</v>
      </c>
      <c r="AA5952" t="s">
        <v>43</v>
      </c>
      <c r="AB5952" t="s">
        <v>43</v>
      </c>
      <c r="AC5952" t="s">
        <v>43</v>
      </c>
      <c r="AD5952" t="s">
        <v>43</v>
      </c>
      <c r="AE5952" t="s">
        <v>43</v>
      </c>
      <c r="AF5952" t="s">
        <v>43</v>
      </c>
      <c r="AG5952" t="s">
        <v>43</v>
      </c>
      <c r="AH5952" t="s">
        <v>43</v>
      </c>
      <c r="AI5952" t="s">
        <v>43</v>
      </c>
      <c r="AJ5952" t="s">
        <v>43</v>
      </c>
      <c r="AK5952" t="s">
        <v>43</v>
      </c>
      <c r="AL5952" t="s">
        <v>43</v>
      </c>
      <c r="AM5952" t="s">
        <v>43</v>
      </c>
      <c r="AN5952" t="str">
        <f>HYPERLINK("https://www.google.com/maps?q=10.83316612,79.84613037","Open Location")</f>
        <v>Open Location</v>
      </c>
    </row>
    <row r="5953" spans="1:40" x14ac:dyDescent="0.3">
      <c r="A5953" s="1">
        <v>46210.310300925928</v>
      </c>
      <c r="B5953" t="s">
        <v>40</v>
      </c>
      <c r="C5953" t="s">
        <v>41</v>
      </c>
      <c r="D5953" s="1">
        <v>46210.313125000001</v>
      </c>
      <c r="E5953" t="s">
        <v>42</v>
      </c>
      <c r="F5953" t="s">
        <v>43</v>
      </c>
      <c r="G5953" t="s">
        <v>43</v>
      </c>
      <c r="H5953" t="s">
        <v>43</v>
      </c>
      <c r="I5953" t="s">
        <v>3360</v>
      </c>
      <c r="J5953" t="s">
        <v>43</v>
      </c>
      <c r="K5953" t="s">
        <v>43</v>
      </c>
      <c r="L5953" t="s">
        <v>43</v>
      </c>
      <c r="M5953" t="s">
        <v>43</v>
      </c>
      <c r="N5953" t="s">
        <v>45</v>
      </c>
      <c r="O5953" t="s">
        <v>43</v>
      </c>
      <c r="P5953" t="s">
        <v>43</v>
      </c>
      <c r="Q5953" t="s">
        <v>43</v>
      </c>
      <c r="R5953" t="s">
        <v>43</v>
      </c>
      <c r="S5953" t="s">
        <v>43</v>
      </c>
      <c r="T5953" t="s">
        <v>43</v>
      </c>
      <c r="U5953" t="s">
        <v>43</v>
      </c>
      <c r="V5953" t="s">
        <v>43</v>
      </c>
      <c r="W5953" t="s">
        <v>43</v>
      </c>
      <c r="X5953" t="s">
        <v>43</v>
      </c>
      <c r="Y5953" t="s">
        <v>43</v>
      </c>
      <c r="Z5953" t="s">
        <v>43</v>
      </c>
      <c r="AA5953" t="s">
        <v>43</v>
      </c>
      <c r="AB5953" t="s">
        <v>43</v>
      </c>
      <c r="AC5953" t="s">
        <v>43</v>
      </c>
      <c r="AD5953" t="s">
        <v>43</v>
      </c>
      <c r="AE5953" t="s">
        <v>43</v>
      </c>
      <c r="AF5953" t="s">
        <v>43</v>
      </c>
      <c r="AG5953" t="s">
        <v>43</v>
      </c>
      <c r="AH5953" t="s">
        <v>43</v>
      </c>
      <c r="AI5953" t="s">
        <v>43</v>
      </c>
      <c r="AJ5953" t="s">
        <v>43</v>
      </c>
      <c r="AK5953" t="s">
        <v>43</v>
      </c>
      <c r="AL5953" t="s">
        <v>43</v>
      </c>
      <c r="AM5953" t="s">
        <v>43</v>
      </c>
      <c r="AN5953" t="str">
        <f>HYPERLINK("https://www.google.com/maps?q=10.83316994,79.84613037","Open Location")</f>
        <v>Open Location</v>
      </c>
    </row>
    <row r="5954" spans="1:40" x14ac:dyDescent="0.3">
      <c r="A5954" s="1">
        <v>46210.310185185182</v>
      </c>
      <c r="B5954" t="s">
        <v>40</v>
      </c>
      <c r="C5954" t="s">
        <v>41</v>
      </c>
      <c r="D5954" s="1">
        <v>46210.313113425924</v>
      </c>
      <c r="E5954" t="s">
        <v>42</v>
      </c>
      <c r="F5954" t="s">
        <v>43</v>
      </c>
      <c r="G5954" t="s">
        <v>43</v>
      </c>
      <c r="H5954" t="s">
        <v>43</v>
      </c>
      <c r="I5954" t="s">
        <v>3361</v>
      </c>
      <c r="J5954" t="s">
        <v>43</v>
      </c>
      <c r="K5954" t="s">
        <v>43</v>
      </c>
      <c r="L5954" t="s">
        <v>43</v>
      </c>
      <c r="M5954" t="s">
        <v>43</v>
      </c>
      <c r="N5954" t="s">
        <v>45</v>
      </c>
      <c r="O5954" t="s">
        <v>43</v>
      </c>
      <c r="P5954" t="s">
        <v>43</v>
      </c>
      <c r="Q5954" t="s">
        <v>43</v>
      </c>
      <c r="R5954" t="s">
        <v>43</v>
      </c>
      <c r="S5954" t="s">
        <v>43</v>
      </c>
      <c r="T5954" t="s">
        <v>43</v>
      </c>
      <c r="U5954" t="s">
        <v>43</v>
      </c>
      <c r="V5954" t="s">
        <v>43</v>
      </c>
      <c r="W5954" t="s">
        <v>43</v>
      </c>
      <c r="X5954" t="s">
        <v>43</v>
      </c>
      <c r="Y5954" t="s">
        <v>43</v>
      </c>
      <c r="Z5954" t="s">
        <v>43</v>
      </c>
      <c r="AA5954" t="s">
        <v>43</v>
      </c>
      <c r="AB5954" t="s">
        <v>43</v>
      </c>
      <c r="AC5954" t="s">
        <v>43</v>
      </c>
      <c r="AD5954" t="s">
        <v>43</v>
      </c>
      <c r="AE5954" t="s">
        <v>43</v>
      </c>
      <c r="AF5954" t="s">
        <v>43</v>
      </c>
      <c r="AG5954" t="s">
        <v>43</v>
      </c>
      <c r="AH5954" t="s">
        <v>43</v>
      </c>
      <c r="AI5954" t="s">
        <v>43</v>
      </c>
      <c r="AJ5954" t="s">
        <v>43</v>
      </c>
      <c r="AK5954" t="s">
        <v>43</v>
      </c>
      <c r="AL5954" t="s">
        <v>43</v>
      </c>
      <c r="AM5954" t="s">
        <v>43</v>
      </c>
      <c r="AN5954" t="str">
        <f>HYPERLINK("https://www.google.com/maps?q=10.83316517,79.846138","Open Location")</f>
        <v>Open Location</v>
      </c>
    </row>
    <row r="5955" spans="1:40" x14ac:dyDescent="0.3">
      <c r="A5955" s="1">
        <v>46210.310069444444</v>
      </c>
      <c r="B5955" t="s">
        <v>40</v>
      </c>
      <c r="C5955" t="s">
        <v>41</v>
      </c>
      <c r="D5955" s="1">
        <v>46210.312974537039</v>
      </c>
      <c r="E5955" t="s">
        <v>42</v>
      </c>
      <c r="F5955" t="s">
        <v>43</v>
      </c>
      <c r="G5955" t="s">
        <v>43</v>
      </c>
      <c r="H5955" t="s">
        <v>43</v>
      </c>
      <c r="I5955" t="s">
        <v>43</v>
      </c>
      <c r="J5955" t="s">
        <v>43</v>
      </c>
      <c r="K5955" t="s">
        <v>43</v>
      </c>
      <c r="L5955" t="s">
        <v>43</v>
      </c>
      <c r="M5955" t="s">
        <v>43</v>
      </c>
      <c r="N5955" t="s">
        <v>45</v>
      </c>
      <c r="O5955" t="s">
        <v>43</v>
      </c>
      <c r="P5955" t="s">
        <v>43</v>
      </c>
      <c r="Q5955" t="s">
        <v>43</v>
      </c>
      <c r="R5955" t="s">
        <v>43</v>
      </c>
      <c r="S5955" t="s">
        <v>43</v>
      </c>
      <c r="T5955" t="s">
        <v>43</v>
      </c>
      <c r="U5955" t="s">
        <v>43</v>
      </c>
      <c r="V5955" t="s">
        <v>43</v>
      </c>
      <c r="W5955" t="s">
        <v>43</v>
      </c>
      <c r="X5955" t="s">
        <v>43</v>
      </c>
      <c r="Y5955" t="s">
        <v>43</v>
      </c>
      <c r="Z5955" t="s">
        <v>43</v>
      </c>
      <c r="AA5955" t="s">
        <v>43</v>
      </c>
      <c r="AB5955" t="s">
        <v>43</v>
      </c>
      <c r="AC5955" t="s">
        <v>43</v>
      </c>
      <c r="AD5955" t="s">
        <v>43</v>
      </c>
      <c r="AE5955" t="s">
        <v>43</v>
      </c>
      <c r="AF5955" t="s">
        <v>43</v>
      </c>
      <c r="AG5955" t="s">
        <v>43</v>
      </c>
      <c r="AH5955" t="s">
        <v>43</v>
      </c>
      <c r="AI5955" t="s">
        <v>43</v>
      </c>
      <c r="AJ5955" t="s">
        <v>43</v>
      </c>
      <c r="AK5955" t="s">
        <v>43</v>
      </c>
      <c r="AL5955" t="s">
        <v>43</v>
      </c>
      <c r="AM5955" t="s">
        <v>43</v>
      </c>
      <c r="AN5955" t="s">
        <v>43</v>
      </c>
    </row>
    <row r="5956" spans="1:40" x14ac:dyDescent="0.3">
      <c r="A5956" s="1">
        <v>46210.309953703705</v>
      </c>
      <c r="B5956" t="s">
        <v>40</v>
      </c>
      <c r="C5956" t="s">
        <v>41</v>
      </c>
      <c r="D5956" s="1">
        <v>46210.312893518516</v>
      </c>
      <c r="E5956" t="s">
        <v>42</v>
      </c>
      <c r="F5956" t="s">
        <v>43</v>
      </c>
      <c r="G5956" t="s">
        <v>43</v>
      </c>
      <c r="H5956" t="s">
        <v>43</v>
      </c>
      <c r="I5956" t="s">
        <v>3362</v>
      </c>
      <c r="J5956" t="s">
        <v>43</v>
      </c>
      <c r="K5956" t="s">
        <v>43</v>
      </c>
      <c r="L5956" t="s">
        <v>43</v>
      </c>
      <c r="M5956" t="s">
        <v>43</v>
      </c>
      <c r="N5956" t="s">
        <v>45</v>
      </c>
      <c r="O5956" t="s">
        <v>43</v>
      </c>
      <c r="P5956" t="s">
        <v>43</v>
      </c>
      <c r="Q5956" t="s">
        <v>43</v>
      </c>
      <c r="R5956" t="s">
        <v>43</v>
      </c>
      <c r="S5956" t="s">
        <v>43</v>
      </c>
      <c r="T5956" t="s">
        <v>43</v>
      </c>
      <c r="U5956" t="s">
        <v>43</v>
      </c>
      <c r="V5956" t="s">
        <v>43</v>
      </c>
      <c r="W5956" t="s">
        <v>43</v>
      </c>
      <c r="X5956" t="s">
        <v>43</v>
      </c>
      <c r="Y5956" t="s">
        <v>43</v>
      </c>
      <c r="Z5956" t="s">
        <v>43</v>
      </c>
      <c r="AA5956" t="s">
        <v>43</v>
      </c>
      <c r="AB5956" t="s">
        <v>43</v>
      </c>
      <c r="AC5956" t="s">
        <v>43</v>
      </c>
      <c r="AD5956" t="s">
        <v>43</v>
      </c>
      <c r="AE5956" t="s">
        <v>43</v>
      </c>
      <c r="AF5956" t="s">
        <v>43</v>
      </c>
      <c r="AG5956" t="s">
        <v>43</v>
      </c>
      <c r="AH5956" t="s">
        <v>43</v>
      </c>
      <c r="AI5956" t="s">
        <v>43</v>
      </c>
      <c r="AJ5956" t="s">
        <v>43</v>
      </c>
      <c r="AK5956" t="s">
        <v>43</v>
      </c>
      <c r="AL5956" t="s">
        <v>43</v>
      </c>
      <c r="AM5956" t="s">
        <v>43</v>
      </c>
      <c r="AN5956" t="str">
        <f>HYPERLINK("https://www.google.com/maps?q=10.83316898,79.846138","Open Location")</f>
        <v>Open Location</v>
      </c>
    </row>
    <row r="5957" spans="1:40" x14ac:dyDescent="0.3">
      <c r="A5957" s="1">
        <v>46210.309837962966</v>
      </c>
      <c r="B5957" t="s">
        <v>40</v>
      </c>
      <c r="C5957" t="s">
        <v>41</v>
      </c>
      <c r="D5957" s="1">
        <v>46210.312581018516</v>
      </c>
      <c r="E5957" t="s">
        <v>42</v>
      </c>
      <c r="F5957" t="s">
        <v>43</v>
      </c>
      <c r="G5957" t="s">
        <v>43</v>
      </c>
      <c r="H5957" t="s">
        <v>43</v>
      </c>
      <c r="I5957" t="s">
        <v>3362</v>
      </c>
      <c r="J5957" t="s">
        <v>43</v>
      </c>
      <c r="K5957" t="s">
        <v>43</v>
      </c>
      <c r="L5957" t="s">
        <v>43</v>
      </c>
      <c r="M5957" t="s">
        <v>43</v>
      </c>
      <c r="N5957" t="s">
        <v>45</v>
      </c>
      <c r="O5957" t="s">
        <v>43</v>
      </c>
      <c r="P5957" t="s">
        <v>43</v>
      </c>
      <c r="Q5957" t="s">
        <v>43</v>
      </c>
      <c r="R5957" t="s">
        <v>43</v>
      </c>
      <c r="S5957" t="s">
        <v>43</v>
      </c>
      <c r="T5957" t="s">
        <v>43</v>
      </c>
      <c r="U5957" t="s">
        <v>43</v>
      </c>
      <c r="V5957" t="s">
        <v>43</v>
      </c>
      <c r="W5957" t="s">
        <v>43</v>
      </c>
      <c r="X5957" t="s">
        <v>43</v>
      </c>
      <c r="Y5957" t="s">
        <v>43</v>
      </c>
      <c r="Z5957" t="s">
        <v>43</v>
      </c>
      <c r="AA5957" t="s">
        <v>43</v>
      </c>
      <c r="AB5957" t="s">
        <v>43</v>
      </c>
      <c r="AC5957" t="s">
        <v>43</v>
      </c>
      <c r="AD5957" t="s">
        <v>43</v>
      </c>
      <c r="AE5957" t="s">
        <v>43</v>
      </c>
      <c r="AF5957" t="s">
        <v>43</v>
      </c>
      <c r="AG5957" t="s">
        <v>43</v>
      </c>
      <c r="AH5957" t="s">
        <v>43</v>
      </c>
      <c r="AI5957" t="s">
        <v>43</v>
      </c>
      <c r="AJ5957" t="s">
        <v>43</v>
      </c>
      <c r="AK5957" t="s">
        <v>43</v>
      </c>
      <c r="AL5957" t="s">
        <v>43</v>
      </c>
      <c r="AM5957" t="s">
        <v>43</v>
      </c>
      <c r="AN5957" t="str">
        <f>HYPERLINK("https://www.google.com/maps?q=10.83316898,79.846138","Open Location")</f>
        <v>Open Location</v>
      </c>
    </row>
    <row r="5958" spans="1:40" x14ac:dyDescent="0.3">
      <c r="A5958" s="1">
        <v>46210.30972222222</v>
      </c>
      <c r="B5958" t="s">
        <v>40</v>
      </c>
      <c r="C5958" t="s">
        <v>41</v>
      </c>
      <c r="D5958" s="1">
        <v>46210.312743055554</v>
      </c>
      <c r="E5958" t="s">
        <v>42</v>
      </c>
      <c r="F5958" t="s">
        <v>43</v>
      </c>
      <c r="G5958" t="s">
        <v>43</v>
      </c>
      <c r="H5958" t="s">
        <v>43</v>
      </c>
      <c r="I5958" t="s">
        <v>3363</v>
      </c>
      <c r="J5958" t="s">
        <v>43</v>
      </c>
      <c r="K5958" t="s">
        <v>43</v>
      </c>
      <c r="L5958" t="s">
        <v>43</v>
      </c>
      <c r="M5958" t="s">
        <v>43</v>
      </c>
      <c r="N5958" t="s">
        <v>45</v>
      </c>
      <c r="O5958" t="s">
        <v>43</v>
      </c>
      <c r="P5958" t="s">
        <v>43</v>
      </c>
      <c r="Q5958" t="s">
        <v>43</v>
      </c>
      <c r="R5958" t="s">
        <v>43</v>
      </c>
      <c r="S5958" t="s">
        <v>43</v>
      </c>
      <c r="T5958" t="s">
        <v>43</v>
      </c>
      <c r="U5958" t="s">
        <v>43</v>
      </c>
      <c r="V5958" t="s">
        <v>43</v>
      </c>
      <c r="W5958" t="s">
        <v>43</v>
      </c>
      <c r="X5958" t="s">
        <v>43</v>
      </c>
      <c r="Y5958" t="s">
        <v>43</v>
      </c>
      <c r="Z5958" t="s">
        <v>43</v>
      </c>
      <c r="AA5958" t="s">
        <v>43</v>
      </c>
      <c r="AB5958" t="s">
        <v>43</v>
      </c>
      <c r="AC5958" t="s">
        <v>43</v>
      </c>
      <c r="AD5958" t="s">
        <v>43</v>
      </c>
      <c r="AE5958" t="s">
        <v>43</v>
      </c>
      <c r="AF5958" t="s">
        <v>43</v>
      </c>
      <c r="AG5958" t="s">
        <v>43</v>
      </c>
      <c r="AH5958" t="s">
        <v>43</v>
      </c>
      <c r="AI5958" t="s">
        <v>43</v>
      </c>
      <c r="AJ5958" t="s">
        <v>43</v>
      </c>
      <c r="AK5958" t="s">
        <v>43</v>
      </c>
      <c r="AL5958" t="s">
        <v>43</v>
      </c>
      <c r="AM5958" t="s">
        <v>43</v>
      </c>
      <c r="AN5958" t="str">
        <f>HYPERLINK("https://www.google.com/maps?q=10.83317184,79.84613037","Open Location")</f>
        <v>Open Location</v>
      </c>
    </row>
    <row r="5959" spans="1:40" x14ac:dyDescent="0.3">
      <c r="A5959" s="1">
        <v>46210.309606481482</v>
      </c>
      <c r="B5959" t="s">
        <v>40</v>
      </c>
      <c r="C5959" t="s">
        <v>41</v>
      </c>
      <c r="D5959" s="1">
        <v>46210.312523148146</v>
      </c>
      <c r="E5959" t="s">
        <v>42</v>
      </c>
      <c r="F5959" t="s">
        <v>43</v>
      </c>
      <c r="G5959" t="s">
        <v>43</v>
      </c>
      <c r="H5959" t="s">
        <v>43</v>
      </c>
      <c r="I5959" t="s">
        <v>3363</v>
      </c>
      <c r="J5959" t="s">
        <v>43</v>
      </c>
      <c r="K5959" t="s">
        <v>43</v>
      </c>
      <c r="L5959" t="s">
        <v>43</v>
      </c>
      <c r="M5959" t="s">
        <v>43</v>
      </c>
      <c r="N5959" t="s">
        <v>45</v>
      </c>
      <c r="O5959" t="s">
        <v>43</v>
      </c>
      <c r="P5959" t="s">
        <v>43</v>
      </c>
      <c r="Q5959" t="s">
        <v>43</v>
      </c>
      <c r="R5959" t="s">
        <v>43</v>
      </c>
      <c r="S5959" t="s">
        <v>43</v>
      </c>
      <c r="T5959" t="s">
        <v>43</v>
      </c>
      <c r="U5959" t="s">
        <v>43</v>
      </c>
      <c r="V5959" t="s">
        <v>43</v>
      </c>
      <c r="W5959" t="s">
        <v>43</v>
      </c>
      <c r="X5959" t="s">
        <v>43</v>
      </c>
      <c r="Y5959" t="s">
        <v>43</v>
      </c>
      <c r="Z5959" t="s">
        <v>43</v>
      </c>
      <c r="AA5959" t="s">
        <v>43</v>
      </c>
      <c r="AB5959" t="s">
        <v>43</v>
      </c>
      <c r="AC5959" t="s">
        <v>43</v>
      </c>
      <c r="AD5959" t="s">
        <v>43</v>
      </c>
      <c r="AE5959" t="s">
        <v>43</v>
      </c>
      <c r="AF5959" t="s">
        <v>43</v>
      </c>
      <c r="AG5959" t="s">
        <v>43</v>
      </c>
      <c r="AH5959" t="s">
        <v>43</v>
      </c>
      <c r="AI5959" t="s">
        <v>43</v>
      </c>
      <c r="AJ5959" t="s">
        <v>43</v>
      </c>
      <c r="AK5959" t="s">
        <v>43</v>
      </c>
      <c r="AL5959" t="s">
        <v>43</v>
      </c>
      <c r="AM5959" t="s">
        <v>43</v>
      </c>
      <c r="AN5959" t="str">
        <f>HYPERLINK("https://www.google.com/maps?q=10.83317184,79.84613037","Open Location")</f>
        <v>Open Location</v>
      </c>
    </row>
    <row r="5960" spans="1:40" x14ac:dyDescent="0.3">
      <c r="A5960" s="1">
        <v>46210.309490740743</v>
      </c>
      <c r="B5960" t="s">
        <v>40</v>
      </c>
      <c r="C5960" t="s">
        <v>41</v>
      </c>
      <c r="D5960" s="1">
        <v>46210.312222222223</v>
      </c>
      <c r="E5960" t="s">
        <v>42</v>
      </c>
      <c r="F5960" t="s">
        <v>43</v>
      </c>
      <c r="G5960" t="s">
        <v>43</v>
      </c>
      <c r="H5960" t="s">
        <v>43</v>
      </c>
      <c r="I5960" t="s">
        <v>3364</v>
      </c>
      <c r="J5960" t="s">
        <v>43</v>
      </c>
      <c r="K5960" t="s">
        <v>43</v>
      </c>
      <c r="L5960" t="s">
        <v>43</v>
      </c>
      <c r="M5960" t="s">
        <v>43</v>
      </c>
      <c r="N5960" t="s">
        <v>45</v>
      </c>
      <c r="O5960" t="s">
        <v>43</v>
      </c>
      <c r="P5960" t="s">
        <v>43</v>
      </c>
      <c r="Q5960" t="s">
        <v>43</v>
      </c>
      <c r="R5960" t="s">
        <v>43</v>
      </c>
      <c r="S5960" t="s">
        <v>43</v>
      </c>
      <c r="T5960" t="s">
        <v>43</v>
      </c>
      <c r="U5960" t="s">
        <v>43</v>
      </c>
      <c r="V5960" t="s">
        <v>43</v>
      </c>
      <c r="W5960" t="s">
        <v>43</v>
      </c>
      <c r="X5960" t="s">
        <v>43</v>
      </c>
      <c r="Y5960" t="s">
        <v>43</v>
      </c>
      <c r="Z5960" t="s">
        <v>43</v>
      </c>
      <c r="AA5960" t="s">
        <v>43</v>
      </c>
      <c r="AB5960" t="s">
        <v>43</v>
      </c>
      <c r="AC5960" t="s">
        <v>43</v>
      </c>
      <c r="AD5960" t="s">
        <v>43</v>
      </c>
      <c r="AE5960" t="s">
        <v>43</v>
      </c>
      <c r="AF5960" t="s">
        <v>43</v>
      </c>
      <c r="AG5960" t="s">
        <v>43</v>
      </c>
      <c r="AH5960" t="s">
        <v>43</v>
      </c>
      <c r="AI5960" t="s">
        <v>43</v>
      </c>
      <c r="AJ5960" t="s">
        <v>43</v>
      </c>
      <c r="AK5960" t="s">
        <v>43</v>
      </c>
      <c r="AL5960" t="s">
        <v>43</v>
      </c>
      <c r="AM5960" t="s">
        <v>43</v>
      </c>
      <c r="AN5960" t="str">
        <f>HYPERLINK("https://www.google.com/maps?q=10.83316994,79.846138","Open Location")</f>
        <v>Open Location</v>
      </c>
    </row>
    <row r="5961" spans="1:40" x14ac:dyDescent="0.3">
      <c r="A5961" s="1">
        <v>46210.309374999997</v>
      </c>
      <c r="B5961" t="s">
        <v>40</v>
      </c>
      <c r="C5961" t="s">
        <v>41</v>
      </c>
      <c r="D5961" s="1">
        <v>46210.312152777777</v>
      </c>
      <c r="E5961" t="s">
        <v>42</v>
      </c>
      <c r="F5961" t="s">
        <v>43</v>
      </c>
      <c r="G5961" t="s">
        <v>43</v>
      </c>
      <c r="H5961" t="s">
        <v>43</v>
      </c>
      <c r="I5961" t="s">
        <v>43</v>
      </c>
      <c r="J5961" t="s">
        <v>43</v>
      </c>
      <c r="K5961" t="s">
        <v>43</v>
      </c>
      <c r="L5961" t="s">
        <v>43</v>
      </c>
      <c r="M5961" t="s">
        <v>43</v>
      </c>
      <c r="N5961" t="s">
        <v>45</v>
      </c>
      <c r="O5961" t="s">
        <v>43</v>
      </c>
      <c r="P5961" t="s">
        <v>43</v>
      </c>
      <c r="Q5961" t="s">
        <v>43</v>
      </c>
      <c r="R5961" t="s">
        <v>43</v>
      </c>
      <c r="S5961" t="s">
        <v>43</v>
      </c>
      <c r="T5961" t="s">
        <v>43</v>
      </c>
      <c r="U5961" t="s">
        <v>43</v>
      </c>
      <c r="V5961" t="s">
        <v>43</v>
      </c>
      <c r="W5961" t="s">
        <v>43</v>
      </c>
      <c r="X5961" t="s">
        <v>43</v>
      </c>
      <c r="Y5961" t="s">
        <v>43</v>
      </c>
      <c r="Z5961" t="s">
        <v>43</v>
      </c>
      <c r="AA5961" t="s">
        <v>43</v>
      </c>
      <c r="AB5961" t="s">
        <v>43</v>
      </c>
      <c r="AC5961" t="s">
        <v>43</v>
      </c>
      <c r="AD5961" t="s">
        <v>43</v>
      </c>
      <c r="AE5961" t="s">
        <v>43</v>
      </c>
      <c r="AF5961" t="s">
        <v>43</v>
      </c>
      <c r="AG5961" t="s">
        <v>43</v>
      </c>
      <c r="AH5961" t="s">
        <v>43</v>
      </c>
      <c r="AI5961" t="s">
        <v>43</v>
      </c>
      <c r="AJ5961" t="s">
        <v>43</v>
      </c>
      <c r="AK5961" t="s">
        <v>43</v>
      </c>
      <c r="AL5961" t="s">
        <v>43</v>
      </c>
      <c r="AM5961" t="s">
        <v>43</v>
      </c>
      <c r="AN5961" t="s">
        <v>43</v>
      </c>
    </row>
    <row r="5962" spans="1:40" x14ac:dyDescent="0.3">
      <c r="A5962" s="1">
        <v>46210.309259259258</v>
      </c>
      <c r="B5962" t="s">
        <v>40</v>
      </c>
      <c r="C5962" t="s">
        <v>41</v>
      </c>
      <c r="D5962" s="1">
        <v>46210.312372685185</v>
      </c>
      <c r="E5962" t="s">
        <v>42</v>
      </c>
      <c r="F5962" t="s">
        <v>43</v>
      </c>
      <c r="G5962" t="s">
        <v>43</v>
      </c>
      <c r="H5962" t="s">
        <v>43</v>
      </c>
      <c r="I5962" t="s">
        <v>3365</v>
      </c>
      <c r="J5962" t="s">
        <v>43</v>
      </c>
      <c r="K5962" t="s">
        <v>43</v>
      </c>
      <c r="L5962" t="s">
        <v>43</v>
      </c>
      <c r="M5962" t="s">
        <v>43</v>
      </c>
      <c r="N5962" t="s">
        <v>45</v>
      </c>
      <c r="O5962" t="s">
        <v>43</v>
      </c>
      <c r="P5962" t="s">
        <v>43</v>
      </c>
      <c r="Q5962" t="s">
        <v>43</v>
      </c>
      <c r="R5962" t="s">
        <v>43</v>
      </c>
      <c r="S5962" t="s">
        <v>43</v>
      </c>
      <c r="T5962" t="s">
        <v>43</v>
      </c>
      <c r="U5962" t="s">
        <v>43</v>
      </c>
      <c r="V5962" t="s">
        <v>43</v>
      </c>
      <c r="W5962" t="s">
        <v>43</v>
      </c>
      <c r="X5962" t="s">
        <v>43</v>
      </c>
      <c r="Y5962" t="s">
        <v>43</v>
      </c>
      <c r="Z5962" t="s">
        <v>43</v>
      </c>
      <c r="AA5962" t="s">
        <v>43</v>
      </c>
      <c r="AB5962" t="s">
        <v>43</v>
      </c>
      <c r="AC5962" t="s">
        <v>43</v>
      </c>
      <c r="AD5962" t="s">
        <v>43</v>
      </c>
      <c r="AE5962" t="s">
        <v>43</v>
      </c>
      <c r="AF5962" t="s">
        <v>43</v>
      </c>
      <c r="AG5962" t="s">
        <v>43</v>
      </c>
      <c r="AH5962" t="s">
        <v>43</v>
      </c>
      <c r="AI5962" t="s">
        <v>43</v>
      </c>
      <c r="AJ5962" t="s">
        <v>43</v>
      </c>
      <c r="AK5962" t="s">
        <v>43</v>
      </c>
      <c r="AL5962" t="s">
        <v>43</v>
      </c>
      <c r="AM5962" t="s">
        <v>43</v>
      </c>
      <c r="AN5962" t="str">
        <f>HYPERLINK("https://www.google.com/maps?q=10.8331728,79.846138","Open Location")</f>
        <v>Open Location</v>
      </c>
    </row>
    <row r="5963" spans="1:40" x14ac:dyDescent="0.3">
      <c r="A5963" s="1">
        <v>46210.30914351852</v>
      </c>
      <c r="B5963" t="s">
        <v>40</v>
      </c>
      <c r="C5963" t="s">
        <v>41</v>
      </c>
      <c r="D5963" s="1">
        <v>46210.311863425923</v>
      </c>
      <c r="E5963" t="s">
        <v>42</v>
      </c>
      <c r="F5963" t="s">
        <v>43</v>
      </c>
      <c r="G5963" t="s">
        <v>43</v>
      </c>
      <c r="H5963" t="s">
        <v>43</v>
      </c>
      <c r="I5963" t="s">
        <v>3366</v>
      </c>
      <c r="J5963" t="s">
        <v>43</v>
      </c>
      <c r="K5963" t="s">
        <v>43</v>
      </c>
      <c r="L5963" t="s">
        <v>43</v>
      </c>
      <c r="M5963" t="s">
        <v>43</v>
      </c>
      <c r="N5963" t="s">
        <v>45</v>
      </c>
      <c r="O5963" t="s">
        <v>43</v>
      </c>
      <c r="P5963" t="s">
        <v>43</v>
      </c>
      <c r="Q5963" t="s">
        <v>43</v>
      </c>
      <c r="R5963" t="s">
        <v>43</v>
      </c>
      <c r="S5963" t="s">
        <v>43</v>
      </c>
      <c r="T5963" t="s">
        <v>43</v>
      </c>
      <c r="U5963" t="s">
        <v>43</v>
      </c>
      <c r="V5963" t="s">
        <v>43</v>
      </c>
      <c r="W5963" t="s">
        <v>43</v>
      </c>
      <c r="X5963" t="s">
        <v>43</v>
      </c>
      <c r="Y5963" t="s">
        <v>43</v>
      </c>
      <c r="Z5963" t="s">
        <v>43</v>
      </c>
      <c r="AA5963" t="s">
        <v>43</v>
      </c>
      <c r="AB5963" t="s">
        <v>43</v>
      </c>
      <c r="AC5963" t="s">
        <v>43</v>
      </c>
      <c r="AD5963" t="s">
        <v>43</v>
      </c>
      <c r="AE5963" t="s">
        <v>43</v>
      </c>
      <c r="AF5963" t="s">
        <v>43</v>
      </c>
      <c r="AG5963" t="s">
        <v>43</v>
      </c>
      <c r="AH5963" t="s">
        <v>43</v>
      </c>
      <c r="AI5963" t="s">
        <v>43</v>
      </c>
      <c r="AJ5963" t="s">
        <v>43</v>
      </c>
      <c r="AK5963" t="s">
        <v>43</v>
      </c>
      <c r="AL5963" t="s">
        <v>43</v>
      </c>
      <c r="AM5963" t="s">
        <v>43</v>
      </c>
      <c r="AN5963" t="str">
        <f>HYPERLINK("https://www.google.com/maps?q=10.83317471,79.84613037","Open Location")</f>
        <v>Open Location</v>
      </c>
    </row>
    <row r="5964" spans="1:40" x14ac:dyDescent="0.3">
      <c r="A5964" s="1">
        <v>46210.309027777781</v>
      </c>
      <c r="B5964" t="s">
        <v>40</v>
      </c>
      <c r="C5964" t="s">
        <v>41</v>
      </c>
      <c r="D5964" s="1">
        <v>46210.311921296299</v>
      </c>
      <c r="E5964" t="s">
        <v>42</v>
      </c>
      <c r="F5964" t="s">
        <v>43</v>
      </c>
      <c r="G5964" t="s">
        <v>43</v>
      </c>
      <c r="H5964" t="s">
        <v>43</v>
      </c>
      <c r="I5964" t="s">
        <v>3360</v>
      </c>
      <c r="J5964" t="s">
        <v>43</v>
      </c>
      <c r="K5964" t="s">
        <v>43</v>
      </c>
      <c r="L5964" t="s">
        <v>43</v>
      </c>
      <c r="M5964" t="s">
        <v>43</v>
      </c>
      <c r="N5964" t="s">
        <v>45</v>
      </c>
      <c r="O5964" t="s">
        <v>43</v>
      </c>
      <c r="P5964" t="s">
        <v>43</v>
      </c>
      <c r="Q5964" t="s">
        <v>43</v>
      </c>
      <c r="R5964" t="s">
        <v>43</v>
      </c>
      <c r="S5964" t="s">
        <v>43</v>
      </c>
      <c r="T5964" t="s">
        <v>43</v>
      </c>
      <c r="U5964" t="s">
        <v>43</v>
      </c>
      <c r="V5964" t="s">
        <v>43</v>
      </c>
      <c r="W5964" t="s">
        <v>43</v>
      </c>
      <c r="X5964" t="s">
        <v>43</v>
      </c>
      <c r="Y5964" t="s">
        <v>43</v>
      </c>
      <c r="Z5964" t="s">
        <v>43</v>
      </c>
      <c r="AA5964" t="s">
        <v>43</v>
      </c>
      <c r="AB5964" t="s">
        <v>43</v>
      </c>
      <c r="AC5964" t="s">
        <v>43</v>
      </c>
      <c r="AD5964" t="s">
        <v>43</v>
      </c>
      <c r="AE5964" t="s">
        <v>43</v>
      </c>
      <c r="AF5964" t="s">
        <v>43</v>
      </c>
      <c r="AG5964" t="s">
        <v>43</v>
      </c>
      <c r="AH5964" t="s">
        <v>43</v>
      </c>
      <c r="AI5964" t="s">
        <v>43</v>
      </c>
      <c r="AJ5964" t="s">
        <v>43</v>
      </c>
      <c r="AK5964" t="s">
        <v>43</v>
      </c>
      <c r="AL5964" t="s">
        <v>43</v>
      </c>
      <c r="AM5964" t="s">
        <v>43</v>
      </c>
      <c r="AN5964" t="str">
        <f>HYPERLINK("https://www.google.com/maps?q=10.83316994,79.84613037","Open Location")</f>
        <v>Open Location</v>
      </c>
    </row>
    <row r="5965" spans="1:40" x14ac:dyDescent="0.3">
      <c r="A5965" s="1">
        <v>46210.308912037035</v>
      </c>
      <c r="B5965" t="s">
        <v>40</v>
      </c>
      <c r="C5965" t="s">
        <v>41</v>
      </c>
      <c r="D5965" s="1">
        <v>46210.311666666668</v>
      </c>
      <c r="E5965" t="s">
        <v>42</v>
      </c>
      <c r="F5965" t="s">
        <v>43</v>
      </c>
      <c r="G5965" t="s">
        <v>43</v>
      </c>
      <c r="H5965" t="s">
        <v>43</v>
      </c>
      <c r="I5965" t="s">
        <v>3360</v>
      </c>
      <c r="J5965" t="s">
        <v>43</v>
      </c>
      <c r="K5965" t="s">
        <v>43</v>
      </c>
      <c r="L5965" t="s">
        <v>43</v>
      </c>
      <c r="M5965" t="s">
        <v>43</v>
      </c>
      <c r="N5965" t="s">
        <v>45</v>
      </c>
      <c r="O5965" t="s">
        <v>43</v>
      </c>
      <c r="P5965" t="s">
        <v>43</v>
      </c>
      <c r="Q5965" t="s">
        <v>43</v>
      </c>
      <c r="R5965" t="s">
        <v>43</v>
      </c>
      <c r="S5965" t="s">
        <v>43</v>
      </c>
      <c r="T5965" t="s">
        <v>43</v>
      </c>
      <c r="U5965" t="s">
        <v>43</v>
      </c>
      <c r="V5965" t="s">
        <v>43</v>
      </c>
      <c r="W5965" t="s">
        <v>43</v>
      </c>
      <c r="X5965" t="s">
        <v>43</v>
      </c>
      <c r="Y5965" t="s">
        <v>43</v>
      </c>
      <c r="Z5965" t="s">
        <v>43</v>
      </c>
      <c r="AA5965" t="s">
        <v>43</v>
      </c>
      <c r="AB5965" t="s">
        <v>43</v>
      </c>
      <c r="AC5965" t="s">
        <v>43</v>
      </c>
      <c r="AD5965" t="s">
        <v>43</v>
      </c>
      <c r="AE5965" t="s">
        <v>43</v>
      </c>
      <c r="AF5965" t="s">
        <v>43</v>
      </c>
      <c r="AG5965" t="s">
        <v>43</v>
      </c>
      <c r="AH5965" t="s">
        <v>43</v>
      </c>
      <c r="AI5965" t="s">
        <v>43</v>
      </c>
      <c r="AJ5965" t="s">
        <v>43</v>
      </c>
      <c r="AK5965" t="s">
        <v>43</v>
      </c>
      <c r="AL5965" t="s">
        <v>43</v>
      </c>
      <c r="AM5965" t="s">
        <v>43</v>
      </c>
      <c r="AN5965" t="str">
        <f>HYPERLINK("https://www.google.com/maps?q=10.83316994,79.84613037","Open Location")</f>
        <v>Open Location</v>
      </c>
    </row>
    <row r="5966" spans="1:40" x14ac:dyDescent="0.3">
      <c r="A5966" s="1">
        <v>46210.308796296296</v>
      </c>
      <c r="B5966" t="s">
        <v>40</v>
      </c>
      <c r="C5966" t="s">
        <v>41</v>
      </c>
      <c r="D5966" s="1">
        <v>46210.311620370368</v>
      </c>
      <c r="E5966" t="s">
        <v>42</v>
      </c>
      <c r="F5966" t="s">
        <v>43</v>
      </c>
      <c r="G5966" t="s">
        <v>43</v>
      </c>
      <c r="H5966" t="s">
        <v>43</v>
      </c>
      <c r="I5966" t="s">
        <v>43</v>
      </c>
      <c r="J5966" t="s">
        <v>43</v>
      </c>
      <c r="K5966" t="s">
        <v>43</v>
      </c>
      <c r="L5966" t="s">
        <v>43</v>
      </c>
      <c r="M5966" t="s">
        <v>43</v>
      </c>
      <c r="N5966" t="s">
        <v>45</v>
      </c>
      <c r="O5966" t="s">
        <v>43</v>
      </c>
      <c r="P5966" t="s">
        <v>43</v>
      </c>
      <c r="Q5966" t="s">
        <v>43</v>
      </c>
      <c r="R5966" t="s">
        <v>43</v>
      </c>
      <c r="S5966" t="s">
        <v>43</v>
      </c>
      <c r="T5966" t="s">
        <v>43</v>
      </c>
      <c r="U5966" t="s">
        <v>43</v>
      </c>
      <c r="V5966" t="s">
        <v>43</v>
      </c>
      <c r="W5966" t="s">
        <v>43</v>
      </c>
      <c r="X5966" t="s">
        <v>43</v>
      </c>
      <c r="Y5966" t="s">
        <v>43</v>
      </c>
      <c r="Z5966" t="s">
        <v>43</v>
      </c>
      <c r="AA5966" t="s">
        <v>43</v>
      </c>
      <c r="AB5966" t="s">
        <v>43</v>
      </c>
      <c r="AC5966" t="s">
        <v>43</v>
      </c>
      <c r="AD5966" t="s">
        <v>43</v>
      </c>
      <c r="AE5966" t="s">
        <v>43</v>
      </c>
      <c r="AF5966" t="s">
        <v>43</v>
      </c>
      <c r="AG5966" t="s">
        <v>43</v>
      </c>
      <c r="AH5966" t="s">
        <v>43</v>
      </c>
      <c r="AI5966" t="s">
        <v>43</v>
      </c>
      <c r="AJ5966" t="s">
        <v>43</v>
      </c>
      <c r="AK5966" t="s">
        <v>43</v>
      </c>
      <c r="AL5966" t="s">
        <v>43</v>
      </c>
      <c r="AM5966" t="s">
        <v>43</v>
      </c>
      <c r="AN5966" t="s">
        <v>43</v>
      </c>
    </row>
    <row r="5967" spans="1:40" x14ac:dyDescent="0.3">
      <c r="A5967" s="1">
        <v>46210.308680555558</v>
      </c>
      <c r="B5967" t="s">
        <v>40</v>
      </c>
      <c r="C5967" t="s">
        <v>41</v>
      </c>
      <c r="D5967" s="1">
        <v>46210.31145833333</v>
      </c>
      <c r="E5967" t="s">
        <v>42</v>
      </c>
      <c r="F5967" t="s">
        <v>43</v>
      </c>
      <c r="G5967" t="s">
        <v>43</v>
      </c>
      <c r="H5967" t="s">
        <v>43</v>
      </c>
      <c r="I5967" t="s">
        <v>3360</v>
      </c>
      <c r="J5967" t="s">
        <v>43</v>
      </c>
      <c r="K5967" t="s">
        <v>43</v>
      </c>
      <c r="L5967" t="s">
        <v>43</v>
      </c>
      <c r="M5967" t="s">
        <v>43</v>
      </c>
      <c r="N5967" t="s">
        <v>45</v>
      </c>
      <c r="O5967" t="s">
        <v>43</v>
      </c>
      <c r="P5967" t="s">
        <v>43</v>
      </c>
      <c r="Q5967" t="s">
        <v>43</v>
      </c>
      <c r="R5967" t="s">
        <v>43</v>
      </c>
      <c r="S5967" t="s">
        <v>43</v>
      </c>
      <c r="T5967" t="s">
        <v>43</v>
      </c>
      <c r="U5967" t="s">
        <v>43</v>
      </c>
      <c r="V5967" t="s">
        <v>43</v>
      </c>
      <c r="W5967" t="s">
        <v>43</v>
      </c>
      <c r="X5967" t="s">
        <v>43</v>
      </c>
      <c r="Y5967" t="s">
        <v>43</v>
      </c>
      <c r="Z5967" t="s">
        <v>43</v>
      </c>
      <c r="AA5967" t="s">
        <v>43</v>
      </c>
      <c r="AB5967" t="s">
        <v>43</v>
      </c>
      <c r="AC5967" t="s">
        <v>43</v>
      </c>
      <c r="AD5967" t="s">
        <v>43</v>
      </c>
      <c r="AE5967" t="s">
        <v>43</v>
      </c>
      <c r="AF5967" t="s">
        <v>43</v>
      </c>
      <c r="AG5967" t="s">
        <v>43</v>
      </c>
      <c r="AH5967" t="s">
        <v>43</v>
      </c>
      <c r="AI5967" t="s">
        <v>43</v>
      </c>
      <c r="AJ5967" t="s">
        <v>43</v>
      </c>
      <c r="AK5967" t="s">
        <v>43</v>
      </c>
      <c r="AL5967" t="s">
        <v>43</v>
      </c>
      <c r="AM5967" t="s">
        <v>43</v>
      </c>
      <c r="AN5967" t="str">
        <f>HYPERLINK("https://www.google.com/maps?q=10.83316994,79.84613037","Open Location")</f>
        <v>Open Location</v>
      </c>
    </row>
    <row r="5968" spans="1:40" x14ac:dyDescent="0.3">
      <c r="A5968" s="1">
        <v>46210.308564814812</v>
      </c>
      <c r="B5968" t="s">
        <v>40</v>
      </c>
      <c r="C5968" t="s">
        <v>41</v>
      </c>
      <c r="D5968" s="1">
        <v>46210.31145833333</v>
      </c>
      <c r="E5968" t="s">
        <v>42</v>
      </c>
      <c r="F5968" t="s">
        <v>43</v>
      </c>
      <c r="G5968" t="s">
        <v>43</v>
      </c>
      <c r="H5968" t="s">
        <v>43</v>
      </c>
      <c r="I5968" t="s">
        <v>3367</v>
      </c>
      <c r="J5968" t="s">
        <v>43</v>
      </c>
      <c r="K5968" t="s">
        <v>43</v>
      </c>
      <c r="L5968" t="s">
        <v>43</v>
      </c>
      <c r="M5968" t="s">
        <v>43</v>
      </c>
      <c r="N5968" t="s">
        <v>45</v>
      </c>
      <c r="O5968" t="s">
        <v>43</v>
      </c>
      <c r="P5968" t="s">
        <v>43</v>
      </c>
      <c r="Q5968" t="s">
        <v>43</v>
      </c>
      <c r="R5968" t="s">
        <v>43</v>
      </c>
      <c r="S5968" t="s">
        <v>43</v>
      </c>
      <c r="T5968" t="s">
        <v>43</v>
      </c>
      <c r="U5968" t="s">
        <v>43</v>
      </c>
      <c r="V5968" t="s">
        <v>43</v>
      </c>
      <c r="W5968" t="s">
        <v>43</v>
      </c>
      <c r="X5968" t="s">
        <v>43</v>
      </c>
      <c r="Y5968" t="s">
        <v>43</v>
      </c>
      <c r="Z5968" t="s">
        <v>43</v>
      </c>
      <c r="AA5968" t="s">
        <v>43</v>
      </c>
      <c r="AB5968" t="s">
        <v>43</v>
      </c>
      <c r="AC5968" t="s">
        <v>43</v>
      </c>
      <c r="AD5968" t="s">
        <v>43</v>
      </c>
      <c r="AE5968" t="s">
        <v>43</v>
      </c>
      <c r="AF5968" t="s">
        <v>43</v>
      </c>
      <c r="AG5968" t="s">
        <v>43</v>
      </c>
      <c r="AH5968" t="s">
        <v>43</v>
      </c>
      <c r="AI5968" t="s">
        <v>43</v>
      </c>
      <c r="AJ5968" t="s">
        <v>43</v>
      </c>
      <c r="AK5968" t="s">
        <v>43</v>
      </c>
      <c r="AL5968" t="s">
        <v>43</v>
      </c>
      <c r="AM5968" t="s">
        <v>43</v>
      </c>
      <c r="AN5968" t="str">
        <f>HYPERLINK("https://www.google.com/maps?q=10.83317089,79.84612274","Open Location")</f>
        <v>Open Location</v>
      </c>
    </row>
    <row r="5969" spans="1:40" x14ac:dyDescent="0.3">
      <c r="A5969" s="1">
        <v>46210.308449074073</v>
      </c>
      <c r="B5969" t="s">
        <v>40</v>
      </c>
      <c r="C5969" t="s">
        <v>41</v>
      </c>
      <c r="D5969" s="1">
        <v>46210.311388888891</v>
      </c>
      <c r="E5969" t="s">
        <v>42</v>
      </c>
      <c r="F5969" t="s">
        <v>43</v>
      </c>
      <c r="G5969" t="s">
        <v>43</v>
      </c>
      <c r="H5969" t="s">
        <v>43</v>
      </c>
      <c r="I5969" t="s">
        <v>3368</v>
      </c>
      <c r="J5969" t="s">
        <v>43</v>
      </c>
      <c r="K5969" t="s">
        <v>43</v>
      </c>
      <c r="L5969" t="s">
        <v>43</v>
      </c>
      <c r="M5969" t="s">
        <v>43</v>
      </c>
      <c r="N5969" t="s">
        <v>45</v>
      </c>
      <c r="O5969" t="s">
        <v>43</v>
      </c>
      <c r="P5969" t="s">
        <v>43</v>
      </c>
      <c r="Q5969" t="s">
        <v>43</v>
      </c>
      <c r="R5969" t="s">
        <v>43</v>
      </c>
      <c r="S5969" t="s">
        <v>43</v>
      </c>
      <c r="T5969" t="s">
        <v>43</v>
      </c>
      <c r="U5969" t="s">
        <v>43</v>
      </c>
      <c r="V5969" t="s">
        <v>43</v>
      </c>
      <c r="W5969" t="s">
        <v>43</v>
      </c>
      <c r="X5969" t="s">
        <v>43</v>
      </c>
      <c r="Y5969" t="s">
        <v>43</v>
      </c>
      <c r="Z5969" t="s">
        <v>43</v>
      </c>
      <c r="AA5969" t="s">
        <v>43</v>
      </c>
      <c r="AB5969" t="s">
        <v>43</v>
      </c>
      <c r="AC5969" t="s">
        <v>43</v>
      </c>
      <c r="AD5969" t="s">
        <v>43</v>
      </c>
      <c r="AE5969" t="s">
        <v>43</v>
      </c>
      <c r="AF5969" t="s">
        <v>43</v>
      </c>
      <c r="AG5969" t="s">
        <v>43</v>
      </c>
      <c r="AH5969" t="s">
        <v>43</v>
      </c>
      <c r="AI5969" t="s">
        <v>43</v>
      </c>
      <c r="AJ5969" t="s">
        <v>43</v>
      </c>
      <c r="AK5969" t="s">
        <v>43</v>
      </c>
      <c r="AL5969" t="s">
        <v>43</v>
      </c>
      <c r="AM5969" t="s">
        <v>43</v>
      </c>
      <c r="AN5969" t="str">
        <f>HYPERLINK("https://www.google.com/maps?q=10.83316803,79.84612274","Open Location")</f>
        <v>Open Location</v>
      </c>
    </row>
    <row r="5970" spans="1:40" x14ac:dyDescent="0.3">
      <c r="A5970" s="1">
        <v>46210.308333333334</v>
      </c>
      <c r="B5970" t="s">
        <v>40</v>
      </c>
      <c r="C5970" t="s">
        <v>41</v>
      </c>
      <c r="D5970" s="1">
        <v>46210.311215277776</v>
      </c>
      <c r="E5970" t="s">
        <v>42</v>
      </c>
      <c r="F5970" t="s">
        <v>43</v>
      </c>
      <c r="G5970" t="s">
        <v>43</v>
      </c>
      <c r="H5970" t="s">
        <v>43</v>
      </c>
      <c r="I5970" t="s">
        <v>3368</v>
      </c>
      <c r="J5970" t="s">
        <v>43</v>
      </c>
      <c r="K5970" t="s">
        <v>43</v>
      </c>
      <c r="L5970" t="s">
        <v>43</v>
      </c>
      <c r="M5970" t="s">
        <v>43</v>
      </c>
      <c r="N5970" t="s">
        <v>45</v>
      </c>
      <c r="O5970" t="s">
        <v>43</v>
      </c>
      <c r="P5970" t="s">
        <v>43</v>
      </c>
      <c r="Q5970" t="s">
        <v>43</v>
      </c>
      <c r="R5970" t="s">
        <v>43</v>
      </c>
      <c r="S5970" t="s">
        <v>43</v>
      </c>
      <c r="T5970" t="s">
        <v>43</v>
      </c>
      <c r="U5970" t="s">
        <v>43</v>
      </c>
      <c r="V5970" t="s">
        <v>43</v>
      </c>
      <c r="W5970" t="s">
        <v>43</v>
      </c>
      <c r="X5970" t="s">
        <v>43</v>
      </c>
      <c r="Y5970" t="s">
        <v>43</v>
      </c>
      <c r="Z5970" t="s">
        <v>43</v>
      </c>
      <c r="AA5970" t="s">
        <v>43</v>
      </c>
      <c r="AB5970" t="s">
        <v>43</v>
      </c>
      <c r="AC5970" t="s">
        <v>43</v>
      </c>
      <c r="AD5970" t="s">
        <v>43</v>
      </c>
      <c r="AE5970" t="s">
        <v>43</v>
      </c>
      <c r="AF5970" t="s">
        <v>43</v>
      </c>
      <c r="AG5970" t="s">
        <v>43</v>
      </c>
      <c r="AH5970" t="s">
        <v>43</v>
      </c>
      <c r="AI5970" t="s">
        <v>43</v>
      </c>
      <c r="AJ5970" t="s">
        <v>43</v>
      </c>
      <c r="AK5970" t="s">
        <v>43</v>
      </c>
      <c r="AL5970" t="s">
        <v>43</v>
      </c>
      <c r="AM5970" t="s">
        <v>43</v>
      </c>
      <c r="AN5970" t="str">
        <f>HYPERLINK("https://www.google.com/maps?q=10.83316803,79.84612274","Open Location")</f>
        <v>Open Location</v>
      </c>
    </row>
    <row r="5971" spans="1:40" x14ac:dyDescent="0.3">
      <c r="A5971" s="1">
        <v>46210.308217592596</v>
      </c>
      <c r="B5971" t="s">
        <v>40</v>
      </c>
      <c r="C5971" t="s">
        <v>41</v>
      </c>
      <c r="D5971" s="1">
        <v>46210.311099537037</v>
      </c>
      <c r="E5971" t="s">
        <v>42</v>
      </c>
      <c r="F5971" t="s">
        <v>43</v>
      </c>
      <c r="G5971" t="s">
        <v>43</v>
      </c>
      <c r="H5971" t="s">
        <v>43</v>
      </c>
      <c r="I5971" t="s">
        <v>3369</v>
      </c>
      <c r="J5971" t="s">
        <v>43</v>
      </c>
      <c r="K5971" t="s">
        <v>43</v>
      </c>
      <c r="L5971" t="s">
        <v>43</v>
      </c>
      <c r="M5971" t="s">
        <v>43</v>
      </c>
      <c r="N5971" t="s">
        <v>45</v>
      </c>
      <c r="O5971" t="s">
        <v>43</v>
      </c>
      <c r="P5971" t="s">
        <v>43</v>
      </c>
      <c r="Q5971" t="s">
        <v>43</v>
      </c>
      <c r="R5971" t="s">
        <v>43</v>
      </c>
      <c r="S5971" t="s">
        <v>43</v>
      </c>
      <c r="T5971" t="s">
        <v>43</v>
      </c>
      <c r="U5971" t="s">
        <v>43</v>
      </c>
      <c r="V5971" t="s">
        <v>43</v>
      </c>
      <c r="W5971" t="s">
        <v>43</v>
      </c>
      <c r="X5971" t="s">
        <v>43</v>
      </c>
      <c r="Y5971" t="s">
        <v>43</v>
      </c>
      <c r="Z5971" t="s">
        <v>43</v>
      </c>
      <c r="AA5971" t="s">
        <v>43</v>
      </c>
      <c r="AB5971" t="s">
        <v>43</v>
      </c>
      <c r="AC5971" t="s">
        <v>43</v>
      </c>
      <c r="AD5971" t="s">
        <v>43</v>
      </c>
      <c r="AE5971" t="s">
        <v>43</v>
      </c>
      <c r="AF5971" t="s">
        <v>43</v>
      </c>
      <c r="AG5971" t="s">
        <v>43</v>
      </c>
      <c r="AH5971" t="s">
        <v>43</v>
      </c>
      <c r="AI5971" t="s">
        <v>43</v>
      </c>
      <c r="AJ5971" t="s">
        <v>43</v>
      </c>
      <c r="AK5971" t="s">
        <v>43</v>
      </c>
      <c r="AL5971" t="s">
        <v>43</v>
      </c>
      <c r="AM5971" t="s">
        <v>43</v>
      </c>
      <c r="AN5971" t="str">
        <f>HYPERLINK("https://www.google.com/maps?q=10.83316898,79.84612274","Open Location")</f>
        <v>Open Location</v>
      </c>
    </row>
    <row r="5972" spans="1:40" x14ac:dyDescent="0.3">
      <c r="A5972" s="1">
        <v>46210.30810185185</v>
      </c>
      <c r="B5972" t="s">
        <v>40</v>
      </c>
      <c r="C5972" t="s">
        <v>41</v>
      </c>
      <c r="D5972" s="1">
        <v>46210.311238425929</v>
      </c>
      <c r="E5972" t="s">
        <v>42</v>
      </c>
      <c r="F5972" t="s">
        <v>43</v>
      </c>
      <c r="G5972" t="s">
        <v>43</v>
      </c>
      <c r="H5972" t="s">
        <v>43</v>
      </c>
      <c r="I5972" t="s">
        <v>43</v>
      </c>
      <c r="J5972" t="s">
        <v>43</v>
      </c>
      <c r="K5972" t="s">
        <v>43</v>
      </c>
      <c r="L5972" t="s">
        <v>43</v>
      </c>
      <c r="M5972" t="s">
        <v>43</v>
      </c>
      <c r="N5972" t="s">
        <v>45</v>
      </c>
      <c r="O5972" t="s">
        <v>43</v>
      </c>
      <c r="P5972" t="s">
        <v>43</v>
      </c>
      <c r="Q5972" t="s">
        <v>43</v>
      </c>
      <c r="R5972" t="s">
        <v>43</v>
      </c>
      <c r="S5972" t="s">
        <v>43</v>
      </c>
      <c r="T5972" t="s">
        <v>43</v>
      </c>
      <c r="U5972" t="s">
        <v>43</v>
      </c>
      <c r="V5972" t="s">
        <v>43</v>
      </c>
      <c r="W5972" t="s">
        <v>43</v>
      </c>
      <c r="X5972" t="s">
        <v>43</v>
      </c>
      <c r="Y5972" t="s">
        <v>43</v>
      </c>
      <c r="Z5972" t="s">
        <v>43</v>
      </c>
      <c r="AA5972" t="s">
        <v>43</v>
      </c>
      <c r="AB5972" t="s">
        <v>43</v>
      </c>
      <c r="AC5972" t="s">
        <v>43</v>
      </c>
      <c r="AD5972" t="s">
        <v>43</v>
      </c>
      <c r="AE5972" t="s">
        <v>43</v>
      </c>
      <c r="AF5972" t="s">
        <v>43</v>
      </c>
      <c r="AG5972" t="s">
        <v>43</v>
      </c>
      <c r="AH5972" t="s">
        <v>43</v>
      </c>
      <c r="AI5972" t="s">
        <v>43</v>
      </c>
      <c r="AJ5972" t="s">
        <v>43</v>
      </c>
      <c r="AK5972" t="s">
        <v>43</v>
      </c>
      <c r="AL5972" t="s">
        <v>43</v>
      </c>
      <c r="AM5972" t="s">
        <v>43</v>
      </c>
      <c r="AN5972" t="s">
        <v>43</v>
      </c>
    </row>
    <row r="5973" spans="1:40" x14ac:dyDescent="0.3">
      <c r="A5973" s="1">
        <v>46210.307986111111</v>
      </c>
      <c r="B5973" t="s">
        <v>40</v>
      </c>
      <c r="C5973" t="s">
        <v>41</v>
      </c>
      <c r="D5973" s="1">
        <v>46210.310798611114</v>
      </c>
      <c r="E5973" t="s">
        <v>42</v>
      </c>
      <c r="F5973" t="s">
        <v>43</v>
      </c>
      <c r="G5973" t="s">
        <v>43</v>
      </c>
      <c r="H5973" t="s">
        <v>43</v>
      </c>
      <c r="I5973" t="s">
        <v>3368</v>
      </c>
      <c r="J5973" t="s">
        <v>43</v>
      </c>
      <c r="K5973" t="s">
        <v>43</v>
      </c>
      <c r="L5973" t="s">
        <v>43</v>
      </c>
      <c r="M5973" t="s">
        <v>43</v>
      </c>
      <c r="N5973" t="s">
        <v>45</v>
      </c>
      <c r="O5973" t="s">
        <v>43</v>
      </c>
      <c r="P5973" t="s">
        <v>43</v>
      </c>
      <c r="Q5973" t="s">
        <v>43</v>
      </c>
      <c r="R5973" t="s">
        <v>43</v>
      </c>
      <c r="S5973" t="s">
        <v>43</v>
      </c>
      <c r="T5973" t="s">
        <v>43</v>
      </c>
      <c r="U5973" t="s">
        <v>43</v>
      </c>
      <c r="V5973" t="s">
        <v>43</v>
      </c>
      <c r="W5973" t="s">
        <v>43</v>
      </c>
      <c r="X5973" t="s">
        <v>43</v>
      </c>
      <c r="Y5973" t="s">
        <v>43</v>
      </c>
      <c r="Z5973" t="s">
        <v>43</v>
      </c>
      <c r="AA5973" t="s">
        <v>43</v>
      </c>
      <c r="AB5973" t="s">
        <v>43</v>
      </c>
      <c r="AC5973" t="s">
        <v>43</v>
      </c>
      <c r="AD5973" t="s">
        <v>43</v>
      </c>
      <c r="AE5973" t="s">
        <v>43</v>
      </c>
      <c r="AF5973" t="s">
        <v>43</v>
      </c>
      <c r="AG5973" t="s">
        <v>43</v>
      </c>
      <c r="AH5973" t="s">
        <v>43</v>
      </c>
      <c r="AI5973" t="s">
        <v>43</v>
      </c>
      <c r="AJ5973" t="s">
        <v>43</v>
      </c>
      <c r="AK5973" t="s">
        <v>43</v>
      </c>
      <c r="AL5973" t="s">
        <v>43</v>
      </c>
      <c r="AM5973" t="s">
        <v>43</v>
      </c>
      <c r="AN5973" t="str">
        <f>HYPERLINK("https://www.google.com/maps?q=10.83316803,79.84612274","Open Location")</f>
        <v>Open Location</v>
      </c>
    </row>
    <row r="5974" spans="1:40" x14ac:dyDescent="0.3">
      <c r="A5974" s="1">
        <v>46210.307870370372</v>
      </c>
      <c r="B5974" t="s">
        <v>40</v>
      </c>
      <c r="C5974" t="s">
        <v>41</v>
      </c>
      <c r="D5974" s="1">
        <v>46210.310833333337</v>
      </c>
      <c r="E5974" t="s">
        <v>42</v>
      </c>
      <c r="F5974" t="s">
        <v>43</v>
      </c>
      <c r="G5974" t="s">
        <v>43</v>
      </c>
      <c r="H5974" t="s">
        <v>43</v>
      </c>
      <c r="I5974" t="s">
        <v>3370</v>
      </c>
      <c r="J5974" t="s">
        <v>43</v>
      </c>
      <c r="K5974" t="s">
        <v>43</v>
      </c>
      <c r="L5974" t="s">
        <v>43</v>
      </c>
      <c r="M5974" t="s">
        <v>43</v>
      </c>
      <c r="N5974" t="s">
        <v>45</v>
      </c>
      <c r="O5974" t="s">
        <v>43</v>
      </c>
      <c r="P5974" t="s">
        <v>43</v>
      </c>
      <c r="Q5974" t="s">
        <v>43</v>
      </c>
      <c r="R5974" t="s">
        <v>43</v>
      </c>
      <c r="S5974" t="s">
        <v>43</v>
      </c>
      <c r="T5974" t="s">
        <v>43</v>
      </c>
      <c r="U5974" t="s">
        <v>43</v>
      </c>
      <c r="V5974" t="s">
        <v>43</v>
      </c>
      <c r="W5974" t="s">
        <v>43</v>
      </c>
      <c r="X5974" t="s">
        <v>43</v>
      </c>
      <c r="Y5974" t="s">
        <v>43</v>
      </c>
      <c r="Z5974" t="s">
        <v>43</v>
      </c>
      <c r="AA5974" t="s">
        <v>43</v>
      </c>
      <c r="AB5974" t="s">
        <v>43</v>
      </c>
      <c r="AC5974" t="s">
        <v>43</v>
      </c>
      <c r="AD5974" t="s">
        <v>43</v>
      </c>
      <c r="AE5974" t="s">
        <v>43</v>
      </c>
      <c r="AF5974" t="s">
        <v>43</v>
      </c>
      <c r="AG5974" t="s">
        <v>43</v>
      </c>
      <c r="AH5974" t="s">
        <v>43</v>
      </c>
      <c r="AI5974" t="s">
        <v>43</v>
      </c>
      <c r="AJ5974" t="s">
        <v>43</v>
      </c>
      <c r="AK5974" t="s">
        <v>43</v>
      </c>
      <c r="AL5974" t="s">
        <v>43</v>
      </c>
      <c r="AM5974" t="s">
        <v>43</v>
      </c>
      <c r="AN5974" t="str">
        <f>HYPERLINK("https://www.google.com/maps?q=10.83316994,79.84612274","Open Location")</f>
        <v>Open Location</v>
      </c>
    </row>
    <row r="5975" spans="1:40" x14ac:dyDescent="0.3">
      <c r="A5975" s="1">
        <v>46210.307754629626</v>
      </c>
      <c r="B5975" t="s">
        <v>40</v>
      </c>
      <c r="C5975" t="s">
        <v>41</v>
      </c>
      <c r="D5975" s="1">
        <v>46210.310474537036</v>
      </c>
      <c r="E5975" t="s">
        <v>42</v>
      </c>
      <c r="F5975" t="s">
        <v>43</v>
      </c>
      <c r="G5975" t="s">
        <v>43</v>
      </c>
      <c r="H5975" t="s">
        <v>43</v>
      </c>
      <c r="I5975" t="s">
        <v>3369</v>
      </c>
      <c r="J5975" t="s">
        <v>43</v>
      </c>
      <c r="K5975" t="s">
        <v>43</v>
      </c>
      <c r="L5975" t="s">
        <v>43</v>
      </c>
      <c r="M5975" t="s">
        <v>43</v>
      </c>
      <c r="N5975" t="s">
        <v>45</v>
      </c>
      <c r="O5975" t="s">
        <v>43</v>
      </c>
      <c r="P5975" t="s">
        <v>43</v>
      </c>
      <c r="Q5975" t="s">
        <v>43</v>
      </c>
      <c r="R5975" t="s">
        <v>43</v>
      </c>
      <c r="S5975" t="s">
        <v>43</v>
      </c>
      <c r="T5975" t="s">
        <v>43</v>
      </c>
      <c r="U5975" t="s">
        <v>43</v>
      </c>
      <c r="V5975" t="s">
        <v>43</v>
      </c>
      <c r="W5975" t="s">
        <v>43</v>
      </c>
      <c r="X5975" t="s">
        <v>43</v>
      </c>
      <c r="Y5975" t="s">
        <v>43</v>
      </c>
      <c r="Z5975" t="s">
        <v>43</v>
      </c>
      <c r="AA5975" t="s">
        <v>43</v>
      </c>
      <c r="AB5975" t="s">
        <v>43</v>
      </c>
      <c r="AC5975" t="s">
        <v>43</v>
      </c>
      <c r="AD5975" t="s">
        <v>43</v>
      </c>
      <c r="AE5975" t="s">
        <v>43</v>
      </c>
      <c r="AF5975" t="s">
        <v>43</v>
      </c>
      <c r="AG5975" t="s">
        <v>43</v>
      </c>
      <c r="AH5975" t="s">
        <v>43</v>
      </c>
      <c r="AI5975" t="s">
        <v>43</v>
      </c>
      <c r="AJ5975" t="s">
        <v>43</v>
      </c>
      <c r="AK5975" t="s">
        <v>43</v>
      </c>
      <c r="AL5975" t="s">
        <v>43</v>
      </c>
      <c r="AM5975" t="s">
        <v>43</v>
      </c>
      <c r="AN5975" t="str">
        <f>HYPERLINK("https://www.google.com/maps?q=10.83316898,79.84612274","Open Location")</f>
        <v>Open Location</v>
      </c>
    </row>
    <row r="5976" spans="1:40" x14ac:dyDescent="0.3">
      <c r="A5976" s="1">
        <v>46210.307638888888</v>
      </c>
      <c r="B5976" t="s">
        <v>40</v>
      </c>
      <c r="C5976" t="s">
        <v>41</v>
      </c>
      <c r="D5976" s="1">
        <v>46210.310798611114</v>
      </c>
      <c r="E5976" t="s">
        <v>42</v>
      </c>
      <c r="F5976" t="s">
        <v>43</v>
      </c>
      <c r="G5976" t="s">
        <v>43</v>
      </c>
      <c r="H5976" t="s">
        <v>43</v>
      </c>
      <c r="I5976" t="s">
        <v>3371</v>
      </c>
      <c r="J5976" t="s">
        <v>43</v>
      </c>
      <c r="K5976" t="s">
        <v>43</v>
      </c>
      <c r="L5976" t="s">
        <v>43</v>
      </c>
      <c r="M5976" t="s">
        <v>43</v>
      </c>
      <c r="N5976" t="s">
        <v>45</v>
      </c>
      <c r="O5976" t="s">
        <v>43</v>
      </c>
      <c r="P5976" t="s">
        <v>43</v>
      </c>
      <c r="Q5976" t="s">
        <v>43</v>
      </c>
      <c r="R5976" t="s">
        <v>43</v>
      </c>
      <c r="S5976" t="s">
        <v>43</v>
      </c>
      <c r="T5976" t="s">
        <v>43</v>
      </c>
      <c r="U5976" t="s">
        <v>43</v>
      </c>
      <c r="V5976" t="s">
        <v>43</v>
      </c>
      <c r="W5976" t="s">
        <v>43</v>
      </c>
      <c r="X5976" t="s">
        <v>43</v>
      </c>
      <c r="Y5976" t="s">
        <v>43</v>
      </c>
      <c r="Z5976" t="s">
        <v>43</v>
      </c>
      <c r="AA5976" t="s">
        <v>43</v>
      </c>
      <c r="AB5976" t="s">
        <v>43</v>
      </c>
      <c r="AC5976" t="s">
        <v>43</v>
      </c>
      <c r="AD5976" t="s">
        <v>43</v>
      </c>
      <c r="AE5976" t="s">
        <v>43</v>
      </c>
      <c r="AF5976" t="s">
        <v>43</v>
      </c>
      <c r="AG5976" t="s">
        <v>43</v>
      </c>
      <c r="AH5976" t="s">
        <v>43</v>
      </c>
      <c r="AI5976" t="s">
        <v>43</v>
      </c>
      <c r="AJ5976" t="s">
        <v>43</v>
      </c>
      <c r="AK5976" t="s">
        <v>43</v>
      </c>
      <c r="AL5976" t="s">
        <v>43</v>
      </c>
      <c r="AM5976" t="s">
        <v>43</v>
      </c>
      <c r="AN5976" t="str">
        <f>HYPERLINK("https://www.google.com/maps?q=10.83316898,79.84611511","Open Location")</f>
        <v>Open Location</v>
      </c>
    </row>
    <row r="5977" spans="1:40" x14ac:dyDescent="0.3">
      <c r="A5977" s="1">
        <v>46210.307523148149</v>
      </c>
      <c r="B5977" t="s">
        <v>40</v>
      </c>
      <c r="C5977" t="s">
        <v>41</v>
      </c>
      <c r="D5977" s="1">
        <v>46210.310428240744</v>
      </c>
      <c r="E5977" t="s">
        <v>42</v>
      </c>
      <c r="F5977" t="s">
        <v>43</v>
      </c>
      <c r="G5977" t="s">
        <v>43</v>
      </c>
      <c r="H5977" t="s">
        <v>43</v>
      </c>
      <c r="I5977" t="s">
        <v>3372</v>
      </c>
      <c r="J5977" t="s">
        <v>43</v>
      </c>
      <c r="K5977" t="s">
        <v>43</v>
      </c>
      <c r="L5977" t="s">
        <v>43</v>
      </c>
      <c r="M5977" t="s">
        <v>43</v>
      </c>
      <c r="N5977" t="s">
        <v>45</v>
      </c>
      <c r="O5977" t="s">
        <v>43</v>
      </c>
      <c r="P5977" t="s">
        <v>43</v>
      </c>
      <c r="Q5977" t="s">
        <v>43</v>
      </c>
      <c r="R5977" t="s">
        <v>43</v>
      </c>
      <c r="S5977" t="s">
        <v>43</v>
      </c>
      <c r="T5977" t="s">
        <v>43</v>
      </c>
      <c r="U5977" t="s">
        <v>43</v>
      </c>
      <c r="V5977" t="s">
        <v>43</v>
      </c>
      <c r="W5977" t="s">
        <v>43</v>
      </c>
      <c r="X5977" t="s">
        <v>43</v>
      </c>
      <c r="Y5977" t="s">
        <v>43</v>
      </c>
      <c r="Z5977" t="s">
        <v>43</v>
      </c>
      <c r="AA5977" t="s">
        <v>43</v>
      </c>
      <c r="AB5977" t="s">
        <v>43</v>
      </c>
      <c r="AC5977" t="s">
        <v>43</v>
      </c>
      <c r="AD5977" t="s">
        <v>43</v>
      </c>
      <c r="AE5977" t="s">
        <v>43</v>
      </c>
      <c r="AF5977" t="s">
        <v>43</v>
      </c>
      <c r="AG5977" t="s">
        <v>43</v>
      </c>
      <c r="AH5977" t="s">
        <v>43</v>
      </c>
      <c r="AI5977" t="s">
        <v>43</v>
      </c>
      <c r="AJ5977" t="s">
        <v>43</v>
      </c>
      <c r="AK5977" t="s">
        <v>43</v>
      </c>
      <c r="AL5977" t="s">
        <v>43</v>
      </c>
      <c r="AM5977" t="s">
        <v>43</v>
      </c>
      <c r="AN5977" t="str">
        <f>HYPERLINK("https://www.google.com/maps?q=10.83317375,79.84611511","Open Location")</f>
        <v>Open Location</v>
      </c>
    </row>
    <row r="5978" spans="1:40" x14ac:dyDescent="0.3">
      <c r="A5978" s="1">
        <v>46210.30740740741</v>
      </c>
      <c r="B5978" t="s">
        <v>40</v>
      </c>
      <c r="C5978" t="s">
        <v>41</v>
      </c>
      <c r="D5978" s="1">
        <v>46210.310486111113</v>
      </c>
      <c r="E5978" t="s">
        <v>42</v>
      </c>
      <c r="F5978" t="s">
        <v>43</v>
      </c>
      <c r="G5978" t="s">
        <v>43</v>
      </c>
      <c r="H5978" t="s">
        <v>43</v>
      </c>
      <c r="I5978" t="s">
        <v>43</v>
      </c>
      <c r="J5978" t="s">
        <v>43</v>
      </c>
      <c r="K5978" t="s">
        <v>43</v>
      </c>
      <c r="L5978" t="s">
        <v>43</v>
      </c>
      <c r="M5978" t="s">
        <v>43</v>
      </c>
      <c r="N5978" t="s">
        <v>45</v>
      </c>
      <c r="O5978" t="s">
        <v>43</v>
      </c>
      <c r="P5978" t="s">
        <v>43</v>
      </c>
      <c r="Q5978" t="s">
        <v>43</v>
      </c>
      <c r="R5978" t="s">
        <v>43</v>
      </c>
      <c r="S5978" t="s">
        <v>43</v>
      </c>
      <c r="T5978" t="s">
        <v>43</v>
      </c>
      <c r="U5978" t="s">
        <v>43</v>
      </c>
      <c r="V5978" t="s">
        <v>43</v>
      </c>
      <c r="W5978" t="s">
        <v>43</v>
      </c>
      <c r="X5978" t="s">
        <v>43</v>
      </c>
      <c r="Y5978" t="s">
        <v>43</v>
      </c>
      <c r="Z5978" t="s">
        <v>43</v>
      </c>
      <c r="AA5978" t="s">
        <v>43</v>
      </c>
      <c r="AB5978" t="s">
        <v>43</v>
      </c>
      <c r="AC5978" t="s">
        <v>43</v>
      </c>
      <c r="AD5978" t="s">
        <v>43</v>
      </c>
      <c r="AE5978" t="s">
        <v>43</v>
      </c>
      <c r="AF5978" t="s">
        <v>43</v>
      </c>
      <c r="AG5978" t="s">
        <v>43</v>
      </c>
      <c r="AH5978" t="s">
        <v>43</v>
      </c>
      <c r="AI5978" t="s">
        <v>43</v>
      </c>
      <c r="AJ5978" t="s">
        <v>43</v>
      </c>
      <c r="AK5978" t="s">
        <v>43</v>
      </c>
      <c r="AL5978" t="s">
        <v>43</v>
      </c>
      <c r="AM5978" t="s">
        <v>43</v>
      </c>
      <c r="AN5978" t="s">
        <v>43</v>
      </c>
    </row>
    <row r="5979" spans="1:40" x14ac:dyDescent="0.3">
      <c r="A5979" s="1">
        <v>46210.307291666664</v>
      </c>
      <c r="B5979" t="s">
        <v>40</v>
      </c>
      <c r="C5979" t="s">
        <v>41</v>
      </c>
      <c r="D5979" s="1">
        <v>46210.310069444444</v>
      </c>
      <c r="E5979" t="s">
        <v>42</v>
      </c>
      <c r="F5979" t="s">
        <v>43</v>
      </c>
      <c r="G5979" t="s">
        <v>43</v>
      </c>
      <c r="H5979" t="s">
        <v>43</v>
      </c>
      <c r="I5979" t="s">
        <v>3373</v>
      </c>
      <c r="J5979" t="s">
        <v>43</v>
      </c>
      <c r="K5979" t="s">
        <v>43</v>
      </c>
      <c r="L5979" t="s">
        <v>43</v>
      </c>
      <c r="M5979" t="s">
        <v>43</v>
      </c>
      <c r="N5979" t="s">
        <v>45</v>
      </c>
      <c r="O5979" t="s">
        <v>43</v>
      </c>
      <c r="P5979" t="s">
        <v>43</v>
      </c>
      <c r="Q5979" t="s">
        <v>43</v>
      </c>
      <c r="R5979" t="s">
        <v>43</v>
      </c>
      <c r="S5979" t="s">
        <v>43</v>
      </c>
      <c r="T5979" t="s">
        <v>43</v>
      </c>
      <c r="U5979" t="s">
        <v>43</v>
      </c>
      <c r="V5979" t="s">
        <v>43</v>
      </c>
      <c r="W5979" t="s">
        <v>43</v>
      </c>
      <c r="X5979" t="s">
        <v>43</v>
      </c>
      <c r="Y5979" t="s">
        <v>43</v>
      </c>
      <c r="Z5979" t="s">
        <v>43</v>
      </c>
      <c r="AA5979" t="s">
        <v>43</v>
      </c>
      <c r="AB5979" t="s">
        <v>43</v>
      </c>
      <c r="AC5979" t="s">
        <v>43</v>
      </c>
      <c r="AD5979" t="s">
        <v>43</v>
      </c>
      <c r="AE5979" t="s">
        <v>43</v>
      </c>
      <c r="AF5979" t="s">
        <v>43</v>
      </c>
      <c r="AG5979" t="s">
        <v>43</v>
      </c>
      <c r="AH5979" t="s">
        <v>43</v>
      </c>
      <c r="AI5979" t="s">
        <v>43</v>
      </c>
      <c r="AJ5979" t="s">
        <v>43</v>
      </c>
      <c r="AK5979" t="s">
        <v>43</v>
      </c>
      <c r="AL5979" t="s">
        <v>43</v>
      </c>
      <c r="AM5979" t="s">
        <v>43</v>
      </c>
      <c r="AN5979" t="str">
        <f>HYPERLINK("https://www.google.com/maps?q=10.83317184,79.84612274","Open Location")</f>
        <v>Open Location</v>
      </c>
    </row>
    <row r="5980" spans="1:40" x14ac:dyDescent="0.3">
      <c r="A5980" s="1">
        <v>46210.307175925926</v>
      </c>
      <c r="B5980" t="s">
        <v>40</v>
      </c>
      <c r="C5980" t="s">
        <v>41</v>
      </c>
      <c r="D5980" s="1">
        <v>46210.310289351852</v>
      </c>
      <c r="E5980" t="s">
        <v>42</v>
      </c>
      <c r="F5980" t="s">
        <v>43</v>
      </c>
      <c r="G5980" t="s">
        <v>43</v>
      </c>
      <c r="H5980" t="s">
        <v>43</v>
      </c>
      <c r="I5980" t="s">
        <v>3341</v>
      </c>
      <c r="J5980" t="s">
        <v>43</v>
      </c>
      <c r="K5980" t="s">
        <v>43</v>
      </c>
      <c r="L5980" t="s">
        <v>43</v>
      </c>
      <c r="M5980" t="s">
        <v>43</v>
      </c>
      <c r="N5980" t="s">
        <v>45</v>
      </c>
      <c r="O5980" t="s">
        <v>43</v>
      </c>
      <c r="P5980" t="s">
        <v>43</v>
      </c>
      <c r="Q5980" t="s">
        <v>43</v>
      </c>
      <c r="R5980" t="s">
        <v>43</v>
      </c>
      <c r="S5980" t="s">
        <v>43</v>
      </c>
      <c r="T5980" t="s">
        <v>43</v>
      </c>
      <c r="U5980" t="s">
        <v>43</v>
      </c>
      <c r="V5980" t="s">
        <v>43</v>
      </c>
      <c r="W5980" t="s">
        <v>43</v>
      </c>
      <c r="X5980" t="s">
        <v>43</v>
      </c>
      <c r="Y5980" t="s">
        <v>43</v>
      </c>
      <c r="Z5980" t="s">
        <v>43</v>
      </c>
      <c r="AA5980" t="s">
        <v>43</v>
      </c>
      <c r="AB5980" t="s">
        <v>43</v>
      </c>
      <c r="AC5980" t="s">
        <v>43</v>
      </c>
      <c r="AD5980" t="s">
        <v>43</v>
      </c>
      <c r="AE5980" t="s">
        <v>43</v>
      </c>
      <c r="AF5980" t="s">
        <v>43</v>
      </c>
      <c r="AG5980" t="s">
        <v>43</v>
      </c>
      <c r="AH5980" t="s">
        <v>43</v>
      </c>
      <c r="AI5980" t="s">
        <v>43</v>
      </c>
      <c r="AJ5980" t="s">
        <v>43</v>
      </c>
      <c r="AK5980" t="s">
        <v>43</v>
      </c>
      <c r="AL5980" t="s">
        <v>43</v>
      </c>
      <c r="AM5980" t="s">
        <v>43</v>
      </c>
      <c r="AN5980" t="str">
        <f>HYPERLINK("https://www.google.com/maps?q=10.83316708,79.84613037","Open Location")</f>
        <v>Open Location</v>
      </c>
    </row>
    <row r="5981" spans="1:40" x14ac:dyDescent="0.3">
      <c r="A5981" s="1">
        <v>46210.307060185187</v>
      </c>
      <c r="B5981" t="s">
        <v>40</v>
      </c>
      <c r="C5981" t="s">
        <v>41</v>
      </c>
      <c r="D5981" s="1">
        <v>46210.309849537036</v>
      </c>
      <c r="E5981" t="s">
        <v>42</v>
      </c>
      <c r="F5981" t="s">
        <v>43</v>
      </c>
      <c r="G5981" t="s">
        <v>43</v>
      </c>
      <c r="H5981" t="s">
        <v>43</v>
      </c>
      <c r="I5981" t="s">
        <v>3374</v>
      </c>
      <c r="J5981" t="s">
        <v>43</v>
      </c>
      <c r="K5981" t="s">
        <v>43</v>
      </c>
      <c r="L5981" t="s">
        <v>43</v>
      </c>
      <c r="M5981" t="s">
        <v>43</v>
      </c>
      <c r="N5981" t="s">
        <v>45</v>
      </c>
      <c r="O5981" t="s">
        <v>43</v>
      </c>
      <c r="P5981" t="s">
        <v>43</v>
      </c>
      <c r="Q5981" t="s">
        <v>43</v>
      </c>
      <c r="R5981" t="s">
        <v>43</v>
      </c>
      <c r="S5981" t="s">
        <v>43</v>
      </c>
      <c r="T5981" t="s">
        <v>43</v>
      </c>
      <c r="U5981" t="s">
        <v>43</v>
      </c>
      <c r="V5981" t="s">
        <v>43</v>
      </c>
      <c r="W5981" t="s">
        <v>43</v>
      </c>
      <c r="X5981" t="s">
        <v>43</v>
      </c>
      <c r="Y5981" t="s">
        <v>43</v>
      </c>
      <c r="Z5981" t="s">
        <v>43</v>
      </c>
      <c r="AA5981" t="s">
        <v>43</v>
      </c>
      <c r="AB5981" t="s">
        <v>43</v>
      </c>
      <c r="AC5981" t="s">
        <v>43</v>
      </c>
      <c r="AD5981" t="s">
        <v>43</v>
      </c>
      <c r="AE5981" t="s">
        <v>43</v>
      </c>
      <c r="AF5981" t="s">
        <v>43</v>
      </c>
      <c r="AG5981" t="s">
        <v>43</v>
      </c>
      <c r="AH5981" t="s">
        <v>43</v>
      </c>
      <c r="AI5981" t="s">
        <v>43</v>
      </c>
      <c r="AJ5981" t="s">
        <v>43</v>
      </c>
      <c r="AK5981" t="s">
        <v>43</v>
      </c>
      <c r="AL5981" t="s">
        <v>43</v>
      </c>
      <c r="AM5981" t="s">
        <v>43</v>
      </c>
      <c r="AN5981" t="str">
        <f>HYPERLINK("https://www.google.com/maps?q=10.83316422,79.84613037","Open Location")</f>
        <v>Open Location</v>
      </c>
    </row>
    <row r="5982" spans="1:40" x14ac:dyDescent="0.3">
      <c r="A5982" s="1">
        <v>46210.306944444441</v>
      </c>
      <c r="B5982" t="s">
        <v>40</v>
      </c>
      <c r="C5982" t="s">
        <v>41</v>
      </c>
      <c r="D5982" s="1">
        <v>46210.310081018521</v>
      </c>
      <c r="E5982" t="s">
        <v>42</v>
      </c>
      <c r="F5982" t="s">
        <v>43</v>
      </c>
      <c r="G5982" t="s">
        <v>43</v>
      </c>
      <c r="H5982" t="s">
        <v>43</v>
      </c>
      <c r="I5982" t="s">
        <v>3375</v>
      </c>
      <c r="J5982" t="s">
        <v>43</v>
      </c>
      <c r="K5982" t="s">
        <v>43</v>
      </c>
      <c r="L5982" t="s">
        <v>43</v>
      </c>
      <c r="M5982" t="s">
        <v>43</v>
      </c>
      <c r="N5982" t="s">
        <v>45</v>
      </c>
      <c r="O5982" t="s">
        <v>43</v>
      </c>
      <c r="P5982" t="s">
        <v>43</v>
      </c>
      <c r="Q5982" t="s">
        <v>43</v>
      </c>
      <c r="R5982" t="s">
        <v>43</v>
      </c>
      <c r="S5982" t="s">
        <v>43</v>
      </c>
      <c r="T5982" t="s">
        <v>43</v>
      </c>
      <c r="U5982" t="s">
        <v>43</v>
      </c>
      <c r="V5982" t="s">
        <v>43</v>
      </c>
      <c r="W5982" t="s">
        <v>43</v>
      </c>
      <c r="X5982" t="s">
        <v>43</v>
      </c>
      <c r="Y5982" t="s">
        <v>43</v>
      </c>
      <c r="Z5982" t="s">
        <v>43</v>
      </c>
      <c r="AA5982" t="s">
        <v>43</v>
      </c>
      <c r="AB5982" t="s">
        <v>43</v>
      </c>
      <c r="AC5982" t="s">
        <v>43</v>
      </c>
      <c r="AD5982" t="s">
        <v>43</v>
      </c>
      <c r="AE5982" t="s">
        <v>43</v>
      </c>
      <c r="AF5982" t="s">
        <v>43</v>
      </c>
      <c r="AG5982" t="s">
        <v>43</v>
      </c>
      <c r="AH5982" t="s">
        <v>43</v>
      </c>
      <c r="AI5982" t="s">
        <v>43</v>
      </c>
      <c r="AJ5982" t="s">
        <v>43</v>
      </c>
      <c r="AK5982" t="s">
        <v>43</v>
      </c>
      <c r="AL5982" t="s">
        <v>43</v>
      </c>
      <c r="AM5982" t="s">
        <v>43</v>
      </c>
      <c r="AN5982" t="str">
        <f>HYPERLINK("https://www.google.com/maps?q=10.83316135,79.84613037","Open Location")</f>
        <v>Open Location</v>
      </c>
    </row>
    <row r="5983" spans="1:40" x14ac:dyDescent="0.3">
      <c r="A5983" s="1">
        <v>46210.306828703702</v>
      </c>
      <c r="B5983" t="s">
        <v>40</v>
      </c>
      <c r="C5983" t="s">
        <v>41</v>
      </c>
      <c r="D5983" s="1">
        <v>46210.309861111113</v>
      </c>
      <c r="E5983" t="s">
        <v>42</v>
      </c>
      <c r="F5983" t="s">
        <v>43</v>
      </c>
      <c r="G5983" t="s">
        <v>43</v>
      </c>
      <c r="H5983" t="s">
        <v>43</v>
      </c>
      <c r="I5983" t="s">
        <v>43</v>
      </c>
      <c r="J5983" t="s">
        <v>43</v>
      </c>
      <c r="K5983" t="s">
        <v>43</v>
      </c>
      <c r="L5983" t="s">
        <v>43</v>
      </c>
      <c r="M5983" t="s">
        <v>43</v>
      </c>
      <c r="N5983" t="s">
        <v>45</v>
      </c>
      <c r="O5983" t="s">
        <v>43</v>
      </c>
      <c r="P5983" t="s">
        <v>43</v>
      </c>
      <c r="Q5983" t="s">
        <v>43</v>
      </c>
      <c r="R5983" t="s">
        <v>43</v>
      </c>
      <c r="S5983" t="s">
        <v>43</v>
      </c>
      <c r="T5983" t="s">
        <v>43</v>
      </c>
      <c r="U5983" t="s">
        <v>43</v>
      </c>
      <c r="V5983" t="s">
        <v>43</v>
      </c>
      <c r="W5983" t="s">
        <v>43</v>
      </c>
      <c r="X5983" t="s">
        <v>43</v>
      </c>
      <c r="Y5983" t="s">
        <v>43</v>
      </c>
      <c r="Z5983" t="s">
        <v>43</v>
      </c>
      <c r="AA5983" t="s">
        <v>43</v>
      </c>
      <c r="AB5983" t="s">
        <v>43</v>
      </c>
      <c r="AC5983" t="s">
        <v>43</v>
      </c>
      <c r="AD5983" t="s">
        <v>43</v>
      </c>
      <c r="AE5983" t="s">
        <v>43</v>
      </c>
      <c r="AF5983" t="s">
        <v>43</v>
      </c>
      <c r="AG5983" t="s">
        <v>43</v>
      </c>
      <c r="AH5983" t="s">
        <v>43</v>
      </c>
      <c r="AI5983" t="s">
        <v>43</v>
      </c>
      <c r="AJ5983" t="s">
        <v>43</v>
      </c>
      <c r="AK5983" t="s">
        <v>43</v>
      </c>
      <c r="AL5983" t="s">
        <v>43</v>
      </c>
      <c r="AM5983" t="s">
        <v>43</v>
      </c>
      <c r="AN5983" t="s">
        <v>43</v>
      </c>
    </row>
    <row r="5984" spans="1:40" x14ac:dyDescent="0.3">
      <c r="A5984" s="1">
        <v>46210.306712962964</v>
      </c>
      <c r="B5984" t="s">
        <v>40</v>
      </c>
      <c r="C5984" t="s">
        <v>41</v>
      </c>
      <c r="D5984" s="1">
        <v>46210.30972222222</v>
      </c>
      <c r="E5984" t="s">
        <v>42</v>
      </c>
      <c r="F5984" t="s">
        <v>43</v>
      </c>
      <c r="G5984" t="s">
        <v>43</v>
      </c>
      <c r="H5984" t="s">
        <v>43</v>
      </c>
      <c r="I5984" t="s">
        <v>3376</v>
      </c>
      <c r="J5984" t="s">
        <v>43</v>
      </c>
      <c r="K5984" t="s">
        <v>43</v>
      </c>
      <c r="L5984" t="s">
        <v>43</v>
      </c>
      <c r="M5984" t="s">
        <v>43</v>
      </c>
      <c r="N5984" t="s">
        <v>45</v>
      </c>
      <c r="O5984" t="s">
        <v>43</v>
      </c>
      <c r="P5984" t="s">
        <v>43</v>
      </c>
      <c r="Q5984" t="s">
        <v>43</v>
      </c>
      <c r="R5984" t="s">
        <v>43</v>
      </c>
      <c r="S5984">
        <v>0</v>
      </c>
      <c r="T5984">
        <v>-40</v>
      </c>
      <c r="U5984">
        <v>47</v>
      </c>
      <c r="V5984">
        <v>0</v>
      </c>
      <c r="W5984" t="s">
        <v>43</v>
      </c>
      <c r="X5984" t="s">
        <v>43</v>
      </c>
      <c r="Y5984" t="s">
        <v>43</v>
      </c>
      <c r="Z5984" t="s">
        <v>43</v>
      </c>
      <c r="AA5984" t="s">
        <v>43</v>
      </c>
      <c r="AB5984" t="s">
        <v>43</v>
      </c>
      <c r="AC5984" t="s">
        <v>43</v>
      </c>
      <c r="AD5984" t="s">
        <v>43</v>
      </c>
      <c r="AE5984" t="s">
        <v>43</v>
      </c>
      <c r="AF5984" t="s">
        <v>43</v>
      </c>
      <c r="AG5984" t="s">
        <v>43</v>
      </c>
      <c r="AH5984" t="s">
        <v>43</v>
      </c>
      <c r="AI5984" t="s">
        <v>43</v>
      </c>
      <c r="AJ5984" t="s">
        <v>43</v>
      </c>
      <c r="AK5984" t="s">
        <v>43</v>
      </c>
      <c r="AL5984" t="s">
        <v>43</v>
      </c>
      <c r="AM5984" t="s">
        <v>43</v>
      </c>
      <c r="AN5984" t="str">
        <f>HYPERLINK("https://www.google.com/maps?q=10.8331604,79.846138","Open Location")</f>
        <v>Open Location</v>
      </c>
    </row>
    <row r="5985" spans="1:40" x14ac:dyDescent="0.3">
      <c r="A5985" s="1">
        <v>46210.306597222225</v>
      </c>
      <c r="B5985" t="s">
        <v>40</v>
      </c>
      <c r="C5985" t="s">
        <v>41</v>
      </c>
      <c r="D5985" s="1">
        <v>46210.309363425928</v>
      </c>
      <c r="E5985" t="s">
        <v>42</v>
      </c>
      <c r="F5985" t="s">
        <v>43</v>
      </c>
      <c r="G5985" t="s">
        <v>43</v>
      </c>
      <c r="H5985" t="s">
        <v>43</v>
      </c>
      <c r="I5985" t="s">
        <v>3377</v>
      </c>
      <c r="J5985" t="s">
        <v>43</v>
      </c>
      <c r="K5985" t="s">
        <v>43</v>
      </c>
      <c r="L5985" t="s">
        <v>43</v>
      </c>
      <c r="M5985" t="s">
        <v>43</v>
      </c>
      <c r="N5985" t="s">
        <v>45</v>
      </c>
      <c r="O5985" t="s">
        <v>43</v>
      </c>
      <c r="P5985" t="s">
        <v>43</v>
      </c>
      <c r="Q5985" t="s">
        <v>43</v>
      </c>
      <c r="R5985" t="s">
        <v>43</v>
      </c>
      <c r="S5985">
        <v>0</v>
      </c>
      <c r="T5985">
        <v>-40</v>
      </c>
      <c r="U5985">
        <v>47</v>
      </c>
      <c r="V5985">
        <v>0</v>
      </c>
      <c r="W5985" t="s">
        <v>43</v>
      </c>
      <c r="X5985" t="s">
        <v>43</v>
      </c>
      <c r="Y5985" t="s">
        <v>43</v>
      </c>
      <c r="Z5985" t="s">
        <v>43</v>
      </c>
      <c r="AA5985" t="s">
        <v>43</v>
      </c>
      <c r="AB5985" t="s">
        <v>43</v>
      </c>
      <c r="AC5985" t="s">
        <v>43</v>
      </c>
      <c r="AD5985" t="s">
        <v>43</v>
      </c>
      <c r="AE5985" t="s">
        <v>43</v>
      </c>
      <c r="AF5985" t="s">
        <v>43</v>
      </c>
      <c r="AG5985" t="s">
        <v>43</v>
      </c>
      <c r="AH5985" t="s">
        <v>43</v>
      </c>
      <c r="AI5985" t="s">
        <v>43</v>
      </c>
      <c r="AJ5985" t="s">
        <v>43</v>
      </c>
      <c r="AK5985" t="s">
        <v>43</v>
      </c>
      <c r="AL5985" t="s">
        <v>43</v>
      </c>
      <c r="AM5985" t="s">
        <v>43</v>
      </c>
      <c r="AN5985" t="str">
        <f>HYPERLINK("https://www.google.com/maps?q=10.83315659,79.846138","Open Location")</f>
        <v>Open Location</v>
      </c>
    </row>
    <row r="5986" spans="1:40" x14ac:dyDescent="0.3">
      <c r="A5986" s="1">
        <v>46210.306481481479</v>
      </c>
      <c r="B5986" t="s">
        <v>40</v>
      </c>
      <c r="C5986" t="s">
        <v>41</v>
      </c>
      <c r="D5986" s="1">
        <v>46210.309328703705</v>
      </c>
      <c r="E5986" t="s">
        <v>42</v>
      </c>
      <c r="F5986" t="s">
        <v>43</v>
      </c>
      <c r="G5986" t="s">
        <v>43</v>
      </c>
      <c r="H5986" t="s">
        <v>43</v>
      </c>
      <c r="I5986" t="s">
        <v>3350</v>
      </c>
      <c r="J5986" t="s">
        <v>43</v>
      </c>
      <c r="K5986" t="s">
        <v>43</v>
      </c>
      <c r="L5986" t="s">
        <v>43</v>
      </c>
      <c r="M5986" t="s">
        <v>43</v>
      </c>
      <c r="N5986" t="s">
        <v>45</v>
      </c>
      <c r="O5986" t="s">
        <v>43</v>
      </c>
      <c r="P5986" t="s">
        <v>43</v>
      </c>
      <c r="Q5986" t="s">
        <v>43</v>
      </c>
      <c r="R5986" t="s">
        <v>43</v>
      </c>
      <c r="S5986">
        <v>0</v>
      </c>
      <c r="T5986">
        <v>-40</v>
      </c>
      <c r="U5986">
        <v>47</v>
      </c>
      <c r="V5986">
        <v>0</v>
      </c>
      <c r="W5986" t="s">
        <v>43</v>
      </c>
      <c r="X5986" t="s">
        <v>43</v>
      </c>
      <c r="Y5986" t="s">
        <v>43</v>
      </c>
      <c r="Z5986" t="s">
        <v>43</v>
      </c>
      <c r="AA5986" t="s">
        <v>43</v>
      </c>
      <c r="AB5986" t="s">
        <v>43</v>
      </c>
      <c r="AC5986" t="s">
        <v>43</v>
      </c>
      <c r="AD5986" t="s">
        <v>43</v>
      </c>
      <c r="AE5986" t="s">
        <v>43</v>
      </c>
      <c r="AF5986" t="s">
        <v>43</v>
      </c>
      <c r="AG5986" t="s">
        <v>43</v>
      </c>
      <c r="AH5986" t="s">
        <v>43</v>
      </c>
      <c r="AI5986" t="s">
        <v>43</v>
      </c>
      <c r="AJ5986" t="s">
        <v>43</v>
      </c>
      <c r="AK5986" t="s">
        <v>43</v>
      </c>
      <c r="AL5986" t="s">
        <v>43</v>
      </c>
      <c r="AM5986" t="s">
        <v>43</v>
      </c>
      <c r="AN5986" t="str">
        <f>HYPERLINK("https://www.google.com/maps?q=10.83314705,79.846138","Open Location")</f>
        <v>Open Location</v>
      </c>
    </row>
    <row r="5987" spans="1:40" x14ac:dyDescent="0.3">
      <c r="A5987" s="1">
        <v>46210.30636574074</v>
      </c>
      <c r="B5987" t="s">
        <v>40</v>
      </c>
      <c r="C5987" t="s">
        <v>41</v>
      </c>
      <c r="D5987" s="1">
        <v>46210.309351851851</v>
      </c>
      <c r="E5987" t="s">
        <v>42</v>
      </c>
      <c r="F5987" t="s">
        <v>43</v>
      </c>
      <c r="G5987" t="s">
        <v>43</v>
      </c>
      <c r="H5987" t="s">
        <v>43</v>
      </c>
      <c r="I5987" t="s">
        <v>3378</v>
      </c>
      <c r="J5987" t="s">
        <v>43</v>
      </c>
      <c r="K5987" t="s">
        <v>43</v>
      </c>
      <c r="L5987" t="s">
        <v>43</v>
      </c>
      <c r="M5987" t="s">
        <v>43</v>
      </c>
      <c r="N5987" t="s">
        <v>45</v>
      </c>
      <c r="O5987" t="s">
        <v>43</v>
      </c>
      <c r="P5987" t="s">
        <v>43</v>
      </c>
      <c r="Q5987" t="s">
        <v>43</v>
      </c>
      <c r="R5987" t="s">
        <v>43</v>
      </c>
      <c r="S5987">
        <v>0</v>
      </c>
      <c r="T5987">
        <v>-40</v>
      </c>
      <c r="U5987">
        <v>47</v>
      </c>
      <c r="V5987">
        <v>0</v>
      </c>
      <c r="W5987" t="s">
        <v>43</v>
      </c>
      <c r="X5987" t="s">
        <v>43</v>
      </c>
      <c r="Y5987" t="s">
        <v>43</v>
      </c>
      <c r="Z5987" t="s">
        <v>43</v>
      </c>
      <c r="AA5987" t="s">
        <v>43</v>
      </c>
      <c r="AB5987" t="s">
        <v>43</v>
      </c>
      <c r="AC5987" t="s">
        <v>43</v>
      </c>
      <c r="AD5987" t="s">
        <v>43</v>
      </c>
      <c r="AE5987" t="s">
        <v>43</v>
      </c>
      <c r="AF5987" t="s">
        <v>43</v>
      </c>
      <c r="AG5987" t="s">
        <v>43</v>
      </c>
      <c r="AH5987" t="s">
        <v>43</v>
      </c>
      <c r="AI5987" t="s">
        <v>43</v>
      </c>
      <c r="AJ5987" t="s">
        <v>43</v>
      </c>
      <c r="AK5987" t="s">
        <v>43</v>
      </c>
      <c r="AL5987" t="s">
        <v>43</v>
      </c>
      <c r="AM5987" t="s">
        <v>43</v>
      </c>
      <c r="AN5987" t="str">
        <f>HYPERLINK("https://www.google.com/maps?q=10.833148,79.846138","Open Location")</f>
        <v>Open Location</v>
      </c>
    </row>
    <row r="5988" spans="1:40" x14ac:dyDescent="0.3">
      <c r="A5988" s="1">
        <v>46210.306250000001</v>
      </c>
      <c r="B5988" t="s">
        <v>40</v>
      </c>
      <c r="C5988" t="s">
        <v>41</v>
      </c>
      <c r="D5988" s="1">
        <v>46210.309120370373</v>
      </c>
      <c r="E5988" t="s">
        <v>42</v>
      </c>
      <c r="F5988" t="s">
        <v>43</v>
      </c>
      <c r="G5988" t="s">
        <v>43</v>
      </c>
      <c r="H5988" t="s">
        <v>43</v>
      </c>
      <c r="I5988" t="s">
        <v>3351</v>
      </c>
      <c r="J5988" t="s">
        <v>43</v>
      </c>
      <c r="K5988" t="s">
        <v>43</v>
      </c>
      <c r="L5988" t="s">
        <v>43</v>
      </c>
      <c r="M5988" t="s">
        <v>43</v>
      </c>
      <c r="N5988" t="s">
        <v>45</v>
      </c>
      <c r="O5988" t="s">
        <v>43</v>
      </c>
      <c r="P5988" t="s">
        <v>43</v>
      </c>
      <c r="Q5988" t="s">
        <v>43</v>
      </c>
      <c r="R5988" t="s">
        <v>43</v>
      </c>
      <c r="S5988">
        <v>0</v>
      </c>
      <c r="T5988">
        <v>-40</v>
      </c>
      <c r="U5988">
        <v>47</v>
      </c>
      <c r="V5988">
        <v>0</v>
      </c>
      <c r="W5988" t="s">
        <v>43</v>
      </c>
      <c r="X5988" t="s">
        <v>43</v>
      </c>
      <c r="Y5988" t="s">
        <v>43</v>
      </c>
      <c r="Z5988" t="s">
        <v>43</v>
      </c>
      <c r="AA5988" t="s">
        <v>43</v>
      </c>
      <c r="AB5988" t="s">
        <v>43</v>
      </c>
      <c r="AC5988" t="s">
        <v>43</v>
      </c>
      <c r="AD5988" t="s">
        <v>43</v>
      </c>
      <c r="AE5988" t="s">
        <v>43</v>
      </c>
      <c r="AF5988" t="s">
        <v>43</v>
      </c>
      <c r="AG5988" t="s">
        <v>43</v>
      </c>
      <c r="AH5988" t="s">
        <v>43</v>
      </c>
      <c r="AI5988" t="s">
        <v>43</v>
      </c>
      <c r="AJ5988" t="s">
        <v>43</v>
      </c>
      <c r="AK5988" t="s">
        <v>43</v>
      </c>
      <c r="AL5988" t="s">
        <v>43</v>
      </c>
      <c r="AM5988" t="s">
        <v>43</v>
      </c>
      <c r="AN5988" t="str">
        <f>HYPERLINK("https://www.google.com/maps?q=10.833148,79.84613037","Open Location")</f>
        <v>Open Location</v>
      </c>
    </row>
    <row r="5989" spans="1:40" x14ac:dyDescent="0.3">
      <c r="A5989" s="1">
        <v>46210.306134259263</v>
      </c>
      <c r="B5989" t="s">
        <v>40</v>
      </c>
      <c r="C5989" t="s">
        <v>41</v>
      </c>
      <c r="D5989" s="1">
        <v>46210.309120370373</v>
      </c>
      <c r="E5989" t="s">
        <v>42</v>
      </c>
      <c r="F5989" t="s">
        <v>43</v>
      </c>
      <c r="G5989" t="s">
        <v>43</v>
      </c>
      <c r="H5989" t="s">
        <v>43</v>
      </c>
      <c r="I5989" t="s">
        <v>43</v>
      </c>
      <c r="J5989" t="s">
        <v>43</v>
      </c>
      <c r="K5989" t="s">
        <v>43</v>
      </c>
      <c r="L5989" t="s">
        <v>43</v>
      </c>
      <c r="M5989" t="s">
        <v>43</v>
      </c>
      <c r="N5989" t="s">
        <v>45</v>
      </c>
      <c r="O5989" t="s">
        <v>43</v>
      </c>
      <c r="P5989" t="s">
        <v>43</v>
      </c>
      <c r="Q5989" t="s">
        <v>43</v>
      </c>
      <c r="R5989" t="s">
        <v>43</v>
      </c>
      <c r="S5989">
        <v>0</v>
      </c>
      <c r="T5989">
        <v>-40</v>
      </c>
      <c r="U5989">
        <v>48</v>
      </c>
      <c r="V5989">
        <v>0</v>
      </c>
      <c r="W5989" t="s">
        <v>43</v>
      </c>
      <c r="X5989" t="s">
        <v>43</v>
      </c>
      <c r="Y5989" t="s">
        <v>43</v>
      </c>
      <c r="Z5989" t="s">
        <v>43</v>
      </c>
      <c r="AA5989" t="s">
        <v>43</v>
      </c>
      <c r="AB5989" t="s">
        <v>43</v>
      </c>
      <c r="AC5989" t="s">
        <v>43</v>
      </c>
      <c r="AD5989" t="s">
        <v>43</v>
      </c>
      <c r="AE5989" t="s">
        <v>43</v>
      </c>
      <c r="AF5989" t="s">
        <v>43</v>
      </c>
      <c r="AG5989" t="s">
        <v>43</v>
      </c>
      <c r="AH5989" t="s">
        <v>43</v>
      </c>
      <c r="AI5989" t="s">
        <v>43</v>
      </c>
      <c r="AJ5989" t="s">
        <v>43</v>
      </c>
      <c r="AK5989" t="s">
        <v>43</v>
      </c>
      <c r="AL5989" t="s">
        <v>43</v>
      </c>
      <c r="AM5989" t="s">
        <v>43</v>
      </c>
      <c r="AN5989" t="s">
        <v>43</v>
      </c>
    </row>
    <row r="5990" spans="1:40" x14ac:dyDescent="0.3">
      <c r="A5990" s="1">
        <v>46210.306018518517</v>
      </c>
      <c r="B5990" t="s">
        <v>40</v>
      </c>
      <c r="C5990" t="s">
        <v>41</v>
      </c>
      <c r="D5990" s="1">
        <v>46210.308958333335</v>
      </c>
      <c r="E5990" t="s">
        <v>42</v>
      </c>
      <c r="F5990" t="s">
        <v>43</v>
      </c>
      <c r="G5990" t="s">
        <v>43</v>
      </c>
      <c r="H5990" t="s">
        <v>43</v>
      </c>
      <c r="I5990" t="s">
        <v>3379</v>
      </c>
      <c r="J5990" t="s">
        <v>43</v>
      </c>
      <c r="K5990" t="s">
        <v>43</v>
      </c>
      <c r="L5990" t="s">
        <v>43</v>
      </c>
      <c r="M5990" t="s">
        <v>43</v>
      </c>
      <c r="N5990" t="s">
        <v>45</v>
      </c>
      <c r="O5990" t="s">
        <v>43</v>
      </c>
      <c r="P5990" t="s">
        <v>43</v>
      </c>
      <c r="Q5990" t="s">
        <v>43</v>
      </c>
      <c r="R5990" t="s">
        <v>43</v>
      </c>
      <c r="S5990">
        <v>0</v>
      </c>
      <c r="T5990">
        <v>-40</v>
      </c>
      <c r="U5990">
        <v>48</v>
      </c>
      <c r="V5990">
        <v>0</v>
      </c>
      <c r="W5990" t="s">
        <v>43</v>
      </c>
      <c r="X5990" t="s">
        <v>43</v>
      </c>
      <c r="Y5990" t="s">
        <v>43</v>
      </c>
      <c r="Z5990" t="s">
        <v>43</v>
      </c>
      <c r="AA5990" t="s">
        <v>43</v>
      </c>
      <c r="AB5990" t="s">
        <v>43</v>
      </c>
      <c r="AC5990" t="s">
        <v>43</v>
      </c>
      <c r="AD5990" t="s">
        <v>43</v>
      </c>
      <c r="AE5990" t="s">
        <v>43</v>
      </c>
      <c r="AF5990" t="s">
        <v>43</v>
      </c>
      <c r="AG5990" t="s">
        <v>43</v>
      </c>
      <c r="AH5990" t="s">
        <v>43</v>
      </c>
      <c r="AI5990" t="s">
        <v>43</v>
      </c>
      <c r="AJ5990" t="s">
        <v>43</v>
      </c>
      <c r="AK5990" t="s">
        <v>43</v>
      </c>
      <c r="AL5990" t="s">
        <v>43</v>
      </c>
      <c r="AM5990" t="s">
        <v>43</v>
      </c>
      <c r="AN5990" t="str">
        <f>HYPERLINK("https://www.google.com/maps?q=10.83315182,79.84613037","Open Location")</f>
        <v>Open Location</v>
      </c>
    </row>
    <row r="5991" spans="1:40" x14ac:dyDescent="0.3">
      <c r="A5991" s="1">
        <v>46210.305902777778</v>
      </c>
      <c r="B5991" t="s">
        <v>40</v>
      </c>
      <c r="C5991" t="s">
        <v>41</v>
      </c>
      <c r="D5991" s="1">
        <v>46210.308981481481</v>
      </c>
      <c r="E5991" t="s">
        <v>42</v>
      </c>
      <c r="F5991" t="s">
        <v>43</v>
      </c>
      <c r="G5991" t="s">
        <v>43</v>
      </c>
      <c r="H5991" t="s">
        <v>43</v>
      </c>
      <c r="I5991" t="s">
        <v>3380</v>
      </c>
      <c r="J5991" t="s">
        <v>43</v>
      </c>
      <c r="K5991" t="s">
        <v>43</v>
      </c>
      <c r="L5991" t="s">
        <v>43</v>
      </c>
      <c r="M5991" t="s">
        <v>43</v>
      </c>
      <c r="N5991" t="s">
        <v>45</v>
      </c>
      <c r="O5991" t="s">
        <v>43</v>
      </c>
      <c r="P5991" t="s">
        <v>43</v>
      </c>
      <c r="Q5991" t="s">
        <v>43</v>
      </c>
      <c r="R5991" t="s">
        <v>43</v>
      </c>
      <c r="S5991">
        <v>0</v>
      </c>
      <c r="T5991">
        <v>-40</v>
      </c>
      <c r="U5991">
        <v>48</v>
      </c>
      <c r="V5991">
        <v>0</v>
      </c>
      <c r="W5991" t="s">
        <v>43</v>
      </c>
      <c r="X5991" t="s">
        <v>43</v>
      </c>
      <c r="Y5991" t="s">
        <v>43</v>
      </c>
      <c r="Z5991" t="s">
        <v>43</v>
      </c>
      <c r="AA5991" t="s">
        <v>43</v>
      </c>
      <c r="AB5991" t="s">
        <v>43</v>
      </c>
      <c r="AC5991" t="s">
        <v>43</v>
      </c>
      <c r="AD5991" t="s">
        <v>43</v>
      </c>
      <c r="AE5991" t="s">
        <v>43</v>
      </c>
      <c r="AF5991" t="s">
        <v>43</v>
      </c>
      <c r="AG5991" t="s">
        <v>43</v>
      </c>
      <c r="AH5991" t="s">
        <v>43</v>
      </c>
      <c r="AI5991" t="s">
        <v>43</v>
      </c>
      <c r="AJ5991" t="s">
        <v>43</v>
      </c>
      <c r="AK5991" t="s">
        <v>43</v>
      </c>
      <c r="AL5991" t="s">
        <v>43</v>
      </c>
      <c r="AM5991" t="s">
        <v>43</v>
      </c>
      <c r="AN5991" t="str">
        <f>HYPERLINK("https://www.google.com/maps?q=10.83314228,79.84613037","Open Location")</f>
        <v>Open Location</v>
      </c>
    </row>
    <row r="5992" spans="1:40" x14ac:dyDescent="0.3">
      <c r="A5992" s="1">
        <v>46210.305787037039</v>
      </c>
      <c r="B5992" t="s">
        <v>40</v>
      </c>
      <c r="C5992" t="s">
        <v>41</v>
      </c>
      <c r="D5992" s="1">
        <v>46210.308761574073</v>
      </c>
      <c r="E5992" t="s">
        <v>42</v>
      </c>
      <c r="F5992" t="s">
        <v>43</v>
      </c>
      <c r="G5992">
        <v>0</v>
      </c>
      <c r="H5992" t="s">
        <v>43</v>
      </c>
      <c r="I5992" t="s">
        <v>3353</v>
      </c>
      <c r="J5992" t="s">
        <v>43</v>
      </c>
      <c r="K5992" t="s">
        <v>43</v>
      </c>
      <c r="L5992" t="s">
        <v>43</v>
      </c>
      <c r="M5992" t="s">
        <v>43</v>
      </c>
      <c r="N5992" t="s">
        <v>81</v>
      </c>
      <c r="O5992" t="s">
        <v>43</v>
      </c>
      <c r="P5992">
        <v>125</v>
      </c>
      <c r="Q5992" t="s">
        <v>43</v>
      </c>
      <c r="R5992">
        <v>0</v>
      </c>
      <c r="S5992">
        <v>0</v>
      </c>
      <c r="T5992">
        <v>-40</v>
      </c>
      <c r="U5992">
        <v>48</v>
      </c>
      <c r="V5992">
        <v>0</v>
      </c>
      <c r="W5992" t="s">
        <v>43</v>
      </c>
      <c r="X5992" t="s">
        <v>43</v>
      </c>
      <c r="Y5992" t="s">
        <v>43</v>
      </c>
      <c r="Z5992" t="s">
        <v>43</v>
      </c>
      <c r="AA5992" t="s">
        <v>43</v>
      </c>
      <c r="AB5992" t="s">
        <v>43</v>
      </c>
      <c r="AC5992" t="s">
        <v>43</v>
      </c>
      <c r="AD5992" t="s">
        <v>43</v>
      </c>
      <c r="AE5992" t="s">
        <v>43</v>
      </c>
      <c r="AF5992" t="s">
        <v>43</v>
      </c>
      <c r="AG5992" t="s">
        <v>43</v>
      </c>
      <c r="AH5992" t="s">
        <v>43</v>
      </c>
      <c r="AI5992" t="s">
        <v>43</v>
      </c>
      <c r="AJ5992" t="s">
        <v>43</v>
      </c>
      <c r="AK5992" t="s">
        <v>43</v>
      </c>
      <c r="AL5992" t="s">
        <v>43</v>
      </c>
      <c r="AM5992" t="s">
        <v>43</v>
      </c>
      <c r="AN5992" t="str">
        <f>HYPERLINK("https://www.google.com/maps?q=10.83314705,79.84613037","Open Location")</f>
        <v>Open Location</v>
      </c>
    </row>
    <row r="5993" spans="1:40" x14ac:dyDescent="0.3">
      <c r="A5993" s="1">
        <v>46210.305671296293</v>
      </c>
      <c r="B5993" t="s">
        <v>40</v>
      </c>
      <c r="C5993" t="s">
        <v>41</v>
      </c>
      <c r="D5993" s="1">
        <v>46210.308599537035</v>
      </c>
      <c r="E5993" t="s">
        <v>42</v>
      </c>
      <c r="F5993" t="s">
        <v>83</v>
      </c>
      <c r="G5993">
        <v>0</v>
      </c>
      <c r="H5993">
        <v>33083</v>
      </c>
      <c r="I5993" t="s">
        <v>3381</v>
      </c>
      <c r="J5993">
        <v>63</v>
      </c>
      <c r="K5993">
        <v>2</v>
      </c>
      <c r="L5993">
        <v>98</v>
      </c>
      <c r="M5993">
        <v>630.70001220999995</v>
      </c>
      <c r="N5993" t="s">
        <v>85</v>
      </c>
      <c r="O5993" t="s">
        <v>82</v>
      </c>
      <c r="P5993">
        <v>125</v>
      </c>
      <c r="Q5993" t="s">
        <v>82</v>
      </c>
      <c r="R5993">
        <v>0</v>
      </c>
      <c r="S5993">
        <v>0</v>
      </c>
      <c r="T5993">
        <v>-40</v>
      </c>
      <c r="U5993">
        <v>48</v>
      </c>
      <c r="V5993">
        <v>0</v>
      </c>
      <c r="W5993">
        <v>28</v>
      </c>
      <c r="X5993">
        <v>28</v>
      </c>
      <c r="Y5993">
        <v>1</v>
      </c>
      <c r="Z5993">
        <v>1</v>
      </c>
      <c r="AA5993">
        <v>26</v>
      </c>
      <c r="AB5993">
        <v>3</v>
      </c>
      <c r="AC5993">
        <v>2</v>
      </c>
      <c r="AD5993">
        <v>3.2909998900000001</v>
      </c>
      <c r="AE5993">
        <v>6</v>
      </c>
      <c r="AF5993">
        <v>30</v>
      </c>
      <c r="AG5993">
        <v>3.2839999199999999</v>
      </c>
      <c r="AH5993">
        <v>4</v>
      </c>
      <c r="AI5993">
        <v>17</v>
      </c>
      <c r="AJ5993" t="s">
        <v>43</v>
      </c>
      <c r="AK5993" t="s">
        <v>43</v>
      </c>
      <c r="AL5993" t="s">
        <v>43</v>
      </c>
      <c r="AM5993" t="s">
        <v>43</v>
      </c>
      <c r="AN5993" t="str">
        <f>HYPERLINK("https://www.google.com/maps?q=10.83314514,79.84612274","Open Location")</f>
        <v>Open Location</v>
      </c>
    </row>
    <row r="5994" spans="1:40" x14ac:dyDescent="0.3">
      <c r="A5994" s="1">
        <v>46210.305555555555</v>
      </c>
      <c r="B5994" t="s">
        <v>40</v>
      </c>
      <c r="C5994" t="s">
        <v>41</v>
      </c>
      <c r="D5994" s="1">
        <v>46210.308518518519</v>
      </c>
      <c r="E5994" t="s">
        <v>42</v>
      </c>
      <c r="F5994" t="s">
        <v>83</v>
      </c>
      <c r="G5994">
        <v>4</v>
      </c>
      <c r="H5994">
        <v>33083</v>
      </c>
      <c r="I5994" t="s">
        <v>3382</v>
      </c>
      <c r="J5994">
        <v>63</v>
      </c>
      <c r="K5994">
        <v>10</v>
      </c>
      <c r="L5994">
        <v>98</v>
      </c>
      <c r="M5994">
        <v>630.09997558999999</v>
      </c>
      <c r="N5994" t="s">
        <v>87</v>
      </c>
      <c r="O5994" t="s">
        <v>86</v>
      </c>
      <c r="P5994">
        <v>127</v>
      </c>
      <c r="Q5994">
        <v>2</v>
      </c>
      <c r="R5994">
        <v>9</v>
      </c>
      <c r="S5994">
        <v>866</v>
      </c>
      <c r="T5994">
        <v>-40</v>
      </c>
      <c r="U5994">
        <v>48</v>
      </c>
      <c r="V5994">
        <v>81</v>
      </c>
      <c r="W5994">
        <v>28</v>
      </c>
      <c r="X5994">
        <v>28</v>
      </c>
      <c r="Y5994">
        <v>1</v>
      </c>
      <c r="Z5994">
        <v>1</v>
      </c>
      <c r="AA5994">
        <v>26</v>
      </c>
      <c r="AB5994">
        <v>3</v>
      </c>
      <c r="AC5994">
        <v>2</v>
      </c>
      <c r="AD5994">
        <v>3.28900003</v>
      </c>
      <c r="AE5994">
        <v>1</v>
      </c>
      <c r="AF5994">
        <v>25</v>
      </c>
      <c r="AG5994">
        <v>3.2820000600000001</v>
      </c>
      <c r="AH5994">
        <v>7</v>
      </c>
      <c r="AI5994">
        <v>1</v>
      </c>
      <c r="AJ5994">
        <v>1</v>
      </c>
      <c r="AK5994">
        <v>17</v>
      </c>
      <c r="AL5994">
        <v>47</v>
      </c>
      <c r="AM5994" t="s">
        <v>43</v>
      </c>
      <c r="AN5994" t="str">
        <f>HYPERLINK("https://www.google.com/maps?q=10.83308411,79.84617615","Open Location")</f>
        <v>Open Location</v>
      </c>
    </row>
    <row r="5995" spans="1:40" x14ac:dyDescent="0.3">
      <c r="A5995" s="1">
        <v>46210.305439814816</v>
      </c>
      <c r="B5995" t="s">
        <v>40</v>
      </c>
      <c r="C5995" t="s">
        <v>41</v>
      </c>
      <c r="D5995" s="1">
        <v>46210.308368055557</v>
      </c>
      <c r="E5995" t="s">
        <v>42</v>
      </c>
      <c r="F5995" t="s">
        <v>83</v>
      </c>
      <c r="G5995">
        <v>6</v>
      </c>
      <c r="H5995">
        <v>33083</v>
      </c>
      <c r="I5995" t="s">
        <v>43</v>
      </c>
      <c r="J5995">
        <v>63</v>
      </c>
      <c r="K5995">
        <v>4</v>
      </c>
      <c r="L5995">
        <v>98</v>
      </c>
      <c r="M5995">
        <v>630.20001220999995</v>
      </c>
      <c r="N5995" t="s">
        <v>87</v>
      </c>
      <c r="O5995" t="s">
        <v>86</v>
      </c>
      <c r="P5995">
        <v>127</v>
      </c>
      <c r="Q5995">
        <v>2</v>
      </c>
      <c r="R5995">
        <v>0</v>
      </c>
      <c r="S5995">
        <v>1478</v>
      </c>
      <c r="T5995">
        <v>-40</v>
      </c>
      <c r="U5995">
        <v>49</v>
      </c>
      <c r="V5995">
        <v>5</v>
      </c>
      <c r="W5995">
        <v>28</v>
      </c>
      <c r="X5995">
        <v>28</v>
      </c>
      <c r="Y5995">
        <v>1</v>
      </c>
      <c r="Z5995">
        <v>1</v>
      </c>
      <c r="AA5995">
        <v>26</v>
      </c>
      <c r="AB5995">
        <v>3</v>
      </c>
      <c r="AC5995">
        <v>2</v>
      </c>
      <c r="AD5995">
        <v>3.27999997</v>
      </c>
      <c r="AE5995">
        <v>1</v>
      </c>
      <c r="AF5995">
        <v>25</v>
      </c>
      <c r="AG5995">
        <v>3.2720000699999998</v>
      </c>
      <c r="AH5995">
        <v>4</v>
      </c>
      <c r="AI5995">
        <v>17</v>
      </c>
      <c r="AJ5995">
        <v>1</v>
      </c>
      <c r="AK5995">
        <v>17</v>
      </c>
      <c r="AL5995">
        <v>47</v>
      </c>
      <c r="AM5995" t="s">
        <v>43</v>
      </c>
      <c r="AN5995" t="s">
        <v>43</v>
      </c>
    </row>
    <row r="5996" spans="1:40" x14ac:dyDescent="0.3">
      <c r="A5996" s="1">
        <v>46210.305324074077</v>
      </c>
      <c r="B5996" t="s">
        <v>40</v>
      </c>
      <c r="C5996" t="s">
        <v>41</v>
      </c>
      <c r="D5996" s="1">
        <v>46210.308159722219</v>
      </c>
      <c r="E5996" t="s">
        <v>42</v>
      </c>
      <c r="F5996" t="s">
        <v>83</v>
      </c>
      <c r="G5996">
        <v>6</v>
      </c>
      <c r="H5996" t="s">
        <v>43</v>
      </c>
      <c r="I5996" t="s">
        <v>3383</v>
      </c>
      <c r="J5996">
        <v>63</v>
      </c>
      <c r="K5996">
        <v>58</v>
      </c>
      <c r="L5996">
        <v>98</v>
      </c>
      <c r="M5996">
        <v>626.70001220999995</v>
      </c>
      <c r="N5996" t="s">
        <v>87</v>
      </c>
      <c r="O5996" t="s">
        <v>86</v>
      </c>
      <c r="P5996">
        <v>127</v>
      </c>
      <c r="Q5996">
        <v>2</v>
      </c>
      <c r="R5996">
        <v>58</v>
      </c>
      <c r="S5996">
        <v>1269</v>
      </c>
      <c r="T5996">
        <v>-40</v>
      </c>
      <c r="U5996">
        <v>49</v>
      </c>
      <c r="V5996">
        <v>260</v>
      </c>
      <c r="W5996">
        <v>28</v>
      </c>
      <c r="X5996">
        <v>28</v>
      </c>
      <c r="Y5996">
        <v>1</v>
      </c>
      <c r="Z5996">
        <v>1</v>
      </c>
      <c r="AA5996">
        <v>26</v>
      </c>
      <c r="AB5996">
        <v>3</v>
      </c>
      <c r="AC5996">
        <v>2</v>
      </c>
      <c r="AD5996">
        <v>3.2730000000000001</v>
      </c>
      <c r="AE5996">
        <v>5</v>
      </c>
      <c r="AF5996">
        <v>38</v>
      </c>
      <c r="AG5996">
        <v>3.2630000099999998</v>
      </c>
      <c r="AH5996">
        <v>2</v>
      </c>
      <c r="AI5996">
        <v>46</v>
      </c>
      <c r="AJ5996">
        <v>1</v>
      </c>
      <c r="AK5996">
        <v>17</v>
      </c>
      <c r="AL5996">
        <v>47</v>
      </c>
      <c r="AM5996" t="s">
        <v>43</v>
      </c>
      <c r="AN5996" t="str">
        <f>HYPERLINK("https://www.google.com/maps?q=10.83294678,79.84632111","Open Location")</f>
        <v>Open Location</v>
      </c>
    </row>
    <row r="5997" spans="1:40" x14ac:dyDescent="0.3">
      <c r="A5997" s="1">
        <v>46210.305208333331</v>
      </c>
      <c r="B5997" t="s">
        <v>40</v>
      </c>
      <c r="C5997" t="s">
        <v>41</v>
      </c>
      <c r="D5997" s="1">
        <v>46210.307812500003</v>
      </c>
      <c r="E5997" t="s">
        <v>42</v>
      </c>
      <c r="F5997" t="s">
        <v>83</v>
      </c>
      <c r="G5997">
        <v>4</v>
      </c>
      <c r="H5997">
        <v>33083</v>
      </c>
      <c r="I5997" t="s">
        <v>3384</v>
      </c>
      <c r="J5997">
        <v>63</v>
      </c>
      <c r="K5997">
        <v>45</v>
      </c>
      <c r="L5997">
        <v>98</v>
      </c>
      <c r="M5997">
        <v>628.70001220999995</v>
      </c>
      <c r="N5997" t="s">
        <v>87</v>
      </c>
      <c r="O5997" t="s">
        <v>86</v>
      </c>
      <c r="P5997">
        <v>127</v>
      </c>
      <c r="Q5997">
        <v>2</v>
      </c>
      <c r="R5997">
        <v>43</v>
      </c>
      <c r="S5997">
        <v>912</v>
      </c>
      <c r="T5997">
        <v>-40</v>
      </c>
      <c r="U5997">
        <v>49</v>
      </c>
      <c r="V5997">
        <v>278</v>
      </c>
      <c r="W5997">
        <v>28</v>
      </c>
      <c r="X5997">
        <v>28</v>
      </c>
      <c r="Y5997">
        <v>1</v>
      </c>
      <c r="Z5997">
        <v>1</v>
      </c>
      <c r="AA5997">
        <v>26</v>
      </c>
      <c r="AB5997">
        <v>3</v>
      </c>
      <c r="AC5997">
        <v>2</v>
      </c>
      <c r="AD5997">
        <v>3.27699995</v>
      </c>
      <c r="AE5997">
        <v>1</v>
      </c>
      <c r="AF5997">
        <v>25</v>
      </c>
      <c r="AG5997">
        <v>3.26799989</v>
      </c>
      <c r="AH5997">
        <v>7</v>
      </c>
      <c r="AI5997">
        <v>1</v>
      </c>
      <c r="AJ5997">
        <v>1</v>
      </c>
      <c r="AK5997">
        <v>17</v>
      </c>
      <c r="AL5997">
        <v>47</v>
      </c>
      <c r="AM5997" t="s">
        <v>43</v>
      </c>
      <c r="AN5997" t="str">
        <f>HYPERLINK("https://www.google.com/maps?q=10.83283043,79.84650421","Open Location")</f>
        <v>Open Location</v>
      </c>
    </row>
    <row r="5998" spans="1:40" x14ac:dyDescent="0.3">
      <c r="A5998" s="1">
        <v>46210.305092592593</v>
      </c>
      <c r="B5998" t="s">
        <v>40</v>
      </c>
      <c r="C5998" t="s">
        <v>41</v>
      </c>
      <c r="D5998" s="1">
        <v>46210.307858796295</v>
      </c>
      <c r="E5998" t="s">
        <v>42</v>
      </c>
      <c r="F5998" t="s">
        <v>83</v>
      </c>
      <c r="G5998">
        <v>7</v>
      </c>
      <c r="H5998">
        <v>33083</v>
      </c>
      <c r="I5998" t="s">
        <v>3385</v>
      </c>
      <c r="J5998">
        <v>63</v>
      </c>
      <c r="K5998">
        <v>3</v>
      </c>
      <c r="L5998">
        <v>98</v>
      </c>
      <c r="M5998">
        <v>630</v>
      </c>
      <c r="N5998" t="s">
        <v>87</v>
      </c>
      <c r="O5998" t="s">
        <v>86</v>
      </c>
      <c r="P5998">
        <v>127</v>
      </c>
      <c r="Q5998">
        <v>2</v>
      </c>
      <c r="R5998">
        <v>0</v>
      </c>
      <c r="S5998">
        <v>1373</v>
      </c>
      <c r="T5998">
        <v>-40</v>
      </c>
      <c r="U5998">
        <v>49</v>
      </c>
      <c r="V5998">
        <v>5</v>
      </c>
      <c r="W5998">
        <v>28</v>
      </c>
      <c r="X5998">
        <v>28</v>
      </c>
      <c r="Y5998">
        <v>1</v>
      </c>
      <c r="Z5998">
        <v>1</v>
      </c>
      <c r="AA5998">
        <v>26</v>
      </c>
      <c r="AB5998">
        <v>3</v>
      </c>
      <c r="AC5998">
        <v>2</v>
      </c>
      <c r="AD5998">
        <v>3.28900003</v>
      </c>
      <c r="AE5998">
        <v>1</v>
      </c>
      <c r="AF5998">
        <v>25</v>
      </c>
      <c r="AG5998">
        <v>3.2820000600000001</v>
      </c>
      <c r="AH5998">
        <v>7</v>
      </c>
      <c r="AI5998">
        <v>1</v>
      </c>
      <c r="AJ5998">
        <v>1</v>
      </c>
      <c r="AK5998">
        <v>17</v>
      </c>
      <c r="AL5998">
        <v>47</v>
      </c>
      <c r="AM5998" t="s">
        <v>43</v>
      </c>
      <c r="AN5998" t="str">
        <f>HYPERLINK("https://www.google.com/maps?q=10.83286285,79.84670258","Open Location")</f>
        <v>Open Location</v>
      </c>
    </row>
    <row r="5999" spans="1:40" x14ac:dyDescent="0.3">
      <c r="A5999" s="1">
        <v>46210.304976851854</v>
      </c>
      <c r="B5999" t="s">
        <v>40</v>
      </c>
      <c r="C5999" t="s">
        <v>41</v>
      </c>
      <c r="D5999" s="1">
        <v>46210.307835648149</v>
      </c>
      <c r="E5999" t="s">
        <v>42</v>
      </c>
      <c r="F5999" t="s">
        <v>83</v>
      </c>
      <c r="G5999">
        <v>6</v>
      </c>
      <c r="H5999">
        <v>33083</v>
      </c>
      <c r="I5999" t="s">
        <v>3386</v>
      </c>
      <c r="J5999">
        <v>63</v>
      </c>
      <c r="K5999">
        <v>38</v>
      </c>
      <c r="L5999">
        <v>98</v>
      </c>
      <c r="M5999">
        <v>629.40002441000001</v>
      </c>
      <c r="N5999" t="s">
        <v>87</v>
      </c>
      <c r="O5999" t="s">
        <v>86</v>
      </c>
      <c r="P5999">
        <v>127</v>
      </c>
      <c r="Q5999">
        <v>2</v>
      </c>
      <c r="R5999">
        <v>34</v>
      </c>
      <c r="S5999">
        <v>1312</v>
      </c>
      <c r="T5999">
        <v>-40</v>
      </c>
      <c r="U5999">
        <v>49</v>
      </c>
      <c r="V5999">
        <v>160</v>
      </c>
      <c r="W5999">
        <v>28</v>
      </c>
      <c r="X5999">
        <v>28</v>
      </c>
      <c r="Y5999">
        <v>1</v>
      </c>
      <c r="Z5999">
        <v>1</v>
      </c>
      <c r="AA5999">
        <v>26</v>
      </c>
      <c r="AB5999">
        <v>3</v>
      </c>
      <c r="AC5999">
        <v>2</v>
      </c>
      <c r="AD5999">
        <v>3.2780001200000002</v>
      </c>
      <c r="AE5999">
        <v>1</v>
      </c>
      <c r="AF5999">
        <v>25</v>
      </c>
      <c r="AG5999">
        <v>3.2690000499999998</v>
      </c>
      <c r="AH5999">
        <v>7</v>
      </c>
      <c r="AI5999">
        <v>1</v>
      </c>
      <c r="AJ5999">
        <v>1</v>
      </c>
      <c r="AK5999">
        <v>17</v>
      </c>
      <c r="AL5999">
        <v>47</v>
      </c>
      <c r="AM5999" t="s">
        <v>43</v>
      </c>
      <c r="AN5999" t="str">
        <f>HYPERLINK("https://www.google.com/maps?q=10.83288574,79.8469162","Open Location")</f>
        <v>Open Location</v>
      </c>
    </row>
    <row r="6000" spans="1:40" x14ac:dyDescent="0.3">
      <c r="A6000" s="1">
        <v>46210.304861111108</v>
      </c>
      <c r="B6000" t="s">
        <v>40</v>
      </c>
      <c r="C6000" t="s">
        <v>41</v>
      </c>
      <c r="D6000" s="1">
        <v>46210.307800925926</v>
      </c>
      <c r="E6000" t="s">
        <v>42</v>
      </c>
      <c r="F6000" t="s">
        <v>83</v>
      </c>
      <c r="G6000">
        <v>7</v>
      </c>
      <c r="H6000">
        <v>33083</v>
      </c>
      <c r="I6000" t="s">
        <v>43</v>
      </c>
      <c r="J6000">
        <v>63</v>
      </c>
      <c r="K6000">
        <v>26</v>
      </c>
      <c r="L6000">
        <v>98</v>
      </c>
      <c r="M6000">
        <v>629.5</v>
      </c>
      <c r="N6000" t="s">
        <v>87</v>
      </c>
      <c r="O6000" t="s">
        <v>86</v>
      </c>
      <c r="P6000">
        <v>127</v>
      </c>
      <c r="Q6000">
        <v>2</v>
      </c>
      <c r="R6000">
        <v>16</v>
      </c>
      <c r="S6000">
        <v>1371</v>
      </c>
      <c r="T6000">
        <v>-40</v>
      </c>
      <c r="U6000">
        <v>49</v>
      </c>
      <c r="V6000">
        <v>100</v>
      </c>
      <c r="W6000">
        <v>28</v>
      </c>
      <c r="X6000">
        <v>28</v>
      </c>
      <c r="Y6000">
        <v>1</v>
      </c>
      <c r="Z6000">
        <v>1</v>
      </c>
      <c r="AA6000">
        <v>26</v>
      </c>
      <c r="AB6000">
        <v>3</v>
      </c>
      <c r="AC6000">
        <v>2</v>
      </c>
      <c r="AD6000">
        <v>3.2839999199999999</v>
      </c>
      <c r="AE6000">
        <v>1</v>
      </c>
      <c r="AF6000">
        <v>25</v>
      </c>
      <c r="AG6000">
        <v>3.2760000200000001</v>
      </c>
      <c r="AH6000">
        <v>4</v>
      </c>
      <c r="AI6000">
        <v>17</v>
      </c>
      <c r="AJ6000">
        <v>1</v>
      </c>
      <c r="AK6000">
        <v>17</v>
      </c>
      <c r="AL6000">
        <v>47</v>
      </c>
      <c r="AM6000" t="s">
        <v>43</v>
      </c>
      <c r="AN6000" t="s">
        <v>43</v>
      </c>
    </row>
    <row r="6001" spans="1:40" x14ac:dyDescent="0.3">
      <c r="A6001" s="1">
        <v>46210.304745370369</v>
      </c>
      <c r="B6001" t="s">
        <v>40</v>
      </c>
      <c r="C6001" t="s">
        <v>41</v>
      </c>
      <c r="D6001" s="1">
        <v>46210.307557870372</v>
      </c>
      <c r="E6001" t="s">
        <v>42</v>
      </c>
      <c r="F6001" t="s">
        <v>83</v>
      </c>
      <c r="G6001">
        <v>5</v>
      </c>
      <c r="H6001">
        <v>33083</v>
      </c>
      <c r="I6001" t="s">
        <v>3387</v>
      </c>
      <c r="J6001">
        <v>63</v>
      </c>
      <c r="K6001">
        <v>14</v>
      </c>
      <c r="L6001">
        <v>98</v>
      </c>
      <c r="M6001">
        <v>629</v>
      </c>
      <c r="N6001" t="s">
        <v>87</v>
      </c>
      <c r="O6001" t="s">
        <v>86</v>
      </c>
      <c r="P6001">
        <v>127</v>
      </c>
      <c r="Q6001">
        <v>2</v>
      </c>
      <c r="R6001">
        <v>38</v>
      </c>
      <c r="S6001">
        <v>1049</v>
      </c>
      <c r="T6001">
        <v>-40</v>
      </c>
      <c r="U6001">
        <v>48</v>
      </c>
      <c r="V6001">
        <v>91</v>
      </c>
      <c r="W6001">
        <v>28</v>
      </c>
      <c r="X6001">
        <v>28</v>
      </c>
      <c r="Y6001">
        <v>1</v>
      </c>
      <c r="Z6001">
        <v>1</v>
      </c>
      <c r="AA6001">
        <v>26</v>
      </c>
      <c r="AB6001">
        <v>3</v>
      </c>
      <c r="AC6001">
        <v>2</v>
      </c>
      <c r="AD6001">
        <v>3.2809998999999999</v>
      </c>
      <c r="AE6001">
        <v>1</v>
      </c>
      <c r="AF6001">
        <v>25</v>
      </c>
      <c r="AG6001">
        <v>3.2730000000000001</v>
      </c>
      <c r="AH6001">
        <v>7</v>
      </c>
      <c r="AI6001">
        <v>1</v>
      </c>
      <c r="AJ6001">
        <v>1</v>
      </c>
      <c r="AK6001">
        <v>17</v>
      </c>
      <c r="AL6001">
        <v>47</v>
      </c>
      <c r="AM6001" t="s">
        <v>43</v>
      </c>
      <c r="AN6001" t="str">
        <f>HYPERLINK("https://www.google.com/maps?q=10.83288479,79.84714508","Open Location")</f>
        <v>Open Location</v>
      </c>
    </row>
    <row r="6002" spans="1:40" x14ac:dyDescent="0.3">
      <c r="A6002" s="1">
        <v>46210.304629629631</v>
      </c>
      <c r="B6002" t="s">
        <v>40</v>
      </c>
      <c r="C6002" t="s">
        <v>41</v>
      </c>
      <c r="D6002" s="1">
        <v>46210.307488425926</v>
      </c>
      <c r="E6002" t="s">
        <v>42</v>
      </c>
      <c r="F6002" t="s">
        <v>83</v>
      </c>
      <c r="G6002">
        <v>5</v>
      </c>
      <c r="H6002">
        <v>33083</v>
      </c>
      <c r="I6002" t="s">
        <v>3388</v>
      </c>
      <c r="J6002">
        <v>63</v>
      </c>
      <c r="K6002">
        <v>20</v>
      </c>
      <c r="L6002">
        <v>98</v>
      </c>
      <c r="M6002">
        <v>630.20001220999995</v>
      </c>
      <c r="N6002" t="s">
        <v>87</v>
      </c>
      <c r="O6002" t="s">
        <v>86</v>
      </c>
      <c r="P6002">
        <v>128</v>
      </c>
      <c r="Q6002">
        <v>3</v>
      </c>
      <c r="R6002">
        <v>7</v>
      </c>
      <c r="S6002">
        <v>732</v>
      </c>
      <c r="T6002">
        <v>-40</v>
      </c>
      <c r="U6002">
        <v>49</v>
      </c>
      <c r="V6002">
        <v>80</v>
      </c>
      <c r="W6002">
        <v>28</v>
      </c>
      <c r="X6002">
        <v>28</v>
      </c>
      <c r="Y6002">
        <v>1</v>
      </c>
      <c r="Z6002">
        <v>1</v>
      </c>
      <c r="AA6002">
        <v>26</v>
      </c>
      <c r="AB6002">
        <v>3</v>
      </c>
      <c r="AC6002">
        <v>2</v>
      </c>
      <c r="AD6002">
        <v>3.28600001</v>
      </c>
      <c r="AE6002">
        <v>1</v>
      </c>
      <c r="AF6002">
        <v>25</v>
      </c>
      <c r="AG6002">
        <v>3.2790000400000001</v>
      </c>
      <c r="AH6002">
        <v>4</v>
      </c>
      <c r="AI6002">
        <v>17</v>
      </c>
      <c r="AJ6002">
        <v>1</v>
      </c>
      <c r="AK6002">
        <v>17</v>
      </c>
      <c r="AL6002">
        <v>47</v>
      </c>
      <c r="AM6002" t="s">
        <v>43</v>
      </c>
      <c r="AN6002" t="str">
        <f>HYPERLINK("https://www.google.com/maps?q=10.83286667,79.84732819","Open Location")</f>
        <v>Open Location</v>
      </c>
    </row>
    <row r="6003" spans="1:40" x14ac:dyDescent="0.3">
      <c r="A6003" s="1">
        <v>46210.304513888892</v>
      </c>
      <c r="B6003" t="s">
        <v>40</v>
      </c>
      <c r="C6003" t="s">
        <v>41</v>
      </c>
      <c r="D6003" s="1">
        <v>46210.307442129626</v>
      </c>
      <c r="E6003" t="s">
        <v>42</v>
      </c>
      <c r="F6003" t="s">
        <v>83</v>
      </c>
      <c r="G6003">
        <v>6</v>
      </c>
      <c r="H6003">
        <v>33083</v>
      </c>
      <c r="I6003" t="s">
        <v>3389</v>
      </c>
      <c r="J6003">
        <v>63</v>
      </c>
      <c r="K6003">
        <v>41</v>
      </c>
      <c r="L6003">
        <v>98</v>
      </c>
      <c r="M6003">
        <v>628.70001220999995</v>
      </c>
      <c r="N6003" t="s">
        <v>87</v>
      </c>
      <c r="O6003" t="s">
        <v>86</v>
      </c>
      <c r="P6003">
        <v>128</v>
      </c>
      <c r="Q6003">
        <v>3</v>
      </c>
      <c r="R6003">
        <v>17</v>
      </c>
      <c r="S6003">
        <v>830</v>
      </c>
      <c r="T6003">
        <v>-40</v>
      </c>
      <c r="U6003">
        <v>49</v>
      </c>
      <c r="V6003">
        <v>220</v>
      </c>
      <c r="W6003">
        <v>28</v>
      </c>
      <c r="X6003">
        <v>28</v>
      </c>
      <c r="Y6003">
        <v>1</v>
      </c>
      <c r="Z6003">
        <v>1</v>
      </c>
      <c r="AA6003">
        <v>26</v>
      </c>
      <c r="AB6003">
        <v>3</v>
      </c>
      <c r="AC6003">
        <v>2</v>
      </c>
      <c r="AD6003">
        <v>3.28500009</v>
      </c>
      <c r="AE6003">
        <v>6</v>
      </c>
      <c r="AF6003">
        <v>30</v>
      </c>
      <c r="AG6003">
        <v>3.2760000200000001</v>
      </c>
      <c r="AH6003">
        <v>4</v>
      </c>
      <c r="AI6003">
        <v>17</v>
      </c>
      <c r="AJ6003">
        <v>1</v>
      </c>
      <c r="AK6003">
        <v>17</v>
      </c>
      <c r="AL6003">
        <v>47</v>
      </c>
      <c r="AM6003" t="s">
        <v>43</v>
      </c>
      <c r="AN6003" t="str">
        <f>HYPERLINK("https://www.google.com/maps?q=10.83285904,79.84751129","Open Location")</f>
        <v>Open Location</v>
      </c>
    </row>
    <row r="6004" spans="1:40" x14ac:dyDescent="0.3">
      <c r="A6004" s="1">
        <v>46210.304398148146</v>
      </c>
      <c r="B6004" t="s">
        <v>40</v>
      </c>
      <c r="C6004" t="s">
        <v>41</v>
      </c>
      <c r="D6004" s="1">
        <v>46210.30736111111</v>
      </c>
      <c r="E6004" t="s">
        <v>42</v>
      </c>
      <c r="F6004" t="s">
        <v>83</v>
      </c>
      <c r="G6004">
        <v>6</v>
      </c>
      <c r="H6004">
        <v>33083</v>
      </c>
      <c r="I6004" t="s">
        <v>3390</v>
      </c>
      <c r="J6004">
        <v>63</v>
      </c>
      <c r="K6004">
        <v>44</v>
      </c>
      <c r="L6004">
        <v>98</v>
      </c>
      <c r="M6004">
        <v>628.5</v>
      </c>
      <c r="N6004" t="s">
        <v>87</v>
      </c>
      <c r="O6004" t="s">
        <v>86</v>
      </c>
      <c r="P6004">
        <v>128</v>
      </c>
      <c r="Q6004">
        <v>3</v>
      </c>
      <c r="R6004">
        <v>29</v>
      </c>
      <c r="S6004">
        <v>771</v>
      </c>
      <c r="T6004">
        <v>-40</v>
      </c>
      <c r="U6004">
        <v>50</v>
      </c>
      <c r="V6004">
        <v>260</v>
      </c>
      <c r="W6004">
        <v>28</v>
      </c>
      <c r="X6004">
        <v>28</v>
      </c>
      <c r="Y6004">
        <v>1</v>
      </c>
      <c r="Z6004">
        <v>1</v>
      </c>
      <c r="AA6004">
        <v>26</v>
      </c>
      <c r="AB6004">
        <v>3</v>
      </c>
      <c r="AC6004">
        <v>2</v>
      </c>
      <c r="AD6004">
        <v>3.27999997</v>
      </c>
      <c r="AE6004">
        <v>1</v>
      </c>
      <c r="AF6004">
        <v>25</v>
      </c>
      <c r="AG6004">
        <v>3.27099991</v>
      </c>
      <c r="AH6004">
        <v>4</v>
      </c>
      <c r="AI6004">
        <v>17</v>
      </c>
      <c r="AJ6004">
        <v>1</v>
      </c>
      <c r="AK6004">
        <v>17</v>
      </c>
      <c r="AL6004">
        <v>47</v>
      </c>
      <c r="AM6004" t="s">
        <v>43</v>
      </c>
      <c r="AN6004" t="str">
        <f>HYPERLINK("https://www.google.com/maps?q=10.8328371,79.8477478","Open Location")</f>
        <v>Open Location</v>
      </c>
    </row>
    <row r="6005" spans="1:40" x14ac:dyDescent="0.3">
      <c r="A6005" s="1">
        <v>46210.304282407407</v>
      </c>
      <c r="B6005" t="s">
        <v>40</v>
      </c>
      <c r="C6005" t="s">
        <v>41</v>
      </c>
      <c r="D6005" s="1">
        <v>46210.307083333333</v>
      </c>
      <c r="E6005" t="s">
        <v>42</v>
      </c>
      <c r="F6005" t="s">
        <v>83</v>
      </c>
      <c r="G6005">
        <v>8</v>
      </c>
      <c r="H6005">
        <v>33083</v>
      </c>
      <c r="I6005" t="s">
        <v>3391</v>
      </c>
      <c r="J6005">
        <v>63</v>
      </c>
      <c r="K6005">
        <v>30</v>
      </c>
      <c r="L6005">
        <v>98</v>
      </c>
      <c r="M6005">
        <v>629.40002441000001</v>
      </c>
      <c r="N6005" t="s">
        <v>87</v>
      </c>
      <c r="O6005" t="s">
        <v>86</v>
      </c>
      <c r="P6005">
        <v>128</v>
      </c>
      <c r="Q6005">
        <v>3</v>
      </c>
      <c r="R6005">
        <v>16</v>
      </c>
      <c r="S6005">
        <v>1016</v>
      </c>
      <c r="T6005">
        <v>-40</v>
      </c>
      <c r="U6005">
        <v>48</v>
      </c>
      <c r="V6005">
        <v>160</v>
      </c>
      <c r="W6005">
        <v>28</v>
      </c>
      <c r="X6005">
        <v>28</v>
      </c>
      <c r="Y6005">
        <v>1</v>
      </c>
      <c r="Z6005">
        <v>1</v>
      </c>
      <c r="AA6005">
        <v>26</v>
      </c>
      <c r="AB6005">
        <v>3</v>
      </c>
      <c r="AC6005">
        <v>2</v>
      </c>
      <c r="AD6005">
        <v>3.28600001</v>
      </c>
      <c r="AE6005">
        <v>1</v>
      </c>
      <c r="AF6005">
        <v>25</v>
      </c>
      <c r="AG6005">
        <v>3.2780001200000002</v>
      </c>
      <c r="AH6005">
        <v>4</v>
      </c>
      <c r="AI6005">
        <v>17</v>
      </c>
      <c r="AJ6005">
        <v>1</v>
      </c>
      <c r="AK6005">
        <v>17</v>
      </c>
      <c r="AL6005">
        <v>47</v>
      </c>
      <c r="AM6005" t="s">
        <v>43</v>
      </c>
      <c r="AN6005" t="str">
        <f>HYPERLINK("https://www.google.com/maps?q=10.83283806,79.84796143","Open Location")</f>
        <v>Open Location</v>
      </c>
    </row>
    <row r="6006" spans="1:40" x14ac:dyDescent="0.3">
      <c r="A6006" s="1">
        <v>46210.304166666669</v>
      </c>
      <c r="B6006" t="s">
        <v>40</v>
      </c>
      <c r="C6006" t="s">
        <v>41</v>
      </c>
      <c r="D6006" s="1">
        <v>46210.307106481479</v>
      </c>
      <c r="E6006" t="s">
        <v>43</v>
      </c>
      <c r="F6006" t="s">
        <v>83</v>
      </c>
      <c r="G6006">
        <v>10</v>
      </c>
      <c r="H6006">
        <v>33083</v>
      </c>
      <c r="I6006" t="s">
        <v>43</v>
      </c>
      <c r="J6006">
        <v>63</v>
      </c>
      <c r="K6006">
        <v>-12</v>
      </c>
      <c r="L6006">
        <v>98</v>
      </c>
      <c r="M6006">
        <v>630.70001220999995</v>
      </c>
      <c r="N6006" t="s">
        <v>87</v>
      </c>
      <c r="O6006" t="s">
        <v>86</v>
      </c>
      <c r="P6006">
        <v>128</v>
      </c>
      <c r="Q6006">
        <v>3</v>
      </c>
      <c r="R6006">
        <v>-10</v>
      </c>
      <c r="S6006">
        <v>1377</v>
      </c>
      <c r="T6006">
        <v>-40</v>
      </c>
      <c r="U6006">
        <v>49</v>
      </c>
      <c r="V6006">
        <v>-68</v>
      </c>
      <c r="W6006">
        <v>28</v>
      </c>
      <c r="X6006">
        <v>28</v>
      </c>
      <c r="Y6006">
        <v>1</v>
      </c>
      <c r="Z6006">
        <v>1</v>
      </c>
      <c r="AA6006">
        <v>26</v>
      </c>
      <c r="AB6006">
        <v>3</v>
      </c>
      <c r="AC6006">
        <v>2</v>
      </c>
      <c r="AD6006">
        <v>3.2920000599999999</v>
      </c>
      <c r="AE6006">
        <v>1</v>
      </c>
      <c r="AF6006">
        <v>25</v>
      </c>
      <c r="AG6006">
        <v>3.28500009</v>
      </c>
      <c r="AH6006">
        <v>4</v>
      </c>
      <c r="AI6006">
        <v>17</v>
      </c>
      <c r="AJ6006">
        <v>1</v>
      </c>
      <c r="AK6006">
        <v>17</v>
      </c>
      <c r="AL6006">
        <v>47</v>
      </c>
      <c r="AM6006" t="s">
        <v>43</v>
      </c>
      <c r="AN6006" t="s">
        <v>43</v>
      </c>
    </row>
    <row r="6007" spans="1:40" x14ac:dyDescent="0.3">
      <c r="A6007" s="1">
        <v>46210.304050925923</v>
      </c>
      <c r="B6007" t="s">
        <v>40</v>
      </c>
      <c r="C6007" t="s">
        <v>41</v>
      </c>
      <c r="D6007" s="1">
        <v>46210.306747685187</v>
      </c>
      <c r="E6007" t="s">
        <v>42</v>
      </c>
      <c r="F6007" t="s">
        <v>83</v>
      </c>
      <c r="G6007">
        <v>9</v>
      </c>
      <c r="H6007" t="s">
        <v>43</v>
      </c>
      <c r="I6007" t="s">
        <v>3392</v>
      </c>
      <c r="J6007">
        <v>63</v>
      </c>
      <c r="K6007">
        <v>68</v>
      </c>
      <c r="L6007">
        <v>98</v>
      </c>
      <c r="M6007">
        <v>628</v>
      </c>
      <c r="N6007" t="s">
        <v>87</v>
      </c>
      <c r="O6007" t="s">
        <v>86</v>
      </c>
      <c r="P6007">
        <v>128</v>
      </c>
      <c r="Q6007">
        <v>3</v>
      </c>
      <c r="R6007">
        <v>41</v>
      </c>
      <c r="S6007">
        <v>1111</v>
      </c>
      <c r="T6007">
        <v>-40</v>
      </c>
      <c r="U6007">
        <v>50</v>
      </c>
      <c r="V6007">
        <v>340</v>
      </c>
      <c r="W6007">
        <v>28</v>
      </c>
      <c r="X6007">
        <v>28</v>
      </c>
      <c r="Y6007">
        <v>1</v>
      </c>
      <c r="Z6007">
        <v>1</v>
      </c>
      <c r="AA6007">
        <v>26</v>
      </c>
      <c r="AB6007">
        <v>3</v>
      </c>
      <c r="AC6007">
        <v>2</v>
      </c>
      <c r="AD6007">
        <v>3.27699995</v>
      </c>
      <c r="AE6007">
        <v>1</v>
      </c>
      <c r="AF6007">
        <v>25</v>
      </c>
      <c r="AG6007">
        <v>3.2669999600000001</v>
      </c>
      <c r="AH6007">
        <v>7</v>
      </c>
      <c r="AI6007">
        <v>1</v>
      </c>
      <c r="AJ6007">
        <v>1</v>
      </c>
      <c r="AK6007">
        <v>17</v>
      </c>
      <c r="AL6007">
        <v>47</v>
      </c>
      <c r="AM6007" t="s">
        <v>43</v>
      </c>
      <c r="AN6007" t="str">
        <f>HYPERLINK("https://www.google.com/maps?q=10.83314419,79.84802246","Open Location")</f>
        <v>Open Location</v>
      </c>
    </row>
    <row r="6008" spans="1:40" x14ac:dyDescent="0.3">
      <c r="A6008" s="1">
        <v>46210.303935185184</v>
      </c>
      <c r="B6008" t="s">
        <v>40</v>
      </c>
      <c r="C6008" t="s">
        <v>41</v>
      </c>
      <c r="D6008" s="1">
        <v>46210.30673611111</v>
      </c>
      <c r="E6008" t="s">
        <v>42</v>
      </c>
      <c r="F6008" t="s">
        <v>83</v>
      </c>
      <c r="G6008">
        <v>5</v>
      </c>
      <c r="H6008">
        <v>33083</v>
      </c>
      <c r="I6008" t="s">
        <v>3393</v>
      </c>
      <c r="J6008">
        <v>63</v>
      </c>
      <c r="K6008">
        <v>44</v>
      </c>
      <c r="L6008">
        <v>98</v>
      </c>
      <c r="M6008">
        <v>628.29998779000005</v>
      </c>
      <c r="N6008" t="s">
        <v>87</v>
      </c>
      <c r="O6008" t="s">
        <v>86</v>
      </c>
      <c r="P6008">
        <v>127</v>
      </c>
      <c r="Q6008">
        <v>2</v>
      </c>
      <c r="R6008">
        <v>34</v>
      </c>
      <c r="S6008">
        <v>897</v>
      </c>
      <c r="T6008">
        <v>-40</v>
      </c>
      <c r="U6008">
        <v>48</v>
      </c>
      <c r="V6008">
        <v>300</v>
      </c>
      <c r="W6008">
        <v>28</v>
      </c>
      <c r="X6008">
        <v>28</v>
      </c>
      <c r="Y6008">
        <v>1</v>
      </c>
      <c r="Z6008">
        <v>1</v>
      </c>
      <c r="AA6008">
        <v>26</v>
      </c>
      <c r="AB6008">
        <v>3</v>
      </c>
      <c r="AC6008">
        <v>2</v>
      </c>
      <c r="AD6008">
        <v>3.27399993</v>
      </c>
      <c r="AE6008">
        <v>1</v>
      </c>
      <c r="AF6008">
        <v>25</v>
      </c>
      <c r="AG6008">
        <v>3.2630000099999998</v>
      </c>
      <c r="AH6008">
        <v>7</v>
      </c>
      <c r="AI6008">
        <v>1</v>
      </c>
      <c r="AJ6008">
        <v>1</v>
      </c>
      <c r="AK6008">
        <v>17</v>
      </c>
      <c r="AL6008">
        <v>47</v>
      </c>
      <c r="AM6008" t="s">
        <v>43</v>
      </c>
      <c r="AN6008" t="str">
        <f>HYPERLINK("https://www.google.com/maps?q=10.83343315,79.84798431","Open Location")</f>
        <v>Open Location</v>
      </c>
    </row>
    <row r="6009" spans="1:40" x14ac:dyDescent="0.3">
      <c r="A6009" s="1">
        <v>46210.303819444445</v>
      </c>
      <c r="B6009" t="s">
        <v>40</v>
      </c>
      <c r="C6009" t="s">
        <v>41</v>
      </c>
      <c r="D6009" s="1">
        <v>46210.306655092594</v>
      </c>
      <c r="E6009" t="s">
        <v>42</v>
      </c>
      <c r="F6009" t="s">
        <v>83</v>
      </c>
      <c r="G6009">
        <v>7</v>
      </c>
      <c r="H6009">
        <v>33083</v>
      </c>
      <c r="I6009" t="s">
        <v>3394</v>
      </c>
      <c r="J6009">
        <v>63</v>
      </c>
      <c r="K6009">
        <v>29</v>
      </c>
      <c r="L6009">
        <v>98</v>
      </c>
      <c r="M6009">
        <v>629.5</v>
      </c>
      <c r="N6009" t="s">
        <v>87</v>
      </c>
      <c r="O6009" t="s">
        <v>86</v>
      </c>
      <c r="P6009">
        <v>127</v>
      </c>
      <c r="Q6009">
        <v>2</v>
      </c>
      <c r="R6009">
        <v>14</v>
      </c>
      <c r="S6009">
        <v>1483</v>
      </c>
      <c r="T6009">
        <v>-40</v>
      </c>
      <c r="U6009">
        <v>48</v>
      </c>
      <c r="V6009">
        <v>80</v>
      </c>
      <c r="W6009">
        <v>28</v>
      </c>
      <c r="X6009">
        <v>28</v>
      </c>
      <c r="Y6009">
        <v>1</v>
      </c>
      <c r="Z6009">
        <v>1</v>
      </c>
      <c r="AA6009">
        <v>26</v>
      </c>
      <c r="AB6009">
        <v>3</v>
      </c>
      <c r="AC6009">
        <v>2</v>
      </c>
      <c r="AD6009">
        <v>3.2839999199999999</v>
      </c>
      <c r="AE6009">
        <v>6</v>
      </c>
      <c r="AF6009">
        <v>30</v>
      </c>
      <c r="AG6009">
        <v>3.27399993</v>
      </c>
      <c r="AH6009">
        <v>4</v>
      </c>
      <c r="AI6009">
        <v>17</v>
      </c>
      <c r="AJ6009">
        <v>1</v>
      </c>
      <c r="AK6009">
        <v>17</v>
      </c>
      <c r="AL6009">
        <v>47</v>
      </c>
      <c r="AM6009" t="s">
        <v>43</v>
      </c>
      <c r="AN6009" t="str">
        <f>HYPERLINK("https://www.google.com/maps?q=10.83359814,79.84791565","Open Location")</f>
        <v>Open Location</v>
      </c>
    </row>
    <row r="6010" spans="1:40" x14ac:dyDescent="0.3">
      <c r="A6010" s="1">
        <v>46210.303703703707</v>
      </c>
      <c r="B6010" t="s">
        <v>40</v>
      </c>
      <c r="C6010" t="s">
        <v>41</v>
      </c>
      <c r="D6010" s="1">
        <v>46210.306574074071</v>
      </c>
      <c r="E6010" t="s">
        <v>42</v>
      </c>
      <c r="F6010" t="s">
        <v>83</v>
      </c>
      <c r="G6010">
        <v>7</v>
      </c>
      <c r="H6010">
        <v>33083</v>
      </c>
      <c r="I6010" t="s">
        <v>3395</v>
      </c>
      <c r="J6010">
        <v>63</v>
      </c>
      <c r="K6010">
        <v>31</v>
      </c>
      <c r="L6010">
        <v>98</v>
      </c>
      <c r="M6010">
        <v>629.90002441000001</v>
      </c>
      <c r="N6010" t="s">
        <v>87</v>
      </c>
      <c r="O6010" t="s">
        <v>86</v>
      </c>
      <c r="P6010">
        <v>127</v>
      </c>
      <c r="Q6010">
        <v>2</v>
      </c>
      <c r="R6010">
        <v>0</v>
      </c>
      <c r="S6010">
        <v>1560</v>
      </c>
      <c r="T6010">
        <v>-40</v>
      </c>
      <c r="U6010">
        <v>48</v>
      </c>
      <c r="V6010">
        <v>80</v>
      </c>
      <c r="W6010">
        <v>28</v>
      </c>
      <c r="X6010">
        <v>28</v>
      </c>
      <c r="Y6010">
        <v>1</v>
      </c>
      <c r="Z6010">
        <v>1</v>
      </c>
      <c r="AA6010">
        <v>26</v>
      </c>
      <c r="AB6010">
        <v>3</v>
      </c>
      <c r="AC6010">
        <v>2</v>
      </c>
      <c r="AD6010">
        <v>3.28900003</v>
      </c>
      <c r="AE6010">
        <v>1</v>
      </c>
      <c r="AF6010">
        <v>25</v>
      </c>
      <c r="AG6010">
        <v>3.27999997</v>
      </c>
      <c r="AH6010">
        <v>4</v>
      </c>
      <c r="AI6010">
        <v>17</v>
      </c>
      <c r="AJ6010">
        <v>1</v>
      </c>
      <c r="AK6010">
        <v>17</v>
      </c>
      <c r="AL6010">
        <v>47</v>
      </c>
      <c r="AM6010" t="s">
        <v>43</v>
      </c>
      <c r="AN6010" t="str">
        <f>HYPERLINK("https://www.google.com/maps?q=10.83363914,79.84768677","Open Location")</f>
        <v>Open Location</v>
      </c>
    </row>
    <row r="6011" spans="1:40" x14ac:dyDescent="0.3">
      <c r="A6011" s="1">
        <v>46210.303587962961</v>
      </c>
      <c r="B6011" t="s">
        <v>40</v>
      </c>
      <c r="C6011" t="s">
        <v>41</v>
      </c>
      <c r="D6011" s="1">
        <v>46210.306377314817</v>
      </c>
      <c r="E6011" t="s">
        <v>42</v>
      </c>
      <c r="F6011" t="s">
        <v>83</v>
      </c>
      <c r="G6011">
        <v>7</v>
      </c>
      <c r="H6011">
        <v>33083</v>
      </c>
      <c r="I6011" t="s">
        <v>3396</v>
      </c>
      <c r="J6011">
        <v>63</v>
      </c>
      <c r="K6011">
        <v>51</v>
      </c>
      <c r="L6011">
        <v>98</v>
      </c>
      <c r="M6011">
        <v>628.59997558999999</v>
      </c>
      <c r="N6011" t="s">
        <v>87</v>
      </c>
      <c r="O6011" t="s">
        <v>86</v>
      </c>
      <c r="P6011">
        <v>127</v>
      </c>
      <c r="Q6011">
        <v>2</v>
      </c>
      <c r="R6011">
        <v>36</v>
      </c>
      <c r="S6011">
        <v>1436</v>
      </c>
      <c r="T6011">
        <v>-40</v>
      </c>
      <c r="U6011">
        <v>49</v>
      </c>
      <c r="V6011">
        <v>220</v>
      </c>
      <c r="W6011">
        <v>28</v>
      </c>
      <c r="X6011">
        <v>28</v>
      </c>
      <c r="Y6011">
        <v>1</v>
      </c>
      <c r="Z6011">
        <v>1</v>
      </c>
      <c r="AA6011">
        <v>26</v>
      </c>
      <c r="AB6011">
        <v>3</v>
      </c>
      <c r="AC6011">
        <v>2</v>
      </c>
      <c r="AD6011">
        <v>3.2780001200000002</v>
      </c>
      <c r="AE6011">
        <v>6</v>
      </c>
      <c r="AF6011">
        <v>30</v>
      </c>
      <c r="AG6011">
        <v>3.2669999600000001</v>
      </c>
      <c r="AH6011">
        <v>4</v>
      </c>
      <c r="AI6011">
        <v>17</v>
      </c>
      <c r="AJ6011">
        <v>1</v>
      </c>
      <c r="AK6011">
        <v>17</v>
      </c>
      <c r="AL6011">
        <v>47</v>
      </c>
      <c r="AM6011" t="s">
        <v>43</v>
      </c>
      <c r="AN6011" t="str">
        <f>HYPERLINK("https://www.google.com/maps?q=10.83363056,79.84745026","Open Location")</f>
        <v>Open Location</v>
      </c>
    </row>
    <row r="6012" spans="1:40" x14ac:dyDescent="0.3">
      <c r="A6012" s="1">
        <v>46210.303472222222</v>
      </c>
      <c r="B6012" t="s">
        <v>40</v>
      </c>
      <c r="C6012" t="s">
        <v>41</v>
      </c>
      <c r="D6012" s="1">
        <v>46210.306377314817</v>
      </c>
      <c r="E6012" t="s">
        <v>42</v>
      </c>
      <c r="F6012" t="s">
        <v>83</v>
      </c>
      <c r="G6012">
        <v>4</v>
      </c>
      <c r="H6012">
        <v>33083</v>
      </c>
      <c r="I6012" t="s">
        <v>43</v>
      </c>
      <c r="J6012">
        <v>63</v>
      </c>
      <c r="K6012">
        <v>58</v>
      </c>
      <c r="L6012">
        <v>98</v>
      </c>
      <c r="M6012">
        <v>628.70001220999995</v>
      </c>
      <c r="N6012" t="s">
        <v>87</v>
      </c>
      <c r="O6012" t="s">
        <v>86</v>
      </c>
      <c r="P6012">
        <v>127</v>
      </c>
      <c r="Q6012">
        <v>2</v>
      </c>
      <c r="R6012">
        <v>44</v>
      </c>
      <c r="S6012">
        <v>849</v>
      </c>
      <c r="T6012">
        <v>-40</v>
      </c>
      <c r="U6012">
        <v>48</v>
      </c>
      <c r="V6012">
        <v>436</v>
      </c>
      <c r="W6012">
        <v>28</v>
      </c>
      <c r="X6012">
        <v>28</v>
      </c>
      <c r="Y6012">
        <v>1</v>
      </c>
      <c r="Z6012">
        <v>1</v>
      </c>
      <c r="AA6012">
        <v>26</v>
      </c>
      <c r="AB6012">
        <v>3</v>
      </c>
      <c r="AC6012">
        <v>2</v>
      </c>
      <c r="AD6012">
        <v>3.2760000200000001</v>
      </c>
      <c r="AE6012">
        <v>5</v>
      </c>
      <c r="AF6012">
        <v>38</v>
      </c>
      <c r="AG6012">
        <v>3.2639999400000002</v>
      </c>
      <c r="AH6012">
        <v>4</v>
      </c>
      <c r="AI6012">
        <v>17</v>
      </c>
      <c r="AJ6012">
        <v>1</v>
      </c>
      <c r="AK6012">
        <v>17</v>
      </c>
      <c r="AL6012">
        <v>47</v>
      </c>
      <c r="AM6012" t="s">
        <v>43</v>
      </c>
      <c r="AN6012" t="s">
        <v>43</v>
      </c>
    </row>
    <row r="6013" spans="1:40" x14ac:dyDescent="0.3">
      <c r="A6013" s="1">
        <v>46210.303356481483</v>
      </c>
      <c r="B6013" t="s">
        <v>40</v>
      </c>
      <c r="C6013" t="s">
        <v>41</v>
      </c>
      <c r="D6013" s="1">
        <v>46210.306284722225</v>
      </c>
      <c r="E6013" t="s">
        <v>42</v>
      </c>
      <c r="F6013" t="s">
        <v>83</v>
      </c>
      <c r="G6013">
        <v>7</v>
      </c>
      <c r="H6013">
        <v>33083</v>
      </c>
      <c r="I6013" t="s">
        <v>3397</v>
      </c>
      <c r="J6013">
        <v>63</v>
      </c>
      <c r="K6013">
        <v>67</v>
      </c>
      <c r="L6013">
        <v>98</v>
      </c>
      <c r="M6013">
        <v>627.59997558999999</v>
      </c>
      <c r="N6013" t="s">
        <v>87</v>
      </c>
      <c r="O6013" t="s">
        <v>86</v>
      </c>
      <c r="P6013">
        <v>127</v>
      </c>
      <c r="Q6013">
        <v>2</v>
      </c>
      <c r="R6013">
        <v>26</v>
      </c>
      <c r="S6013">
        <v>1195</v>
      </c>
      <c r="T6013">
        <v>-40</v>
      </c>
      <c r="U6013">
        <v>48</v>
      </c>
      <c r="V6013">
        <v>280</v>
      </c>
      <c r="W6013">
        <v>28</v>
      </c>
      <c r="X6013">
        <v>28</v>
      </c>
      <c r="Y6013">
        <v>1</v>
      </c>
      <c r="Z6013">
        <v>1</v>
      </c>
      <c r="AA6013">
        <v>26</v>
      </c>
      <c r="AB6013">
        <v>3</v>
      </c>
      <c r="AC6013">
        <v>2</v>
      </c>
      <c r="AD6013">
        <v>3.2909998900000001</v>
      </c>
      <c r="AE6013">
        <v>6</v>
      </c>
      <c r="AF6013">
        <v>30</v>
      </c>
      <c r="AG6013">
        <v>3.2809998999999999</v>
      </c>
      <c r="AH6013">
        <v>4</v>
      </c>
      <c r="AI6013">
        <v>17</v>
      </c>
      <c r="AJ6013">
        <v>1</v>
      </c>
      <c r="AK6013">
        <v>17</v>
      </c>
      <c r="AL6013">
        <v>47</v>
      </c>
      <c r="AM6013" t="s">
        <v>43</v>
      </c>
      <c r="AN6013" t="str">
        <f>HYPERLINK("https://www.google.com/maps?q=10.83362675,79.84727478","Open Location")</f>
        <v>Open Location</v>
      </c>
    </row>
    <row r="6014" spans="1:40" x14ac:dyDescent="0.3">
      <c r="A6014" s="1">
        <v>46210.303240740737</v>
      </c>
      <c r="B6014" t="s">
        <v>40</v>
      </c>
      <c r="C6014" t="s">
        <v>41</v>
      </c>
      <c r="D6014" s="1">
        <v>46210.306377314817</v>
      </c>
      <c r="E6014" t="s">
        <v>42</v>
      </c>
      <c r="F6014" t="s">
        <v>83</v>
      </c>
      <c r="G6014">
        <v>8</v>
      </c>
      <c r="H6014" t="s">
        <v>43</v>
      </c>
      <c r="I6014" t="s">
        <v>43</v>
      </c>
      <c r="J6014">
        <v>63</v>
      </c>
      <c r="K6014">
        <v>58</v>
      </c>
      <c r="L6014">
        <v>98</v>
      </c>
      <c r="M6014">
        <v>629</v>
      </c>
      <c r="N6014" t="s">
        <v>87</v>
      </c>
      <c r="O6014" t="s">
        <v>86</v>
      </c>
      <c r="P6014">
        <v>127</v>
      </c>
      <c r="Q6014">
        <v>2</v>
      </c>
      <c r="R6014">
        <v>23</v>
      </c>
      <c r="S6014">
        <v>1696</v>
      </c>
      <c r="T6014">
        <v>-40</v>
      </c>
      <c r="U6014">
        <v>48</v>
      </c>
      <c r="V6014">
        <v>200</v>
      </c>
      <c r="W6014">
        <v>28</v>
      </c>
      <c r="X6014">
        <v>28</v>
      </c>
      <c r="Y6014">
        <v>1</v>
      </c>
      <c r="Z6014">
        <v>1</v>
      </c>
      <c r="AA6014">
        <v>26</v>
      </c>
      <c r="AB6014">
        <v>3</v>
      </c>
      <c r="AC6014">
        <v>2</v>
      </c>
      <c r="AD6014">
        <v>3.28600001</v>
      </c>
      <c r="AE6014">
        <v>1</v>
      </c>
      <c r="AF6014">
        <v>25</v>
      </c>
      <c r="AG6014">
        <v>3.2760000200000001</v>
      </c>
      <c r="AH6014">
        <v>4</v>
      </c>
      <c r="AI6014">
        <v>17</v>
      </c>
      <c r="AJ6014">
        <v>1</v>
      </c>
      <c r="AK6014">
        <v>17</v>
      </c>
      <c r="AL6014">
        <v>47</v>
      </c>
      <c r="AM6014" t="s">
        <v>43</v>
      </c>
      <c r="AN6014" t="s">
        <v>43</v>
      </c>
    </row>
    <row r="6015" spans="1:40" x14ac:dyDescent="0.3">
      <c r="A6015" s="1">
        <v>46210.303124999999</v>
      </c>
      <c r="B6015" t="s">
        <v>40</v>
      </c>
      <c r="C6015" t="s">
        <v>41</v>
      </c>
      <c r="D6015" s="1">
        <v>46210.305925925924</v>
      </c>
      <c r="E6015" t="s">
        <v>42</v>
      </c>
      <c r="F6015" t="s">
        <v>83</v>
      </c>
      <c r="G6015">
        <v>7</v>
      </c>
      <c r="H6015">
        <v>33083</v>
      </c>
      <c r="I6015" t="s">
        <v>3398</v>
      </c>
      <c r="J6015">
        <v>63</v>
      </c>
      <c r="K6015">
        <v>72</v>
      </c>
      <c r="L6015">
        <v>98</v>
      </c>
      <c r="M6015">
        <v>628.09997558999999</v>
      </c>
      <c r="N6015" t="s">
        <v>87</v>
      </c>
      <c r="O6015" t="s">
        <v>86</v>
      </c>
      <c r="P6015">
        <v>127</v>
      </c>
      <c r="Q6015">
        <v>2</v>
      </c>
      <c r="R6015">
        <v>29</v>
      </c>
      <c r="S6015">
        <v>1431</v>
      </c>
      <c r="T6015">
        <v>-40</v>
      </c>
      <c r="U6015">
        <v>49</v>
      </c>
      <c r="V6015">
        <v>250</v>
      </c>
      <c r="W6015">
        <v>28</v>
      </c>
      <c r="X6015">
        <v>28</v>
      </c>
      <c r="Y6015">
        <v>1</v>
      </c>
      <c r="Z6015">
        <v>1</v>
      </c>
      <c r="AA6015">
        <v>26</v>
      </c>
      <c r="AB6015">
        <v>3</v>
      </c>
      <c r="AC6015">
        <v>2</v>
      </c>
      <c r="AD6015">
        <v>3.2839999199999999</v>
      </c>
      <c r="AE6015">
        <v>6</v>
      </c>
      <c r="AF6015">
        <v>30</v>
      </c>
      <c r="AG6015">
        <v>3.27099991</v>
      </c>
      <c r="AH6015">
        <v>4</v>
      </c>
      <c r="AI6015">
        <v>17</v>
      </c>
      <c r="AJ6015">
        <v>1</v>
      </c>
      <c r="AK6015">
        <v>17</v>
      </c>
      <c r="AL6015">
        <v>47</v>
      </c>
      <c r="AM6015" t="s">
        <v>43</v>
      </c>
      <c r="AN6015" t="str">
        <f>HYPERLINK("https://www.google.com/maps?q=10.83393574,79.8469696","Open Location")</f>
        <v>Open Location</v>
      </c>
    </row>
    <row r="6016" spans="1:40" x14ac:dyDescent="0.3">
      <c r="A6016" s="1">
        <v>46210.30300925926</v>
      </c>
      <c r="B6016" t="s">
        <v>40</v>
      </c>
      <c r="C6016" t="s">
        <v>41</v>
      </c>
      <c r="D6016" s="1">
        <v>46210.305960648147</v>
      </c>
      <c r="E6016" t="s">
        <v>42</v>
      </c>
      <c r="F6016" t="s">
        <v>83</v>
      </c>
      <c r="G6016">
        <v>7</v>
      </c>
      <c r="H6016">
        <v>33083</v>
      </c>
      <c r="I6016" t="s">
        <v>3399</v>
      </c>
      <c r="J6016">
        <v>63</v>
      </c>
      <c r="K6016">
        <v>47</v>
      </c>
      <c r="L6016">
        <v>98</v>
      </c>
      <c r="M6016">
        <v>629.20001220999995</v>
      </c>
      <c r="N6016" t="s">
        <v>87</v>
      </c>
      <c r="O6016" t="s">
        <v>86</v>
      </c>
      <c r="P6016">
        <v>127</v>
      </c>
      <c r="Q6016">
        <v>2</v>
      </c>
      <c r="R6016">
        <v>23</v>
      </c>
      <c r="S6016">
        <v>1424</v>
      </c>
      <c r="T6016">
        <v>-40</v>
      </c>
      <c r="U6016">
        <v>49</v>
      </c>
      <c r="V6016">
        <v>160</v>
      </c>
      <c r="W6016">
        <v>28</v>
      </c>
      <c r="X6016">
        <v>28</v>
      </c>
      <c r="Y6016">
        <v>1</v>
      </c>
      <c r="Z6016">
        <v>1</v>
      </c>
      <c r="AA6016">
        <v>26</v>
      </c>
      <c r="AB6016">
        <v>2</v>
      </c>
      <c r="AC6016">
        <v>2</v>
      </c>
      <c r="AD6016">
        <v>3.2809998999999999</v>
      </c>
      <c r="AE6016">
        <v>6</v>
      </c>
      <c r="AF6016">
        <v>30</v>
      </c>
      <c r="AG6016">
        <v>3.2690000499999998</v>
      </c>
      <c r="AH6016">
        <v>4</v>
      </c>
      <c r="AI6016">
        <v>17</v>
      </c>
      <c r="AJ6016">
        <v>1</v>
      </c>
      <c r="AK6016">
        <v>17</v>
      </c>
      <c r="AL6016">
        <v>47</v>
      </c>
      <c r="AM6016" t="s">
        <v>43</v>
      </c>
      <c r="AN6016" t="str">
        <f>HYPERLINK("https://www.google.com/maps?q=10.83413029,79.84690094","Open Location")</f>
        <v>Open Location</v>
      </c>
    </row>
    <row r="6017" spans="1:40" x14ac:dyDescent="0.3">
      <c r="A6017" s="1">
        <v>46210.302893518521</v>
      </c>
      <c r="B6017" t="s">
        <v>40</v>
      </c>
      <c r="C6017" t="s">
        <v>41</v>
      </c>
      <c r="D6017" s="1">
        <v>46210.305601851855</v>
      </c>
      <c r="E6017" t="s">
        <v>42</v>
      </c>
      <c r="F6017" t="s">
        <v>83</v>
      </c>
      <c r="G6017">
        <v>6</v>
      </c>
      <c r="H6017">
        <v>33083</v>
      </c>
      <c r="I6017" t="s">
        <v>43</v>
      </c>
      <c r="J6017">
        <v>63</v>
      </c>
      <c r="K6017">
        <v>74</v>
      </c>
      <c r="L6017">
        <v>98</v>
      </c>
      <c r="M6017">
        <v>628.5</v>
      </c>
      <c r="N6017" t="s">
        <v>87</v>
      </c>
      <c r="O6017" t="s">
        <v>86</v>
      </c>
      <c r="P6017">
        <v>127</v>
      </c>
      <c r="Q6017">
        <v>2</v>
      </c>
      <c r="R6017">
        <v>44</v>
      </c>
      <c r="S6017">
        <v>1297</v>
      </c>
      <c r="T6017">
        <v>-40</v>
      </c>
      <c r="U6017">
        <v>49</v>
      </c>
      <c r="V6017">
        <v>300</v>
      </c>
      <c r="W6017">
        <v>28</v>
      </c>
      <c r="X6017">
        <v>28</v>
      </c>
      <c r="Y6017">
        <v>1</v>
      </c>
      <c r="Z6017">
        <v>1</v>
      </c>
      <c r="AA6017">
        <v>26</v>
      </c>
      <c r="AB6017">
        <v>2</v>
      </c>
      <c r="AC6017">
        <v>2</v>
      </c>
      <c r="AD6017">
        <v>3.2869999399999998</v>
      </c>
      <c r="AE6017">
        <v>6</v>
      </c>
      <c r="AF6017">
        <v>30</v>
      </c>
      <c r="AG6017">
        <v>3.2760000200000001</v>
      </c>
      <c r="AH6017">
        <v>4</v>
      </c>
      <c r="AI6017">
        <v>17</v>
      </c>
      <c r="AJ6017">
        <v>1</v>
      </c>
      <c r="AK6017">
        <v>17</v>
      </c>
      <c r="AL6017">
        <v>47</v>
      </c>
      <c r="AM6017" t="s">
        <v>43</v>
      </c>
      <c r="AN6017" t="s">
        <v>43</v>
      </c>
    </row>
    <row r="6018" spans="1:40" x14ac:dyDescent="0.3">
      <c r="A6018" s="1">
        <v>46210.302777777775</v>
      </c>
      <c r="B6018" t="s">
        <v>40</v>
      </c>
      <c r="C6018" t="s">
        <v>41</v>
      </c>
      <c r="D6018" s="1">
        <v>46210.305428240739</v>
      </c>
      <c r="E6018" t="s">
        <v>42</v>
      </c>
      <c r="F6018" t="s">
        <v>83</v>
      </c>
      <c r="G6018">
        <v>0</v>
      </c>
      <c r="H6018">
        <v>33083</v>
      </c>
      <c r="I6018" t="s">
        <v>3400</v>
      </c>
      <c r="J6018">
        <v>63</v>
      </c>
      <c r="K6018">
        <v>9</v>
      </c>
      <c r="L6018">
        <v>98</v>
      </c>
      <c r="M6018">
        <v>631.79998779000005</v>
      </c>
      <c r="N6018" t="s">
        <v>85</v>
      </c>
      <c r="O6018" t="s">
        <v>86</v>
      </c>
      <c r="P6018">
        <v>127</v>
      </c>
      <c r="Q6018">
        <v>2</v>
      </c>
      <c r="R6018">
        <v>0</v>
      </c>
      <c r="S6018">
        <v>0</v>
      </c>
      <c r="T6018">
        <v>-40</v>
      </c>
      <c r="U6018">
        <v>48</v>
      </c>
      <c r="V6018">
        <v>5</v>
      </c>
      <c r="W6018">
        <v>28</v>
      </c>
      <c r="X6018">
        <v>28</v>
      </c>
      <c r="Y6018">
        <v>1</v>
      </c>
      <c r="Z6018">
        <v>1</v>
      </c>
      <c r="AA6018">
        <v>26</v>
      </c>
      <c r="AB6018">
        <v>2</v>
      </c>
      <c r="AC6018">
        <v>2</v>
      </c>
      <c r="AD6018">
        <v>3.2999999500000001</v>
      </c>
      <c r="AE6018">
        <v>6</v>
      </c>
      <c r="AF6018">
        <v>30</v>
      </c>
      <c r="AG6018">
        <v>3.28900003</v>
      </c>
      <c r="AH6018">
        <v>4</v>
      </c>
      <c r="AI6018">
        <v>17</v>
      </c>
      <c r="AJ6018">
        <v>1</v>
      </c>
      <c r="AK6018">
        <v>18</v>
      </c>
      <c r="AL6018">
        <v>47</v>
      </c>
      <c r="AM6018" t="s">
        <v>43</v>
      </c>
      <c r="AN6018" t="str">
        <f>HYPERLINK("https://www.google.com/maps?q=10.83427143,79.84705353","Open Location")</f>
        <v>Open Location</v>
      </c>
    </row>
    <row r="6019" spans="1:40" x14ac:dyDescent="0.3">
      <c r="A6019" s="1">
        <v>46210.302662037036</v>
      </c>
      <c r="B6019" t="s">
        <v>40</v>
      </c>
      <c r="C6019" t="s">
        <v>41</v>
      </c>
      <c r="D6019" s="1">
        <v>46210.305474537039</v>
      </c>
      <c r="E6019" t="s">
        <v>42</v>
      </c>
      <c r="F6019" t="s">
        <v>83</v>
      </c>
      <c r="G6019">
        <v>0</v>
      </c>
      <c r="H6019">
        <v>33083</v>
      </c>
      <c r="I6019" t="s">
        <v>3401</v>
      </c>
      <c r="J6019">
        <v>63</v>
      </c>
      <c r="K6019">
        <v>9</v>
      </c>
      <c r="L6019">
        <v>98</v>
      </c>
      <c r="M6019">
        <v>631.70001220999995</v>
      </c>
      <c r="N6019" t="s">
        <v>85</v>
      </c>
      <c r="O6019" t="s">
        <v>86</v>
      </c>
      <c r="P6019">
        <v>127</v>
      </c>
      <c r="Q6019">
        <v>2</v>
      </c>
      <c r="R6019">
        <v>9</v>
      </c>
      <c r="S6019">
        <v>154</v>
      </c>
      <c r="T6019">
        <v>-40</v>
      </c>
      <c r="U6019">
        <v>47</v>
      </c>
      <c r="V6019">
        <v>33</v>
      </c>
      <c r="W6019">
        <v>28</v>
      </c>
      <c r="X6019">
        <v>28</v>
      </c>
      <c r="Y6019">
        <v>1</v>
      </c>
      <c r="Z6019">
        <v>1</v>
      </c>
      <c r="AA6019">
        <v>26</v>
      </c>
      <c r="AB6019">
        <v>2</v>
      </c>
      <c r="AC6019">
        <v>2</v>
      </c>
      <c r="AD6019">
        <v>3.2990000199999998</v>
      </c>
      <c r="AE6019">
        <v>6</v>
      </c>
      <c r="AF6019">
        <v>30</v>
      </c>
      <c r="AG6019">
        <v>3.28900003</v>
      </c>
      <c r="AH6019">
        <v>2</v>
      </c>
      <c r="AI6019">
        <v>45</v>
      </c>
      <c r="AJ6019">
        <v>1</v>
      </c>
      <c r="AK6019">
        <v>17</v>
      </c>
      <c r="AL6019">
        <v>47</v>
      </c>
      <c r="AM6019" t="s">
        <v>43</v>
      </c>
      <c r="AN6019" t="str">
        <f>HYPERLINK("https://www.google.com/maps?q=10.8342762,79.84706879","Open Location")</f>
        <v>Open Location</v>
      </c>
    </row>
    <row r="6020" spans="1:40" x14ac:dyDescent="0.3">
      <c r="A6020" s="1">
        <v>46210.302546296298</v>
      </c>
      <c r="B6020" t="s">
        <v>40</v>
      </c>
      <c r="C6020" t="s">
        <v>41</v>
      </c>
      <c r="D6020" s="1">
        <v>46210.305243055554</v>
      </c>
      <c r="E6020" t="s">
        <v>43</v>
      </c>
      <c r="F6020" t="s">
        <v>83</v>
      </c>
      <c r="G6020">
        <v>0</v>
      </c>
      <c r="H6020">
        <v>33083</v>
      </c>
      <c r="I6020" t="s">
        <v>3402</v>
      </c>
      <c r="J6020">
        <v>63</v>
      </c>
      <c r="K6020">
        <v>12</v>
      </c>
      <c r="L6020">
        <v>98</v>
      </c>
      <c r="M6020">
        <v>632.20001220999995</v>
      </c>
      <c r="N6020" t="s">
        <v>85</v>
      </c>
      <c r="O6020" t="s">
        <v>86</v>
      </c>
      <c r="P6020">
        <v>127</v>
      </c>
      <c r="Q6020">
        <v>2</v>
      </c>
      <c r="R6020">
        <v>8</v>
      </c>
      <c r="S6020">
        <v>0</v>
      </c>
      <c r="T6020">
        <v>-40</v>
      </c>
      <c r="U6020">
        <v>49</v>
      </c>
      <c r="V6020">
        <v>555</v>
      </c>
      <c r="W6020">
        <v>28</v>
      </c>
      <c r="X6020">
        <v>28</v>
      </c>
      <c r="Y6020">
        <v>1</v>
      </c>
      <c r="Z6020">
        <v>1</v>
      </c>
      <c r="AA6020">
        <v>26</v>
      </c>
      <c r="AB6020">
        <v>2</v>
      </c>
      <c r="AC6020">
        <v>2</v>
      </c>
      <c r="AD6020">
        <v>3.2980000999999999</v>
      </c>
      <c r="AE6020">
        <v>6</v>
      </c>
      <c r="AF6020">
        <v>30</v>
      </c>
      <c r="AG6020">
        <v>3.2869999399999998</v>
      </c>
      <c r="AH6020">
        <v>4</v>
      </c>
      <c r="AI6020">
        <v>17</v>
      </c>
      <c r="AJ6020">
        <v>1</v>
      </c>
      <c r="AK6020">
        <v>18</v>
      </c>
      <c r="AL6020">
        <v>47</v>
      </c>
      <c r="AM6020" t="s">
        <v>43</v>
      </c>
      <c r="AN6020" t="str">
        <f>HYPERLINK("https://www.google.com/maps?q=10.83428383,79.84709167","Open Location")</f>
        <v>Open Location</v>
      </c>
    </row>
    <row r="6021" spans="1:40" x14ac:dyDescent="0.3">
      <c r="A6021" s="1">
        <v>46210.302430555559</v>
      </c>
      <c r="B6021" t="s">
        <v>40</v>
      </c>
      <c r="C6021" t="s">
        <v>41</v>
      </c>
      <c r="D6021" s="1">
        <v>46210.305243055554</v>
      </c>
      <c r="E6021" t="s">
        <v>42</v>
      </c>
      <c r="F6021" t="s">
        <v>83</v>
      </c>
      <c r="G6021">
        <v>0</v>
      </c>
      <c r="H6021">
        <v>33083</v>
      </c>
      <c r="I6021" t="s">
        <v>3403</v>
      </c>
      <c r="J6021">
        <v>63</v>
      </c>
      <c r="K6021">
        <v>9</v>
      </c>
      <c r="L6021">
        <v>98</v>
      </c>
      <c r="M6021">
        <v>632.5</v>
      </c>
      <c r="N6021" t="s">
        <v>85</v>
      </c>
      <c r="O6021" t="s">
        <v>86</v>
      </c>
      <c r="P6021">
        <v>127</v>
      </c>
      <c r="Q6021">
        <v>2</v>
      </c>
      <c r="R6021">
        <v>0</v>
      </c>
      <c r="S6021">
        <v>95</v>
      </c>
      <c r="T6021">
        <v>-40</v>
      </c>
      <c r="U6021">
        <v>47</v>
      </c>
      <c r="V6021">
        <v>-5</v>
      </c>
      <c r="W6021">
        <v>28</v>
      </c>
      <c r="X6021">
        <v>28</v>
      </c>
      <c r="Y6021">
        <v>1</v>
      </c>
      <c r="Z6021">
        <v>1</v>
      </c>
      <c r="AA6021">
        <v>26</v>
      </c>
      <c r="AB6021">
        <v>2</v>
      </c>
      <c r="AC6021">
        <v>2</v>
      </c>
      <c r="AD6021">
        <v>3.2950000799999999</v>
      </c>
      <c r="AE6021">
        <v>6</v>
      </c>
      <c r="AF6021">
        <v>30</v>
      </c>
      <c r="AG6021">
        <v>3.2839999199999999</v>
      </c>
      <c r="AH6021">
        <v>4</v>
      </c>
      <c r="AI6021">
        <v>17</v>
      </c>
      <c r="AJ6021">
        <v>1</v>
      </c>
      <c r="AK6021">
        <v>20</v>
      </c>
      <c r="AL6021">
        <v>47</v>
      </c>
      <c r="AM6021" t="s">
        <v>43</v>
      </c>
      <c r="AN6021" t="str">
        <f>HYPERLINK("https://www.google.com/maps?q=10.83429337,79.84712219","Open Location")</f>
        <v>Open Location</v>
      </c>
    </row>
    <row r="6022" spans="1:40" x14ac:dyDescent="0.3">
      <c r="A6022" s="1">
        <v>46210.302314814813</v>
      </c>
      <c r="B6022" t="s">
        <v>40</v>
      </c>
      <c r="C6022" t="s">
        <v>41</v>
      </c>
      <c r="D6022" s="1">
        <v>46210.305243055554</v>
      </c>
      <c r="E6022" t="s">
        <v>42</v>
      </c>
      <c r="F6022" t="s">
        <v>83</v>
      </c>
      <c r="G6022">
        <v>0</v>
      </c>
      <c r="H6022">
        <v>33083</v>
      </c>
      <c r="I6022" t="s">
        <v>3403</v>
      </c>
      <c r="J6022">
        <v>63</v>
      </c>
      <c r="K6022">
        <v>9</v>
      </c>
      <c r="L6022">
        <v>98</v>
      </c>
      <c r="M6022">
        <v>631.79998779000005</v>
      </c>
      <c r="N6022" t="s">
        <v>85</v>
      </c>
      <c r="O6022" t="s">
        <v>86</v>
      </c>
      <c r="P6022">
        <v>127</v>
      </c>
      <c r="Q6022">
        <v>2</v>
      </c>
      <c r="R6022">
        <v>0</v>
      </c>
      <c r="S6022">
        <v>0</v>
      </c>
      <c r="T6022">
        <v>-40</v>
      </c>
      <c r="U6022">
        <v>48</v>
      </c>
      <c r="V6022">
        <v>5</v>
      </c>
      <c r="W6022">
        <v>28</v>
      </c>
      <c r="X6022">
        <v>28</v>
      </c>
      <c r="Y6022">
        <v>1</v>
      </c>
      <c r="Z6022">
        <v>1</v>
      </c>
      <c r="AA6022">
        <v>26</v>
      </c>
      <c r="AB6022">
        <v>2</v>
      </c>
      <c r="AC6022">
        <v>2</v>
      </c>
      <c r="AD6022">
        <v>3.2999999500000001</v>
      </c>
      <c r="AE6022">
        <v>6</v>
      </c>
      <c r="AF6022">
        <v>30</v>
      </c>
      <c r="AG6022">
        <v>3.2899999599999998</v>
      </c>
      <c r="AH6022">
        <v>4</v>
      </c>
      <c r="AI6022">
        <v>17</v>
      </c>
      <c r="AJ6022">
        <v>1</v>
      </c>
      <c r="AK6022">
        <v>20</v>
      </c>
      <c r="AL6022">
        <v>47</v>
      </c>
      <c r="AM6022" t="s">
        <v>43</v>
      </c>
      <c r="AN6022" t="str">
        <f>HYPERLINK("https://www.google.com/maps?q=10.83429337,79.84712219","Open Location")</f>
        <v>Open Location</v>
      </c>
    </row>
    <row r="6023" spans="1:40" x14ac:dyDescent="0.3">
      <c r="A6023" s="1">
        <v>46210.302199074074</v>
      </c>
      <c r="B6023" t="s">
        <v>40</v>
      </c>
      <c r="C6023" t="s">
        <v>41</v>
      </c>
      <c r="D6023" s="1">
        <v>46210.305081018516</v>
      </c>
      <c r="E6023" t="s">
        <v>42</v>
      </c>
      <c r="F6023" t="s">
        <v>83</v>
      </c>
      <c r="G6023">
        <v>0</v>
      </c>
      <c r="H6023">
        <v>33083</v>
      </c>
      <c r="I6023" t="s">
        <v>43</v>
      </c>
      <c r="J6023">
        <v>63</v>
      </c>
      <c r="K6023">
        <v>20</v>
      </c>
      <c r="L6023">
        <v>98</v>
      </c>
      <c r="M6023">
        <v>631.59997558999999</v>
      </c>
      <c r="N6023" t="s">
        <v>85</v>
      </c>
      <c r="O6023" t="s">
        <v>86</v>
      </c>
      <c r="P6023">
        <v>127</v>
      </c>
      <c r="Q6023">
        <v>2</v>
      </c>
      <c r="R6023">
        <v>11</v>
      </c>
      <c r="S6023">
        <v>0</v>
      </c>
      <c r="T6023">
        <v>-40</v>
      </c>
      <c r="U6023">
        <v>49</v>
      </c>
      <c r="V6023">
        <v>5</v>
      </c>
      <c r="W6023">
        <v>28</v>
      </c>
      <c r="X6023">
        <v>28</v>
      </c>
      <c r="Y6023">
        <v>1</v>
      </c>
      <c r="Z6023">
        <v>1</v>
      </c>
      <c r="AA6023">
        <v>26</v>
      </c>
      <c r="AB6023">
        <v>2</v>
      </c>
      <c r="AC6023">
        <v>2</v>
      </c>
      <c r="AD6023">
        <v>3.2950000799999999</v>
      </c>
      <c r="AE6023">
        <v>6</v>
      </c>
      <c r="AF6023">
        <v>30</v>
      </c>
      <c r="AG6023">
        <v>3.2839999199999999</v>
      </c>
      <c r="AH6023">
        <v>4</v>
      </c>
      <c r="AI6023">
        <v>17</v>
      </c>
      <c r="AJ6023">
        <v>1</v>
      </c>
      <c r="AK6023">
        <v>17</v>
      </c>
      <c r="AL6023">
        <v>47</v>
      </c>
      <c r="AM6023" t="s">
        <v>43</v>
      </c>
      <c r="AN6023" t="s">
        <v>43</v>
      </c>
    </row>
    <row r="6024" spans="1:40" x14ac:dyDescent="0.3">
      <c r="A6024" s="1">
        <v>46210.302083333336</v>
      </c>
      <c r="B6024" t="s">
        <v>40</v>
      </c>
      <c r="C6024" t="s">
        <v>41</v>
      </c>
      <c r="D6024" s="1">
        <v>46210.304988425924</v>
      </c>
      <c r="E6024" t="s">
        <v>42</v>
      </c>
      <c r="F6024" t="s">
        <v>83</v>
      </c>
      <c r="G6024">
        <v>0</v>
      </c>
      <c r="H6024" t="s">
        <v>43</v>
      </c>
      <c r="I6024" t="s">
        <v>43</v>
      </c>
      <c r="J6024">
        <v>63</v>
      </c>
      <c r="K6024">
        <v>7</v>
      </c>
      <c r="L6024">
        <v>98</v>
      </c>
      <c r="M6024">
        <v>632.5</v>
      </c>
      <c r="N6024" t="s">
        <v>85</v>
      </c>
      <c r="O6024" t="s">
        <v>86</v>
      </c>
      <c r="P6024">
        <v>125</v>
      </c>
      <c r="Q6024">
        <v>2</v>
      </c>
      <c r="R6024">
        <v>0</v>
      </c>
      <c r="S6024">
        <v>290</v>
      </c>
      <c r="T6024">
        <v>-40</v>
      </c>
      <c r="U6024">
        <v>45</v>
      </c>
      <c r="V6024">
        <v>240</v>
      </c>
      <c r="W6024">
        <v>28</v>
      </c>
      <c r="X6024">
        <v>28</v>
      </c>
      <c r="Y6024">
        <v>1</v>
      </c>
      <c r="Z6024">
        <v>1</v>
      </c>
      <c r="AA6024">
        <v>26</v>
      </c>
      <c r="AB6024">
        <v>2</v>
      </c>
      <c r="AC6024">
        <v>2</v>
      </c>
      <c r="AD6024">
        <v>3.3020000500000002</v>
      </c>
      <c r="AE6024">
        <v>6</v>
      </c>
      <c r="AF6024">
        <v>30</v>
      </c>
      <c r="AG6024">
        <v>3.2899999599999998</v>
      </c>
      <c r="AH6024">
        <v>4</v>
      </c>
      <c r="AI6024">
        <v>17</v>
      </c>
      <c r="AJ6024">
        <v>1</v>
      </c>
      <c r="AK6024">
        <v>27</v>
      </c>
      <c r="AL6024">
        <v>47</v>
      </c>
      <c r="AM6024" t="s">
        <v>43</v>
      </c>
      <c r="AN6024" t="s">
        <v>43</v>
      </c>
    </row>
    <row r="6025" spans="1:40" x14ac:dyDescent="0.3">
      <c r="A6025" s="1">
        <v>46210.30196759259</v>
      </c>
      <c r="B6025" t="s">
        <v>40</v>
      </c>
      <c r="C6025" t="s">
        <v>41</v>
      </c>
      <c r="D6025" s="1">
        <v>46210.304861111108</v>
      </c>
      <c r="E6025" t="s">
        <v>42</v>
      </c>
      <c r="F6025" t="s">
        <v>83</v>
      </c>
      <c r="G6025">
        <v>0</v>
      </c>
      <c r="H6025">
        <v>33083</v>
      </c>
      <c r="I6025" t="s">
        <v>3404</v>
      </c>
      <c r="J6025">
        <v>0</v>
      </c>
      <c r="K6025">
        <v>-3200</v>
      </c>
      <c r="L6025">
        <v>0</v>
      </c>
      <c r="M6025">
        <v>0</v>
      </c>
      <c r="N6025" t="s">
        <v>81</v>
      </c>
      <c r="O6025" t="s">
        <v>82</v>
      </c>
      <c r="P6025">
        <v>125</v>
      </c>
      <c r="Q6025" t="s">
        <v>43</v>
      </c>
      <c r="R6025">
        <v>0</v>
      </c>
      <c r="S6025">
        <v>0</v>
      </c>
      <c r="T6025">
        <v>-40</v>
      </c>
      <c r="U6025">
        <v>45</v>
      </c>
      <c r="V6025">
        <v>0</v>
      </c>
      <c r="W6025">
        <v>28</v>
      </c>
      <c r="X6025">
        <v>28</v>
      </c>
      <c r="Y6025">
        <v>1</v>
      </c>
      <c r="Z6025">
        <v>1</v>
      </c>
      <c r="AA6025">
        <v>26</v>
      </c>
      <c r="AB6025">
        <v>2</v>
      </c>
      <c r="AC6025">
        <v>2</v>
      </c>
      <c r="AD6025">
        <v>3.3050000700000002</v>
      </c>
      <c r="AE6025">
        <v>6</v>
      </c>
      <c r="AF6025">
        <v>30</v>
      </c>
      <c r="AG6025">
        <v>3.2939999100000001</v>
      </c>
      <c r="AH6025">
        <v>8</v>
      </c>
      <c r="AI6025">
        <v>48</v>
      </c>
      <c r="AJ6025">
        <v>0</v>
      </c>
      <c r="AK6025">
        <v>0</v>
      </c>
      <c r="AL6025">
        <v>47</v>
      </c>
      <c r="AM6025" t="s">
        <v>43</v>
      </c>
      <c r="AN6025" t="str">
        <f>HYPERLINK("https://www.google.com/maps?q=10.83429623,79.84716797","Open Location")</f>
        <v>Open Location</v>
      </c>
    </row>
    <row r="6026" spans="1:40" x14ac:dyDescent="0.3">
      <c r="A6026" s="1">
        <v>46210.301851851851</v>
      </c>
      <c r="B6026" t="s">
        <v>40</v>
      </c>
      <c r="C6026" t="s">
        <v>41</v>
      </c>
      <c r="D6026" s="1">
        <v>46210.3044212963</v>
      </c>
      <c r="E6026" t="s">
        <v>43</v>
      </c>
      <c r="F6026" t="s">
        <v>43</v>
      </c>
      <c r="G6026" t="s">
        <v>43</v>
      </c>
      <c r="H6026" t="s">
        <v>43</v>
      </c>
      <c r="I6026" t="s">
        <v>3405</v>
      </c>
      <c r="J6026" t="s">
        <v>43</v>
      </c>
      <c r="K6026" t="s">
        <v>43</v>
      </c>
      <c r="L6026" t="s">
        <v>43</v>
      </c>
      <c r="M6026" t="s">
        <v>43</v>
      </c>
      <c r="N6026" t="s">
        <v>45</v>
      </c>
      <c r="O6026" t="s">
        <v>43</v>
      </c>
      <c r="P6026" t="s">
        <v>43</v>
      </c>
      <c r="Q6026" t="s">
        <v>43</v>
      </c>
      <c r="R6026" t="s">
        <v>43</v>
      </c>
      <c r="S6026" t="s">
        <v>43</v>
      </c>
      <c r="T6026" t="s">
        <v>43</v>
      </c>
      <c r="U6026" t="s">
        <v>43</v>
      </c>
      <c r="V6026" t="s">
        <v>43</v>
      </c>
      <c r="W6026" t="s">
        <v>43</v>
      </c>
      <c r="X6026" t="s">
        <v>43</v>
      </c>
      <c r="Y6026" t="s">
        <v>43</v>
      </c>
      <c r="Z6026" t="s">
        <v>43</v>
      </c>
      <c r="AA6026" t="s">
        <v>43</v>
      </c>
      <c r="AB6026" t="s">
        <v>43</v>
      </c>
      <c r="AC6026" t="s">
        <v>43</v>
      </c>
      <c r="AD6026" t="s">
        <v>43</v>
      </c>
      <c r="AE6026" t="s">
        <v>43</v>
      </c>
      <c r="AF6026" t="s">
        <v>43</v>
      </c>
      <c r="AG6026" t="s">
        <v>43</v>
      </c>
      <c r="AH6026" t="s">
        <v>43</v>
      </c>
      <c r="AI6026" t="s">
        <v>43</v>
      </c>
      <c r="AJ6026" t="s">
        <v>43</v>
      </c>
      <c r="AK6026" t="s">
        <v>43</v>
      </c>
      <c r="AL6026" t="s">
        <v>43</v>
      </c>
      <c r="AM6026" t="s">
        <v>43</v>
      </c>
      <c r="AN6026" t="str">
        <f>HYPERLINK("https://www.google.com/maps?q=10.83430099,79.8471756","Open Location")</f>
        <v>Open Location</v>
      </c>
    </row>
    <row r="6027" spans="1:40" x14ac:dyDescent="0.3">
      <c r="A6027" s="1">
        <v>46210.301736111112</v>
      </c>
      <c r="B6027" t="s">
        <v>40</v>
      </c>
      <c r="C6027" t="s">
        <v>41</v>
      </c>
      <c r="D6027" s="1">
        <v>46210.304456018515</v>
      </c>
      <c r="E6027" t="s">
        <v>42</v>
      </c>
      <c r="F6027" t="s">
        <v>43</v>
      </c>
      <c r="G6027" t="s">
        <v>43</v>
      </c>
      <c r="H6027" t="s">
        <v>43</v>
      </c>
      <c r="I6027" t="s">
        <v>3404</v>
      </c>
      <c r="J6027" t="s">
        <v>43</v>
      </c>
      <c r="K6027" t="s">
        <v>43</v>
      </c>
      <c r="L6027" t="s">
        <v>43</v>
      </c>
      <c r="M6027" t="s">
        <v>43</v>
      </c>
      <c r="N6027" t="s">
        <v>45</v>
      </c>
      <c r="O6027" t="s">
        <v>43</v>
      </c>
      <c r="P6027" t="s">
        <v>43</v>
      </c>
      <c r="Q6027" t="s">
        <v>43</v>
      </c>
      <c r="R6027" t="s">
        <v>43</v>
      </c>
      <c r="S6027" t="s">
        <v>43</v>
      </c>
      <c r="T6027" t="s">
        <v>43</v>
      </c>
      <c r="U6027" t="s">
        <v>43</v>
      </c>
      <c r="V6027" t="s">
        <v>43</v>
      </c>
      <c r="W6027" t="s">
        <v>43</v>
      </c>
      <c r="X6027" t="s">
        <v>43</v>
      </c>
      <c r="Y6027" t="s">
        <v>43</v>
      </c>
      <c r="Z6027" t="s">
        <v>43</v>
      </c>
      <c r="AA6027" t="s">
        <v>43</v>
      </c>
      <c r="AB6027" t="s">
        <v>43</v>
      </c>
      <c r="AC6027" t="s">
        <v>43</v>
      </c>
      <c r="AD6027" t="s">
        <v>43</v>
      </c>
      <c r="AE6027" t="s">
        <v>43</v>
      </c>
      <c r="AF6027" t="s">
        <v>43</v>
      </c>
      <c r="AG6027" t="s">
        <v>43</v>
      </c>
      <c r="AH6027" t="s">
        <v>43</v>
      </c>
      <c r="AI6027" t="s">
        <v>43</v>
      </c>
      <c r="AJ6027" t="s">
        <v>43</v>
      </c>
      <c r="AK6027" t="s">
        <v>43</v>
      </c>
      <c r="AL6027" t="s">
        <v>43</v>
      </c>
      <c r="AM6027" t="s">
        <v>43</v>
      </c>
      <c r="AN6027" t="str">
        <f>HYPERLINK("https://www.google.com/maps?q=10.83429623,79.84716797","Open Location")</f>
        <v>Open Location</v>
      </c>
    </row>
    <row r="6028" spans="1:40" x14ac:dyDescent="0.3">
      <c r="A6028" s="1">
        <v>46210.301620370374</v>
      </c>
      <c r="B6028" t="s">
        <v>40</v>
      </c>
      <c r="C6028" t="s">
        <v>41</v>
      </c>
      <c r="D6028" s="1">
        <v>46210.3044212963</v>
      </c>
      <c r="E6028" t="s">
        <v>42</v>
      </c>
      <c r="F6028" t="s">
        <v>43</v>
      </c>
      <c r="G6028" t="s">
        <v>43</v>
      </c>
      <c r="H6028" t="s">
        <v>43</v>
      </c>
      <c r="I6028" t="s">
        <v>3406</v>
      </c>
      <c r="J6028" t="s">
        <v>43</v>
      </c>
      <c r="K6028" t="s">
        <v>43</v>
      </c>
      <c r="L6028" t="s">
        <v>43</v>
      </c>
      <c r="M6028" t="s">
        <v>43</v>
      </c>
      <c r="N6028" t="s">
        <v>45</v>
      </c>
      <c r="O6028" t="s">
        <v>43</v>
      </c>
      <c r="P6028" t="s">
        <v>43</v>
      </c>
      <c r="Q6028" t="s">
        <v>43</v>
      </c>
      <c r="R6028" t="s">
        <v>43</v>
      </c>
      <c r="S6028" t="s">
        <v>43</v>
      </c>
      <c r="T6028" t="s">
        <v>43</v>
      </c>
      <c r="U6028" t="s">
        <v>43</v>
      </c>
      <c r="V6028" t="s">
        <v>43</v>
      </c>
      <c r="W6028" t="s">
        <v>43</v>
      </c>
      <c r="X6028" t="s">
        <v>43</v>
      </c>
      <c r="Y6028" t="s">
        <v>43</v>
      </c>
      <c r="Z6028" t="s">
        <v>43</v>
      </c>
      <c r="AA6028" t="s">
        <v>43</v>
      </c>
      <c r="AB6028" t="s">
        <v>43</v>
      </c>
      <c r="AC6028" t="s">
        <v>43</v>
      </c>
      <c r="AD6028" t="s">
        <v>43</v>
      </c>
      <c r="AE6028" t="s">
        <v>43</v>
      </c>
      <c r="AF6028" t="s">
        <v>43</v>
      </c>
      <c r="AG6028" t="s">
        <v>43</v>
      </c>
      <c r="AH6028" t="s">
        <v>43</v>
      </c>
      <c r="AI6028" t="s">
        <v>43</v>
      </c>
      <c r="AJ6028" t="s">
        <v>43</v>
      </c>
      <c r="AK6028" t="s">
        <v>43</v>
      </c>
      <c r="AL6028" t="s">
        <v>43</v>
      </c>
      <c r="AM6028" t="s">
        <v>43</v>
      </c>
      <c r="AN6028" t="str">
        <f>HYPERLINK("https://www.google.com/maps?q=10.83428955,79.84715271","Open Location")</f>
        <v>Open Location</v>
      </c>
    </row>
    <row r="6029" spans="1:40" x14ac:dyDescent="0.3">
      <c r="A6029" s="1">
        <v>46210.301504629628</v>
      </c>
      <c r="B6029" t="s">
        <v>40</v>
      </c>
      <c r="C6029" t="s">
        <v>41</v>
      </c>
      <c r="D6029" s="1">
        <v>46210.304247685184</v>
      </c>
      <c r="E6029" t="s">
        <v>42</v>
      </c>
      <c r="F6029" t="s">
        <v>43</v>
      </c>
      <c r="G6029" t="s">
        <v>43</v>
      </c>
      <c r="H6029" t="s">
        <v>43</v>
      </c>
      <c r="I6029" t="s">
        <v>43</v>
      </c>
      <c r="J6029" t="s">
        <v>43</v>
      </c>
      <c r="K6029" t="s">
        <v>43</v>
      </c>
      <c r="L6029" t="s">
        <v>43</v>
      </c>
      <c r="M6029" t="s">
        <v>43</v>
      </c>
      <c r="N6029" t="s">
        <v>45</v>
      </c>
      <c r="O6029" t="s">
        <v>43</v>
      </c>
      <c r="P6029" t="s">
        <v>43</v>
      </c>
      <c r="Q6029" t="s">
        <v>43</v>
      </c>
      <c r="R6029" t="s">
        <v>43</v>
      </c>
      <c r="S6029" t="s">
        <v>43</v>
      </c>
      <c r="T6029" t="s">
        <v>43</v>
      </c>
      <c r="U6029" t="s">
        <v>43</v>
      </c>
      <c r="V6029" t="s">
        <v>43</v>
      </c>
      <c r="W6029" t="s">
        <v>43</v>
      </c>
      <c r="X6029" t="s">
        <v>43</v>
      </c>
      <c r="Y6029" t="s">
        <v>43</v>
      </c>
      <c r="Z6029" t="s">
        <v>43</v>
      </c>
      <c r="AA6029" t="s">
        <v>43</v>
      </c>
      <c r="AB6029" t="s">
        <v>43</v>
      </c>
      <c r="AC6029" t="s">
        <v>43</v>
      </c>
      <c r="AD6029" t="s">
        <v>43</v>
      </c>
      <c r="AE6029" t="s">
        <v>43</v>
      </c>
      <c r="AF6029" t="s">
        <v>43</v>
      </c>
      <c r="AG6029" t="s">
        <v>43</v>
      </c>
      <c r="AH6029" t="s">
        <v>43</v>
      </c>
      <c r="AI6029" t="s">
        <v>43</v>
      </c>
      <c r="AJ6029" t="s">
        <v>43</v>
      </c>
      <c r="AK6029" t="s">
        <v>43</v>
      </c>
      <c r="AL6029" t="s">
        <v>43</v>
      </c>
      <c r="AM6029" t="s">
        <v>43</v>
      </c>
      <c r="AN6029" t="s">
        <v>43</v>
      </c>
    </row>
    <row r="6030" spans="1:40" x14ac:dyDescent="0.3">
      <c r="A6030" s="1">
        <v>46210.301388888889</v>
      </c>
      <c r="B6030" t="s">
        <v>40</v>
      </c>
      <c r="C6030" t="s">
        <v>41</v>
      </c>
      <c r="D6030" s="1">
        <v>46210.304432870369</v>
      </c>
      <c r="E6030" t="s">
        <v>42</v>
      </c>
      <c r="F6030" t="s">
        <v>43</v>
      </c>
      <c r="G6030" t="s">
        <v>43</v>
      </c>
      <c r="H6030" t="s">
        <v>43</v>
      </c>
      <c r="I6030" t="s">
        <v>3407</v>
      </c>
      <c r="J6030" t="s">
        <v>43</v>
      </c>
      <c r="K6030" t="s">
        <v>43</v>
      </c>
      <c r="L6030" t="s">
        <v>43</v>
      </c>
      <c r="M6030" t="s">
        <v>43</v>
      </c>
      <c r="N6030" t="s">
        <v>45</v>
      </c>
      <c r="O6030" t="s">
        <v>43</v>
      </c>
      <c r="P6030" t="s">
        <v>43</v>
      </c>
      <c r="Q6030" t="s">
        <v>43</v>
      </c>
      <c r="R6030" t="s">
        <v>43</v>
      </c>
      <c r="S6030" t="s">
        <v>43</v>
      </c>
      <c r="T6030" t="s">
        <v>43</v>
      </c>
      <c r="U6030" t="s">
        <v>43</v>
      </c>
      <c r="V6030" t="s">
        <v>43</v>
      </c>
      <c r="W6030" t="s">
        <v>43</v>
      </c>
      <c r="X6030" t="s">
        <v>43</v>
      </c>
      <c r="Y6030" t="s">
        <v>43</v>
      </c>
      <c r="Z6030" t="s">
        <v>43</v>
      </c>
      <c r="AA6030" t="s">
        <v>43</v>
      </c>
      <c r="AB6030" t="s">
        <v>43</v>
      </c>
      <c r="AC6030" t="s">
        <v>43</v>
      </c>
      <c r="AD6030" t="s">
        <v>43</v>
      </c>
      <c r="AE6030" t="s">
        <v>43</v>
      </c>
      <c r="AF6030" t="s">
        <v>43</v>
      </c>
      <c r="AG6030" t="s">
        <v>43</v>
      </c>
      <c r="AH6030" t="s">
        <v>43</v>
      </c>
      <c r="AI6030" t="s">
        <v>43</v>
      </c>
      <c r="AJ6030" t="s">
        <v>43</v>
      </c>
      <c r="AK6030" t="s">
        <v>43</v>
      </c>
      <c r="AL6030" t="s">
        <v>43</v>
      </c>
      <c r="AM6030" t="s">
        <v>43</v>
      </c>
      <c r="AN6030" t="str">
        <f>HYPERLINK("https://www.google.com/maps?q=10.83427715,79.84715271","Open Location")</f>
        <v>Open Location</v>
      </c>
    </row>
    <row r="6031" spans="1:40" x14ac:dyDescent="0.3">
      <c r="A6031" s="1">
        <v>46210.30127314815</v>
      </c>
      <c r="B6031" t="s">
        <v>40</v>
      </c>
      <c r="C6031" t="s">
        <v>41</v>
      </c>
      <c r="D6031" s="1">
        <v>46210.304097222222</v>
      </c>
      <c r="E6031" t="s">
        <v>42</v>
      </c>
      <c r="F6031" t="s">
        <v>43</v>
      </c>
      <c r="G6031" t="s">
        <v>43</v>
      </c>
      <c r="H6031" t="s">
        <v>43</v>
      </c>
      <c r="I6031" t="s">
        <v>3408</v>
      </c>
      <c r="J6031" t="s">
        <v>43</v>
      </c>
      <c r="K6031" t="s">
        <v>43</v>
      </c>
      <c r="L6031" t="s">
        <v>43</v>
      </c>
      <c r="M6031" t="s">
        <v>43</v>
      </c>
      <c r="N6031" t="s">
        <v>45</v>
      </c>
      <c r="O6031" t="s">
        <v>43</v>
      </c>
      <c r="P6031" t="s">
        <v>43</v>
      </c>
      <c r="Q6031" t="s">
        <v>43</v>
      </c>
      <c r="R6031" t="s">
        <v>43</v>
      </c>
      <c r="S6031" t="s">
        <v>43</v>
      </c>
      <c r="T6031" t="s">
        <v>43</v>
      </c>
      <c r="U6031" t="s">
        <v>43</v>
      </c>
      <c r="V6031" t="s">
        <v>43</v>
      </c>
      <c r="W6031" t="s">
        <v>43</v>
      </c>
      <c r="X6031" t="s">
        <v>43</v>
      </c>
      <c r="Y6031" t="s">
        <v>43</v>
      </c>
      <c r="Z6031" t="s">
        <v>43</v>
      </c>
      <c r="AA6031" t="s">
        <v>43</v>
      </c>
      <c r="AB6031" t="s">
        <v>43</v>
      </c>
      <c r="AC6031" t="s">
        <v>43</v>
      </c>
      <c r="AD6031" t="s">
        <v>43</v>
      </c>
      <c r="AE6031" t="s">
        <v>43</v>
      </c>
      <c r="AF6031" t="s">
        <v>43</v>
      </c>
      <c r="AG6031" t="s">
        <v>43</v>
      </c>
      <c r="AH6031" t="s">
        <v>43</v>
      </c>
      <c r="AI6031" t="s">
        <v>43</v>
      </c>
      <c r="AJ6031" t="s">
        <v>43</v>
      </c>
      <c r="AK6031" t="s">
        <v>43</v>
      </c>
      <c r="AL6031" t="s">
        <v>43</v>
      </c>
      <c r="AM6031" t="s">
        <v>43</v>
      </c>
      <c r="AN6031" t="str">
        <f>HYPERLINK("https://www.google.com/maps?q=10.83427525,79.84715271","Open Location")</f>
        <v>Open Location</v>
      </c>
    </row>
    <row r="6032" spans="1:40" x14ac:dyDescent="0.3">
      <c r="A6032" s="1">
        <v>46210.301157407404</v>
      </c>
      <c r="B6032" t="s">
        <v>40</v>
      </c>
      <c r="C6032" t="s">
        <v>41</v>
      </c>
      <c r="D6032" s="1">
        <v>46210.304097222222</v>
      </c>
      <c r="E6032" t="s">
        <v>42</v>
      </c>
      <c r="F6032" t="s">
        <v>43</v>
      </c>
      <c r="G6032" t="s">
        <v>43</v>
      </c>
      <c r="H6032" t="s">
        <v>43</v>
      </c>
      <c r="I6032" t="s">
        <v>3409</v>
      </c>
      <c r="J6032" t="s">
        <v>43</v>
      </c>
      <c r="K6032" t="s">
        <v>43</v>
      </c>
      <c r="L6032" t="s">
        <v>43</v>
      </c>
      <c r="M6032" t="s">
        <v>43</v>
      </c>
      <c r="N6032" t="s">
        <v>45</v>
      </c>
      <c r="O6032" t="s">
        <v>43</v>
      </c>
      <c r="P6032" t="s">
        <v>43</v>
      </c>
      <c r="Q6032" t="s">
        <v>43</v>
      </c>
      <c r="R6032" t="s">
        <v>43</v>
      </c>
      <c r="S6032" t="s">
        <v>43</v>
      </c>
      <c r="T6032" t="s">
        <v>43</v>
      </c>
      <c r="U6032" t="s">
        <v>43</v>
      </c>
      <c r="V6032" t="s">
        <v>43</v>
      </c>
      <c r="W6032" t="s">
        <v>43</v>
      </c>
      <c r="X6032" t="s">
        <v>43</v>
      </c>
      <c r="Y6032" t="s">
        <v>43</v>
      </c>
      <c r="Z6032" t="s">
        <v>43</v>
      </c>
      <c r="AA6032" t="s">
        <v>43</v>
      </c>
      <c r="AB6032" t="s">
        <v>43</v>
      </c>
      <c r="AC6032" t="s">
        <v>43</v>
      </c>
      <c r="AD6032" t="s">
        <v>43</v>
      </c>
      <c r="AE6032" t="s">
        <v>43</v>
      </c>
      <c r="AF6032" t="s">
        <v>43</v>
      </c>
      <c r="AG6032" t="s">
        <v>43</v>
      </c>
      <c r="AH6032" t="s">
        <v>43</v>
      </c>
      <c r="AI6032" t="s">
        <v>43</v>
      </c>
      <c r="AJ6032" t="s">
        <v>43</v>
      </c>
      <c r="AK6032" t="s">
        <v>43</v>
      </c>
      <c r="AL6032" t="s">
        <v>43</v>
      </c>
      <c r="AM6032" t="s">
        <v>43</v>
      </c>
      <c r="AN6032" t="str">
        <f>HYPERLINK("https://www.google.com/maps?q=10.83428097,79.84715271","Open Location")</f>
        <v>Open Location</v>
      </c>
    </row>
    <row r="6033" spans="1:40" x14ac:dyDescent="0.3">
      <c r="A6033" s="1">
        <v>46210.301041666666</v>
      </c>
      <c r="B6033" t="s">
        <v>40</v>
      </c>
      <c r="C6033" t="s">
        <v>41</v>
      </c>
      <c r="D6033" s="1">
        <v>46210.303773148145</v>
      </c>
      <c r="E6033" t="s">
        <v>42</v>
      </c>
      <c r="F6033" t="s">
        <v>43</v>
      </c>
      <c r="G6033" t="s">
        <v>43</v>
      </c>
      <c r="H6033" t="s">
        <v>43</v>
      </c>
      <c r="I6033" t="s">
        <v>3410</v>
      </c>
      <c r="J6033" t="s">
        <v>43</v>
      </c>
      <c r="K6033" t="s">
        <v>43</v>
      </c>
      <c r="L6033" t="s">
        <v>43</v>
      </c>
      <c r="M6033" t="s">
        <v>43</v>
      </c>
      <c r="N6033" t="s">
        <v>45</v>
      </c>
      <c r="O6033" t="s">
        <v>43</v>
      </c>
      <c r="P6033" t="s">
        <v>43</v>
      </c>
      <c r="Q6033" t="s">
        <v>43</v>
      </c>
      <c r="R6033" t="s">
        <v>43</v>
      </c>
      <c r="S6033" t="s">
        <v>43</v>
      </c>
      <c r="T6033" t="s">
        <v>43</v>
      </c>
      <c r="U6033" t="s">
        <v>43</v>
      </c>
      <c r="V6033" t="s">
        <v>43</v>
      </c>
      <c r="W6033" t="s">
        <v>43</v>
      </c>
      <c r="X6033" t="s">
        <v>43</v>
      </c>
      <c r="Y6033" t="s">
        <v>43</v>
      </c>
      <c r="Z6033" t="s">
        <v>43</v>
      </c>
      <c r="AA6033" t="s">
        <v>43</v>
      </c>
      <c r="AB6033" t="s">
        <v>43</v>
      </c>
      <c r="AC6033" t="s">
        <v>43</v>
      </c>
      <c r="AD6033" t="s">
        <v>43</v>
      </c>
      <c r="AE6033" t="s">
        <v>43</v>
      </c>
      <c r="AF6033" t="s">
        <v>43</v>
      </c>
      <c r="AG6033" t="s">
        <v>43</v>
      </c>
      <c r="AH6033" t="s">
        <v>43</v>
      </c>
      <c r="AI6033" t="s">
        <v>43</v>
      </c>
      <c r="AJ6033" t="s">
        <v>43</v>
      </c>
      <c r="AK6033" t="s">
        <v>43</v>
      </c>
      <c r="AL6033" t="s">
        <v>43</v>
      </c>
      <c r="AM6033" t="s">
        <v>43</v>
      </c>
      <c r="AN6033" t="str">
        <f>HYPERLINK("https://www.google.com/maps?q=10.83428192,79.84716034","Open Location")</f>
        <v>Open Location</v>
      </c>
    </row>
    <row r="6034" spans="1:40" x14ac:dyDescent="0.3">
      <c r="A6034" s="1">
        <v>46210.300925925927</v>
      </c>
      <c r="B6034" t="s">
        <v>40</v>
      </c>
      <c r="C6034" t="s">
        <v>41</v>
      </c>
      <c r="D6034" s="1">
        <v>46210.303761574076</v>
      </c>
      <c r="E6034" t="s">
        <v>42</v>
      </c>
      <c r="F6034" t="s">
        <v>43</v>
      </c>
      <c r="G6034" t="s">
        <v>43</v>
      </c>
      <c r="H6034" t="s">
        <v>43</v>
      </c>
      <c r="I6034" t="s">
        <v>43</v>
      </c>
      <c r="J6034" t="s">
        <v>43</v>
      </c>
      <c r="K6034" t="s">
        <v>43</v>
      </c>
      <c r="L6034" t="s">
        <v>43</v>
      </c>
      <c r="M6034" t="s">
        <v>43</v>
      </c>
      <c r="N6034" t="s">
        <v>45</v>
      </c>
      <c r="O6034" t="s">
        <v>43</v>
      </c>
      <c r="P6034" t="s">
        <v>43</v>
      </c>
      <c r="Q6034" t="s">
        <v>43</v>
      </c>
      <c r="R6034" t="s">
        <v>43</v>
      </c>
      <c r="S6034" t="s">
        <v>43</v>
      </c>
      <c r="T6034" t="s">
        <v>43</v>
      </c>
      <c r="U6034" t="s">
        <v>43</v>
      </c>
      <c r="V6034" t="s">
        <v>43</v>
      </c>
      <c r="W6034" t="s">
        <v>43</v>
      </c>
      <c r="X6034" t="s">
        <v>43</v>
      </c>
      <c r="Y6034" t="s">
        <v>43</v>
      </c>
      <c r="Z6034" t="s">
        <v>43</v>
      </c>
      <c r="AA6034" t="s">
        <v>43</v>
      </c>
      <c r="AB6034" t="s">
        <v>43</v>
      </c>
      <c r="AC6034" t="s">
        <v>43</v>
      </c>
      <c r="AD6034" t="s">
        <v>43</v>
      </c>
      <c r="AE6034" t="s">
        <v>43</v>
      </c>
      <c r="AF6034" t="s">
        <v>43</v>
      </c>
      <c r="AG6034" t="s">
        <v>43</v>
      </c>
      <c r="AH6034" t="s">
        <v>43</v>
      </c>
      <c r="AI6034" t="s">
        <v>43</v>
      </c>
      <c r="AJ6034" t="s">
        <v>43</v>
      </c>
      <c r="AK6034" t="s">
        <v>43</v>
      </c>
      <c r="AL6034" t="s">
        <v>43</v>
      </c>
      <c r="AM6034" t="s">
        <v>43</v>
      </c>
      <c r="AN6034" t="s">
        <v>43</v>
      </c>
    </row>
    <row r="6035" spans="1:40" x14ac:dyDescent="0.3">
      <c r="A6035" s="1">
        <v>46210.300810185188</v>
      </c>
      <c r="B6035" t="s">
        <v>40</v>
      </c>
      <c r="C6035" t="s">
        <v>41</v>
      </c>
      <c r="D6035" s="1">
        <v>46210.303715277776</v>
      </c>
      <c r="E6035" t="s">
        <v>42</v>
      </c>
      <c r="F6035" t="s">
        <v>43</v>
      </c>
      <c r="G6035" t="s">
        <v>43</v>
      </c>
      <c r="H6035" t="s">
        <v>43</v>
      </c>
      <c r="I6035" t="s">
        <v>3411</v>
      </c>
      <c r="J6035" t="s">
        <v>43</v>
      </c>
      <c r="K6035" t="s">
        <v>43</v>
      </c>
      <c r="L6035" t="s">
        <v>43</v>
      </c>
      <c r="M6035" t="s">
        <v>43</v>
      </c>
      <c r="N6035" t="s">
        <v>45</v>
      </c>
      <c r="O6035" t="s">
        <v>43</v>
      </c>
      <c r="P6035" t="s">
        <v>43</v>
      </c>
      <c r="Q6035" t="s">
        <v>43</v>
      </c>
      <c r="R6035" t="s">
        <v>43</v>
      </c>
      <c r="S6035" t="s">
        <v>43</v>
      </c>
      <c r="T6035" t="s">
        <v>43</v>
      </c>
      <c r="U6035" t="s">
        <v>43</v>
      </c>
      <c r="V6035" t="s">
        <v>43</v>
      </c>
      <c r="W6035" t="s">
        <v>43</v>
      </c>
      <c r="X6035" t="s">
        <v>43</v>
      </c>
      <c r="Y6035" t="s">
        <v>43</v>
      </c>
      <c r="Z6035" t="s">
        <v>43</v>
      </c>
      <c r="AA6035" t="s">
        <v>43</v>
      </c>
      <c r="AB6035" t="s">
        <v>43</v>
      </c>
      <c r="AC6035" t="s">
        <v>43</v>
      </c>
      <c r="AD6035" t="s">
        <v>43</v>
      </c>
      <c r="AE6035" t="s">
        <v>43</v>
      </c>
      <c r="AF6035" t="s">
        <v>43</v>
      </c>
      <c r="AG6035" t="s">
        <v>43</v>
      </c>
      <c r="AH6035" t="s">
        <v>43</v>
      </c>
      <c r="AI6035" t="s">
        <v>43</v>
      </c>
      <c r="AJ6035" t="s">
        <v>43</v>
      </c>
      <c r="AK6035" t="s">
        <v>43</v>
      </c>
      <c r="AL6035" t="s">
        <v>43</v>
      </c>
      <c r="AM6035" t="s">
        <v>43</v>
      </c>
      <c r="AN6035" t="str">
        <f>HYPERLINK("https://www.google.com/maps?q=10.83428478,79.84716797","Open Location")</f>
        <v>Open Location</v>
      </c>
    </row>
    <row r="6036" spans="1:40" x14ac:dyDescent="0.3">
      <c r="A6036" s="1">
        <v>46210.300694444442</v>
      </c>
      <c r="B6036" t="s">
        <v>40</v>
      </c>
      <c r="C6036" t="s">
        <v>41</v>
      </c>
      <c r="D6036" s="1">
        <v>46210.303738425922</v>
      </c>
      <c r="E6036" t="s">
        <v>42</v>
      </c>
      <c r="F6036" t="s">
        <v>43</v>
      </c>
      <c r="G6036" t="s">
        <v>43</v>
      </c>
      <c r="H6036" t="s">
        <v>43</v>
      </c>
      <c r="I6036" t="s">
        <v>3412</v>
      </c>
      <c r="J6036" t="s">
        <v>43</v>
      </c>
      <c r="K6036" t="s">
        <v>43</v>
      </c>
      <c r="L6036" t="s">
        <v>43</v>
      </c>
      <c r="M6036" t="s">
        <v>43</v>
      </c>
      <c r="N6036" t="s">
        <v>45</v>
      </c>
      <c r="O6036" t="s">
        <v>43</v>
      </c>
      <c r="P6036" t="s">
        <v>43</v>
      </c>
      <c r="Q6036" t="s">
        <v>43</v>
      </c>
      <c r="R6036" t="s">
        <v>43</v>
      </c>
      <c r="S6036" t="s">
        <v>43</v>
      </c>
      <c r="T6036" t="s">
        <v>43</v>
      </c>
      <c r="U6036" t="s">
        <v>43</v>
      </c>
      <c r="V6036" t="s">
        <v>43</v>
      </c>
      <c r="W6036" t="s">
        <v>43</v>
      </c>
      <c r="X6036" t="s">
        <v>43</v>
      </c>
      <c r="Y6036" t="s">
        <v>43</v>
      </c>
      <c r="Z6036" t="s">
        <v>43</v>
      </c>
      <c r="AA6036" t="s">
        <v>43</v>
      </c>
      <c r="AB6036" t="s">
        <v>43</v>
      </c>
      <c r="AC6036" t="s">
        <v>43</v>
      </c>
      <c r="AD6036" t="s">
        <v>43</v>
      </c>
      <c r="AE6036" t="s">
        <v>43</v>
      </c>
      <c r="AF6036" t="s">
        <v>43</v>
      </c>
      <c r="AG6036" t="s">
        <v>43</v>
      </c>
      <c r="AH6036" t="s">
        <v>43</v>
      </c>
      <c r="AI6036" t="s">
        <v>43</v>
      </c>
      <c r="AJ6036" t="s">
        <v>43</v>
      </c>
      <c r="AK6036" t="s">
        <v>43</v>
      </c>
      <c r="AL6036" t="s">
        <v>43</v>
      </c>
      <c r="AM6036" t="s">
        <v>43</v>
      </c>
      <c r="AN6036" t="str">
        <f>HYPERLINK("https://www.google.com/maps?q=10.83429432,79.8471756","Open Location")</f>
        <v>Open Location</v>
      </c>
    </row>
    <row r="6037" spans="1:40" x14ac:dyDescent="0.3">
      <c r="A6037" s="1">
        <v>46210.300578703704</v>
      </c>
      <c r="B6037" t="s">
        <v>40</v>
      </c>
      <c r="C6037" t="s">
        <v>41</v>
      </c>
      <c r="D6037" s="1">
        <v>46210.303460648145</v>
      </c>
      <c r="E6037" t="s">
        <v>42</v>
      </c>
      <c r="F6037" t="s">
        <v>43</v>
      </c>
      <c r="G6037" t="s">
        <v>43</v>
      </c>
      <c r="H6037" t="s">
        <v>43</v>
      </c>
      <c r="I6037" t="s">
        <v>3413</v>
      </c>
      <c r="J6037" t="s">
        <v>43</v>
      </c>
      <c r="K6037" t="s">
        <v>43</v>
      </c>
      <c r="L6037" t="s">
        <v>43</v>
      </c>
      <c r="M6037" t="s">
        <v>43</v>
      </c>
      <c r="N6037" t="s">
        <v>45</v>
      </c>
      <c r="O6037" t="s">
        <v>43</v>
      </c>
      <c r="P6037" t="s">
        <v>43</v>
      </c>
      <c r="Q6037" t="s">
        <v>43</v>
      </c>
      <c r="R6037" t="s">
        <v>43</v>
      </c>
      <c r="S6037" t="s">
        <v>43</v>
      </c>
      <c r="T6037" t="s">
        <v>43</v>
      </c>
      <c r="U6037" t="s">
        <v>43</v>
      </c>
      <c r="V6037" t="s">
        <v>43</v>
      </c>
      <c r="W6037" t="s">
        <v>43</v>
      </c>
      <c r="X6037" t="s">
        <v>43</v>
      </c>
      <c r="Y6037" t="s">
        <v>43</v>
      </c>
      <c r="Z6037" t="s">
        <v>43</v>
      </c>
      <c r="AA6037" t="s">
        <v>43</v>
      </c>
      <c r="AB6037" t="s">
        <v>43</v>
      </c>
      <c r="AC6037" t="s">
        <v>43</v>
      </c>
      <c r="AD6037" t="s">
        <v>43</v>
      </c>
      <c r="AE6037" t="s">
        <v>43</v>
      </c>
      <c r="AF6037" t="s">
        <v>43</v>
      </c>
      <c r="AG6037" t="s">
        <v>43</v>
      </c>
      <c r="AH6037" t="s">
        <v>43</v>
      </c>
      <c r="AI6037" t="s">
        <v>43</v>
      </c>
      <c r="AJ6037" t="s">
        <v>43</v>
      </c>
      <c r="AK6037" t="s">
        <v>43</v>
      </c>
      <c r="AL6037" t="s">
        <v>43</v>
      </c>
      <c r="AM6037" t="s">
        <v>43</v>
      </c>
      <c r="AN6037" t="str">
        <f>HYPERLINK("https://www.google.com/maps?q=10.83430099,79.84718323","Open Location")</f>
        <v>Open Location</v>
      </c>
    </row>
    <row r="6038" spans="1:40" x14ac:dyDescent="0.3">
      <c r="A6038" s="1">
        <v>46210.300462962965</v>
      </c>
      <c r="B6038" t="s">
        <v>40</v>
      </c>
      <c r="C6038" t="s">
        <v>41</v>
      </c>
      <c r="D6038" s="1">
        <v>46210.303402777776</v>
      </c>
      <c r="E6038" t="s">
        <v>42</v>
      </c>
      <c r="F6038" t="s">
        <v>43</v>
      </c>
      <c r="G6038" t="s">
        <v>43</v>
      </c>
      <c r="H6038" t="s">
        <v>43</v>
      </c>
      <c r="I6038" t="s">
        <v>3414</v>
      </c>
      <c r="J6038" t="s">
        <v>43</v>
      </c>
      <c r="K6038" t="s">
        <v>43</v>
      </c>
      <c r="L6038" t="s">
        <v>43</v>
      </c>
      <c r="M6038" t="s">
        <v>43</v>
      </c>
      <c r="N6038" t="s">
        <v>45</v>
      </c>
      <c r="O6038" t="s">
        <v>43</v>
      </c>
      <c r="P6038" t="s">
        <v>43</v>
      </c>
      <c r="Q6038" t="s">
        <v>43</v>
      </c>
      <c r="R6038" t="s">
        <v>43</v>
      </c>
      <c r="S6038" t="s">
        <v>43</v>
      </c>
      <c r="T6038" t="s">
        <v>43</v>
      </c>
      <c r="U6038" t="s">
        <v>43</v>
      </c>
      <c r="V6038" t="s">
        <v>43</v>
      </c>
      <c r="W6038" t="s">
        <v>43</v>
      </c>
      <c r="X6038" t="s">
        <v>43</v>
      </c>
      <c r="Y6038" t="s">
        <v>43</v>
      </c>
      <c r="Z6038" t="s">
        <v>43</v>
      </c>
      <c r="AA6038" t="s">
        <v>43</v>
      </c>
      <c r="AB6038" t="s">
        <v>43</v>
      </c>
      <c r="AC6038" t="s">
        <v>43</v>
      </c>
      <c r="AD6038" t="s">
        <v>43</v>
      </c>
      <c r="AE6038" t="s">
        <v>43</v>
      </c>
      <c r="AF6038" t="s">
        <v>43</v>
      </c>
      <c r="AG6038" t="s">
        <v>43</v>
      </c>
      <c r="AH6038" t="s">
        <v>43</v>
      </c>
      <c r="AI6038" t="s">
        <v>43</v>
      </c>
      <c r="AJ6038" t="s">
        <v>43</v>
      </c>
      <c r="AK6038" t="s">
        <v>43</v>
      </c>
      <c r="AL6038" t="s">
        <v>43</v>
      </c>
      <c r="AM6038" t="s">
        <v>43</v>
      </c>
      <c r="AN6038" t="str">
        <f>HYPERLINK("https://www.google.com/maps?q=10.83430576,79.84719086","Open Location")</f>
        <v>Open Location</v>
      </c>
    </row>
    <row r="6039" spans="1:40" x14ac:dyDescent="0.3">
      <c r="A6039" s="1">
        <v>46210.300347222219</v>
      </c>
      <c r="B6039" t="s">
        <v>40</v>
      </c>
      <c r="C6039" t="s">
        <v>41</v>
      </c>
      <c r="D6039" s="1">
        <v>46210.303043981483</v>
      </c>
      <c r="E6039" t="s">
        <v>42</v>
      </c>
      <c r="F6039" t="s">
        <v>43</v>
      </c>
      <c r="G6039" t="s">
        <v>43</v>
      </c>
      <c r="H6039" t="s">
        <v>43</v>
      </c>
      <c r="I6039" t="s">
        <v>3415</v>
      </c>
      <c r="J6039" t="s">
        <v>43</v>
      </c>
      <c r="K6039" t="s">
        <v>43</v>
      </c>
      <c r="L6039" t="s">
        <v>43</v>
      </c>
      <c r="M6039" t="s">
        <v>43</v>
      </c>
      <c r="N6039" t="s">
        <v>45</v>
      </c>
      <c r="O6039" t="s">
        <v>43</v>
      </c>
      <c r="P6039" t="s">
        <v>43</v>
      </c>
      <c r="Q6039" t="s">
        <v>43</v>
      </c>
      <c r="R6039" t="s">
        <v>43</v>
      </c>
      <c r="S6039" t="s">
        <v>43</v>
      </c>
      <c r="T6039" t="s">
        <v>43</v>
      </c>
      <c r="U6039" t="s">
        <v>43</v>
      </c>
      <c r="V6039" t="s">
        <v>43</v>
      </c>
      <c r="W6039" t="s">
        <v>43</v>
      </c>
      <c r="X6039" t="s">
        <v>43</v>
      </c>
      <c r="Y6039" t="s">
        <v>43</v>
      </c>
      <c r="Z6039" t="s">
        <v>43</v>
      </c>
      <c r="AA6039" t="s">
        <v>43</v>
      </c>
      <c r="AB6039" t="s">
        <v>43</v>
      </c>
      <c r="AC6039" t="s">
        <v>43</v>
      </c>
      <c r="AD6039" t="s">
        <v>43</v>
      </c>
      <c r="AE6039" t="s">
        <v>43</v>
      </c>
      <c r="AF6039" t="s">
        <v>43</v>
      </c>
      <c r="AG6039" t="s">
        <v>43</v>
      </c>
      <c r="AH6039" t="s">
        <v>43</v>
      </c>
      <c r="AI6039" t="s">
        <v>43</v>
      </c>
      <c r="AJ6039" t="s">
        <v>43</v>
      </c>
      <c r="AK6039" t="s">
        <v>43</v>
      </c>
      <c r="AL6039" t="s">
        <v>43</v>
      </c>
      <c r="AM6039" t="s">
        <v>43</v>
      </c>
      <c r="AN6039" t="str">
        <f>HYPERLINK("https://www.google.com/maps?q=10.83431053,79.84719086","Open Location")</f>
        <v>Open Location</v>
      </c>
    </row>
    <row r="6040" spans="1:40" x14ac:dyDescent="0.3">
      <c r="A6040" s="1">
        <v>46210.30023148148</v>
      </c>
      <c r="B6040" t="s">
        <v>40</v>
      </c>
      <c r="C6040" t="s">
        <v>41</v>
      </c>
      <c r="D6040" s="1">
        <v>46210.303171296298</v>
      </c>
      <c r="E6040" t="s">
        <v>42</v>
      </c>
      <c r="F6040" t="s">
        <v>43</v>
      </c>
      <c r="G6040" t="s">
        <v>43</v>
      </c>
      <c r="H6040" t="s">
        <v>43</v>
      </c>
      <c r="I6040" t="s">
        <v>43</v>
      </c>
      <c r="J6040" t="s">
        <v>43</v>
      </c>
      <c r="K6040" t="s">
        <v>43</v>
      </c>
      <c r="L6040" t="s">
        <v>43</v>
      </c>
      <c r="M6040" t="s">
        <v>43</v>
      </c>
      <c r="N6040" t="s">
        <v>45</v>
      </c>
      <c r="O6040" t="s">
        <v>43</v>
      </c>
      <c r="P6040" t="s">
        <v>43</v>
      </c>
      <c r="Q6040" t="s">
        <v>43</v>
      </c>
      <c r="R6040" t="s">
        <v>43</v>
      </c>
      <c r="S6040" t="s">
        <v>43</v>
      </c>
      <c r="T6040" t="s">
        <v>43</v>
      </c>
      <c r="U6040" t="s">
        <v>43</v>
      </c>
      <c r="V6040" t="s">
        <v>43</v>
      </c>
      <c r="W6040" t="s">
        <v>43</v>
      </c>
      <c r="X6040" t="s">
        <v>43</v>
      </c>
      <c r="Y6040" t="s">
        <v>43</v>
      </c>
      <c r="Z6040" t="s">
        <v>43</v>
      </c>
      <c r="AA6040" t="s">
        <v>43</v>
      </c>
      <c r="AB6040" t="s">
        <v>43</v>
      </c>
      <c r="AC6040" t="s">
        <v>43</v>
      </c>
      <c r="AD6040" t="s">
        <v>43</v>
      </c>
      <c r="AE6040" t="s">
        <v>43</v>
      </c>
      <c r="AF6040" t="s">
        <v>43</v>
      </c>
      <c r="AG6040" t="s">
        <v>43</v>
      </c>
      <c r="AH6040" t="s">
        <v>43</v>
      </c>
      <c r="AI6040" t="s">
        <v>43</v>
      </c>
      <c r="AJ6040" t="s">
        <v>43</v>
      </c>
      <c r="AK6040" t="s">
        <v>43</v>
      </c>
      <c r="AL6040" t="s">
        <v>43</v>
      </c>
      <c r="AM6040" t="s">
        <v>43</v>
      </c>
      <c r="AN6040" t="s">
        <v>43</v>
      </c>
    </row>
    <row r="6041" spans="1:40" x14ac:dyDescent="0.3">
      <c r="A6041" s="1">
        <v>46210.300115740742</v>
      </c>
      <c r="B6041" t="s">
        <v>40</v>
      </c>
      <c r="C6041" t="s">
        <v>41</v>
      </c>
      <c r="D6041" s="1">
        <v>46210.303032407406</v>
      </c>
      <c r="E6041" t="s">
        <v>42</v>
      </c>
      <c r="F6041" t="s">
        <v>43</v>
      </c>
      <c r="G6041" t="s">
        <v>43</v>
      </c>
      <c r="H6041" t="s">
        <v>43</v>
      </c>
      <c r="I6041" t="s">
        <v>3416</v>
      </c>
      <c r="J6041" t="s">
        <v>43</v>
      </c>
      <c r="K6041" t="s">
        <v>43</v>
      </c>
      <c r="L6041" t="s">
        <v>43</v>
      </c>
      <c r="M6041" t="s">
        <v>43</v>
      </c>
      <c r="N6041" t="s">
        <v>45</v>
      </c>
      <c r="O6041" t="s">
        <v>43</v>
      </c>
      <c r="P6041" t="s">
        <v>43</v>
      </c>
      <c r="Q6041" t="s">
        <v>43</v>
      </c>
      <c r="R6041" t="s">
        <v>43</v>
      </c>
      <c r="S6041" t="s">
        <v>43</v>
      </c>
      <c r="T6041" t="s">
        <v>43</v>
      </c>
      <c r="U6041" t="s">
        <v>43</v>
      </c>
      <c r="V6041" t="s">
        <v>43</v>
      </c>
      <c r="W6041" t="s">
        <v>43</v>
      </c>
      <c r="X6041" t="s">
        <v>43</v>
      </c>
      <c r="Y6041" t="s">
        <v>43</v>
      </c>
      <c r="Z6041" t="s">
        <v>43</v>
      </c>
      <c r="AA6041" t="s">
        <v>43</v>
      </c>
      <c r="AB6041" t="s">
        <v>43</v>
      </c>
      <c r="AC6041" t="s">
        <v>43</v>
      </c>
      <c r="AD6041" t="s">
        <v>43</v>
      </c>
      <c r="AE6041" t="s">
        <v>43</v>
      </c>
      <c r="AF6041" t="s">
        <v>43</v>
      </c>
      <c r="AG6041" t="s">
        <v>43</v>
      </c>
      <c r="AH6041" t="s">
        <v>43</v>
      </c>
      <c r="AI6041" t="s">
        <v>43</v>
      </c>
      <c r="AJ6041" t="s">
        <v>43</v>
      </c>
      <c r="AK6041" t="s">
        <v>43</v>
      </c>
      <c r="AL6041" t="s">
        <v>43</v>
      </c>
      <c r="AM6041" t="s">
        <v>43</v>
      </c>
      <c r="AN6041" t="str">
        <f>HYPERLINK("https://www.google.com/maps?q=10.83430958,79.84719086","Open Location")</f>
        <v>Open Location</v>
      </c>
    </row>
    <row r="6042" spans="1:40" x14ac:dyDescent="0.3">
      <c r="A6042" s="1">
        <v>46210.3</v>
      </c>
      <c r="B6042" t="s">
        <v>40</v>
      </c>
      <c r="C6042" t="s">
        <v>41</v>
      </c>
      <c r="D6042" s="1">
        <v>46210.302905092591</v>
      </c>
      <c r="E6042" t="s">
        <v>42</v>
      </c>
      <c r="F6042" t="s">
        <v>43</v>
      </c>
      <c r="G6042" t="s">
        <v>43</v>
      </c>
      <c r="H6042" t="s">
        <v>43</v>
      </c>
      <c r="I6042" t="s">
        <v>3417</v>
      </c>
      <c r="J6042" t="s">
        <v>43</v>
      </c>
      <c r="K6042" t="s">
        <v>43</v>
      </c>
      <c r="L6042" t="s">
        <v>43</v>
      </c>
      <c r="M6042" t="s">
        <v>43</v>
      </c>
      <c r="N6042" t="s">
        <v>45</v>
      </c>
      <c r="O6042" t="s">
        <v>43</v>
      </c>
      <c r="P6042" t="s">
        <v>43</v>
      </c>
      <c r="Q6042" t="s">
        <v>43</v>
      </c>
      <c r="R6042" t="s">
        <v>43</v>
      </c>
      <c r="S6042" t="s">
        <v>43</v>
      </c>
      <c r="T6042" t="s">
        <v>43</v>
      </c>
      <c r="U6042" t="s">
        <v>43</v>
      </c>
      <c r="V6042" t="s">
        <v>43</v>
      </c>
      <c r="W6042" t="s">
        <v>43</v>
      </c>
      <c r="X6042" t="s">
        <v>43</v>
      </c>
      <c r="Y6042" t="s">
        <v>43</v>
      </c>
      <c r="Z6042" t="s">
        <v>43</v>
      </c>
      <c r="AA6042" t="s">
        <v>43</v>
      </c>
      <c r="AB6042" t="s">
        <v>43</v>
      </c>
      <c r="AC6042" t="s">
        <v>43</v>
      </c>
      <c r="AD6042" t="s">
        <v>43</v>
      </c>
      <c r="AE6042" t="s">
        <v>43</v>
      </c>
      <c r="AF6042" t="s">
        <v>43</v>
      </c>
      <c r="AG6042" t="s">
        <v>43</v>
      </c>
      <c r="AH6042" t="s">
        <v>43</v>
      </c>
      <c r="AI6042" t="s">
        <v>43</v>
      </c>
      <c r="AJ6042" t="s">
        <v>43</v>
      </c>
      <c r="AK6042" t="s">
        <v>43</v>
      </c>
      <c r="AL6042" t="s">
        <v>43</v>
      </c>
      <c r="AM6042" t="s">
        <v>43</v>
      </c>
      <c r="AN6042" t="str">
        <f>HYPERLINK("https://www.google.com/maps?q=10.83430672,79.84719086","Open Location")</f>
        <v>Open Location</v>
      </c>
    </row>
    <row r="6043" spans="1:40" x14ac:dyDescent="0.3">
      <c r="A6043" s="1">
        <v>46210.299884259257</v>
      </c>
      <c r="B6043" t="s">
        <v>40</v>
      </c>
      <c r="C6043" t="s">
        <v>41</v>
      </c>
      <c r="D6043" s="1">
        <v>46210.30263888889</v>
      </c>
      <c r="E6043" t="s">
        <v>42</v>
      </c>
      <c r="F6043" t="s">
        <v>43</v>
      </c>
      <c r="G6043" t="s">
        <v>43</v>
      </c>
      <c r="H6043" t="s">
        <v>43</v>
      </c>
      <c r="I6043" t="s">
        <v>3418</v>
      </c>
      <c r="J6043" t="s">
        <v>43</v>
      </c>
      <c r="K6043" t="s">
        <v>43</v>
      </c>
      <c r="L6043" t="s">
        <v>43</v>
      </c>
      <c r="M6043" t="s">
        <v>43</v>
      </c>
      <c r="N6043" t="s">
        <v>45</v>
      </c>
      <c r="O6043" t="s">
        <v>43</v>
      </c>
      <c r="P6043" t="s">
        <v>43</v>
      </c>
      <c r="Q6043" t="s">
        <v>43</v>
      </c>
      <c r="R6043" t="s">
        <v>43</v>
      </c>
      <c r="S6043">
        <v>0</v>
      </c>
      <c r="T6043">
        <v>-40</v>
      </c>
      <c r="U6043">
        <v>46</v>
      </c>
      <c r="V6043">
        <v>0</v>
      </c>
      <c r="W6043" t="s">
        <v>43</v>
      </c>
      <c r="X6043" t="s">
        <v>43</v>
      </c>
      <c r="Y6043" t="s">
        <v>43</v>
      </c>
      <c r="Z6043" t="s">
        <v>43</v>
      </c>
      <c r="AA6043" t="s">
        <v>43</v>
      </c>
      <c r="AB6043" t="s">
        <v>43</v>
      </c>
      <c r="AC6043" t="s">
        <v>43</v>
      </c>
      <c r="AD6043" t="s">
        <v>43</v>
      </c>
      <c r="AE6043" t="s">
        <v>43</v>
      </c>
      <c r="AF6043" t="s">
        <v>43</v>
      </c>
      <c r="AG6043" t="s">
        <v>43</v>
      </c>
      <c r="AH6043" t="s">
        <v>43</v>
      </c>
      <c r="AI6043" t="s">
        <v>43</v>
      </c>
      <c r="AJ6043" t="s">
        <v>43</v>
      </c>
      <c r="AK6043" t="s">
        <v>43</v>
      </c>
      <c r="AL6043" t="s">
        <v>43</v>
      </c>
      <c r="AM6043" t="s">
        <v>43</v>
      </c>
      <c r="AN6043" t="str">
        <f>HYPERLINK("https://www.google.com/maps?q=10.83430862,79.84718323","Open Location")</f>
        <v>Open Location</v>
      </c>
    </row>
    <row r="6044" spans="1:40" x14ac:dyDescent="0.3">
      <c r="A6044" s="1">
        <v>46210.299768518518</v>
      </c>
      <c r="B6044" t="s">
        <v>40</v>
      </c>
      <c r="C6044" t="s">
        <v>41</v>
      </c>
      <c r="D6044" s="1">
        <v>46210.302685185183</v>
      </c>
      <c r="E6044" t="s">
        <v>42</v>
      </c>
      <c r="F6044" t="s">
        <v>43</v>
      </c>
      <c r="G6044" t="s">
        <v>43</v>
      </c>
      <c r="H6044" t="s">
        <v>43</v>
      </c>
      <c r="I6044" t="s">
        <v>3415</v>
      </c>
      <c r="J6044" t="s">
        <v>43</v>
      </c>
      <c r="K6044" t="s">
        <v>43</v>
      </c>
      <c r="L6044" t="s">
        <v>43</v>
      </c>
      <c r="M6044" t="s">
        <v>43</v>
      </c>
      <c r="N6044" t="s">
        <v>45</v>
      </c>
      <c r="O6044" t="s">
        <v>43</v>
      </c>
      <c r="P6044" t="s">
        <v>43</v>
      </c>
      <c r="Q6044" t="s">
        <v>43</v>
      </c>
      <c r="R6044" t="s">
        <v>43</v>
      </c>
      <c r="S6044">
        <v>0</v>
      </c>
      <c r="T6044">
        <v>-40</v>
      </c>
      <c r="U6044">
        <v>46</v>
      </c>
      <c r="V6044">
        <v>0</v>
      </c>
      <c r="W6044" t="s">
        <v>43</v>
      </c>
      <c r="X6044" t="s">
        <v>43</v>
      </c>
      <c r="Y6044" t="s">
        <v>43</v>
      </c>
      <c r="Z6044" t="s">
        <v>43</v>
      </c>
      <c r="AA6044" t="s">
        <v>43</v>
      </c>
      <c r="AB6044" t="s">
        <v>43</v>
      </c>
      <c r="AC6044" t="s">
        <v>43</v>
      </c>
      <c r="AD6044" t="s">
        <v>43</v>
      </c>
      <c r="AE6044" t="s">
        <v>43</v>
      </c>
      <c r="AF6044" t="s">
        <v>43</v>
      </c>
      <c r="AG6044" t="s">
        <v>43</v>
      </c>
      <c r="AH6044" t="s">
        <v>43</v>
      </c>
      <c r="AI6044" t="s">
        <v>43</v>
      </c>
      <c r="AJ6044" t="s">
        <v>43</v>
      </c>
      <c r="AK6044" t="s">
        <v>43</v>
      </c>
      <c r="AL6044" t="s">
        <v>43</v>
      </c>
      <c r="AM6044" t="s">
        <v>43</v>
      </c>
      <c r="AN6044" t="str">
        <f>HYPERLINK("https://www.google.com/maps?q=10.83431053,79.84719086","Open Location")</f>
        <v>Open Location</v>
      </c>
    </row>
    <row r="6045" spans="1:40" x14ac:dyDescent="0.3">
      <c r="A6045" s="1">
        <v>46210.29965277778</v>
      </c>
      <c r="B6045" t="s">
        <v>40</v>
      </c>
      <c r="C6045" t="s">
        <v>41</v>
      </c>
      <c r="D6045" s="1">
        <v>46210.302465277775</v>
      </c>
      <c r="E6045" t="s">
        <v>42</v>
      </c>
      <c r="F6045" t="s">
        <v>43</v>
      </c>
      <c r="G6045" t="s">
        <v>43</v>
      </c>
      <c r="H6045" t="s">
        <v>43</v>
      </c>
      <c r="I6045" t="s">
        <v>3419</v>
      </c>
      <c r="J6045" t="s">
        <v>43</v>
      </c>
      <c r="K6045" t="s">
        <v>43</v>
      </c>
      <c r="L6045" t="s">
        <v>43</v>
      </c>
      <c r="M6045" t="s">
        <v>43</v>
      </c>
      <c r="N6045" t="s">
        <v>45</v>
      </c>
      <c r="O6045" t="s">
        <v>43</v>
      </c>
      <c r="P6045" t="s">
        <v>43</v>
      </c>
      <c r="Q6045" t="s">
        <v>43</v>
      </c>
      <c r="R6045" t="s">
        <v>43</v>
      </c>
      <c r="S6045">
        <v>0</v>
      </c>
      <c r="T6045">
        <v>-40</v>
      </c>
      <c r="U6045">
        <v>46</v>
      </c>
      <c r="V6045">
        <v>0</v>
      </c>
      <c r="W6045" t="s">
        <v>43</v>
      </c>
      <c r="X6045" t="s">
        <v>43</v>
      </c>
      <c r="Y6045" t="s">
        <v>43</v>
      </c>
      <c r="Z6045" t="s">
        <v>43</v>
      </c>
      <c r="AA6045" t="s">
        <v>43</v>
      </c>
      <c r="AB6045" t="s">
        <v>43</v>
      </c>
      <c r="AC6045" t="s">
        <v>43</v>
      </c>
      <c r="AD6045" t="s">
        <v>43</v>
      </c>
      <c r="AE6045" t="s">
        <v>43</v>
      </c>
      <c r="AF6045" t="s">
        <v>43</v>
      </c>
      <c r="AG6045" t="s">
        <v>43</v>
      </c>
      <c r="AH6045" t="s">
        <v>43</v>
      </c>
      <c r="AI6045" t="s">
        <v>43</v>
      </c>
      <c r="AJ6045" t="s">
        <v>43</v>
      </c>
      <c r="AK6045" t="s">
        <v>43</v>
      </c>
      <c r="AL6045" t="s">
        <v>43</v>
      </c>
      <c r="AM6045" t="s">
        <v>43</v>
      </c>
      <c r="AN6045" t="str">
        <f>HYPERLINK("https://www.google.com/maps?q=10.8343153,79.84719849","Open Location")</f>
        <v>Open Location</v>
      </c>
    </row>
    <row r="6046" spans="1:40" x14ac:dyDescent="0.3">
      <c r="A6046" s="1">
        <v>46210.299537037034</v>
      </c>
      <c r="B6046" t="s">
        <v>40</v>
      </c>
      <c r="C6046" t="s">
        <v>41</v>
      </c>
      <c r="D6046" s="1">
        <v>46210.302557870367</v>
      </c>
      <c r="E6046" t="s">
        <v>42</v>
      </c>
      <c r="F6046" t="s">
        <v>43</v>
      </c>
      <c r="G6046" t="s">
        <v>43</v>
      </c>
      <c r="H6046" t="s">
        <v>43</v>
      </c>
      <c r="I6046" t="s">
        <v>43</v>
      </c>
      <c r="J6046" t="s">
        <v>43</v>
      </c>
      <c r="K6046" t="s">
        <v>43</v>
      </c>
      <c r="L6046" t="s">
        <v>43</v>
      </c>
      <c r="M6046" t="s">
        <v>43</v>
      </c>
      <c r="N6046" t="s">
        <v>45</v>
      </c>
      <c r="O6046" t="s">
        <v>43</v>
      </c>
      <c r="P6046" t="s">
        <v>43</v>
      </c>
      <c r="Q6046" t="s">
        <v>43</v>
      </c>
      <c r="R6046" t="s">
        <v>43</v>
      </c>
      <c r="S6046">
        <v>0</v>
      </c>
      <c r="T6046">
        <v>-40</v>
      </c>
      <c r="U6046">
        <v>46</v>
      </c>
      <c r="V6046">
        <v>0</v>
      </c>
      <c r="W6046" t="s">
        <v>43</v>
      </c>
      <c r="X6046" t="s">
        <v>43</v>
      </c>
      <c r="Y6046" t="s">
        <v>43</v>
      </c>
      <c r="Z6046" t="s">
        <v>43</v>
      </c>
      <c r="AA6046" t="s">
        <v>43</v>
      </c>
      <c r="AB6046" t="s">
        <v>43</v>
      </c>
      <c r="AC6046" t="s">
        <v>43</v>
      </c>
      <c r="AD6046" t="s">
        <v>43</v>
      </c>
      <c r="AE6046" t="s">
        <v>43</v>
      </c>
      <c r="AF6046" t="s">
        <v>43</v>
      </c>
      <c r="AG6046" t="s">
        <v>43</v>
      </c>
      <c r="AH6046" t="s">
        <v>43</v>
      </c>
      <c r="AI6046" t="s">
        <v>43</v>
      </c>
      <c r="AJ6046" t="s">
        <v>43</v>
      </c>
      <c r="AK6046" t="s">
        <v>43</v>
      </c>
      <c r="AL6046" t="s">
        <v>43</v>
      </c>
      <c r="AM6046" t="s">
        <v>43</v>
      </c>
      <c r="AN6046" t="s">
        <v>43</v>
      </c>
    </row>
    <row r="6047" spans="1:40" x14ac:dyDescent="0.3">
      <c r="A6047" s="1">
        <v>46210.299421296295</v>
      </c>
      <c r="B6047" t="s">
        <v>40</v>
      </c>
      <c r="C6047" t="s">
        <v>41</v>
      </c>
      <c r="D6047" s="1">
        <v>46210.30228009259</v>
      </c>
      <c r="E6047" t="s">
        <v>42</v>
      </c>
      <c r="F6047" t="s">
        <v>43</v>
      </c>
      <c r="G6047" t="s">
        <v>43</v>
      </c>
      <c r="H6047" t="s">
        <v>43</v>
      </c>
      <c r="I6047" t="s">
        <v>3420</v>
      </c>
      <c r="J6047" t="s">
        <v>43</v>
      </c>
      <c r="K6047" t="s">
        <v>43</v>
      </c>
      <c r="L6047" t="s">
        <v>43</v>
      </c>
      <c r="M6047" t="s">
        <v>43</v>
      </c>
      <c r="N6047" t="s">
        <v>45</v>
      </c>
      <c r="O6047" t="s">
        <v>43</v>
      </c>
      <c r="P6047" t="s">
        <v>43</v>
      </c>
      <c r="Q6047" t="s">
        <v>43</v>
      </c>
      <c r="R6047" t="s">
        <v>43</v>
      </c>
      <c r="S6047">
        <v>0</v>
      </c>
      <c r="T6047">
        <v>-40</v>
      </c>
      <c r="U6047">
        <v>47</v>
      </c>
      <c r="V6047">
        <v>0</v>
      </c>
      <c r="W6047" t="s">
        <v>43</v>
      </c>
      <c r="X6047" t="s">
        <v>43</v>
      </c>
      <c r="Y6047" t="s">
        <v>43</v>
      </c>
      <c r="Z6047" t="s">
        <v>43</v>
      </c>
      <c r="AA6047" t="s">
        <v>43</v>
      </c>
      <c r="AB6047" t="s">
        <v>43</v>
      </c>
      <c r="AC6047" t="s">
        <v>43</v>
      </c>
      <c r="AD6047" t="s">
        <v>43</v>
      </c>
      <c r="AE6047" t="s">
        <v>43</v>
      </c>
      <c r="AF6047" t="s">
        <v>43</v>
      </c>
      <c r="AG6047" t="s">
        <v>43</v>
      </c>
      <c r="AH6047" t="s">
        <v>43</v>
      </c>
      <c r="AI6047" t="s">
        <v>43</v>
      </c>
      <c r="AJ6047" t="s">
        <v>43</v>
      </c>
      <c r="AK6047" t="s">
        <v>43</v>
      </c>
      <c r="AL6047" t="s">
        <v>43</v>
      </c>
      <c r="AM6047" t="s">
        <v>43</v>
      </c>
      <c r="AN6047" t="str">
        <f>HYPERLINK("https://www.google.com/maps?q=10.83431053,79.84719849","Open Location")</f>
        <v>Open Location</v>
      </c>
    </row>
    <row r="6048" spans="1:40" x14ac:dyDescent="0.3">
      <c r="A6048" s="1">
        <v>46210.299305555556</v>
      </c>
      <c r="B6048" t="s">
        <v>40</v>
      </c>
      <c r="C6048" t="s">
        <v>41</v>
      </c>
      <c r="D6048" s="1">
        <v>46210.302222222221</v>
      </c>
      <c r="E6048" t="s">
        <v>42</v>
      </c>
      <c r="F6048" t="s">
        <v>43</v>
      </c>
      <c r="G6048" t="s">
        <v>43</v>
      </c>
      <c r="H6048" t="s">
        <v>43</v>
      </c>
      <c r="I6048" t="s">
        <v>3415</v>
      </c>
      <c r="J6048" t="s">
        <v>43</v>
      </c>
      <c r="K6048" t="s">
        <v>43</v>
      </c>
      <c r="L6048" t="s">
        <v>43</v>
      </c>
      <c r="M6048" t="s">
        <v>43</v>
      </c>
      <c r="N6048" t="s">
        <v>45</v>
      </c>
      <c r="O6048" t="s">
        <v>43</v>
      </c>
      <c r="P6048" t="s">
        <v>43</v>
      </c>
      <c r="Q6048" t="s">
        <v>43</v>
      </c>
      <c r="R6048" t="s">
        <v>43</v>
      </c>
      <c r="S6048">
        <v>0</v>
      </c>
      <c r="T6048">
        <v>-40</v>
      </c>
      <c r="U6048">
        <v>47</v>
      </c>
      <c r="V6048">
        <v>0</v>
      </c>
      <c r="W6048" t="s">
        <v>43</v>
      </c>
      <c r="X6048" t="s">
        <v>43</v>
      </c>
      <c r="Y6048" t="s">
        <v>43</v>
      </c>
      <c r="Z6048" t="s">
        <v>43</v>
      </c>
      <c r="AA6048" t="s">
        <v>43</v>
      </c>
      <c r="AB6048" t="s">
        <v>43</v>
      </c>
      <c r="AC6048" t="s">
        <v>43</v>
      </c>
      <c r="AD6048" t="s">
        <v>43</v>
      </c>
      <c r="AE6048" t="s">
        <v>43</v>
      </c>
      <c r="AF6048" t="s">
        <v>43</v>
      </c>
      <c r="AG6048" t="s">
        <v>43</v>
      </c>
      <c r="AH6048" t="s">
        <v>43</v>
      </c>
      <c r="AI6048" t="s">
        <v>43</v>
      </c>
      <c r="AJ6048" t="s">
        <v>43</v>
      </c>
      <c r="AK6048" t="s">
        <v>43</v>
      </c>
      <c r="AL6048" t="s">
        <v>43</v>
      </c>
      <c r="AM6048" t="s">
        <v>43</v>
      </c>
      <c r="AN6048" t="str">
        <f>HYPERLINK("https://www.google.com/maps?q=10.83431053,79.84719086","Open Location")</f>
        <v>Open Location</v>
      </c>
    </row>
    <row r="6049" spans="1:40" x14ac:dyDescent="0.3">
      <c r="A6049" s="1">
        <v>46210.299189814818</v>
      </c>
      <c r="B6049" t="s">
        <v>40</v>
      </c>
      <c r="C6049" t="s">
        <v>41</v>
      </c>
      <c r="D6049" s="1">
        <v>46210.301944444444</v>
      </c>
      <c r="E6049" t="s">
        <v>42</v>
      </c>
      <c r="F6049" t="s">
        <v>43</v>
      </c>
      <c r="G6049" t="s">
        <v>43</v>
      </c>
      <c r="H6049" t="s">
        <v>43</v>
      </c>
      <c r="I6049" t="s">
        <v>3421</v>
      </c>
      <c r="J6049" t="s">
        <v>43</v>
      </c>
      <c r="K6049" t="s">
        <v>43</v>
      </c>
      <c r="L6049" t="s">
        <v>43</v>
      </c>
      <c r="M6049" t="s">
        <v>43</v>
      </c>
      <c r="N6049" t="s">
        <v>45</v>
      </c>
      <c r="O6049" t="s">
        <v>43</v>
      </c>
      <c r="P6049" t="s">
        <v>43</v>
      </c>
      <c r="Q6049" t="s">
        <v>43</v>
      </c>
      <c r="R6049" t="s">
        <v>43</v>
      </c>
      <c r="S6049">
        <v>0</v>
      </c>
      <c r="T6049">
        <v>-40</v>
      </c>
      <c r="U6049">
        <v>47</v>
      </c>
      <c r="V6049">
        <v>0</v>
      </c>
      <c r="W6049" t="s">
        <v>43</v>
      </c>
      <c r="X6049" t="s">
        <v>43</v>
      </c>
      <c r="Y6049" t="s">
        <v>43</v>
      </c>
      <c r="Z6049" t="s">
        <v>43</v>
      </c>
      <c r="AA6049" t="s">
        <v>43</v>
      </c>
      <c r="AB6049" t="s">
        <v>43</v>
      </c>
      <c r="AC6049" t="s">
        <v>43</v>
      </c>
      <c r="AD6049" t="s">
        <v>43</v>
      </c>
      <c r="AE6049" t="s">
        <v>43</v>
      </c>
      <c r="AF6049" t="s">
        <v>43</v>
      </c>
      <c r="AG6049" t="s">
        <v>43</v>
      </c>
      <c r="AH6049" t="s">
        <v>43</v>
      </c>
      <c r="AI6049" t="s">
        <v>43</v>
      </c>
      <c r="AJ6049" t="s">
        <v>43</v>
      </c>
      <c r="AK6049" t="s">
        <v>43</v>
      </c>
      <c r="AL6049" t="s">
        <v>43</v>
      </c>
      <c r="AM6049" t="s">
        <v>43</v>
      </c>
      <c r="AN6049" t="str">
        <f>HYPERLINK("https://www.google.com/maps?q=10.83431244,79.84718323","Open Location")</f>
        <v>Open Location</v>
      </c>
    </row>
    <row r="6050" spans="1:40" x14ac:dyDescent="0.3">
      <c r="A6050" s="1">
        <v>46210.299074074072</v>
      </c>
      <c r="B6050" t="s">
        <v>40</v>
      </c>
      <c r="C6050" t="s">
        <v>41</v>
      </c>
      <c r="D6050" s="1">
        <v>46210.30228009259</v>
      </c>
      <c r="E6050" t="s">
        <v>42</v>
      </c>
      <c r="F6050" t="s">
        <v>43</v>
      </c>
      <c r="G6050" t="s">
        <v>43</v>
      </c>
      <c r="H6050" t="s">
        <v>43</v>
      </c>
      <c r="I6050" t="s">
        <v>3422</v>
      </c>
      <c r="J6050" t="s">
        <v>43</v>
      </c>
      <c r="K6050" t="s">
        <v>43</v>
      </c>
      <c r="L6050" t="s">
        <v>43</v>
      </c>
      <c r="M6050" t="s">
        <v>43</v>
      </c>
      <c r="N6050" t="s">
        <v>45</v>
      </c>
      <c r="O6050" t="s">
        <v>43</v>
      </c>
      <c r="P6050" t="s">
        <v>43</v>
      </c>
      <c r="Q6050" t="s">
        <v>43</v>
      </c>
      <c r="R6050" t="s">
        <v>43</v>
      </c>
      <c r="S6050">
        <v>0</v>
      </c>
      <c r="T6050">
        <v>-40</v>
      </c>
      <c r="U6050">
        <v>47</v>
      </c>
      <c r="V6050">
        <v>0</v>
      </c>
      <c r="W6050" t="s">
        <v>43</v>
      </c>
      <c r="X6050" t="s">
        <v>43</v>
      </c>
      <c r="Y6050" t="s">
        <v>43</v>
      </c>
      <c r="Z6050" t="s">
        <v>43</v>
      </c>
      <c r="AA6050" t="s">
        <v>43</v>
      </c>
      <c r="AB6050" t="s">
        <v>43</v>
      </c>
      <c r="AC6050" t="s">
        <v>43</v>
      </c>
      <c r="AD6050" t="s">
        <v>43</v>
      </c>
      <c r="AE6050" t="s">
        <v>43</v>
      </c>
      <c r="AF6050" t="s">
        <v>43</v>
      </c>
      <c r="AG6050" t="s">
        <v>43</v>
      </c>
      <c r="AH6050" t="s">
        <v>43</v>
      </c>
      <c r="AI6050" t="s">
        <v>43</v>
      </c>
      <c r="AJ6050" t="s">
        <v>43</v>
      </c>
      <c r="AK6050" t="s">
        <v>43</v>
      </c>
      <c r="AL6050" t="s">
        <v>43</v>
      </c>
      <c r="AM6050" t="s">
        <v>43</v>
      </c>
      <c r="AN6050" t="str">
        <f>HYPERLINK("https://www.google.com/maps?q=10.83431721,79.84719086","Open Location")</f>
        <v>Open Location</v>
      </c>
    </row>
    <row r="6051" spans="1:40" x14ac:dyDescent="0.3">
      <c r="A6051" s="1">
        <v>46210.298958333333</v>
      </c>
      <c r="B6051" t="s">
        <v>40</v>
      </c>
      <c r="C6051" t="s">
        <v>41</v>
      </c>
      <c r="D6051" s="1">
        <v>46210.301759259259</v>
      </c>
      <c r="E6051" t="s">
        <v>42</v>
      </c>
      <c r="F6051" t="s">
        <v>43</v>
      </c>
      <c r="G6051">
        <v>0</v>
      </c>
      <c r="H6051" t="s">
        <v>43</v>
      </c>
      <c r="I6051" t="s">
        <v>43</v>
      </c>
      <c r="J6051" t="s">
        <v>43</v>
      </c>
      <c r="K6051" t="s">
        <v>43</v>
      </c>
      <c r="L6051" t="s">
        <v>43</v>
      </c>
      <c r="M6051" t="s">
        <v>43</v>
      </c>
      <c r="N6051" t="s">
        <v>81</v>
      </c>
      <c r="O6051" t="s">
        <v>43</v>
      </c>
      <c r="P6051">
        <v>125</v>
      </c>
      <c r="Q6051" t="s">
        <v>43</v>
      </c>
      <c r="R6051">
        <v>0</v>
      </c>
      <c r="S6051">
        <v>0</v>
      </c>
      <c r="T6051">
        <v>-40</v>
      </c>
      <c r="U6051">
        <v>47</v>
      </c>
      <c r="V6051">
        <v>0</v>
      </c>
      <c r="W6051">
        <v>28</v>
      </c>
      <c r="X6051">
        <v>28</v>
      </c>
      <c r="Y6051">
        <v>1</v>
      </c>
      <c r="Z6051">
        <v>1</v>
      </c>
      <c r="AA6051">
        <v>26</v>
      </c>
      <c r="AB6051">
        <v>2</v>
      </c>
      <c r="AC6051">
        <v>2</v>
      </c>
      <c r="AD6051">
        <v>3.3010001199999999</v>
      </c>
      <c r="AE6051">
        <v>6</v>
      </c>
      <c r="AF6051">
        <v>30</v>
      </c>
      <c r="AG6051">
        <v>3.28800011</v>
      </c>
      <c r="AH6051">
        <v>8</v>
      </c>
      <c r="AI6051">
        <v>48</v>
      </c>
      <c r="AJ6051" t="s">
        <v>43</v>
      </c>
      <c r="AK6051" t="s">
        <v>43</v>
      </c>
      <c r="AL6051" t="s">
        <v>43</v>
      </c>
      <c r="AM6051" t="s">
        <v>43</v>
      </c>
      <c r="AN6051" t="s">
        <v>43</v>
      </c>
    </row>
    <row r="6052" spans="1:40" x14ac:dyDescent="0.3">
      <c r="A6052" s="1">
        <v>46210.298842592594</v>
      </c>
      <c r="B6052" t="s">
        <v>40</v>
      </c>
      <c r="C6052" t="s">
        <v>41</v>
      </c>
      <c r="D6052" s="1">
        <v>46210.301921296297</v>
      </c>
      <c r="E6052" t="s">
        <v>42</v>
      </c>
      <c r="F6052" t="s">
        <v>43</v>
      </c>
      <c r="G6052">
        <v>0</v>
      </c>
      <c r="H6052">
        <v>33083</v>
      </c>
      <c r="I6052" t="s">
        <v>43</v>
      </c>
      <c r="J6052">
        <v>63</v>
      </c>
      <c r="K6052">
        <v>8</v>
      </c>
      <c r="L6052">
        <v>98</v>
      </c>
      <c r="M6052">
        <v>631.79998779000005</v>
      </c>
      <c r="N6052" t="s">
        <v>85</v>
      </c>
      <c r="O6052" t="s">
        <v>43</v>
      </c>
      <c r="P6052">
        <v>125</v>
      </c>
      <c r="Q6052" t="s">
        <v>82</v>
      </c>
      <c r="R6052">
        <v>0</v>
      </c>
      <c r="S6052">
        <v>0</v>
      </c>
      <c r="T6052">
        <v>-40</v>
      </c>
      <c r="U6052">
        <v>47</v>
      </c>
      <c r="V6052">
        <v>0</v>
      </c>
      <c r="W6052">
        <v>28</v>
      </c>
      <c r="X6052">
        <v>28</v>
      </c>
      <c r="Y6052">
        <v>1</v>
      </c>
      <c r="Z6052">
        <v>1</v>
      </c>
      <c r="AA6052">
        <v>26</v>
      </c>
      <c r="AB6052">
        <v>2</v>
      </c>
      <c r="AC6052">
        <v>2</v>
      </c>
      <c r="AD6052">
        <v>3.3010001199999999</v>
      </c>
      <c r="AE6052">
        <v>6</v>
      </c>
      <c r="AF6052">
        <v>30</v>
      </c>
      <c r="AG6052">
        <v>3.2909998900000001</v>
      </c>
      <c r="AH6052">
        <v>2</v>
      </c>
      <c r="AI6052">
        <v>45</v>
      </c>
      <c r="AJ6052">
        <v>1</v>
      </c>
      <c r="AK6052">
        <v>20</v>
      </c>
      <c r="AL6052">
        <v>48</v>
      </c>
      <c r="AM6052" t="s">
        <v>43</v>
      </c>
      <c r="AN6052" t="s">
        <v>43</v>
      </c>
    </row>
    <row r="6053" spans="1:40" x14ac:dyDescent="0.3">
      <c r="A6053" s="1">
        <v>46210.298726851855</v>
      </c>
      <c r="B6053" t="s">
        <v>40</v>
      </c>
      <c r="C6053" t="s">
        <v>41</v>
      </c>
      <c r="D6053" s="1">
        <v>46210.301469907405</v>
      </c>
      <c r="E6053" t="s">
        <v>42</v>
      </c>
      <c r="F6053" t="s">
        <v>83</v>
      </c>
      <c r="G6053">
        <v>4</v>
      </c>
      <c r="H6053">
        <v>33083</v>
      </c>
      <c r="I6053" t="s">
        <v>3423</v>
      </c>
      <c r="J6053">
        <v>63</v>
      </c>
      <c r="K6053">
        <v>3</v>
      </c>
      <c r="L6053">
        <v>98</v>
      </c>
      <c r="M6053">
        <v>632.29998779000005</v>
      </c>
      <c r="N6053" t="s">
        <v>87</v>
      </c>
      <c r="O6053" t="s">
        <v>249</v>
      </c>
      <c r="P6053">
        <v>124</v>
      </c>
      <c r="Q6053" t="s">
        <v>249</v>
      </c>
      <c r="R6053">
        <v>0</v>
      </c>
      <c r="S6053">
        <v>687</v>
      </c>
      <c r="T6053">
        <v>-40</v>
      </c>
      <c r="U6053">
        <v>47</v>
      </c>
      <c r="V6053">
        <v>-22</v>
      </c>
      <c r="W6053">
        <v>28</v>
      </c>
      <c r="X6053">
        <v>28</v>
      </c>
      <c r="Y6053">
        <v>1</v>
      </c>
      <c r="Z6053">
        <v>1</v>
      </c>
      <c r="AA6053">
        <v>26</v>
      </c>
      <c r="AB6053">
        <v>2</v>
      </c>
      <c r="AC6053">
        <v>2</v>
      </c>
      <c r="AD6053">
        <v>3.2999999500000001</v>
      </c>
      <c r="AE6053">
        <v>6</v>
      </c>
      <c r="AF6053">
        <v>30</v>
      </c>
      <c r="AG6053">
        <v>3.2899999599999998</v>
      </c>
      <c r="AH6053">
        <v>2</v>
      </c>
      <c r="AI6053">
        <v>45</v>
      </c>
      <c r="AJ6053">
        <v>1</v>
      </c>
      <c r="AK6053">
        <v>18</v>
      </c>
      <c r="AL6053">
        <v>48</v>
      </c>
      <c r="AM6053" t="s">
        <v>43</v>
      </c>
      <c r="AN6053" t="str">
        <f>HYPERLINK("https://www.google.com/maps?q=10.83431435,79.84712982","Open Location")</f>
        <v>Open Location</v>
      </c>
    </row>
    <row r="6054" spans="1:40" x14ac:dyDescent="0.3">
      <c r="A6054" s="1">
        <v>46210.298611111109</v>
      </c>
      <c r="B6054" t="s">
        <v>40</v>
      </c>
      <c r="C6054" t="s">
        <v>41</v>
      </c>
      <c r="D6054" s="1">
        <v>46210.301539351851</v>
      </c>
      <c r="E6054" t="s">
        <v>42</v>
      </c>
      <c r="F6054" t="s">
        <v>83</v>
      </c>
      <c r="G6054">
        <v>1</v>
      </c>
      <c r="H6054">
        <v>33083</v>
      </c>
      <c r="I6054" t="s">
        <v>43</v>
      </c>
      <c r="J6054">
        <v>63</v>
      </c>
      <c r="K6054">
        <v>4</v>
      </c>
      <c r="L6054">
        <v>98</v>
      </c>
      <c r="M6054">
        <v>631.79998779000005</v>
      </c>
      <c r="N6054" t="s">
        <v>87</v>
      </c>
      <c r="O6054" t="s">
        <v>249</v>
      </c>
      <c r="P6054">
        <v>124</v>
      </c>
      <c r="Q6054" t="s">
        <v>249</v>
      </c>
      <c r="R6054">
        <v>18</v>
      </c>
      <c r="S6054">
        <v>1621</v>
      </c>
      <c r="T6054">
        <v>-40</v>
      </c>
      <c r="U6054">
        <v>48</v>
      </c>
      <c r="V6054">
        <v>-5</v>
      </c>
      <c r="W6054">
        <v>28</v>
      </c>
      <c r="X6054">
        <v>28</v>
      </c>
      <c r="Y6054">
        <v>1</v>
      </c>
      <c r="Z6054">
        <v>1</v>
      </c>
      <c r="AA6054">
        <v>26</v>
      </c>
      <c r="AB6054">
        <v>2</v>
      </c>
      <c r="AC6054">
        <v>2</v>
      </c>
      <c r="AD6054">
        <v>3.2999999500000001</v>
      </c>
      <c r="AE6054">
        <v>6</v>
      </c>
      <c r="AF6054">
        <v>30</v>
      </c>
      <c r="AG6054">
        <v>3.2899999599999998</v>
      </c>
      <c r="AH6054">
        <v>2</v>
      </c>
      <c r="AI6054">
        <v>45</v>
      </c>
      <c r="AJ6054">
        <v>1</v>
      </c>
      <c r="AK6054">
        <v>18</v>
      </c>
      <c r="AL6054">
        <v>48</v>
      </c>
      <c r="AM6054" t="s">
        <v>43</v>
      </c>
      <c r="AN6054" t="s">
        <v>43</v>
      </c>
    </row>
    <row r="6055" spans="1:40" x14ac:dyDescent="0.3">
      <c r="A6055" s="1">
        <v>46210.298495370371</v>
      </c>
      <c r="B6055" t="s">
        <v>40</v>
      </c>
      <c r="C6055" t="s">
        <v>41</v>
      </c>
      <c r="D6055" s="1">
        <v>46210.301550925928</v>
      </c>
      <c r="E6055" t="s">
        <v>42</v>
      </c>
      <c r="F6055" t="s">
        <v>83</v>
      </c>
      <c r="G6055">
        <v>8</v>
      </c>
      <c r="H6055">
        <v>33083</v>
      </c>
      <c r="I6055" t="s">
        <v>43</v>
      </c>
      <c r="J6055">
        <v>63</v>
      </c>
      <c r="K6055">
        <v>18</v>
      </c>
      <c r="L6055">
        <v>98</v>
      </c>
      <c r="M6055">
        <v>630.90002441000001</v>
      </c>
      <c r="N6055" t="s">
        <v>87</v>
      </c>
      <c r="O6055" t="s">
        <v>86</v>
      </c>
      <c r="P6055">
        <v>128</v>
      </c>
      <c r="Q6055">
        <v>3</v>
      </c>
      <c r="R6055">
        <v>15</v>
      </c>
      <c r="S6055">
        <v>944</v>
      </c>
      <c r="T6055">
        <v>-40</v>
      </c>
      <c r="U6055">
        <v>49</v>
      </c>
      <c r="V6055">
        <v>100</v>
      </c>
      <c r="W6055">
        <v>28</v>
      </c>
      <c r="X6055">
        <v>28</v>
      </c>
      <c r="Y6055">
        <v>1</v>
      </c>
      <c r="Z6055">
        <v>1</v>
      </c>
      <c r="AA6055">
        <v>26</v>
      </c>
      <c r="AB6055">
        <v>2</v>
      </c>
      <c r="AC6055">
        <v>2</v>
      </c>
      <c r="AD6055">
        <v>3.2959999999999998</v>
      </c>
      <c r="AE6055">
        <v>6</v>
      </c>
      <c r="AF6055">
        <v>30</v>
      </c>
      <c r="AG6055">
        <v>3.28500009</v>
      </c>
      <c r="AH6055">
        <v>7</v>
      </c>
      <c r="AI6055">
        <v>1</v>
      </c>
      <c r="AJ6055">
        <v>1</v>
      </c>
      <c r="AK6055">
        <v>17</v>
      </c>
      <c r="AL6055">
        <v>48</v>
      </c>
      <c r="AM6055" t="s">
        <v>43</v>
      </c>
      <c r="AN6055" t="s">
        <v>43</v>
      </c>
    </row>
    <row r="6056" spans="1:40" x14ac:dyDescent="0.3">
      <c r="A6056" s="1">
        <v>46210.298379629632</v>
      </c>
      <c r="B6056" t="s">
        <v>40</v>
      </c>
      <c r="C6056" t="s">
        <v>41</v>
      </c>
      <c r="D6056" s="1">
        <v>46210.301226851851</v>
      </c>
      <c r="E6056" t="s">
        <v>42</v>
      </c>
      <c r="F6056" t="s">
        <v>83</v>
      </c>
      <c r="G6056">
        <v>9</v>
      </c>
      <c r="H6056" t="s">
        <v>43</v>
      </c>
      <c r="I6056" t="s">
        <v>3424</v>
      </c>
      <c r="J6056">
        <v>63</v>
      </c>
      <c r="K6056">
        <v>31</v>
      </c>
      <c r="L6056">
        <v>98</v>
      </c>
      <c r="M6056">
        <v>631</v>
      </c>
      <c r="N6056" t="s">
        <v>87</v>
      </c>
      <c r="O6056" t="s">
        <v>86</v>
      </c>
      <c r="P6056">
        <v>128</v>
      </c>
      <c r="Q6056">
        <v>3</v>
      </c>
      <c r="R6056">
        <v>0</v>
      </c>
      <c r="S6056">
        <v>1096</v>
      </c>
      <c r="T6056">
        <v>-40</v>
      </c>
      <c r="U6056">
        <v>47</v>
      </c>
      <c r="V6056">
        <v>100</v>
      </c>
      <c r="W6056">
        <v>28</v>
      </c>
      <c r="X6056">
        <v>28</v>
      </c>
      <c r="Y6056">
        <v>1</v>
      </c>
      <c r="Z6056">
        <v>1</v>
      </c>
      <c r="AA6056">
        <v>26</v>
      </c>
      <c r="AB6056">
        <v>2</v>
      </c>
      <c r="AC6056">
        <v>2</v>
      </c>
      <c r="AD6056">
        <v>3.2999999500000001</v>
      </c>
      <c r="AE6056">
        <v>6</v>
      </c>
      <c r="AF6056">
        <v>30</v>
      </c>
      <c r="AG6056">
        <v>3.28800011</v>
      </c>
      <c r="AH6056">
        <v>4</v>
      </c>
      <c r="AI6056">
        <v>17</v>
      </c>
      <c r="AJ6056">
        <v>1</v>
      </c>
      <c r="AK6056">
        <v>17</v>
      </c>
      <c r="AL6056">
        <v>48</v>
      </c>
      <c r="AM6056" t="s">
        <v>43</v>
      </c>
      <c r="AN6056" t="str">
        <f>HYPERLINK("https://www.google.com/maps?q=10.83425236,79.84725952","Open Location")</f>
        <v>Open Location</v>
      </c>
    </row>
    <row r="6057" spans="1:40" x14ac:dyDescent="0.3">
      <c r="A6057" s="1">
        <v>46210.298263888886</v>
      </c>
      <c r="B6057" t="s">
        <v>40</v>
      </c>
      <c r="C6057" t="s">
        <v>41</v>
      </c>
      <c r="D6057" s="1">
        <v>46210.301203703704</v>
      </c>
      <c r="E6057" t="s">
        <v>42</v>
      </c>
      <c r="F6057" t="s">
        <v>83</v>
      </c>
      <c r="G6057">
        <v>8</v>
      </c>
      <c r="H6057">
        <v>33083</v>
      </c>
      <c r="I6057" t="s">
        <v>3425</v>
      </c>
      <c r="J6057">
        <v>63</v>
      </c>
      <c r="K6057">
        <v>-3</v>
      </c>
      <c r="L6057">
        <v>98</v>
      </c>
      <c r="M6057">
        <v>632</v>
      </c>
      <c r="N6057" t="s">
        <v>87</v>
      </c>
      <c r="O6057" t="s">
        <v>86</v>
      </c>
      <c r="P6057">
        <v>127</v>
      </c>
      <c r="Q6057">
        <v>2</v>
      </c>
      <c r="R6057">
        <v>21</v>
      </c>
      <c r="S6057">
        <v>1131</v>
      </c>
      <c r="T6057">
        <v>-40</v>
      </c>
      <c r="U6057">
        <v>48</v>
      </c>
      <c r="V6057">
        <v>0</v>
      </c>
      <c r="W6057">
        <v>28</v>
      </c>
      <c r="X6057">
        <v>28</v>
      </c>
      <c r="Y6057">
        <v>1</v>
      </c>
      <c r="Z6057">
        <v>1</v>
      </c>
      <c r="AA6057">
        <v>26</v>
      </c>
      <c r="AB6057">
        <v>2</v>
      </c>
      <c r="AC6057">
        <v>2</v>
      </c>
      <c r="AD6057">
        <v>3.3010001199999999</v>
      </c>
      <c r="AE6057">
        <v>6</v>
      </c>
      <c r="AF6057">
        <v>30</v>
      </c>
      <c r="AG6057">
        <v>3.2899999599999998</v>
      </c>
      <c r="AH6057">
        <v>8</v>
      </c>
      <c r="AI6057">
        <v>9</v>
      </c>
      <c r="AJ6057">
        <v>1</v>
      </c>
      <c r="AK6057">
        <v>17</v>
      </c>
      <c r="AL6057">
        <v>48</v>
      </c>
      <c r="AM6057" t="s">
        <v>43</v>
      </c>
      <c r="AN6057" t="str">
        <f>HYPERLINK("https://www.google.com/maps?q=10.83395767,79.84720612","Open Location")</f>
        <v>Open Location</v>
      </c>
    </row>
    <row r="6058" spans="1:40" x14ac:dyDescent="0.3">
      <c r="A6058" s="1">
        <v>46210.298148148147</v>
      </c>
      <c r="B6058" t="s">
        <v>40</v>
      </c>
      <c r="C6058" t="s">
        <v>41</v>
      </c>
      <c r="D6058" s="1">
        <v>46210.300995370373</v>
      </c>
      <c r="E6058" t="s">
        <v>42</v>
      </c>
      <c r="F6058" t="s">
        <v>83</v>
      </c>
      <c r="G6058">
        <v>0</v>
      </c>
      <c r="H6058">
        <v>33083</v>
      </c>
      <c r="I6058" t="s">
        <v>3426</v>
      </c>
      <c r="J6058">
        <v>63</v>
      </c>
      <c r="K6058">
        <v>19</v>
      </c>
      <c r="L6058">
        <v>98</v>
      </c>
      <c r="M6058">
        <v>632.59997558999999</v>
      </c>
      <c r="N6058" t="s">
        <v>85</v>
      </c>
      <c r="O6058" t="s">
        <v>86</v>
      </c>
      <c r="P6058">
        <v>126</v>
      </c>
      <c r="Q6058">
        <v>1</v>
      </c>
      <c r="R6058">
        <v>0</v>
      </c>
      <c r="S6058">
        <v>602</v>
      </c>
      <c r="T6058">
        <v>-40</v>
      </c>
      <c r="U6058">
        <v>47</v>
      </c>
      <c r="V6058">
        <v>64</v>
      </c>
      <c r="W6058">
        <v>28</v>
      </c>
      <c r="X6058">
        <v>28</v>
      </c>
      <c r="Y6058">
        <v>1</v>
      </c>
      <c r="Z6058">
        <v>1</v>
      </c>
      <c r="AA6058">
        <v>26</v>
      </c>
      <c r="AB6058">
        <v>2</v>
      </c>
      <c r="AC6058">
        <v>2</v>
      </c>
      <c r="AD6058">
        <v>3.3039999</v>
      </c>
      <c r="AE6058">
        <v>6</v>
      </c>
      <c r="AF6058">
        <v>30</v>
      </c>
      <c r="AG6058">
        <v>3.2929999799999998</v>
      </c>
      <c r="AH6058">
        <v>2</v>
      </c>
      <c r="AI6058">
        <v>45</v>
      </c>
      <c r="AJ6058">
        <v>1</v>
      </c>
      <c r="AK6058">
        <v>17</v>
      </c>
      <c r="AL6058">
        <v>48</v>
      </c>
      <c r="AM6058" t="s">
        <v>43</v>
      </c>
      <c r="AN6058" t="str">
        <f>HYPERLINK("https://www.google.com/maps?q=10.83390236,79.8471756","Open Location")</f>
        <v>Open Location</v>
      </c>
    </row>
    <row r="6059" spans="1:40" x14ac:dyDescent="0.3">
      <c r="A6059" s="1">
        <v>46210.298032407409</v>
      </c>
      <c r="B6059" t="s">
        <v>40</v>
      </c>
      <c r="C6059" t="s">
        <v>41</v>
      </c>
      <c r="D6059" s="1">
        <v>46210.300694444442</v>
      </c>
      <c r="E6059" t="s">
        <v>42</v>
      </c>
      <c r="F6059" t="s">
        <v>83</v>
      </c>
      <c r="G6059">
        <v>0</v>
      </c>
      <c r="H6059">
        <v>33083</v>
      </c>
      <c r="I6059" t="s">
        <v>3427</v>
      </c>
      <c r="J6059">
        <v>63</v>
      </c>
      <c r="K6059">
        <v>2</v>
      </c>
      <c r="L6059">
        <v>98</v>
      </c>
      <c r="M6059">
        <v>632</v>
      </c>
      <c r="N6059" t="s">
        <v>85</v>
      </c>
      <c r="O6059" t="s">
        <v>86</v>
      </c>
      <c r="P6059">
        <v>127</v>
      </c>
      <c r="Q6059">
        <v>2</v>
      </c>
      <c r="R6059">
        <v>0</v>
      </c>
      <c r="S6059">
        <v>0</v>
      </c>
      <c r="T6059">
        <v>-40</v>
      </c>
      <c r="U6059">
        <v>47</v>
      </c>
      <c r="V6059">
        <v>5</v>
      </c>
      <c r="W6059">
        <v>28</v>
      </c>
      <c r="X6059">
        <v>28</v>
      </c>
      <c r="Y6059">
        <v>1</v>
      </c>
      <c r="Z6059">
        <v>1</v>
      </c>
      <c r="AA6059">
        <v>26</v>
      </c>
      <c r="AB6059">
        <v>2</v>
      </c>
      <c r="AC6059">
        <v>2</v>
      </c>
      <c r="AD6059">
        <v>3.3039999</v>
      </c>
      <c r="AE6059">
        <v>6</v>
      </c>
      <c r="AF6059">
        <v>30</v>
      </c>
      <c r="AG6059">
        <v>3.2929999799999998</v>
      </c>
      <c r="AH6059">
        <v>2</v>
      </c>
      <c r="AI6059">
        <v>45</v>
      </c>
      <c r="AJ6059">
        <v>1</v>
      </c>
      <c r="AK6059">
        <v>17</v>
      </c>
      <c r="AL6059">
        <v>48</v>
      </c>
      <c r="AM6059" t="s">
        <v>43</v>
      </c>
      <c r="AN6059" t="str">
        <f>HYPERLINK("https://www.google.com/maps?q=10.83390427,79.8471756","Open Location")</f>
        <v>Open Location</v>
      </c>
    </row>
    <row r="6060" spans="1:40" x14ac:dyDescent="0.3">
      <c r="A6060" s="1">
        <v>46210.29791666667</v>
      </c>
      <c r="B6060" t="s">
        <v>40</v>
      </c>
      <c r="C6060" t="s">
        <v>41</v>
      </c>
      <c r="D6060" s="1">
        <v>46210.300717592596</v>
      </c>
      <c r="E6060" t="s">
        <v>42</v>
      </c>
      <c r="F6060" t="s">
        <v>83</v>
      </c>
      <c r="G6060">
        <v>0</v>
      </c>
      <c r="H6060">
        <v>33083</v>
      </c>
      <c r="I6060" t="s">
        <v>3428</v>
      </c>
      <c r="J6060">
        <v>63</v>
      </c>
      <c r="K6060">
        <v>2</v>
      </c>
      <c r="L6060">
        <v>98</v>
      </c>
      <c r="M6060">
        <v>632</v>
      </c>
      <c r="N6060" t="s">
        <v>85</v>
      </c>
      <c r="O6060" t="s">
        <v>86</v>
      </c>
      <c r="P6060">
        <v>127</v>
      </c>
      <c r="Q6060">
        <v>2</v>
      </c>
      <c r="R6060">
        <v>0</v>
      </c>
      <c r="S6060">
        <v>0</v>
      </c>
      <c r="T6060">
        <v>-40</v>
      </c>
      <c r="U6060">
        <v>47</v>
      </c>
      <c r="V6060">
        <v>5</v>
      </c>
      <c r="W6060">
        <v>28</v>
      </c>
      <c r="X6060">
        <v>28</v>
      </c>
      <c r="Y6060">
        <v>1</v>
      </c>
      <c r="Z6060">
        <v>1</v>
      </c>
      <c r="AA6060">
        <v>26</v>
      </c>
      <c r="AB6060">
        <v>2</v>
      </c>
      <c r="AC6060">
        <v>2</v>
      </c>
      <c r="AD6060">
        <v>3.3039999</v>
      </c>
      <c r="AE6060">
        <v>6</v>
      </c>
      <c r="AF6060">
        <v>30</v>
      </c>
      <c r="AG6060">
        <v>3.2929999799999998</v>
      </c>
      <c r="AH6060">
        <v>2</v>
      </c>
      <c r="AI6060">
        <v>45</v>
      </c>
      <c r="AJ6060">
        <v>1</v>
      </c>
      <c r="AK6060">
        <v>17</v>
      </c>
      <c r="AL6060">
        <v>48</v>
      </c>
      <c r="AM6060" t="s">
        <v>43</v>
      </c>
      <c r="AN6060" t="str">
        <f>HYPERLINK("https://www.google.com/maps?q=10.83390331,79.8471756","Open Location")</f>
        <v>Open Location</v>
      </c>
    </row>
    <row r="6061" spans="1:40" x14ac:dyDescent="0.3">
      <c r="A6061" s="1">
        <v>46210.297800925924</v>
      </c>
      <c r="B6061" t="s">
        <v>40</v>
      </c>
      <c r="C6061" t="s">
        <v>41</v>
      </c>
      <c r="D6061" s="1">
        <v>46210.300775462965</v>
      </c>
      <c r="E6061" t="s">
        <v>42</v>
      </c>
      <c r="F6061" t="s">
        <v>83</v>
      </c>
      <c r="G6061">
        <v>0</v>
      </c>
      <c r="H6061">
        <v>33083</v>
      </c>
      <c r="I6061" t="s">
        <v>43</v>
      </c>
      <c r="J6061">
        <v>63</v>
      </c>
      <c r="K6061">
        <v>2</v>
      </c>
      <c r="L6061">
        <v>98</v>
      </c>
      <c r="M6061">
        <v>632.20001220999995</v>
      </c>
      <c r="N6061" t="s">
        <v>85</v>
      </c>
      <c r="O6061" t="s">
        <v>86</v>
      </c>
      <c r="P6061">
        <v>127</v>
      </c>
      <c r="Q6061">
        <v>2</v>
      </c>
      <c r="R6061">
        <v>0</v>
      </c>
      <c r="S6061">
        <v>0</v>
      </c>
      <c r="T6061">
        <v>-40</v>
      </c>
      <c r="U6061">
        <v>47</v>
      </c>
      <c r="V6061">
        <v>5</v>
      </c>
      <c r="W6061">
        <v>28</v>
      </c>
      <c r="X6061">
        <v>28</v>
      </c>
      <c r="Y6061">
        <v>1</v>
      </c>
      <c r="Z6061">
        <v>1</v>
      </c>
      <c r="AA6061">
        <v>26</v>
      </c>
      <c r="AB6061">
        <v>2</v>
      </c>
      <c r="AC6061">
        <v>2</v>
      </c>
      <c r="AD6061">
        <v>3.3039999</v>
      </c>
      <c r="AE6061">
        <v>6</v>
      </c>
      <c r="AF6061">
        <v>30</v>
      </c>
      <c r="AG6061">
        <v>3.2929999799999998</v>
      </c>
      <c r="AH6061">
        <v>2</v>
      </c>
      <c r="AI6061">
        <v>45</v>
      </c>
      <c r="AJ6061">
        <v>1</v>
      </c>
      <c r="AK6061">
        <v>17</v>
      </c>
      <c r="AL6061">
        <v>48</v>
      </c>
      <c r="AM6061" t="s">
        <v>43</v>
      </c>
      <c r="AN6061" t="s">
        <v>43</v>
      </c>
    </row>
    <row r="6062" spans="1:40" x14ac:dyDescent="0.3">
      <c r="A6062" s="1">
        <v>46210.297685185185</v>
      </c>
      <c r="B6062" t="s">
        <v>40</v>
      </c>
      <c r="C6062" t="s">
        <v>41</v>
      </c>
      <c r="D6062" s="1">
        <v>46210.300821759258</v>
      </c>
      <c r="E6062" t="s">
        <v>42</v>
      </c>
      <c r="F6062" t="s">
        <v>83</v>
      </c>
      <c r="G6062">
        <v>0</v>
      </c>
      <c r="H6062">
        <v>33083</v>
      </c>
      <c r="I6062" t="s">
        <v>3426</v>
      </c>
      <c r="J6062">
        <v>63</v>
      </c>
      <c r="K6062">
        <v>2</v>
      </c>
      <c r="L6062">
        <v>98</v>
      </c>
      <c r="M6062">
        <v>632.5</v>
      </c>
      <c r="N6062" t="s">
        <v>85</v>
      </c>
      <c r="O6062" t="s">
        <v>86</v>
      </c>
      <c r="P6062">
        <v>127</v>
      </c>
      <c r="Q6062">
        <v>2</v>
      </c>
      <c r="R6062">
        <v>0</v>
      </c>
      <c r="S6062">
        <v>0</v>
      </c>
      <c r="T6062">
        <v>-40</v>
      </c>
      <c r="U6062">
        <v>47</v>
      </c>
      <c r="V6062">
        <v>5</v>
      </c>
      <c r="W6062">
        <v>28</v>
      </c>
      <c r="X6062">
        <v>28</v>
      </c>
      <c r="Y6062">
        <v>1</v>
      </c>
      <c r="Z6062">
        <v>1</v>
      </c>
      <c r="AA6062">
        <v>26</v>
      </c>
      <c r="AB6062">
        <v>2</v>
      </c>
      <c r="AC6062">
        <v>2</v>
      </c>
      <c r="AD6062">
        <v>3.3039999</v>
      </c>
      <c r="AE6062">
        <v>6</v>
      </c>
      <c r="AF6062">
        <v>30</v>
      </c>
      <c r="AG6062">
        <v>3.2929999799999998</v>
      </c>
      <c r="AH6062">
        <v>2</v>
      </c>
      <c r="AI6062">
        <v>45</v>
      </c>
      <c r="AJ6062">
        <v>1</v>
      </c>
      <c r="AK6062">
        <v>17</v>
      </c>
      <c r="AL6062">
        <v>48</v>
      </c>
      <c r="AM6062" t="s">
        <v>43</v>
      </c>
      <c r="AN6062" t="str">
        <f>HYPERLINK("https://www.google.com/maps?q=10.83390236,79.8471756","Open Location")</f>
        <v>Open Location</v>
      </c>
    </row>
    <row r="6063" spans="1:40" x14ac:dyDescent="0.3">
      <c r="A6063" s="1">
        <v>46210.297569444447</v>
      </c>
      <c r="B6063" t="s">
        <v>40</v>
      </c>
      <c r="C6063" t="s">
        <v>41</v>
      </c>
      <c r="D6063" s="1">
        <v>46210.300428240742</v>
      </c>
      <c r="E6063" t="s">
        <v>42</v>
      </c>
      <c r="F6063" t="s">
        <v>83</v>
      </c>
      <c r="G6063">
        <v>0</v>
      </c>
      <c r="H6063">
        <v>33083</v>
      </c>
      <c r="I6063" t="s">
        <v>3429</v>
      </c>
      <c r="J6063">
        <v>63</v>
      </c>
      <c r="K6063">
        <v>2</v>
      </c>
      <c r="L6063">
        <v>98</v>
      </c>
      <c r="M6063">
        <v>632.90002441000001</v>
      </c>
      <c r="N6063" t="s">
        <v>85</v>
      </c>
      <c r="O6063" t="s">
        <v>86</v>
      </c>
      <c r="P6063">
        <v>127</v>
      </c>
      <c r="Q6063">
        <v>2</v>
      </c>
      <c r="R6063">
        <v>0</v>
      </c>
      <c r="S6063">
        <v>0</v>
      </c>
      <c r="T6063">
        <v>-40</v>
      </c>
      <c r="U6063">
        <v>47</v>
      </c>
      <c r="V6063">
        <v>5</v>
      </c>
      <c r="W6063">
        <v>28</v>
      </c>
      <c r="X6063">
        <v>28</v>
      </c>
      <c r="Y6063">
        <v>1</v>
      </c>
      <c r="Z6063">
        <v>1</v>
      </c>
      <c r="AA6063">
        <v>26</v>
      </c>
      <c r="AB6063">
        <v>2</v>
      </c>
      <c r="AC6063">
        <v>2</v>
      </c>
      <c r="AD6063">
        <v>3.3039999</v>
      </c>
      <c r="AE6063">
        <v>6</v>
      </c>
      <c r="AF6063">
        <v>30</v>
      </c>
      <c r="AG6063">
        <v>3.2929999799999998</v>
      </c>
      <c r="AH6063">
        <v>2</v>
      </c>
      <c r="AI6063">
        <v>45</v>
      </c>
      <c r="AJ6063">
        <v>1</v>
      </c>
      <c r="AK6063">
        <v>17</v>
      </c>
      <c r="AL6063">
        <v>48</v>
      </c>
      <c r="AM6063" t="s">
        <v>43</v>
      </c>
      <c r="AN6063" t="str">
        <f>HYPERLINK("https://www.google.com/maps?q=10.83390141,79.84718323","Open Location")</f>
        <v>Open Location</v>
      </c>
    </row>
    <row r="6064" spans="1:40" x14ac:dyDescent="0.3">
      <c r="A6064" s="1">
        <v>46210.297453703701</v>
      </c>
      <c r="B6064" t="s">
        <v>40</v>
      </c>
      <c r="C6064" t="s">
        <v>41</v>
      </c>
      <c r="D6064" s="1">
        <v>46210.300428240742</v>
      </c>
      <c r="E6064" t="s">
        <v>42</v>
      </c>
      <c r="F6064" t="s">
        <v>83</v>
      </c>
      <c r="G6064">
        <v>0</v>
      </c>
      <c r="H6064">
        <v>33083</v>
      </c>
      <c r="I6064" t="s">
        <v>3430</v>
      </c>
      <c r="J6064">
        <v>63</v>
      </c>
      <c r="K6064">
        <v>2</v>
      </c>
      <c r="L6064">
        <v>98</v>
      </c>
      <c r="M6064">
        <v>632.40002441000001</v>
      </c>
      <c r="N6064" t="s">
        <v>85</v>
      </c>
      <c r="O6064" t="s">
        <v>86</v>
      </c>
      <c r="P6064">
        <v>127</v>
      </c>
      <c r="Q6064">
        <v>2</v>
      </c>
      <c r="R6064">
        <v>0</v>
      </c>
      <c r="S6064">
        <v>0</v>
      </c>
      <c r="T6064">
        <v>-40</v>
      </c>
      <c r="U6064">
        <v>47</v>
      </c>
      <c r="V6064">
        <v>5</v>
      </c>
      <c r="W6064">
        <v>28</v>
      </c>
      <c r="X6064">
        <v>28</v>
      </c>
      <c r="Y6064">
        <v>1</v>
      </c>
      <c r="Z6064">
        <v>1</v>
      </c>
      <c r="AA6064">
        <v>26</v>
      </c>
      <c r="AB6064">
        <v>2</v>
      </c>
      <c r="AC6064">
        <v>2</v>
      </c>
      <c r="AD6064">
        <v>3.3039999</v>
      </c>
      <c r="AE6064">
        <v>6</v>
      </c>
      <c r="AF6064">
        <v>30</v>
      </c>
      <c r="AG6064">
        <v>3.2920000599999999</v>
      </c>
      <c r="AH6064">
        <v>8</v>
      </c>
      <c r="AI6064">
        <v>48</v>
      </c>
      <c r="AJ6064">
        <v>1</v>
      </c>
      <c r="AK6064">
        <v>17</v>
      </c>
      <c r="AL6064">
        <v>48</v>
      </c>
      <c r="AM6064" t="s">
        <v>43</v>
      </c>
      <c r="AN6064" t="str">
        <f>HYPERLINK("https://www.google.com/maps?q=10.83390045,79.84718323","Open Location")</f>
        <v>Open Location</v>
      </c>
    </row>
    <row r="6065" spans="1:40" x14ac:dyDescent="0.3">
      <c r="A6065" s="1">
        <v>46210.297337962962</v>
      </c>
      <c r="B6065" t="s">
        <v>40</v>
      </c>
      <c r="C6065" t="s">
        <v>41</v>
      </c>
      <c r="D6065" s="1">
        <v>46210.300208333334</v>
      </c>
      <c r="E6065" t="s">
        <v>42</v>
      </c>
      <c r="F6065" t="s">
        <v>83</v>
      </c>
      <c r="G6065">
        <v>0</v>
      </c>
      <c r="H6065" t="s">
        <v>43</v>
      </c>
      <c r="I6065" t="s">
        <v>3431</v>
      </c>
      <c r="J6065">
        <v>63</v>
      </c>
      <c r="K6065">
        <v>2</v>
      </c>
      <c r="L6065">
        <v>98</v>
      </c>
      <c r="M6065">
        <v>632.20001220999995</v>
      </c>
      <c r="N6065" t="s">
        <v>85</v>
      </c>
      <c r="O6065" t="s">
        <v>86</v>
      </c>
      <c r="P6065">
        <v>127</v>
      </c>
      <c r="Q6065">
        <v>2</v>
      </c>
      <c r="R6065">
        <v>0</v>
      </c>
      <c r="S6065">
        <v>0</v>
      </c>
      <c r="T6065">
        <v>-40</v>
      </c>
      <c r="U6065">
        <v>47</v>
      </c>
      <c r="V6065">
        <v>5</v>
      </c>
      <c r="W6065">
        <v>28</v>
      </c>
      <c r="X6065">
        <v>28</v>
      </c>
      <c r="Y6065">
        <v>1</v>
      </c>
      <c r="Z6065">
        <v>1</v>
      </c>
      <c r="AA6065">
        <v>26</v>
      </c>
      <c r="AB6065">
        <v>2</v>
      </c>
      <c r="AC6065">
        <v>2</v>
      </c>
      <c r="AD6065">
        <v>3.3039999</v>
      </c>
      <c r="AE6065">
        <v>6</v>
      </c>
      <c r="AF6065">
        <v>30</v>
      </c>
      <c r="AG6065">
        <v>3.2920000599999999</v>
      </c>
      <c r="AH6065">
        <v>8</v>
      </c>
      <c r="AI6065">
        <v>48</v>
      </c>
      <c r="AJ6065">
        <v>1</v>
      </c>
      <c r="AK6065">
        <v>17</v>
      </c>
      <c r="AL6065">
        <v>48</v>
      </c>
      <c r="AM6065" t="s">
        <v>43</v>
      </c>
      <c r="AN6065" t="str">
        <f>HYPERLINK("https://www.google.com/maps?q=10.83390331,79.84718323","Open Location")</f>
        <v>Open Location</v>
      </c>
    </row>
    <row r="6066" spans="1:40" x14ac:dyDescent="0.3">
      <c r="A6066" s="1">
        <v>46210.297222222223</v>
      </c>
      <c r="B6066" t="s">
        <v>40</v>
      </c>
      <c r="C6066" t="s">
        <v>41</v>
      </c>
      <c r="D6066" s="1">
        <v>46210.300370370373</v>
      </c>
      <c r="E6066" t="s">
        <v>42</v>
      </c>
      <c r="F6066" t="s">
        <v>83</v>
      </c>
      <c r="G6066">
        <v>0</v>
      </c>
      <c r="H6066">
        <v>33083</v>
      </c>
      <c r="I6066" t="s">
        <v>43</v>
      </c>
      <c r="J6066">
        <v>63</v>
      </c>
      <c r="K6066">
        <v>2</v>
      </c>
      <c r="L6066">
        <v>98</v>
      </c>
      <c r="M6066">
        <v>632.59997558999999</v>
      </c>
      <c r="N6066" t="s">
        <v>85</v>
      </c>
      <c r="O6066" t="s">
        <v>86</v>
      </c>
      <c r="P6066">
        <v>127</v>
      </c>
      <c r="Q6066">
        <v>2</v>
      </c>
      <c r="R6066">
        <v>0</v>
      </c>
      <c r="S6066">
        <v>0</v>
      </c>
      <c r="T6066">
        <v>-40</v>
      </c>
      <c r="U6066">
        <v>47</v>
      </c>
      <c r="V6066">
        <v>5</v>
      </c>
      <c r="W6066">
        <v>28</v>
      </c>
      <c r="X6066">
        <v>28</v>
      </c>
      <c r="Y6066">
        <v>1</v>
      </c>
      <c r="Z6066">
        <v>1</v>
      </c>
      <c r="AA6066">
        <v>26</v>
      </c>
      <c r="AB6066">
        <v>2</v>
      </c>
      <c r="AC6066">
        <v>2</v>
      </c>
      <c r="AD6066">
        <v>3.3039999</v>
      </c>
      <c r="AE6066">
        <v>6</v>
      </c>
      <c r="AF6066">
        <v>30</v>
      </c>
      <c r="AG6066">
        <v>3.2920000599999999</v>
      </c>
      <c r="AH6066">
        <v>8</v>
      </c>
      <c r="AI6066">
        <v>48</v>
      </c>
      <c r="AJ6066">
        <v>1</v>
      </c>
      <c r="AK6066">
        <v>17</v>
      </c>
      <c r="AL6066">
        <v>48</v>
      </c>
      <c r="AM6066" t="s">
        <v>43</v>
      </c>
      <c r="AN6066" t="s">
        <v>43</v>
      </c>
    </row>
    <row r="6067" spans="1:40" x14ac:dyDescent="0.3">
      <c r="A6067" s="1">
        <v>46210.297106481485</v>
      </c>
      <c r="B6067" t="s">
        <v>40</v>
      </c>
      <c r="C6067" t="s">
        <v>41</v>
      </c>
      <c r="D6067" s="1">
        <v>46210.300023148149</v>
      </c>
      <c r="E6067" t="s">
        <v>42</v>
      </c>
      <c r="F6067" t="s">
        <v>83</v>
      </c>
      <c r="G6067">
        <v>0</v>
      </c>
      <c r="H6067">
        <v>33083</v>
      </c>
      <c r="I6067" t="s">
        <v>3431</v>
      </c>
      <c r="J6067">
        <v>63</v>
      </c>
      <c r="K6067">
        <v>2</v>
      </c>
      <c r="L6067">
        <v>98</v>
      </c>
      <c r="M6067">
        <v>632.79998779000005</v>
      </c>
      <c r="N6067" t="s">
        <v>85</v>
      </c>
      <c r="O6067" t="s">
        <v>86</v>
      </c>
      <c r="P6067">
        <v>127</v>
      </c>
      <c r="Q6067">
        <v>2</v>
      </c>
      <c r="R6067">
        <v>0</v>
      </c>
      <c r="S6067">
        <v>0</v>
      </c>
      <c r="T6067">
        <v>-40</v>
      </c>
      <c r="U6067">
        <v>47</v>
      </c>
      <c r="V6067">
        <v>5</v>
      </c>
      <c r="W6067">
        <v>28</v>
      </c>
      <c r="X6067">
        <v>28</v>
      </c>
      <c r="Y6067">
        <v>1</v>
      </c>
      <c r="Z6067">
        <v>1</v>
      </c>
      <c r="AA6067">
        <v>26</v>
      </c>
      <c r="AB6067">
        <v>2</v>
      </c>
      <c r="AC6067">
        <v>2</v>
      </c>
      <c r="AD6067">
        <v>3.3039999</v>
      </c>
      <c r="AE6067">
        <v>6</v>
      </c>
      <c r="AF6067">
        <v>30</v>
      </c>
      <c r="AG6067">
        <v>3.2920000599999999</v>
      </c>
      <c r="AH6067">
        <v>8</v>
      </c>
      <c r="AI6067">
        <v>48</v>
      </c>
      <c r="AJ6067">
        <v>1</v>
      </c>
      <c r="AK6067">
        <v>17</v>
      </c>
      <c r="AL6067">
        <v>48</v>
      </c>
      <c r="AM6067" t="s">
        <v>43</v>
      </c>
      <c r="AN6067" t="str">
        <f>HYPERLINK("https://www.google.com/maps?q=10.83390331,79.84718323","Open Location")</f>
        <v>Open Location</v>
      </c>
    </row>
    <row r="6068" spans="1:40" x14ac:dyDescent="0.3">
      <c r="A6068" s="1">
        <v>46210.296990740739</v>
      </c>
      <c r="B6068" t="s">
        <v>40</v>
      </c>
      <c r="C6068" t="s">
        <v>41</v>
      </c>
      <c r="D6068" s="1">
        <v>46210.299872685187</v>
      </c>
      <c r="E6068" t="s">
        <v>42</v>
      </c>
      <c r="F6068" t="s">
        <v>83</v>
      </c>
      <c r="G6068">
        <v>0</v>
      </c>
      <c r="H6068">
        <v>33083</v>
      </c>
      <c r="I6068" t="s">
        <v>3432</v>
      </c>
      <c r="J6068">
        <v>63</v>
      </c>
      <c r="K6068">
        <v>2</v>
      </c>
      <c r="L6068">
        <v>98</v>
      </c>
      <c r="M6068">
        <v>632.90002441000001</v>
      </c>
      <c r="N6068" t="s">
        <v>85</v>
      </c>
      <c r="O6068" t="s">
        <v>86</v>
      </c>
      <c r="P6068">
        <v>127</v>
      </c>
      <c r="Q6068">
        <v>2</v>
      </c>
      <c r="R6068">
        <v>0</v>
      </c>
      <c r="S6068">
        <v>0</v>
      </c>
      <c r="T6068">
        <v>-40</v>
      </c>
      <c r="U6068">
        <v>47</v>
      </c>
      <c r="V6068">
        <v>5</v>
      </c>
      <c r="W6068">
        <v>28</v>
      </c>
      <c r="X6068">
        <v>28</v>
      </c>
      <c r="Y6068">
        <v>1</v>
      </c>
      <c r="Z6068">
        <v>1</v>
      </c>
      <c r="AA6068">
        <v>26</v>
      </c>
      <c r="AB6068">
        <v>2</v>
      </c>
      <c r="AC6068">
        <v>2</v>
      </c>
      <c r="AD6068">
        <v>3.3039999</v>
      </c>
      <c r="AE6068">
        <v>6</v>
      </c>
      <c r="AF6068">
        <v>30</v>
      </c>
      <c r="AG6068">
        <v>3.2920000599999999</v>
      </c>
      <c r="AH6068">
        <v>8</v>
      </c>
      <c r="AI6068">
        <v>48</v>
      </c>
      <c r="AJ6068">
        <v>1</v>
      </c>
      <c r="AK6068">
        <v>17</v>
      </c>
      <c r="AL6068">
        <v>48</v>
      </c>
      <c r="AM6068" t="s">
        <v>43</v>
      </c>
      <c r="AN6068" t="str">
        <f>HYPERLINK("https://www.google.com/maps?q=10.83389759,79.84718323","Open Location")</f>
        <v>Open Location</v>
      </c>
    </row>
    <row r="6069" spans="1:40" x14ac:dyDescent="0.3">
      <c r="A6069" s="1">
        <v>46210.296875</v>
      </c>
      <c r="B6069" t="s">
        <v>40</v>
      </c>
      <c r="C6069" t="s">
        <v>41</v>
      </c>
      <c r="D6069" s="1">
        <v>46210.3</v>
      </c>
      <c r="E6069" t="s">
        <v>42</v>
      </c>
      <c r="F6069" t="s">
        <v>83</v>
      </c>
      <c r="G6069">
        <v>0</v>
      </c>
      <c r="H6069">
        <v>33083</v>
      </c>
      <c r="I6069" t="s">
        <v>3433</v>
      </c>
      <c r="J6069">
        <v>63</v>
      </c>
      <c r="K6069">
        <v>2</v>
      </c>
      <c r="L6069">
        <v>98</v>
      </c>
      <c r="M6069">
        <v>632.90002441000001</v>
      </c>
      <c r="N6069" t="s">
        <v>85</v>
      </c>
      <c r="O6069" t="s">
        <v>86</v>
      </c>
      <c r="P6069">
        <v>127</v>
      </c>
      <c r="Q6069">
        <v>2</v>
      </c>
      <c r="R6069">
        <v>0</v>
      </c>
      <c r="S6069">
        <v>0</v>
      </c>
      <c r="T6069">
        <v>-40</v>
      </c>
      <c r="U6069">
        <v>47</v>
      </c>
      <c r="V6069">
        <v>5</v>
      </c>
      <c r="W6069">
        <v>28</v>
      </c>
      <c r="X6069">
        <v>28</v>
      </c>
      <c r="Y6069">
        <v>1</v>
      </c>
      <c r="Z6069">
        <v>1</v>
      </c>
      <c r="AA6069">
        <v>26</v>
      </c>
      <c r="AB6069">
        <v>2</v>
      </c>
      <c r="AC6069">
        <v>2</v>
      </c>
      <c r="AD6069">
        <v>3.3029999700000001</v>
      </c>
      <c r="AE6069">
        <v>6</v>
      </c>
      <c r="AF6069">
        <v>30</v>
      </c>
      <c r="AG6069">
        <v>3.2920000599999999</v>
      </c>
      <c r="AH6069">
        <v>8</v>
      </c>
      <c r="AI6069">
        <v>48</v>
      </c>
      <c r="AJ6069">
        <v>1</v>
      </c>
      <c r="AK6069">
        <v>17</v>
      </c>
      <c r="AL6069">
        <v>48</v>
      </c>
      <c r="AM6069" t="s">
        <v>43</v>
      </c>
      <c r="AN6069" t="str">
        <f>HYPERLINK("https://www.google.com/maps?q=10.83389378,79.84718323","Open Location")</f>
        <v>Open Location</v>
      </c>
    </row>
    <row r="6070" spans="1:40" x14ac:dyDescent="0.3">
      <c r="A6070" s="1">
        <v>46210.296759259261</v>
      </c>
      <c r="B6070" t="s">
        <v>40</v>
      </c>
      <c r="C6070" t="s">
        <v>41</v>
      </c>
      <c r="D6070" s="1">
        <v>46210.299502314818</v>
      </c>
      <c r="E6070" t="s">
        <v>42</v>
      </c>
      <c r="F6070" t="s">
        <v>83</v>
      </c>
      <c r="G6070">
        <v>0</v>
      </c>
      <c r="H6070">
        <v>33083</v>
      </c>
      <c r="I6070" t="s">
        <v>3434</v>
      </c>
      <c r="J6070">
        <v>63</v>
      </c>
      <c r="K6070">
        <v>2</v>
      </c>
      <c r="L6070">
        <v>98</v>
      </c>
      <c r="M6070">
        <v>632.59997558999999</v>
      </c>
      <c r="N6070" t="s">
        <v>85</v>
      </c>
      <c r="O6070" t="s">
        <v>86</v>
      </c>
      <c r="P6070">
        <v>127</v>
      </c>
      <c r="Q6070">
        <v>2</v>
      </c>
      <c r="R6070">
        <v>0</v>
      </c>
      <c r="S6070">
        <v>0</v>
      </c>
      <c r="T6070">
        <v>-40</v>
      </c>
      <c r="U6070">
        <v>47</v>
      </c>
      <c r="V6070">
        <v>5</v>
      </c>
      <c r="W6070">
        <v>28</v>
      </c>
      <c r="X6070">
        <v>28</v>
      </c>
      <c r="Y6070">
        <v>1</v>
      </c>
      <c r="Z6070">
        <v>1</v>
      </c>
      <c r="AA6070">
        <v>26</v>
      </c>
      <c r="AB6070">
        <v>2</v>
      </c>
      <c r="AC6070">
        <v>2</v>
      </c>
      <c r="AD6070">
        <v>3.3029999700000001</v>
      </c>
      <c r="AE6070">
        <v>6</v>
      </c>
      <c r="AF6070">
        <v>30</v>
      </c>
      <c r="AG6070">
        <v>3.2920000599999999</v>
      </c>
      <c r="AH6070">
        <v>8</v>
      </c>
      <c r="AI6070">
        <v>9</v>
      </c>
      <c r="AJ6070">
        <v>1</v>
      </c>
      <c r="AK6070">
        <v>17</v>
      </c>
      <c r="AL6070">
        <v>48</v>
      </c>
      <c r="AM6070" t="s">
        <v>43</v>
      </c>
      <c r="AN6070" t="str">
        <f>HYPERLINK("https://www.google.com/maps?q=10.83388901,79.8471756","Open Location")</f>
        <v>Open Location</v>
      </c>
    </row>
    <row r="6071" spans="1:40" x14ac:dyDescent="0.3">
      <c r="A6071" s="1">
        <v>46210.296643518515</v>
      </c>
      <c r="B6071" t="s">
        <v>40</v>
      </c>
      <c r="C6071" t="s">
        <v>41</v>
      </c>
      <c r="D6071" s="1">
        <v>46210.299641203703</v>
      </c>
      <c r="E6071" t="s">
        <v>42</v>
      </c>
      <c r="F6071" t="s">
        <v>83</v>
      </c>
      <c r="G6071">
        <v>0</v>
      </c>
      <c r="H6071">
        <v>33083</v>
      </c>
      <c r="I6071" t="s">
        <v>3435</v>
      </c>
      <c r="J6071">
        <v>63</v>
      </c>
      <c r="K6071">
        <v>2</v>
      </c>
      <c r="L6071">
        <v>98</v>
      </c>
      <c r="M6071">
        <v>632.09997558999999</v>
      </c>
      <c r="N6071" t="s">
        <v>85</v>
      </c>
      <c r="O6071" t="s">
        <v>86</v>
      </c>
      <c r="P6071">
        <v>127</v>
      </c>
      <c r="Q6071">
        <v>2</v>
      </c>
      <c r="R6071">
        <v>0</v>
      </c>
      <c r="S6071">
        <v>0</v>
      </c>
      <c r="T6071">
        <v>-40</v>
      </c>
      <c r="U6071">
        <v>47</v>
      </c>
      <c r="V6071">
        <v>5</v>
      </c>
      <c r="W6071">
        <v>28</v>
      </c>
      <c r="X6071">
        <v>28</v>
      </c>
      <c r="Y6071">
        <v>1</v>
      </c>
      <c r="Z6071">
        <v>1</v>
      </c>
      <c r="AA6071">
        <v>26</v>
      </c>
      <c r="AB6071">
        <v>2</v>
      </c>
      <c r="AC6071">
        <v>2</v>
      </c>
      <c r="AD6071">
        <v>3.3029999700000001</v>
      </c>
      <c r="AE6071">
        <v>6</v>
      </c>
      <c r="AF6071">
        <v>30</v>
      </c>
      <c r="AG6071">
        <v>3.2920000599999999</v>
      </c>
      <c r="AH6071">
        <v>8</v>
      </c>
      <c r="AI6071">
        <v>9</v>
      </c>
      <c r="AJ6071">
        <v>1</v>
      </c>
      <c r="AK6071">
        <v>17</v>
      </c>
      <c r="AL6071">
        <v>48</v>
      </c>
      <c r="AM6071" t="s">
        <v>43</v>
      </c>
      <c r="AN6071" t="str">
        <f>HYPERLINK("https://www.google.com/maps?q=10.83388901,79.84718323","Open Location")</f>
        <v>Open Location</v>
      </c>
    </row>
    <row r="6072" spans="1:40" x14ac:dyDescent="0.3">
      <c r="A6072" s="1">
        <v>46210.296527777777</v>
      </c>
      <c r="B6072" t="s">
        <v>40</v>
      </c>
      <c r="C6072" t="s">
        <v>41</v>
      </c>
      <c r="D6072" s="1">
        <v>46210.29960648148</v>
      </c>
      <c r="E6072" t="s">
        <v>42</v>
      </c>
      <c r="F6072" t="s">
        <v>83</v>
      </c>
      <c r="G6072">
        <v>0</v>
      </c>
      <c r="H6072">
        <v>33083</v>
      </c>
      <c r="I6072" t="s">
        <v>43</v>
      </c>
      <c r="J6072">
        <v>63</v>
      </c>
      <c r="K6072">
        <v>2</v>
      </c>
      <c r="L6072">
        <v>98</v>
      </c>
      <c r="M6072">
        <v>632.90002441000001</v>
      </c>
      <c r="N6072" t="s">
        <v>85</v>
      </c>
      <c r="O6072" t="s">
        <v>86</v>
      </c>
      <c r="P6072">
        <v>127</v>
      </c>
      <c r="Q6072">
        <v>2</v>
      </c>
      <c r="R6072">
        <v>0</v>
      </c>
      <c r="S6072">
        <v>0</v>
      </c>
      <c r="T6072">
        <v>-40</v>
      </c>
      <c r="U6072">
        <v>47</v>
      </c>
      <c r="V6072">
        <v>5</v>
      </c>
      <c r="W6072">
        <v>28</v>
      </c>
      <c r="X6072">
        <v>28</v>
      </c>
      <c r="Y6072">
        <v>1</v>
      </c>
      <c r="Z6072">
        <v>1</v>
      </c>
      <c r="AA6072">
        <v>26</v>
      </c>
      <c r="AB6072">
        <v>2</v>
      </c>
      <c r="AC6072">
        <v>2</v>
      </c>
      <c r="AD6072">
        <v>3.3029999700000001</v>
      </c>
      <c r="AE6072">
        <v>6</v>
      </c>
      <c r="AF6072">
        <v>30</v>
      </c>
      <c r="AG6072">
        <v>3.2920000599999999</v>
      </c>
      <c r="AH6072">
        <v>2</v>
      </c>
      <c r="AI6072">
        <v>45</v>
      </c>
      <c r="AJ6072">
        <v>1</v>
      </c>
      <c r="AK6072">
        <v>17</v>
      </c>
      <c r="AL6072">
        <v>48</v>
      </c>
      <c r="AM6072" t="s">
        <v>43</v>
      </c>
      <c r="AN6072" t="s">
        <v>43</v>
      </c>
    </row>
    <row r="6073" spans="1:40" x14ac:dyDescent="0.3">
      <c r="A6073" s="1">
        <v>46210.296412037038</v>
      </c>
      <c r="B6073" t="s">
        <v>40</v>
      </c>
      <c r="C6073" t="s">
        <v>41</v>
      </c>
      <c r="D6073" s="1">
        <v>46210.299097222225</v>
      </c>
      <c r="E6073" t="s">
        <v>42</v>
      </c>
      <c r="F6073" t="s">
        <v>83</v>
      </c>
      <c r="G6073">
        <v>0</v>
      </c>
      <c r="H6073">
        <v>33083</v>
      </c>
      <c r="I6073" t="s">
        <v>3436</v>
      </c>
      <c r="J6073">
        <v>63</v>
      </c>
      <c r="K6073">
        <v>2</v>
      </c>
      <c r="L6073">
        <v>98</v>
      </c>
      <c r="M6073">
        <v>631.90002441000001</v>
      </c>
      <c r="N6073" t="s">
        <v>85</v>
      </c>
      <c r="O6073" t="s">
        <v>86</v>
      </c>
      <c r="P6073">
        <v>127</v>
      </c>
      <c r="Q6073">
        <v>2</v>
      </c>
      <c r="R6073">
        <v>0</v>
      </c>
      <c r="S6073">
        <v>0</v>
      </c>
      <c r="T6073">
        <v>-40</v>
      </c>
      <c r="U6073">
        <v>47</v>
      </c>
      <c r="V6073">
        <v>5</v>
      </c>
      <c r="W6073">
        <v>28</v>
      </c>
      <c r="X6073">
        <v>28</v>
      </c>
      <c r="Y6073">
        <v>1</v>
      </c>
      <c r="Z6073">
        <v>1</v>
      </c>
      <c r="AA6073">
        <v>26</v>
      </c>
      <c r="AB6073">
        <v>2</v>
      </c>
      <c r="AC6073">
        <v>2</v>
      </c>
      <c r="AD6073">
        <v>3.3029999700000001</v>
      </c>
      <c r="AE6073">
        <v>6</v>
      </c>
      <c r="AF6073">
        <v>30</v>
      </c>
      <c r="AG6073">
        <v>3.2920000599999999</v>
      </c>
      <c r="AH6073">
        <v>2</v>
      </c>
      <c r="AI6073">
        <v>45</v>
      </c>
      <c r="AJ6073">
        <v>1</v>
      </c>
      <c r="AK6073">
        <v>17</v>
      </c>
      <c r="AL6073">
        <v>48</v>
      </c>
      <c r="AM6073" t="s">
        <v>43</v>
      </c>
      <c r="AN6073" t="str">
        <f>HYPERLINK("https://www.google.com/maps?q=10.83388805,79.8471756","Open Location")</f>
        <v>Open Location</v>
      </c>
    </row>
    <row r="6074" spans="1:40" x14ac:dyDescent="0.3">
      <c r="A6074" s="1">
        <v>46210.296296296299</v>
      </c>
      <c r="B6074" t="s">
        <v>40</v>
      </c>
      <c r="C6074" t="s">
        <v>41</v>
      </c>
      <c r="D6074" s="1">
        <v>46210.299317129633</v>
      </c>
      <c r="E6074" t="s">
        <v>42</v>
      </c>
      <c r="F6074" t="s">
        <v>83</v>
      </c>
      <c r="G6074">
        <v>0</v>
      </c>
      <c r="H6074" t="s">
        <v>43</v>
      </c>
      <c r="I6074" t="s">
        <v>3437</v>
      </c>
      <c r="J6074">
        <v>63</v>
      </c>
      <c r="K6074">
        <v>2</v>
      </c>
      <c r="L6074">
        <v>98</v>
      </c>
      <c r="M6074">
        <v>631.90002441000001</v>
      </c>
      <c r="N6074" t="s">
        <v>85</v>
      </c>
      <c r="O6074" t="s">
        <v>86</v>
      </c>
      <c r="P6074">
        <v>127</v>
      </c>
      <c r="Q6074">
        <v>2</v>
      </c>
      <c r="R6074">
        <v>0</v>
      </c>
      <c r="S6074">
        <v>0</v>
      </c>
      <c r="T6074">
        <v>-40</v>
      </c>
      <c r="U6074">
        <v>47</v>
      </c>
      <c r="V6074">
        <v>5</v>
      </c>
      <c r="W6074">
        <v>28</v>
      </c>
      <c r="X6074">
        <v>28</v>
      </c>
      <c r="Y6074">
        <v>1</v>
      </c>
      <c r="Z6074">
        <v>1</v>
      </c>
      <c r="AA6074">
        <v>26</v>
      </c>
      <c r="AB6074">
        <v>2</v>
      </c>
      <c r="AC6074">
        <v>2</v>
      </c>
      <c r="AD6074">
        <v>3.3029999700000001</v>
      </c>
      <c r="AE6074">
        <v>6</v>
      </c>
      <c r="AF6074">
        <v>30</v>
      </c>
      <c r="AG6074">
        <v>3.2920000599999999</v>
      </c>
      <c r="AH6074">
        <v>2</v>
      </c>
      <c r="AI6074">
        <v>45</v>
      </c>
      <c r="AJ6074">
        <v>1</v>
      </c>
      <c r="AK6074">
        <v>17</v>
      </c>
      <c r="AL6074">
        <v>48</v>
      </c>
      <c r="AM6074" t="s">
        <v>43</v>
      </c>
      <c r="AN6074" t="str">
        <f>HYPERLINK("https://www.google.com/maps?q=10.83388996,79.8471756","Open Location")</f>
        <v>Open Location</v>
      </c>
    </row>
    <row r="6075" spans="1:40" x14ac:dyDescent="0.3">
      <c r="A6075" s="1">
        <v>46210.296180555553</v>
      </c>
      <c r="B6075" t="s">
        <v>40</v>
      </c>
      <c r="C6075" t="s">
        <v>41</v>
      </c>
      <c r="D6075" s="1">
        <v>46210.29886574074</v>
      </c>
      <c r="E6075" t="s">
        <v>42</v>
      </c>
      <c r="F6075" t="s">
        <v>83</v>
      </c>
      <c r="G6075">
        <v>0</v>
      </c>
      <c r="H6075">
        <v>33083</v>
      </c>
      <c r="I6075" t="s">
        <v>3438</v>
      </c>
      <c r="J6075">
        <v>63</v>
      </c>
      <c r="K6075">
        <v>2</v>
      </c>
      <c r="L6075">
        <v>98</v>
      </c>
      <c r="M6075">
        <v>631.90002441000001</v>
      </c>
      <c r="N6075" t="s">
        <v>85</v>
      </c>
      <c r="O6075" t="s">
        <v>86</v>
      </c>
      <c r="P6075">
        <v>127</v>
      </c>
      <c r="Q6075">
        <v>2</v>
      </c>
      <c r="R6075">
        <v>-1</v>
      </c>
      <c r="S6075">
        <v>0</v>
      </c>
      <c r="T6075">
        <v>-40</v>
      </c>
      <c r="U6075">
        <v>47</v>
      </c>
      <c r="V6075">
        <v>5</v>
      </c>
      <c r="W6075">
        <v>28</v>
      </c>
      <c r="X6075">
        <v>28</v>
      </c>
      <c r="Y6075">
        <v>1</v>
      </c>
      <c r="Z6075">
        <v>1</v>
      </c>
      <c r="AA6075">
        <v>26</v>
      </c>
      <c r="AB6075">
        <v>2</v>
      </c>
      <c r="AC6075">
        <v>2</v>
      </c>
      <c r="AD6075">
        <v>3.3029999700000001</v>
      </c>
      <c r="AE6075">
        <v>6</v>
      </c>
      <c r="AF6075">
        <v>30</v>
      </c>
      <c r="AG6075">
        <v>3.2909998900000001</v>
      </c>
      <c r="AH6075">
        <v>8</v>
      </c>
      <c r="AI6075">
        <v>48</v>
      </c>
      <c r="AJ6075">
        <v>1</v>
      </c>
      <c r="AK6075">
        <v>17</v>
      </c>
      <c r="AL6075">
        <v>48</v>
      </c>
      <c r="AM6075" t="s">
        <v>43</v>
      </c>
      <c r="AN6075" t="str">
        <f>HYPERLINK("https://www.google.com/maps?q=10.8338871,79.8471756","Open Location")</f>
        <v>Open Location</v>
      </c>
    </row>
    <row r="6076" spans="1:40" x14ac:dyDescent="0.3">
      <c r="A6076" s="1">
        <v>46210.296064814815</v>
      </c>
      <c r="B6076" t="s">
        <v>40</v>
      </c>
      <c r="C6076" t="s">
        <v>41</v>
      </c>
      <c r="D6076" s="1">
        <v>46210.298831018517</v>
      </c>
      <c r="E6076" t="s">
        <v>42</v>
      </c>
      <c r="F6076" t="s">
        <v>83</v>
      </c>
      <c r="G6076">
        <v>0</v>
      </c>
      <c r="H6076">
        <v>33083</v>
      </c>
      <c r="I6076" t="s">
        <v>3439</v>
      </c>
      <c r="J6076">
        <v>63</v>
      </c>
      <c r="K6076">
        <v>2</v>
      </c>
      <c r="L6076">
        <v>98</v>
      </c>
      <c r="M6076">
        <v>632.59997558999999</v>
      </c>
      <c r="N6076" t="s">
        <v>85</v>
      </c>
      <c r="O6076" t="s">
        <v>86</v>
      </c>
      <c r="P6076">
        <v>127</v>
      </c>
      <c r="Q6076">
        <v>2</v>
      </c>
      <c r="R6076">
        <v>0</v>
      </c>
      <c r="S6076">
        <v>0</v>
      </c>
      <c r="T6076">
        <v>-40</v>
      </c>
      <c r="U6076">
        <v>47</v>
      </c>
      <c r="V6076">
        <v>5</v>
      </c>
      <c r="W6076">
        <v>28</v>
      </c>
      <c r="X6076">
        <v>28</v>
      </c>
      <c r="Y6076">
        <v>1</v>
      </c>
      <c r="Z6076">
        <v>1</v>
      </c>
      <c r="AA6076">
        <v>26</v>
      </c>
      <c r="AB6076">
        <v>2</v>
      </c>
      <c r="AC6076">
        <v>2</v>
      </c>
      <c r="AD6076">
        <v>3.3020000500000002</v>
      </c>
      <c r="AE6076">
        <v>6</v>
      </c>
      <c r="AF6076">
        <v>30</v>
      </c>
      <c r="AG6076">
        <v>3.2909998900000001</v>
      </c>
      <c r="AH6076">
        <v>8</v>
      </c>
      <c r="AI6076">
        <v>9</v>
      </c>
      <c r="AJ6076">
        <v>1</v>
      </c>
      <c r="AK6076">
        <v>17</v>
      </c>
      <c r="AL6076">
        <v>48</v>
      </c>
      <c r="AM6076" t="s">
        <v>43</v>
      </c>
      <c r="AN6076" t="str">
        <f>HYPERLINK("https://www.google.com/maps?q=10.83389091,79.84718323","Open Location")</f>
        <v>Open Location</v>
      </c>
    </row>
    <row r="6077" spans="1:40" x14ac:dyDescent="0.3">
      <c r="A6077" s="1">
        <v>46210.295949074076</v>
      </c>
      <c r="B6077" t="s">
        <v>40</v>
      </c>
      <c r="C6077" t="s">
        <v>41</v>
      </c>
      <c r="D6077" s="1">
        <v>46210.298981481479</v>
      </c>
      <c r="E6077" t="s">
        <v>42</v>
      </c>
      <c r="F6077" t="s">
        <v>83</v>
      </c>
      <c r="G6077">
        <v>0</v>
      </c>
      <c r="H6077">
        <v>33083</v>
      </c>
      <c r="I6077" t="s">
        <v>3440</v>
      </c>
      <c r="J6077">
        <v>63</v>
      </c>
      <c r="K6077">
        <v>4</v>
      </c>
      <c r="L6077">
        <v>98</v>
      </c>
      <c r="M6077">
        <v>631.79998779000005</v>
      </c>
      <c r="N6077" t="s">
        <v>85</v>
      </c>
      <c r="O6077" t="s">
        <v>86</v>
      </c>
      <c r="P6077">
        <v>127</v>
      </c>
      <c r="Q6077">
        <v>2</v>
      </c>
      <c r="R6077">
        <v>0</v>
      </c>
      <c r="S6077">
        <v>0</v>
      </c>
      <c r="T6077">
        <v>-40</v>
      </c>
      <c r="U6077">
        <v>47</v>
      </c>
      <c r="V6077">
        <v>5</v>
      </c>
      <c r="W6077">
        <v>28</v>
      </c>
      <c r="X6077">
        <v>28</v>
      </c>
      <c r="Y6077">
        <v>1</v>
      </c>
      <c r="Z6077">
        <v>1</v>
      </c>
      <c r="AA6077">
        <v>26</v>
      </c>
      <c r="AB6077">
        <v>2</v>
      </c>
      <c r="AC6077">
        <v>2</v>
      </c>
      <c r="AD6077">
        <v>3.3010001199999999</v>
      </c>
      <c r="AE6077">
        <v>6</v>
      </c>
      <c r="AF6077">
        <v>30</v>
      </c>
      <c r="AG6077">
        <v>3.2899999599999998</v>
      </c>
      <c r="AH6077">
        <v>2</v>
      </c>
      <c r="AI6077">
        <v>45</v>
      </c>
      <c r="AJ6077">
        <v>1</v>
      </c>
      <c r="AK6077">
        <v>17</v>
      </c>
      <c r="AL6077">
        <v>48</v>
      </c>
      <c r="AM6077" t="s">
        <v>43</v>
      </c>
      <c r="AN6077" t="str">
        <f>HYPERLINK("https://www.google.com/maps?q=10.83389378,79.84719086","Open Location")</f>
        <v>Open Location</v>
      </c>
    </row>
    <row r="6078" spans="1:40" x14ac:dyDescent="0.3">
      <c r="A6078" s="1">
        <v>46210.29583333333</v>
      </c>
      <c r="B6078" t="s">
        <v>40</v>
      </c>
      <c r="C6078" t="s">
        <v>41</v>
      </c>
      <c r="D6078" s="1">
        <v>46210.298576388886</v>
      </c>
      <c r="E6078" t="s">
        <v>42</v>
      </c>
      <c r="F6078" t="s">
        <v>83</v>
      </c>
      <c r="G6078">
        <v>0</v>
      </c>
      <c r="H6078">
        <v>33083</v>
      </c>
      <c r="I6078" t="s">
        <v>43</v>
      </c>
      <c r="J6078">
        <v>63</v>
      </c>
      <c r="K6078">
        <v>9</v>
      </c>
      <c r="L6078">
        <v>98</v>
      </c>
      <c r="M6078">
        <v>631.5</v>
      </c>
      <c r="N6078" t="s">
        <v>85</v>
      </c>
      <c r="O6078" t="s">
        <v>86</v>
      </c>
      <c r="P6078">
        <v>127</v>
      </c>
      <c r="Q6078">
        <v>2</v>
      </c>
      <c r="R6078">
        <v>0</v>
      </c>
      <c r="S6078">
        <v>0</v>
      </c>
      <c r="T6078">
        <v>-40</v>
      </c>
      <c r="U6078">
        <v>47</v>
      </c>
      <c r="V6078">
        <v>5</v>
      </c>
      <c r="W6078">
        <v>28</v>
      </c>
      <c r="X6078">
        <v>28</v>
      </c>
      <c r="Y6078">
        <v>1</v>
      </c>
      <c r="Z6078">
        <v>1</v>
      </c>
      <c r="AA6078">
        <v>26</v>
      </c>
      <c r="AB6078">
        <v>2</v>
      </c>
      <c r="AC6078">
        <v>2</v>
      </c>
      <c r="AD6078">
        <v>3.3010001199999999</v>
      </c>
      <c r="AE6078">
        <v>6</v>
      </c>
      <c r="AF6078">
        <v>30</v>
      </c>
      <c r="AG6078">
        <v>3.2899999599999998</v>
      </c>
      <c r="AH6078">
        <v>2</v>
      </c>
      <c r="AI6078">
        <v>45</v>
      </c>
      <c r="AJ6078">
        <v>1</v>
      </c>
      <c r="AK6078">
        <v>17</v>
      </c>
      <c r="AL6078">
        <v>48</v>
      </c>
      <c r="AM6078" t="s">
        <v>43</v>
      </c>
      <c r="AN6078" t="s">
        <v>43</v>
      </c>
    </row>
    <row r="6079" spans="1:40" x14ac:dyDescent="0.3">
      <c r="A6079" s="1">
        <v>46210.295717592591</v>
      </c>
      <c r="B6079" t="s">
        <v>40</v>
      </c>
      <c r="C6079" t="s">
        <v>41</v>
      </c>
      <c r="D6079" s="1">
        <v>46210.298807870371</v>
      </c>
      <c r="E6079" t="s">
        <v>42</v>
      </c>
      <c r="F6079" t="s">
        <v>83</v>
      </c>
      <c r="G6079">
        <v>0</v>
      </c>
      <c r="H6079">
        <v>33083</v>
      </c>
      <c r="I6079" t="s">
        <v>3441</v>
      </c>
      <c r="J6079">
        <v>64</v>
      </c>
      <c r="K6079">
        <v>9</v>
      </c>
      <c r="L6079">
        <v>98</v>
      </c>
      <c r="M6079">
        <v>632.29998779000005</v>
      </c>
      <c r="N6079" t="s">
        <v>85</v>
      </c>
      <c r="O6079" t="s">
        <v>86</v>
      </c>
      <c r="P6079">
        <v>127</v>
      </c>
      <c r="Q6079">
        <v>2</v>
      </c>
      <c r="R6079">
        <v>0</v>
      </c>
      <c r="S6079">
        <v>0</v>
      </c>
      <c r="T6079">
        <v>-40</v>
      </c>
      <c r="U6079">
        <v>47</v>
      </c>
      <c r="V6079">
        <v>5</v>
      </c>
      <c r="W6079">
        <v>28</v>
      </c>
      <c r="X6079">
        <v>28</v>
      </c>
      <c r="Y6079">
        <v>1</v>
      </c>
      <c r="Z6079">
        <v>1</v>
      </c>
      <c r="AA6079">
        <v>26</v>
      </c>
      <c r="AB6079">
        <v>2</v>
      </c>
      <c r="AC6079">
        <v>2</v>
      </c>
      <c r="AD6079">
        <v>3.3020000500000002</v>
      </c>
      <c r="AE6079">
        <v>6</v>
      </c>
      <c r="AF6079">
        <v>30</v>
      </c>
      <c r="AG6079">
        <v>3.2909998900000001</v>
      </c>
      <c r="AH6079">
        <v>8</v>
      </c>
      <c r="AI6079">
        <v>48</v>
      </c>
      <c r="AJ6079">
        <v>1</v>
      </c>
      <c r="AK6079">
        <v>17</v>
      </c>
      <c r="AL6079">
        <v>48</v>
      </c>
      <c r="AM6079" t="s">
        <v>43</v>
      </c>
      <c r="AN6079" t="str">
        <f>HYPERLINK("https://www.google.com/maps?q=10.83389664,79.84719086","Open Location")</f>
        <v>Open Location</v>
      </c>
    </row>
    <row r="6080" spans="1:40" x14ac:dyDescent="0.3">
      <c r="A6080" s="1">
        <v>46210.295601851853</v>
      </c>
      <c r="B6080" t="s">
        <v>40</v>
      </c>
      <c r="C6080" t="s">
        <v>41</v>
      </c>
      <c r="D6080" s="1">
        <v>46210.298576388886</v>
      </c>
      <c r="E6080" t="s">
        <v>42</v>
      </c>
      <c r="F6080" t="s">
        <v>83</v>
      </c>
      <c r="G6080">
        <v>0</v>
      </c>
      <c r="H6080" t="s">
        <v>43</v>
      </c>
      <c r="I6080" t="s">
        <v>3442</v>
      </c>
      <c r="J6080">
        <v>64</v>
      </c>
      <c r="K6080">
        <v>2</v>
      </c>
      <c r="L6080">
        <v>98</v>
      </c>
      <c r="M6080">
        <v>632.70001220999995</v>
      </c>
      <c r="N6080" t="s">
        <v>85</v>
      </c>
      <c r="O6080" t="s">
        <v>86</v>
      </c>
      <c r="P6080">
        <v>127</v>
      </c>
      <c r="Q6080">
        <v>2</v>
      </c>
      <c r="R6080">
        <v>0</v>
      </c>
      <c r="S6080">
        <v>0</v>
      </c>
      <c r="T6080">
        <v>-40</v>
      </c>
      <c r="U6080">
        <v>47</v>
      </c>
      <c r="V6080">
        <v>5</v>
      </c>
      <c r="W6080">
        <v>28</v>
      </c>
      <c r="X6080">
        <v>28</v>
      </c>
      <c r="Y6080">
        <v>1</v>
      </c>
      <c r="Z6080">
        <v>1</v>
      </c>
      <c r="AA6080">
        <v>26</v>
      </c>
      <c r="AB6080">
        <v>2</v>
      </c>
      <c r="AC6080">
        <v>2</v>
      </c>
      <c r="AD6080">
        <v>3.3020000500000002</v>
      </c>
      <c r="AE6080">
        <v>6</v>
      </c>
      <c r="AF6080">
        <v>30</v>
      </c>
      <c r="AG6080">
        <v>3.2909998900000001</v>
      </c>
      <c r="AH6080">
        <v>8</v>
      </c>
      <c r="AI6080">
        <v>9</v>
      </c>
      <c r="AJ6080">
        <v>1</v>
      </c>
      <c r="AK6080">
        <v>17</v>
      </c>
      <c r="AL6080">
        <v>48</v>
      </c>
      <c r="AM6080" t="s">
        <v>43</v>
      </c>
      <c r="AN6080" t="str">
        <f>HYPERLINK("https://www.google.com/maps?q=10.83389378,79.84719849","Open Location")</f>
        <v>Open Location</v>
      </c>
    </row>
    <row r="6081" spans="1:40" x14ac:dyDescent="0.3">
      <c r="A6081" s="1">
        <v>46210.295486111114</v>
      </c>
      <c r="B6081" t="s">
        <v>40</v>
      </c>
      <c r="C6081" t="s">
        <v>41</v>
      </c>
      <c r="D6081" s="1">
        <v>46210.29824074074</v>
      </c>
      <c r="E6081" t="s">
        <v>42</v>
      </c>
      <c r="F6081" t="s">
        <v>83</v>
      </c>
      <c r="G6081">
        <v>0</v>
      </c>
      <c r="H6081">
        <v>33083</v>
      </c>
      <c r="I6081" t="s">
        <v>3443</v>
      </c>
      <c r="J6081">
        <v>64</v>
      </c>
      <c r="K6081">
        <v>2</v>
      </c>
      <c r="L6081">
        <v>98</v>
      </c>
      <c r="M6081">
        <v>631.79998779000005</v>
      </c>
      <c r="N6081" t="s">
        <v>85</v>
      </c>
      <c r="O6081" t="s">
        <v>86</v>
      </c>
      <c r="P6081">
        <v>127</v>
      </c>
      <c r="Q6081">
        <v>2</v>
      </c>
      <c r="R6081">
        <v>0</v>
      </c>
      <c r="S6081">
        <v>0</v>
      </c>
      <c r="T6081">
        <v>-40</v>
      </c>
      <c r="U6081">
        <v>47</v>
      </c>
      <c r="V6081">
        <v>5</v>
      </c>
      <c r="W6081">
        <v>28</v>
      </c>
      <c r="X6081">
        <v>28</v>
      </c>
      <c r="Y6081">
        <v>1</v>
      </c>
      <c r="Z6081">
        <v>1</v>
      </c>
      <c r="AA6081">
        <v>26</v>
      </c>
      <c r="AB6081">
        <v>2</v>
      </c>
      <c r="AC6081">
        <v>2</v>
      </c>
      <c r="AD6081">
        <v>3.3020000500000002</v>
      </c>
      <c r="AE6081">
        <v>6</v>
      </c>
      <c r="AF6081">
        <v>30</v>
      </c>
      <c r="AG6081">
        <v>3.2909998900000001</v>
      </c>
      <c r="AH6081">
        <v>2</v>
      </c>
      <c r="AI6081">
        <v>45</v>
      </c>
      <c r="AJ6081">
        <v>1</v>
      </c>
      <c r="AK6081">
        <v>17</v>
      </c>
      <c r="AL6081">
        <v>48</v>
      </c>
      <c r="AM6081" t="s">
        <v>43</v>
      </c>
      <c r="AN6081" t="str">
        <f>HYPERLINK("https://www.google.com/maps?q=10.83389091,79.84719849","Open Location")</f>
        <v>Open Location</v>
      </c>
    </row>
    <row r="6082" spans="1:40" x14ac:dyDescent="0.3">
      <c r="A6082" s="1">
        <v>46210.295370370368</v>
      </c>
      <c r="B6082" t="s">
        <v>40</v>
      </c>
      <c r="C6082" t="s">
        <v>41</v>
      </c>
      <c r="D6082" s="1">
        <v>46210.298437500001</v>
      </c>
      <c r="E6082" t="s">
        <v>42</v>
      </c>
      <c r="F6082" t="s">
        <v>83</v>
      </c>
      <c r="G6082">
        <v>0</v>
      </c>
      <c r="H6082">
        <v>33083</v>
      </c>
      <c r="I6082" t="s">
        <v>3444</v>
      </c>
      <c r="J6082">
        <v>64</v>
      </c>
      <c r="K6082">
        <v>2</v>
      </c>
      <c r="L6082">
        <v>98</v>
      </c>
      <c r="M6082">
        <v>632.20001220999995</v>
      </c>
      <c r="N6082" t="s">
        <v>85</v>
      </c>
      <c r="O6082" t="s">
        <v>86</v>
      </c>
      <c r="P6082">
        <v>127</v>
      </c>
      <c r="Q6082">
        <v>2</v>
      </c>
      <c r="R6082">
        <v>0</v>
      </c>
      <c r="S6082">
        <v>0</v>
      </c>
      <c r="T6082">
        <v>-40</v>
      </c>
      <c r="U6082">
        <v>47</v>
      </c>
      <c r="V6082">
        <v>5</v>
      </c>
      <c r="W6082">
        <v>28</v>
      </c>
      <c r="X6082">
        <v>28</v>
      </c>
      <c r="Y6082">
        <v>1</v>
      </c>
      <c r="Z6082">
        <v>1</v>
      </c>
      <c r="AA6082">
        <v>26</v>
      </c>
      <c r="AB6082">
        <v>2</v>
      </c>
      <c r="AC6082">
        <v>2</v>
      </c>
      <c r="AD6082">
        <v>3.3010001199999999</v>
      </c>
      <c r="AE6082">
        <v>6</v>
      </c>
      <c r="AF6082">
        <v>30</v>
      </c>
      <c r="AG6082">
        <v>3.2899999599999998</v>
      </c>
      <c r="AH6082">
        <v>8</v>
      </c>
      <c r="AI6082">
        <v>48</v>
      </c>
      <c r="AJ6082">
        <v>1</v>
      </c>
      <c r="AK6082">
        <v>18</v>
      </c>
      <c r="AL6082">
        <v>48</v>
      </c>
      <c r="AM6082" t="s">
        <v>43</v>
      </c>
      <c r="AN6082" t="str">
        <f>HYPERLINK("https://www.google.com/maps?q=10.83388996,79.84719849","Open Location")</f>
        <v>Open Location</v>
      </c>
    </row>
    <row r="6083" spans="1:40" x14ac:dyDescent="0.3">
      <c r="A6083" s="1">
        <v>46210.295254629629</v>
      </c>
      <c r="B6083" t="s">
        <v>40</v>
      </c>
      <c r="C6083" t="s">
        <v>41</v>
      </c>
      <c r="D6083" s="1">
        <v>46210.298032407409</v>
      </c>
      <c r="E6083" t="s">
        <v>42</v>
      </c>
      <c r="F6083" t="s">
        <v>83</v>
      </c>
      <c r="G6083">
        <v>4</v>
      </c>
      <c r="H6083">
        <v>33083</v>
      </c>
      <c r="I6083" t="s">
        <v>43</v>
      </c>
      <c r="J6083">
        <v>64</v>
      </c>
      <c r="K6083">
        <v>2</v>
      </c>
      <c r="L6083">
        <v>98</v>
      </c>
      <c r="M6083">
        <v>632.29998779000005</v>
      </c>
      <c r="N6083" t="s">
        <v>87</v>
      </c>
      <c r="O6083" t="s">
        <v>86</v>
      </c>
      <c r="P6083">
        <v>127</v>
      </c>
      <c r="Q6083">
        <v>2</v>
      </c>
      <c r="R6083">
        <v>0</v>
      </c>
      <c r="S6083">
        <v>672</v>
      </c>
      <c r="T6083">
        <v>-40</v>
      </c>
      <c r="U6083">
        <v>47</v>
      </c>
      <c r="V6083">
        <v>-5</v>
      </c>
      <c r="W6083">
        <v>28</v>
      </c>
      <c r="X6083">
        <v>28</v>
      </c>
      <c r="Y6083">
        <v>1</v>
      </c>
      <c r="Z6083">
        <v>1</v>
      </c>
      <c r="AA6083">
        <v>26</v>
      </c>
      <c r="AB6083">
        <v>2</v>
      </c>
      <c r="AC6083">
        <v>2</v>
      </c>
      <c r="AD6083" t="s">
        <v>43</v>
      </c>
      <c r="AE6083" t="s">
        <v>43</v>
      </c>
      <c r="AF6083" t="s">
        <v>43</v>
      </c>
      <c r="AG6083" t="s">
        <v>43</v>
      </c>
      <c r="AH6083" t="s">
        <v>43</v>
      </c>
      <c r="AI6083" t="s">
        <v>43</v>
      </c>
      <c r="AJ6083">
        <v>1</v>
      </c>
      <c r="AK6083">
        <v>17</v>
      </c>
      <c r="AL6083">
        <v>48</v>
      </c>
      <c r="AM6083" t="s">
        <v>43</v>
      </c>
      <c r="AN6083" t="s">
        <v>43</v>
      </c>
    </row>
    <row r="6084" spans="1:40" x14ac:dyDescent="0.3">
      <c r="A6084" s="1">
        <v>46210.295138888891</v>
      </c>
      <c r="B6084" t="s">
        <v>40</v>
      </c>
      <c r="C6084" t="s">
        <v>41</v>
      </c>
      <c r="D6084" s="1">
        <v>46210.298067129632</v>
      </c>
      <c r="E6084" t="s">
        <v>42</v>
      </c>
      <c r="F6084" t="s">
        <v>83</v>
      </c>
      <c r="G6084">
        <v>4</v>
      </c>
      <c r="H6084">
        <v>33083</v>
      </c>
      <c r="I6084" t="s">
        <v>3445</v>
      </c>
      <c r="J6084">
        <v>64</v>
      </c>
      <c r="K6084">
        <v>3</v>
      </c>
      <c r="L6084">
        <v>98</v>
      </c>
      <c r="M6084">
        <v>631.59997558999999</v>
      </c>
      <c r="N6084" t="s">
        <v>87</v>
      </c>
      <c r="O6084" t="s">
        <v>86</v>
      </c>
      <c r="P6084">
        <v>127</v>
      </c>
      <c r="Q6084">
        <v>2</v>
      </c>
      <c r="R6084">
        <v>11</v>
      </c>
      <c r="S6084">
        <v>936</v>
      </c>
      <c r="T6084">
        <v>-40</v>
      </c>
      <c r="U6084">
        <v>47</v>
      </c>
      <c r="V6084">
        <v>5</v>
      </c>
      <c r="W6084">
        <v>28</v>
      </c>
      <c r="X6084">
        <v>28</v>
      </c>
      <c r="Y6084">
        <v>1</v>
      </c>
      <c r="Z6084">
        <v>1</v>
      </c>
      <c r="AA6084">
        <v>26</v>
      </c>
      <c r="AB6084">
        <v>2</v>
      </c>
      <c r="AC6084">
        <v>2</v>
      </c>
      <c r="AD6084">
        <v>3.3010001199999999</v>
      </c>
      <c r="AE6084">
        <v>6</v>
      </c>
      <c r="AF6084">
        <v>30</v>
      </c>
      <c r="AG6084">
        <v>3.2899999599999998</v>
      </c>
      <c r="AH6084">
        <v>2</v>
      </c>
      <c r="AI6084">
        <v>45</v>
      </c>
      <c r="AJ6084">
        <v>1</v>
      </c>
      <c r="AK6084">
        <v>18</v>
      </c>
      <c r="AL6084">
        <v>48</v>
      </c>
      <c r="AM6084" t="s">
        <v>43</v>
      </c>
      <c r="AN6084" t="str">
        <f>HYPERLINK("https://www.google.com/maps?q=10.83384323,79.84707642","Open Location")</f>
        <v>Open Location</v>
      </c>
    </row>
    <row r="6085" spans="1:40" x14ac:dyDescent="0.3">
      <c r="A6085" s="1">
        <v>46210.295023148145</v>
      </c>
      <c r="B6085" t="s">
        <v>40</v>
      </c>
      <c r="C6085" t="s">
        <v>41</v>
      </c>
      <c r="D6085" s="1">
        <v>46210.298229166663</v>
      </c>
      <c r="E6085" t="s">
        <v>42</v>
      </c>
      <c r="F6085" t="s">
        <v>83</v>
      </c>
      <c r="G6085">
        <v>9</v>
      </c>
      <c r="H6085">
        <v>33082</v>
      </c>
      <c r="I6085" t="s">
        <v>3446</v>
      </c>
      <c r="J6085">
        <v>64</v>
      </c>
      <c r="K6085">
        <v>-4</v>
      </c>
      <c r="L6085">
        <v>98</v>
      </c>
      <c r="M6085">
        <v>631.59997558999999</v>
      </c>
      <c r="N6085" t="s">
        <v>87</v>
      </c>
      <c r="O6085" t="s">
        <v>86</v>
      </c>
      <c r="P6085">
        <v>128</v>
      </c>
      <c r="Q6085">
        <v>3</v>
      </c>
      <c r="R6085">
        <v>14</v>
      </c>
      <c r="S6085">
        <v>1060</v>
      </c>
      <c r="T6085">
        <v>-40</v>
      </c>
      <c r="U6085">
        <v>47</v>
      </c>
      <c r="V6085">
        <v>-68</v>
      </c>
      <c r="W6085">
        <v>28</v>
      </c>
      <c r="X6085">
        <v>28</v>
      </c>
      <c r="Y6085">
        <v>1</v>
      </c>
      <c r="Z6085">
        <v>1</v>
      </c>
      <c r="AA6085">
        <v>26</v>
      </c>
      <c r="AB6085">
        <v>2</v>
      </c>
      <c r="AC6085">
        <v>2</v>
      </c>
      <c r="AD6085">
        <v>3.2999999500000001</v>
      </c>
      <c r="AE6085">
        <v>6</v>
      </c>
      <c r="AF6085">
        <v>30</v>
      </c>
      <c r="AG6085">
        <v>3.28900003</v>
      </c>
      <c r="AH6085">
        <v>8</v>
      </c>
      <c r="AI6085">
        <v>48</v>
      </c>
      <c r="AJ6085">
        <v>1</v>
      </c>
      <c r="AK6085">
        <v>17</v>
      </c>
      <c r="AL6085">
        <v>48</v>
      </c>
      <c r="AM6085" t="s">
        <v>43</v>
      </c>
      <c r="AN6085" t="str">
        <f>HYPERLINK("https://www.google.com/maps?q=10.83374214,79.84689331","Open Location")</f>
        <v>Open Location</v>
      </c>
    </row>
    <row r="6086" spans="1:40" x14ac:dyDescent="0.3">
      <c r="A6086" s="1">
        <v>46210.294907407406</v>
      </c>
      <c r="B6086" t="s">
        <v>40</v>
      </c>
      <c r="C6086" t="s">
        <v>41</v>
      </c>
      <c r="D6086" s="1">
        <v>46210.297881944447</v>
      </c>
      <c r="E6086" t="s">
        <v>42</v>
      </c>
      <c r="F6086" t="s">
        <v>83</v>
      </c>
      <c r="G6086">
        <v>9</v>
      </c>
      <c r="H6086" t="s">
        <v>43</v>
      </c>
      <c r="I6086" t="s">
        <v>3447</v>
      </c>
      <c r="J6086">
        <v>64</v>
      </c>
      <c r="K6086">
        <v>43</v>
      </c>
      <c r="L6086">
        <v>98</v>
      </c>
      <c r="M6086">
        <v>629.70001220999995</v>
      </c>
      <c r="N6086" t="s">
        <v>87</v>
      </c>
      <c r="O6086" t="s">
        <v>86</v>
      </c>
      <c r="P6086">
        <v>128</v>
      </c>
      <c r="Q6086">
        <v>3</v>
      </c>
      <c r="R6086">
        <v>-9</v>
      </c>
      <c r="S6086">
        <v>1273</v>
      </c>
      <c r="T6086">
        <v>-40</v>
      </c>
      <c r="U6086">
        <v>47</v>
      </c>
      <c r="V6086">
        <v>200</v>
      </c>
      <c r="W6086">
        <v>28</v>
      </c>
      <c r="X6086">
        <v>28</v>
      </c>
      <c r="Y6086">
        <v>1</v>
      </c>
      <c r="Z6086">
        <v>1</v>
      </c>
      <c r="AA6086">
        <v>26</v>
      </c>
      <c r="AB6086">
        <v>2</v>
      </c>
      <c r="AC6086">
        <v>2</v>
      </c>
      <c r="AD6086">
        <v>3.2929999799999998</v>
      </c>
      <c r="AE6086">
        <v>6</v>
      </c>
      <c r="AF6086">
        <v>30</v>
      </c>
      <c r="AG6086">
        <v>3.2809998999999999</v>
      </c>
      <c r="AH6086">
        <v>7</v>
      </c>
      <c r="AI6086">
        <v>1</v>
      </c>
      <c r="AJ6086">
        <v>1</v>
      </c>
      <c r="AK6086">
        <v>17</v>
      </c>
      <c r="AL6086">
        <v>48</v>
      </c>
      <c r="AM6086" t="s">
        <v>43</v>
      </c>
      <c r="AN6086" t="str">
        <f>HYPERLINK("https://www.google.com/maps?q=10.83358765,79.84664917","Open Location")</f>
        <v>Open Location</v>
      </c>
    </row>
    <row r="6087" spans="1:40" x14ac:dyDescent="0.3">
      <c r="A6087" s="1">
        <v>46210.294791666667</v>
      </c>
      <c r="B6087" t="s">
        <v>40</v>
      </c>
      <c r="C6087" t="s">
        <v>41</v>
      </c>
      <c r="D6087" s="1">
        <v>46210.297465277778</v>
      </c>
      <c r="E6087" t="s">
        <v>42</v>
      </c>
      <c r="F6087" t="s">
        <v>83</v>
      </c>
      <c r="G6087">
        <v>11</v>
      </c>
      <c r="H6087">
        <v>33082</v>
      </c>
      <c r="I6087" t="s">
        <v>3448</v>
      </c>
      <c r="J6087">
        <v>64</v>
      </c>
      <c r="K6087">
        <v>51</v>
      </c>
      <c r="L6087">
        <v>98</v>
      </c>
      <c r="M6087">
        <v>629.70001220999995</v>
      </c>
      <c r="N6087" t="s">
        <v>87</v>
      </c>
      <c r="O6087" t="s">
        <v>86</v>
      </c>
      <c r="P6087">
        <v>128</v>
      </c>
      <c r="Q6087">
        <v>3</v>
      </c>
      <c r="R6087">
        <v>8</v>
      </c>
      <c r="S6087">
        <v>1190</v>
      </c>
      <c r="T6087">
        <v>-40</v>
      </c>
      <c r="U6087">
        <v>47</v>
      </c>
      <c r="V6087">
        <v>236</v>
      </c>
      <c r="W6087">
        <v>28</v>
      </c>
      <c r="X6087">
        <v>28</v>
      </c>
      <c r="Y6087">
        <v>1</v>
      </c>
      <c r="Z6087">
        <v>1</v>
      </c>
      <c r="AA6087">
        <v>26</v>
      </c>
      <c r="AB6087">
        <v>2</v>
      </c>
      <c r="AC6087">
        <v>2</v>
      </c>
      <c r="AD6087">
        <v>3.2909998900000001</v>
      </c>
      <c r="AE6087">
        <v>6</v>
      </c>
      <c r="AF6087">
        <v>30</v>
      </c>
      <c r="AG6087">
        <v>3.2780001200000002</v>
      </c>
      <c r="AH6087">
        <v>4</v>
      </c>
      <c r="AI6087">
        <v>17</v>
      </c>
      <c r="AJ6087">
        <v>1</v>
      </c>
      <c r="AK6087">
        <v>17</v>
      </c>
      <c r="AL6087">
        <v>48</v>
      </c>
      <c r="AM6087" t="s">
        <v>43</v>
      </c>
      <c r="AN6087" t="str">
        <f>HYPERLINK("https://www.google.com/maps?q=10.83349133,79.84635925","Open Location")</f>
        <v>Open Location</v>
      </c>
    </row>
    <row r="6088" spans="1:40" x14ac:dyDescent="0.3">
      <c r="A6088" s="1">
        <v>46210.294675925928</v>
      </c>
      <c r="B6088" t="s">
        <v>40</v>
      </c>
      <c r="C6088" t="s">
        <v>41</v>
      </c>
      <c r="D6088" s="1">
        <v>46210.297488425924</v>
      </c>
      <c r="E6088" t="s">
        <v>42</v>
      </c>
      <c r="F6088" t="s">
        <v>83</v>
      </c>
      <c r="G6088">
        <v>10</v>
      </c>
      <c r="H6088">
        <v>33082</v>
      </c>
      <c r="I6088" t="s">
        <v>3449</v>
      </c>
      <c r="J6088">
        <v>64</v>
      </c>
      <c r="K6088">
        <v>51</v>
      </c>
      <c r="L6088">
        <v>98</v>
      </c>
      <c r="M6088">
        <v>630.40002441000001</v>
      </c>
      <c r="N6088" t="s">
        <v>87</v>
      </c>
      <c r="O6088" t="s">
        <v>86</v>
      </c>
      <c r="P6088">
        <v>128</v>
      </c>
      <c r="Q6088">
        <v>3</v>
      </c>
      <c r="R6088">
        <v>13</v>
      </c>
      <c r="S6088">
        <v>1363</v>
      </c>
      <c r="T6088">
        <v>-40</v>
      </c>
      <c r="U6088">
        <v>47</v>
      </c>
      <c r="V6088">
        <v>160</v>
      </c>
      <c r="W6088">
        <v>28</v>
      </c>
      <c r="X6088">
        <v>28</v>
      </c>
      <c r="Y6088">
        <v>1</v>
      </c>
      <c r="Z6088">
        <v>1</v>
      </c>
      <c r="AA6088">
        <v>26</v>
      </c>
      <c r="AB6088">
        <v>2</v>
      </c>
      <c r="AC6088">
        <v>2</v>
      </c>
      <c r="AD6088">
        <v>3.2929999799999998</v>
      </c>
      <c r="AE6088">
        <v>6</v>
      </c>
      <c r="AF6088">
        <v>30</v>
      </c>
      <c r="AG6088">
        <v>3.27999997</v>
      </c>
      <c r="AH6088">
        <v>7</v>
      </c>
      <c r="AI6088">
        <v>1</v>
      </c>
      <c r="AJ6088">
        <v>1</v>
      </c>
      <c r="AK6088">
        <v>18</v>
      </c>
      <c r="AL6088">
        <v>48</v>
      </c>
      <c r="AM6088" t="s">
        <v>43</v>
      </c>
      <c r="AN6088" t="str">
        <f>HYPERLINK("https://www.google.com/maps?q=10.83340645,79.84605408","Open Location")</f>
        <v>Open Location</v>
      </c>
    </row>
    <row r="6089" spans="1:40" x14ac:dyDescent="0.3">
      <c r="A6089" s="1">
        <v>46210.294560185182</v>
      </c>
      <c r="B6089" t="s">
        <v>40</v>
      </c>
      <c r="C6089" t="s">
        <v>41</v>
      </c>
      <c r="D6089" s="1">
        <v>46210.297337962962</v>
      </c>
      <c r="E6089" t="s">
        <v>42</v>
      </c>
      <c r="F6089" t="s">
        <v>83</v>
      </c>
      <c r="G6089">
        <v>7</v>
      </c>
      <c r="H6089">
        <v>33082</v>
      </c>
      <c r="I6089" t="s">
        <v>43</v>
      </c>
      <c r="J6089">
        <v>64</v>
      </c>
      <c r="K6089">
        <v>23</v>
      </c>
      <c r="L6089">
        <v>98</v>
      </c>
      <c r="M6089">
        <v>631.59997558999999</v>
      </c>
      <c r="N6089" t="s">
        <v>87</v>
      </c>
      <c r="O6089" t="s">
        <v>86</v>
      </c>
      <c r="P6089">
        <v>127</v>
      </c>
      <c r="Q6089">
        <v>2</v>
      </c>
      <c r="R6089">
        <v>16</v>
      </c>
      <c r="S6089">
        <v>1855</v>
      </c>
      <c r="T6089">
        <v>-40</v>
      </c>
      <c r="U6089">
        <v>47</v>
      </c>
      <c r="V6089">
        <v>82</v>
      </c>
      <c r="W6089">
        <v>28</v>
      </c>
      <c r="X6089">
        <v>28</v>
      </c>
      <c r="Y6089">
        <v>1</v>
      </c>
      <c r="Z6089">
        <v>1</v>
      </c>
      <c r="AA6089">
        <v>26</v>
      </c>
      <c r="AB6089">
        <v>2</v>
      </c>
      <c r="AC6089">
        <v>2</v>
      </c>
      <c r="AD6089">
        <v>3.30900002</v>
      </c>
      <c r="AE6089">
        <v>6</v>
      </c>
      <c r="AF6089">
        <v>30</v>
      </c>
      <c r="AG6089">
        <v>3.2980000999999999</v>
      </c>
      <c r="AH6089">
        <v>2</v>
      </c>
      <c r="AI6089">
        <v>45</v>
      </c>
      <c r="AJ6089">
        <v>1</v>
      </c>
      <c r="AK6089">
        <v>17</v>
      </c>
      <c r="AL6089">
        <v>48</v>
      </c>
      <c r="AM6089" t="s">
        <v>43</v>
      </c>
      <c r="AN6089" t="s">
        <v>43</v>
      </c>
    </row>
    <row r="6090" spans="1:40" x14ac:dyDescent="0.3">
      <c r="A6090" s="1">
        <v>46210.294444444444</v>
      </c>
      <c r="B6090" t="s">
        <v>40</v>
      </c>
      <c r="C6090" t="s">
        <v>41</v>
      </c>
      <c r="D6090" s="1">
        <v>46210.297361111108</v>
      </c>
      <c r="E6090" t="s">
        <v>42</v>
      </c>
      <c r="F6090" t="s">
        <v>83</v>
      </c>
      <c r="G6090">
        <v>5</v>
      </c>
      <c r="H6090">
        <v>33082</v>
      </c>
      <c r="I6090" t="s">
        <v>3450</v>
      </c>
      <c r="J6090">
        <v>64</v>
      </c>
      <c r="K6090">
        <v>10</v>
      </c>
      <c r="L6090">
        <v>98</v>
      </c>
      <c r="M6090">
        <v>632.20001220999995</v>
      </c>
      <c r="N6090" t="s">
        <v>87</v>
      </c>
      <c r="O6090" t="s">
        <v>86</v>
      </c>
      <c r="P6090">
        <v>127</v>
      </c>
      <c r="Q6090">
        <v>2</v>
      </c>
      <c r="R6090">
        <v>0</v>
      </c>
      <c r="S6090">
        <v>1510</v>
      </c>
      <c r="T6090">
        <v>-40</v>
      </c>
      <c r="U6090">
        <v>47</v>
      </c>
      <c r="V6090">
        <v>12</v>
      </c>
      <c r="W6090">
        <v>28</v>
      </c>
      <c r="X6090">
        <v>28</v>
      </c>
      <c r="Y6090">
        <v>1</v>
      </c>
      <c r="Z6090">
        <v>1</v>
      </c>
      <c r="AA6090">
        <v>26</v>
      </c>
      <c r="AB6090">
        <v>2</v>
      </c>
      <c r="AC6090">
        <v>2</v>
      </c>
      <c r="AD6090">
        <v>3.3029999700000001</v>
      </c>
      <c r="AE6090">
        <v>6</v>
      </c>
      <c r="AF6090">
        <v>30</v>
      </c>
      <c r="AG6090">
        <v>3.2909998900000001</v>
      </c>
      <c r="AH6090">
        <v>2</v>
      </c>
      <c r="AI6090">
        <v>45</v>
      </c>
      <c r="AJ6090">
        <v>1</v>
      </c>
      <c r="AK6090">
        <v>18</v>
      </c>
      <c r="AL6090">
        <v>48</v>
      </c>
      <c r="AM6090" t="s">
        <v>43</v>
      </c>
      <c r="AN6090" t="str">
        <f>HYPERLINK("https://www.google.com/maps?q=10.83330631,79.84586334","Open Location")</f>
        <v>Open Location</v>
      </c>
    </row>
    <row r="6091" spans="1:40" x14ac:dyDescent="0.3">
      <c r="A6091" s="1">
        <v>46210.294328703705</v>
      </c>
      <c r="B6091" t="s">
        <v>40</v>
      </c>
      <c r="C6091" t="s">
        <v>41</v>
      </c>
      <c r="D6091" s="1">
        <v>46210.297025462962</v>
      </c>
      <c r="E6091" t="s">
        <v>42</v>
      </c>
      <c r="F6091" t="s">
        <v>83</v>
      </c>
      <c r="G6091">
        <v>7</v>
      </c>
      <c r="H6091">
        <v>33082</v>
      </c>
      <c r="I6091" t="s">
        <v>3152</v>
      </c>
      <c r="J6091">
        <v>64</v>
      </c>
      <c r="K6091">
        <v>2</v>
      </c>
      <c r="L6091">
        <v>98</v>
      </c>
      <c r="M6091">
        <v>632.5</v>
      </c>
      <c r="N6091" t="s">
        <v>87</v>
      </c>
      <c r="O6091" t="s">
        <v>86</v>
      </c>
      <c r="P6091">
        <v>128</v>
      </c>
      <c r="Q6091">
        <v>3</v>
      </c>
      <c r="R6091">
        <v>0</v>
      </c>
      <c r="S6091">
        <v>866</v>
      </c>
      <c r="T6091">
        <v>-40</v>
      </c>
      <c r="U6091">
        <v>47</v>
      </c>
      <c r="V6091">
        <v>-5</v>
      </c>
      <c r="W6091">
        <v>28</v>
      </c>
      <c r="X6091">
        <v>28</v>
      </c>
      <c r="Y6091">
        <v>1</v>
      </c>
      <c r="Z6091">
        <v>1</v>
      </c>
      <c r="AA6091">
        <v>26</v>
      </c>
      <c r="AB6091">
        <v>2</v>
      </c>
      <c r="AC6091">
        <v>2</v>
      </c>
      <c r="AD6091">
        <v>3.3039999</v>
      </c>
      <c r="AE6091">
        <v>6</v>
      </c>
      <c r="AF6091">
        <v>30</v>
      </c>
      <c r="AG6091">
        <v>3.2909998900000001</v>
      </c>
      <c r="AH6091">
        <v>8</v>
      </c>
      <c r="AI6091">
        <v>48</v>
      </c>
      <c r="AJ6091">
        <v>1</v>
      </c>
      <c r="AK6091">
        <v>17</v>
      </c>
      <c r="AL6091">
        <v>48</v>
      </c>
      <c r="AM6091" t="s">
        <v>43</v>
      </c>
      <c r="AN6091" t="str">
        <f>HYPERLINK("https://www.google.com/maps?q=10.83317375,79.84577942","Open Location")</f>
        <v>Open Location</v>
      </c>
    </row>
    <row r="6092" spans="1:40" x14ac:dyDescent="0.3">
      <c r="A6092" s="1">
        <v>46210.294212962966</v>
      </c>
      <c r="B6092" t="s">
        <v>40</v>
      </c>
      <c r="C6092" t="s">
        <v>41</v>
      </c>
      <c r="D6092" s="1">
        <v>46210.297129629631</v>
      </c>
      <c r="E6092" t="s">
        <v>42</v>
      </c>
      <c r="F6092" t="s">
        <v>83</v>
      </c>
      <c r="G6092">
        <v>10</v>
      </c>
      <c r="H6092">
        <v>33082</v>
      </c>
      <c r="I6092" t="s">
        <v>3451</v>
      </c>
      <c r="J6092">
        <v>64</v>
      </c>
      <c r="K6092">
        <v>29</v>
      </c>
      <c r="L6092">
        <v>98</v>
      </c>
      <c r="M6092">
        <v>630.90002441000001</v>
      </c>
      <c r="N6092" t="s">
        <v>87</v>
      </c>
      <c r="O6092" t="s">
        <v>86</v>
      </c>
      <c r="P6092">
        <v>128</v>
      </c>
      <c r="Q6092">
        <v>3</v>
      </c>
      <c r="R6092">
        <v>0</v>
      </c>
      <c r="S6092">
        <v>1393</v>
      </c>
      <c r="T6092">
        <v>-40</v>
      </c>
      <c r="U6092">
        <v>47</v>
      </c>
      <c r="V6092">
        <v>120</v>
      </c>
      <c r="W6092">
        <v>28</v>
      </c>
      <c r="X6092">
        <v>28</v>
      </c>
      <c r="Y6092">
        <v>1</v>
      </c>
      <c r="Z6092">
        <v>1</v>
      </c>
      <c r="AA6092">
        <v>26</v>
      </c>
      <c r="AB6092">
        <v>2</v>
      </c>
      <c r="AC6092">
        <v>2</v>
      </c>
      <c r="AD6092">
        <v>3.2980000999999999</v>
      </c>
      <c r="AE6092">
        <v>6</v>
      </c>
      <c r="AF6092">
        <v>30</v>
      </c>
      <c r="AG6092">
        <v>3.28500009</v>
      </c>
      <c r="AH6092">
        <v>7</v>
      </c>
      <c r="AI6092">
        <v>1</v>
      </c>
      <c r="AJ6092">
        <v>1</v>
      </c>
      <c r="AK6092">
        <v>17</v>
      </c>
      <c r="AL6092">
        <v>48</v>
      </c>
      <c r="AM6092" t="s">
        <v>43</v>
      </c>
      <c r="AN6092" t="str">
        <f>HYPERLINK("https://www.google.com/maps?q=10.83314705,79.84545898","Open Location")</f>
        <v>Open Location</v>
      </c>
    </row>
    <row r="6093" spans="1:40" x14ac:dyDescent="0.3">
      <c r="A6093" s="1">
        <v>46210.29409722222</v>
      </c>
      <c r="B6093" t="s">
        <v>40</v>
      </c>
      <c r="C6093" t="s">
        <v>41</v>
      </c>
      <c r="D6093" s="1">
        <v>46210.297106481485</v>
      </c>
      <c r="E6093" t="s">
        <v>42</v>
      </c>
      <c r="F6093" t="s">
        <v>83</v>
      </c>
      <c r="G6093">
        <v>15</v>
      </c>
      <c r="H6093">
        <v>33082</v>
      </c>
      <c r="I6093" t="s">
        <v>3452</v>
      </c>
      <c r="J6093">
        <v>64</v>
      </c>
      <c r="K6093">
        <v>-11</v>
      </c>
      <c r="L6093">
        <v>98</v>
      </c>
      <c r="M6093">
        <v>632.29998779000005</v>
      </c>
      <c r="N6093" t="s">
        <v>87</v>
      </c>
      <c r="O6093" t="s">
        <v>86</v>
      </c>
      <c r="P6093">
        <v>128</v>
      </c>
      <c r="Q6093">
        <v>4</v>
      </c>
      <c r="R6093">
        <v>4</v>
      </c>
      <c r="S6093">
        <v>1156</v>
      </c>
      <c r="T6093">
        <v>-40</v>
      </c>
      <c r="U6093">
        <v>47</v>
      </c>
      <c r="V6093">
        <v>-112</v>
      </c>
      <c r="W6093">
        <v>28</v>
      </c>
      <c r="X6093">
        <v>28</v>
      </c>
      <c r="Y6093">
        <v>1</v>
      </c>
      <c r="Z6093">
        <v>1</v>
      </c>
      <c r="AA6093">
        <v>26</v>
      </c>
      <c r="AB6093">
        <v>2</v>
      </c>
      <c r="AC6093">
        <v>2</v>
      </c>
      <c r="AD6093">
        <v>3.3050000700000002</v>
      </c>
      <c r="AE6093">
        <v>6</v>
      </c>
      <c r="AF6093">
        <v>30</v>
      </c>
      <c r="AG6093">
        <v>3.2929999799999998</v>
      </c>
      <c r="AH6093">
        <v>6</v>
      </c>
      <c r="AI6093">
        <v>34</v>
      </c>
      <c r="AJ6093">
        <v>1</v>
      </c>
      <c r="AK6093">
        <v>17</v>
      </c>
      <c r="AL6093">
        <v>48</v>
      </c>
      <c r="AM6093" t="s">
        <v>43</v>
      </c>
      <c r="AN6093" t="str">
        <f>HYPERLINK("https://www.google.com/maps?q=10.83309174,79.84503937","Open Location")</f>
        <v>Open Location</v>
      </c>
    </row>
    <row r="6094" spans="1:40" x14ac:dyDescent="0.3">
      <c r="A6094" s="1">
        <v>46210.293981481482</v>
      </c>
      <c r="B6094" t="s">
        <v>40</v>
      </c>
      <c r="C6094" t="s">
        <v>41</v>
      </c>
      <c r="D6094" s="1">
        <v>46210.296851851854</v>
      </c>
      <c r="E6094" t="s">
        <v>42</v>
      </c>
      <c r="F6094" t="s">
        <v>83</v>
      </c>
      <c r="G6094">
        <v>10</v>
      </c>
      <c r="H6094">
        <v>33082</v>
      </c>
      <c r="I6094" t="s">
        <v>3453</v>
      </c>
      <c r="J6094">
        <v>64</v>
      </c>
      <c r="K6094">
        <v>17</v>
      </c>
      <c r="L6094">
        <v>98</v>
      </c>
      <c r="M6094">
        <v>631.29998779000005</v>
      </c>
      <c r="N6094" t="s">
        <v>87</v>
      </c>
      <c r="O6094" t="s">
        <v>86</v>
      </c>
      <c r="P6094">
        <v>128</v>
      </c>
      <c r="Q6094">
        <v>3</v>
      </c>
      <c r="R6094">
        <v>17</v>
      </c>
      <c r="S6094">
        <v>1445</v>
      </c>
      <c r="T6094">
        <v>-40</v>
      </c>
      <c r="U6094">
        <v>47</v>
      </c>
      <c r="V6094">
        <v>60</v>
      </c>
      <c r="W6094">
        <v>28</v>
      </c>
      <c r="X6094">
        <v>28</v>
      </c>
      <c r="Y6094">
        <v>1</v>
      </c>
      <c r="Z6094">
        <v>1</v>
      </c>
      <c r="AA6094">
        <v>26</v>
      </c>
      <c r="AB6094">
        <v>2</v>
      </c>
      <c r="AC6094">
        <v>2</v>
      </c>
      <c r="AD6094">
        <v>3.2999999500000001</v>
      </c>
      <c r="AE6094">
        <v>6</v>
      </c>
      <c r="AF6094">
        <v>30</v>
      </c>
      <c r="AG6094">
        <v>3.28800011</v>
      </c>
      <c r="AH6094">
        <v>2</v>
      </c>
      <c r="AI6094">
        <v>45</v>
      </c>
      <c r="AJ6094">
        <v>1</v>
      </c>
      <c r="AK6094">
        <v>17</v>
      </c>
      <c r="AL6094">
        <v>48</v>
      </c>
      <c r="AM6094" t="s">
        <v>43</v>
      </c>
      <c r="AN6094" t="str">
        <f>HYPERLINK("https://www.google.com/maps?q=10.8328228,79.8449707","Open Location")</f>
        <v>Open Location</v>
      </c>
    </row>
    <row r="6095" spans="1:40" x14ac:dyDescent="0.3">
      <c r="A6095" s="1">
        <v>46210.293865740743</v>
      </c>
      <c r="B6095" t="s">
        <v>40</v>
      </c>
      <c r="C6095" t="s">
        <v>41</v>
      </c>
      <c r="D6095" s="1">
        <v>46210.296736111108</v>
      </c>
      <c r="E6095" t="s">
        <v>42</v>
      </c>
      <c r="F6095" t="s">
        <v>83</v>
      </c>
      <c r="G6095">
        <v>10</v>
      </c>
      <c r="H6095">
        <v>33082</v>
      </c>
      <c r="I6095" t="s">
        <v>43</v>
      </c>
      <c r="J6095">
        <v>64</v>
      </c>
      <c r="K6095">
        <v>-11</v>
      </c>
      <c r="L6095">
        <v>98</v>
      </c>
      <c r="M6095">
        <v>632.90002441000001</v>
      </c>
      <c r="N6095" t="s">
        <v>87</v>
      </c>
      <c r="O6095" t="s">
        <v>86</v>
      </c>
      <c r="P6095">
        <v>128</v>
      </c>
      <c r="Q6095">
        <v>3</v>
      </c>
      <c r="R6095">
        <v>7</v>
      </c>
      <c r="S6095">
        <v>1238</v>
      </c>
      <c r="T6095">
        <v>-40</v>
      </c>
      <c r="U6095">
        <v>47</v>
      </c>
      <c r="V6095">
        <v>-68</v>
      </c>
      <c r="W6095">
        <v>28</v>
      </c>
      <c r="X6095">
        <v>28</v>
      </c>
      <c r="Y6095">
        <v>1</v>
      </c>
      <c r="Z6095">
        <v>1</v>
      </c>
      <c r="AA6095">
        <v>26</v>
      </c>
      <c r="AB6095">
        <v>2</v>
      </c>
      <c r="AC6095">
        <v>2</v>
      </c>
      <c r="AD6095">
        <v>3.3059999900000001</v>
      </c>
      <c r="AE6095">
        <v>6</v>
      </c>
      <c r="AF6095">
        <v>30</v>
      </c>
      <c r="AG6095">
        <v>3.2929999799999998</v>
      </c>
      <c r="AH6095">
        <v>8</v>
      </c>
      <c r="AI6095">
        <v>9</v>
      </c>
      <c r="AJ6095">
        <v>1</v>
      </c>
      <c r="AK6095">
        <v>17</v>
      </c>
      <c r="AL6095">
        <v>48</v>
      </c>
      <c r="AM6095" t="s">
        <v>43</v>
      </c>
      <c r="AN6095" t="s">
        <v>43</v>
      </c>
    </row>
    <row r="6096" spans="1:40" x14ac:dyDescent="0.3">
      <c r="A6096" s="1">
        <v>46210.293749999997</v>
      </c>
      <c r="B6096" t="s">
        <v>40</v>
      </c>
      <c r="C6096" t="s">
        <v>41</v>
      </c>
      <c r="D6096" s="1">
        <v>46210.296585648146</v>
      </c>
      <c r="E6096" t="s">
        <v>42</v>
      </c>
      <c r="F6096" t="s">
        <v>83</v>
      </c>
      <c r="G6096">
        <v>11</v>
      </c>
      <c r="H6096">
        <v>33082</v>
      </c>
      <c r="I6096" t="s">
        <v>3454</v>
      </c>
      <c r="J6096">
        <v>64</v>
      </c>
      <c r="K6096">
        <v>11</v>
      </c>
      <c r="L6096">
        <v>98</v>
      </c>
      <c r="M6096">
        <v>632.90002441000001</v>
      </c>
      <c r="N6096" t="s">
        <v>87</v>
      </c>
      <c r="O6096" t="s">
        <v>86</v>
      </c>
      <c r="P6096">
        <v>128</v>
      </c>
      <c r="Q6096">
        <v>3</v>
      </c>
      <c r="R6096">
        <v>14</v>
      </c>
      <c r="S6096">
        <v>1552</v>
      </c>
      <c r="T6096">
        <v>-40</v>
      </c>
      <c r="U6096">
        <v>47</v>
      </c>
      <c r="V6096">
        <v>80</v>
      </c>
      <c r="W6096">
        <v>28</v>
      </c>
      <c r="X6096">
        <v>28</v>
      </c>
      <c r="Y6096">
        <v>1</v>
      </c>
      <c r="Z6096">
        <v>1</v>
      </c>
      <c r="AA6096">
        <v>26</v>
      </c>
      <c r="AB6096">
        <v>2</v>
      </c>
      <c r="AC6096">
        <v>2</v>
      </c>
      <c r="AD6096">
        <v>3.3050000700000002</v>
      </c>
      <c r="AE6096">
        <v>6</v>
      </c>
      <c r="AF6096">
        <v>30</v>
      </c>
      <c r="AG6096">
        <v>3.2929999799999998</v>
      </c>
      <c r="AH6096">
        <v>2</v>
      </c>
      <c r="AI6096">
        <v>45</v>
      </c>
      <c r="AJ6096">
        <v>1</v>
      </c>
      <c r="AK6096">
        <v>17</v>
      </c>
      <c r="AL6096">
        <v>48</v>
      </c>
      <c r="AM6096" t="s">
        <v>43</v>
      </c>
      <c r="AN6096" t="str">
        <f>HYPERLINK("https://www.google.com/maps?q=10.83250046,79.84500885","Open Location")</f>
        <v>Open Location</v>
      </c>
    </row>
    <row r="6097" spans="1:40" x14ac:dyDescent="0.3">
      <c r="A6097" s="1">
        <v>46210.293634259258</v>
      </c>
      <c r="B6097" t="s">
        <v>40</v>
      </c>
      <c r="C6097" t="s">
        <v>41</v>
      </c>
      <c r="D6097" s="1">
        <v>46210.2966087963</v>
      </c>
      <c r="E6097" t="s">
        <v>42</v>
      </c>
      <c r="F6097" t="s">
        <v>83</v>
      </c>
      <c r="G6097">
        <v>10</v>
      </c>
      <c r="H6097">
        <v>33082</v>
      </c>
      <c r="I6097" t="s">
        <v>3455</v>
      </c>
      <c r="J6097">
        <v>64</v>
      </c>
      <c r="K6097">
        <v>24</v>
      </c>
      <c r="L6097">
        <v>98</v>
      </c>
      <c r="M6097">
        <v>632.09997558999999</v>
      </c>
      <c r="N6097" t="s">
        <v>87</v>
      </c>
      <c r="O6097" t="s">
        <v>86</v>
      </c>
      <c r="P6097">
        <v>128</v>
      </c>
      <c r="Q6097">
        <v>3</v>
      </c>
      <c r="R6097">
        <v>2</v>
      </c>
      <c r="S6097">
        <v>1447</v>
      </c>
      <c r="T6097">
        <v>-40</v>
      </c>
      <c r="U6097">
        <v>47</v>
      </c>
      <c r="V6097">
        <v>96</v>
      </c>
      <c r="W6097">
        <v>28</v>
      </c>
      <c r="X6097">
        <v>28</v>
      </c>
      <c r="Y6097">
        <v>1</v>
      </c>
      <c r="Z6097">
        <v>1</v>
      </c>
      <c r="AA6097">
        <v>26</v>
      </c>
      <c r="AB6097">
        <v>2</v>
      </c>
      <c r="AC6097">
        <v>2</v>
      </c>
      <c r="AD6097">
        <v>3.3029999700000001</v>
      </c>
      <c r="AE6097">
        <v>6</v>
      </c>
      <c r="AF6097">
        <v>30</v>
      </c>
      <c r="AG6097">
        <v>3.2899999599999998</v>
      </c>
      <c r="AH6097">
        <v>8</v>
      </c>
      <c r="AI6097">
        <v>48</v>
      </c>
      <c r="AJ6097">
        <v>1</v>
      </c>
      <c r="AK6097">
        <v>17</v>
      </c>
      <c r="AL6097">
        <v>48</v>
      </c>
      <c r="AM6097" t="s">
        <v>43</v>
      </c>
      <c r="AN6097" t="str">
        <f>HYPERLINK("https://www.google.com/maps?q=10.83215046,79.84505463","Open Location")</f>
        <v>Open Location</v>
      </c>
    </row>
    <row r="6098" spans="1:40" x14ac:dyDescent="0.3">
      <c r="A6098" s="1">
        <v>46210.29351851852</v>
      </c>
      <c r="B6098" t="s">
        <v>40</v>
      </c>
      <c r="C6098" t="s">
        <v>41</v>
      </c>
      <c r="D6098" s="1">
        <v>46210.296493055554</v>
      </c>
      <c r="E6098" t="s">
        <v>42</v>
      </c>
      <c r="F6098" t="s">
        <v>83</v>
      </c>
      <c r="G6098">
        <v>12</v>
      </c>
      <c r="H6098">
        <v>33082</v>
      </c>
      <c r="I6098" t="s">
        <v>3456</v>
      </c>
      <c r="J6098">
        <v>64</v>
      </c>
      <c r="K6098">
        <v>-3</v>
      </c>
      <c r="L6098">
        <v>98</v>
      </c>
      <c r="M6098">
        <v>633</v>
      </c>
      <c r="N6098" t="s">
        <v>87</v>
      </c>
      <c r="O6098" t="s">
        <v>86</v>
      </c>
      <c r="P6098">
        <v>128</v>
      </c>
      <c r="Q6098">
        <v>3</v>
      </c>
      <c r="R6098">
        <v>9</v>
      </c>
      <c r="S6098">
        <v>1483</v>
      </c>
      <c r="T6098">
        <v>-40</v>
      </c>
      <c r="U6098">
        <v>47</v>
      </c>
      <c r="V6098">
        <v>-56</v>
      </c>
      <c r="W6098">
        <v>28</v>
      </c>
      <c r="X6098">
        <v>28</v>
      </c>
      <c r="Y6098">
        <v>1</v>
      </c>
      <c r="Z6098">
        <v>1</v>
      </c>
      <c r="AA6098">
        <v>26</v>
      </c>
      <c r="AB6098">
        <v>2</v>
      </c>
      <c r="AC6098">
        <v>2</v>
      </c>
      <c r="AD6098">
        <v>3.3059999900000001</v>
      </c>
      <c r="AE6098">
        <v>6</v>
      </c>
      <c r="AF6098">
        <v>30</v>
      </c>
      <c r="AG6098">
        <v>3.2929999799999998</v>
      </c>
      <c r="AH6098">
        <v>8</v>
      </c>
      <c r="AI6098">
        <v>48</v>
      </c>
      <c r="AJ6098">
        <v>1</v>
      </c>
      <c r="AK6098">
        <v>17</v>
      </c>
      <c r="AL6098">
        <v>48</v>
      </c>
      <c r="AM6098" t="s">
        <v>43</v>
      </c>
      <c r="AN6098" t="str">
        <f>HYPERLINK("https://www.google.com/maps?q=10.83179188,79.84511566","Open Location")</f>
        <v>Open Location</v>
      </c>
    </row>
    <row r="6099" spans="1:40" x14ac:dyDescent="0.3">
      <c r="A6099" s="1">
        <v>46210.293402777781</v>
      </c>
      <c r="B6099" t="s">
        <v>40</v>
      </c>
      <c r="C6099" t="s">
        <v>41</v>
      </c>
      <c r="D6099" s="1">
        <v>46210.296203703707</v>
      </c>
      <c r="E6099" t="s">
        <v>42</v>
      </c>
      <c r="F6099" t="s">
        <v>83</v>
      </c>
      <c r="G6099">
        <v>12</v>
      </c>
      <c r="H6099" t="s">
        <v>43</v>
      </c>
      <c r="I6099" t="s">
        <v>3457</v>
      </c>
      <c r="J6099">
        <v>64</v>
      </c>
      <c r="K6099">
        <v>24</v>
      </c>
      <c r="L6099">
        <v>98</v>
      </c>
      <c r="M6099">
        <v>631.09997558999999</v>
      </c>
      <c r="N6099" t="s">
        <v>87</v>
      </c>
      <c r="O6099" t="s">
        <v>86</v>
      </c>
      <c r="P6099">
        <v>128</v>
      </c>
      <c r="Q6099">
        <v>3</v>
      </c>
      <c r="R6099">
        <v>12</v>
      </c>
      <c r="S6099">
        <v>1319</v>
      </c>
      <c r="T6099">
        <v>-40</v>
      </c>
      <c r="U6099">
        <v>47</v>
      </c>
      <c r="V6099">
        <v>100</v>
      </c>
      <c r="W6099">
        <v>28</v>
      </c>
      <c r="X6099">
        <v>28</v>
      </c>
      <c r="Y6099">
        <v>1</v>
      </c>
      <c r="Z6099">
        <v>1</v>
      </c>
      <c r="AA6099">
        <v>26</v>
      </c>
      <c r="AB6099">
        <v>2</v>
      </c>
      <c r="AC6099">
        <v>2</v>
      </c>
      <c r="AD6099">
        <v>3.2999999500000001</v>
      </c>
      <c r="AE6099">
        <v>6</v>
      </c>
      <c r="AF6099">
        <v>30</v>
      </c>
      <c r="AG6099">
        <v>3.2869999399999998</v>
      </c>
      <c r="AH6099">
        <v>7</v>
      </c>
      <c r="AI6099">
        <v>1</v>
      </c>
      <c r="AJ6099">
        <v>1</v>
      </c>
      <c r="AK6099">
        <v>17</v>
      </c>
      <c r="AL6099">
        <v>48</v>
      </c>
      <c r="AM6099" t="s">
        <v>43</v>
      </c>
      <c r="AN6099" t="str">
        <f>HYPERLINK("https://www.google.com/maps?q=10.83149338,79.84509277","Open Location")</f>
        <v>Open Location</v>
      </c>
    </row>
    <row r="6100" spans="1:40" x14ac:dyDescent="0.3">
      <c r="A6100" s="1">
        <v>46210.293287037035</v>
      </c>
      <c r="B6100" t="s">
        <v>40</v>
      </c>
      <c r="C6100" t="s">
        <v>41</v>
      </c>
      <c r="D6100" s="1">
        <v>46210.29619212963</v>
      </c>
      <c r="E6100" t="s">
        <v>42</v>
      </c>
      <c r="F6100" t="s">
        <v>83</v>
      </c>
      <c r="G6100">
        <v>8</v>
      </c>
      <c r="H6100">
        <v>33082</v>
      </c>
      <c r="I6100" t="s">
        <v>43</v>
      </c>
      <c r="J6100">
        <v>64</v>
      </c>
      <c r="K6100">
        <v>20</v>
      </c>
      <c r="L6100">
        <v>98</v>
      </c>
      <c r="M6100">
        <v>631</v>
      </c>
      <c r="N6100" t="s">
        <v>87</v>
      </c>
      <c r="O6100" t="s">
        <v>86</v>
      </c>
      <c r="P6100">
        <v>127</v>
      </c>
      <c r="Q6100">
        <v>2</v>
      </c>
      <c r="R6100">
        <v>0</v>
      </c>
      <c r="S6100">
        <v>1297</v>
      </c>
      <c r="T6100">
        <v>-40</v>
      </c>
      <c r="U6100">
        <v>47</v>
      </c>
      <c r="V6100">
        <v>116</v>
      </c>
      <c r="W6100">
        <v>28</v>
      </c>
      <c r="X6100">
        <v>28</v>
      </c>
      <c r="Y6100">
        <v>1</v>
      </c>
      <c r="Z6100">
        <v>1</v>
      </c>
      <c r="AA6100">
        <v>26</v>
      </c>
      <c r="AB6100">
        <v>2</v>
      </c>
      <c r="AC6100">
        <v>2</v>
      </c>
      <c r="AD6100">
        <v>3.2990000199999998</v>
      </c>
      <c r="AE6100">
        <v>6</v>
      </c>
      <c r="AF6100">
        <v>30</v>
      </c>
      <c r="AG6100">
        <v>3.28600001</v>
      </c>
      <c r="AH6100">
        <v>7</v>
      </c>
      <c r="AI6100">
        <v>1</v>
      </c>
      <c r="AJ6100">
        <v>1</v>
      </c>
      <c r="AK6100">
        <v>17</v>
      </c>
      <c r="AL6100">
        <v>48</v>
      </c>
      <c r="AM6100" t="s">
        <v>43</v>
      </c>
      <c r="AN6100" t="s">
        <v>43</v>
      </c>
    </row>
    <row r="6101" spans="1:40" x14ac:dyDescent="0.3">
      <c r="A6101" s="1">
        <v>46210.293171296296</v>
      </c>
      <c r="B6101" t="s">
        <v>40</v>
      </c>
      <c r="C6101" t="s">
        <v>41</v>
      </c>
      <c r="D6101" s="1">
        <v>46210.295983796299</v>
      </c>
      <c r="E6101" t="s">
        <v>42</v>
      </c>
      <c r="F6101" t="s">
        <v>83</v>
      </c>
      <c r="G6101">
        <v>0</v>
      </c>
      <c r="H6101">
        <v>33082</v>
      </c>
      <c r="I6101" t="s">
        <v>3458</v>
      </c>
      <c r="J6101">
        <v>64</v>
      </c>
      <c r="K6101">
        <v>10</v>
      </c>
      <c r="L6101">
        <v>98</v>
      </c>
      <c r="M6101">
        <v>632.09997558999999</v>
      </c>
      <c r="N6101" t="s">
        <v>85</v>
      </c>
      <c r="O6101" t="s">
        <v>86</v>
      </c>
      <c r="P6101">
        <v>127</v>
      </c>
      <c r="Q6101">
        <v>2</v>
      </c>
      <c r="R6101">
        <v>0</v>
      </c>
      <c r="S6101">
        <v>197</v>
      </c>
      <c r="T6101">
        <v>-40</v>
      </c>
      <c r="U6101">
        <v>46</v>
      </c>
      <c r="V6101">
        <v>5</v>
      </c>
      <c r="W6101">
        <v>28</v>
      </c>
      <c r="X6101">
        <v>28</v>
      </c>
      <c r="Y6101">
        <v>1</v>
      </c>
      <c r="Z6101">
        <v>1</v>
      </c>
      <c r="AA6101">
        <v>26</v>
      </c>
      <c r="AB6101">
        <v>2</v>
      </c>
      <c r="AC6101">
        <v>2</v>
      </c>
      <c r="AD6101">
        <v>3.3039999</v>
      </c>
      <c r="AE6101">
        <v>6</v>
      </c>
      <c r="AF6101">
        <v>30</v>
      </c>
      <c r="AG6101">
        <v>3.2909998900000001</v>
      </c>
      <c r="AH6101">
        <v>8</v>
      </c>
      <c r="AI6101">
        <v>9</v>
      </c>
      <c r="AJ6101">
        <v>1</v>
      </c>
      <c r="AK6101">
        <v>17</v>
      </c>
      <c r="AL6101">
        <v>48</v>
      </c>
      <c r="AM6101" t="s">
        <v>43</v>
      </c>
      <c r="AN6101" t="str">
        <f>HYPERLINK("https://www.google.com/maps?q=10.83145428,79.84488678","Open Location")</f>
        <v>Open Location</v>
      </c>
    </row>
    <row r="6102" spans="1:40" x14ac:dyDescent="0.3">
      <c r="A6102" s="1">
        <v>46210.293055555558</v>
      </c>
      <c r="B6102" t="s">
        <v>40</v>
      </c>
      <c r="C6102" t="s">
        <v>41</v>
      </c>
      <c r="D6102" s="1">
        <v>46210.295914351853</v>
      </c>
      <c r="E6102" t="s">
        <v>42</v>
      </c>
      <c r="F6102" t="s">
        <v>83</v>
      </c>
      <c r="G6102">
        <v>0</v>
      </c>
      <c r="H6102">
        <v>33082</v>
      </c>
      <c r="I6102" t="s">
        <v>3459</v>
      </c>
      <c r="J6102">
        <v>64</v>
      </c>
      <c r="K6102">
        <v>9</v>
      </c>
      <c r="L6102">
        <v>98</v>
      </c>
      <c r="M6102">
        <v>631.90002441000001</v>
      </c>
      <c r="N6102" t="s">
        <v>85</v>
      </c>
      <c r="O6102" t="s">
        <v>86</v>
      </c>
      <c r="P6102">
        <v>127</v>
      </c>
      <c r="Q6102">
        <v>2</v>
      </c>
      <c r="R6102">
        <v>-1</v>
      </c>
      <c r="S6102">
        <v>118</v>
      </c>
      <c r="T6102">
        <v>-40</v>
      </c>
      <c r="U6102">
        <v>46</v>
      </c>
      <c r="V6102">
        <v>5</v>
      </c>
      <c r="W6102" t="s">
        <v>43</v>
      </c>
      <c r="X6102" t="s">
        <v>43</v>
      </c>
      <c r="Y6102" t="s">
        <v>43</v>
      </c>
      <c r="Z6102" t="s">
        <v>43</v>
      </c>
      <c r="AA6102" t="s">
        <v>43</v>
      </c>
      <c r="AB6102" t="s">
        <v>43</v>
      </c>
      <c r="AC6102" t="s">
        <v>43</v>
      </c>
      <c r="AD6102">
        <v>3.3050000700000002</v>
      </c>
      <c r="AE6102">
        <v>6</v>
      </c>
      <c r="AF6102">
        <v>30</v>
      </c>
      <c r="AG6102">
        <v>3.2909998900000001</v>
      </c>
      <c r="AH6102">
        <v>8</v>
      </c>
      <c r="AI6102">
        <v>48</v>
      </c>
      <c r="AJ6102">
        <v>1</v>
      </c>
      <c r="AK6102">
        <v>17</v>
      </c>
      <c r="AL6102">
        <v>48</v>
      </c>
      <c r="AM6102" t="s">
        <v>43</v>
      </c>
      <c r="AN6102" t="str">
        <f>HYPERLINK("https://www.google.com/maps?q=10.83144855,79.84486389","Open Location")</f>
        <v>Open Location</v>
      </c>
    </row>
    <row r="6103" spans="1:40" x14ac:dyDescent="0.3">
      <c r="A6103" s="1">
        <v>46210.292939814812</v>
      </c>
      <c r="B6103" t="s">
        <v>40</v>
      </c>
      <c r="C6103" t="s">
        <v>41</v>
      </c>
      <c r="D6103" s="1">
        <v>46210.295983796299</v>
      </c>
      <c r="E6103" t="s">
        <v>42</v>
      </c>
      <c r="F6103" t="s">
        <v>83</v>
      </c>
      <c r="G6103">
        <v>0</v>
      </c>
      <c r="H6103">
        <v>33082</v>
      </c>
      <c r="I6103" t="s">
        <v>3460</v>
      </c>
      <c r="J6103">
        <v>64</v>
      </c>
      <c r="K6103">
        <v>9</v>
      </c>
      <c r="L6103">
        <v>98</v>
      </c>
      <c r="M6103">
        <v>632.09997558999999</v>
      </c>
      <c r="N6103" t="s">
        <v>85</v>
      </c>
      <c r="O6103" t="s">
        <v>82</v>
      </c>
      <c r="P6103">
        <v>125</v>
      </c>
      <c r="Q6103" t="s">
        <v>82</v>
      </c>
      <c r="R6103">
        <v>0</v>
      </c>
      <c r="S6103">
        <v>0</v>
      </c>
      <c r="T6103">
        <v>-40</v>
      </c>
      <c r="U6103">
        <v>46</v>
      </c>
      <c r="V6103">
        <v>0</v>
      </c>
      <c r="W6103">
        <v>28</v>
      </c>
      <c r="X6103">
        <v>28</v>
      </c>
      <c r="Y6103">
        <v>1</v>
      </c>
      <c r="Z6103">
        <v>1</v>
      </c>
      <c r="AA6103">
        <v>26</v>
      </c>
      <c r="AB6103">
        <v>2</v>
      </c>
      <c r="AC6103">
        <v>2</v>
      </c>
      <c r="AD6103">
        <v>3.3050000700000002</v>
      </c>
      <c r="AE6103">
        <v>6</v>
      </c>
      <c r="AF6103">
        <v>30</v>
      </c>
      <c r="AG6103">
        <v>3.2920000599999999</v>
      </c>
      <c r="AH6103">
        <v>2</v>
      </c>
      <c r="AI6103">
        <v>45</v>
      </c>
      <c r="AJ6103">
        <v>1</v>
      </c>
      <c r="AK6103">
        <v>17</v>
      </c>
      <c r="AL6103">
        <v>48</v>
      </c>
      <c r="AM6103" t="s">
        <v>43</v>
      </c>
      <c r="AN6103" t="str">
        <f>HYPERLINK("https://www.google.com/maps?q=10.83143997,79.84485626","Open Location")</f>
        <v>Open Location</v>
      </c>
    </row>
    <row r="6104" spans="1:40" x14ac:dyDescent="0.3">
      <c r="A6104" s="1">
        <v>46210.292824074073</v>
      </c>
      <c r="B6104" t="s">
        <v>40</v>
      </c>
      <c r="C6104" t="s">
        <v>41</v>
      </c>
      <c r="D6104" s="1">
        <v>46210.295787037037</v>
      </c>
      <c r="E6104" t="s">
        <v>42</v>
      </c>
      <c r="F6104" t="s">
        <v>83</v>
      </c>
      <c r="G6104">
        <v>0</v>
      </c>
      <c r="H6104">
        <v>33082</v>
      </c>
      <c r="I6104" t="s">
        <v>3461</v>
      </c>
      <c r="J6104">
        <v>64</v>
      </c>
      <c r="K6104">
        <v>2</v>
      </c>
      <c r="L6104">
        <v>98</v>
      </c>
      <c r="M6104">
        <v>632.90002441000001</v>
      </c>
      <c r="N6104" t="s">
        <v>85</v>
      </c>
      <c r="O6104" t="s">
        <v>82</v>
      </c>
      <c r="P6104">
        <v>125</v>
      </c>
      <c r="Q6104" t="s">
        <v>82</v>
      </c>
      <c r="R6104">
        <v>0</v>
      </c>
      <c r="S6104">
        <v>0</v>
      </c>
      <c r="T6104">
        <v>-40</v>
      </c>
      <c r="U6104">
        <v>46</v>
      </c>
      <c r="V6104">
        <v>0</v>
      </c>
      <c r="W6104">
        <v>28</v>
      </c>
      <c r="X6104">
        <v>28</v>
      </c>
      <c r="Y6104">
        <v>1</v>
      </c>
      <c r="Z6104">
        <v>1</v>
      </c>
      <c r="AA6104">
        <v>26</v>
      </c>
      <c r="AB6104">
        <v>2</v>
      </c>
      <c r="AC6104">
        <v>2</v>
      </c>
      <c r="AD6104">
        <v>3.30699992</v>
      </c>
      <c r="AE6104">
        <v>6</v>
      </c>
      <c r="AF6104">
        <v>30</v>
      </c>
      <c r="AG6104">
        <v>3.2929999799999998</v>
      </c>
      <c r="AH6104">
        <v>8</v>
      </c>
      <c r="AI6104">
        <v>48</v>
      </c>
      <c r="AJ6104">
        <v>1</v>
      </c>
      <c r="AK6104">
        <v>17</v>
      </c>
      <c r="AL6104">
        <v>48</v>
      </c>
      <c r="AM6104" t="s">
        <v>43</v>
      </c>
      <c r="AN6104" t="str">
        <f>HYPERLINK("https://www.google.com/maps?q=10.83142281,79.84484863","Open Location")</f>
        <v>Open Location</v>
      </c>
    </row>
    <row r="6105" spans="1:40" x14ac:dyDescent="0.3">
      <c r="A6105" s="1">
        <v>46210.292708333334</v>
      </c>
      <c r="B6105" t="s">
        <v>40</v>
      </c>
      <c r="C6105" t="s">
        <v>41</v>
      </c>
      <c r="D6105" s="1">
        <v>46210.295578703706</v>
      </c>
      <c r="E6105" t="s">
        <v>42</v>
      </c>
      <c r="F6105" t="s">
        <v>83</v>
      </c>
      <c r="G6105">
        <v>0</v>
      </c>
      <c r="H6105">
        <v>33082</v>
      </c>
      <c r="I6105" t="s">
        <v>3462</v>
      </c>
      <c r="J6105">
        <v>64</v>
      </c>
      <c r="K6105">
        <v>2</v>
      </c>
      <c r="L6105">
        <v>98</v>
      </c>
      <c r="M6105">
        <v>632.40002441000001</v>
      </c>
      <c r="N6105" t="s">
        <v>85</v>
      </c>
      <c r="O6105" t="s">
        <v>82</v>
      </c>
      <c r="P6105">
        <v>125</v>
      </c>
      <c r="Q6105" t="s">
        <v>82</v>
      </c>
      <c r="R6105">
        <v>0</v>
      </c>
      <c r="S6105">
        <v>0</v>
      </c>
      <c r="T6105">
        <v>-40</v>
      </c>
      <c r="U6105">
        <v>46</v>
      </c>
      <c r="V6105">
        <v>0</v>
      </c>
      <c r="W6105">
        <v>28</v>
      </c>
      <c r="X6105">
        <v>28</v>
      </c>
      <c r="Y6105">
        <v>1</v>
      </c>
      <c r="Z6105">
        <v>1</v>
      </c>
      <c r="AA6105">
        <v>26</v>
      </c>
      <c r="AB6105">
        <v>2</v>
      </c>
      <c r="AC6105">
        <v>2</v>
      </c>
      <c r="AD6105">
        <v>3.3059999900000001</v>
      </c>
      <c r="AE6105">
        <v>6</v>
      </c>
      <c r="AF6105">
        <v>30</v>
      </c>
      <c r="AG6105">
        <v>3.2929999799999998</v>
      </c>
      <c r="AH6105">
        <v>8</v>
      </c>
      <c r="AI6105">
        <v>9</v>
      </c>
      <c r="AJ6105">
        <v>1</v>
      </c>
      <c r="AK6105">
        <v>17</v>
      </c>
      <c r="AL6105">
        <v>48</v>
      </c>
      <c r="AM6105" t="s">
        <v>43</v>
      </c>
      <c r="AN6105" t="str">
        <f>HYPERLINK("https://www.google.com/maps?q=10.83140659,79.84482574","Open Location")</f>
        <v>Open Location</v>
      </c>
    </row>
    <row r="6106" spans="1:40" x14ac:dyDescent="0.3">
      <c r="A6106" s="1">
        <v>46210.292592592596</v>
      </c>
      <c r="B6106" t="s">
        <v>40</v>
      </c>
      <c r="C6106" t="s">
        <v>41</v>
      </c>
      <c r="D6106" s="1">
        <v>46210.295428240737</v>
      </c>
      <c r="E6106" t="s">
        <v>42</v>
      </c>
      <c r="F6106" t="s">
        <v>83</v>
      </c>
      <c r="G6106">
        <v>0</v>
      </c>
      <c r="H6106">
        <v>33082</v>
      </c>
      <c r="I6106" t="s">
        <v>43</v>
      </c>
      <c r="J6106">
        <v>64</v>
      </c>
      <c r="K6106">
        <v>2</v>
      </c>
      <c r="L6106">
        <v>98</v>
      </c>
      <c r="M6106">
        <v>632.79998779000005</v>
      </c>
      <c r="N6106" t="s">
        <v>85</v>
      </c>
      <c r="O6106" t="s">
        <v>82</v>
      </c>
      <c r="P6106">
        <v>125</v>
      </c>
      <c r="Q6106" t="s">
        <v>82</v>
      </c>
      <c r="R6106">
        <v>0</v>
      </c>
      <c r="S6106">
        <v>0</v>
      </c>
      <c r="T6106">
        <v>-40</v>
      </c>
      <c r="U6106">
        <v>46</v>
      </c>
      <c r="V6106">
        <v>0</v>
      </c>
      <c r="W6106">
        <v>28</v>
      </c>
      <c r="X6106">
        <v>28</v>
      </c>
      <c r="Y6106">
        <v>1</v>
      </c>
      <c r="Z6106">
        <v>1</v>
      </c>
      <c r="AA6106">
        <v>26</v>
      </c>
      <c r="AB6106">
        <v>2</v>
      </c>
      <c r="AC6106">
        <v>2</v>
      </c>
      <c r="AD6106">
        <v>3.3059999900000001</v>
      </c>
      <c r="AE6106">
        <v>6</v>
      </c>
      <c r="AF6106">
        <v>30</v>
      </c>
      <c r="AG6106">
        <v>3.2929999799999998</v>
      </c>
      <c r="AH6106">
        <v>6</v>
      </c>
      <c r="AI6106">
        <v>34</v>
      </c>
      <c r="AJ6106">
        <v>1</v>
      </c>
      <c r="AK6106">
        <v>17</v>
      </c>
      <c r="AL6106">
        <v>48</v>
      </c>
      <c r="AM6106" t="s">
        <v>43</v>
      </c>
      <c r="AN6106" t="s">
        <v>43</v>
      </c>
    </row>
    <row r="6107" spans="1:40" x14ac:dyDescent="0.3">
      <c r="A6107" s="1">
        <v>46210.29247685185</v>
      </c>
      <c r="B6107" t="s">
        <v>40</v>
      </c>
      <c r="C6107" t="s">
        <v>41</v>
      </c>
      <c r="D6107" s="1">
        <v>46210.295277777775</v>
      </c>
      <c r="E6107" t="s">
        <v>42</v>
      </c>
      <c r="F6107" t="s">
        <v>83</v>
      </c>
      <c r="G6107">
        <v>6</v>
      </c>
      <c r="H6107">
        <v>33082</v>
      </c>
      <c r="I6107" t="s">
        <v>3463</v>
      </c>
      <c r="J6107">
        <v>64</v>
      </c>
      <c r="K6107">
        <v>1</v>
      </c>
      <c r="L6107">
        <v>98</v>
      </c>
      <c r="M6107">
        <v>632.90002441000001</v>
      </c>
      <c r="N6107" t="s">
        <v>87</v>
      </c>
      <c r="O6107" t="s">
        <v>86</v>
      </c>
      <c r="P6107">
        <v>127</v>
      </c>
      <c r="Q6107">
        <v>2</v>
      </c>
      <c r="R6107">
        <v>0</v>
      </c>
      <c r="S6107">
        <v>1184</v>
      </c>
      <c r="T6107">
        <v>-40</v>
      </c>
      <c r="U6107">
        <v>46</v>
      </c>
      <c r="V6107">
        <v>-5</v>
      </c>
      <c r="W6107">
        <v>28</v>
      </c>
      <c r="X6107">
        <v>28</v>
      </c>
      <c r="Y6107">
        <v>1</v>
      </c>
      <c r="Z6107">
        <v>1</v>
      </c>
      <c r="AA6107">
        <v>26</v>
      </c>
      <c r="AB6107">
        <v>2</v>
      </c>
      <c r="AC6107">
        <v>2</v>
      </c>
      <c r="AD6107">
        <v>3.3059999900000001</v>
      </c>
      <c r="AE6107">
        <v>6</v>
      </c>
      <c r="AF6107">
        <v>30</v>
      </c>
      <c r="AG6107">
        <v>3.2929999799999998</v>
      </c>
      <c r="AH6107">
        <v>2</v>
      </c>
      <c r="AI6107">
        <v>45</v>
      </c>
      <c r="AJ6107">
        <v>1</v>
      </c>
      <c r="AK6107">
        <v>17</v>
      </c>
      <c r="AL6107">
        <v>48</v>
      </c>
      <c r="AM6107" t="s">
        <v>43</v>
      </c>
      <c r="AN6107" t="str">
        <f>HYPERLINK("https://www.google.com/maps?q=10.8313961,79.84474945","Open Location")</f>
        <v>Open Location</v>
      </c>
    </row>
    <row r="6108" spans="1:40" x14ac:dyDescent="0.3">
      <c r="A6108" s="1">
        <v>46210.292361111111</v>
      </c>
      <c r="B6108" t="s">
        <v>40</v>
      </c>
      <c r="C6108" t="s">
        <v>41</v>
      </c>
      <c r="D6108" s="1">
        <v>46210.29546296296</v>
      </c>
      <c r="E6108" t="s">
        <v>42</v>
      </c>
      <c r="F6108" t="s">
        <v>83</v>
      </c>
      <c r="G6108">
        <v>4</v>
      </c>
      <c r="H6108">
        <v>33082</v>
      </c>
      <c r="I6108" t="s">
        <v>3464</v>
      </c>
      <c r="J6108">
        <v>64</v>
      </c>
      <c r="K6108">
        <v>18</v>
      </c>
      <c r="L6108">
        <v>98</v>
      </c>
      <c r="M6108">
        <v>631.40002441000001</v>
      </c>
      <c r="N6108" t="s">
        <v>87</v>
      </c>
      <c r="O6108" t="s">
        <v>86</v>
      </c>
      <c r="P6108">
        <v>127</v>
      </c>
      <c r="Q6108">
        <v>2</v>
      </c>
      <c r="R6108">
        <v>1</v>
      </c>
      <c r="S6108">
        <v>902</v>
      </c>
      <c r="T6108">
        <v>-40</v>
      </c>
      <c r="U6108">
        <v>46</v>
      </c>
      <c r="V6108">
        <v>105</v>
      </c>
      <c r="W6108">
        <v>28</v>
      </c>
      <c r="X6108">
        <v>28</v>
      </c>
      <c r="Y6108">
        <v>1</v>
      </c>
      <c r="Z6108">
        <v>1</v>
      </c>
      <c r="AA6108">
        <v>26</v>
      </c>
      <c r="AB6108">
        <v>2</v>
      </c>
      <c r="AC6108">
        <v>2</v>
      </c>
      <c r="AD6108">
        <v>3.3010001199999999</v>
      </c>
      <c r="AE6108">
        <v>6</v>
      </c>
      <c r="AF6108">
        <v>30</v>
      </c>
      <c r="AG6108">
        <v>3.28800011</v>
      </c>
      <c r="AH6108">
        <v>2</v>
      </c>
      <c r="AI6108">
        <v>45</v>
      </c>
      <c r="AJ6108">
        <v>1</v>
      </c>
      <c r="AK6108">
        <v>17</v>
      </c>
      <c r="AL6108">
        <v>48</v>
      </c>
      <c r="AM6108" t="s">
        <v>43</v>
      </c>
      <c r="AN6108" t="str">
        <f>HYPERLINK("https://www.google.com/maps?q=10.83136177,79.84456635","Open Location")</f>
        <v>Open Location</v>
      </c>
    </row>
    <row r="6109" spans="1:40" x14ac:dyDescent="0.3">
      <c r="A6109" s="1">
        <v>46210.292245370372</v>
      </c>
      <c r="B6109" t="s">
        <v>40</v>
      </c>
      <c r="C6109" t="s">
        <v>41</v>
      </c>
      <c r="D6109" s="1">
        <v>46210.294953703706</v>
      </c>
      <c r="E6109" t="s">
        <v>42</v>
      </c>
      <c r="F6109" t="s">
        <v>83</v>
      </c>
      <c r="G6109">
        <v>4</v>
      </c>
      <c r="H6109">
        <v>33082</v>
      </c>
      <c r="I6109" t="s">
        <v>3465</v>
      </c>
      <c r="J6109">
        <v>64</v>
      </c>
      <c r="K6109">
        <v>23</v>
      </c>
      <c r="L6109">
        <v>98</v>
      </c>
      <c r="M6109">
        <v>631.59997558999999</v>
      </c>
      <c r="N6109" t="s">
        <v>87</v>
      </c>
      <c r="O6109" t="s">
        <v>86</v>
      </c>
      <c r="P6109">
        <v>127</v>
      </c>
      <c r="Q6109">
        <v>2</v>
      </c>
      <c r="R6109">
        <v>0</v>
      </c>
      <c r="S6109">
        <v>1037</v>
      </c>
      <c r="T6109">
        <v>-40</v>
      </c>
      <c r="U6109">
        <v>46</v>
      </c>
      <c r="V6109">
        <v>120</v>
      </c>
      <c r="W6109">
        <v>28</v>
      </c>
      <c r="X6109">
        <v>28</v>
      </c>
      <c r="Y6109">
        <v>1</v>
      </c>
      <c r="Z6109">
        <v>1</v>
      </c>
      <c r="AA6109">
        <v>26</v>
      </c>
      <c r="AB6109">
        <v>2</v>
      </c>
      <c r="AC6109">
        <v>2</v>
      </c>
      <c r="AD6109">
        <v>3.3020000500000002</v>
      </c>
      <c r="AE6109">
        <v>6</v>
      </c>
      <c r="AF6109">
        <v>30</v>
      </c>
      <c r="AG6109">
        <v>3.28900003</v>
      </c>
      <c r="AH6109">
        <v>2</v>
      </c>
      <c r="AI6109">
        <v>45</v>
      </c>
      <c r="AJ6109">
        <v>1</v>
      </c>
      <c r="AK6109">
        <v>17</v>
      </c>
      <c r="AL6109">
        <v>48</v>
      </c>
      <c r="AM6109" t="s">
        <v>43</v>
      </c>
      <c r="AN6109" t="str">
        <f>HYPERLINK("https://www.google.com/maps?q=10.8313446,79.84442139","Open Location")</f>
        <v>Open Location</v>
      </c>
    </row>
    <row r="6110" spans="1:40" x14ac:dyDescent="0.3">
      <c r="A6110" s="1">
        <v>46210.292129629626</v>
      </c>
      <c r="B6110" t="s">
        <v>40</v>
      </c>
      <c r="C6110" t="s">
        <v>41</v>
      </c>
      <c r="D6110" s="1">
        <v>46210.294953703706</v>
      </c>
      <c r="E6110" t="s">
        <v>42</v>
      </c>
      <c r="F6110" t="s">
        <v>83</v>
      </c>
      <c r="G6110">
        <v>5</v>
      </c>
      <c r="H6110">
        <v>33082</v>
      </c>
      <c r="I6110" t="s">
        <v>3466</v>
      </c>
      <c r="J6110">
        <v>64</v>
      </c>
      <c r="K6110">
        <v>4</v>
      </c>
      <c r="L6110">
        <v>98</v>
      </c>
      <c r="M6110">
        <v>632.20001220999995</v>
      </c>
      <c r="N6110" t="s">
        <v>87</v>
      </c>
      <c r="O6110" t="s">
        <v>86</v>
      </c>
      <c r="P6110">
        <v>127</v>
      </c>
      <c r="Q6110">
        <v>2</v>
      </c>
      <c r="R6110">
        <v>0</v>
      </c>
      <c r="S6110">
        <v>1043</v>
      </c>
      <c r="T6110">
        <v>-40</v>
      </c>
      <c r="U6110">
        <v>46</v>
      </c>
      <c r="V6110">
        <v>5</v>
      </c>
      <c r="W6110">
        <v>28</v>
      </c>
      <c r="X6110">
        <v>28</v>
      </c>
      <c r="Y6110">
        <v>1</v>
      </c>
      <c r="Z6110">
        <v>1</v>
      </c>
      <c r="AA6110">
        <v>26</v>
      </c>
      <c r="AB6110">
        <v>2</v>
      </c>
      <c r="AC6110">
        <v>2</v>
      </c>
      <c r="AD6110">
        <v>3.3059999900000001</v>
      </c>
      <c r="AE6110">
        <v>6</v>
      </c>
      <c r="AF6110">
        <v>30</v>
      </c>
      <c r="AG6110">
        <v>3.2920000599999999</v>
      </c>
      <c r="AH6110">
        <v>8</v>
      </c>
      <c r="AI6110">
        <v>48</v>
      </c>
      <c r="AJ6110">
        <v>1</v>
      </c>
      <c r="AK6110">
        <v>17</v>
      </c>
      <c r="AL6110">
        <v>48</v>
      </c>
      <c r="AM6110" t="s">
        <v>43</v>
      </c>
      <c r="AN6110" t="str">
        <f>HYPERLINK("https://www.google.com/maps?q=10.83131409,79.84429169","Open Location")</f>
        <v>Open Location</v>
      </c>
    </row>
    <row r="6111" spans="1:40" x14ac:dyDescent="0.3">
      <c r="A6111" s="1">
        <v>46210.292013888888</v>
      </c>
      <c r="B6111" t="s">
        <v>40</v>
      </c>
      <c r="C6111" t="s">
        <v>41</v>
      </c>
      <c r="D6111" s="1">
        <v>46210.294699074075</v>
      </c>
      <c r="E6111" t="s">
        <v>42</v>
      </c>
      <c r="F6111" t="s">
        <v>83</v>
      </c>
      <c r="G6111">
        <v>4</v>
      </c>
      <c r="H6111">
        <v>33082</v>
      </c>
      <c r="I6111" t="s">
        <v>3467</v>
      </c>
      <c r="J6111">
        <v>64</v>
      </c>
      <c r="K6111">
        <v>3</v>
      </c>
      <c r="L6111">
        <v>98</v>
      </c>
      <c r="M6111">
        <v>632.40002441000001</v>
      </c>
      <c r="N6111" t="s">
        <v>87</v>
      </c>
      <c r="O6111" t="s">
        <v>86</v>
      </c>
      <c r="P6111">
        <v>127</v>
      </c>
      <c r="Q6111">
        <v>2</v>
      </c>
      <c r="R6111">
        <v>9</v>
      </c>
      <c r="S6111">
        <v>1018</v>
      </c>
      <c r="T6111">
        <v>-40</v>
      </c>
      <c r="U6111">
        <v>46</v>
      </c>
      <c r="V6111">
        <v>5</v>
      </c>
      <c r="W6111">
        <v>28</v>
      </c>
      <c r="X6111">
        <v>28</v>
      </c>
      <c r="Y6111">
        <v>1</v>
      </c>
      <c r="Z6111">
        <v>1</v>
      </c>
      <c r="AA6111">
        <v>26</v>
      </c>
      <c r="AB6111">
        <v>2</v>
      </c>
      <c r="AC6111">
        <v>2</v>
      </c>
      <c r="AD6111">
        <v>3.3059999900000001</v>
      </c>
      <c r="AE6111">
        <v>6</v>
      </c>
      <c r="AF6111">
        <v>30</v>
      </c>
      <c r="AG6111">
        <v>3.2920000599999999</v>
      </c>
      <c r="AH6111">
        <v>8</v>
      </c>
      <c r="AI6111">
        <v>48</v>
      </c>
      <c r="AJ6111">
        <v>1</v>
      </c>
      <c r="AK6111">
        <v>17</v>
      </c>
      <c r="AL6111">
        <v>48</v>
      </c>
      <c r="AM6111" t="s">
        <v>43</v>
      </c>
      <c r="AN6111" t="str">
        <f>HYPERLINK("https://www.google.com/maps?q=10.83130264,79.84413147","Open Location")</f>
        <v>Open Location</v>
      </c>
    </row>
    <row r="6112" spans="1:40" x14ac:dyDescent="0.3">
      <c r="A6112" s="1">
        <v>46210.291898148149</v>
      </c>
      <c r="B6112" t="s">
        <v>40</v>
      </c>
      <c r="C6112" t="s">
        <v>41</v>
      </c>
      <c r="D6112" s="1">
        <v>46210.294699074075</v>
      </c>
      <c r="E6112" t="s">
        <v>42</v>
      </c>
      <c r="F6112" t="s">
        <v>83</v>
      </c>
      <c r="G6112">
        <v>5</v>
      </c>
      <c r="H6112">
        <v>33082</v>
      </c>
      <c r="I6112" t="s">
        <v>43</v>
      </c>
      <c r="J6112">
        <v>64</v>
      </c>
      <c r="K6112">
        <v>11</v>
      </c>
      <c r="L6112">
        <v>98</v>
      </c>
      <c r="M6112">
        <v>631.79998779000005</v>
      </c>
      <c r="N6112" t="s">
        <v>87</v>
      </c>
      <c r="O6112" t="s">
        <v>86</v>
      </c>
      <c r="P6112">
        <v>127</v>
      </c>
      <c r="Q6112">
        <v>2</v>
      </c>
      <c r="R6112">
        <v>0</v>
      </c>
      <c r="S6112">
        <v>959</v>
      </c>
      <c r="T6112">
        <v>-40</v>
      </c>
      <c r="U6112">
        <v>46</v>
      </c>
      <c r="V6112">
        <v>43</v>
      </c>
      <c r="W6112">
        <v>28</v>
      </c>
      <c r="X6112">
        <v>28</v>
      </c>
      <c r="Y6112">
        <v>1</v>
      </c>
      <c r="Z6112">
        <v>1</v>
      </c>
      <c r="AA6112">
        <v>26</v>
      </c>
      <c r="AB6112">
        <v>2</v>
      </c>
      <c r="AC6112">
        <v>2</v>
      </c>
      <c r="AD6112">
        <v>3.3039999</v>
      </c>
      <c r="AE6112">
        <v>6</v>
      </c>
      <c r="AF6112">
        <v>30</v>
      </c>
      <c r="AG6112">
        <v>3.2899999599999998</v>
      </c>
      <c r="AH6112">
        <v>2</v>
      </c>
      <c r="AI6112">
        <v>45</v>
      </c>
      <c r="AJ6112">
        <v>1</v>
      </c>
      <c r="AK6112">
        <v>17</v>
      </c>
      <c r="AL6112">
        <v>48</v>
      </c>
      <c r="AM6112" t="s">
        <v>43</v>
      </c>
      <c r="AN6112" t="s">
        <v>43</v>
      </c>
    </row>
    <row r="6113" spans="1:40" x14ac:dyDescent="0.3">
      <c r="A6113" s="1">
        <v>46210.29178240741</v>
      </c>
      <c r="B6113" t="s">
        <v>40</v>
      </c>
      <c r="C6113" t="s">
        <v>41</v>
      </c>
      <c r="D6113" s="1">
        <v>46210.294803240744</v>
      </c>
      <c r="E6113" t="s">
        <v>42</v>
      </c>
      <c r="F6113" t="s">
        <v>83</v>
      </c>
      <c r="G6113">
        <v>4</v>
      </c>
      <c r="H6113" t="s">
        <v>43</v>
      </c>
      <c r="I6113" t="s">
        <v>3468</v>
      </c>
      <c r="J6113">
        <v>64</v>
      </c>
      <c r="K6113">
        <v>3</v>
      </c>
      <c r="L6113">
        <v>98</v>
      </c>
      <c r="M6113">
        <v>632.40002441000001</v>
      </c>
      <c r="N6113" t="s">
        <v>87</v>
      </c>
      <c r="O6113" t="s">
        <v>86</v>
      </c>
      <c r="P6113">
        <v>127</v>
      </c>
      <c r="Q6113">
        <v>2</v>
      </c>
      <c r="R6113">
        <v>11</v>
      </c>
      <c r="S6113">
        <v>1114</v>
      </c>
      <c r="T6113">
        <v>-40</v>
      </c>
      <c r="U6113">
        <v>47</v>
      </c>
      <c r="V6113">
        <v>5</v>
      </c>
      <c r="W6113">
        <v>28</v>
      </c>
      <c r="X6113">
        <v>28</v>
      </c>
      <c r="Y6113">
        <v>1</v>
      </c>
      <c r="Z6113">
        <v>1</v>
      </c>
      <c r="AA6113">
        <v>26</v>
      </c>
      <c r="AB6113">
        <v>2</v>
      </c>
      <c r="AC6113">
        <v>2</v>
      </c>
      <c r="AD6113">
        <v>3.3059999900000001</v>
      </c>
      <c r="AE6113">
        <v>6</v>
      </c>
      <c r="AF6113">
        <v>30</v>
      </c>
      <c r="AG6113">
        <v>3.2929999799999998</v>
      </c>
      <c r="AH6113">
        <v>2</v>
      </c>
      <c r="AI6113">
        <v>45</v>
      </c>
      <c r="AJ6113">
        <v>1</v>
      </c>
      <c r="AK6113">
        <v>17</v>
      </c>
      <c r="AL6113">
        <v>48</v>
      </c>
      <c r="AM6113" t="s">
        <v>43</v>
      </c>
      <c r="AN6113" t="str">
        <f>HYPERLINK("https://www.google.com/maps?q=10.83130264,79.84393311","Open Location")</f>
        <v>Open Location</v>
      </c>
    </row>
    <row r="6114" spans="1:40" x14ac:dyDescent="0.3">
      <c r="A6114" s="1">
        <v>46210.291666666664</v>
      </c>
      <c r="B6114" t="s">
        <v>40</v>
      </c>
      <c r="C6114" t="s">
        <v>41</v>
      </c>
      <c r="D6114" s="1">
        <v>46210.294525462959</v>
      </c>
      <c r="E6114" t="s">
        <v>42</v>
      </c>
      <c r="F6114" t="s">
        <v>83</v>
      </c>
      <c r="G6114">
        <v>0</v>
      </c>
      <c r="H6114">
        <v>33082</v>
      </c>
      <c r="I6114" t="s">
        <v>3469</v>
      </c>
      <c r="J6114">
        <v>64</v>
      </c>
      <c r="K6114">
        <v>2</v>
      </c>
      <c r="L6114">
        <v>98</v>
      </c>
      <c r="M6114">
        <v>632.90002441000001</v>
      </c>
      <c r="N6114" t="s">
        <v>85</v>
      </c>
      <c r="O6114" t="s">
        <v>86</v>
      </c>
      <c r="P6114">
        <v>127</v>
      </c>
      <c r="Q6114">
        <v>2</v>
      </c>
      <c r="R6114">
        <v>0</v>
      </c>
      <c r="S6114">
        <v>25</v>
      </c>
      <c r="T6114">
        <v>-40</v>
      </c>
      <c r="U6114">
        <v>46</v>
      </c>
      <c r="V6114">
        <v>63</v>
      </c>
      <c r="W6114">
        <v>28</v>
      </c>
      <c r="X6114">
        <v>28</v>
      </c>
      <c r="Y6114">
        <v>1</v>
      </c>
      <c r="Z6114">
        <v>1</v>
      </c>
      <c r="AA6114">
        <v>26</v>
      </c>
      <c r="AB6114">
        <v>2</v>
      </c>
      <c r="AC6114">
        <v>2</v>
      </c>
      <c r="AD6114">
        <v>3.30699992</v>
      </c>
      <c r="AE6114">
        <v>6</v>
      </c>
      <c r="AF6114">
        <v>30</v>
      </c>
      <c r="AG6114">
        <v>3.2929999799999998</v>
      </c>
      <c r="AH6114">
        <v>8</v>
      </c>
      <c r="AI6114">
        <v>9</v>
      </c>
      <c r="AJ6114">
        <v>1</v>
      </c>
      <c r="AK6114">
        <v>17</v>
      </c>
      <c r="AL6114">
        <v>48</v>
      </c>
      <c r="AM6114" t="s">
        <v>43</v>
      </c>
      <c r="AN6114" t="str">
        <f>HYPERLINK("https://www.google.com/maps?q=10.83129978,79.84385681","Open Location")</f>
        <v>Open Location</v>
      </c>
    </row>
    <row r="6115" spans="1:40" x14ac:dyDescent="0.3">
      <c r="A6115" s="1">
        <v>46210.291550925926</v>
      </c>
      <c r="B6115" t="s">
        <v>40</v>
      </c>
      <c r="C6115" t="s">
        <v>41</v>
      </c>
      <c r="D6115" s="1">
        <v>46210.294432870367</v>
      </c>
      <c r="E6115" t="s">
        <v>42</v>
      </c>
      <c r="F6115" t="s">
        <v>83</v>
      </c>
      <c r="G6115">
        <v>0</v>
      </c>
      <c r="H6115">
        <v>33082</v>
      </c>
      <c r="I6115" t="s">
        <v>3470</v>
      </c>
      <c r="J6115">
        <v>64</v>
      </c>
      <c r="K6115">
        <v>2</v>
      </c>
      <c r="L6115">
        <v>98</v>
      </c>
      <c r="M6115">
        <v>632.5</v>
      </c>
      <c r="N6115" t="s">
        <v>85</v>
      </c>
      <c r="O6115" t="s">
        <v>86</v>
      </c>
      <c r="P6115">
        <v>127</v>
      </c>
      <c r="Q6115">
        <v>2</v>
      </c>
      <c r="R6115">
        <v>0</v>
      </c>
      <c r="S6115">
        <v>0</v>
      </c>
      <c r="T6115">
        <v>-40</v>
      </c>
      <c r="U6115">
        <v>46</v>
      </c>
      <c r="V6115">
        <v>5</v>
      </c>
      <c r="W6115">
        <v>28</v>
      </c>
      <c r="X6115">
        <v>28</v>
      </c>
      <c r="Y6115">
        <v>1</v>
      </c>
      <c r="Z6115">
        <v>1</v>
      </c>
      <c r="AA6115">
        <v>26</v>
      </c>
      <c r="AB6115">
        <v>2</v>
      </c>
      <c r="AC6115">
        <v>2</v>
      </c>
      <c r="AD6115">
        <v>3.3080000900000002</v>
      </c>
      <c r="AE6115">
        <v>6</v>
      </c>
      <c r="AF6115">
        <v>30</v>
      </c>
      <c r="AG6115">
        <v>3.2939999100000001</v>
      </c>
      <c r="AH6115">
        <v>2</v>
      </c>
      <c r="AI6115">
        <v>45</v>
      </c>
      <c r="AJ6115">
        <v>1</v>
      </c>
      <c r="AK6115">
        <v>17</v>
      </c>
      <c r="AL6115">
        <v>48</v>
      </c>
      <c r="AM6115" t="s">
        <v>43</v>
      </c>
      <c r="AN6115" t="str">
        <f>HYPERLINK("https://www.google.com/maps?q=10.83129501,79.84385681","Open Location")</f>
        <v>Open Location</v>
      </c>
    </row>
    <row r="6116" spans="1:40" x14ac:dyDescent="0.3">
      <c r="A6116" s="1">
        <v>46210.291435185187</v>
      </c>
      <c r="B6116" t="s">
        <v>40</v>
      </c>
      <c r="C6116" t="s">
        <v>41</v>
      </c>
      <c r="D6116" s="1">
        <v>46210.294432870367</v>
      </c>
      <c r="E6116" t="s">
        <v>42</v>
      </c>
      <c r="F6116" t="s">
        <v>83</v>
      </c>
      <c r="G6116">
        <v>0</v>
      </c>
      <c r="H6116">
        <v>33082</v>
      </c>
      <c r="I6116" t="s">
        <v>3471</v>
      </c>
      <c r="J6116">
        <v>64</v>
      </c>
      <c r="K6116">
        <v>2</v>
      </c>
      <c r="L6116">
        <v>98</v>
      </c>
      <c r="M6116">
        <v>632.5</v>
      </c>
      <c r="N6116" t="s">
        <v>85</v>
      </c>
      <c r="O6116" t="s">
        <v>86</v>
      </c>
      <c r="P6116">
        <v>127</v>
      </c>
      <c r="Q6116">
        <v>2</v>
      </c>
      <c r="R6116">
        <v>0</v>
      </c>
      <c r="S6116">
        <v>0</v>
      </c>
      <c r="T6116">
        <v>-40</v>
      </c>
      <c r="U6116">
        <v>46</v>
      </c>
      <c r="V6116">
        <v>5</v>
      </c>
      <c r="W6116">
        <v>28</v>
      </c>
      <c r="X6116">
        <v>28</v>
      </c>
      <c r="Y6116">
        <v>1</v>
      </c>
      <c r="Z6116">
        <v>1</v>
      </c>
      <c r="AA6116">
        <v>26</v>
      </c>
      <c r="AB6116">
        <v>2</v>
      </c>
      <c r="AC6116">
        <v>2</v>
      </c>
      <c r="AD6116">
        <v>3.30699992</v>
      </c>
      <c r="AE6116">
        <v>6</v>
      </c>
      <c r="AF6116">
        <v>30</v>
      </c>
      <c r="AG6116">
        <v>3.2939999100000001</v>
      </c>
      <c r="AH6116">
        <v>2</v>
      </c>
      <c r="AI6116">
        <v>45</v>
      </c>
      <c r="AJ6116">
        <v>1</v>
      </c>
      <c r="AK6116">
        <v>17</v>
      </c>
      <c r="AL6116">
        <v>48</v>
      </c>
      <c r="AM6116" t="s">
        <v>43</v>
      </c>
      <c r="AN6116" t="str">
        <f>HYPERLINK("https://www.google.com/maps?q=10.83130264,79.84385681","Open Location")</f>
        <v>Open Location</v>
      </c>
    </row>
    <row r="6117" spans="1:40" x14ac:dyDescent="0.3">
      <c r="A6117" s="1">
        <v>46210.291319444441</v>
      </c>
      <c r="B6117" t="s">
        <v>40</v>
      </c>
      <c r="C6117" t="s">
        <v>41</v>
      </c>
      <c r="D6117" s="1">
        <v>46210.294247685182</v>
      </c>
      <c r="E6117" t="s">
        <v>42</v>
      </c>
      <c r="F6117" t="s">
        <v>83</v>
      </c>
      <c r="G6117">
        <v>0</v>
      </c>
      <c r="H6117" t="s">
        <v>43</v>
      </c>
      <c r="I6117" t="s">
        <v>43</v>
      </c>
      <c r="J6117">
        <v>64</v>
      </c>
      <c r="K6117">
        <v>2</v>
      </c>
      <c r="L6117">
        <v>98</v>
      </c>
      <c r="M6117">
        <v>633.09997558999999</v>
      </c>
      <c r="N6117" t="s">
        <v>85</v>
      </c>
      <c r="O6117" t="s">
        <v>86</v>
      </c>
      <c r="P6117">
        <v>127</v>
      </c>
      <c r="Q6117">
        <v>2</v>
      </c>
      <c r="R6117">
        <v>0</v>
      </c>
      <c r="S6117">
        <v>0</v>
      </c>
      <c r="T6117">
        <v>-40</v>
      </c>
      <c r="U6117">
        <v>46</v>
      </c>
      <c r="V6117">
        <v>5</v>
      </c>
      <c r="W6117">
        <v>28</v>
      </c>
      <c r="X6117">
        <v>28</v>
      </c>
      <c r="Y6117">
        <v>1</v>
      </c>
      <c r="Z6117">
        <v>1</v>
      </c>
      <c r="AA6117">
        <v>26</v>
      </c>
      <c r="AB6117">
        <v>2</v>
      </c>
      <c r="AC6117">
        <v>2</v>
      </c>
      <c r="AD6117">
        <v>3.30699992</v>
      </c>
      <c r="AE6117">
        <v>6</v>
      </c>
      <c r="AF6117">
        <v>30</v>
      </c>
      <c r="AG6117">
        <v>3.2939999100000001</v>
      </c>
      <c r="AH6117">
        <v>2</v>
      </c>
      <c r="AI6117">
        <v>45</v>
      </c>
      <c r="AJ6117">
        <v>1</v>
      </c>
      <c r="AK6117">
        <v>17</v>
      </c>
      <c r="AL6117">
        <v>48</v>
      </c>
      <c r="AM6117" t="s">
        <v>43</v>
      </c>
      <c r="AN6117" t="s">
        <v>43</v>
      </c>
    </row>
    <row r="6118" spans="1:40" x14ac:dyDescent="0.3">
      <c r="A6118" s="1">
        <v>46210.291203703702</v>
      </c>
      <c r="B6118" t="s">
        <v>40</v>
      </c>
      <c r="C6118" t="s">
        <v>41</v>
      </c>
      <c r="D6118" s="1">
        <v>46210.293935185182</v>
      </c>
      <c r="E6118" t="s">
        <v>42</v>
      </c>
      <c r="F6118" t="s">
        <v>83</v>
      </c>
      <c r="G6118">
        <v>0</v>
      </c>
      <c r="H6118">
        <v>33082</v>
      </c>
      <c r="I6118" t="s">
        <v>3472</v>
      </c>
      <c r="J6118">
        <v>64</v>
      </c>
      <c r="K6118">
        <v>2</v>
      </c>
      <c r="L6118">
        <v>98</v>
      </c>
      <c r="M6118">
        <v>633</v>
      </c>
      <c r="N6118" t="s">
        <v>85</v>
      </c>
      <c r="O6118" t="s">
        <v>86</v>
      </c>
      <c r="P6118">
        <v>127</v>
      </c>
      <c r="Q6118">
        <v>2</v>
      </c>
      <c r="R6118">
        <v>0</v>
      </c>
      <c r="S6118">
        <v>0</v>
      </c>
      <c r="T6118">
        <v>-40</v>
      </c>
      <c r="U6118">
        <v>46</v>
      </c>
      <c r="V6118">
        <v>5</v>
      </c>
      <c r="W6118">
        <v>28</v>
      </c>
      <c r="X6118">
        <v>28</v>
      </c>
      <c r="Y6118">
        <v>1</v>
      </c>
      <c r="Z6118">
        <v>1</v>
      </c>
      <c r="AA6118">
        <v>26</v>
      </c>
      <c r="AB6118">
        <v>2</v>
      </c>
      <c r="AC6118">
        <v>2</v>
      </c>
      <c r="AD6118">
        <v>3.30699992</v>
      </c>
      <c r="AE6118">
        <v>6</v>
      </c>
      <c r="AF6118">
        <v>30</v>
      </c>
      <c r="AG6118">
        <v>3.2939999100000001</v>
      </c>
      <c r="AH6118">
        <v>2</v>
      </c>
      <c r="AI6118">
        <v>45</v>
      </c>
      <c r="AJ6118">
        <v>1</v>
      </c>
      <c r="AK6118">
        <v>17</v>
      </c>
      <c r="AL6118">
        <v>48</v>
      </c>
      <c r="AM6118" t="s">
        <v>43</v>
      </c>
      <c r="AN6118" t="str">
        <f>HYPERLINK("https://www.google.com/maps?q=10.83129978,79.84387207","Open Location")</f>
        <v>Open Location</v>
      </c>
    </row>
    <row r="6119" spans="1:40" x14ac:dyDescent="0.3">
      <c r="A6119" s="1">
        <v>46210.291087962964</v>
      </c>
      <c r="B6119" t="s">
        <v>40</v>
      </c>
      <c r="C6119" t="s">
        <v>41</v>
      </c>
      <c r="D6119" s="1">
        <v>46210.293935185182</v>
      </c>
      <c r="E6119" t="s">
        <v>42</v>
      </c>
      <c r="F6119" t="s">
        <v>83</v>
      </c>
      <c r="G6119">
        <v>0</v>
      </c>
      <c r="H6119">
        <v>33082</v>
      </c>
      <c r="I6119" t="s">
        <v>3473</v>
      </c>
      <c r="J6119">
        <v>64</v>
      </c>
      <c r="K6119">
        <v>2</v>
      </c>
      <c r="L6119">
        <v>98</v>
      </c>
      <c r="M6119">
        <v>632.59997558999999</v>
      </c>
      <c r="N6119" t="s">
        <v>85</v>
      </c>
      <c r="O6119" t="s">
        <v>86</v>
      </c>
      <c r="P6119">
        <v>127</v>
      </c>
      <c r="Q6119">
        <v>2</v>
      </c>
      <c r="R6119">
        <v>0</v>
      </c>
      <c r="S6119">
        <v>0</v>
      </c>
      <c r="T6119">
        <v>-40</v>
      </c>
      <c r="U6119">
        <v>46</v>
      </c>
      <c r="V6119">
        <v>5</v>
      </c>
      <c r="W6119">
        <v>28</v>
      </c>
      <c r="X6119">
        <v>28</v>
      </c>
      <c r="Y6119">
        <v>1</v>
      </c>
      <c r="Z6119">
        <v>1</v>
      </c>
      <c r="AA6119">
        <v>26</v>
      </c>
      <c r="AB6119">
        <v>2</v>
      </c>
      <c r="AC6119">
        <v>2</v>
      </c>
      <c r="AD6119">
        <v>3.30699992</v>
      </c>
      <c r="AE6119">
        <v>6</v>
      </c>
      <c r="AF6119">
        <v>30</v>
      </c>
      <c r="AG6119">
        <v>3.2939999100000001</v>
      </c>
      <c r="AH6119">
        <v>2</v>
      </c>
      <c r="AI6119">
        <v>45</v>
      </c>
      <c r="AJ6119">
        <v>1</v>
      </c>
      <c r="AK6119">
        <v>17</v>
      </c>
      <c r="AL6119">
        <v>48</v>
      </c>
      <c r="AM6119" t="s">
        <v>43</v>
      </c>
      <c r="AN6119" t="str">
        <f>HYPERLINK("https://www.google.com/maps?q=10.83128929,79.84388733","Open Location")</f>
        <v>Open Location</v>
      </c>
    </row>
    <row r="6120" spans="1:40" x14ac:dyDescent="0.3">
      <c r="A6120" s="1">
        <v>46210.290972222225</v>
      </c>
      <c r="B6120" t="s">
        <v>40</v>
      </c>
      <c r="C6120" t="s">
        <v>41</v>
      </c>
      <c r="D6120" s="1">
        <v>46210.293923611112</v>
      </c>
      <c r="E6120" t="s">
        <v>42</v>
      </c>
      <c r="F6120" t="s">
        <v>83</v>
      </c>
      <c r="G6120">
        <v>0</v>
      </c>
      <c r="H6120">
        <v>33082</v>
      </c>
      <c r="I6120" t="s">
        <v>3474</v>
      </c>
      <c r="J6120">
        <v>64</v>
      </c>
      <c r="K6120">
        <v>2</v>
      </c>
      <c r="L6120">
        <v>98</v>
      </c>
      <c r="M6120">
        <v>632.90002441000001</v>
      </c>
      <c r="N6120" t="s">
        <v>85</v>
      </c>
      <c r="O6120" t="s">
        <v>86</v>
      </c>
      <c r="P6120">
        <v>127</v>
      </c>
      <c r="Q6120">
        <v>2</v>
      </c>
      <c r="R6120">
        <v>0</v>
      </c>
      <c r="S6120">
        <v>0</v>
      </c>
      <c r="T6120">
        <v>-40</v>
      </c>
      <c r="U6120">
        <v>46</v>
      </c>
      <c r="V6120">
        <v>5</v>
      </c>
      <c r="W6120">
        <v>28</v>
      </c>
      <c r="X6120">
        <v>28</v>
      </c>
      <c r="Y6120">
        <v>1</v>
      </c>
      <c r="Z6120">
        <v>1</v>
      </c>
      <c r="AA6120">
        <v>26</v>
      </c>
      <c r="AB6120">
        <v>2</v>
      </c>
      <c r="AC6120">
        <v>2</v>
      </c>
      <c r="AD6120">
        <v>3.30699992</v>
      </c>
      <c r="AE6120">
        <v>6</v>
      </c>
      <c r="AF6120">
        <v>30</v>
      </c>
      <c r="AG6120">
        <v>3.2929999799999998</v>
      </c>
      <c r="AH6120">
        <v>8</v>
      </c>
      <c r="AI6120">
        <v>48</v>
      </c>
      <c r="AJ6120">
        <v>1</v>
      </c>
      <c r="AK6120">
        <v>17</v>
      </c>
      <c r="AL6120">
        <v>48</v>
      </c>
      <c r="AM6120" t="s">
        <v>43</v>
      </c>
      <c r="AN6120" t="str">
        <f>HYPERLINK("https://www.google.com/maps?q=10.83129025,79.84388733","Open Location")</f>
        <v>Open Location</v>
      </c>
    </row>
    <row r="6121" spans="1:40" x14ac:dyDescent="0.3">
      <c r="A6121" s="1">
        <v>46210.290856481479</v>
      </c>
      <c r="B6121" t="s">
        <v>40</v>
      </c>
      <c r="C6121" t="s">
        <v>41</v>
      </c>
      <c r="D6121" s="1">
        <v>46210.293865740743</v>
      </c>
      <c r="E6121" t="s">
        <v>42</v>
      </c>
      <c r="F6121" t="s">
        <v>83</v>
      </c>
      <c r="G6121">
        <v>0</v>
      </c>
      <c r="H6121">
        <v>33082</v>
      </c>
      <c r="I6121" t="s">
        <v>3475</v>
      </c>
      <c r="J6121">
        <v>64</v>
      </c>
      <c r="K6121">
        <v>2</v>
      </c>
      <c r="L6121">
        <v>98</v>
      </c>
      <c r="M6121">
        <v>633.09997558999999</v>
      </c>
      <c r="N6121" t="s">
        <v>85</v>
      </c>
      <c r="O6121" t="s">
        <v>86</v>
      </c>
      <c r="P6121">
        <v>127</v>
      </c>
      <c r="Q6121">
        <v>2</v>
      </c>
      <c r="R6121">
        <v>0</v>
      </c>
      <c r="S6121">
        <v>0</v>
      </c>
      <c r="T6121">
        <v>-40</v>
      </c>
      <c r="U6121">
        <v>46</v>
      </c>
      <c r="V6121">
        <v>5</v>
      </c>
      <c r="W6121">
        <v>28</v>
      </c>
      <c r="X6121">
        <v>28</v>
      </c>
      <c r="Y6121">
        <v>1</v>
      </c>
      <c r="Z6121">
        <v>1</v>
      </c>
      <c r="AA6121">
        <v>26</v>
      </c>
      <c r="AB6121">
        <v>2</v>
      </c>
      <c r="AC6121">
        <v>2</v>
      </c>
      <c r="AD6121">
        <v>3.30699992</v>
      </c>
      <c r="AE6121">
        <v>6</v>
      </c>
      <c r="AF6121">
        <v>30</v>
      </c>
      <c r="AG6121">
        <v>3.2929999799999998</v>
      </c>
      <c r="AH6121">
        <v>8</v>
      </c>
      <c r="AI6121">
        <v>48</v>
      </c>
      <c r="AJ6121">
        <v>1</v>
      </c>
      <c r="AK6121">
        <v>17</v>
      </c>
      <c r="AL6121">
        <v>48</v>
      </c>
      <c r="AM6121" t="s">
        <v>43</v>
      </c>
      <c r="AN6121" t="str">
        <f>HYPERLINK("https://www.google.com/maps?q=10.83128548,79.8438797","Open Location")</f>
        <v>Open Location</v>
      </c>
    </row>
    <row r="6122" spans="1:40" x14ac:dyDescent="0.3">
      <c r="A6122" s="1">
        <v>46210.29074074074</v>
      </c>
      <c r="B6122" t="s">
        <v>40</v>
      </c>
      <c r="C6122" t="s">
        <v>41</v>
      </c>
      <c r="D6122" s="1">
        <v>46210.293680555558</v>
      </c>
      <c r="E6122" t="s">
        <v>42</v>
      </c>
      <c r="F6122" t="s">
        <v>83</v>
      </c>
      <c r="G6122">
        <v>0</v>
      </c>
      <c r="H6122">
        <v>33082</v>
      </c>
      <c r="I6122" t="s">
        <v>3476</v>
      </c>
      <c r="J6122">
        <v>64</v>
      </c>
      <c r="K6122">
        <v>2</v>
      </c>
      <c r="L6122">
        <v>98</v>
      </c>
      <c r="M6122">
        <v>632.90002441000001</v>
      </c>
      <c r="N6122" t="s">
        <v>85</v>
      </c>
      <c r="O6122" t="s">
        <v>86</v>
      </c>
      <c r="P6122">
        <v>127</v>
      </c>
      <c r="Q6122">
        <v>2</v>
      </c>
      <c r="R6122">
        <v>0</v>
      </c>
      <c r="S6122">
        <v>0</v>
      </c>
      <c r="T6122">
        <v>-40</v>
      </c>
      <c r="U6122">
        <v>46</v>
      </c>
      <c r="V6122">
        <v>5</v>
      </c>
      <c r="W6122">
        <v>28</v>
      </c>
      <c r="X6122">
        <v>28</v>
      </c>
      <c r="Y6122">
        <v>1</v>
      </c>
      <c r="Z6122">
        <v>1</v>
      </c>
      <c r="AA6122">
        <v>26</v>
      </c>
      <c r="AB6122">
        <v>2</v>
      </c>
      <c r="AC6122">
        <v>2</v>
      </c>
      <c r="AD6122">
        <v>3.30699992</v>
      </c>
      <c r="AE6122">
        <v>6</v>
      </c>
      <c r="AF6122">
        <v>30</v>
      </c>
      <c r="AG6122">
        <v>3.2929999799999998</v>
      </c>
      <c r="AH6122">
        <v>8</v>
      </c>
      <c r="AI6122">
        <v>48</v>
      </c>
      <c r="AJ6122">
        <v>1</v>
      </c>
      <c r="AK6122">
        <v>17</v>
      </c>
      <c r="AL6122">
        <v>48</v>
      </c>
      <c r="AM6122" t="s">
        <v>43</v>
      </c>
      <c r="AN6122" t="str">
        <f>HYPERLINK("https://www.google.com/maps?q=10.83127308,79.84388733","Open Location")</f>
        <v>Open Location</v>
      </c>
    </row>
    <row r="6123" spans="1:40" x14ac:dyDescent="0.3">
      <c r="A6123" s="1">
        <v>46210.290625000001</v>
      </c>
      <c r="B6123" t="s">
        <v>40</v>
      </c>
      <c r="C6123" t="s">
        <v>41</v>
      </c>
      <c r="D6123" s="1">
        <v>46210.293495370373</v>
      </c>
      <c r="E6123" t="s">
        <v>42</v>
      </c>
      <c r="F6123" t="s">
        <v>83</v>
      </c>
      <c r="G6123">
        <v>0</v>
      </c>
      <c r="H6123">
        <v>33082</v>
      </c>
      <c r="I6123" t="s">
        <v>43</v>
      </c>
      <c r="J6123">
        <v>64</v>
      </c>
      <c r="K6123">
        <v>2</v>
      </c>
      <c r="L6123">
        <v>98</v>
      </c>
      <c r="M6123">
        <v>632.29998779000005</v>
      </c>
      <c r="N6123" t="s">
        <v>85</v>
      </c>
      <c r="O6123" t="s">
        <v>86</v>
      </c>
      <c r="P6123">
        <v>127</v>
      </c>
      <c r="Q6123">
        <v>2</v>
      </c>
      <c r="R6123">
        <v>0</v>
      </c>
      <c r="S6123">
        <v>0</v>
      </c>
      <c r="T6123">
        <v>-40</v>
      </c>
      <c r="U6123">
        <v>46</v>
      </c>
      <c r="V6123">
        <v>5</v>
      </c>
      <c r="W6123">
        <v>28</v>
      </c>
      <c r="X6123">
        <v>28</v>
      </c>
      <c r="Y6123">
        <v>1</v>
      </c>
      <c r="Z6123">
        <v>1</v>
      </c>
      <c r="AA6123">
        <v>26</v>
      </c>
      <c r="AB6123">
        <v>2</v>
      </c>
      <c r="AC6123">
        <v>2</v>
      </c>
      <c r="AD6123">
        <v>3.30699992</v>
      </c>
      <c r="AE6123">
        <v>6</v>
      </c>
      <c r="AF6123">
        <v>30</v>
      </c>
      <c r="AG6123">
        <v>3.2929999799999998</v>
      </c>
      <c r="AH6123">
        <v>8</v>
      </c>
      <c r="AI6123">
        <v>48</v>
      </c>
      <c r="AJ6123">
        <v>1</v>
      </c>
      <c r="AK6123">
        <v>17</v>
      </c>
      <c r="AL6123">
        <v>48</v>
      </c>
      <c r="AM6123" t="s">
        <v>43</v>
      </c>
      <c r="AN6123" t="s">
        <v>43</v>
      </c>
    </row>
    <row r="6124" spans="1:40" x14ac:dyDescent="0.3">
      <c r="A6124" s="1">
        <v>46210.290509259263</v>
      </c>
      <c r="B6124" t="s">
        <v>40</v>
      </c>
      <c r="C6124" t="s">
        <v>41</v>
      </c>
      <c r="D6124" s="1">
        <v>46210.29347222222</v>
      </c>
      <c r="E6124" t="s">
        <v>42</v>
      </c>
      <c r="F6124" t="s">
        <v>83</v>
      </c>
      <c r="G6124">
        <v>0</v>
      </c>
      <c r="H6124">
        <v>33082</v>
      </c>
      <c r="I6124" t="s">
        <v>3477</v>
      </c>
      <c r="J6124">
        <v>64</v>
      </c>
      <c r="K6124">
        <v>2</v>
      </c>
      <c r="L6124">
        <v>98</v>
      </c>
      <c r="M6124">
        <v>632.5</v>
      </c>
      <c r="N6124" t="s">
        <v>85</v>
      </c>
      <c r="O6124" t="s">
        <v>86</v>
      </c>
      <c r="P6124">
        <v>127</v>
      </c>
      <c r="Q6124">
        <v>2</v>
      </c>
      <c r="R6124">
        <v>0</v>
      </c>
      <c r="S6124">
        <v>0</v>
      </c>
      <c r="T6124">
        <v>-40</v>
      </c>
      <c r="U6124">
        <v>46</v>
      </c>
      <c r="V6124">
        <v>5</v>
      </c>
      <c r="W6124">
        <v>28</v>
      </c>
      <c r="X6124">
        <v>28</v>
      </c>
      <c r="Y6124">
        <v>1</v>
      </c>
      <c r="Z6124">
        <v>1</v>
      </c>
      <c r="AA6124">
        <v>26</v>
      </c>
      <c r="AB6124">
        <v>2</v>
      </c>
      <c r="AC6124">
        <v>2</v>
      </c>
      <c r="AD6124">
        <v>3.30699992</v>
      </c>
      <c r="AE6124">
        <v>6</v>
      </c>
      <c r="AF6124">
        <v>30</v>
      </c>
      <c r="AG6124">
        <v>3.2929999799999998</v>
      </c>
      <c r="AH6124">
        <v>8</v>
      </c>
      <c r="AI6124">
        <v>48</v>
      </c>
      <c r="AJ6124">
        <v>1</v>
      </c>
      <c r="AK6124">
        <v>17</v>
      </c>
      <c r="AL6124">
        <v>48</v>
      </c>
      <c r="AM6124" t="s">
        <v>43</v>
      </c>
      <c r="AN6124" t="str">
        <f>HYPERLINK("https://www.google.com/maps?q=10.83127499,79.84387207","Open Location")</f>
        <v>Open Location</v>
      </c>
    </row>
    <row r="6125" spans="1:40" x14ac:dyDescent="0.3">
      <c r="A6125" s="1">
        <v>46210.290393518517</v>
      </c>
      <c r="B6125" t="s">
        <v>40</v>
      </c>
      <c r="C6125" t="s">
        <v>41</v>
      </c>
      <c r="D6125" s="1">
        <v>46210.29315972222</v>
      </c>
      <c r="E6125" t="s">
        <v>42</v>
      </c>
      <c r="F6125" t="s">
        <v>83</v>
      </c>
      <c r="G6125">
        <v>0</v>
      </c>
      <c r="H6125">
        <v>33082</v>
      </c>
      <c r="I6125" t="s">
        <v>3478</v>
      </c>
      <c r="J6125">
        <v>64</v>
      </c>
      <c r="K6125">
        <v>2</v>
      </c>
      <c r="L6125">
        <v>98</v>
      </c>
      <c r="M6125">
        <v>632.5</v>
      </c>
      <c r="N6125" t="s">
        <v>85</v>
      </c>
      <c r="O6125" t="s">
        <v>86</v>
      </c>
      <c r="P6125">
        <v>127</v>
      </c>
      <c r="Q6125">
        <v>2</v>
      </c>
      <c r="R6125">
        <v>0</v>
      </c>
      <c r="S6125">
        <v>0</v>
      </c>
      <c r="T6125">
        <v>-40</v>
      </c>
      <c r="U6125">
        <v>46</v>
      </c>
      <c r="V6125">
        <v>5</v>
      </c>
      <c r="W6125">
        <v>28</v>
      </c>
      <c r="X6125">
        <v>28</v>
      </c>
      <c r="Y6125">
        <v>1</v>
      </c>
      <c r="Z6125">
        <v>1</v>
      </c>
      <c r="AA6125">
        <v>26</v>
      </c>
      <c r="AB6125">
        <v>2</v>
      </c>
      <c r="AC6125">
        <v>2</v>
      </c>
      <c r="AD6125">
        <v>3.30699992</v>
      </c>
      <c r="AE6125">
        <v>6</v>
      </c>
      <c r="AF6125">
        <v>30</v>
      </c>
      <c r="AG6125">
        <v>3.2929999799999998</v>
      </c>
      <c r="AH6125">
        <v>8</v>
      </c>
      <c r="AI6125">
        <v>48</v>
      </c>
      <c r="AJ6125">
        <v>1</v>
      </c>
      <c r="AK6125">
        <v>17</v>
      </c>
      <c r="AL6125">
        <v>48</v>
      </c>
      <c r="AM6125" t="s">
        <v>43</v>
      </c>
      <c r="AN6125" t="str">
        <f>HYPERLINK("https://www.google.com/maps?q=10.83127213,79.84387207","Open Location")</f>
        <v>Open Location</v>
      </c>
    </row>
    <row r="6126" spans="1:40" x14ac:dyDescent="0.3">
      <c r="A6126" s="1">
        <v>46210.290277777778</v>
      </c>
      <c r="B6126" t="s">
        <v>40</v>
      </c>
      <c r="C6126" t="s">
        <v>41</v>
      </c>
      <c r="D6126" s="1">
        <v>46210.292951388888</v>
      </c>
      <c r="E6126" t="s">
        <v>42</v>
      </c>
      <c r="F6126" t="s">
        <v>83</v>
      </c>
      <c r="G6126">
        <v>0</v>
      </c>
      <c r="H6126">
        <v>33082</v>
      </c>
      <c r="I6126" t="s">
        <v>3479</v>
      </c>
      <c r="J6126">
        <v>64</v>
      </c>
      <c r="K6126">
        <v>2</v>
      </c>
      <c r="L6126">
        <v>98</v>
      </c>
      <c r="M6126">
        <v>633.20001220999995</v>
      </c>
      <c r="N6126" t="s">
        <v>85</v>
      </c>
      <c r="O6126" t="s">
        <v>86</v>
      </c>
      <c r="P6126">
        <v>127</v>
      </c>
      <c r="Q6126">
        <v>2</v>
      </c>
      <c r="R6126">
        <v>0</v>
      </c>
      <c r="S6126">
        <v>0</v>
      </c>
      <c r="T6126">
        <v>-40</v>
      </c>
      <c r="U6126">
        <v>46</v>
      </c>
      <c r="V6126">
        <v>5</v>
      </c>
      <c r="W6126">
        <v>28</v>
      </c>
      <c r="X6126">
        <v>28</v>
      </c>
      <c r="Y6126">
        <v>1</v>
      </c>
      <c r="Z6126">
        <v>1</v>
      </c>
      <c r="AA6126">
        <v>26</v>
      </c>
      <c r="AB6126">
        <v>2</v>
      </c>
      <c r="AC6126">
        <v>2</v>
      </c>
      <c r="AD6126">
        <v>3.30699992</v>
      </c>
      <c r="AE6126">
        <v>6</v>
      </c>
      <c r="AF6126">
        <v>30</v>
      </c>
      <c r="AG6126">
        <v>3.2929999799999998</v>
      </c>
      <c r="AH6126">
        <v>8</v>
      </c>
      <c r="AI6126">
        <v>48</v>
      </c>
      <c r="AJ6126">
        <v>1</v>
      </c>
      <c r="AK6126">
        <v>17</v>
      </c>
      <c r="AL6126">
        <v>48</v>
      </c>
      <c r="AM6126" t="s">
        <v>43</v>
      </c>
      <c r="AN6126" t="str">
        <f>HYPERLINK("https://www.google.com/maps?q=10.8312788,79.84387207","Open Location")</f>
        <v>Open Location</v>
      </c>
    </row>
    <row r="6127" spans="1:40" x14ac:dyDescent="0.3">
      <c r="A6127" s="1">
        <v>46210.290162037039</v>
      </c>
      <c r="B6127" t="s">
        <v>40</v>
      </c>
      <c r="C6127" t="s">
        <v>41</v>
      </c>
      <c r="D6127" s="1">
        <v>46210.292812500003</v>
      </c>
      <c r="E6127" t="s">
        <v>42</v>
      </c>
      <c r="F6127" t="s">
        <v>83</v>
      </c>
      <c r="G6127">
        <v>0</v>
      </c>
      <c r="H6127" t="s">
        <v>43</v>
      </c>
      <c r="I6127" t="s">
        <v>3480</v>
      </c>
      <c r="J6127">
        <v>64</v>
      </c>
      <c r="K6127">
        <v>2</v>
      </c>
      <c r="L6127">
        <v>98</v>
      </c>
      <c r="M6127">
        <v>632.70001220999995</v>
      </c>
      <c r="N6127" t="s">
        <v>85</v>
      </c>
      <c r="O6127" t="s">
        <v>86</v>
      </c>
      <c r="P6127">
        <v>127</v>
      </c>
      <c r="Q6127">
        <v>2</v>
      </c>
      <c r="R6127">
        <v>0</v>
      </c>
      <c r="S6127">
        <v>0</v>
      </c>
      <c r="T6127">
        <v>-40</v>
      </c>
      <c r="U6127">
        <v>46</v>
      </c>
      <c r="V6127">
        <v>5</v>
      </c>
      <c r="W6127">
        <v>28</v>
      </c>
      <c r="X6127">
        <v>28</v>
      </c>
      <c r="Y6127">
        <v>1</v>
      </c>
      <c r="Z6127">
        <v>1</v>
      </c>
      <c r="AA6127">
        <v>26</v>
      </c>
      <c r="AB6127">
        <v>2</v>
      </c>
      <c r="AC6127">
        <v>2</v>
      </c>
      <c r="AD6127">
        <v>3.30699992</v>
      </c>
      <c r="AE6127">
        <v>6</v>
      </c>
      <c r="AF6127">
        <v>30</v>
      </c>
      <c r="AG6127">
        <v>3.2929999799999998</v>
      </c>
      <c r="AH6127">
        <v>8</v>
      </c>
      <c r="AI6127">
        <v>48</v>
      </c>
      <c r="AJ6127">
        <v>1</v>
      </c>
      <c r="AK6127">
        <v>17</v>
      </c>
      <c r="AL6127">
        <v>48</v>
      </c>
      <c r="AM6127" t="s">
        <v>43</v>
      </c>
      <c r="AN6127" t="str">
        <f>HYPERLINK("https://www.google.com/maps?q=10.83128262,79.84387207","Open Location")</f>
        <v>Open Location</v>
      </c>
    </row>
    <row r="6128" spans="1:40" x14ac:dyDescent="0.3">
      <c r="A6128" s="1">
        <v>46210.290046296293</v>
      </c>
      <c r="B6128" t="s">
        <v>40</v>
      </c>
      <c r="C6128" t="s">
        <v>41</v>
      </c>
      <c r="D6128" s="1">
        <v>46210.292951388888</v>
      </c>
      <c r="E6128" t="s">
        <v>42</v>
      </c>
      <c r="F6128" t="s">
        <v>83</v>
      </c>
      <c r="G6128">
        <v>0</v>
      </c>
      <c r="H6128">
        <v>33082</v>
      </c>
      <c r="I6128" t="s">
        <v>3481</v>
      </c>
      <c r="J6128">
        <v>64</v>
      </c>
      <c r="K6128">
        <v>2</v>
      </c>
      <c r="L6128">
        <v>98</v>
      </c>
      <c r="M6128">
        <v>632.90002441000001</v>
      </c>
      <c r="N6128" t="s">
        <v>85</v>
      </c>
      <c r="O6128" t="s">
        <v>86</v>
      </c>
      <c r="P6128">
        <v>127</v>
      </c>
      <c r="Q6128">
        <v>2</v>
      </c>
      <c r="R6128">
        <v>0</v>
      </c>
      <c r="S6128">
        <v>0</v>
      </c>
      <c r="T6128">
        <v>-40</v>
      </c>
      <c r="U6128">
        <v>46</v>
      </c>
      <c r="V6128">
        <v>5</v>
      </c>
      <c r="W6128">
        <v>28</v>
      </c>
      <c r="X6128">
        <v>28</v>
      </c>
      <c r="Y6128">
        <v>1</v>
      </c>
      <c r="Z6128">
        <v>1</v>
      </c>
      <c r="AA6128">
        <v>26</v>
      </c>
      <c r="AB6128">
        <v>2</v>
      </c>
      <c r="AC6128">
        <v>2</v>
      </c>
      <c r="AD6128">
        <v>3.30699992</v>
      </c>
      <c r="AE6128">
        <v>6</v>
      </c>
      <c r="AF6128">
        <v>30</v>
      </c>
      <c r="AG6128">
        <v>3.2929999799999998</v>
      </c>
      <c r="AH6128">
        <v>8</v>
      </c>
      <c r="AI6128">
        <v>9</v>
      </c>
      <c r="AJ6128">
        <v>1</v>
      </c>
      <c r="AK6128">
        <v>17</v>
      </c>
      <c r="AL6128">
        <v>48</v>
      </c>
      <c r="AM6128" t="s">
        <v>43</v>
      </c>
      <c r="AN6128" t="str">
        <f>HYPERLINK("https://www.google.com/maps?q=10.83128643,79.84387207","Open Location")</f>
        <v>Open Location</v>
      </c>
    </row>
    <row r="6129" spans="1:40" x14ac:dyDescent="0.3">
      <c r="A6129" s="1">
        <v>46210.289930555555</v>
      </c>
      <c r="B6129" t="s">
        <v>40</v>
      </c>
      <c r="C6129" t="s">
        <v>41</v>
      </c>
      <c r="D6129" s="1">
        <v>46210.292986111112</v>
      </c>
      <c r="E6129" t="s">
        <v>42</v>
      </c>
      <c r="F6129" t="s">
        <v>83</v>
      </c>
      <c r="G6129">
        <v>0</v>
      </c>
      <c r="H6129">
        <v>33082</v>
      </c>
      <c r="I6129" t="s">
        <v>43</v>
      </c>
      <c r="J6129">
        <v>64</v>
      </c>
      <c r="K6129">
        <v>2</v>
      </c>
      <c r="L6129">
        <v>98</v>
      </c>
      <c r="M6129">
        <v>632.79998779000005</v>
      </c>
      <c r="N6129" t="s">
        <v>85</v>
      </c>
      <c r="O6129" t="s">
        <v>86</v>
      </c>
      <c r="P6129">
        <v>127</v>
      </c>
      <c r="Q6129">
        <v>2</v>
      </c>
      <c r="R6129">
        <v>0</v>
      </c>
      <c r="S6129">
        <v>0</v>
      </c>
      <c r="T6129">
        <v>-40</v>
      </c>
      <c r="U6129">
        <v>46</v>
      </c>
      <c r="V6129">
        <v>5</v>
      </c>
      <c r="W6129">
        <v>28</v>
      </c>
      <c r="X6129">
        <v>28</v>
      </c>
      <c r="Y6129">
        <v>1</v>
      </c>
      <c r="Z6129">
        <v>1</v>
      </c>
      <c r="AA6129">
        <v>26</v>
      </c>
      <c r="AB6129">
        <v>2</v>
      </c>
      <c r="AC6129">
        <v>2</v>
      </c>
      <c r="AD6129">
        <v>3.3059999900000001</v>
      </c>
      <c r="AE6129">
        <v>6</v>
      </c>
      <c r="AF6129">
        <v>30</v>
      </c>
      <c r="AG6129">
        <v>3.2929999799999998</v>
      </c>
      <c r="AH6129">
        <v>2</v>
      </c>
      <c r="AI6129">
        <v>45</v>
      </c>
      <c r="AJ6129">
        <v>1</v>
      </c>
      <c r="AK6129">
        <v>17</v>
      </c>
      <c r="AL6129">
        <v>48</v>
      </c>
      <c r="AM6129" t="s">
        <v>43</v>
      </c>
      <c r="AN6129" t="s">
        <v>43</v>
      </c>
    </row>
    <row r="6130" spans="1:40" x14ac:dyDescent="0.3">
      <c r="A6130" s="1">
        <v>46210.289814814816</v>
      </c>
      <c r="B6130" t="s">
        <v>40</v>
      </c>
      <c r="C6130" t="s">
        <v>41</v>
      </c>
      <c r="D6130" s="1">
        <v>46210.292812500003</v>
      </c>
      <c r="E6130" t="s">
        <v>42</v>
      </c>
      <c r="F6130" t="s">
        <v>83</v>
      </c>
      <c r="G6130">
        <v>0</v>
      </c>
      <c r="H6130">
        <v>33082</v>
      </c>
      <c r="I6130" t="s">
        <v>3482</v>
      </c>
      <c r="J6130">
        <v>64</v>
      </c>
      <c r="K6130">
        <v>9</v>
      </c>
      <c r="L6130">
        <v>98</v>
      </c>
      <c r="M6130">
        <v>632</v>
      </c>
      <c r="N6130" t="s">
        <v>85</v>
      </c>
      <c r="O6130" t="s">
        <v>86</v>
      </c>
      <c r="P6130">
        <v>127</v>
      </c>
      <c r="Q6130">
        <v>2</v>
      </c>
      <c r="R6130">
        <v>0</v>
      </c>
      <c r="S6130">
        <v>0</v>
      </c>
      <c r="T6130">
        <v>-40</v>
      </c>
      <c r="U6130">
        <v>46</v>
      </c>
      <c r="V6130">
        <v>5</v>
      </c>
      <c r="W6130">
        <v>28</v>
      </c>
      <c r="X6130">
        <v>28</v>
      </c>
      <c r="Y6130">
        <v>1</v>
      </c>
      <c r="Z6130">
        <v>1</v>
      </c>
      <c r="AA6130">
        <v>26</v>
      </c>
      <c r="AB6130">
        <v>2</v>
      </c>
      <c r="AC6130">
        <v>2</v>
      </c>
      <c r="AD6130">
        <v>3.3050000700000002</v>
      </c>
      <c r="AE6130">
        <v>6</v>
      </c>
      <c r="AF6130">
        <v>30</v>
      </c>
      <c r="AG6130">
        <v>3.2909998900000001</v>
      </c>
      <c r="AH6130">
        <v>4</v>
      </c>
      <c r="AI6130">
        <v>17</v>
      </c>
      <c r="AJ6130">
        <v>1</v>
      </c>
      <c r="AK6130">
        <v>17</v>
      </c>
      <c r="AL6130">
        <v>47</v>
      </c>
      <c r="AM6130" t="s">
        <v>43</v>
      </c>
      <c r="AN6130" t="str">
        <f>HYPERLINK("https://www.google.com/maps?q=10.83128834,79.84387207","Open Location")</f>
        <v>Open Location</v>
      </c>
    </row>
    <row r="6131" spans="1:40" x14ac:dyDescent="0.3">
      <c r="A6131" s="1">
        <v>46210.289699074077</v>
      </c>
      <c r="B6131" t="s">
        <v>40</v>
      </c>
      <c r="C6131" t="s">
        <v>41</v>
      </c>
      <c r="D6131" s="1">
        <v>46210.292430555557</v>
      </c>
      <c r="E6131" t="s">
        <v>42</v>
      </c>
      <c r="F6131" t="s">
        <v>83</v>
      </c>
      <c r="G6131">
        <v>0</v>
      </c>
      <c r="H6131" t="s">
        <v>43</v>
      </c>
      <c r="I6131" t="s">
        <v>3483</v>
      </c>
      <c r="J6131">
        <v>64</v>
      </c>
      <c r="K6131">
        <v>9</v>
      </c>
      <c r="L6131">
        <v>98</v>
      </c>
      <c r="M6131">
        <v>632.70001220999995</v>
      </c>
      <c r="N6131" t="s">
        <v>85</v>
      </c>
      <c r="O6131" t="s">
        <v>86</v>
      </c>
      <c r="P6131">
        <v>127</v>
      </c>
      <c r="Q6131">
        <v>2</v>
      </c>
      <c r="R6131">
        <v>0</v>
      </c>
      <c r="S6131">
        <v>0</v>
      </c>
      <c r="T6131">
        <v>-40</v>
      </c>
      <c r="U6131">
        <v>46</v>
      </c>
      <c r="V6131">
        <v>5</v>
      </c>
      <c r="W6131">
        <v>28</v>
      </c>
      <c r="X6131">
        <v>28</v>
      </c>
      <c r="Y6131">
        <v>1</v>
      </c>
      <c r="Z6131">
        <v>1</v>
      </c>
      <c r="AA6131">
        <v>26</v>
      </c>
      <c r="AB6131">
        <v>2</v>
      </c>
      <c r="AC6131">
        <v>2</v>
      </c>
      <c r="AD6131">
        <v>3.3059999900000001</v>
      </c>
      <c r="AE6131">
        <v>6</v>
      </c>
      <c r="AF6131">
        <v>30</v>
      </c>
      <c r="AG6131">
        <v>3.2920000599999999</v>
      </c>
      <c r="AH6131">
        <v>8</v>
      </c>
      <c r="AI6131">
        <v>9</v>
      </c>
      <c r="AJ6131">
        <v>1</v>
      </c>
      <c r="AK6131">
        <v>17</v>
      </c>
      <c r="AL6131">
        <v>47</v>
      </c>
      <c r="AM6131" t="s">
        <v>43</v>
      </c>
      <c r="AN6131" t="str">
        <f>HYPERLINK("https://www.google.com/maps?q=10.83128834,79.8438797","Open Location")</f>
        <v>Open Location</v>
      </c>
    </row>
    <row r="6132" spans="1:40" x14ac:dyDescent="0.3">
      <c r="A6132" s="1">
        <v>46210.289583333331</v>
      </c>
      <c r="B6132" t="s">
        <v>40</v>
      </c>
      <c r="C6132" t="s">
        <v>41</v>
      </c>
      <c r="D6132" s="1">
        <v>46210.292430555557</v>
      </c>
      <c r="E6132" t="s">
        <v>42</v>
      </c>
      <c r="F6132" t="s">
        <v>83</v>
      </c>
      <c r="G6132">
        <v>0</v>
      </c>
      <c r="H6132">
        <v>33082</v>
      </c>
      <c r="I6132" t="s">
        <v>3484</v>
      </c>
      <c r="J6132">
        <v>64</v>
      </c>
      <c r="K6132">
        <v>2</v>
      </c>
      <c r="L6132">
        <v>98</v>
      </c>
      <c r="M6132">
        <v>632.59997558999999</v>
      </c>
      <c r="N6132" t="s">
        <v>85</v>
      </c>
      <c r="O6132" t="s">
        <v>86</v>
      </c>
      <c r="P6132">
        <v>127</v>
      </c>
      <c r="Q6132">
        <v>2</v>
      </c>
      <c r="R6132">
        <v>0</v>
      </c>
      <c r="S6132">
        <v>0</v>
      </c>
      <c r="T6132">
        <v>-40</v>
      </c>
      <c r="U6132">
        <v>46</v>
      </c>
      <c r="V6132">
        <v>5</v>
      </c>
      <c r="W6132">
        <v>28</v>
      </c>
      <c r="X6132">
        <v>28</v>
      </c>
      <c r="Y6132">
        <v>1</v>
      </c>
      <c r="Z6132">
        <v>1</v>
      </c>
      <c r="AA6132">
        <v>26</v>
      </c>
      <c r="AB6132">
        <v>2</v>
      </c>
      <c r="AC6132">
        <v>2</v>
      </c>
      <c r="AD6132">
        <v>3.30699992</v>
      </c>
      <c r="AE6132">
        <v>6</v>
      </c>
      <c r="AF6132">
        <v>30</v>
      </c>
      <c r="AG6132">
        <v>3.2929999799999998</v>
      </c>
      <c r="AH6132">
        <v>8</v>
      </c>
      <c r="AI6132">
        <v>48</v>
      </c>
      <c r="AJ6132">
        <v>1</v>
      </c>
      <c r="AK6132">
        <v>17</v>
      </c>
      <c r="AL6132">
        <v>47</v>
      </c>
      <c r="AM6132" t="s">
        <v>43</v>
      </c>
      <c r="AN6132" t="str">
        <f>HYPERLINK("https://www.google.com/maps?q=10.83128643,79.84386444","Open Location")</f>
        <v>Open Location</v>
      </c>
    </row>
    <row r="6133" spans="1:40" x14ac:dyDescent="0.3">
      <c r="A6133" s="1">
        <v>46210.289467592593</v>
      </c>
      <c r="B6133" t="s">
        <v>40</v>
      </c>
      <c r="C6133" t="s">
        <v>41</v>
      </c>
      <c r="D6133" s="1">
        <v>46210.292407407411</v>
      </c>
      <c r="E6133" t="s">
        <v>42</v>
      </c>
      <c r="F6133" t="s">
        <v>83</v>
      </c>
      <c r="G6133">
        <v>0</v>
      </c>
      <c r="H6133">
        <v>33082</v>
      </c>
      <c r="I6133" t="s">
        <v>3485</v>
      </c>
      <c r="J6133">
        <v>64</v>
      </c>
      <c r="K6133">
        <v>2</v>
      </c>
      <c r="L6133">
        <v>98</v>
      </c>
      <c r="M6133">
        <v>632.40002441000001</v>
      </c>
      <c r="N6133" t="s">
        <v>85</v>
      </c>
      <c r="O6133" t="s">
        <v>86</v>
      </c>
      <c r="P6133">
        <v>127</v>
      </c>
      <c r="Q6133">
        <v>2</v>
      </c>
      <c r="R6133">
        <v>0</v>
      </c>
      <c r="S6133">
        <v>0</v>
      </c>
      <c r="T6133">
        <v>-40</v>
      </c>
      <c r="U6133">
        <v>46</v>
      </c>
      <c r="V6133">
        <v>5</v>
      </c>
      <c r="W6133">
        <v>28</v>
      </c>
      <c r="X6133">
        <v>28</v>
      </c>
      <c r="Y6133">
        <v>1</v>
      </c>
      <c r="Z6133">
        <v>1</v>
      </c>
      <c r="AA6133">
        <v>26</v>
      </c>
      <c r="AB6133">
        <v>2</v>
      </c>
      <c r="AC6133">
        <v>2</v>
      </c>
      <c r="AD6133">
        <v>3.30699992</v>
      </c>
      <c r="AE6133">
        <v>6</v>
      </c>
      <c r="AF6133">
        <v>30</v>
      </c>
      <c r="AG6133">
        <v>3.2929999799999998</v>
      </c>
      <c r="AH6133">
        <v>8</v>
      </c>
      <c r="AI6133">
        <v>48</v>
      </c>
      <c r="AJ6133">
        <v>1</v>
      </c>
      <c r="AK6133">
        <v>17</v>
      </c>
      <c r="AL6133">
        <v>47</v>
      </c>
      <c r="AM6133" t="s">
        <v>43</v>
      </c>
      <c r="AN6133" t="str">
        <f>HYPERLINK("https://www.google.com/maps?q=10.83128262,79.84386444","Open Location")</f>
        <v>Open Location</v>
      </c>
    </row>
    <row r="6134" spans="1:40" x14ac:dyDescent="0.3">
      <c r="A6134" s="1">
        <v>46210.289351851854</v>
      </c>
      <c r="B6134" t="s">
        <v>40</v>
      </c>
      <c r="C6134" t="s">
        <v>41</v>
      </c>
      <c r="D6134" s="1">
        <v>46210.292592592596</v>
      </c>
      <c r="E6134" t="s">
        <v>42</v>
      </c>
      <c r="F6134" t="s">
        <v>83</v>
      </c>
      <c r="G6134">
        <v>0</v>
      </c>
      <c r="H6134">
        <v>33082</v>
      </c>
      <c r="I6134" t="s">
        <v>43</v>
      </c>
      <c r="J6134">
        <v>64</v>
      </c>
      <c r="K6134">
        <v>2</v>
      </c>
      <c r="L6134">
        <v>98</v>
      </c>
      <c r="M6134">
        <v>632.20001220999995</v>
      </c>
      <c r="N6134" t="s">
        <v>85</v>
      </c>
      <c r="O6134" t="s">
        <v>86</v>
      </c>
      <c r="P6134">
        <v>127</v>
      </c>
      <c r="Q6134">
        <v>2</v>
      </c>
      <c r="R6134">
        <v>0</v>
      </c>
      <c r="S6134">
        <v>0</v>
      </c>
      <c r="T6134">
        <v>-40</v>
      </c>
      <c r="U6134">
        <v>46</v>
      </c>
      <c r="V6134">
        <v>5</v>
      </c>
      <c r="W6134">
        <v>28</v>
      </c>
      <c r="X6134">
        <v>28</v>
      </c>
      <c r="Y6134">
        <v>1</v>
      </c>
      <c r="Z6134">
        <v>1</v>
      </c>
      <c r="AA6134">
        <v>26</v>
      </c>
      <c r="AB6134">
        <v>2</v>
      </c>
      <c r="AC6134">
        <v>2</v>
      </c>
      <c r="AD6134">
        <v>3.30699992</v>
      </c>
      <c r="AE6134">
        <v>6</v>
      </c>
      <c r="AF6134">
        <v>30</v>
      </c>
      <c r="AG6134">
        <v>3.2929999799999998</v>
      </c>
      <c r="AH6134">
        <v>8</v>
      </c>
      <c r="AI6134">
        <v>48</v>
      </c>
      <c r="AJ6134">
        <v>1</v>
      </c>
      <c r="AK6134">
        <v>17</v>
      </c>
      <c r="AL6134">
        <v>47</v>
      </c>
      <c r="AM6134" t="s">
        <v>43</v>
      </c>
      <c r="AN6134" t="s">
        <v>43</v>
      </c>
    </row>
    <row r="6135" spans="1:40" x14ac:dyDescent="0.3">
      <c r="A6135" s="1">
        <v>46210.289236111108</v>
      </c>
      <c r="B6135" t="s">
        <v>40</v>
      </c>
      <c r="C6135" t="s">
        <v>41</v>
      </c>
      <c r="D6135" s="1">
        <v>46210.292013888888</v>
      </c>
      <c r="E6135" t="s">
        <v>42</v>
      </c>
      <c r="F6135" t="s">
        <v>83</v>
      </c>
      <c r="G6135">
        <v>0</v>
      </c>
      <c r="H6135">
        <v>33082</v>
      </c>
      <c r="I6135" t="s">
        <v>3486</v>
      </c>
      <c r="J6135">
        <v>64</v>
      </c>
      <c r="K6135">
        <v>2</v>
      </c>
      <c r="L6135">
        <v>98</v>
      </c>
      <c r="M6135">
        <v>632.79998779000005</v>
      </c>
      <c r="N6135" t="s">
        <v>85</v>
      </c>
      <c r="O6135" t="s">
        <v>86</v>
      </c>
      <c r="P6135">
        <v>127</v>
      </c>
      <c r="Q6135">
        <v>2</v>
      </c>
      <c r="R6135">
        <v>0</v>
      </c>
      <c r="S6135">
        <v>0</v>
      </c>
      <c r="T6135">
        <v>-40</v>
      </c>
      <c r="U6135">
        <v>46</v>
      </c>
      <c r="V6135">
        <v>5</v>
      </c>
      <c r="W6135">
        <v>28</v>
      </c>
      <c r="X6135">
        <v>28</v>
      </c>
      <c r="Y6135">
        <v>1</v>
      </c>
      <c r="Z6135">
        <v>1</v>
      </c>
      <c r="AA6135">
        <v>26</v>
      </c>
      <c r="AB6135">
        <v>2</v>
      </c>
      <c r="AC6135">
        <v>2</v>
      </c>
      <c r="AD6135">
        <v>3.30699992</v>
      </c>
      <c r="AE6135">
        <v>6</v>
      </c>
      <c r="AF6135">
        <v>30</v>
      </c>
      <c r="AG6135">
        <v>3.2929999799999998</v>
      </c>
      <c r="AH6135">
        <v>8</v>
      </c>
      <c r="AI6135">
        <v>48</v>
      </c>
      <c r="AJ6135">
        <v>1</v>
      </c>
      <c r="AK6135">
        <v>17</v>
      </c>
      <c r="AL6135">
        <v>47</v>
      </c>
      <c r="AM6135" t="s">
        <v>43</v>
      </c>
      <c r="AN6135" t="str">
        <f>HYPERLINK("https://www.google.com/maps?q=10.83127975,79.84385681","Open Location")</f>
        <v>Open Location</v>
      </c>
    </row>
    <row r="6136" spans="1:40" x14ac:dyDescent="0.3">
      <c r="A6136" s="1">
        <v>46210.289120370369</v>
      </c>
      <c r="B6136" t="s">
        <v>40</v>
      </c>
      <c r="C6136" t="s">
        <v>41</v>
      </c>
      <c r="D6136" s="1">
        <v>46210.292013888888</v>
      </c>
      <c r="E6136" t="s">
        <v>42</v>
      </c>
      <c r="F6136" t="s">
        <v>83</v>
      </c>
      <c r="G6136">
        <v>0</v>
      </c>
      <c r="H6136">
        <v>33082</v>
      </c>
      <c r="I6136" t="s">
        <v>3487</v>
      </c>
      <c r="J6136">
        <v>64</v>
      </c>
      <c r="K6136">
        <v>2</v>
      </c>
      <c r="L6136">
        <v>98</v>
      </c>
      <c r="M6136">
        <v>632.70001220999995</v>
      </c>
      <c r="N6136" t="s">
        <v>85</v>
      </c>
      <c r="O6136" t="s">
        <v>86</v>
      </c>
      <c r="P6136">
        <v>127</v>
      </c>
      <c r="Q6136">
        <v>2</v>
      </c>
      <c r="R6136">
        <v>0</v>
      </c>
      <c r="S6136">
        <v>0</v>
      </c>
      <c r="T6136">
        <v>-40</v>
      </c>
      <c r="U6136">
        <v>46</v>
      </c>
      <c r="V6136">
        <v>5</v>
      </c>
      <c r="W6136">
        <v>28</v>
      </c>
      <c r="X6136">
        <v>28</v>
      </c>
      <c r="Y6136">
        <v>1</v>
      </c>
      <c r="Z6136">
        <v>1</v>
      </c>
      <c r="AA6136">
        <v>26</v>
      </c>
      <c r="AB6136">
        <v>2</v>
      </c>
      <c r="AC6136">
        <v>2</v>
      </c>
      <c r="AD6136">
        <v>3.30699992</v>
      </c>
      <c r="AE6136">
        <v>6</v>
      </c>
      <c r="AF6136">
        <v>30</v>
      </c>
      <c r="AG6136">
        <v>3.2929999799999998</v>
      </c>
      <c r="AH6136">
        <v>8</v>
      </c>
      <c r="AI6136">
        <v>48</v>
      </c>
      <c r="AJ6136">
        <v>1</v>
      </c>
      <c r="AK6136">
        <v>17</v>
      </c>
      <c r="AL6136">
        <v>47</v>
      </c>
      <c r="AM6136" t="s">
        <v>43</v>
      </c>
      <c r="AN6136" t="str">
        <f>HYPERLINK("https://www.google.com/maps?q=10.83128166,79.84385681","Open Location")</f>
        <v>Open Location</v>
      </c>
    </row>
    <row r="6137" spans="1:40" x14ac:dyDescent="0.3">
      <c r="A6137" s="1">
        <v>46210.289004629631</v>
      </c>
      <c r="B6137" t="s">
        <v>40</v>
      </c>
      <c r="C6137" t="s">
        <v>41</v>
      </c>
      <c r="D6137" s="1">
        <v>46210.292013888888</v>
      </c>
      <c r="E6137" t="s">
        <v>42</v>
      </c>
      <c r="F6137" t="s">
        <v>83</v>
      </c>
      <c r="G6137">
        <v>0</v>
      </c>
      <c r="H6137">
        <v>33082</v>
      </c>
      <c r="I6137" t="s">
        <v>3488</v>
      </c>
      <c r="J6137">
        <v>64</v>
      </c>
      <c r="K6137">
        <v>2</v>
      </c>
      <c r="L6137">
        <v>98</v>
      </c>
      <c r="M6137">
        <v>632.59997558999999</v>
      </c>
      <c r="N6137" t="s">
        <v>85</v>
      </c>
      <c r="O6137" t="s">
        <v>86</v>
      </c>
      <c r="P6137">
        <v>127</v>
      </c>
      <c r="Q6137">
        <v>2</v>
      </c>
      <c r="R6137">
        <v>0</v>
      </c>
      <c r="S6137">
        <v>0</v>
      </c>
      <c r="T6137">
        <v>-40</v>
      </c>
      <c r="U6137">
        <v>46</v>
      </c>
      <c r="V6137">
        <v>5</v>
      </c>
      <c r="W6137">
        <v>28</v>
      </c>
      <c r="X6137">
        <v>28</v>
      </c>
      <c r="Y6137">
        <v>1</v>
      </c>
      <c r="Z6137">
        <v>1</v>
      </c>
      <c r="AA6137">
        <v>26</v>
      </c>
      <c r="AB6137">
        <v>2</v>
      </c>
      <c r="AC6137">
        <v>2</v>
      </c>
      <c r="AD6137">
        <v>3.30699992</v>
      </c>
      <c r="AE6137">
        <v>6</v>
      </c>
      <c r="AF6137">
        <v>30</v>
      </c>
      <c r="AG6137">
        <v>3.2929999799999998</v>
      </c>
      <c r="AH6137">
        <v>8</v>
      </c>
      <c r="AI6137">
        <v>9</v>
      </c>
      <c r="AJ6137">
        <v>1</v>
      </c>
      <c r="AK6137">
        <v>17</v>
      </c>
      <c r="AL6137">
        <v>47</v>
      </c>
      <c r="AM6137" t="s">
        <v>43</v>
      </c>
      <c r="AN6137" t="str">
        <f>HYPERLINK("https://www.google.com/maps?q=10.83129215,79.84385681","Open Location")</f>
        <v>Open Location</v>
      </c>
    </row>
    <row r="6138" spans="1:40" x14ac:dyDescent="0.3">
      <c r="A6138" s="1">
        <v>46210.288888888892</v>
      </c>
      <c r="B6138" t="s">
        <v>40</v>
      </c>
      <c r="C6138" t="s">
        <v>41</v>
      </c>
      <c r="D6138" s="1">
        <v>46210.291655092595</v>
      </c>
      <c r="E6138" t="s">
        <v>42</v>
      </c>
      <c r="F6138" t="s">
        <v>83</v>
      </c>
      <c r="G6138">
        <v>0</v>
      </c>
      <c r="H6138" t="s">
        <v>43</v>
      </c>
      <c r="I6138" t="s">
        <v>3489</v>
      </c>
      <c r="J6138">
        <v>64</v>
      </c>
      <c r="K6138">
        <v>2</v>
      </c>
      <c r="L6138">
        <v>98</v>
      </c>
      <c r="M6138">
        <v>632.20001220999995</v>
      </c>
      <c r="N6138" t="s">
        <v>85</v>
      </c>
      <c r="O6138" t="s">
        <v>86</v>
      </c>
      <c r="P6138">
        <v>127</v>
      </c>
      <c r="Q6138">
        <v>2</v>
      </c>
      <c r="R6138">
        <v>0</v>
      </c>
      <c r="S6138">
        <v>0</v>
      </c>
      <c r="T6138">
        <v>-40</v>
      </c>
      <c r="U6138">
        <v>46</v>
      </c>
      <c r="V6138">
        <v>5</v>
      </c>
      <c r="W6138">
        <v>28</v>
      </c>
      <c r="X6138">
        <v>28</v>
      </c>
      <c r="Y6138">
        <v>1</v>
      </c>
      <c r="Z6138">
        <v>1</v>
      </c>
      <c r="AA6138">
        <v>26</v>
      </c>
      <c r="AB6138">
        <v>2</v>
      </c>
      <c r="AC6138">
        <v>2</v>
      </c>
      <c r="AD6138">
        <v>3.30699992</v>
      </c>
      <c r="AE6138">
        <v>6</v>
      </c>
      <c r="AF6138">
        <v>30</v>
      </c>
      <c r="AG6138">
        <v>3.2929999799999998</v>
      </c>
      <c r="AH6138">
        <v>8</v>
      </c>
      <c r="AI6138">
        <v>9</v>
      </c>
      <c r="AJ6138">
        <v>1</v>
      </c>
      <c r="AK6138">
        <v>17</v>
      </c>
      <c r="AL6138">
        <v>47</v>
      </c>
      <c r="AM6138" t="s">
        <v>43</v>
      </c>
      <c r="AN6138" t="str">
        <f>HYPERLINK("https://www.google.com/maps?q=10.83129692,79.84385681","Open Location")</f>
        <v>Open Location</v>
      </c>
    </row>
    <row r="6139" spans="1:40" x14ac:dyDescent="0.3">
      <c r="A6139" s="1">
        <v>46210.288773148146</v>
      </c>
      <c r="B6139" t="s">
        <v>40</v>
      </c>
      <c r="C6139" t="s">
        <v>41</v>
      </c>
      <c r="D6139" s="1">
        <v>46210.291655092595</v>
      </c>
      <c r="E6139" t="s">
        <v>42</v>
      </c>
      <c r="F6139" t="s">
        <v>83</v>
      </c>
      <c r="G6139">
        <v>0</v>
      </c>
      <c r="H6139">
        <v>33082</v>
      </c>
      <c r="I6139" t="s">
        <v>3490</v>
      </c>
      <c r="J6139">
        <v>64</v>
      </c>
      <c r="K6139">
        <v>2</v>
      </c>
      <c r="L6139">
        <v>98</v>
      </c>
      <c r="M6139">
        <v>632.79998779000005</v>
      </c>
      <c r="N6139" t="s">
        <v>85</v>
      </c>
      <c r="O6139" t="s">
        <v>86</v>
      </c>
      <c r="P6139">
        <v>127</v>
      </c>
      <c r="Q6139">
        <v>2</v>
      </c>
      <c r="R6139">
        <v>0</v>
      </c>
      <c r="S6139">
        <v>0</v>
      </c>
      <c r="T6139">
        <v>-40</v>
      </c>
      <c r="U6139">
        <v>46</v>
      </c>
      <c r="V6139">
        <v>5</v>
      </c>
      <c r="W6139">
        <v>28</v>
      </c>
      <c r="X6139">
        <v>28</v>
      </c>
      <c r="Y6139">
        <v>1</v>
      </c>
      <c r="Z6139">
        <v>1</v>
      </c>
      <c r="AA6139">
        <v>26</v>
      </c>
      <c r="AB6139">
        <v>2</v>
      </c>
      <c r="AC6139">
        <v>2</v>
      </c>
      <c r="AD6139">
        <v>3.30699992</v>
      </c>
      <c r="AE6139">
        <v>6</v>
      </c>
      <c r="AF6139">
        <v>30</v>
      </c>
      <c r="AG6139">
        <v>3.2929999799999998</v>
      </c>
      <c r="AH6139">
        <v>6</v>
      </c>
      <c r="AI6139">
        <v>34</v>
      </c>
      <c r="AJ6139">
        <v>1</v>
      </c>
      <c r="AK6139">
        <v>17</v>
      </c>
      <c r="AL6139">
        <v>47</v>
      </c>
      <c r="AM6139" t="s">
        <v>43</v>
      </c>
      <c r="AN6139" t="str">
        <f>HYPERLINK("https://www.google.com/maps?q=10.83130455,79.84384155","Open Location")</f>
        <v>Open Location</v>
      </c>
    </row>
    <row r="6140" spans="1:40" x14ac:dyDescent="0.3">
      <c r="A6140" s="1">
        <v>46210.288657407407</v>
      </c>
      <c r="B6140" t="s">
        <v>40</v>
      </c>
      <c r="C6140" t="s">
        <v>41</v>
      </c>
      <c r="D6140" s="1">
        <v>46210.291666666664</v>
      </c>
      <c r="E6140" t="s">
        <v>42</v>
      </c>
      <c r="F6140" t="s">
        <v>83</v>
      </c>
      <c r="G6140">
        <v>0</v>
      </c>
      <c r="H6140">
        <v>33082</v>
      </c>
      <c r="I6140" t="s">
        <v>43</v>
      </c>
      <c r="J6140">
        <v>64</v>
      </c>
      <c r="K6140">
        <v>2</v>
      </c>
      <c r="L6140">
        <v>98</v>
      </c>
      <c r="M6140">
        <v>632.70001220999995</v>
      </c>
      <c r="N6140" t="s">
        <v>85</v>
      </c>
      <c r="O6140" t="s">
        <v>86</v>
      </c>
      <c r="P6140">
        <v>127</v>
      </c>
      <c r="Q6140">
        <v>2</v>
      </c>
      <c r="R6140">
        <v>0</v>
      </c>
      <c r="S6140">
        <v>0</v>
      </c>
      <c r="T6140">
        <v>-40</v>
      </c>
      <c r="U6140">
        <v>46</v>
      </c>
      <c r="V6140">
        <v>5</v>
      </c>
      <c r="W6140">
        <v>28</v>
      </c>
      <c r="X6140">
        <v>28</v>
      </c>
      <c r="Y6140">
        <v>1</v>
      </c>
      <c r="Z6140">
        <v>1</v>
      </c>
      <c r="AA6140">
        <v>26</v>
      </c>
      <c r="AB6140">
        <v>2</v>
      </c>
      <c r="AC6140">
        <v>2</v>
      </c>
      <c r="AD6140">
        <v>3.30699992</v>
      </c>
      <c r="AE6140">
        <v>6</v>
      </c>
      <c r="AF6140">
        <v>30</v>
      </c>
      <c r="AG6140">
        <v>3.2929999799999998</v>
      </c>
      <c r="AH6140">
        <v>2</v>
      </c>
      <c r="AI6140">
        <v>45</v>
      </c>
      <c r="AJ6140">
        <v>1</v>
      </c>
      <c r="AK6140">
        <v>17</v>
      </c>
      <c r="AL6140">
        <v>47</v>
      </c>
      <c r="AM6140" t="s">
        <v>43</v>
      </c>
      <c r="AN6140" t="s">
        <v>43</v>
      </c>
    </row>
    <row r="6141" spans="1:40" x14ac:dyDescent="0.3">
      <c r="A6141" s="1">
        <v>46210.288541666669</v>
      </c>
      <c r="B6141" t="s">
        <v>40</v>
      </c>
      <c r="C6141" t="s">
        <v>41</v>
      </c>
      <c r="D6141" s="1">
        <v>46210.291805555556</v>
      </c>
      <c r="E6141" t="s">
        <v>42</v>
      </c>
      <c r="F6141" t="s">
        <v>83</v>
      </c>
      <c r="G6141">
        <v>0</v>
      </c>
      <c r="H6141">
        <v>33082</v>
      </c>
      <c r="I6141" t="s">
        <v>3490</v>
      </c>
      <c r="J6141">
        <v>64</v>
      </c>
      <c r="K6141">
        <v>2</v>
      </c>
      <c r="L6141">
        <v>98</v>
      </c>
      <c r="M6141">
        <v>632.5</v>
      </c>
      <c r="N6141" t="s">
        <v>85</v>
      </c>
      <c r="O6141" t="s">
        <v>86</v>
      </c>
      <c r="P6141">
        <v>127</v>
      </c>
      <c r="Q6141">
        <v>2</v>
      </c>
      <c r="R6141">
        <v>0</v>
      </c>
      <c r="S6141">
        <v>0</v>
      </c>
      <c r="T6141">
        <v>-40</v>
      </c>
      <c r="U6141">
        <v>46</v>
      </c>
      <c r="V6141">
        <v>5</v>
      </c>
      <c r="W6141">
        <v>28</v>
      </c>
      <c r="X6141">
        <v>28</v>
      </c>
      <c r="Y6141">
        <v>1</v>
      </c>
      <c r="Z6141">
        <v>1</v>
      </c>
      <c r="AA6141">
        <v>26</v>
      </c>
      <c r="AB6141">
        <v>2</v>
      </c>
      <c r="AC6141">
        <v>2</v>
      </c>
      <c r="AD6141">
        <v>3.3059999900000001</v>
      </c>
      <c r="AE6141">
        <v>6</v>
      </c>
      <c r="AF6141">
        <v>30</v>
      </c>
      <c r="AG6141">
        <v>3.2929999799999998</v>
      </c>
      <c r="AH6141">
        <v>2</v>
      </c>
      <c r="AI6141">
        <v>45</v>
      </c>
      <c r="AJ6141">
        <v>1</v>
      </c>
      <c r="AK6141">
        <v>17</v>
      </c>
      <c r="AL6141">
        <v>47</v>
      </c>
      <c r="AM6141" t="s">
        <v>43</v>
      </c>
      <c r="AN6141" t="str">
        <f>HYPERLINK("https://www.google.com/maps?q=10.83130455,79.84384155","Open Location")</f>
        <v>Open Location</v>
      </c>
    </row>
    <row r="6142" spans="1:40" x14ac:dyDescent="0.3">
      <c r="A6142" s="1">
        <v>46210.288425925923</v>
      </c>
      <c r="B6142" t="s">
        <v>40</v>
      </c>
      <c r="C6142" t="s">
        <v>41</v>
      </c>
      <c r="D6142" s="1">
        <v>46210.291284722225</v>
      </c>
      <c r="E6142" t="s">
        <v>42</v>
      </c>
      <c r="F6142" t="s">
        <v>83</v>
      </c>
      <c r="G6142">
        <v>0</v>
      </c>
      <c r="H6142">
        <v>33082</v>
      </c>
      <c r="I6142" t="s">
        <v>3490</v>
      </c>
      <c r="J6142">
        <v>64</v>
      </c>
      <c r="K6142">
        <v>2</v>
      </c>
      <c r="L6142">
        <v>98</v>
      </c>
      <c r="M6142">
        <v>632.40002441000001</v>
      </c>
      <c r="N6142" t="s">
        <v>85</v>
      </c>
      <c r="O6142" t="s">
        <v>86</v>
      </c>
      <c r="P6142">
        <v>127</v>
      </c>
      <c r="Q6142">
        <v>2</v>
      </c>
      <c r="R6142">
        <v>0</v>
      </c>
      <c r="S6142">
        <v>0</v>
      </c>
      <c r="T6142">
        <v>-40</v>
      </c>
      <c r="U6142">
        <v>46</v>
      </c>
      <c r="V6142">
        <v>5</v>
      </c>
      <c r="W6142">
        <v>28</v>
      </c>
      <c r="X6142">
        <v>28</v>
      </c>
      <c r="Y6142">
        <v>1</v>
      </c>
      <c r="Z6142">
        <v>1</v>
      </c>
      <c r="AA6142">
        <v>26</v>
      </c>
      <c r="AB6142">
        <v>2</v>
      </c>
      <c r="AC6142">
        <v>2</v>
      </c>
      <c r="AD6142">
        <v>3.3059999900000001</v>
      </c>
      <c r="AE6142">
        <v>6</v>
      </c>
      <c r="AF6142">
        <v>30</v>
      </c>
      <c r="AG6142">
        <v>3.2920000599999999</v>
      </c>
      <c r="AH6142">
        <v>8</v>
      </c>
      <c r="AI6142">
        <v>48</v>
      </c>
      <c r="AJ6142">
        <v>1</v>
      </c>
      <c r="AK6142">
        <v>17</v>
      </c>
      <c r="AL6142">
        <v>47</v>
      </c>
      <c r="AM6142" t="s">
        <v>43</v>
      </c>
      <c r="AN6142" t="str">
        <f>HYPERLINK("https://www.google.com/maps?q=10.83130455,79.84384155","Open Location")</f>
        <v>Open Location</v>
      </c>
    </row>
    <row r="6143" spans="1:40" x14ac:dyDescent="0.3">
      <c r="A6143" s="1">
        <v>46210.288310185184</v>
      </c>
      <c r="B6143" t="s">
        <v>40</v>
      </c>
      <c r="C6143" t="s">
        <v>41</v>
      </c>
      <c r="D6143" s="1">
        <v>46210.291122685187</v>
      </c>
      <c r="E6143" t="s">
        <v>42</v>
      </c>
      <c r="F6143" t="s">
        <v>83</v>
      </c>
      <c r="G6143">
        <v>0</v>
      </c>
      <c r="H6143">
        <v>33082</v>
      </c>
      <c r="I6143" t="s">
        <v>3491</v>
      </c>
      <c r="J6143">
        <v>64</v>
      </c>
      <c r="K6143">
        <v>2</v>
      </c>
      <c r="L6143">
        <v>98</v>
      </c>
      <c r="M6143">
        <v>632.20001220999995</v>
      </c>
      <c r="N6143" t="s">
        <v>85</v>
      </c>
      <c r="O6143" t="s">
        <v>86</v>
      </c>
      <c r="P6143">
        <v>127</v>
      </c>
      <c r="Q6143">
        <v>2</v>
      </c>
      <c r="R6143">
        <v>0</v>
      </c>
      <c r="S6143">
        <v>0</v>
      </c>
      <c r="T6143">
        <v>-40</v>
      </c>
      <c r="U6143">
        <v>46</v>
      </c>
      <c r="V6143">
        <v>5</v>
      </c>
      <c r="W6143">
        <v>28</v>
      </c>
      <c r="X6143">
        <v>28</v>
      </c>
      <c r="Y6143">
        <v>1</v>
      </c>
      <c r="Z6143">
        <v>1</v>
      </c>
      <c r="AA6143">
        <v>26</v>
      </c>
      <c r="AB6143">
        <v>2</v>
      </c>
      <c r="AC6143">
        <v>2</v>
      </c>
      <c r="AD6143">
        <v>3.3059999900000001</v>
      </c>
      <c r="AE6143">
        <v>6</v>
      </c>
      <c r="AF6143">
        <v>30</v>
      </c>
      <c r="AG6143">
        <v>3.2920000599999999</v>
      </c>
      <c r="AH6143">
        <v>8</v>
      </c>
      <c r="AI6143">
        <v>48</v>
      </c>
      <c r="AJ6143">
        <v>1</v>
      </c>
      <c r="AK6143">
        <v>17</v>
      </c>
      <c r="AL6143">
        <v>47</v>
      </c>
      <c r="AM6143" t="s">
        <v>43</v>
      </c>
      <c r="AN6143" t="str">
        <f>HYPERLINK("https://www.google.com/maps?q=10.83131504,79.84383392","Open Location")</f>
        <v>Open Location</v>
      </c>
    </row>
    <row r="6144" spans="1:40" x14ac:dyDescent="0.3">
      <c r="A6144" s="1">
        <v>46210.288194444445</v>
      </c>
      <c r="B6144" t="s">
        <v>40</v>
      </c>
      <c r="C6144" t="s">
        <v>41</v>
      </c>
      <c r="D6144" s="1">
        <v>46210.291030092594</v>
      </c>
      <c r="E6144" t="s">
        <v>42</v>
      </c>
      <c r="F6144" t="s">
        <v>83</v>
      </c>
      <c r="G6144">
        <v>0</v>
      </c>
      <c r="H6144">
        <v>33082</v>
      </c>
      <c r="I6144" t="s">
        <v>3492</v>
      </c>
      <c r="J6144">
        <v>64</v>
      </c>
      <c r="K6144">
        <v>2</v>
      </c>
      <c r="L6144">
        <v>98</v>
      </c>
      <c r="M6144">
        <v>632.29998779000005</v>
      </c>
      <c r="N6144" t="s">
        <v>85</v>
      </c>
      <c r="O6144" t="s">
        <v>86</v>
      </c>
      <c r="P6144">
        <v>127</v>
      </c>
      <c r="Q6144">
        <v>2</v>
      </c>
      <c r="R6144">
        <v>0</v>
      </c>
      <c r="S6144">
        <v>0</v>
      </c>
      <c r="T6144">
        <v>-40</v>
      </c>
      <c r="U6144">
        <v>46</v>
      </c>
      <c r="V6144">
        <v>5</v>
      </c>
      <c r="W6144">
        <v>28</v>
      </c>
      <c r="X6144">
        <v>28</v>
      </c>
      <c r="Y6144">
        <v>1</v>
      </c>
      <c r="Z6144">
        <v>1</v>
      </c>
      <c r="AA6144">
        <v>26</v>
      </c>
      <c r="AB6144">
        <v>2</v>
      </c>
      <c r="AC6144">
        <v>2</v>
      </c>
      <c r="AD6144">
        <v>3.3059999900000001</v>
      </c>
      <c r="AE6144">
        <v>6</v>
      </c>
      <c r="AF6144">
        <v>30</v>
      </c>
      <c r="AG6144">
        <v>3.2920000599999999</v>
      </c>
      <c r="AH6144">
        <v>8</v>
      </c>
      <c r="AI6144">
        <v>48</v>
      </c>
      <c r="AJ6144">
        <v>1</v>
      </c>
      <c r="AK6144">
        <v>17</v>
      </c>
      <c r="AL6144">
        <v>47</v>
      </c>
      <c r="AM6144" t="s">
        <v>43</v>
      </c>
      <c r="AN6144" t="str">
        <f>HYPERLINK("https://www.google.com/maps?q=10.83131599,79.84381866","Open Location")</f>
        <v>Open Location</v>
      </c>
    </row>
    <row r="6145" spans="1:40" x14ac:dyDescent="0.3">
      <c r="A6145" s="1">
        <v>46210.288078703707</v>
      </c>
      <c r="B6145" t="s">
        <v>40</v>
      </c>
      <c r="C6145" t="s">
        <v>41</v>
      </c>
      <c r="D6145" s="1">
        <v>46210.29105324074</v>
      </c>
      <c r="E6145" t="s">
        <v>42</v>
      </c>
      <c r="F6145" t="s">
        <v>83</v>
      </c>
      <c r="G6145">
        <v>0</v>
      </c>
      <c r="H6145">
        <v>33082</v>
      </c>
      <c r="I6145" t="s">
        <v>3493</v>
      </c>
      <c r="J6145">
        <v>64</v>
      </c>
      <c r="K6145">
        <v>2</v>
      </c>
      <c r="L6145">
        <v>98</v>
      </c>
      <c r="M6145">
        <v>633</v>
      </c>
      <c r="N6145" t="s">
        <v>85</v>
      </c>
      <c r="O6145" t="s">
        <v>86</v>
      </c>
      <c r="P6145">
        <v>127</v>
      </c>
      <c r="Q6145">
        <v>2</v>
      </c>
      <c r="R6145">
        <v>0</v>
      </c>
      <c r="S6145">
        <v>0</v>
      </c>
      <c r="T6145">
        <v>-40</v>
      </c>
      <c r="U6145">
        <v>46</v>
      </c>
      <c r="V6145">
        <v>5</v>
      </c>
      <c r="W6145">
        <v>28</v>
      </c>
      <c r="X6145">
        <v>28</v>
      </c>
      <c r="Y6145">
        <v>1</v>
      </c>
      <c r="Z6145">
        <v>1</v>
      </c>
      <c r="AA6145">
        <v>26</v>
      </c>
      <c r="AB6145">
        <v>2</v>
      </c>
      <c r="AC6145">
        <v>2</v>
      </c>
      <c r="AD6145">
        <v>3.3059999900000001</v>
      </c>
      <c r="AE6145">
        <v>6</v>
      </c>
      <c r="AF6145">
        <v>30</v>
      </c>
      <c r="AG6145">
        <v>3.2920000599999999</v>
      </c>
      <c r="AH6145">
        <v>8</v>
      </c>
      <c r="AI6145">
        <v>9</v>
      </c>
      <c r="AJ6145">
        <v>1</v>
      </c>
      <c r="AK6145">
        <v>17</v>
      </c>
      <c r="AL6145">
        <v>47</v>
      </c>
      <c r="AM6145" t="s">
        <v>43</v>
      </c>
      <c r="AN6145" t="str">
        <f>HYPERLINK("https://www.google.com/maps?q=10.83132076,79.84379578","Open Location")</f>
        <v>Open Location</v>
      </c>
    </row>
    <row r="6146" spans="1:40" x14ac:dyDescent="0.3">
      <c r="A6146" s="1">
        <v>46210.287962962961</v>
      </c>
      <c r="B6146" t="s">
        <v>40</v>
      </c>
      <c r="C6146" t="s">
        <v>41</v>
      </c>
      <c r="D6146" s="1">
        <v>46210.290879629632</v>
      </c>
      <c r="E6146" t="s">
        <v>42</v>
      </c>
      <c r="F6146" t="s">
        <v>83</v>
      </c>
      <c r="G6146">
        <v>0</v>
      </c>
      <c r="H6146">
        <v>33082</v>
      </c>
      <c r="I6146" t="s">
        <v>43</v>
      </c>
      <c r="J6146">
        <v>64</v>
      </c>
      <c r="K6146">
        <v>2</v>
      </c>
      <c r="L6146">
        <v>98</v>
      </c>
      <c r="M6146">
        <v>632.70001220999995</v>
      </c>
      <c r="N6146" t="s">
        <v>85</v>
      </c>
      <c r="O6146" t="s">
        <v>86</v>
      </c>
      <c r="P6146">
        <v>127</v>
      </c>
      <c r="Q6146">
        <v>2</v>
      </c>
      <c r="R6146">
        <v>0</v>
      </c>
      <c r="S6146">
        <v>0</v>
      </c>
      <c r="T6146">
        <v>-40</v>
      </c>
      <c r="U6146">
        <v>46</v>
      </c>
      <c r="V6146">
        <v>5</v>
      </c>
      <c r="W6146">
        <v>28</v>
      </c>
      <c r="X6146">
        <v>28</v>
      </c>
      <c r="Y6146">
        <v>1</v>
      </c>
      <c r="Z6146">
        <v>1</v>
      </c>
      <c r="AA6146">
        <v>26</v>
      </c>
      <c r="AB6146">
        <v>2</v>
      </c>
      <c r="AC6146">
        <v>2</v>
      </c>
      <c r="AD6146">
        <v>3.3050000700000002</v>
      </c>
      <c r="AE6146">
        <v>6</v>
      </c>
      <c r="AF6146">
        <v>30</v>
      </c>
      <c r="AG6146">
        <v>3.2920000599999999</v>
      </c>
      <c r="AH6146">
        <v>2</v>
      </c>
      <c r="AI6146">
        <v>45</v>
      </c>
      <c r="AJ6146">
        <v>1</v>
      </c>
      <c r="AK6146">
        <v>18</v>
      </c>
      <c r="AL6146">
        <v>47</v>
      </c>
      <c r="AM6146" t="s">
        <v>43</v>
      </c>
      <c r="AN6146" t="s">
        <v>43</v>
      </c>
    </row>
    <row r="6147" spans="1:40" x14ac:dyDescent="0.3">
      <c r="A6147" s="1">
        <v>46210.287847222222</v>
      </c>
      <c r="B6147" t="s">
        <v>40</v>
      </c>
      <c r="C6147" t="s">
        <v>41</v>
      </c>
      <c r="D6147" s="1">
        <v>46210.290775462963</v>
      </c>
      <c r="E6147" t="s">
        <v>42</v>
      </c>
      <c r="F6147" t="s">
        <v>83</v>
      </c>
      <c r="G6147">
        <v>8</v>
      </c>
      <c r="H6147" t="s">
        <v>43</v>
      </c>
      <c r="I6147" t="s">
        <v>3494</v>
      </c>
      <c r="J6147">
        <v>64</v>
      </c>
      <c r="K6147">
        <v>3</v>
      </c>
      <c r="L6147">
        <v>98</v>
      </c>
      <c r="M6147">
        <v>632.70001220999995</v>
      </c>
      <c r="N6147" t="s">
        <v>87</v>
      </c>
      <c r="O6147" t="s">
        <v>86</v>
      </c>
      <c r="P6147">
        <v>128</v>
      </c>
      <c r="Q6147">
        <v>3</v>
      </c>
      <c r="R6147">
        <v>0</v>
      </c>
      <c r="S6147">
        <v>748</v>
      </c>
      <c r="T6147">
        <v>-40</v>
      </c>
      <c r="U6147">
        <v>46</v>
      </c>
      <c r="V6147">
        <v>-40</v>
      </c>
      <c r="W6147">
        <v>28</v>
      </c>
      <c r="X6147">
        <v>28</v>
      </c>
      <c r="Y6147">
        <v>1</v>
      </c>
      <c r="Z6147">
        <v>1</v>
      </c>
      <c r="AA6147">
        <v>26</v>
      </c>
      <c r="AB6147">
        <v>2</v>
      </c>
      <c r="AC6147">
        <v>2</v>
      </c>
      <c r="AD6147">
        <v>3.3050000700000002</v>
      </c>
      <c r="AE6147">
        <v>6</v>
      </c>
      <c r="AF6147">
        <v>30</v>
      </c>
      <c r="AG6147">
        <v>3.2909998900000001</v>
      </c>
      <c r="AH6147">
        <v>8</v>
      </c>
      <c r="AI6147">
        <v>48</v>
      </c>
      <c r="AJ6147">
        <v>1</v>
      </c>
      <c r="AK6147">
        <v>17</v>
      </c>
      <c r="AL6147">
        <v>47</v>
      </c>
      <c r="AM6147" t="s">
        <v>43</v>
      </c>
      <c r="AN6147" t="str">
        <f>HYPERLINK("https://www.google.com/maps?q=10.83132267,79.84372711","Open Location")</f>
        <v>Open Location</v>
      </c>
    </row>
    <row r="6148" spans="1:40" x14ac:dyDescent="0.3">
      <c r="A6148" s="1">
        <v>46210.287731481483</v>
      </c>
      <c r="B6148" t="s">
        <v>40</v>
      </c>
      <c r="C6148" t="s">
        <v>41</v>
      </c>
      <c r="D6148" s="1">
        <v>46210.290682870371</v>
      </c>
      <c r="E6148" t="s">
        <v>42</v>
      </c>
      <c r="F6148" t="s">
        <v>83</v>
      </c>
      <c r="G6148">
        <v>12</v>
      </c>
      <c r="H6148">
        <v>33082</v>
      </c>
      <c r="I6148" t="s">
        <v>3495</v>
      </c>
      <c r="J6148">
        <v>64</v>
      </c>
      <c r="K6148">
        <v>-11</v>
      </c>
      <c r="L6148">
        <v>98</v>
      </c>
      <c r="M6148">
        <v>632.90002441000001</v>
      </c>
      <c r="N6148" t="s">
        <v>87</v>
      </c>
      <c r="O6148" t="s">
        <v>86</v>
      </c>
      <c r="P6148">
        <v>129</v>
      </c>
      <c r="Q6148">
        <v>4</v>
      </c>
      <c r="R6148">
        <v>5</v>
      </c>
      <c r="S6148">
        <v>796</v>
      </c>
      <c r="T6148">
        <v>-40</v>
      </c>
      <c r="U6148">
        <v>46</v>
      </c>
      <c r="V6148">
        <v>-112</v>
      </c>
      <c r="W6148">
        <v>28</v>
      </c>
      <c r="X6148">
        <v>28</v>
      </c>
      <c r="Y6148">
        <v>1</v>
      </c>
      <c r="Z6148">
        <v>1</v>
      </c>
      <c r="AA6148">
        <v>26</v>
      </c>
      <c r="AB6148">
        <v>2</v>
      </c>
      <c r="AC6148">
        <v>2</v>
      </c>
      <c r="AD6148">
        <v>3.30699992</v>
      </c>
      <c r="AE6148">
        <v>6</v>
      </c>
      <c r="AF6148">
        <v>30</v>
      </c>
      <c r="AG6148">
        <v>3.2929999799999998</v>
      </c>
      <c r="AH6148">
        <v>8</v>
      </c>
      <c r="AI6148">
        <v>48</v>
      </c>
      <c r="AJ6148">
        <v>1</v>
      </c>
      <c r="AK6148">
        <v>17</v>
      </c>
      <c r="AL6148">
        <v>47</v>
      </c>
      <c r="AM6148" t="s">
        <v>43</v>
      </c>
      <c r="AN6148" t="str">
        <f>HYPERLINK("https://www.google.com/maps?q=10.83131886,79.84342957","Open Location")</f>
        <v>Open Location</v>
      </c>
    </row>
    <row r="6149" spans="1:40" x14ac:dyDescent="0.3">
      <c r="A6149" s="1">
        <v>46210.287615740737</v>
      </c>
      <c r="B6149" t="s">
        <v>40</v>
      </c>
      <c r="C6149" t="s">
        <v>41</v>
      </c>
      <c r="D6149" s="1">
        <v>46210.290682870371</v>
      </c>
      <c r="E6149" t="s">
        <v>42</v>
      </c>
      <c r="F6149" t="s">
        <v>83</v>
      </c>
      <c r="G6149">
        <v>14</v>
      </c>
      <c r="H6149">
        <v>33082</v>
      </c>
      <c r="I6149" t="s">
        <v>3496</v>
      </c>
      <c r="J6149">
        <v>64</v>
      </c>
      <c r="K6149">
        <v>-8</v>
      </c>
      <c r="L6149">
        <v>98</v>
      </c>
      <c r="M6149">
        <v>631.90002441000001</v>
      </c>
      <c r="N6149" t="s">
        <v>87</v>
      </c>
      <c r="O6149" t="s">
        <v>86</v>
      </c>
      <c r="P6149">
        <v>129</v>
      </c>
      <c r="Q6149">
        <v>4</v>
      </c>
      <c r="R6149">
        <v>6</v>
      </c>
      <c r="S6149">
        <v>888</v>
      </c>
      <c r="T6149">
        <v>-40</v>
      </c>
      <c r="U6149">
        <v>46</v>
      </c>
      <c r="V6149">
        <v>-112</v>
      </c>
      <c r="W6149">
        <v>28</v>
      </c>
      <c r="X6149">
        <v>28</v>
      </c>
      <c r="Y6149">
        <v>1</v>
      </c>
      <c r="Z6149">
        <v>1</v>
      </c>
      <c r="AA6149">
        <v>26</v>
      </c>
      <c r="AB6149">
        <v>2</v>
      </c>
      <c r="AC6149">
        <v>2</v>
      </c>
      <c r="AD6149">
        <v>3.30699992</v>
      </c>
      <c r="AE6149">
        <v>6</v>
      </c>
      <c r="AF6149">
        <v>30</v>
      </c>
      <c r="AG6149">
        <v>3.2929999799999998</v>
      </c>
      <c r="AH6149">
        <v>8</v>
      </c>
      <c r="AI6149">
        <v>48</v>
      </c>
      <c r="AJ6149">
        <v>1</v>
      </c>
      <c r="AK6149">
        <v>17</v>
      </c>
      <c r="AL6149">
        <v>47</v>
      </c>
      <c r="AM6149" t="s">
        <v>43</v>
      </c>
      <c r="AN6149" t="str">
        <f>HYPERLINK("https://www.google.com/maps?q=10.83131313,79.84301758","Open Location")</f>
        <v>Open Location</v>
      </c>
    </row>
    <row r="6150" spans="1:40" x14ac:dyDescent="0.3">
      <c r="A6150" s="1">
        <v>46210.287499999999</v>
      </c>
      <c r="B6150" t="s">
        <v>40</v>
      </c>
      <c r="C6150" t="s">
        <v>41</v>
      </c>
      <c r="D6150" s="1">
        <v>46210.290520833332</v>
      </c>
      <c r="E6150" t="s">
        <v>42</v>
      </c>
      <c r="F6150" t="s">
        <v>83</v>
      </c>
      <c r="G6150">
        <v>15</v>
      </c>
      <c r="H6150">
        <v>33082</v>
      </c>
      <c r="I6150" t="s">
        <v>3497</v>
      </c>
      <c r="J6150">
        <v>64</v>
      </c>
      <c r="K6150">
        <v>13</v>
      </c>
      <c r="L6150">
        <v>98</v>
      </c>
      <c r="M6150">
        <v>631.79998779000005</v>
      </c>
      <c r="N6150" t="s">
        <v>87</v>
      </c>
      <c r="O6150" t="s">
        <v>86</v>
      </c>
      <c r="P6150">
        <v>129</v>
      </c>
      <c r="Q6150">
        <v>4</v>
      </c>
      <c r="R6150">
        <v>7</v>
      </c>
      <c r="S6150">
        <v>1135</v>
      </c>
      <c r="T6150">
        <v>-40</v>
      </c>
      <c r="U6150">
        <v>46</v>
      </c>
      <c r="V6150">
        <v>60</v>
      </c>
      <c r="W6150">
        <v>28</v>
      </c>
      <c r="X6150">
        <v>28</v>
      </c>
      <c r="Y6150">
        <v>1</v>
      </c>
      <c r="Z6150">
        <v>1</v>
      </c>
      <c r="AA6150">
        <v>26</v>
      </c>
      <c r="AB6150">
        <v>2</v>
      </c>
      <c r="AC6150">
        <v>2</v>
      </c>
      <c r="AD6150">
        <v>3.3020000500000002</v>
      </c>
      <c r="AE6150">
        <v>6</v>
      </c>
      <c r="AF6150">
        <v>30</v>
      </c>
      <c r="AG6150">
        <v>3.28800011</v>
      </c>
      <c r="AH6150">
        <v>8</v>
      </c>
      <c r="AI6150">
        <v>9</v>
      </c>
      <c r="AJ6150">
        <v>1</v>
      </c>
      <c r="AK6150">
        <v>17</v>
      </c>
      <c r="AL6150">
        <v>47</v>
      </c>
      <c r="AM6150" t="s">
        <v>43</v>
      </c>
      <c r="AN6150" t="str">
        <f>HYPERLINK("https://www.google.com/maps?q=10.83135509,79.84255981","Open Location")</f>
        <v>Open Location</v>
      </c>
    </row>
    <row r="6151" spans="1:40" x14ac:dyDescent="0.3">
      <c r="A6151" s="1">
        <v>46210.28738425926</v>
      </c>
      <c r="B6151" t="s">
        <v>40</v>
      </c>
      <c r="C6151" t="s">
        <v>41</v>
      </c>
      <c r="D6151" s="1">
        <v>46210.290289351855</v>
      </c>
      <c r="E6151" t="s">
        <v>42</v>
      </c>
      <c r="F6151" t="s">
        <v>83</v>
      </c>
      <c r="G6151">
        <v>17</v>
      </c>
      <c r="H6151" t="s">
        <v>43</v>
      </c>
      <c r="I6151" t="s">
        <v>43</v>
      </c>
      <c r="J6151">
        <v>64</v>
      </c>
      <c r="K6151">
        <v>14</v>
      </c>
      <c r="L6151">
        <v>98</v>
      </c>
      <c r="M6151">
        <v>631.29998779000005</v>
      </c>
      <c r="N6151" t="s">
        <v>87</v>
      </c>
      <c r="O6151" t="s">
        <v>86</v>
      </c>
      <c r="P6151">
        <v>129</v>
      </c>
      <c r="Q6151">
        <v>4</v>
      </c>
      <c r="R6151">
        <v>8</v>
      </c>
      <c r="S6151">
        <v>1262</v>
      </c>
      <c r="T6151">
        <v>-40</v>
      </c>
      <c r="U6151">
        <v>46</v>
      </c>
      <c r="V6151">
        <v>60</v>
      </c>
      <c r="W6151">
        <v>28</v>
      </c>
      <c r="X6151">
        <v>28</v>
      </c>
      <c r="Y6151">
        <v>1</v>
      </c>
      <c r="Z6151">
        <v>1</v>
      </c>
      <c r="AA6151">
        <v>26</v>
      </c>
      <c r="AB6151">
        <v>2</v>
      </c>
      <c r="AC6151">
        <v>2</v>
      </c>
      <c r="AD6151">
        <v>3.3010001199999999</v>
      </c>
      <c r="AE6151">
        <v>6</v>
      </c>
      <c r="AF6151">
        <v>30</v>
      </c>
      <c r="AG6151">
        <v>3.28800011</v>
      </c>
      <c r="AH6151">
        <v>2</v>
      </c>
      <c r="AI6151">
        <v>45</v>
      </c>
      <c r="AJ6151">
        <v>1</v>
      </c>
      <c r="AK6151">
        <v>17</v>
      </c>
      <c r="AL6151">
        <v>47</v>
      </c>
      <c r="AM6151" t="s">
        <v>43</v>
      </c>
      <c r="AN6151" t="s">
        <v>43</v>
      </c>
    </row>
    <row r="6152" spans="1:40" x14ac:dyDescent="0.3">
      <c r="A6152" s="1">
        <v>46210.287268518521</v>
      </c>
      <c r="B6152" t="s">
        <v>40</v>
      </c>
      <c r="C6152" t="s">
        <v>41</v>
      </c>
      <c r="D6152" s="1">
        <v>46210.29005787037</v>
      </c>
      <c r="E6152" t="s">
        <v>42</v>
      </c>
      <c r="F6152" t="s">
        <v>83</v>
      </c>
      <c r="G6152">
        <v>17</v>
      </c>
      <c r="H6152">
        <v>33082</v>
      </c>
      <c r="I6152" t="s">
        <v>3498</v>
      </c>
      <c r="J6152">
        <v>64</v>
      </c>
      <c r="K6152">
        <v>31</v>
      </c>
      <c r="L6152">
        <v>98</v>
      </c>
      <c r="M6152">
        <v>630.79998779000005</v>
      </c>
      <c r="N6152" t="s">
        <v>87</v>
      </c>
      <c r="O6152" t="s">
        <v>86</v>
      </c>
      <c r="P6152">
        <v>129</v>
      </c>
      <c r="Q6152">
        <v>4</v>
      </c>
      <c r="R6152">
        <v>13</v>
      </c>
      <c r="S6152">
        <v>1244</v>
      </c>
      <c r="T6152">
        <v>-40</v>
      </c>
      <c r="U6152">
        <v>46</v>
      </c>
      <c r="V6152">
        <v>140</v>
      </c>
      <c r="W6152">
        <v>28</v>
      </c>
      <c r="X6152">
        <v>28</v>
      </c>
      <c r="Y6152">
        <v>1</v>
      </c>
      <c r="Z6152">
        <v>1</v>
      </c>
      <c r="AA6152">
        <v>26</v>
      </c>
      <c r="AB6152">
        <v>2</v>
      </c>
      <c r="AC6152">
        <v>2</v>
      </c>
      <c r="AD6152">
        <v>3.30699992</v>
      </c>
      <c r="AE6152">
        <v>6</v>
      </c>
      <c r="AF6152">
        <v>30</v>
      </c>
      <c r="AG6152">
        <v>3.2920000599999999</v>
      </c>
      <c r="AH6152">
        <v>8</v>
      </c>
      <c r="AI6152">
        <v>48</v>
      </c>
      <c r="AJ6152">
        <v>1</v>
      </c>
      <c r="AK6152">
        <v>17</v>
      </c>
      <c r="AL6152">
        <v>47</v>
      </c>
      <c r="AM6152" t="s">
        <v>43</v>
      </c>
      <c r="AN6152" t="str">
        <f>HYPERLINK("https://www.google.com/maps?q=10.83166885,79.84217072","Open Location")</f>
        <v>Open Location</v>
      </c>
    </row>
    <row r="6153" spans="1:40" x14ac:dyDescent="0.3">
      <c r="A6153" s="1">
        <v>46210.287152777775</v>
      </c>
      <c r="B6153" t="s">
        <v>40</v>
      </c>
      <c r="C6153" t="s">
        <v>41</v>
      </c>
      <c r="D6153" s="1">
        <v>46210.289942129632</v>
      </c>
      <c r="E6153" t="s">
        <v>42</v>
      </c>
      <c r="F6153" t="s">
        <v>83</v>
      </c>
      <c r="G6153">
        <v>16</v>
      </c>
      <c r="H6153">
        <v>33082</v>
      </c>
      <c r="I6153" t="s">
        <v>3499</v>
      </c>
      <c r="J6153">
        <v>64</v>
      </c>
      <c r="K6153">
        <v>37</v>
      </c>
      <c r="L6153">
        <v>98</v>
      </c>
      <c r="M6153">
        <v>631</v>
      </c>
      <c r="N6153" t="s">
        <v>87</v>
      </c>
      <c r="O6153" t="s">
        <v>86</v>
      </c>
      <c r="P6153">
        <v>129</v>
      </c>
      <c r="Q6153">
        <v>4</v>
      </c>
      <c r="R6153">
        <v>14</v>
      </c>
      <c r="S6153">
        <v>1295</v>
      </c>
      <c r="T6153">
        <v>-40</v>
      </c>
      <c r="U6153">
        <v>46</v>
      </c>
      <c r="V6153">
        <v>160</v>
      </c>
      <c r="W6153">
        <v>28</v>
      </c>
      <c r="X6153">
        <v>28</v>
      </c>
      <c r="Y6153">
        <v>1</v>
      </c>
      <c r="Z6153">
        <v>1</v>
      </c>
      <c r="AA6153">
        <v>26</v>
      </c>
      <c r="AB6153">
        <v>2</v>
      </c>
      <c r="AC6153">
        <v>2</v>
      </c>
      <c r="AD6153">
        <v>3.2980000999999999</v>
      </c>
      <c r="AE6153">
        <v>6</v>
      </c>
      <c r="AF6153">
        <v>30</v>
      </c>
      <c r="AG6153">
        <v>3.2839999199999999</v>
      </c>
      <c r="AH6153">
        <v>2</v>
      </c>
      <c r="AI6153">
        <v>45</v>
      </c>
      <c r="AJ6153">
        <v>1</v>
      </c>
      <c r="AK6153">
        <v>17</v>
      </c>
      <c r="AL6153">
        <v>47</v>
      </c>
      <c r="AM6153" t="s">
        <v>43</v>
      </c>
      <c r="AN6153" t="str">
        <f>HYPERLINK("https://www.google.com/maps?q=10.83210278,79.8420639","Open Location")</f>
        <v>Open Location</v>
      </c>
    </row>
    <row r="6154" spans="1:40" x14ac:dyDescent="0.3">
      <c r="A6154" s="1">
        <v>46210.287037037036</v>
      </c>
      <c r="B6154" t="s">
        <v>40</v>
      </c>
      <c r="C6154" t="s">
        <v>41</v>
      </c>
      <c r="D6154" s="1">
        <v>46210.289918981478</v>
      </c>
      <c r="E6154" t="s">
        <v>42</v>
      </c>
      <c r="F6154" t="s">
        <v>83</v>
      </c>
      <c r="G6154">
        <v>15</v>
      </c>
      <c r="H6154">
        <v>33082</v>
      </c>
      <c r="I6154" t="s">
        <v>3500</v>
      </c>
      <c r="J6154">
        <v>64</v>
      </c>
      <c r="K6154">
        <v>38</v>
      </c>
      <c r="L6154">
        <v>98</v>
      </c>
      <c r="M6154">
        <v>630.59997558999999</v>
      </c>
      <c r="N6154" t="s">
        <v>87</v>
      </c>
      <c r="O6154" t="s">
        <v>86</v>
      </c>
      <c r="P6154">
        <v>129</v>
      </c>
      <c r="Q6154">
        <v>4</v>
      </c>
      <c r="R6154">
        <v>19</v>
      </c>
      <c r="S6154">
        <v>1209</v>
      </c>
      <c r="T6154">
        <v>-40</v>
      </c>
      <c r="U6154">
        <v>46</v>
      </c>
      <c r="V6154">
        <v>180</v>
      </c>
      <c r="W6154">
        <v>28</v>
      </c>
      <c r="X6154">
        <v>28</v>
      </c>
      <c r="Y6154">
        <v>1</v>
      </c>
      <c r="Z6154">
        <v>1</v>
      </c>
      <c r="AA6154">
        <v>26</v>
      </c>
      <c r="AB6154">
        <v>2</v>
      </c>
      <c r="AC6154">
        <v>2</v>
      </c>
      <c r="AD6154">
        <v>3.2980000999999999</v>
      </c>
      <c r="AE6154">
        <v>6</v>
      </c>
      <c r="AF6154">
        <v>30</v>
      </c>
      <c r="AG6154">
        <v>3.2839999199999999</v>
      </c>
      <c r="AH6154">
        <v>2</v>
      </c>
      <c r="AI6154">
        <v>45</v>
      </c>
      <c r="AJ6154">
        <v>1</v>
      </c>
      <c r="AK6154">
        <v>17</v>
      </c>
      <c r="AL6154">
        <v>47</v>
      </c>
      <c r="AM6154" t="s">
        <v>43</v>
      </c>
      <c r="AN6154" t="str">
        <f>HYPERLINK("https://www.google.com/maps?q=10.83246708,79.84176636","Open Location")</f>
        <v>Open Location</v>
      </c>
    </row>
    <row r="6155" spans="1:40" x14ac:dyDescent="0.3">
      <c r="A6155" s="1">
        <v>46210.286921296298</v>
      </c>
      <c r="B6155" t="s">
        <v>40</v>
      </c>
      <c r="C6155" t="s">
        <v>41</v>
      </c>
      <c r="D6155" s="1">
        <v>46210.289953703701</v>
      </c>
      <c r="E6155" t="s">
        <v>42</v>
      </c>
      <c r="F6155" t="s">
        <v>83</v>
      </c>
      <c r="G6155">
        <v>11</v>
      </c>
      <c r="H6155">
        <v>33082</v>
      </c>
      <c r="I6155" t="s">
        <v>3501</v>
      </c>
      <c r="J6155">
        <v>64</v>
      </c>
      <c r="K6155">
        <v>36</v>
      </c>
      <c r="L6155">
        <v>98</v>
      </c>
      <c r="M6155">
        <v>631.20001220999995</v>
      </c>
      <c r="N6155" t="s">
        <v>87</v>
      </c>
      <c r="O6155" t="s">
        <v>86</v>
      </c>
      <c r="P6155">
        <v>128</v>
      </c>
      <c r="Q6155">
        <v>3</v>
      </c>
      <c r="R6155">
        <v>29</v>
      </c>
      <c r="S6155">
        <v>1776</v>
      </c>
      <c r="T6155">
        <v>-40</v>
      </c>
      <c r="U6155">
        <v>47</v>
      </c>
      <c r="V6155">
        <v>120</v>
      </c>
      <c r="W6155">
        <v>28</v>
      </c>
      <c r="X6155">
        <v>28</v>
      </c>
      <c r="Y6155">
        <v>1</v>
      </c>
      <c r="Z6155">
        <v>1</v>
      </c>
      <c r="AA6155">
        <v>26</v>
      </c>
      <c r="AB6155">
        <v>2</v>
      </c>
      <c r="AC6155">
        <v>2</v>
      </c>
      <c r="AD6155">
        <v>3.2950000799999999</v>
      </c>
      <c r="AE6155">
        <v>6</v>
      </c>
      <c r="AF6155">
        <v>30</v>
      </c>
      <c r="AG6155">
        <v>3.27999997</v>
      </c>
      <c r="AH6155">
        <v>7</v>
      </c>
      <c r="AI6155">
        <v>1</v>
      </c>
      <c r="AJ6155">
        <v>1</v>
      </c>
      <c r="AK6155">
        <v>17</v>
      </c>
      <c r="AL6155">
        <v>47</v>
      </c>
      <c r="AM6155" t="s">
        <v>43</v>
      </c>
      <c r="AN6155" t="str">
        <f>HYPERLINK("https://www.google.com/maps?q=10.83263397,79.84143066","Open Location")</f>
        <v>Open Location</v>
      </c>
    </row>
    <row r="6156" spans="1:40" x14ac:dyDescent="0.3">
      <c r="A6156" s="1">
        <v>46210.286805555559</v>
      </c>
      <c r="B6156" t="s">
        <v>40</v>
      </c>
      <c r="C6156" t="s">
        <v>41</v>
      </c>
      <c r="D6156" s="1">
        <v>46210.289918981478</v>
      </c>
      <c r="E6156" t="s">
        <v>42</v>
      </c>
      <c r="F6156" t="s">
        <v>83</v>
      </c>
      <c r="G6156">
        <v>5</v>
      </c>
      <c r="H6156">
        <v>33082</v>
      </c>
      <c r="I6156" t="s">
        <v>3502</v>
      </c>
      <c r="J6156">
        <v>64</v>
      </c>
      <c r="K6156">
        <v>32</v>
      </c>
      <c r="L6156">
        <v>98</v>
      </c>
      <c r="M6156">
        <v>631.5</v>
      </c>
      <c r="N6156" t="s">
        <v>87</v>
      </c>
      <c r="O6156" t="s">
        <v>86</v>
      </c>
      <c r="P6156">
        <v>127</v>
      </c>
      <c r="Q6156">
        <v>2</v>
      </c>
      <c r="R6156">
        <v>7</v>
      </c>
      <c r="S6156">
        <v>1548</v>
      </c>
      <c r="T6156">
        <v>-40</v>
      </c>
      <c r="U6156">
        <v>46</v>
      </c>
      <c r="V6156">
        <v>120</v>
      </c>
      <c r="W6156">
        <v>28</v>
      </c>
      <c r="X6156">
        <v>28</v>
      </c>
      <c r="Y6156">
        <v>1</v>
      </c>
      <c r="Z6156">
        <v>1</v>
      </c>
      <c r="AA6156">
        <v>26</v>
      </c>
      <c r="AB6156">
        <v>2</v>
      </c>
      <c r="AC6156">
        <v>2</v>
      </c>
      <c r="AD6156">
        <v>3.3020000500000002</v>
      </c>
      <c r="AE6156">
        <v>6</v>
      </c>
      <c r="AF6156">
        <v>30</v>
      </c>
      <c r="AG6156">
        <v>3.28800011</v>
      </c>
      <c r="AH6156">
        <v>2</v>
      </c>
      <c r="AI6156">
        <v>45</v>
      </c>
      <c r="AJ6156">
        <v>1</v>
      </c>
      <c r="AK6156">
        <v>17</v>
      </c>
      <c r="AL6156">
        <v>47</v>
      </c>
      <c r="AM6156" t="s">
        <v>43</v>
      </c>
      <c r="AN6156" t="str">
        <f>HYPERLINK("https://www.google.com/maps?q=10.83267498,79.84124756","Open Location")</f>
        <v>Open Location</v>
      </c>
    </row>
    <row r="6157" spans="1:40" x14ac:dyDescent="0.3">
      <c r="A6157" s="1">
        <v>46210.286689814813</v>
      </c>
      <c r="B6157" t="s">
        <v>40</v>
      </c>
      <c r="C6157" t="s">
        <v>41</v>
      </c>
      <c r="D6157" s="1">
        <v>46210.289733796293</v>
      </c>
      <c r="E6157" t="s">
        <v>42</v>
      </c>
      <c r="F6157" t="s">
        <v>83</v>
      </c>
      <c r="G6157">
        <v>0</v>
      </c>
      <c r="H6157">
        <v>33082</v>
      </c>
      <c r="I6157" t="s">
        <v>43</v>
      </c>
      <c r="J6157">
        <v>64</v>
      </c>
      <c r="K6157">
        <v>4</v>
      </c>
      <c r="L6157">
        <v>98</v>
      </c>
      <c r="M6157">
        <v>632.79998779000005</v>
      </c>
      <c r="N6157" t="s">
        <v>85</v>
      </c>
      <c r="O6157" t="s">
        <v>86</v>
      </c>
      <c r="P6157">
        <v>127</v>
      </c>
      <c r="Q6157">
        <v>2</v>
      </c>
      <c r="R6157">
        <v>0</v>
      </c>
      <c r="S6157">
        <v>56</v>
      </c>
      <c r="T6157">
        <v>-40</v>
      </c>
      <c r="U6157">
        <v>46</v>
      </c>
      <c r="V6157">
        <v>95</v>
      </c>
      <c r="W6157">
        <v>28</v>
      </c>
      <c r="X6157">
        <v>28</v>
      </c>
      <c r="Y6157">
        <v>1</v>
      </c>
      <c r="Z6157">
        <v>1</v>
      </c>
      <c r="AA6157">
        <v>26</v>
      </c>
      <c r="AB6157">
        <v>2</v>
      </c>
      <c r="AC6157">
        <v>2</v>
      </c>
      <c r="AD6157">
        <v>3.3080000900000002</v>
      </c>
      <c r="AE6157">
        <v>6</v>
      </c>
      <c r="AF6157">
        <v>30</v>
      </c>
      <c r="AG6157">
        <v>3.2929999799999998</v>
      </c>
      <c r="AH6157">
        <v>6</v>
      </c>
      <c r="AI6157">
        <v>34</v>
      </c>
      <c r="AJ6157">
        <v>1</v>
      </c>
      <c r="AK6157">
        <v>17</v>
      </c>
      <c r="AL6157">
        <v>47</v>
      </c>
      <c r="AM6157" t="s">
        <v>43</v>
      </c>
      <c r="AN6157" t="s">
        <v>43</v>
      </c>
    </row>
    <row r="6158" spans="1:40" x14ac:dyDescent="0.3">
      <c r="A6158" s="1">
        <v>46210.286574074074</v>
      </c>
      <c r="B6158" t="s">
        <v>40</v>
      </c>
      <c r="C6158" t="s">
        <v>41</v>
      </c>
      <c r="D6158" s="1">
        <v>46210.289548611108</v>
      </c>
      <c r="E6158" t="s">
        <v>42</v>
      </c>
      <c r="F6158" t="s">
        <v>83</v>
      </c>
      <c r="G6158">
        <v>0</v>
      </c>
      <c r="H6158">
        <v>33082</v>
      </c>
      <c r="I6158" t="s">
        <v>3503</v>
      </c>
      <c r="J6158">
        <v>64</v>
      </c>
      <c r="K6158">
        <v>9</v>
      </c>
      <c r="L6158">
        <v>98</v>
      </c>
      <c r="M6158">
        <v>632.09997558999999</v>
      </c>
      <c r="N6158" t="s">
        <v>85</v>
      </c>
      <c r="O6158" t="s">
        <v>86</v>
      </c>
      <c r="P6158">
        <v>127</v>
      </c>
      <c r="Q6158">
        <v>2</v>
      </c>
      <c r="R6158">
        <v>0</v>
      </c>
      <c r="S6158">
        <v>0</v>
      </c>
      <c r="T6158">
        <v>-40</v>
      </c>
      <c r="U6158">
        <v>46</v>
      </c>
      <c r="V6158">
        <v>5</v>
      </c>
      <c r="W6158">
        <v>28</v>
      </c>
      <c r="X6158">
        <v>28</v>
      </c>
      <c r="Y6158">
        <v>1</v>
      </c>
      <c r="Z6158">
        <v>1</v>
      </c>
      <c r="AA6158">
        <v>26</v>
      </c>
      <c r="AB6158">
        <v>2</v>
      </c>
      <c r="AC6158">
        <v>2</v>
      </c>
      <c r="AD6158">
        <v>3.3059999900000001</v>
      </c>
      <c r="AE6158">
        <v>6</v>
      </c>
      <c r="AF6158">
        <v>30</v>
      </c>
      <c r="AG6158">
        <v>3.2909998900000001</v>
      </c>
      <c r="AH6158">
        <v>8</v>
      </c>
      <c r="AI6158">
        <v>48</v>
      </c>
      <c r="AJ6158">
        <v>1</v>
      </c>
      <c r="AK6158">
        <v>17</v>
      </c>
      <c r="AL6158">
        <v>47</v>
      </c>
      <c r="AM6158" t="s">
        <v>43</v>
      </c>
      <c r="AN6158" t="str">
        <f>HYPERLINK("https://www.google.com/maps?q=10.8326807,79.84124756","Open Location")</f>
        <v>Open Location</v>
      </c>
    </row>
    <row r="6159" spans="1:40" x14ac:dyDescent="0.3">
      <c r="A6159" s="1">
        <v>46210.286458333336</v>
      </c>
      <c r="B6159" t="s">
        <v>40</v>
      </c>
      <c r="C6159" t="s">
        <v>41</v>
      </c>
      <c r="D6159" s="1">
        <v>46210.289363425924</v>
      </c>
      <c r="E6159" t="s">
        <v>42</v>
      </c>
      <c r="F6159" t="s">
        <v>83</v>
      </c>
      <c r="G6159">
        <v>0</v>
      </c>
      <c r="H6159">
        <v>33082</v>
      </c>
      <c r="I6159" t="s">
        <v>3504</v>
      </c>
      <c r="J6159">
        <v>64</v>
      </c>
      <c r="K6159">
        <v>9</v>
      </c>
      <c r="L6159">
        <v>98</v>
      </c>
      <c r="M6159">
        <v>632.90002441000001</v>
      </c>
      <c r="N6159" t="s">
        <v>85</v>
      </c>
      <c r="O6159" t="s">
        <v>86</v>
      </c>
      <c r="P6159">
        <v>127</v>
      </c>
      <c r="Q6159">
        <v>2</v>
      </c>
      <c r="R6159">
        <v>0</v>
      </c>
      <c r="S6159">
        <v>0</v>
      </c>
      <c r="T6159">
        <v>-40</v>
      </c>
      <c r="U6159">
        <v>46</v>
      </c>
      <c r="V6159">
        <v>5</v>
      </c>
      <c r="W6159">
        <v>28</v>
      </c>
      <c r="X6159">
        <v>28</v>
      </c>
      <c r="Y6159">
        <v>1</v>
      </c>
      <c r="Z6159">
        <v>1</v>
      </c>
      <c r="AA6159">
        <v>26</v>
      </c>
      <c r="AB6159">
        <v>2</v>
      </c>
      <c r="AC6159">
        <v>2</v>
      </c>
      <c r="AD6159">
        <v>3.30699992</v>
      </c>
      <c r="AE6159">
        <v>6</v>
      </c>
      <c r="AF6159">
        <v>30</v>
      </c>
      <c r="AG6159">
        <v>3.2909998900000001</v>
      </c>
      <c r="AH6159">
        <v>8</v>
      </c>
      <c r="AI6159">
        <v>48</v>
      </c>
      <c r="AJ6159">
        <v>1</v>
      </c>
      <c r="AK6159">
        <v>17</v>
      </c>
      <c r="AL6159">
        <v>47</v>
      </c>
      <c r="AM6159" t="s">
        <v>43</v>
      </c>
      <c r="AN6159" t="str">
        <f>HYPERLINK("https://www.google.com/maps?q=10.83268833,79.84125519","Open Location")</f>
        <v>Open Location</v>
      </c>
    </row>
    <row r="6160" spans="1:40" x14ac:dyDescent="0.3">
      <c r="A6160" s="1">
        <v>46210.28634259259</v>
      </c>
      <c r="B6160" t="s">
        <v>40</v>
      </c>
      <c r="C6160" t="s">
        <v>41</v>
      </c>
      <c r="D6160" s="1">
        <v>46210.289583333331</v>
      </c>
      <c r="E6160" t="s">
        <v>42</v>
      </c>
      <c r="F6160" t="s">
        <v>83</v>
      </c>
      <c r="G6160">
        <v>0</v>
      </c>
      <c r="H6160" t="s">
        <v>43</v>
      </c>
      <c r="I6160" t="s">
        <v>3505</v>
      </c>
      <c r="J6160">
        <v>64</v>
      </c>
      <c r="K6160">
        <v>2</v>
      </c>
      <c r="L6160">
        <v>98</v>
      </c>
      <c r="M6160">
        <v>633.40002441000001</v>
      </c>
      <c r="N6160" t="s">
        <v>85</v>
      </c>
      <c r="O6160" t="s">
        <v>86</v>
      </c>
      <c r="P6160">
        <v>127</v>
      </c>
      <c r="Q6160">
        <v>2</v>
      </c>
      <c r="R6160">
        <v>0</v>
      </c>
      <c r="S6160">
        <v>0</v>
      </c>
      <c r="T6160">
        <v>-40</v>
      </c>
      <c r="U6160">
        <v>46</v>
      </c>
      <c r="V6160">
        <v>5</v>
      </c>
      <c r="W6160">
        <v>28</v>
      </c>
      <c r="X6160">
        <v>28</v>
      </c>
      <c r="Y6160">
        <v>1</v>
      </c>
      <c r="Z6160">
        <v>1</v>
      </c>
      <c r="AA6160">
        <v>26</v>
      </c>
      <c r="AB6160">
        <v>2</v>
      </c>
      <c r="AC6160">
        <v>2</v>
      </c>
      <c r="AD6160">
        <v>3.3080000900000002</v>
      </c>
      <c r="AE6160">
        <v>6</v>
      </c>
      <c r="AF6160">
        <v>30</v>
      </c>
      <c r="AG6160">
        <v>3.2929999799999998</v>
      </c>
      <c r="AH6160">
        <v>8</v>
      </c>
      <c r="AI6160">
        <v>48</v>
      </c>
      <c r="AJ6160">
        <v>1</v>
      </c>
      <c r="AK6160">
        <v>17</v>
      </c>
      <c r="AL6160">
        <v>47</v>
      </c>
      <c r="AM6160" t="s">
        <v>43</v>
      </c>
      <c r="AN6160" t="str">
        <f>HYPERLINK("https://www.google.com/maps?q=10.83269501,79.84125519","Open Location")</f>
        <v>Open Location</v>
      </c>
    </row>
    <row r="6161" spans="1:40" x14ac:dyDescent="0.3">
      <c r="A6161" s="1">
        <v>46210.286226851851</v>
      </c>
      <c r="B6161" t="s">
        <v>40</v>
      </c>
      <c r="C6161" t="s">
        <v>41</v>
      </c>
      <c r="D6161" s="1">
        <v>46210.289166666669</v>
      </c>
      <c r="E6161" t="s">
        <v>42</v>
      </c>
      <c r="F6161" t="s">
        <v>83</v>
      </c>
      <c r="G6161">
        <v>0</v>
      </c>
      <c r="H6161">
        <v>33082</v>
      </c>
      <c r="I6161" t="s">
        <v>3506</v>
      </c>
      <c r="J6161">
        <v>64</v>
      </c>
      <c r="K6161">
        <v>2</v>
      </c>
      <c r="L6161">
        <v>98</v>
      </c>
      <c r="M6161">
        <v>632.70001220999995</v>
      </c>
      <c r="N6161" t="s">
        <v>85</v>
      </c>
      <c r="O6161" t="s">
        <v>86</v>
      </c>
      <c r="P6161">
        <v>127</v>
      </c>
      <c r="Q6161">
        <v>2</v>
      </c>
      <c r="R6161">
        <v>0</v>
      </c>
      <c r="S6161">
        <v>0</v>
      </c>
      <c r="T6161">
        <v>-40</v>
      </c>
      <c r="U6161">
        <v>46</v>
      </c>
      <c r="V6161">
        <v>5</v>
      </c>
      <c r="W6161">
        <v>28</v>
      </c>
      <c r="X6161">
        <v>28</v>
      </c>
      <c r="Y6161">
        <v>1</v>
      </c>
      <c r="Z6161">
        <v>1</v>
      </c>
      <c r="AA6161">
        <v>26</v>
      </c>
      <c r="AB6161">
        <v>2</v>
      </c>
      <c r="AC6161">
        <v>2</v>
      </c>
      <c r="AD6161">
        <v>3.3080000900000002</v>
      </c>
      <c r="AE6161">
        <v>6</v>
      </c>
      <c r="AF6161">
        <v>30</v>
      </c>
      <c r="AG6161">
        <v>3.2929999799999998</v>
      </c>
      <c r="AH6161">
        <v>8</v>
      </c>
      <c r="AI6161">
        <v>9</v>
      </c>
      <c r="AJ6161">
        <v>1</v>
      </c>
      <c r="AK6161">
        <v>17</v>
      </c>
      <c r="AL6161">
        <v>47</v>
      </c>
      <c r="AM6161" t="s">
        <v>43</v>
      </c>
      <c r="AN6161" t="str">
        <f>HYPERLINK("https://www.google.com/maps?q=10.83269787,79.84126282","Open Location")</f>
        <v>Open Location</v>
      </c>
    </row>
    <row r="6162" spans="1:40" x14ac:dyDescent="0.3">
      <c r="A6162" s="1">
        <v>46210.286111111112</v>
      </c>
      <c r="B6162" t="s">
        <v>40</v>
      </c>
      <c r="C6162" t="s">
        <v>41</v>
      </c>
      <c r="D6162" s="1">
        <v>46210.288993055554</v>
      </c>
      <c r="E6162" t="s">
        <v>42</v>
      </c>
      <c r="F6162" t="s">
        <v>83</v>
      </c>
      <c r="G6162">
        <v>0</v>
      </c>
      <c r="H6162">
        <v>33082</v>
      </c>
      <c r="I6162" t="s">
        <v>3507</v>
      </c>
      <c r="J6162">
        <v>64</v>
      </c>
      <c r="K6162">
        <v>2</v>
      </c>
      <c r="L6162">
        <v>98</v>
      </c>
      <c r="M6162">
        <v>633.09997558999999</v>
      </c>
      <c r="N6162" t="s">
        <v>85</v>
      </c>
      <c r="O6162" t="s">
        <v>86</v>
      </c>
      <c r="P6162">
        <v>127</v>
      </c>
      <c r="Q6162">
        <v>2</v>
      </c>
      <c r="R6162">
        <v>0</v>
      </c>
      <c r="S6162">
        <v>0</v>
      </c>
      <c r="T6162">
        <v>-40</v>
      </c>
      <c r="U6162">
        <v>46</v>
      </c>
      <c r="V6162">
        <v>5</v>
      </c>
      <c r="W6162">
        <v>28</v>
      </c>
      <c r="X6162">
        <v>28</v>
      </c>
      <c r="Y6162">
        <v>1</v>
      </c>
      <c r="Z6162">
        <v>1</v>
      </c>
      <c r="AA6162">
        <v>26</v>
      </c>
      <c r="AB6162">
        <v>2</v>
      </c>
      <c r="AC6162">
        <v>2</v>
      </c>
      <c r="AD6162">
        <v>3.3080000900000002</v>
      </c>
      <c r="AE6162">
        <v>6</v>
      </c>
      <c r="AF6162">
        <v>30</v>
      </c>
      <c r="AG6162">
        <v>3.2929999799999998</v>
      </c>
      <c r="AH6162">
        <v>6</v>
      </c>
      <c r="AI6162">
        <v>34</v>
      </c>
      <c r="AJ6162">
        <v>1</v>
      </c>
      <c r="AK6162">
        <v>17</v>
      </c>
      <c r="AL6162">
        <v>47</v>
      </c>
      <c r="AM6162" t="s">
        <v>43</v>
      </c>
      <c r="AN6162" t="str">
        <f>HYPERLINK("https://www.google.com/maps?q=10.83270645,79.84125519","Open Location")</f>
        <v>Open Location</v>
      </c>
    </row>
    <row r="6163" spans="1:40" x14ac:dyDescent="0.3">
      <c r="A6163" s="1">
        <v>46210.285995370374</v>
      </c>
      <c r="B6163" t="s">
        <v>40</v>
      </c>
      <c r="C6163" t="s">
        <v>41</v>
      </c>
      <c r="D6163" s="1">
        <v>46210.288831018515</v>
      </c>
      <c r="E6163" t="s">
        <v>42</v>
      </c>
      <c r="F6163" t="s">
        <v>83</v>
      </c>
      <c r="G6163">
        <v>0</v>
      </c>
      <c r="H6163">
        <v>33082</v>
      </c>
      <c r="I6163" t="s">
        <v>43</v>
      </c>
      <c r="J6163">
        <v>64</v>
      </c>
      <c r="K6163">
        <v>2</v>
      </c>
      <c r="L6163">
        <v>98</v>
      </c>
      <c r="M6163">
        <v>632.5</v>
      </c>
      <c r="N6163" t="s">
        <v>85</v>
      </c>
      <c r="O6163" t="s">
        <v>86</v>
      </c>
      <c r="P6163">
        <v>127</v>
      </c>
      <c r="Q6163">
        <v>2</v>
      </c>
      <c r="R6163">
        <v>0</v>
      </c>
      <c r="S6163">
        <v>0</v>
      </c>
      <c r="T6163">
        <v>-40</v>
      </c>
      <c r="U6163">
        <v>46</v>
      </c>
      <c r="V6163">
        <v>5</v>
      </c>
      <c r="W6163">
        <v>28</v>
      </c>
      <c r="X6163">
        <v>28</v>
      </c>
      <c r="Y6163">
        <v>1</v>
      </c>
      <c r="Z6163">
        <v>1</v>
      </c>
      <c r="AA6163">
        <v>26</v>
      </c>
      <c r="AB6163">
        <v>2</v>
      </c>
      <c r="AC6163">
        <v>2</v>
      </c>
      <c r="AD6163">
        <v>3.30699992</v>
      </c>
      <c r="AE6163">
        <v>6</v>
      </c>
      <c r="AF6163">
        <v>30</v>
      </c>
      <c r="AG6163">
        <v>3.2920000599999999</v>
      </c>
      <c r="AH6163">
        <v>8</v>
      </c>
      <c r="AI6163">
        <v>48</v>
      </c>
      <c r="AJ6163">
        <v>1</v>
      </c>
      <c r="AK6163">
        <v>18</v>
      </c>
      <c r="AL6163">
        <v>47</v>
      </c>
      <c r="AM6163" t="s">
        <v>43</v>
      </c>
      <c r="AN6163" t="s">
        <v>43</v>
      </c>
    </row>
    <row r="6164" spans="1:40" x14ac:dyDescent="0.3">
      <c r="A6164" s="1">
        <v>46210.285879629628</v>
      </c>
      <c r="B6164" t="s">
        <v>40</v>
      </c>
      <c r="C6164" t="s">
        <v>41</v>
      </c>
      <c r="D6164" s="1">
        <v>46210.288981481484</v>
      </c>
      <c r="E6164" t="s">
        <v>42</v>
      </c>
      <c r="F6164" t="s">
        <v>83</v>
      </c>
      <c r="G6164">
        <v>6</v>
      </c>
      <c r="H6164">
        <v>33082</v>
      </c>
      <c r="I6164" t="s">
        <v>3508</v>
      </c>
      <c r="J6164">
        <v>64</v>
      </c>
      <c r="K6164">
        <v>2</v>
      </c>
      <c r="L6164">
        <v>98</v>
      </c>
      <c r="M6164">
        <v>632.79998779000005</v>
      </c>
      <c r="N6164" t="s">
        <v>87</v>
      </c>
      <c r="O6164" t="s">
        <v>86</v>
      </c>
      <c r="P6164">
        <v>127</v>
      </c>
      <c r="Q6164">
        <v>2</v>
      </c>
      <c r="R6164">
        <v>0</v>
      </c>
      <c r="S6164">
        <v>1124</v>
      </c>
      <c r="T6164">
        <v>-40</v>
      </c>
      <c r="U6164">
        <v>46</v>
      </c>
      <c r="V6164">
        <v>-5</v>
      </c>
      <c r="W6164">
        <v>28</v>
      </c>
      <c r="X6164">
        <v>28</v>
      </c>
      <c r="Y6164">
        <v>1</v>
      </c>
      <c r="Z6164">
        <v>1</v>
      </c>
      <c r="AA6164">
        <v>26</v>
      </c>
      <c r="AB6164">
        <v>2</v>
      </c>
      <c r="AC6164">
        <v>2</v>
      </c>
      <c r="AD6164">
        <v>3.30699992</v>
      </c>
      <c r="AE6164">
        <v>6</v>
      </c>
      <c r="AF6164">
        <v>30</v>
      </c>
      <c r="AG6164">
        <v>3.2920000599999999</v>
      </c>
      <c r="AH6164">
        <v>2</v>
      </c>
      <c r="AI6164">
        <v>45</v>
      </c>
      <c r="AJ6164">
        <v>1</v>
      </c>
      <c r="AK6164">
        <v>17</v>
      </c>
      <c r="AL6164">
        <v>47</v>
      </c>
      <c r="AM6164" t="s">
        <v>43</v>
      </c>
      <c r="AN6164" t="str">
        <f>HYPERLINK("https://www.google.com/maps?q=10.83271599,79.84120941","Open Location")</f>
        <v>Open Location</v>
      </c>
    </row>
    <row r="6165" spans="1:40" x14ac:dyDescent="0.3">
      <c r="A6165" s="1">
        <v>46210.285763888889</v>
      </c>
      <c r="B6165" t="s">
        <v>40</v>
      </c>
      <c r="C6165" t="s">
        <v>41</v>
      </c>
      <c r="D6165" s="1">
        <v>46210.288680555554</v>
      </c>
      <c r="E6165" t="s">
        <v>42</v>
      </c>
      <c r="F6165" t="s">
        <v>83</v>
      </c>
      <c r="G6165">
        <v>0</v>
      </c>
      <c r="H6165">
        <v>33082</v>
      </c>
      <c r="I6165" t="s">
        <v>3509</v>
      </c>
      <c r="J6165">
        <v>64</v>
      </c>
      <c r="K6165">
        <v>38</v>
      </c>
      <c r="L6165">
        <v>98</v>
      </c>
      <c r="M6165">
        <v>630.90002441000001</v>
      </c>
      <c r="N6165" t="s">
        <v>85</v>
      </c>
      <c r="O6165" t="s">
        <v>86</v>
      </c>
      <c r="P6165">
        <v>127</v>
      </c>
      <c r="Q6165">
        <v>2</v>
      </c>
      <c r="R6165">
        <v>2</v>
      </c>
      <c r="S6165">
        <v>966</v>
      </c>
      <c r="T6165">
        <v>-40</v>
      </c>
      <c r="U6165">
        <v>46</v>
      </c>
      <c r="V6165">
        <v>220</v>
      </c>
      <c r="W6165">
        <v>28</v>
      </c>
      <c r="X6165">
        <v>28</v>
      </c>
      <c r="Y6165">
        <v>1</v>
      </c>
      <c r="Z6165">
        <v>1</v>
      </c>
      <c r="AA6165">
        <v>26</v>
      </c>
      <c r="AB6165">
        <v>2</v>
      </c>
      <c r="AC6165">
        <v>2</v>
      </c>
      <c r="AD6165">
        <v>3.3059999900000001</v>
      </c>
      <c r="AE6165">
        <v>6</v>
      </c>
      <c r="AF6165">
        <v>30</v>
      </c>
      <c r="AG6165">
        <v>3.2899999599999998</v>
      </c>
      <c r="AH6165">
        <v>8</v>
      </c>
      <c r="AI6165">
        <v>48</v>
      </c>
      <c r="AJ6165">
        <v>1</v>
      </c>
      <c r="AK6165">
        <v>17</v>
      </c>
      <c r="AL6165">
        <v>47</v>
      </c>
      <c r="AM6165" t="s">
        <v>43</v>
      </c>
      <c r="AN6165" t="str">
        <f>HYPERLINK("https://www.google.com/maps?q=10.83275127,79.84104919","Open Location")</f>
        <v>Open Location</v>
      </c>
    </row>
    <row r="6166" spans="1:40" x14ac:dyDescent="0.3">
      <c r="A6166" s="1">
        <v>46210.28564814815</v>
      </c>
      <c r="B6166" t="s">
        <v>40</v>
      </c>
      <c r="C6166" t="s">
        <v>41</v>
      </c>
      <c r="D6166" s="1">
        <v>46210.288634259261</v>
      </c>
      <c r="E6166" t="s">
        <v>42</v>
      </c>
      <c r="F6166" t="s">
        <v>83</v>
      </c>
      <c r="G6166">
        <v>2</v>
      </c>
      <c r="H6166">
        <v>33082</v>
      </c>
      <c r="I6166" t="s">
        <v>3510</v>
      </c>
      <c r="J6166">
        <v>64</v>
      </c>
      <c r="K6166">
        <v>3</v>
      </c>
      <c r="L6166">
        <v>98</v>
      </c>
      <c r="M6166">
        <v>632.70001220999995</v>
      </c>
      <c r="N6166" t="s">
        <v>87</v>
      </c>
      <c r="O6166" t="s">
        <v>86</v>
      </c>
      <c r="P6166">
        <v>127</v>
      </c>
      <c r="Q6166">
        <v>2</v>
      </c>
      <c r="R6166">
        <v>16</v>
      </c>
      <c r="S6166">
        <v>1086</v>
      </c>
      <c r="T6166">
        <v>-40</v>
      </c>
      <c r="U6166">
        <v>46</v>
      </c>
      <c r="V6166">
        <v>5</v>
      </c>
      <c r="W6166">
        <v>28</v>
      </c>
      <c r="X6166">
        <v>28</v>
      </c>
      <c r="Y6166">
        <v>1</v>
      </c>
      <c r="Z6166">
        <v>1</v>
      </c>
      <c r="AA6166">
        <v>26</v>
      </c>
      <c r="AB6166">
        <v>2</v>
      </c>
      <c r="AC6166">
        <v>2</v>
      </c>
      <c r="AD6166">
        <v>3.2999999500000001</v>
      </c>
      <c r="AE6166">
        <v>6</v>
      </c>
      <c r="AF6166">
        <v>30</v>
      </c>
      <c r="AG6166">
        <v>3.28500009</v>
      </c>
      <c r="AH6166">
        <v>2</v>
      </c>
      <c r="AI6166">
        <v>45</v>
      </c>
      <c r="AJ6166">
        <v>1</v>
      </c>
      <c r="AK6166">
        <v>17</v>
      </c>
      <c r="AL6166">
        <v>47</v>
      </c>
      <c r="AM6166" t="s">
        <v>43</v>
      </c>
      <c r="AN6166" t="str">
        <f>HYPERLINK("https://www.google.com/maps?q=10.83277416,79.84095764","Open Location")</f>
        <v>Open Location</v>
      </c>
    </row>
    <row r="6167" spans="1:40" x14ac:dyDescent="0.3">
      <c r="A6167" s="1">
        <v>46210.285532407404</v>
      </c>
      <c r="B6167" t="s">
        <v>40</v>
      </c>
      <c r="C6167" t="s">
        <v>41</v>
      </c>
      <c r="D6167" s="1">
        <v>46210.288541666669</v>
      </c>
      <c r="E6167" t="s">
        <v>42</v>
      </c>
      <c r="F6167" t="s">
        <v>83</v>
      </c>
      <c r="G6167">
        <v>0</v>
      </c>
      <c r="H6167">
        <v>33082</v>
      </c>
      <c r="I6167" t="s">
        <v>3511</v>
      </c>
      <c r="J6167">
        <v>64</v>
      </c>
      <c r="K6167">
        <v>7</v>
      </c>
      <c r="L6167">
        <v>98</v>
      </c>
      <c r="M6167">
        <v>632.90002441000001</v>
      </c>
      <c r="N6167" t="s">
        <v>85</v>
      </c>
      <c r="O6167" t="s">
        <v>86</v>
      </c>
      <c r="P6167">
        <v>127</v>
      </c>
      <c r="Q6167">
        <v>2</v>
      </c>
      <c r="R6167">
        <v>-1</v>
      </c>
      <c r="S6167">
        <v>282</v>
      </c>
      <c r="T6167">
        <v>-40</v>
      </c>
      <c r="U6167">
        <v>46</v>
      </c>
      <c r="V6167">
        <v>100</v>
      </c>
      <c r="W6167">
        <v>28</v>
      </c>
      <c r="X6167">
        <v>28</v>
      </c>
      <c r="Y6167">
        <v>1</v>
      </c>
      <c r="Z6167">
        <v>1</v>
      </c>
      <c r="AA6167">
        <v>26</v>
      </c>
      <c r="AB6167">
        <v>2</v>
      </c>
      <c r="AC6167">
        <v>2</v>
      </c>
      <c r="AD6167">
        <v>3.30699992</v>
      </c>
      <c r="AE6167">
        <v>6</v>
      </c>
      <c r="AF6167">
        <v>30</v>
      </c>
      <c r="AG6167">
        <v>3.2920000599999999</v>
      </c>
      <c r="AH6167">
        <v>8</v>
      </c>
      <c r="AI6167">
        <v>9</v>
      </c>
      <c r="AJ6167">
        <v>1</v>
      </c>
      <c r="AK6167">
        <v>17</v>
      </c>
      <c r="AL6167">
        <v>47</v>
      </c>
      <c r="AM6167" t="s">
        <v>43</v>
      </c>
      <c r="AN6167" t="str">
        <f>HYPERLINK("https://www.google.com/maps?q=10.83277702,79.84092712","Open Location")</f>
        <v>Open Location</v>
      </c>
    </row>
    <row r="6168" spans="1:40" x14ac:dyDescent="0.3">
      <c r="A6168" s="1">
        <v>46210.285416666666</v>
      </c>
      <c r="B6168" t="s">
        <v>40</v>
      </c>
      <c r="C6168" t="s">
        <v>41</v>
      </c>
      <c r="D6168" s="1">
        <v>46210.288287037038</v>
      </c>
      <c r="E6168" t="s">
        <v>42</v>
      </c>
      <c r="F6168" t="s">
        <v>83</v>
      </c>
      <c r="G6168">
        <v>0</v>
      </c>
      <c r="H6168" t="s">
        <v>43</v>
      </c>
      <c r="I6168" t="s">
        <v>43</v>
      </c>
      <c r="J6168">
        <v>64</v>
      </c>
      <c r="K6168">
        <v>9</v>
      </c>
      <c r="L6168">
        <v>98</v>
      </c>
      <c r="M6168">
        <v>632</v>
      </c>
      <c r="N6168" t="s">
        <v>85</v>
      </c>
      <c r="O6168" t="s">
        <v>86</v>
      </c>
      <c r="P6168">
        <v>127</v>
      </c>
      <c r="Q6168">
        <v>2</v>
      </c>
      <c r="R6168">
        <v>0</v>
      </c>
      <c r="S6168">
        <v>0</v>
      </c>
      <c r="T6168">
        <v>-40</v>
      </c>
      <c r="U6168">
        <v>46</v>
      </c>
      <c r="V6168">
        <v>5</v>
      </c>
      <c r="W6168">
        <v>28</v>
      </c>
      <c r="X6168">
        <v>28</v>
      </c>
      <c r="Y6168">
        <v>1</v>
      </c>
      <c r="Z6168">
        <v>1</v>
      </c>
      <c r="AA6168">
        <v>26</v>
      </c>
      <c r="AB6168">
        <v>2</v>
      </c>
      <c r="AC6168">
        <v>2</v>
      </c>
      <c r="AD6168">
        <v>3.3059999900000001</v>
      </c>
      <c r="AE6168">
        <v>6</v>
      </c>
      <c r="AF6168">
        <v>30</v>
      </c>
      <c r="AG6168">
        <v>3.2909998900000001</v>
      </c>
      <c r="AH6168">
        <v>8</v>
      </c>
      <c r="AI6168">
        <v>48</v>
      </c>
      <c r="AJ6168">
        <v>1</v>
      </c>
      <c r="AK6168">
        <v>18</v>
      </c>
      <c r="AL6168">
        <v>47</v>
      </c>
      <c r="AM6168" t="s">
        <v>43</v>
      </c>
      <c r="AN6168" t="s">
        <v>43</v>
      </c>
    </row>
    <row r="6169" spans="1:40" x14ac:dyDescent="0.3">
      <c r="A6169" s="1">
        <v>46210.285300925927</v>
      </c>
      <c r="B6169" t="s">
        <v>40</v>
      </c>
      <c r="C6169" t="s">
        <v>41</v>
      </c>
      <c r="D6169" s="1">
        <v>46210.288402777776</v>
      </c>
      <c r="E6169" t="s">
        <v>42</v>
      </c>
      <c r="F6169" t="s">
        <v>83</v>
      </c>
      <c r="G6169">
        <v>4</v>
      </c>
      <c r="H6169">
        <v>33082</v>
      </c>
      <c r="I6169" t="s">
        <v>3512</v>
      </c>
      <c r="J6169">
        <v>64</v>
      </c>
      <c r="K6169">
        <v>9</v>
      </c>
      <c r="L6169">
        <v>98</v>
      </c>
      <c r="M6169">
        <v>632.40002441000001</v>
      </c>
      <c r="N6169" t="s">
        <v>87</v>
      </c>
      <c r="O6169" t="s">
        <v>86</v>
      </c>
      <c r="P6169">
        <v>127</v>
      </c>
      <c r="Q6169">
        <v>2</v>
      </c>
      <c r="R6169">
        <v>0</v>
      </c>
      <c r="S6169">
        <v>6</v>
      </c>
      <c r="T6169">
        <v>-40</v>
      </c>
      <c r="U6169">
        <v>45</v>
      </c>
      <c r="V6169">
        <v>0</v>
      </c>
      <c r="W6169">
        <v>28</v>
      </c>
      <c r="X6169">
        <v>28</v>
      </c>
      <c r="Y6169">
        <v>1</v>
      </c>
      <c r="Z6169">
        <v>1</v>
      </c>
      <c r="AA6169">
        <v>26</v>
      </c>
      <c r="AB6169">
        <v>2</v>
      </c>
      <c r="AC6169">
        <v>2</v>
      </c>
      <c r="AD6169">
        <v>3.30699992</v>
      </c>
      <c r="AE6169">
        <v>6</v>
      </c>
      <c r="AF6169">
        <v>30</v>
      </c>
      <c r="AG6169">
        <v>3.2909998900000001</v>
      </c>
      <c r="AH6169">
        <v>8</v>
      </c>
      <c r="AI6169">
        <v>48</v>
      </c>
      <c r="AJ6169">
        <v>1</v>
      </c>
      <c r="AK6169">
        <v>17</v>
      </c>
      <c r="AL6169">
        <v>47</v>
      </c>
      <c r="AM6169" t="s">
        <v>43</v>
      </c>
      <c r="AN6169" t="str">
        <f>HYPERLINK("https://www.google.com/maps?q=10.83277321,79.84091187","Open Location")</f>
        <v>Open Location</v>
      </c>
    </row>
    <row r="6170" spans="1:40" x14ac:dyDescent="0.3">
      <c r="A6170" s="1">
        <v>46210.285185185188</v>
      </c>
      <c r="B6170" t="s">
        <v>40</v>
      </c>
      <c r="C6170" t="s">
        <v>41</v>
      </c>
      <c r="D6170" s="1">
        <v>46210.288287037038</v>
      </c>
      <c r="E6170" t="s">
        <v>42</v>
      </c>
      <c r="F6170" t="s">
        <v>83</v>
      </c>
      <c r="G6170">
        <v>6</v>
      </c>
      <c r="H6170">
        <v>33082</v>
      </c>
      <c r="I6170" t="s">
        <v>3513</v>
      </c>
      <c r="J6170">
        <v>64</v>
      </c>
      <c r="K6170">
        <v>5</v>
      </c>
      <c r="L6170">
        <v>98</v>
      </c>
      <c r="M6170">
        <v>632.79998779000005</v>
      </c>
      <c r="N6170" t="s">
        <v>87</v>
      </c>
      <c r="O6170" t="s">
        <v>86</v>
      </c>
      <c r="P6170">
        <v>127</v>
      </c>
      <c r="Q6170">
        <v>2</v>
      </c>
      <c r="R6170">
        <v>8</v>
      </c>
      <c r="S6170">
        <v>1350</v>
      </c>
      <c r="T6170">
        <v>-40</v>
      </c>
      <c r="U6170">
        <v>46</v>
      </c>
      <c r="V6170">
        <v>5</v>
      </c>
      <c r="W6170">
        <v>28</v>
      </c>
      <c r="X6170">
        <v>28</v>
      </c>
      <c r="Y6170">
        <v>1</v>
      </c>
      <c r="Z6170">
        <v>1</v>
      </c>
      <c r="AA6170">
        <v>26</v>
      </c>
      <c r="AB6170">
        <v>2</v>
      </c>
      <c r="AC6170">
        <v>2</v>
      </c>
      <c r="AD6170">
        <v>3.3050000700000002</v>
      </c>
      <c r="AE6170">
        <v>6</v>
      </c>
      <c r="AF6170">
        <v>30</v>
      </c>
      <c r="AG6170">
        <v>3.2899999599999998</v>
      </c>
      <c r="AH6170">
        <v>8</v>
      </c>
      <c r="AI6170">
        <v>48</v>
      </c>
      <c r="AJ6170">
        <v>1</v>
      </c>
      <c r="AK6170">
        <v>17</v>
      </c>
      <c r="AL6170">
        <v>47</v>
      </c>
      <c r="AM6170" t="s">
        <v>43</v>
      </c>
      <c r="AN6170" t="str">
        <f>HYPERLINK("https://www.google.com/maps?q=10.83279324,79.84075928","Open Location")</f>
        <v>Open Location</v>
      </c>
    </row>
    <row r="6171" spans="1:40" x14ac:dyDescent="0.3">
      <c r="A6171" s="1">
        <v>46210.285069444442</v>
      </c>
      <c r="B6171" t="s">
        <v>40</v>
      </c>
      <c r="C6171" t="s">
        <v>41</v>
      </c>
      <c r="D6171" s="1">
        <v>46210.287800925929</v>
      </c>
      <c r="E6171" t="s">
        <v>42</v>
      </c>
      <c r="F6171" t="s">
        <v>83</v>
      </c>
      <c r="G6171">
        <v>0</v>
      </c>
      <c r="H6171">
        <v>33082</v>
      </c>
      <c r="I6171" t="s">
        <v>3514</v>
      </c>
      <c r="J6171">
        <v>64</v>
      </c>
      <c r="K6171">
        <v>8</v>
      </c>
      <c r="L6171">
        <v>98</v>
      </c>
      <c r="M6171">
        <v>632.90002441000001</v>
      </c>
      <c r="N6171" t="s">
        <v>85</v>
      </c>
      <c r="O6171" t="s">
        <v>82</v>
      </c>
      <c r="P6171">
        <v>125</v>
      </c>
      <c r="Q6171" t="s">
        <v>82</v>
      </c>
      <c r="R6171">
        <v>0</v>
      </c>
      <c r="S6171">
        <v>0</v>
      </c>
      <c r="T6171">
        <v>-40</v>
      </c>
      <c r="U6171">
        <v>46</v>
      </c>
      <c r="V6171">
        <v>0</v>
      </c>
      <c r="W6171">
        <v>28</v>
      </c>
      <c r="X6171">
        <v>28</v>
      </c>
      <c r="Y6171">
        <v>1</v>
      </c>
      <c r="Z6171">
        <v>1</v>
      </c>
      <c r="AA6171">
        <v>26</v>
      </c>
      <c r="AB6171">
        <v>2</v>
      </c>
      <c r="AC6171">
        <v>2</v>
      </c>
      <c r="AD6171">
        <v>3.30699992</v>
      </c>
      <c r="AE6171">
        <v>6</v>
      </c>
      <c r="AF6171">
        <v>30</v>
      </c>
      <c r="AG6171">
        <v>3.2920000599999999</v>
      </c>
      <c r="AH6171">
        <v>2</v>
      </c>
      <c r="AI6171">
        <v>45</v>
      </c>
      <c r="AJ6171">
        <v>1</v>
      </c>
      <c r="AK6171">
        <v>17</v>
      </c>
      <c r="AL6171">
        <v>47</v>
      </c>
      <c r="AM6171" t="s">
        <v>43</v>
      </c>
      <c r="AN6171" t="str">
        <f>HYPERLINK("https://www.google.com/maps?q=10.83279705,79.84072113","Open Location")</f>
        <v>Open Location</v>
      </c>
    </row>
    <row r="6172" spans="1:40" x14ac:dyDescent="0.3">
      <c r="A6172" s="1">
        <v>46210.284953703704</v>
      </c>
      <c r="B6172" t="s">
        <v>40</v>
      </c>
      <c r="C6172" t="s">
        <v>41</v>
      </c>
      <c r="D6172" s="1">
        <v>46210.288055555553</v>
      </c>
      <c r="E6172" t="s">
        <v>42</v>
      </c>
      <c r="F6172" t="s">
        <v>83</v>
      </c>
      <c r="G6172">
        <v>0</v>
      </c>
      <c r="H6172">
        <v>33082</v>
      </c>
      <c r="I6172" t="s">
        <v>3515</v>
      </c>
      <c r="J6172">
        <v>64</v>
      </c>
      <c r="K6172">
        <v>9</v>
      </c>
      <c r="L6172">
        <v>98</v>
      </c>
      <c r="M6172">
        <v>633</v>
      </c>
      <c r="N6172" t="s">
        <v>85</v>
      </c>
      <c r="O6172" t="s">
        <v>82</v>
      </c>
      <c r="P6172">
        <v>125</v>
      </c>
      <c r="Q6172" t="s">
        <v>82</v>
      </c>
      <c r="R6172">
        <v>0</v>
      </c>
      <c r="S6172">
        <v>0</v>
      </c>
      <c r="T6172">
        <v>-40</v>
      </c>
      <c r="U6172">
        <v>46</v>
      </c>
      <c r="V6172">
        <v>0</v>
      </c>
      <c r="W6172">
        <v>28</v>
      </c>
      <c r="X6172">
        <v>28</v>
      </c>
      <c r="Y6172">
        <v>1</v>
      </c>
      <c r="Z6172">
        <v>1</v>
      </c>
      <c r="AA6172">
        <v>26</v>
      </c>
      <c r="AB6172">
        <v>2</v>
      </c>
      <c r="AC6172">
        <v>2</v>
      </c>
      <c r="AD6172">
        <v>3.30699992</v>
      </c>
      <c r="AE6172">
        <v>6</v>
      </c>
      <c r="AF6172">
        <v>30</v>
      </c>
      <c r="AG6172">
        <v>3.2920000599999999</v>
      </c>
      <c r="AH6172">
        <v>8</v>
      </c>
      <c r="AI6172">
        <v>9</v>
      </c>
      <c r="AJ6172" t="s">
        <v>43</v>
      </c>
      <c r="AK6172" t="s">
        <v>43</v>
      </c>
      <c r="AL6172" t="s">
        <v>43</v>
      </c>
      <c r="AM6172" t="s">
        <v>43</v>
      </c>
      <c r="AN6172" t="str">
        <f>HYPERLINK("https://www.google.com/maps?q=10.8327961,79.84072113","Open Location")</f>
        <v>Open Location</v>
      </c>
    </row>
    <row r="6173" spans="1:40" x14ac:dyDescent="0.3">
      <c r="A6173" s="1">
        <v>46210.284837962965</v>
      </c>
      <c r="B6173" t="s">
        <v>40</v>
      </c>
      <c r="C6173" t="s">
        <v>41</v>
      </c>
      <c r="D6173" s="1">
        <v>46210.287546296298</v>
      </c>
      <c r="E6173" t="s">
        <v>42</v>
      </c>
      <c r="F6173" t="s">
        <v>83</v>
      </c>
      <c r="G6173">
        <v>0</v>
      </c>
      <c r="H6173">
        <v>33082</v>
      </c>
      <c r="I6173" t="s">
        <v>3514</v>
      </c>
      <c r="J6173">
        <v>64</v>
      </c>
      <c r="K6173">
        <v>9</v>
      </c>
      <c r="L6173">
        <v>98</v>
      </c>
      <c r="M6173">
        <v>632.70001220999995</v>
      </c>
      <c r="N6173" t="s">
        <v>85</v>
      </c>
      <c r="O6173" t="s">
        <v>82</v>
      </c>
      <c r="P6173">
        <v>125</v>
      </c>
      <c r="Q6173" t="s">
        <v>82</v>
      </c>
      <c r="R6173">
        <v>0</v>
      </c>
      <c r="S6173">
        <v>0</v>
      </c>
      <c r="T6173">
        <v>-40</v>
      </c>
      <c r="U6173">
        <v>46</v>
      </c>
      <c r="V6173">
        <v>0</v>
      </c>
      <c r="W6173">
        <v>28</v>
      </c>
      <c r="X6173">
        <v>28</v>
      </c>
      <c r="Y6173">
        <v>1</v>
      </c>
      <c r="Z6173">
        <v>1</v>
      </c>
      <c r="AA6173">
        <v>26</v>
      </c>
      <c r="AB6173">
        <v>2</v>
      </c>
      <c r="AC6173">
        <v>2</v>
      </c>
      <c r="AD6173">
        <v>3.3080000900000002</v>
      </c>
      <c r="AE6173">
        <v>6</v>
      </c>
      <c r="AF6173">
        <v>30</v>
      </c>
      <c r="AG6173">
        <v>3.2929999799999998</v>
      </c>
      <c r="AH6173">
        <v>8</v>
      </c>
      <c r="AI6173">
        <v>9</v>
      </c>
      <c r="AJ6173">
        <v>1</v>
      </c>
      <c r="AK6173">
        <v>17</v>
      </c>
      <c r="AL6173">
        <v>47</v>
      </c>
      <c r="AM6173" t="s">
        <v>43</v>
      </c>
      <c r="AN6173" t="str">
        <f>HYPERLINK("https://www.google.com/maps?q=10.83279705,79.84072113","Open Location")</f>
        <v>Open Location</v>
      </c>
    </row>
    <row r="6174" spans="1:40" x14ac:dyDescent="0.3">
      <c r="A6174" s="1">
        <v>46210.284722222219</v>
      </c>
      <c r="B6174" t="s">
        <v>40</v>
      </c>
      <c r="C6174" t="s">
        <v>41</v>
      </c>
      <c r="D6174" s="1">
        <v>46210.287627314814</v>
      </c>
      <c r="E6174" t="s">
        <v>42</v>
      </c>
      <c r="F6174" t="s">
        <v>83</v>
      </c>
      <c r="G6174">
        <v>0</v>
      </c>
      <c r="H6174">
        <v>33082</v>
      </c>
      <c r="I6174" t="s">
        <v>43</v>
      </c>
      <c r="J6174">
        <v>64</v>
      </c>
      <c r="K6174">
        <v>2</v>
      </c>
      <c r="L6174">
        <v>98</v>
      </c>
      <c r="M6174">
        <v>633.40002441000001</v>
      </c>
      <c r="N6174" t="s">
        <v>85</v>
      </c>
      <c r="O6174" t="s">
        <v>82</v>
      </c>
      <c r="P6174">
        <v>125</v>
      </c>
      <c r="Q6174" t="s">
        <v>82</v>
      </c>
      <c r="R6174">
        <v>0</v>
      </c>
      <c r="S6174">
        <v>0</v>
      </c>
      <c r="T6174">
        <v>-40</v>
      </c>
      <c r="U6174">
        <v>46</v>
      </c>
      <c r="V6174">
        <v>0</v>
      </c>
      <c r="W6174">
        <v>28</v>
      </c>
      <c r="X6174">
        <v>28</v>
      </c>
      <c r="Y6174">
        <v>1</v>
      </c>
      <c r="Z6174">
        <v>1</v>
      </c>
      <c r="AA6174">
        <v>26</v>
      </c>
      <c r="AB6174">
        <v>2</v>
      </c>
      <c r="AC6174">
        <v>2</v>
      </c>
      <c r="AD6174">
        <v>3.30900002</v>
      </c>
      <c r="AE6174">
        <v>6</v>
      </c>
      <c r="AF6174">
        <v>30</v>
      </c>
      <c r="AG6174">
        <v>3.2929999799999998</v>
      </c>
      <c r="AH6174">
        <v>8</v>
      </c>
      <c r="AI6174">
        <v>48</v>
      </c>
      <c r="AJ6174">
        <v>1</v>
      </c>
      <c r="AK6174">
        <v>17</v>
      </c>
      <c r="AL6174">
        <v>47</v>
      </c>
      <c r="AM6174" t="s">
        <v>43</v>
      </c>
      <c r="AN6174" t="s">
        <v>43</v>
      </c>
    </row>
    <row r="6175" spans="1:40" x14ac:dyDescent="0.3">
      <c r="A6175" s="1">
        <v>46210.28460648148</v>
      </c>
      <c r="B6175" t="s">
        <v>40</v>
      </c>
      <c r="C6175" t="s">
        <v>41</v>
      </c>
      <c r="D6175" s="1">
        <v>46210.287569444445</v>
      </c>
      <c r="E6175" t="s">
        <v>42</v>
      </c>
      <c r="F6175" t="s">
        <v>83</v>
      </c>
      <c r="G6175">
        <v>0</v>
      </c>
      <c r="H6175" t="s">
        <v>43</v>
      </c>
      <c r="I6175" t="s">
        <v>3516</v>
      </c>
      <c r="J6175">
        <v>64</v>
      </c>
      <c r="K6175">
        <v>2</v>
      </c>
      <c r="L6175">
        <v>98</v>
      </c>
      <c r="M6175">
        <v>632.59997558999999</v>
      </c>
      <c r="N6175" t="s">
        <v>85</v>
      </c>
      <c r="O6175" t="s">
        <v>82</v>
      </c>
      <c r="P6175">
        <v>124</v>
      </c>
      <c r="Q6175" t="s">
        <v>249</v>
      </c>
      <c r="R6175">
        <v>0</v>
      </c>
      <c r="S6175">
        <v>0</v>
      </c>
      <c r="T6175">
        <v>-40</v>
      </c>
      <c r="U6175">
        <v>46</v>
      </c>
      <c r="V6175">
        <v>0</v>
      </c>
      <c r="W6175">
        <v>28</v>
      </c>
      <c r="X6175">
        <v>28</v>
      </c>
      <c r="Y6175">
        <v>1</v>
      </c>
      <c r="Z6175">
        <v>1</v>
      </c>
      <c r="AA6175">
        <v>26</v>
      </c>
      <c r="AB6175">
        <v>2</v>
      </c>
      <c r="AC6175">
        <v>2</v>
      </c>
      <c r="AD6175">
        <v>3.30900002</v>
      </c>
      <c r="AE6175">
        <v>6</v>
      </c>
      <c r="AF6175">
        <v>30</v>
      </c>
      <c r="AG6175">
        <v>3.2929999799999998</v>
      </c>
      <c r="AH6175">
        <v>8</v>
      </c>
      <c r="AI6175">
        <v>48</v>
      </c>
      <c r="AJ6175">
        <v>1</v>
      </c>
      <c r="AK6175">
        <v>17</v>
      </c>
      <c r="AL6175">
        <v>47</v>
      </c>
      <c r="AM6175" t="s">
        <v>43</v>
      </c>
      <c r="AN6175" t="str">
        <f>HYPERLINK("https://www.google.com/maps?q=10.83279419,79.84072876","Open Location")</f>
        <v>Open Location</v>
      </c>
    </row>
    <row r="6176" spans="1:40" x14ac:dyDescent="0.3">
      <c r="A6176" s="1">
        <v>46210.284490740742</v>
      </c>
      <c r="B6176" t="s">
        <v>40</v>
      </c>
      <c r="C6176" t="s">
        <v>41</v>
      </c>
      <c r="D6176" s="1">
        <v>46210.287268518521</v>
      </c>
      <c r="E6176" t="s">
        <v>42</v>
      </c>
      <c r="F6176" t="s">
        <v>83</v>
      </c>
      <c r="G6176">
        <v>4</v>
      </c>
      <c r="H6176">
        <v>33082</v>
      </c>
      <c r="I6176" t="s">
        <v>3517</v>
      </c>
      <c r="J6176">
        <v>64</v>
      </c>
      <c r="K6176">
        <v>2</v>
      </c>
      <c r="L6176">
        <v>98</v>
      </c>
      <c r="M6176">
        <v>633</v>
      </c>
      <c r="N6176" t="s">
        <v>87</v>
      </c>
      <c r="O6176" t="s">
        <v>86</v>
      </c>
      <c r="P6176">
        <v>127</v>
      </c>
      <c r="Q6176">
        <v>2</v>
      </c>
      <c r="R6176">
        <v>0</v>
      </c>
      <c r="S6176">
        <v>297</v>
      </c>
      <c r="T6176">
        <v>-40</v>
      </c>
      <c r="U6176">
        <v>46</v>
      </c>
      <c r="V6176">
        <v>-30</v>
      </c>
      <c r="W6176">
        <v>28</v>
      </c>
      <c r="X6176">
        <v>28</v>
      </c>
      <c r="Y6176">
        <v>1</v>
      </c>
      <c r="Z6176">
        <v>1</v>
      </c>
      <c r="AA6176">
        <v>26</v>
      </c>
      <c r="AB6176">
        <v>2</v>
      </c>
      <c r="AC6176">
        <v>2</v>
      </c>
      <c r="AD6176">
        <v>3.3080000900000002</v>
      </c>
      <c r="AE6176">
        <v>6</v>
      </c>
      <c r="AF6176">
        <v>30</v>
      </c>
      <c r="AG6176">
        <v>3.2929999799999998</v>
      </c>
      <c r="AH6176">
        <v>8</v>
      </c>
      <c r="AI6176">
        <v>9</v>
      </c>
      <c r="AJ6176">
        <v>1</v>
      </c>
      <c r="AK6176">
        <v>19</v>
      </c>
      <c r="AL6176">
        <v>47</v>
      </c>
      <c r="AM6176" t="s">
        <v>43</v>
      </c>
      <c r="AN6176" t="str">
        <f>HYPERLINK("https://www.google.com/maps?q=10.832798,79.84069061","Open Location")</f>
        <v>Open Location</v>
      </c>
    </row>
    <row r="6177" spans="1:40" x14ac:dyDescent="0.3">
      <c r="A6177" s="1">
        <v>46210.284375000003</v>
      </c>
      <c r="B6177" t="s">
        <v>40</v>
      </c>
      <c r="C6177" t="s">
        <v>41</v>
      </c>
      <c r="D6177" s="1">
        <v>46210.287187499998</v>
      </c>
      <c r="E6177" t="s">
        <v>42</v>
      </c>
      <c r="F6177" t="s">
        <v>83</v>
      </c>
      <c r="G6177">
        <v>0</v>
      </c>
      <c r="H6177">
        <v>33082</v>
      </c>
      <c r="I6177" t="s">
        <v>3518</v>
      </c>
      <c r="J6177">
        <v>64</v>
      </c>
      <c r="K6177">
        <v>9</v>
      </c>
      <c r="L6177">
        <v>98</v>
      </c>
      <c r="M6177">
        <v>633</v>
      </c>
      <c r="N6177" t="s">
        <v>85</v>
      </c>
      <c r="O6177" t="s">
        <v>86</v>
      </c>
      <c r="P6177">
        <v>127</v>
      </c>
      <c r="Q6177">
        <v>2</v>
      </c>
      <c r="R6177">
        <v>0</v>
      </c>
      <c r="S6177">
        <v>258</v>
      </c>
      <c r="T6177">
        <v>-40</v>
      </c>
      <c r="U6177">
        <v>45</v>
      </c>
      <c r="V6177">
        <v>180</v>
      </c>
      <c r="W6177">
        <v>28</v>
      </c>
      <c r="X6177">
        <v>28</v>
      </c>
      <c r="Y6177">
        <v>1</v>
      </c>
      <c r="Z6177">
        <v>1</v>
      </c>
      <c r="AA6177">
        <v>26</v>
      </c>
      <c r="AB6177">
        <v>2</v>
      </c>
      <c r="AC6177">
        <v>2</v>
      </c>
      <c r="AD6177">
        <v>3.30900002</v>
      </c>
      <c r="AE6177">
        <v>6</v>
      </c>
      <c r="AF6177">
        <v>30</v>
      </c>
      <c r="AG6177">
        <v>3.2929999799999998</v>
      </c>
      <c r="AH6177">
        <v>8</v>
      </c>
      <c r="AI6177">
        <v>48</v>
      </c>
      <c r="AJ6177">
        <v>1</v>
      </c>
      <c r="AK6177">
        <v>17</v>
      </c>
      <c r="AL6177">
        <v>47</v>
      </c>
      <c r="AM6177" t="s">
        <v>43</v>
      </c>
      <c r="AN6177" t="str">
        <f>HYPERLINK("https://www.google.com/maps?q=10.83280182,79.84061432","Open Location")</f>
        <v>Open Location</v>
      </c>
    </row>
    <row r="6178" spans="1:40" x14ac:dyDescent="0.3">
      <c r="A6178" s="1">
        <v>46210.284259259257</v>
      </c>
      <c r="B6178" t="s">
        <v>40</v>
      </c>
      <c r="C6178" t="s">
        <v>41</v>
      </c>
      <c r="D6178" s="1">
        <v>46210.287083333336</v>
      </c>
      <c r="E6178" t="s">
        <v>42</v>
      </c>
      <c r="F6178" t="s">
        <v>83</v>
      </c>
      <c r="G6178">
        <v>0</v>
      </c>
      <c r="H6178">
        <v>33082</v>
      </c>
      <c r="I6178" t="s">
        <v>3519</v>
      </c>
      <c r="J6178">
        <v>64</v>
      </c>
      <c r="K6178">
        <v>2</v>
      </c>
      <c r="L6178">
        <v>98</v>
      </c>
      <c r="M6178">
        <v>633.20001220999995</v>
      </c>
      <c r="N6178" t="s">
        <v>85</v>
      </c>
      <c r="O6178" t="s">
        <v>86</v>
      </c>
      <c r="P6178">
        <v>127</v>
      </c>
      <c r="Q6178">
        <v>2</v>
      </c>
      <c r="R6178">
        <v>0</v>
      </c>
      <c r="S6178">
        <v>0</v>
      </c>
      <c r="T6178">
        <v>-40</v>
      </c>
      <c r="U6178">
        <v>45</v>
      </c>
      <c r="V6178">
        <v>5</v>
      </c>
      <c r="W6178">
        <v>28</v>
      </c>
      <c r="X6178">
        <v>28</v>
      </c>
      <c r="Y6178">
        <v>1</v>
      </c>
      <c r="Z6178">
        <v>1</v>
      </c>
      <c r="AA6178">
        <v>26</v>
      </c>
      <c r="AB6178">
        <v>2</v>
      </c>
      <c r="AC6178">
        <v>2</v>
      </c>
      <c r="AD6178">
        <v>3.30900002</v>
      </c>
      <c r="AE6178">
        <v>6</v>
      </c>
      <c r="AF6178">
        <v>30</v>
      </c>
      <c r="AG6178">
        <v>3.2929999799999998</v>
      </c>
      <c r="AH6178">
        <v>8</v>
      </c>
      <c r="AI6178">
        <v>48</v>
      </c>
      <c r="AJ6178">
        <v>1</v>
      </c>
      <c r="AK6178">
        <v>17</v>
      </c>
      <c r="AL6178">
        <v>47</v>
      </c>
      <c r="AM6178" t="s">
        <v>43</v>
      </c>
      <c r="AN6178" t="str">
        <f>HYPERLINK("https://www.google.com/maps?q=10.83280754,79.84061432","Open Location")</f>
        <v>Open Location</v>
      </c>
    </row>
    <row r="6179" spans="1:40" x14ac:dyDescent="0.3">
      <c r="A6179" s="1">
        <v>46210.284143518518</v>
      </c>
      <c r="B6179" t="s">
        <v>40</v>
      </c>
      <c r="C6179" t="s">
        <v>41</v>
      </c>
      <c r="D6179" s="1">
        <v>46210.286886574075</v>
      </c>
      <c r="E6179" t="s">
        <v>42</v>
      </c>
      <c r="F6179" t="s">
        <v>83</v>
      </c>
      <c r="G6179">
        <v>0</v>
      </c>
      <c r="H6179">
        <v>33082</v>
      </c>
      <c r="I6179" t="s">
        <v>3520</v>
      </c>
      <c r="J6179">
        <v>64</v>
      </c>
      <c r="K6179">
        <v>2</v>
      </c>
      <c r="L6179">
        <v>98</v>
      </c>
      <c r="M6179">
        <v>633.40002441000001</v>
      </c>
      <c r="N6179" t="s">
        <v>85</v>
      </c>
      <c r="O6179" t="s">
        <v>86</v>
      </c>
      <c r="P6179">
        <v>127</v>
      </c>
      <c r="Q6179">
        <v>2</v>
      </c>
      <c r="R6179">
        <v>0</v>
      </c>
      <c r="S6179">
        <v>0</v>
      </c>
      <c r="T6179">
        <v>-40</v>
      </c>
      <c r="U6179">
        <v>45</v>
      </c>
      <c r="V6179">
        <v>5</v>
      </c>
      <c r="W6179">
        <v>28</v>
      </c>
      <c r="X6179">
        <v>28</v>
      </c>
      <c r="Y6179">
        <v>1</v>
      </c>
      <c r="Z6179">
        <v>1</v>
      </c>
      <c r="AA6179">
        <v>26</v>
      </c>
      <c r="AB6179">
        <v>2</v>
      </c>
      <c r="AC6179">
        <v>2</v>
      </c>
      <c r="AD6179">
        <v>3.3080000900000002</v>
      </c>
      <c r="AE6179">
        <v>6</v>
      </c>
      <c r="AF6179">
        <v>30</v>
      </c>
      <c r="AG6179">
        <v>3.2920000599999999</v>
      </c>
      <c r="AH6179">
        <v>8</v>
      </c>
      <c r="AI6179">
        <v>48</v>
      </c>
      <c r="AJ6179">
        <v>1</v>
      </c>
      <c r="AK6179">
        <v>17</v>
      </c>
      <c r="AL6179">
        <v>47</v>
      </c>
      <c r="AM6179" t="s">
        <v>43</v>
      </c>
      <c r="AN6179" t="str">
        <f>HYPERLINK("https://www.google.com/maps?q=10.83281136,79.84059906","Open Location")</f>
        <v>Open Location</v>
      </c>
    </row>
    <row r="6180" spans="1:40" x14ac:dyDescent="0.3">
      <c r="A6180" s="1">
        <v>46210.28402777778</v>
      </c>
      <c r="B6180" t="s">
        <v>40</v>
      </c>
      <c r="C6180" t="s">
        <v>41</v>
      </c>
      <c r="D6180" s="1">
        <v>46210.286886574075</v>
      </c>
      <c r="E6180" t="s">
        <v>42</v>
      </c>
      <c r="F6180" t="s">
        <v>83</v>
      </c>
      <c r="G6180">
        <v>0</v>
      </c>
      <c r="H6180">
        <v>33082</v>
      </c>
      <c r="I6180" t="s">
        <v>43</v>
      </c>
      <c r="J6180">
        <v>64</v>
      </c>
      <c r="K6180">
        <v>9</v>
      </c>
      <c r="L6180">
        <v>98</v>
      </c>
      <c r="M6180">
        <v>632.70001220999995</v>
      </c>
      <c r="N6180" t="s">
        <v>85</v>
      </c>
      <c r="O6180" t="s">
        <v>86</v>
      </c>
      <c r="P6180">
        <v>127</v>
      </c>
      <c r="Q6180">
        <v>2</v>
      </c>
      <c r="R6180">
        <v>0</v>
      </c>
      <c r="S6180">
        <v>0</v>
      </c>
      <c r="T6180">
        <v>-40</v>
      </c>
      <c r="U6180">
        <v>45</v>
      </c>
      <c r="V6180">
        <v>5</v>
      </c>
      <c r="W6180">
        <v>28</v>
      </c>
      <c r="X6180">
        <v>28</v>
      </c>
      <c r="Y6180">
        <v>1</v>
      </c>
      <c r="Z6180">
        <v>1</v>
      </c>
      <c r="AA6180">
        <v>26</v>
      </c>
      <c r="AB6180">
        <v>2</v>
      </c>
      <c r="AC6180">
        <v>2</v>
      </c>
      <c r="AD6180">
        <v>3.30699992</v>
      </c>
      <c r="AE6180">
        <v>6</v>
      </c>
      <c r="AF6180">
        <v>30</v>
      </c>
      <c r="AG6180">
        <v>3.2920000599999999</v>
      </c>
      <c r="AH6180">
        <v>2</v>
      </c>
      <c r="AI6180">
        <v>45</v>
      </c>
      <c r="AJ6180">
        <v>1</v>
      </c>
      <c r="AK6180">
        <v>17</v>
      </c>
      <c r="AL6180">
        <v>47</v>
      </c>
      <c r="AM6180" t="s">
        <v>43</v>
      </c>
      <c r="AN6180" t="s">
        <v>43</v>
      </c>
    </row>
    <row r="6181" spans="1:40" x14ac:dyDescent="0.3">
      <c r="A6181" s="1">
        <v>46210.283912037034</v>
      </c>
      <c r="B6181" t="s">
        <v>40</v>
      </c>
      <c r="C6181" t="s">
        <v>41</v>
      </c>
      <c r="D6181" s="1">
        <v>46210.286724537036</v>
      </c>
      <c r="E6181" t="s">
        <v>42</v>
      </c>
      <c r="F6181" t="s">
        <v>83</v>
      </c>
      <c r="G6181">
        <v>0</v>
      </c>
      <c r="H6181">
        <v>33082</v>
      </c>
      <c r="I6181" t="s">
        <v>3521</v>
      </c>
      <c r="J6181">
        <v>64</v>
      </c>
      <c r="K6181">
        <v>9</v>
      </c>
      <c r="L6181">
        <v>98</v>
      </c>
      <c r="M6181">
        <v>632.70001220999995</v>
      </c>
      <c r="N6181" t="s">
        <v>85</v>
      </c>
      <c r="O6181" t="s">
        <v>86</v>
      </c>
      <c r="P6181">
        <v>127</v>
      </c>
      <c r="Q6181">
        <v>2</v>
      </c>
      <c r="R6181">
        <v>0</v>
      </c>
      <c r="S6181">
        <v>0</v>
      </c>
      <c r="T6181">
        <v>-40</v>
      </c>
      <c r="U6181">
        <v>45</v>
      </c>
      <c r="V6181">
        <v>5</v>
      </c>
      <c r="W6181">
        <v>28</v>
      </c>
      <c r="X6181">
        <v>28</v>
      </c>
      <c r="Y6181">
        <v>1</v>
      </c>
      <c r="Z6181">
        <v>1</v>
      </c>
      <c r="AA6181">
        <v>26</v>
      </c>
      <c r="AB6181">
        <v>2</v>
      </c>
      <c r="AC6181">
        <v>2</v>
      </c>
      <c r="AD6181">
        <v>3.3080000900000002</v>
      </c>
      <c r="AE6181">
        <v>6</v>
      </c>
      <c r="AF6181">
        <v>30</v>
      </c>
      <c r="AG6181">
        <v>3.2920000599999999</v>
      </c>
      <c r="AH6181">
        <v>8</v>
      </c>
      <c r="AI6181">
        <v>9</v>
      </c>
      <c r="AJ6181">
        <v>1</v>
      </c>
      <c r="AK6181">
        <v>17</v>
      </c>
      <c r="AL6181">
        <v>47</v>
      </c>
      <c r="AM6181" t="s">
        <v>43</v>
      </c>
      <c r="AN6181" t="str">
        <f>HYPERLINK("https://www.google.com/maps?q=10.8328104,79.84059906","Open Location")</f>
        <v>Open Location</v>
      </c>
    </row>
    <row r="6182" spans="1:40" x14ac:dyDescent="0.3">
      <c r="A6182" s="1">
        <v>46210.283796296295</v>
      </c>
      <c r="B6182" t="s">
        <v>40</v>
      </c>
      <c r="C6182" t="s">
        <v>41</v>
      </c>
      <c r="D6182" s="1">
        <v>46210.286886574075</v>
      </c>
      <c r="E6182" t="s">
        <v>42</v>
      </c>
      <c r="F6182" t="s">
        <v>83</v>
      </c>
      <c r="G6182">
        <v>0</v>
      </c>
      <c r="H6182">
        <v>33082</v>
      </c>
      <c r="I6182" t="s">
        <v>3522</v>
      </c>
      <c r="J6182">
        <v>64</v>
      </c>
      <c r="K6182">
        <v>2</v>
      </c>
      <c r="L6182">
        <v>98</v>
      </c>
      <c r="M6182">
        <v>633.40002441000001</v>
      </c>
      <c r="N6182" t="s">
        <v>85</v>
      </c>
      <c r="O6182" t="s">
        <v>86</v>
      </c>
      <c r="P6182">
        <v>127</v>
      </c>
      <c r="Q6182">
        <v>2</v>
      </c>
      <c r="R6182">
        <v>-1</v>
      </c>
      <c r="S6182">
        <v>0</v>
      </c>
      <c r="T6182">
        <v>-40</v>
      </c>
      <c r="U6182">
        <v>45</v>
      </c>
      <c r="V6182">
        <v>5</v>
      </c>
      <c r="W6182">
        <v>28</v>
      </c>
      <c r="X6182">
        <v>28</v>
      </c>
      <c r="Y6182">
        <v>1</v>
      </c>
      <c r="Z6182">
        <v>1</v>
      </c>
      <c r="AA6182">
        <v>26</v>
      </c>
      <c r="AB6182">
        <v>2</v>
      </c>
      <c r="AC6182">
        <v>2</v>
      </c>
      <c r="AD6182">
        <v>3.30900002</v>
      </c>
      <c r="AE6182">
        <v>6</v>
      </c>
      <c r="AF6182">
        <v>30</v>
      </c>
      <c r="AG6182">
        <v>3.2929999799999998</v>
      </c>
      <c r="AH6182">
        <v>8</v>
      </c>
      <c r="AI6182">
        <v>48</v>
      </c>
      <c r="AJ6182">
        <v>1</v>
      </c>
      <c r="AK6182">
        <v>17</v>
      </c>
      <c r="AL6182">
        <v>47</v>
      </c>
      <c r="AM6182" t="s">
        <v>43</v>
      </c>
      <c r="AN6182" t="str">
        <f>HYPERLINK("https://www.google.com/maps?q=10.83280945,79.84061432","Open Location")</f>
        <v>Open Location</v>
      </c>
    </row>
    <row r="6183" spans="1:40" x14ac:dyDescent="0.3">
      <c r="A6183" s="1">
        <v>46210.283680555556</v>
      </c>
      <c r="B6183" t="s">
        <v>40</v>
      </c>
      <c r="C6183" t="s">
        <v>41</v>
      </c>
      <c r="D6183" s="1">
        <v>46210.286493055559</v>
      </c>
      <c r="E6183" t="s">
        <v>42</v>
      </c>
      <c r="F6183" t="s">
        <v>83</v>
      </c>
      <c r="G6183">
        <v>6</v>
      </c>
      <c r="H6183">
        <v>33082</v>
      </c>
      <c r="I6183" t="s">
        <v>3523</v>
      </c>
      <c r="J6183">
        <v>64</v>
      </c>
      <c r="K6183">
        <v>9</v>
      </c>
      <c r="L6183">
        <v>98</v>
      </c>
      <c r="M6183">
        <v>632.5</v>
      </c>
      <c r="N6183" t="s">
        <v>87</v>
      </c>
      <c r="O6183" t="s">
        <v>86</v>
      </c>
      <c r="P6183">
        <v>128</v>
      </c>
      <c r="Q6183">
        <v>3</v>
      </c>
      <c r="R6183">
        <v>0</v>
      </c>
      <c r="S6183">
        <v>1120</v>
      </c>
      <c r="T6183">
        <v>-40</v>
      </c>
      <c r="U6183">
        <v>45</v>
      </c>
      <c r="V6183">
        <v>0</v>
      </c>
      <c r="W6183">
        <v>28</v>
      </c>
      <c r="X6183">
        <v>28</v>
      </c>
      <c r="Y6183">
        <v>1</v>
      </c>
      <c r="Z6183">
        <v>1</v>
      </c>
      <c r="AA6183">
        <v>26</v>
      </c>
      <c r="AB6183">
        <v>2</v>
      </c>
      <c r="AC6183">
        <v>2</v>
      </c>
      <c r="AD6183">
        <v>3.3080000900000002</v>
      </c>
      <c r="AE6183">
        <v>6</v>
      </c>
      <c r="AF6183">
        <v>30</v>
      </c>
      <c r="AG6183">
        <v>3.2920000599999999</v>
      </c>
      <c r="AH6183">
        <v>8</v>
      </c>
      <c r="AI6183">
        <v>48</v>
      </c>
      <c r="AJ6183">
        <v>1</v>
      </c>
      <c r="AK6183">
        <v>18</v>
      </c>
      <c r="AL6183">
        <v>47</v>
      </c>
      <c r="AM6183" t="s">
        <v>43</v>
      </c>
      <c r="AN6183" t="str">
        <f>HYPERLINK("https://www.google.com/maps?q=10.83281231,79.84047699","Open Location")</f>
        <v>Open Location</v>
      </c>
    </row>
    <row r="6184" spans="1:40" x14ac:dyDescent="0.3">
      <c r="A6184" s="1">
        <v>46210.283564814818</v>
      </c>
      <c r="B6184" t="s">
        <v>40</v>
      </c>
      <c r="C6184" t="s">
        <v>41</v>
      </c>
      <c r="D6184" s="1">
        <v>46210.286481481482</v>
      </c>
      <c r="E6184" t="s">
        <v>42</v>
      </c>
      <c r="F6184" t="s">
        <v>83</v>
      </c>
      <c r="G6184">
        <v>8</v>
      </c>
      <c r="H6184">
        <v>33082</v>
      </c>
      <c r="I6184" t="s">
        <v>3524</v>
      </c>
      <c r="J6184">
        <v>64</v>
      </c>
      <c r="K6184">
        <v>3</v>
      </c>
      <c r="L6184">
        <v>98</v>
      </c>
      <c r="M6184">
        <v>632.59997558999999</v>
      </c>
      <c r="N6184" t="s">
        <v>87</v>
      </c>
      <c r="O6184" t="s">
        <v>86</v>
      </c>
      <c r="P6184">
        <v>128</v>
      </c>
      <c r="Q6184">
        <v>3</v>
      </c>
      <c r="R6184">
        <v>13</v>
      </c>
      <c r="S6184">
        <v>1035</v>
      </c>
      <c r="T6184">
        <v>-40</v>
      </c>
      <c r="U6184">
        <v>46</v>
      </c>
      <c r="V6184">
        <v>5</v>
      </c>
      <c r="W6184">
        <v>28</v>
      </c>
      <c r="X6184">
        <v>28</v>
      </c>
      <c r="Y6184">
        <v>1</v>
      </c>
      <c r="Z6184">
        <v>1</v>
      </c>
      <c r="AA6184">
        <v>26</v>
      </c>
      <c r="AB6184">
        <v>2</v>
      </c>
      <c r="AC6184">
        <v>2</v>
      </c>
      <c r="AD6184">
        <v>3.3050000700000002</v>
      </c>
      <c r="AE6184">
        <v>6</v>
      </c>
      <c r="AF6184">
        <v>30</v>
      </c>
      <c r="AG6184">
        <v>3.28900003</v>
      </c>
      <c r="AH6184">
        <v>8</v>
      </c>
      <c r="AI6184">
        <v>48</v>
      </c>
      <c r="AJ6184">
        <v>1</v>
      </c>
      <c r="AK6184">
        <v>17</v>
      </c>
      <c r="AL6184">
        <v>47</v>
      </c>
      <c r="AM6184" t="s">
        <v>43</v>
      </c>
      <c r="AN6184" t="str">
        <f>HYPERLINK("https://www.google.com/maps?q=10.83267403,79.840271","Open Location")</f>
        <v>Open Location</v>
      </c>
    </row>
    <row r="6185" spans="1:40" x14ac:dyDescent="0.3">
      <c r="A6185" s="1">
        <v>46210.283449074072</v>
      </c>
      <c r="B6185" t="s">
        <v>40</v>
      </c>
      <c r="C6185" t="s">
        <v>41</v>
      </c>
      <c r="D6185" s="1">
        <v>46210.286365740743</v>
      </c>
      <c r="E6185" t="s">
        <v>42</v>
      </c>
      <c r="F6185" t="s">
        <v>83</v>
      </c>
      <c r="G6185">
        <v>9</v>
      </c>
      <c r="H6185">
        <v>33082</v>
      </c>
      <c r="I6185" t="s">
        <v>43</v>
      </c>
      <c r="J6185">
        <v>64</v>
      </c>
      <c r="K6185">
        <v>9</v>
      </c>
      <c r="L6185">
        <v>98</v>
      </c>
      <c r="M6185">
        <v>632.29998779000005</v>
      </c>
      <c r="N6185" t="s">
        <v>87</v>
      </c>
      <c r="O6185" t="s">
        <v>86</v>
      </c>
      <c r="P6185">
        <v>128</v>
      </c>
      <c r="Q6185">
        <v>3</v>
      </c>
      <c r="R6185">
        <v>0</v>
      </c>
      <c r="S6185">
        <v>1106</v>
      </c>
      <c r="T6185">
        <v>-40</v>
      </c>
      <c r="U6185">
        <v>46</v>
      </c>
      <c r="V6185">
        <v>31</v>
      </c>
      <c r="W6185">
        <v>28</v>
      </c>
      <c r="X6185">
        <v>28</v>
      </c>
      <c r="Y6185">
        <v>1</v>
      </c>
      <c r="Z6185">
        <v>1</v>
      </c>
      <c r="AA6185">
        <v>26</v>
      </c>
      <c r="AB6185">
        <v>2</v>
      </c>
      <c r="AC6185">
        <v>2</v>
      </c>
      <c r="AD6185">
        <v>3.3080000900000002</v>
      </c>
      <c r="AE6185">
        <v>6</v>
      </c>
      <c r="AF6185">
        <v>30</v>
      </c>
      <c r="AG6185">
        <v>3.2920000599999999</v>
      </c>
      <c r="AH6185">
        <v>8</v>
      </c>
      <c r="AI6185">
        <v>48</v>
      </c>
      <c r="AJ6185">
        <v>1</v>
      </c>
      <c r="AK6185">
        <v>17</v>
      </c>
      <c r="AL6185">
        <v>47</v>
      </c>
      <c r="AM6185" t="s">
        <v>43</v>
      </c>
      <c r="AN6185" t="s">
        <v>43</v>
      </c>
    </row>
    <row r="6186" spans="1:40" x14ac:dyDescent="0.3">
      <c r="A6186" s="1">
        <v>46210.283333333333</v>
      </c>
      <c r="B6186" t="s">
        <v>40</v>
      </c>
      <c r="C6186" t="s">
        <v>41</v>
      </c>
      <c r="D6186" s="1">
        <v>46210.286481481482</v>
      </c>
      <c r="E6186" t="s">
        <v>42</v>
      </c>
      <c r="F6186" t="s">
        <v>83</v>
      </c>
      <c r="G6186">
        <v>9</v>
      </c>
      <c r="H6186">
        <v>33082</v>
      </c>
      <c r="I6186" t="s">
        <v>3525</v>
      </c>
      <c r="J6186">
        <v>64</v>
      </c>
      <c r="K6186">
        <v>22</v>
      </c>
      <c r="L6186">
        <v>98</v>
      </c>
      <c r="M6186">
        <v>631.40002441000001</v>
      </c>
      <c r="N6186" t="s">
        <v>87</v>
      </c>
      <c r="O6186" t="s">
        <v>86</v>
      </c>
      <c r="P6186">
        <v>128</v>
      </c>
      <c r="Q6186">
        <v>3</v>
      </c>
      <c r="R6186">
        <v>-9</v>
      </c>
      <c r="S6186">
        <v>946</v>
      </c>
      <c r="T6186">
        <v>-40</v>
      </c>
      <c r="U6186">
        <v>46</v>
      </c>
      <c r="V6186">
        <v>140</v>
      </c>
      <c r="W6186">
        <v>28</v>
      </c>
      <c r="X6186">
        <v>28</v>
      </c>
      <c r="Y6186">
        <v>1</v>
      </c>
      <c r="Z6186">
        <v>1</v>
      </c>
      <c r="AA6186">
        <v>26</v>
      </c>
      <c r="AB6186">
        <v>2</v>
      </c>
      <c r="AC6186">
        <v>2</v>
      </c>
      <c r="AD6186">
        <v>3.3080000900000002</v>
      </c>
      <c r="AE6186">
        <v>6</v>
      </c>
      <c r="AF6186">
        <v>30</v>
      </c>
      <c r="AG6186">
        <v>3.2920000599999999</v>
      </c>
      <c r="AH6186">
        <v>8</v>
      </c>
      <c r="AI6186">
        <v>48</v>
      </c>
      <c r="AJ6186">
        <v>1</v>
      </c>
      <c r="AK6186">
        <v>17</v>
      </c>
      <c r="AL6186">
        <v>47</v>
      </c>
      <c r="AM6186" t="s">
        <v>43</v>
      </c>
      <c r="AN6186" t="str">
        <f>HYPERLINK("https://www.google.com/maps?q=10.83240128,79.84027863","Open Location")</f>
        <v>Open Location</v>
      </c>
    </row>
    <row r="6187" spans="1:40" x14ac:dyDescent="0.3">
      <c r="A6187" s="1">
        <v>46210.283217592594</v>
      </c>
      <c r="B6187" t="s">
        <v>40</v>
      </c>
      <c r="C6187" t="s">
        <v>41</v>
      </c>
      <c r="D6187" s="1">
        <v>46210.285995370374</v>
      </c>
      <c r="E6187" t="s">
        <v>42</v>
      </c>
      <c r="F6187" t="s">
        <v>83</v>
      </c>
      <c r="G6187">
        <v>13</v>
      </c>
      <c r="H6187" t="s">
        <v>43</v>
      </c>
      <c r="I6187" t="s">
        <v>3526</v>
      </c>
      <c r="J6187">
        <v>64</v>
      </c>
      <c r="K6187">
        <v>-15</v>
      </c>
      <c r="L6187">
        <v>98</v>
      </c>
      <c r="M6187">
        <v>633.20001220999995</v>
      </c>
      <c r="N6187" t="s">
        <v>87</v>
      </c>
      <c r="O6187" t="s">
        <v>86</v>
      </c>
      <c r="P6187">
        <v>128</v>
      </c>
      <c r="Q6187">
        <v>3</v>
      </c>
      <c r="R6187">
        <v>24</v>
      </c>
      <c r="S6187">
        <v>1629</v>
      </c>
      <c r="T6187">
        <v>-40</v>
      </c>
      <c r="U6187">
        <v>46</v>
      </c>
      <c r="V6187">
        <v>-68</v>
      </c>
      <c r="W6187">
        <v>28</v>
      </c>
      <c r="X6187">
        <v>28</v>
      </c>
      <c r="Y6187">
        <v>1</v>
      </c>
      <c r="Z6187">
        <v>1</v>
      </c>
      <c r="AA6187">
        <v>26</v>
      </c>
      <c r="AB6187">
        <v>2</v>
      </c>
      <c r="AC6187">
        <v>2</v>
      </c>
      <c r="AD6187">
        <v>3.3059999900000001</v>
      </c>
      <c r="AE6187">
        <v>6</v>
      </c>
      <c r="AF6187">
        <v>30</v>
      </c>
      <c r="AG6187">
        <v>3.2899999599999998</v>
      </c>
      <c r="AH6187">
        <v>8</v>
      </c>
      <c r="AI6187">
        <v>48</v>
      </c>
      <c r="AJ6187">
        <v>1</v>
      </c>
      <c r="AK6187">
        <v>17</v>
      </c>
      <c r="AL6187">
        <v>47</v>
      </c>
      <c r="AM6187" t="s">
        <v>43</v>
      </c>
      <c r="AN6187" t="str">
        <f>HYPERLINK("https://www.google.com/maps?q=10.83207417,79.84030914","Open Location")</f>
        <v>Open Location</v>
      </c>
    </row>
    <row r="6188" spans="1:40" x14ac:dyDescent="0.3">
      <c r="A6188" s="1">
        <v>46210.283101851855</v>
      </c>
      <c r="B6188" t="s">
        <v>40</v>
      </c>
      <c r="C6188" t="s">
        <v>41</v>
      </c>
      <c r="D6188" s="1">
        <v>46210.28601851852</v>
      </c>
      <c r="E6188" t="s">
        <v>42</v>
      </c>
      <c r="F6188" t="s">
        <v>83</v>
      </c>
      <c r="G6188">
        <v>13</v>
      </c>
      <c r="H6188">
        <v>33082</v>
      </c>
      <c r="I6188" t="s">
        <v>3527</v>
      </c>
      <c r="J6188">
        <v>64</v>
      </c>
      <c r="K6188">
        <v>37</v>
      </c>
      <c r="L6188">
        <v>98</v>
      </c>
      <c r="M6188">
        <v>630.29998779000005</v>
      </c>
      <c r="N6188" t="s">
        <v>87</v>
      </c>
      <c r="O6188" t="s">
        <v>86</v>
      </c>
      <c r="P6188">
        <v>128</v>
      </c>
      <c r="Q6188">
        <v>3</v>
      </c>
      <c r="R6188">
        <v>17</v>
      </c>
      <c r="S6188">
        <v>1734</v>
      </c>
      <c r="T6188">
        <v>-40</v>
      </c>
      <c r="U6188">
        <v>46</v>
      </c>
      <c r="V6188">
        <v>110</v>
      </c>
      <c r="W6188">
        <v>28</v>
      </c>
      <c r="X6188">
        <v>28</v>
      </c>
      <c r="Y6188">
        <v>1</v>
      </c>
      <c r="Z6188">
        <v>1</v>
      </c>
      <c r="AA6188">
        <v>26</v>
      </c>
      <c r="AB6188">
        <v>2</v>
      </c>
      <c r="AC6188">
        <v>2</v>
      </c>
      <c r="AD6188">
        <v>3.3020000500000002</v>
      </c>
      <c r="AE6188">
        <v>6</v>
      </c>
      <c r="AF6188">
        <v>30</v>
      </c>
      <c r="AG6188">
        <v>3.2869999399999998</v>
      </c>
      <c r="AH6188">
        <v>2</v>
      </c>
      <c r="AI6188">
        <v>45</v>
      </c>
      <c r="AJ6188">
        <v>1</v>
      </c>
      <c r="AK6188">
        <v>17</v>
      </c>
      <c r="AL6188">
        <v>40</v>
      </c>
      <c r="AM6188" t="s">
        <v>43</v>
      </c>
      <c r="AN6188" t="str">
        <f>HYPERLINK("https://www.google.com/maps?q=10.83172798,79.84017944","Open Location")</f>
        <v>Open Location</v>
      </c>
    </row>
    <row r="6189" spans="1:40" x14ac:dyDescent="0.3">
      <c r="A6189" s="1">
        <v>46210.282986111109</v>
      </c>
      <c r="B6189" t="s">
        <v>40</v>
      </c>
      <c r="C6189" t="s">
        <v>41</v>
      </c>
      <c r="D6189" s="1">
        <v>46210.285763888889</v>
      </c>
      <c r="E6189" t="s">
        <v>42</v>
      </c>
      <c r="F6189" t="s">
        <v>83</v>
      </c>
      <c r="G6189">
        <v>11</v>
      </c>
      <c r="H6189">
        <v>33081</v>
      </c>
      <c r="I6189" t="s">
        <v>3528</v>
      </c>
      <c r="J6189">
        <v>64</v>
      </c>
      <c r="K6189">
        <v>22</v>
      </c>
      <c r="L6189">
        <v>98</v>
      </c>
      <c r="M6189">
        <v>631.5</v>
      </c>
      <c r="N6189" t="s">
        <v>87</v>
      </c>
      <c r="O6189" t="s">
        <v>86</v>
      </c>
      <c r="P6189">
        <v>128</v>
      </c>
      <c r="Q6189">
        <v>3</v>
      </c>
      <c r="R6189">
        <v>32</v>
      </c>
      <c r="S6189">
        <v>1524</v>
      </c>
      <c r="T6189">
        <v>-40</v>
      </c>
      <c r="U6189">
        <v>46</v>
      </c>
      <c r="V6189">
        <v>92</v>
      </c>
      <c r="W6189">
        <v>28</v>
      </c>
      <c r="X6189">
        <v>28</v>
      </c>
      <c r="Y6189">
        <v>1</v>
      </c>
      <c r="Z6189">
        <v>1</v>
      </c>
      <c r="AA6189">
        <v>26</v>
      </c>
      <c r="AB6189">
        <v>2</v>
      </c>
      <c r="AC6189">
        <v>2</v>
      </c>
      <c r="AD6189">
        <v>3.2980000999999999</v>
      </c>
      <c r="AE6189">
        <v>6</v>
      </c>
      <c r="AF6189">
        <v>30</v>
      </c>
      <c r="AG6189">
        <v>3.2820000600000001</v>
      </c>
      <c r="AH6189">
        <v>7</v>
      </c>
      <c r="AI6189">
        <v>1</v>
      </c>
      <c r="AJ6189">
        <v>1</v>
      </c>
      <c r="AK6189">
        <v>17</v>
      </c>
      <c r="AL6189">
        <v>40</v>
      </c>
      <c r="AM6189" t="s">
        <v>43</v>
      </c>
      <c r="AN6189" t="str">
        <f>HYPERLINK("https://www.google.com/maps?q=10.83201694,79.84001923","Open Location")</f>
        <v>Open Location</v>
      </c>
    </row>
    <row r="6190" spans="1:40" x14ac:dyDescent="0.3">
      <c r="A6190" s="1">
        <v>46210.282870370371</v>
      </c>
      <c r="B6190" t="s">
        <v>40</v>
      </c>
      <c r="C6190" t="s">
        <v>41</v>
      </c>
      <c r="D6190" s="1">
        <v>46210.285775462966</v>
      </c>
      <c r="E6190" t="s">
        <v>42</v>
      </c>
      <c r="F6190" t="s">
        <v>83</v>
      </c>
      <c r="G6190">
        <v>3</v>
      </c>
      <c r="H6190">
        <v>33081</v>
      </c>
      <c r="I6190" t="s">
        <v>3529</v>
      </c>
      <c r="J6190">
        <v>64</v>
      </c>
      <c r="K6190">
        <v>38</v>
      </c>
      <c r="L6190">
        <v>98</v>
      </c>
      <c r="M6190">
        <v>630.29998779000005</v>
      </c>
      <c r="N6190" t="s">
        <v>87</v>
      </c>
      <c r="O6190" t="s">
        <v>86</v>
      </c>
      <c r="P6190">
        <v>127</v>
      </c>
      <c r="Q6190">
        <v>2</v>
      </c>
      <c r="R6190">
        <v>39</v>
      </c>
      <c r="S6190">
        <v>1228</v>
      </c>
      <c r="T6190">
        <v>-40</v>
      </c>
      <c r="U6190">
        <v>46</v>
      </c>
      <c r="V6190">
        <v>206</v>
      </c>
      <c r="W6190">
        <v>28</v>
      </c>
      <c r="X6190">
        <v>28</v>
      </c>
      <c r="Y6190">
        <v>1</v>
      </c>
      <c r="Z6190">
        <v>1</v>
      </c>
      <c r="AA6190">
        <v>26</v>
      </c>
      <c r="AB6190">
        <v>2</v>
      </c>
      <c r="AC6190">
        <v>2</v>
      </c>
      <c r="AD6190">
        <v>3.2950000799999999</v>
      </c>
      <c r="AE6190">
        <v>6</v>
      </c>
      <c r="AF6190">
        <v>30</v>
      </c>
      <c r="AG6190">
        <v>3.2790000400000001</v>
      </c>
      <c r="AH6190">
        <v>7</v>
      </c>
      <c r="AI6190">
        <v>1</v>
      </c>
      <c r="AJ6190">
        <v>1</v>
      </c>
      <c r="AK6190">
        <v>17</v>
      </c>
      <c r="AL6190">
        <v>40</v>
      </c>
      <c r="AM6190" t="s">
        <v>43</v>
      </c>
      <c r="AN6190" t="str">
        <f>HYPERLINK("https://www.google.com/maps?q=10.83219814,79.84004211","Open Location")</f>
        <v>Open Location</v>
      </c>
    </row>
    <row r="6191" spans="1:40" x14ac:dyDescent="0.3">
      <c r="A6191" s="1">
        <v>46210.282754629632</v>
      </c>
      <c r="B6191" t="s">
        <v>40</v>
      </c>
      <c r="C6191" t="s">
        <v>41</v>
      </c>
      <c r="D6191" s="1">
        <v>46210.285393518519</v>
      </c>
      <c r="E6191" t="s">
        <v>42</v>
      </c>
      <c r="F6191" t="s">
        <v>83</v>
      </c>
      <c r="G6191">
        <v>0</v>
      </c>
      <c r="H6191">
        <v>33081</v>
      </c>
      <c r="I6191" t="s">
        <v>43</v>
      </c>
      <c r="J6191">
        <v>64</v>
      </c>
      <c r="K6191">
        <v>14</v>
      </c>
      <c r="L6191">
        <v>98</v>
      </c>
      <c r="M6191">
        <v>633.29998779000005</v>
      </c>
      <c r="N6191" t="s">
        <v>85</v>
      </c>
      <c r="O6191" t="s">
        <v>249</v>
      </c>
      <c r="P6191">
        <v>124</v>
      </c>
      <c r="Q6191" t="s">
        <v>249</v>
      </c>
      <c r="R6191">
        <v>0</v>
      </c>
      <c r="S6191">
        <v>1182</v>
      </c>
      <c r="T6191">
        <v>-40</v>
      </c>
      <c r="U6191">
        <v>45</v>
      </c>
      <c r="V6191">
        <v>-35</v>
      </c>
      <c r="W6191">
        <v>28</v>
      </c>
      <c r="X6191">
        <v>28</v>
      </c>
      <c r="Y6191">
        <v>1</v>
      </c>
      <c r="Z6191">
        <v>1</v>
      </c>
      <c r="AA6191">
        <v>26</v>
      </c>
      <c r="AB6191">
        <v>2</v>
      </c>
      <c r="AC6191">
        <v>2</v>
      </c>
      <c r="AD6191">
        <v>3.30999994</v>
      </c>
      <c r="AE6191">
        <v>6</v>
      </c>
      <c r="AF6191">
        <v>30</v>
      </c>
      <c r="AG6191">
        <v>3.2939999100000001</v>
      </c>
      <c r="AH6191">
        <v>8</v>
      </c>
      <c r="AI6191">
        <v>48</v>
      </c>
      <c r="AJ6191">
        <v>1</v>
      </c>
      <c r="AK6191">
        <v>18</v>
      </c>
      <c r="AL6191">
        <v>40</v>
      </c>
      <c r="AM6191" t="s">
        <v>43</v>
      </c>
      <c r="AN6191" t="s">
        <v>43</v>
      </c>
    </row>
    <row r="6192" spans="1:40" x14ac:dyDescent="0.3">
      <c r="A6192" s="1">
        <v>46210.282638888886</v>
      </c>
      <c r="B6192" t="s">
        <v>40</v>
      </c>
      <c r="C6192" t="s">
        <v>41</v>
      </c>
      <c r="D6192" s="1">
        <v>46210.285601851851</v>
      </c>
      <c r="E6192" t="s">
        <v>42</v>
      </c>
      <c r="F6192" t="s">
        <v>83</v>
      </c>
      <c r="G6192">
        <v>0</v>
      </c>
      <c r="H6192">
        <v>33081</v>
      </c>
      <c r="I6192" t="s">
        <v>3530</v>
      </c>
      <c r="J6192">
        <v>64</v>
      </c>
      <c r="K6192">
        <v>6</v>
      </c>
      <c r="L6192">
        <v>98</v>
      </c>
      <c r="M6192">
        <v>632.70001220999995</v>
      </c>
      <c r="N6192" t="s">
        <v>85</v>
      </c>
      <c r="O6192" t="s">
        <v>249</v>
      </c>
      <c r="P6192">
        <v>124</v>
      </c>
      <c r="Q6192" t="s">
        <v>249</v>
      </c>
      <c r="R6192">
        <v>0</v>
      </c>
      <c r="S6192">
        <v>591</v>
      </c>
      <c r="T6192">
        <v>-40</v>
      </c>
      <c r="U6192">
        <v>45</v>
      </c>
      <c r="V6192">
        <v>-5</v>
      </c>
      <c r="W6192">
        <v>28</v>
      </c>
      <c r="X6192">
        <v>28</v>
      </c>
      <c r="Y6192">
        <v>1</v>
      </c>
      <c r="Z6192">
        <v>1</v>
      </c>
      <c r="AA6192">
        <v>26</v>
      </c>
      <c r="AB6192">
        <v>2</v>
      </c>
      <c r="AC6192">
        <v>2</v>
      </c>
      <c r="AD6192">
        <v>3.30900002</v>
      </c>
      <c r="AE6192">
        <v>6</v>
      </c>
      <c r="AF6192">
        <v>30</v>
      </c>
      <c r="AG6192">
        <v>3.2909998900000001</v>
      </c>
      <c r="AH6192">
        <v>4</v>
      </c>
      <c r="AI6192">
        <v>17</v>
      </c>
      <c r="AJ6192">
        <v>1</v>
      </c>
      <c r="AK6192">
        <v>18</v>
      </c>
      <c r="AL6192">
        <v>40</v>
      </c>
      <c r="AM6192" t="s">
        <v>43</v>
      </c>
      <c r="AN6192" t="str">
        <f>HYPERLINK("https://www.google.com/maps?q=10.83218765,79.84010315","Open Location")</f>
        <v>Open Location</v>
      </c>
    </row>
    <row r="6193" spans="1:40" x14ac:dyDescent="0.3">
      <c r="A6193" s="1">
        <v>46210.282523148147</v>
      </c>
      <c r="B6193" t="s">
        <v>40</v>
      </c>
      <c r="C6193" t="s">
        <v>41</v>
      </c>
      <c r="D6193" s="1">
        <v>46210.285324074073</v>
      </c>
      <c r="E6193" t="s">
        <v>42</v>
      </c>
      <c r="F6193" t="s">
        <v>83</v>
      </c>
      <c r="G6193">
        <v>0</v>
      </c>
      <c r="H6193">
        <v>33081</v>
      </c>
      <c r="I6193" t="s">
        <v>3531</v>
      </c>
      <c r="J6193">
        <v>64</v>
      </c>
      <c r="K6193">
        <v>11</v>
      </c>
      <c r="L6193">
        <v>98</v>
      </c>
      <c r="M6193">
        <v>633</v>
      </c>
      <c r="N6193" t="s">
        <v>85</v>
      </c>
      <c r="O6193" t="s">
        <v>249</v>
      </c>
      <c r="P6193">
        <v>124</v>
      </c>
      <c r="Q6193" t="s">
        <v>249</v>
      </c>
      <c r="R6193">
        <v>4</v>
      </c>
      <c r="S6193">
        <v>644</v>
      </c>
      <c r="T6193">
        <v>-40</v>
      </c>
      <c r="U6193">
        <v>46</v>
      </c>
      <c r="V6193">
        <v>-5</v>
      </c>
      <c r="W6193">
        <v>28</v>
      </c>
      <c r="X6193">
        <v>28</v>
      </c>
      <c r="Y6193">
        <v>1</v>
      </c>
      <c r="Z6193">
        <v>1</v>
      </c>
      <c r="AA6193">
        <v>26</v>
      </c>
      <c r="AB6193">
        <v>2</v>
      </c>
      <c r="AC6193">
        <v>2</v>
      </c>
      <c r="AD6193">
        <v>3.30900002</v>
      </c>
      <c r="AE6193">
        <v>6</v>
      </c>
      <c r="AF6193">
        <v>30</v>
      </c>
      <c r="AG6193">
        <v>3.2929999799999998</v>
      </c>
      <c r="AH6193">
        <v>8</v>
      </c>
      <c r="AI6193">
        <v>48</v>
      </c>
      <c r="AJ6193">
        <v>1</v>
      </c>
      <c r="AK6193">
        <v>18</v>
      </c>
      <c r="AL6193">
        <v>40</v>
      </c>
      <c r="AM6193" t="s">
        <v>43</v>
      </c>
      <c r="AN6193" t="str">
        <f>HYPERLINK("https://www.google.com/maps?q=10.83218288,79.84014893","Open Location")</f>
        <v>Open Location</v>
      </c>
    </row>
    <row r="6194" spans="1:40" x14ac:dyDescent="0.3">
      <c r="A6194" s="1">
        <v>46210.282407407409</v>
      </c>
      <c r="B6194" t="s">
        <v>40</v>
      </c>
      <c r="C6194" t="s">
        <v>41</v>
      </c>
      <c r="D6194" s="1">
        <v>46210.285243055558</v>
      </c>
      <c r="E6194" t="s">
        <v>42</v>
      </c>
      <c r="F6194" t="s">
        <v>83</v>
      </c>
      <c r="G6194">
        <v>0</v>
      </c>
      <c r="H6194">
        <v>33081</v>
      </c>
      <c r="I6194" t="s">
        <v>3532</v>
      </c>
      <c r="J6194">
        <v>64</v>
      </c>
      <c r="K6194">
        <v>12</v>
      </c>
      <c r="L6194">
        <v>98</v>
      </c>
      <c r="M6194">
        <v>632.79998779000005</v>
      </c>
      <c r="N6194" t="s">
        <v>85</v>
      </c>
      <c r="O6194" t="s">
        <v>249</v>
      </c>
      <c r="P6194">
        <v>124</v>
      </c>
      <c r="Q6194" t="s">
        <v>249</v>
      </c>
      <c r="R6194">
        <v>4</v>
      </c>
      <c r="S6194">
        <v>571</v>
      </c>
      <c r="T6194">
        <v>-40</v>
      </c>
      <c r="U6194">
        <v>46</v>
      </c>
      <c r="V6194">
        <v>-5</v>
      </c>
      <c r="W6194">
        <v>28</v>
      </c>
      <c r="X6194">
        <v>28</v>
      </c>
      <c r="Y6194">
        <v>1</v>
      </c>
      <c r="Z6194">
        <v>1</v>
      </c>
      <c r="AA6194">
        <v>26</v>
      </c>
      <c r="AB6194">
        <v>2</v>
      </c>
      <c r="AC6194">
        <v>2</v>
      </c>
      <c r="AD6194">
        <v>3.30999994</v>
      </c>
      <c r="AE6194">
        <v>6</v>
      </c>
      <c r="AF6194">
        <v>30</v>
      </c>
      <c r="AG6194">
        <v>3.2939999100000001</v>
      </c>
      <c r="AH6194">
        <v>8</v>
      </c>
      <c r="AI6194">
        <v>9</v>
      </c>
      <c r="AJ6194">
        <v>1</v>
      </c>
      <c r="AK6194">
        <v>18</v>
      </c>
      <c r="AL6194">
        <v>40</v>
      </c>
      <c r="AM6194" t="s">
        <v>43</v>
      </c>
      <c r="AN6194" t="str">
        <f>HYPERLINK("https://www.google.com/maps?q=10.83218479,79.8401947","Open Location")</f>
        <v>Open Location</v>
      </c>
    </row>
    <row r="6195" spans="1:40" x14ac:dyDescent="0.3">
      <c r="A6195" s="1">
        <v>46210.28229166667</v>
      </c>
      <c r="B6195" t="s">
        <v>40</v>
      </c>
      <c r="C6195" t="s">
        <v>41</v>
      </c>
      <c r="D6195" s="1">
        <v>46210.285312499997</v>
      </c>
      <c r="E6195" t="s">
        <v>42</v>
      </c>
      <c r="F6195" t="s">
        <v>83</v>
      </c>
      <c r="G6195">
        <v>0</v>
      </c>
      <c r="H6195" t="s">
        <v>43</v>
      </c>
      <c r="I6195" t="s">
        <v>3533</v>
      </c>
      <c r="J6195">
        <v>64</v>
      </c>
      <c r="K6195">
        <v>2</v>
      </c>
      <c r="L6195">
        <v>98</v>
      </c>
      <c r="M6195">
        <v>633</v>
      </c>
      <c r="N6195" t="s">
        <v>85</v>
      </c>
      <c r="O6195" t="s">
        <v>249</v>
      </c>
      <c r="P6195">
        <v>125</v>
      </c>
      <c r="Q6195" t="s">
        <v>82</v>
      </c>
      <c r="R6195">
        <v>0</v>
      </c>
      <c r="S6195">
        <v>0</v>
      </c>
      <c r="T6195">
        <v>-40</v>
      </c>
      <c r="U6195">
        <v>45</v>
      </c>
      <c r="V6195">
        <v>-30</v>
      </c>
      <c r="W6195">
        <v>28</v>
      </c>
      <c r="X6195">
        <v>28</v>
      </c>
      <c r="Y6195">
        <v>1</v>
      </c>
      <c r="Z6195">
        <v>1</v>
      </c>
      <c r="AA6195">
        <v>26</v>
      </c>
      <c r="AB6195">
        <v>2</v>
      </c>
      <c r="AC6195">
        <v>2</v>
      </c>
      <c r="AD6195">
        <v>3.31200004</v>
      </c>
      <c r="AE6195">
        <v>6</v>
      </c>
      <c r="AF6195">
        <v>30</v>
      </c>
      <c r="AG6195">
        <v>3.2950000799999999</v>
      </c>
      <c r="AH6195">
        <v>8</v>
      </c>
      <c r="AI6195">
        <v>48</v>
      </c>
      <c r="AJ6195">
        <v>1</v>
      </c>
      <c r="AK6195">
        <v>19</v>
      </c>
      <c r="AL6195">
        <v>40</v>
      </c>
      <c r="AM6195" t="s">
        <v>43</v>
      </c>
      <c r="AN6195" t="str">
        <f>HYPERLINK("https://www.google.com/maps?q=10.83218193,79.8401947","Open Location")</f>
        <v>Open Location</v>
      </c>
    </row>
    <row r="6196" spans="1:40" x14ac:dyDescent="0.3">
      <c r="A6196" s="1">
        <v>46210.282175925924</v>
      </c>
      <c r="B6196" t="s">
        <v>40</v>
      </c>
      <c r="C6196" t="s">
        <v>41</v>
      </c>
      <c r="D6196" s="1">
        <v>46210.285081018519</v>
      </c>
      <c r="E6196" t="s">
        <v>42</v>
      </c>
      <c r="F6196" t="s">
        <v>83</v>
      </c>
      <c r="G6196">
        <v>0</v>
      </c>
      <c r="H6196">
        <v>33081</v>
      </c>
      <c r="I6196" t="s">
        <v>3534</v>
      </c>
      <c r="J6196">
        <v>64</v>
      </c>
      <c r="K6196">
        <v>2</v>
      </c>
      <c r="L6196">
        <v>98</v>
      </c>
      <c r="M6196">
        <v>633</v>
      </c>
      <c r="N6196" t="s">
        <v>85</v>
      </c>
      <c r="O6196" t="s">
        <v>82</v>
      </c>
      <c r="P6196">
        <v>125</v>
      </c>
      <c r="Q6196" t="s">
        <v>82</v>
      </c>
      <c r="R6196">
        <v>0</v>
      </c>
      <c r="S6196">
        <v>0</v>
      </c>
      <c r="T6196">
        <v>-40</v>
      </c>
      <c r="U6196">
        <v>45</v>
      </c>
      <c r="V6196">
        <v>0</v>
      </c>
      <c r="W6196">
        <v>28</v>
      </c>
      <c r="X6196">
        <v>28</v>
      </c>
      <c r="Y6196">
        <v>1</v>
      </c>
      <c r="Z6196">
        <v>1</v>
      </c>
      <c r="AA6196">
        <v>26</v>
      </c>
      <c r="AB6196">
        <v>2</v>
      </c>
      <c r="AC6196">
        <v>2</v>
      </c>
      <c r="AD6196">
        <v>3.31200004</v>
      </c>
      <c r="AE6196">
        <v>6</v>
      </c>
      <c r="AF6196">
        <v>30</v>
      </c>
      <c r="AG6196">
        <v>3.2950000799999999</v>
      </c>
      <c r="AH6196">
        <v>8</v>
      </c>
      <c r="AI6196">
        <v>48</v>
      </c>
      <c r="AJ6196">
        <v>1</v>
      </c>
      <c r="AK6196">
        <v>17</v>
      </c>
      <c r="AL6196">
        <v>40</v>
      </c>
      <c r="AM6196" t="s">
        <v>43</v>
      </c>
      <c r="AN6196" t="str">
        <f>HYPERLINK("https://www.google.com/maps?q=10.83217812,79.8401947","Open Location")</f>
        <v>Open Location</v>
      </c>
    </row>
    <row r="6197" spans="1:40" x14ac:dyDescent="0.3">
      <c r="A6197" s="1">
        <v>46210.282060185185</v>
      </c>
      <c r="B6197" t="s">
        <v>40</v>
      </c>
      <c r="C6197" t="s">
        <v>41</v>
      </c>
      <c r="D6197" s="1">
        <v>46210.284837962965</v>
      </c>
      <c r="E6197" t="s">
        <v>42</v>
      </c>
      <c r="F6197" t="s">
        <v>83</v>
      </c>
      <c r="G6197">
        <v>0</v>
      </c>
      <c r="H6197">
        <v>33081</v>
      </c>
      <c r="I6197" t="s">
        <v>43</v>
      </c>
      <c r="J6197">
        <v>64</v>
      </c>
      <c r="K6197">
        <v>2</v>
      </c>
      <c r="L6197">
        <v>98</v>
      </c>
      <c r="M6197">
        <v>633.79998779000005</v>
      </c>
      <c r="N6197" t="s">
        <v>85</v>
      </c>
      <c r="O6197" t="s">
        <v>82</v>
      </c>
      <c r="P6197">
        <v>125</v>
      </c>
      <c r="Q6197" t="s">
        <v>82</v>
      </c>
      <c r="R6197">
        <v>0</v>
      </c>
      <c r="S6197">
        <v>0</v>
      </c>
      <c r="T6197">
        <v>-40</v>
      </c>
      <c r="U6197">
        <v>45</v>
      </c>
      <c r="V6197">
        <v>0</v>
      </c>
      <c r="W6197">
        <v>28</v>
      </c>
      <c r="X6197">
        <v>28</v>
      </c>
      <c r="Y6197">
        <v>1</v>
      </c>
      <c r="Z6197">
        <v>1</v>
      </c>
      <c r="AA6197">
        <v>26</v>
      </c>
      <c r="AB6197">
        <v>2</v>
      </c>
      <c r="AC6197">
        <v>2</v>
      </c>
      <c r="AD6197">
        <v>3.31200004</v>
      </c>
      <c r="AE6197">
        <v>6</v>
      </c>
      <c r="AF6197">
        <v>30</v>
      </c>
      <c r="AG6197">
        <v>3.2950000799999999</v>
      </c>
      <c r="AH6197">
        <v>8</v>
      </c>
      <c r="AI6197">
        <v>48</v>
      </c>
      <c r="AJ6197">
        <v>1</v>
      </c>
      <c r="AK6197">
        <v>17</v>
      </c>
      <c r="AL6197">
        <v>40</v>
      </c>
      <c r="AM6197" t="s">
        <v>43</v>
      </c>
      <c r="AN6197" t="s">
        <v>43</v>
      </c>
    </row>
    <row r="6198" spans="1:40" x14ac:dyDescent="0.3">
      <c r="A6198" s="1">
        <v>46210.281944444447</v>
      </c>
      <c r="B6198" t="s">
        <v>40</v>
      </c>
      <c r="C6198" t="s">
        <v>41</v>
      </c>
      <c r="D6198" s="1">
        <v>46210.284745370373</v>
      </c>
      <c r="E6198" t="s">
        <v>42</v>
      </c>
      <c r="F6198" t="s">
        <v>83</v>
      </c>
      <c r="G6198">
        <v>0</v>
      </c>
      <c r="H6198">
        <v>33081</v>
      </c>
      <c r="I6198" t="s">
        <v>3535</v>
      </c>
      <c r="J6198">
        <v>64</v>
      </c>
      <c r="K6198">
        <v>2</v>
      </c>
      <c r="L6198">
        <v>98</v>
      </c>
      <c r="M6198">
        <v>632.90002441000001</v>
      </c>
      <c r="N6198" t="s">
        <v>85</v>
      </c>
      <c r="O6198" t="s">
        <v>82</v>
      </c>
      <c r="P6198">
        <v>125</v>
      </c>
      <c r="Q6198" t="s">
        <v>82</v>
      </c>
      <c r="R6198">
        <v>0</v>
      </c>
      <c r="S6198">
        <v>0</v>
      </c>
      <c r="T6198">
        <v>-40</v>
      </c>
      <c r="U6198">
        <v>45</v>
      </c>
      <c r="V6198">
        <v>0</v>
      </c>
      <c r="W6198">
        <v>28</v>
      </c>
      <c r="X6198">
        <v>28</v>
      </c>
      <c r="Y6198">
        <v>1</v>
      </c>
      <c r="Z6198">
        <v>1</v>
      </c>
      <c r="AA6198">
        <v>26</v>
      </c>
      <c r="AB6198">
        <v>2</v>
      </c>
      <c r="AC6198">
        <v>2</v>
      </c>
      <c r="AD6198">
        <v>3.31200004</v>
      </c>
      <c r="AE6198">
        <v>6</v>
      </c>
      <c r="AF6198">
        <v>30</v>
      </c>
      <c r="AG6198">
        <v>3.2950000799999999</v>
      </c>
      <c r="AH6198">
        <v>8</v>
      </c>
      <c r="AI6198">
        <v>48</v>
      </c>
      <c r="AJ6198">
        <v>1</v>
      </c>
      <c r="AK6198">
        <v>17</v>
      </c>
      <c r="AL6198">
        <v>40</v>
      </c>
      <c r="AM6198" t="s">
        <v>43</v>
      </c>
      <c r="AN6198" t="str">
        <f>HYPERLINK("https://www.google.com/maps?q=10.83217621,79.84018707","Open Location")</f>
        <v>Open Location</v>
      </c>
    </row>
    <row r="6199" spans="1:40" x14ac:dyDescent="0.3">
      <c r="A6199" s="1">
        <v>46210.281828703701</v>
      </c>
      <c r="B6199" t="s">
        <v>40</v>
      </c>
      <c r="C6199" t="s">
        <v>41</v>
      </c>
      <c r="D6199" s="1">
        <v>46210.284745370373</v>
      </c>
      <c r="E6199" t="s">
        <v>42</v>
      </c>
      <c r="F6199" t="s">
        <v>83</v>
      </c>
      <c r="G6199">
        <v>0</v>
      </c>
      <c r="H6199">
        <v>33081</v>
      </c>
      <c r="I6199" t="s">
        <v>3536</v>
      </c>
      <c r="J6199">
        <v>64</v>
      </c>
      <c r="K6199">
        <v>2</v>
      </c>
      <c r="L6199">
        <v>98</v>
      </c>
      <c r="M6199">
        <v>633.09997558999999</v>
      </c>
      <c r="N6199" t="s">
        <v>85</v>
      </c>
      <c r="O6199" t="s">
        <v>82</v>
      </c>
      <c r="P6199">
        <v>125</v>
      </c>
      <c r="Q6199" t="s">
        <v>82</v>
      </c>
      <c r="R6199">
        <v>0</v>
      </c>
      <c r="S6199">
        <v>0</v>
      </c>
      <c r="T6199">
        <v>-40</v>
      </c>
      <c r="U6199">
        <v>45</v>
      </c>
      <c r="V6199">
        <v>0</v>
      </c>
      <c r="W6199">
        <v>28</v>
      </c>
      <c r="X6199">
        <v>28</v>
      </c>
      <c r="Y6199">
        <v>1</v>
      </c>
      <c r="Z6199">
        <v>1</v>
      </c>
      <c r="AA6199">
        <v>26</v>
      </c>
      <c r="AB6199">
        <v>2</v>
      </c>
      <c r="AC6199">
        <v>2</v>
      </c>
      <c r="AD6199">
        <v>3.31200004</v>
      </c>
      <c r="AE6199">
        <v>6</v>
      </c>
      <c r="AF6199">
        <v>30</v>
      </c>
      <c r="AG6199">
        <v>3.2950000799999999</v>
      </c>
      <c r="AH6199">
        <v>8</v>
      </c>
      <c r="AI6199">
        <v>48</v>
      </c>
      <c r="AJ6199">
        <v>1</v>
      </c>
      <c r="AK6199">
        <v>17</v>
      </c>
      <c r="AL6199">
        <v>40</v>
      </c>
      <c r="AM6199" t="s">
        <v>43</v>
      </c>
      <c r="AN6199" t="str">
        <f>HYPERLINK("https://www.google.com/maps?q=10.83217907,79.8401947","Open Location")</f>
        <v>Open Location</v>
      </c>
    </row>
    <row r="6200" spans="1:40" x14ac:dyDescent="0.3">
      <c r="A6200" s="1">
        <v>46210.281712962962</v>
      </c>
      <c r="B6200" t="s">
        <v>40</v>
      </c>
      <c r="C6200" t="s">
        <v>41</v>
      </c>
      <c r="D6200" s="1">
        <v>46210.28465277778</v>
      </c>
      <c r="E6200" t="s">
        <v>42</v>
      </c>
      <c r="F6200" t="s">
        <v>83</v>
      </c>
      <c r="G6200">
        <v>0</v>
      </c>
      <c r="H6200" t="s">
        <v>43</v>
      </c>
      <c r="I6200" t="s">
        <v>3536</v>
      </c>
      <c r="J6200">
        <v>64</v>
      </c>
      <c r="K6200">
        <v>2</v>
      </c>
      <c r="L6200">
        <v>98</v>
      </c>
      <c r="M6200">
        <v>633</v>
      </c>
      <c r="N6200" t="s">
        <v>85</v>
      </c>
      <c r="O6200" t="s">
        <v>82</v>
      </c>
      <c r="P6200">
        <v>125</v>
      </c>
      <c r="Q6200" t="s">
        <v>82</v>
      </c>
      <c r="R6200">
        <v>0</v>
      </c>
      <c r="S6200">
        <v>0</v>
      </c>
      <c r="T6200">
        <v>-40</v>
      </c>
      <c r="U6200">
        <v>45</v>
      </c>
      <c r="V6200">
        <v>0</v>
      </c>
      <c r="W6200">
        <v>28</v>
      </c>
      <c r="X6200">
        <v>28</v>
      </c>
      <c r="Y6200">
        <v>1</v>
      </c>
      <c r="Z6200">
        <v>1</v>
      </c>
      <c r="AA6200">
        <v>26</v>
      </c>
      <c r="AB6200">
        <v>2</v>
      </c>
      <c r="AC6200">
        <v>2</v>
      </c>
      <c r="AD6200">
        <v>3.31200004</v>
      </c>
      <c r="AE6200">
        <v>6</v>
      </c>
      <c r="AF6200">
        <v>30</v>
      </c>
      <c r="AG6200">
        <v>3.2950000799999999</v>
      </c>
      <c r="AH6200">
        <v>8</v>
      </c>
      <c r="AI6200">
        <v>48</v>
      </c>
      <c r="AJ6200">
        <v>1</v>
      </c>
      <c r="AK6200">
        <v>17</v>
      </c>
      <c r="AL6200">
        <v>40</v>
      </c>
      <c r="AM6200" t="s">
        <v>43</v>
      </c>
      <c r="AN6200" t="str">
        <f>HYPERLINK("https://www.google.com/maps?q=10.83217907,79.8401947","Open Location")</f>
        <v>Open Location</v>
      </c>
    </row>
    <row r="6201" spans="1:40" x14ac:dyDescent="0.3">
      <c r="A6201" s="1">
        <v>46210.281597222223</v>
      </c>
      <c r="B6201" t="s">
        <v>40</v>
      </c>
      <c r="C6201" t="s">
        <v>41</v>
      </c>
      <c r="D6201" s="1">
        <v>46210.284502314818</v>
      </c>
      <c r="E6201" t="s">
        <v>42</v>
      </c>
      <c r="F6201" t="s">
        <v>83</v>
      </c>
      <c r="G6201">
        <v>0</v>
      </c>
      <c r="H6201">
        <v>33081</v>
      </c>
      <c r="I6201" t="s">
        <v>3532</v>
      </c>
      <c r="J6201">
        <v>64</v>
      </c>
      <c r="K6201">
        <v>2</v>
      </c>
      <c r="L6201">
        <v>98</v>
      </c>
      <c r="M6201">
        <v>633.59997558999999</v>
      </c>
      <c r="N6201" t="s">
        <v>85</v>
      </c>
      <c r="O6201" t="s">
        <v>82</v>
      </c>
      <c r="P6201">
        <v>125</v>
      </c>
      <c r="Q6201" t="s">
        <v>82</v>
      </c>
      <c r="R6201">
        <v>0</v>
      </c>
      <c r="S6201">
        <v>0</v>
      </c>
      <c r="T6201">
        <v>-40</v>
      </c>
      <c r="U6201">
        <v>45</v>
      </c>
      <c r="V6201">
        <v>0</v>
      </c>
      <c r="W6201">
        <v>28</v>
      </c>
      <c r="X6201">
        <v>28</v>
      </c>
      <c r="Y6201">
        <v>1</v>
      </c>
      <c r="Z6201">
        <v>1</v>
      </c>
      <c r="AA6201">
        <v>26</v>
      </c>
      <c r="AB6201">
        <v>2</v>
      </c>
      <c r="AC6201">
        <v>2</v>
      </c>
      <c r="AD6201">
        <v>3.3110001100000002</v>
      </c>
      <c r="AE6201">
        <v>6</v>
      </c>
      <c r="AF6201">
        <v>30</v>
      </c>
      <c r="AG6201">
        <v>3.2950000799999999</v>
      </c>
      <c r="AH6201">
        <v>8</v>
      </c>
      <c r="AI6201">
        <v>48</v>
      </c>
      <c r="AJ6201">
        <v>1</v>
      </c>
      <c r="AK6201">
        <v>17</v>
      </c>
      <c r="AL6201">
        <v>40</v>
      </c>
      <c r="AM6201" t="s">
        <v>43</v>
      </c>
      <c r="AN6201" t="str">
        <f>HYPERLINK("https://www.google.com/maps?q=10.83218479,79.8401947","Open Location")</f>
        <v>Open Location</v>
      </c>
    </row>
    <row r="6202" spans="1:40" x14ac:dyDescent="0.3">
      <c r="A6202" s="1">
        <v>46210.281481481485</v>
      </c>
      <c r="B6202" t="s">
        <v>40</v>
      </c>
      <c r="C6202" t="s">
        <v>41</v>
      </c>
      <c r="D6202" s="1">
        <v>46210.284259259257</v>
      </c>
      <c r="E6202" t="s">
        <v>42</v>
      </c>
      <c r="F6202" t="s">
        <v>83</v>
      </c>
      <c r="G6202">
        <v>0</v>
      </c>
      <c r="H6202">
        <v>33081</v>
      </c>
      <c r="I6202" t="s">
        <v>43</v>
      </c>
      <c r="J6202">
        <v>64</v>
      </c>
      <c r="K6202">
        <v>2</v>
      </c>
      <c r="L6202">
        <v>98</v>
      </c>
      <c r="M6202">
        <v>633.59997558999999</v>
      </c>
      <c r="N6202" t="s">
        <v>85</v>
      </c>
      <c r="O6202" t="s">
        <v>82</v>
      </c>
      <c r="P6202">
        <v>125</v>
      </c>
      <c r="Q6202" t="s">
        <v>82</v>
      </c>
      <c r="R6202">
        <v>0</v>
      </c>
      <c r="S6202">
        <v>0</v>
      </c>
      <c r="T6202">
        <v>-40</v>
      </c>
      <c r="U6202">
        <v>45</v>
      </c>
      <c r="V6202">
        <v>0</v>
      </c>
      <c r="W6202">
        <v>28</v>
      </c>
      <c r="X6202">
        <v>28</v>
      </c>
      <c r="Y6202">
        <v>1</v>
      </c>
      <c r="Z6202">
        <v>1</v>
      </c>
      <c r="AA6202">
        <v>26</v>
      </c>
      <c r="AB6202">
        <v>2</v>
      </c>
      <c r="AC6202">
        <v>2</v>
      </c>
      <c r="AD6202">
        <v>3.31200004</v>
      </c>
      <c r="AE6202">
        <v>6</v>
      </c>
      <c r="AF6202">
        <v>30</v>
      </c>
      <c r="AG6202">
        <v>3.2950000799999999</v>
      </c>
      <c r="AH6202">
        <v>8</v>
      </c>
      <c r="AI6202">
        <v>48</v>
      </c>
      <c r="AJ6202">
        <v>1</v>
      </c>
      <c r="AK6202">
        <v>17</v>
      </c>
      <c r="AL6202">
        <v>40</v>
      </c>
      <c r="AM6202" t="s">
        <v>43</v>
      </c>
      <c r="AN6202" t="s">
        <v>43</v>
      </c>
    </row>
    <row r="6203" spans="1:40" x14ac:dyDescent="0.3">
      <c r="A6203" s="1">
        <v>46210.281365740739</v>
      </c>
      <c r="B6203" t="s">
        <v>40</v>
      </c>
      <c r="C6203" t="s">
        <v>41</v>
      </c>
      <c r="D6203" s="1">
        <v>46210.284016203703</v>
      </c>
      <c r="E6203" t="s">
        <v>42</v>
      </c>
      <c r="F6203" t="s">
        <v>83</v>
      </c>
      <c r="G6203">
        <v>0</v>
      </c>
      <c r="H6203">
        <v>33081</v>
      </c>
      <c r="I6203" t="s">
        <v>3537</v>
      </c>
      <c r="J6203">
        <v>64</v>
      </c>
      <c r="K6203">
        <v>2</v>
      </c>
      <c r="L6203">
        <v>98</v>
      </c>
      <c r="M6203">
        <v>633.29998779000005</v>
      </c>
      <c r="N6203" t="s">
        <v>85</v>
      </c>
      <c r="O6203" t="s">
        <v>82</v>
      </c>
      <c r="P6203">
        <v>125</v>
      </c>
      <c r="Q6203" t="s">
        <v>82</v>
      </c>
      <c r="R6203">
        <v>0</v>
      </c>
      <c r="S6203">
        <v>0</v>
      </c>
      <c r="T6203">
        <v>-40</v>
      </c>
      <c r="U6203">
        <v>45</v>
      </c>
      <c r="V6203">
        <v>0</v>
      </c>
      <c r="W6203">
        <v>28</v>
      </c>
      <c r="X6203">
        <v>28</v>
      </c>
      <c r="Y6203">
        <v>1</v>
      </c>
      <c r="Z6203">
        <v>1</v>
      </c>
      <c r="AA6203">
        <v>26</v>
      </c>
      <c r="AB6203">
        <v>2</v>
      </c>
      <c r="AC6203">
        <v>2</v>
      </c>
      <c r="AD6203">
        <v>3.3110001100000002</v>
      </c>
      <c r="AE6203">
        <v>6</v>
      </c>
      <c r="AF6203">
        <v>30</v>
      </c>
      <c r="AG6203">
        <v>3.2950000799999999</v>
      </c>
      <c r="AH6203">
        <v>8</v>
      </c>
      <c r="AI6203">
        <v>48</v>
      </c>
      <c r="AJ6203">
        <v>1</v>
      </c>
      <c r="AK6203">
        <v>17</v>
      </c>
      <c r="AL6203">
        <v>40</v>
      </c>
      <c r="AM6203" t="s">
        <v>43</v>
      </c>
      <c r="AN6203" t="str">
        <f>HYPERLINK("https://www.google.com/maps?q=10.8321867,79.8401947","Open Location")</f>
        <v>Open Location</v>
      </c>
    </row>
    <row r="6204" spans="1:40" x14ac:dyDescent="0.3">
      <c r="A6204" s="1">
        <v>46210.28125</v>
      </c>
      <c r="B6204" t="s">
        <v>40</v>
      </c>
      <c r="C6204" t="s">
        <v>41</v>
      </c>
      <c r="D6204" s="1">
        <v>46210.28429398148</v>
      </c>
      <c r="E6204" t="s">
        <v>42</v>
      </c>
      <c r="F6204" t="s">
        <v>83</v>
      </c>
      <c r="G6204">
        <v>0</v>
      </c>
      <c r="H6204">
        <v>33081</v>
      </c>
      <c r="I6204" t="s">
        <v>3538</v>
      </c>
      <c r="J6204">
        <v>64</v>
      </c>
      <c r="K6204">
        <v>2</v>
      </c>
      <c r="L6204">
        <v>98</v>
      </c>
      <c r="M6204">
        <v>633.09997558999999</v>
      </c>
      <c r="N6204" t="s">
        <v>85</v>
      </c>
      <c r="O6204" t="s">
        <v>82</v>
      </c>
      <c r="P6204">
        <v>125</v>
      </c>
      <c r="Q6204" t="s">
        <v>82</v>
      </c>
      <c r="R6204">
        <v>0</v>
      </c>
      <c r="S6204">
        <v>0</v>
      </c>
      <c r="T6204">
        <v>-40</v>
      </c>
      <c r="U6204">
        <v>45</v>
      </c>
      <c r="V6204">
        <v>0</v>
      </c>
      <c r="W6204">
        <v>28</v>
      </c>
      <c r="X6204">
        <v>28</v>
      </c>
      <c r="Y6204">
        <v>1</v>
      </c>
      <c r="Z6204">
        <v>1</v>
      </c>
      <c r="AA6204">
        <v>26</v>
      </c>
      <c r="AB6204">
        <v>2</v>
      </c>
      <c r="AC6204">
        <v>2</v>
      </c>
      <c r="AD6204">
        <v>3.3110001100000002</v>
      </c>
      <c r="AE6204">
        <v>6</v>
      </c>
      <c r="AF6204">
        <v>30</v>
      </c>
      <c r="AG6204">
        <v>3.2950000799999999</v>
      </c>
      <c r="AH6204">
        <v>8</v>
      </c>
      <c r="AI6204">
        <v>48</v>
      </c>
      <c r="AJ6204">
        <v>1</v>
      </c>
      <c r="AK6204">
        <v>17</v>
      </c>
      <c r="AL6204">
        <v>40</v>
      </c>
      <c r="AM6204" t="s">
        <v>43</v>
      </c>
      <c r="AN6204" t="str">
        <f>HYPERLINK("https://www.google.com/maps?q=10.83218765,79.84018707","Open Location")</f>
        <v>Open Location</v>
      </c>
    </row>
    <row r="6205" spans="1:40" x14ac:dyDescent="0.3">
      <c r="A6205" s="1">
        <v>46210.281134259261</v>
      </c>
      <c r="B6205" t="s">
        <v>40</v>
      </c>
      <c r="C6205" t="s">
        <v>41</v>
      </c>
      <c r="D6205" s="1">
        <v>46210.283946759257</v>
      </c>
      <c r="E6205" t="s">
        <v>42</v>
      </c>
      <c r="F6205" t="s">
        <v>83</v>
      </c>
      <c r="G6205">
        <v>0</v>
      </c>
      <c r="H6205">
        <v>33081</v>
      </c>
      <c r="I6205" t="s">
        <v>3539</v>
      </c>
      <c r="J6205">
        <v>64</v>
      </c>
      <c r="K6205">
        <v>2</v>
      </c>
      <c r="L6205">
        <v>98</v>
      </c>
      <c r="M6205">
        <v>633.20001220999995</v>
      </c>
      <c r="N6205" t="s">
        <v>85</v>
      </c>
      <c r="O6205" t="s">
        <v>82</v>
      </c>
      <c r="P6205">
        <v>125</v>
      </c>
      <c r="Q6205" t="s">
        <v>82</v>
      </c>
      <c r="R6205">
        <v>0</v>
      </c>
      <c r="S6205">
        <v>0</v>
      </c>
      <c r="T6205">
        <v>-40</v>
      </c>
      <c r="U6205">
        <v>45</v>
      </c>
      <c r="V6205">
        <v>0</v>
      </c>
      <c r="W6205">
        <v>28</v>
      </c>
      <c r="X6205">
        <v>28</v>
      </c>
      <c r="Y6205">
        <v>1</v>
      </c>
      <c r="Z6205">
        <v>1</v>
      </c>
      <c r="AA6205">
        <v>26</v>
      </c>
      <c r="AB6205">
        <v>2</v>
      </c>
      <c r="AC6205">
        <v>2</v>
      </c>
      <c r="AD6205">
        <v>3.3110001100000002</v>
      </c>
      <c r="AE6205">
        <v>6</v>
      </c>
      <c r="AF6205">
        <v>30</v>
      </c>
      <c r="AG6205">
        <v>3.2950000799999999</v>
      </c>
      <c r="AH6205">
        <v>8</v>
      </c>
      <c r="AI6205">
        <v>48</v>
      </c>
      <c r="AJ6205">
        <v>1</v>
      </c>
      <c r="AK6205">
        <v>17</v>
      </c>
      <c r="AL6205">
        <v>40</v>
      </c>
      <c r="AM6205" t="s">
        <v>43</v>
      </c>
      <c r="AN6205" t="str">
        <f>HYPERLINK("https://www.google.com/maps?q=10.83218575,79.84017944","Open Location")</f>
        <v>Open Location</v>
      </c>
    </row>
    <row r="6206" spans="1:40" x14ac:dyDescent="0.3">
      <c r="A6206" s="1">
        <v>46210.281018518515</v>
      </c>
      <c r="B6206" t="s">
        <v>40</v>
      </c>
      <c r="C6206" t="s">
        <v>41</v>
      </c>
      <c r="D6206" s="1">
        <v>46210.283946759257</v>
      </c>
      <c r="E6206" t="s">
        <v>42</v>
      </c>
      <c r="F6206" t="s">
        <v>83</v>
      </c>
      <c r="G6206">
        <v>0</v>
      </c>
      <c r="H6206">
        <v>33081</v>
      </c>
      <c r="I6206" t="s">
        <v>3540</v>
      </c>
      <c r="J6206">
        <v>64</v>
      </c>
      <c r="K6206">
        <v>2</v>
      </c>
      <c r="L6206">
        <v>98</v>
      </c>
      <c r="M6206">
        <v>633.79998779000005</v>
      </c>
      <c r="N6206" t="s">
        <v>85</v>
      </c>
      <c r="O6206" t="s">
        <v>82</v>
      </c>
      <c r="P6206">
        <v>125</v>
      </c>
      <c r="Q6206" t="s">
        <v>82</v>
      </c>
      <c r="R6206">
        <v>0</v>
      </c>
      <c r="S6206">
        <v>0</v>
      </c>
      <c r="T6206">
        <v>-40</v>
      </c>
      <c r="U6206">
        <v>45</v>
      </c>
      <c r="V6206">
        <v>0</v>
      </c>
      <c r="W6206">
        <v>28</v>
      </c>
      <c r="X6206">
        <v>28</v>
      </c>
      <c r="Y6206">
        <v>1</v>
      </c>
      <c r="Z6206">
        <v>1</v>
      </c>
      <c r="AA6206">
        <v>26</v>
      </c>
      <c r="AB6206">
        <v>2</v>
      </c>
      <c r="AC6206">
        <v>2</v>
      </c>
      <c r="AD6206">
        <v>3.3110001100000002</v>
      </c>
      <c r="AE6206">
        <v>6</v>
      </c>
      <c r="AF6206">
        <v>30</v>
      </c>
      <c r="AG6206">
        <v>3.2950000799999999</v>
      </c>
      <c r="AH6206">
        <v>8</v>
      </c>
      <c r="AI6206">
        <v>48</v>
      </c>
      <c r="AJ6206">
        <v>1</v>
      </c>
      <c r="AK6206">
        <v>17</v>
      </c>
      <c r="AL6206">
        <v>40</v>
      </c>
      <c r="AM6206" t="s">
        <v>43</v>
      </c>
      <c r="AN6206" t="str">
        <f>HYPERLINK("https://www.google.com/maps?q=10.83218575,79.84018707","Open Location")</f>
        <v>Open Location</v>
      </c>
    </row>
    <row r="6207" spans="1:40" x14ac:dyDescent="0.3">
      <c r="A6207" s="1">
        <v>46210.280902777777</v>
      </c>
      <c r="B6207" t="s">
        <v>40</v>
      </c>
      <c r="C6207" t="s">
        <v>41</v>
      </c>
      <c r="D6207" s="1">
        <v>46210.283680555556</v>
      </c>
      <c r="E6207" t="s">
        <v>42</v>
      </c>
      <c r="F6207" t="s">
        <v>83</v>
      </c>
      <c r="G6207">
        <v>0</v>
      </c>
      <c r="H6207">
        <v>33081</v>
      </c>
      <c r="I6207" t="s">
        <v>3541</v>
      </c>
      <c r="J6207">
        <v>64</v>
      </c>
      <c r="K6207">
        <v>2</v>
      </c>
      <c r="L6207">
        <v>98</v>
      </c>
      <c r="M6207">
        <v>633.59997558999999</v>
      </c>
      <c r="N6207" t="s">
        <v>85</v>
      </c>
      <c r="O6207" t="s">
        <v>82</v>
      </c>
      <c r="P6207">
        <v>125</v>
      </c>
      <c r="Q6207" t="s">
        <v>82</v>
      </c>
      <c r="R6207">
        <v>0</v>
      </c>
      <c r="S6207">
        <v>0</v>
      </c>
      <c r="T6207">
        <v>-40</v>
      </c>
      <c r="U6207">
        <v>45</v>
      </c>
      <c r="V6207">
        <v>0</v>
      </c>
      <c r="W6207">
        <v>28</v>
      </c>
      <c r="X6207">
        <v>28</v>
      </c>
      <c r="Y6207">
        <v>1</v>
      </c>
      <c r="Z6207">
        <v>1</v>
      </c>
      <c r="AA6207">
        <v>26</v>
      </c>
      <c r="AB6207">
        <v>2</v>
      </c>
      <c r="AC6207">
        <v>2</v>
      </c>
      <c r="AD6207">
        <v>3.3110001100000002</v>
      </c>
      <c r="AE6207">
        <v>6</v>
      </c>
      <c r="AF6207">
        <v>30</v>
      </c>
      <c r="AG6207">
        <v>3.2950000799999999</v>
      </c>
      <c r="AH6207">
        <v>8</v>
      </c>
      <c r="AI6207">
        <v>48</v>
      </c>
      <c r="AJ6207">
        <v>1</v>
      </c>
      <c r="AK6207">
        <v>17</v>
      </c>
      <c r="AL6207">
        <v>40</v>
      </c>
      <c r="AM6207" t="s">
        <v>43</v>
      </c>
      <c r="AN6207" t="str">
        <f>HYPERLINK("https://www.google.com/maps?q=10.83218479,79.84017944","Open Location")</f>
        <v>Open Location</v>
      </c>
    </row>
    <row r="6208" spans="1:40" x14ac:dyDescent="0.3">
      <c r="A6208" s="1">
        <v>46210.280787037038</v>
      </c>
      <c r="B6208" t="s">
        <v>40</v>
      </c>
      <c r="C6208" t="s">
        <v>41</v>
      </c>
      <c r="D6208" s="1">
        <v>46210.283715277779</v>
      </c>
      <c r="E6208" t="s">
        <v>42</v>
      </c>
      <c r="F6208" t="s">
        <v>83</v>
      </c>
      <c r="G6208">
        <v>0</v>
      </c>
      <c r="H6208">
        <v>33081</v>
      </c>
      <c r="I6208" t="s">
        <v>43</v>
      </c>
      <c r="J6208">
        <v>64</v>
      </c>
      <c r="K6208">
        <v>2</v>
      </c>
      <c r="L6208">
        <v>98</v>
      </c>
      <c r="M6208">
        <v>633</v>
      </c>
      <c r="N6208" t="s">
        <v>85</v>
      </c>
      <c r="O6208" t="s">
        <v>82</v>
      </c>
      <c r="P6208">
        <v>125</v>
      </c>
      <c r="Q6208" t="s">
        <v>82</v>
      </c>
      <c r="R6208">
        <v>0</v>
      </c>
      <c r="S6208">
        <v>0</v>
      </c>
      <c r="T6208">
        <v>-40</v>
      </c>
      <c r="U6208">
        <v>45</v>
      </c>
      <c r="V6208">
        <v>0</v>
      </c>
      <c r="W6208">
        <v>28</v>
      </c>
      <c r="X6208">
        <v>28</v>
      </c>
      <c r="Y6208">
        <v>1</v>
      </c>
      <c r="Z6208">
        <v>1</v>
      </c>
      <c r="AA6208">
        <v>26</v>
      </c>
      <c r="AB6208">
        <v>2</v>
      </c>
      <c r="AC6208">
        <v>2</v>
      </c>
      <c r="AD6208">
        <v>3.3110001100000002</v>
      </c>
      <c r="AE6208">
        <v>6</v>
      </c>
      <c r="AF6208">
        <v>30</v>
      </c>
      <c r="AG6208">
        <v>3.2950000799999999</v>
      </c>
      <c r="AH6208">
        <v>8</v>
      </c>
      <c r="AI6208">
        <v>48</v>
      </c>
      <c r="AJ6208">
        <v>1</v>
      </c>
      <c r="AK6208">
        <v>17</v>
      </c>
      <c r="AL6208">
        <v>40</v>
      </c>
      <c r="AM6208" t="s">
        <v>43</v>
      </c>
      <c r="AN6208" t="s">
        <v>43</v>
      </c>
    </row>
    <row r="6209" spans="1:40" x14ac:dyDescent="0.3">
      <c r="A6209" s="1">
        <v>46210.280671296299</v>
      </c>
      <c r="B6209" t="s">
        <v>40</v>
      </c>
      <c r="C6209" t="s">
        <v>41</v>
      </c>
      <c r="D6209" s="1">
        <v>46210.283333333333</v>
      </c>
      <c r="E6209" t="s">
        <v>42</v>
      </c>
      <c r="F6209" t="s">
        <v>83</v>
      </c>
      <c r="G6209">
        <v>0</v>
      </c>
      <c r="H6209">
        <v>33081</v>
      </c>
      <c r="I6209" t="s">
        <v>3542</v>
      </c>
      <c r="J6209">
        <v>64</v>
      </c>
      <c r="K6209">
        <v>2</v>
      </c>
      <c r="L6209">
        <v>98</v>
      </c>
      <c r="M6209">
        <v>632.79998779000005</v>
      </c>
      <c r="N6209" t="s">
        <v>85</v>
      </c>
      <c r="O6209" t="s">
        <v>82</v>
      </c>
      <c r="P6209">
        <v>125</v>
      </c>
      <c r="Q6209" t="s">
        <v>82</v>
      </c>
      <c r="R6209">
        <v>0</v>
      </c>
      <c r="S6209">
        <v>0</v>
      </c>
      <c r="T6209">
        <v>-40</v>
      </c>
      <c r="U6209">
        <v>45</v>
      </c>
      <c r="V6209">
        <v>0</v>
      </c>
      <c r="W6209">
        <v>28</v>
      </c>
      <c r="X6209">
        <v>28</v>
      </c>
      <c r="Y6209">
        <v>1</v>
      </c>
      <c r="Z6209">
        <v>1</v>
      </c>
      <c r="AA6209">
        <v>26</v>
      </c>
      <c r="AB6209">
        <v>2</v>
      </c>
      <c r="AC6209">
        <v>2</v>
      </c>
      <c r="AD6209">
        <v>3.3110001100000002</v>
      </c>
      <c r="AE6209">
        <v>6</v>
      </c>
      <c r="AF6209">
        <v>30</v>
      </c>
      <c r="AG6209">
        <v>3.2950000799999999</v>
      </c>
      <c r="AH6209">
        <v>8</v>
      </c>
      <c r="AI6209">
        <v>48</v>
      </c>
      <c r="AJ6209">
        <v>1</v>
      </c>
      <c r="AK6209">
        <v>17</v>
      </c>
      <c r="AL6209">
        <v>40</v>
      </c>
      <c r="AM6209" t="s">
        <v>43</v>
      </c>
      <c r="AN6209" t="str">
        <f>HYPERLINK("https://www.google.com/maps?q=10.83218288,79.84017944","Open Location")</f>
        <v>Open Location</v>
      </c>
    </row>
    <row r="6210" spans="1:40" x14ac:dyDescent="0.3">
      <c r="A6210" s="1">
        <v>46210.280555555553</v>
      </c>
      <c r="B6210" t="s">
        <v>40</v>
      </c>
      <c r="C6210" t="s">
        <v>41</v>
      </c>
      <c r="D6210" s="1">
        <v>46210.283564814818</v>
      </c>
      <c r="E6210" t="s">
        <v>42</v>
      </c>
      <c r="F6210" t="s">
        <v>83</v>
      </c>
      <c r="G6210">
        <v>0</v>
      </c>
      <c r="H6210">
        <v>33081</v>
      </c>
      <c r="I6210" t="s">
        <v>3543</v>
      </c>
      <c r="J6210">
        <v>64</v>
      </c>
      <c r="K6210">
        <v>2</v>
      </c>
      <c r="L6210">
        <v>98</v>
      </c>
      <c r="M6210">
        <v>633.79998779000005</v>
      </c>
      <c r="N6210" t="s">
        <v>85</v>
      </c>
      <c r="O6210" t="s">
        <v>82</v>
      </c>
      <c r="P6210">
        <v>125</v>
      </c>
      <c r="Q6210" t="s">
        <v>82</v>
      </c>
      <c r="R6210">
        <v>0</v>
      </c>
      <c r="S6210">
        <v>0</v>
      </c>
      <c r="T6210">
        <v>-40</v>
      </c>
      <c r="U6210">
        <v>45</v>
      </c>
      <c r="V6210">
        <v>0</v>
      </c>
      <c r="W6210">
        <v>28</v>
      </c>
      <c r="X6210">
        <v>28</v>
      </c>
      <c r="Y6210">
        <v>1</v>
      </c>
      <c r="Z6210">
        <v>1</v>
      </c>
      <c r="AA6210">
        <v>26</v>
      </c>
      <c r="AB6210">
        <v>2</v>
      </c>
      <c r="AC6210">
        <v>2</v>
      </c>
      <c r="AD6210">
        <v>3.3110001100000002</v>
      </c>
      <c r="AE6210">
        <v>6</v>
      </c>
      <c r="AF6210">
        <v>30</v>
      </c>
      <c r="AG6210">
        <v>3.2950000799999999</v>
      </c>
      <c r="AH6210">
        <v>8</v>
      </c>
      <c r="AI6210">
        <v>48</v>
      </c>
      <c r="AJ6210">
        <v>1</v>
      </c>
      <c r="AK6210">
        <v>17</v>
      </c>
      <c r="AL6210">
        <v>40</v>
      </c>
      <c r="AM6210" t="s">
        <v>43</v>
      </c>
      <c r="AN6210" t="str">
        <f>HYPERLINK("https://www.google.com/maps?q=10.83218193,79.84015656","Open Location")</f>
        <v>Open Location</v>
      </c>
    </row>
    <row r="6211" spans="1:40" x14ac:dyDescent="0.3">
      <c r="A6211" s="1">
        <v>46210.280439814815</v>
      </c>
      <c r="B6211" t="s">
        <v>40</v>
      </c>
      <c r="C6211" t="s">
        <v>41</v>
      </c>
      <c r="D6211" s="1">
        <v>46210.283252314817</v>
      </c>
      <c r="E6211" t="s">
        <v>42</v>
      </c>
      <c r="F6211" t="s">
        <v>83</v>
      </c>
      <c r="G6211">
        <v>0</v>
      </c>
      <c r="H6211" t="s">
        <v>43</v>
      </c>
      <c r="I6211" t="s">
        <v>3543</v>
      </c>
      <c r="J6211">
        <v>64</v>
      </c>
      <c r="K6211">
        <v>2</v>
      </c>
      <c r="L6211">
        <v>98</v>
      </c>
      <c r="M6211">
        <v>633.79998779000005</v>
      </c>
      <c r="N6211" t="s">
        <v>85</v>
      </c>
      <c r="O6211" t="s">
        <v>82</v>
      </c>
      <c r="P6211">
        <v>125</v>
      </c>
      <c r="Q6211" t="s">
        <v>82</v>
      </c>
      <c r="R6211">
        <v>0</v>
      </c>
      <c r="S6211">
        <v>0</v>
      </c>
      <c r="T6211">
        <v>-40</v>
      </c>
      <c r="U6211">
        <v>45</v>
      </c>
      <c r="V6211">
        <v>0</v>
      </c>
      <c r="W6211">
        <v>28</v>
      </c>
      <c r="X6211">
        <v>28</v>
      </c>
      <c r="Y6211">
        <v>1</v>
      </c>
      <c r="Z6211">
        <v>1</v>
      </c>
      <c r="AA6211">
        <v>26</v>
      </c>
      <c r="AB6211">
        <v>2</v>
      </c>
      <c r="AC6211">
        <v>2</v>
      </c>
      <c r="AD6211">
        <v>3.3110001100000002</v>
      </c>
      <c r="AE6211">
        <v>6</v>
      </c>
      <c r="AF6211">
        <v>30</v>
      </c>
      <c r="AG6211">
        <v>3.2950000799999999</v>
      </c>
      <c r="AH6211">
        <v>8</v>
      </c>
      <c r="AI6211">
        <v>48</v>
      </c>
      <c r="AJ6211">
        <v>1</v>
      </c>
      <c r="AK6211">
        <v>17</v>
      </c>
      <c r="AL6211">
        <v>40</v>
      </c>
      <c r="AM6211" t="s">
        <v>43</v>
      </c>
      <c r="AN6211" t="str">
        <f>HYPERLINK("https://www.google.com/maps?q=10.83218193,79.84015656","Open Location")</f>
        <v>Open Location</v>
      </c>
    </row>
    <row r="6212" spans="1:40" x14ac:dyDescent="0.3">
      <c r="A6212" s="1">
        <v>46210.280324074076</v>
      </c>
      <c r="B6212" t="s">
        <v>40</v>
      </c>
      <c r="C6212" t="s">
        <v>41</v>
      </c>
      <c r="D6212" s="1">
        <v>46210.28328703704</v>
      </c>
      <c r="E6212" t="s">
        <v>42</v>
      </c>
      <c r="F6212" t="s">
        <v>83</v>
      </c>
      <c r="G6212">
        <v>0</v>
      </c>
      <c r="H6212">
        <v>33081</v>
      </c>
      <c r="I6212" t="s">
        <v>3544</v>
      </c>
      <c r="J6212">
        <v>64</v>
      </c>
      <c r="K6212">
        <v>2</v>
      </c>
      <c r="L6212">
        <v>98</v>
      </c>
      <c r="M6212">
        <v>633</v>
      </c>
      <c r="N6212" t="s">
        <v>85</v>
      </c>
      <c r="O6212" t="s">
        <v>82</v>
      </c>
      <c r="P6212">
        <v>125</v>
      </c>
      <c r="Q6212" t="s">
        <v>82</v>
      </c>
      <c r="R6212">
        <v>0</v>
      </c>
      <c r="S6212">
        <v>0</v>
      </c>
      <c r="T6212">
        <v>-40</v>
      </c>
      <c r="U6212">
        <v>45</v>
      </c>
      <c r="V6212">
        <v>0</v>
      </c>
      <c r="W6212">
        <v>28</v>
      </c>
      <c r="X6212">
        <v>28</v>
      </c>
      <c r="Y6212">
        <v>1</v>
      </c>
      <c r="Z6212">
        <v>1</v>
      </c>
      <c r="AA6212">
        <v>26</v>
      </c>
      <c r="AB6212">
        <v>2</v>
      </c>
      <c r="AC6212">
        <v>2</v>
      </c>
      <c r="AD6212">
        <v>3.3110001100000002</v>
      </c>
      <c r="AE6212">
        <v>6</v>
      </c>
      <c r="AF6212">
        <v>30</v>
      </c>
      <c r="AG6212">
        <v>3.2950000799999999</v>
      </c>
      <c r="AH6212">
        <v>8</v>
      </c>
      <c r="AI6212">
        <v>48</v>
      </c>
      <c r="AJ6212">
        <v>1</v>
      </c>
      <c r="AK6212">
        <v>17</v>
      </c>
      <c r="AL6212">
        <v>40</v>
      </c>
      <c r="AM6212" t="s">
        <v>43</v>
      </c>
      <c r="AN6212" t="str">
        <f>HYPERLINK("https://www.google.com/maps?q=10.83217812,79.84015656","Open Location")</f>
        <v>Open Location</v>
      </c>
    </row>
    <row r="6213" spans="1:40" x14ac:dyDescent="0.3">
      <c r="A6213" s="1">
        <v>46210.28020833333</v>
      </c>
      <c r="B6213" t="s">
        <v>40</v>
      </c>
      <c r="C6213" t="s">
        <v>41</v>
      </c>
      <c r="D6213" s="1">
        <v>46210.283206018517</v>
      </c>
      <c r="E6213" t="s">
        <v>42</v>
      </c>
      <c r="F6213" t="s">
        <v>83</v>
      </c>
      <c r="G6213">
        <v>0</v>
      </c>
      <c r="H6213">
        <v>33081</v>
      </c>
      <c r="I6213" t="s">
        <v>43</v>
      </c>
      <c r="J6213">
        <v>64</v>
      </c>
      <c r="K6213">
        <v>2</v>
      </c>
      <c r="L6213">
        <v>98</v>
      </c>
      <c r="M6213">
        <v>633.09997558999999</v>
      </c>
      <c r="N6213" t="s">
        <v>85</v>
      </c>
      <c r="O6213" t="s">
        <v>82</v>
      </c>
      <c r="P6213">
        <v>125</v>
      </c>
      <c r="Q6213" t="s">
        <v>82</v>
      </c>
      <c r="R6213">
        <v>0</v>
      </c>
      <c r="S6213">
        <v>0</v>
      </c>
      <c r="T6213">
        <v>-40</v>
      </c>
      <c r="U6213">
        <v>45</v>
      </c>
      <c r="V6213">
        <v>0</v>
      </c>
      <c r="W6213">
        <v>28</v>
      </c>
      <c r="X6213">
        <v>28</v>
      </c>
      <c r="Y6213">
        <v>1</v>
      </c>
      <c r="Z6213">
        <v>1</v>
      </c>
      <c r="AA6213">
        <v>26</v>
      </c>
      <c r="AB6213">
        <v>2</v>
      </c>
      <c r="AC6213">
        <v>2</v>
      </c>
      <c r="AD6213">
        <v>3.3110001100000002</v>
      </c>
      <c r="AE6213">
        <v>6</v>
      </c>
      <c r="AF6213">
        <v>30</v>
      </c>
      <c r="AG6213">
        <v>3.2950000799999999</v>
      </c>
      <c r="AH6213">
        <v>8</v>
      </c>
      <c r="AI6213">
        <v>48</v>
      </c>
      <c r="AJ6213">
        <v>1</v>
      </c>
      <c r="AK6213">
        <v>17</v>
      </c>
      <c r="AL6213">
        <v>40</v>
      </c>
      <c r="AM6213" t="s">
        <v>43</v>
      </c>
      <c r="AN6213" t="s">
        <v>43</v>
      </c>
    </row>
    <row r="6214" spans="1:40" x14ac:dyDescent="0.3">
      <c r="A6214" s="1">
        <v>46210.280092592591</v>
      </c>
      <c r="B6214" t="s">
        <v>40</v>
      </c>
      <c r="C6214" t="s">
        <v>41</v>
      </c>
      <c r="D6214" s="1">
        <v>46210.283206018517</v>
      </c>
      <c r="E6214" t="s">
        <v>42</v>
      </c>
      <c r="F6214" t="s">
        <v>83</v>
      </c>
      <c r="G6214">
        <v>0</v>
      </c>
      <c r="H6214">
        <v>33081</v>
      </c>
      <c r="I6214" t="s">
        <v>3545</v>
      </c>
      <c r="J6214">
        <v>64</v>
      </c>
      <c r="K6214">
        <v>2</v>
      </c>
      <c r="L6214">
        <v>98</v>
      </c>
      <c r="M6214">
        <v>633.59997558999999</v>
      </c>
      <c r="N6214" t="s">
        <v>85</v>
      </c>
      <c r="O6214" t="s">
        <v>82</v>
      </c>
      <c r="P6214">
        <v>125</v>
      </c>
      <c r="Q6214" t="s">
        <v>82</v>
      </c>
      <c r="R6214">
        <v>0</v>
      </c>
      <c r="S6214">
        <v>0</v>
      </c>
      <c r="T6214">
        <v>-40</v>
      </c>
      <c r="U6214">
        <v>45</v>
      </c>
      <c r="V6214">
        <v>0</v>
      </c>
      <c r="W6214">
        <v>28</v>
      </c>
      <c r="X6214">
        <v>28</v>
      </c>
      <c r="Y6214">
        <v>1</v>
      </c>
      <c r="Z6214">
        <v>1</v>
      </c>
      <c r="AA6214">
        <v>26</v>
      </c>
      <c r="AB6214">
        <v>2</v>
      </c>
      <c r="AC6214">
        <v>2</v>
      </c>
      <c r="AD6214">
        <v>3.3110001100000002</v>
      </c>
      <c r="AE6214">
        <v>6</v>
      </c>
      <c r="AF6214">
        <v>30</v>
      </c>
      <c r="AG6214">
        <v>3.2950000799999999</v>
      </c>
      <c r="AH6214">
        <v>8</v>
      </c>
      <c r="AI6214">
        <v>48</v>
      </c>
      <c r="AJ6214">
        <v>1</v>
      </c>
      <c r="AK6214">
        <v>17</v>
      </c>
      <c r="AL6214">
        <v>40</v>
      </c>
      <c r="AM6214" t="s">
        <v>43</v>
      </c>
      <c r="AN6214" t="str">
        <f>HYPERLINK("https://www.google.com/maps?q=10.83218193,79.84014893","Open Location")</f>
        <v>Open Location</v>
      </c>
    </row>
    <row r="6215" spans="1:40" x14ac:dyDescent="0.3">
      <c r="A6215" s="1">
        <v>46210.279976851853</v>
      </c>
      <c r="B6215" t="s">
        <v>40</v>
      </c>
      <c r="C6215" t="s">
        <v>41</v>
      </c>
      <c r="D6215" s="1">
        <v>46210.282638888886</v>
      </c>
      <c r="E6215" t="s">
        <v>42</v>
      </c>
      <c r="F6215" t="s">
        <v>83</v>
      </c>
      <c r="G6215">
        <v>0</v>
      </c>
      <c r="H6215">
        <v>33081</v>
      </c>
      <c r="I6215" t="s">
        <v>3546</v>
      </c>
      <c r="J6215">
        <v>64</v>
      </c>
      <c r="K6215">
        <v>2</v>
      </c>
      <c r="L6215">
        <v>98</v>
      </c>
      <c r="M6215">
        <v>633.70001220999995</v>
      </c>
      <c r="N6215" t="s">
        <v>85</v>
      </c>
      <c r="O6215" t="s">
        <v>82</v>
      </c>
      <c r="P6215">
        <v>125</v>
      </c>
      <c r="Q6215" t="s">
        <v>82</v>
      </c>
      <c r="R6215">
        <v>0</v>
      </c>
      <c r="S6215">
        <v>0</v>
      </c>
      <c r="T6215">
        <v>-40</v>
      </c>
      <c r="U6215">
        <v>45</v>
      </c>
      <c r="V6215">
        <v>0</v>
      </c>
      <c r="W6215">
        <v>28</v>
      </c>
      <c r="X6215">
        <v>28</v>
      </c>
      <c r="Y6215">
        <v>1</v>
      </c>
      <c r="Z6215">
        <v>1</v>
      </c>
      <c r="AA6215">
        <v>26</v>
      </c>
      <c r="AB6215">
        <v>2</v>
      </c>
      <c r="AC6215">
        <v>2</v>
      </c>
      <c r="AD6215">
        <v>3.3110001100000002</v>
      </c>
      <c r="AE6215">
        <v>6</v>
      </c>
      <c r="AF6215">
        <v>30</v>
      </c>
      <c r="AG6215">
        <v>3.2950000799999999</v>
      </c>
      <c r="AH6215">
        <v>8</v>
      </c>
      <c r="AI6215">
        <v>48</v>
      </c>
      <c r="AJ6215">
        <v>1</v>
      </c>
      <c r="AK6215">
        <v>17</v>
      </c>
      <c r="AL6215">
        <v>40</v>
      </c>
      <c r="AM6215" t="s">
        <v>43</v>
      </c>
      <c r="AN6215" t="str">
        <f>HYPERLINK("https://www.google.com/maps?q=10.83218002,79.84015656","Open Location")</f>
        <v>Open Location</v>
      </c>
    </row>
    <row r="6216" spans="1:40" x14ac:dyDescent="0.3">
      <c r="A6216" s="1">
        <v>46210.279861111114</v>
      </c>
      <c r="B6216" t="s">
        <v>40</v>
      </c>
      <c r="C6216" t="s">
        <v>41</v>
      </c>
      <c r="D6216" s="1">
        <v>46210.282650462963</v>
      </c>
      <c r="E6216" t="s">
        <v>42</v>
      </c>
      <c r="F6216" t="s">
        <v>83</v>
      </c>
      <c r="G6216">
        <v>0</v>
      </c>
      <c r="H6216" t="s">
        <v>43</v>
      </c>
      <c r="I6216" t="s">
        <v>3544</v>
      </c>
      <c r="J6216">
        <v>64</v>
      </c>
      <c r="K6216">
        <v>2</v>
      </c>
      <c r="L6216">
        <v>98</v>
      </c>
      <c r="M6216">
        <v>633.5</v>
      </c>
      <c r="N6216" t="s">
        <v>85</v>
      </c>
      <c r="O6216" t="s">
        <v>82</v>
      </c>
      <c r="P6216">
        <v>125</v>
      </c>
      <c r="Q6216" t="s">
        <v>82</v>
      </c>
      <c r="R6216">
        <v>0</v>
      </c>
      <c r="S6216">
        <v>0</v>
      </c>
      <c r="T6216">
        <v>-40</v>
      </c>
      <c r="U6216">
        <v>45</v>
      </c>
      <c r="V6216">
        <v>0</v>
      </c>
      <c r="W6216">
        <v>28</v>
      </c>
      <c r="X6216">
        <v>28</v>
      </c>
      <c r="Y6216">
        <v>1</v>
      </c>
      <c r="Z6216">
        <v>1</v>
      </c>
      <c r="AA6216">
        <v>26</v>
      </c>
      <c r="AB6216">
        <v>2</v>
      </c>
      <c r="AC6216">
        <v>2</v>
      </c>
      <c r="AD6216">
        <v>3.3110001100000002</v>
      </c>
      <c r="AE6216">
        <v>6</v>
      </c>
      <c r="AF6216">
        <v>30</v>
      </c>
      <c r="AG6216">
        <v>3.2950000799999999</v>
      </c>
      <c r="AH6216">
        <v>8</v>
      </c>
      <c r="AI6216">
        <v>48</v>
      </c>
      <c r="AJ6216">
        <v>1</v>
      </c>
      <c r="AK6216">
        <v>17</v>
      </c>
      <c r="AL6216">
        <v>40</v>
      </c>
      <c r="AM6216" t="s">
        <v>43</v>
      </c>
      <c r="AN6216" t="str">
        <f>HYPERLINK("https://www.google.com/maps?q=10.83217812,79.84015656","Open Location")</f>
        <v>Open Location</v>
      </c>
    </row>
    <row r="6217" spans="1:40" x14ac:dyDescent="0.3">
      <c r="A6217" s="1">
        <v>46210.279745370368</v>
      </c>
      <c r="B6217" t="s">
        <v>40</v>
      </c>
      <c r="C6217" t="s">
        <v>41</v>
      </c>
      <c r="D6217" s="1">
        <v>46210.282789351855</v>
      </c>
      <c r="E6217" t="s">
        <v>42</v>
      </c>
      <c r="F6217" t="s">
        <v>83</v>
      </c>
      <c r="G6217">
        <v>0</v>
      </c>
      <c r="H6217">
        <v>33081</v>
      </c>
      <c r="I6217" t="s">
        <v>3547</v>
      </c>
      <c r="J6217">
        <v>64</v>
      </c>
      <c r="K6217">
        <v>2</v>
      </c>
      <c r="L6217">
        <v>98</v>
      </c>
      <c r="M6217">
        <v>633.40002441000001</v>
      </c>
      <c r="N6217" t="s">
        <v>85</v>
      </c>
      <c r="O6217" t="s">
        <v>82</v>
      </c>
      <c r="P6217">
        <v>125</v>
      </c>
      <c r="Q6217" t="s">
        <v>82</v>
      </c>
      <c r="R6217">
        <v>0</v>
      </c>
      <c r="S6217">
        <v>0</v>
      </c>
      <c r="T6217">
        <v>-40</v>
      </c>
      <c r="U6217">
        <v>45</v>
      </c>
      <c r="V6217">
        <v>0</v>
      </c>
      <c r="W6217">
        <v>28</v>
      </c>
      <c r="X6217">
        <v>28</v>
      </c>
      <c r="Y6217">
        <v>1</v>
      </c>
      <c r="Z6217">
        <v>1</v>
      </c>
      <c r="AA6217">
        <v>26</v>
      </c>
      <c r="AB6217">
        <v>2</v>
      </c>
      <c r="AC6217">
        <v>2</v>
      </c>
      <c r="AD6217">
        <v>3.3110001100000002</v>
      </c>
      <c r="AE6217">
        <v>6</v>
      </c>
      <c r="AF6217">
        <v>30</v>
      </c>
      <c r="AG6217">
        <v>3.2950000799999999</v>
      </c>
      <c r="AH6217">
        <v>8</v>
      </c>
      <c r="AI6217">
        <v>48</v>
      </c>
      <c r="AJ6217">
        <v>1</v>
      </c>
      <c r="AK6217">
        <v>17</v>
      </c>
      <c r="AL6217">
        <v>40</v>
      </c>
      <c r="AM6217" t="s">
        <v>43</v>
      </c>
      <c r="AN6217" t="str">
        <f>HYPERLINK("https://www.google.com/maps?q=10.83218288,79.84015656","Open Location")</f>
        <v>Open Location</v>
      </c>
    </row>
    <row r="6218" spans="1:40" x14ac:dyDescent="0.3">
      <c r="A6218" s="1">
        <v>46210.279629629629</v>
      </c>
      <c r="B6218" t="s">
        <v>40</v>
      </c>
      <c r="C6218" t="s">
        <v>41</v>
      </c>
      <c r="D6218" s="1">
        <v>46210.28261574074</v>
      </c>
      <c r="E6218" t="s">
        <v>42</v>
      </c>
      <c r="F6218" t="s">
        <v>83</v>
      </c>
      <c r="G6218">
        <v>0</v>
      </c>
      <c r="H6218">
        <v>33081</v>
      </c>
      <c r="I6218" t="s">
        <v>3543</v>
      </c>
      <c r="J6218">
        <v>64</v>
      </c>
      <c r="K6218">
        <v>2</v>
      </c>
      <c r="L6218">
        <v>98</v>
      </c>
      <c r="M6218">
        <v>633.5</v>
      </c>
      <c r="N6218" t="s">
        <v>85</v>
      </c>
      <c r="O6218" t="s">
        <v>82</v>
      </c>
      <c r="P6218">
        <v>125</v>
      </c>
      <c r="Q6218" t="s">
        <v>82</v>
      </c>
      <c r="R6218">
        <v>0</v>
      </c>
      <c r="S6218">
        <v>0</v>
      </c>
      <c r="T6218">
        <v>-40</v>
      </c>
      <c r="U6218">
        <v>45</v>
      </c>
      <c r="V6218">
        <v>0</v>
      </c>
      <c r="W6218">
        <v>28</v>
      </c>
      <c r="X6218">
        <v>28</v>
      </c>
      <c r="Y6218">
        <v>1</v>
      </c>
      <c r="Z6218">
        <v>1</v>
      </c>
      <c r="AA6218">
        <v>26</v>
      </c>
      <c r="AB6218">
        <v>2</v>
      </c>
      <c r="AC6218">
        <v>2</v>
      </c>
      <c r="AD6218">
        <v>3.3110001100000002</v>
      </c>
      <c r="AE6218">
        <v>6</v>
      </c>
      <c r="AF6218">
        <v>30</v>
      </c>
      <c r="AG6218">
        <v>3.2950000799999999</v>
      </c>
      <c r="AH6218">
        <v>8</v>
      </c>
      <c r="AI6218">
        <v>48</v>
      </c>
      <c r="AJ6218">
        <v>1</v>
      </c>
      <c r="AK6218">
        <v>17</v>
      </c>
      <c r="AL6218">
        <v>40</v>
      </c>
      <c r="AM6218" t="s">
        <v>43</v>
      </c>
      <c r="AN6218" t="str">
        <f>HYPERLINK("https://www.google.com/maps?q=10.83218193,79.84015656","Open Location")</f>
        <v>Open Location</v>
      </c>
    </row>
    <row r="6219" spans="1:40" x14ac:dyDescent="0.3">
      <c r="A6219" s="1">
        <v>46210.279513888891</v>
      </c>
      <c r="B6219" t="s">
        <v>40</v>
      </c>
      <c r="C6219" t="s">
        <v>41</v>
      </c>
      <c r="D6219" s="1">
        <v>46210.282187500001</v>
      </c>
      <c r="E6219" t="s">
        <v>42</v>
      </c>
      <c r="F6219" t="s">
        <v>83</v>
      </c>
      <c r="G6219">
        <v>0</v>
      </c>
      <c r="H6219">
        <v>33081</v>
      </c>
      <c r="I6219" t="s">
        <v>43</v>
      </c>
      <c r="J6219">
        <v>64</v>
      </c>
      <c r="K6219">
        <v>2</v>
      </c>
      <c r="L6219">
        <v>98</v>
      </c>
      <c r="M6219">
        <v>633.70001220999995</v>
      </c>
      <c r="N6219" t="s">
        <v>85</v>
      </c>
      <c r="O6219" t="s">
        <v>82</v>
      </c>
      <c r="P6219">
        <v>125</v>
      </c>
      <c r="Q6219" t="s">
        <v>82</v>
      </c>
      <c r="R6219">
        <v>0</v>
      </c>
      <c r="S6219">
        <v>0</v>
      </c>
      <c r="T6219">
        <v>-40</v>
      </c>
      <c r="U6219">
        <v>45</v>
      </c>
      <c r="V6219">
        <v>0</v>
      </c>
      <c r="W6219">
        <v>28</v>
      </c>
      <c r="X6219">
        <v>28</v>
      </c>
      <c r="Y6219">
        <v>1</v>
      </c>
      <c r="Z6219">
        <v>1</v>
      </c>
      <c r="AA6219">
        <v>26</v>
      </c>
      <c r="AB6219">
        <v>2</v>
      </c>
      <c r="AC6219">
        <v>2</v>
      </c>
      <c r="AD6219">
        <v>3.3110001100000002</v>
      </c>
      <c r="AE6219">
        <v>6</v>
      </c>
      <c r="AF6219">
        <v>30</v>
      </c>
      <c r="AG6219">
        <v>3.2950000799999999</v>
      </c>
      <c r="AH6219">
        <v>8</v>
      </c>
      <c r="AI6219">
        <v>48</v>
      </c>
      <c r="AJ6219">
        <v>1</v>
      </c>
      <c r="AK6219">
        <v>17</v>
      </c>
      <c r="AL6219">
        <v>40</v>
      </c>
      <c r="AM6219" t="s">
        <v>43</v>
      </c>
      <c r="AN6219" t="s">
        <v>43</v>
      </c>
    </row>
    <row r="6220" spans="1:40" x14ac:dyDescent="0.3">
      <c r="A6220" s="1">
        <v>46210.279398148145</v>
      </c>
      <c r="B6220" t="s">
        <v>40</v>
      </c>
      <c r="C6220" t="s">
        <v>41</v>
      </c>
      <c r="D6220" s="1">
        <v>46210.282268518517</v>
      </c>
      <c r="E6220" t="s">
        <v>42</v>
      </c>
      <c r="F6220" t="s">
        <v>83</v>
      </c>
      <c r="G6220">
        <v>0</v>
      </c>
      <c r="H6220">
        <v>33081</v>
      </c>
      <c r="I6220" t="s">
        <v>3548</v>
      </c>
      <c r="J6220">
        <v>64</v>
      </c>
      <c r="K6220">
        <v>2</v>
      </c>
      <c r="L6220">
        <v>98</v>
      </c>
      <c r="M6220">
        <v>633.20001220999995</v>
      </c>
      <c r="N6220" t="s">
        <v>85</v>
      </c>
      <c r="O6220" t="s">
        <v>82</v>
      </c>
      <c r="P6220">
        <v>125</v>
      </c>
      <c r="Q6220" t="s">
        <v>82</v>
      </c>
      <c r="R6220">
        <v>0</v>
      </c>
      <c r="S6220">
        <v>0</v>
      </c>
      <c r="T6220">
        <v>-40</v>
      </c>
      <c r="U6220">
        <v>45</v>
      </c>
      <c r="V6220">
        <v>0</v>
      </c>
      <c r="W6220">
        <v>28</v>
      </c>
      <c r="X6220">
        <v>28</v>
      </c>
      <c r="Y6220">
        <v>1</v>
      </c>
      <c r="Z6220">
        <v>1</v>
      </c>
      <c r="AA6220">
        <v>26</v>
      </c>
      <c r="AB6220">
        <v>2</v>
      </c>
      <c r="AC6220">
        <v>2</v>
      </c>
      <c r="AD6220">
        <v>3.3110001100000002</v>
      </c>
      <c r="AE6220">
        <v>6</v>
      </c>
      <c r="AF6220">
        <v>30</v>
      </c>
      <c r="AG6220">
        <v>3.2950000799999999</v>
      </c>
      <c r="AH6220">
        <v>8</v>
      </c>
      <c r="AI6220">
        <v>48</v>
      </c>
      <c r="AJ6220">
        <v>1</v>
      </c>
      <c r="AK6220">
        <v>17</v>
      </c>
      <c r="AL6220">
        <v>40</v>
      </c>
      <c r="AM6220" t="s">
        <v>43</v>
      </c>
      <c r="AN6220" t="str">
        <f>HYPERLINK("https://www.google.com/maps?q=10.83218002,79.84017944","Open Location")</f>
        <v>Open Location</v>
      </c>
    </row>
    <row r="6221" spans="1:40" x14ac:dyDescent="0.3">
      <c r="A6221" s="1">
        <v>46210.279282407406</v>
      </c>
      <c r="B6221" t="s">
        <v>40</v>
      </c>
      <c r="C6221" t="s">
        <v>41</v>
      </c>
      <c r="D6221" s="1">
        <v>46210.282037037039</v>
      </c>
      <c r="E6221" t="s">
        <v>42</v>
      </c>
      <c r="F6221" t="s">
        <v>83</v>
      </c>
      <c r="G6221">
        <v>0</v>
      </c>
      <c r="H6221">
        <v>33081</v>
      </c>
      <c r="I6221" t="s">
        <v>3542</v>
      </c>
      <c r="J6221">
        <v>64</v>
      </c>
      <c r="K6221">
        <v>2</v>
      </c>
      <c r="L6221">
        <v>98</v>
      </c>
      <c r="M6221">
        <v>633.40002441000001</v>
      </c>
      <c r="N6221" t="s">
        <v>85</v>
      </c>
      <c r="O6221" t="s">
        <v>82</v>
      </c>
      <c r="P6221">
        <v>125</v>
      </c>
      <c r="Q6221" t="s">
        <v>82</v>
      </c>
      <c r="R6221">
        <v>0</v>
      </c>
      <c r="S6221">
        <v>0</v>
      </c>
      <c r="T6221">
        <v>-40</v>
      </c>
      <c r="U6221">
        <v>45</v>
      </c>
      <c r="V6221">
        <v>0</v>
      </c>
      <c r="W6221">
        <v>28</v>
      </c>
      <c r="X6221">
        <v>28</v>
      </c>
      <c r="Y6221">
        <v>1</v>
      </c>
      <c r="Z6221">
        <v>1</v>
      </c>
      <c r="AA6221">
        <v>26</v>
      </c>
      <c r="AB6221">
        <v>2</v>
      </c>
      <c r="AC6221">
        <v>2</v>
      </c>
      <c r="AD6221">
        <v>3.3110001100000002</v>
      </c>
      <c r="AE6221">
        <v>6</v>
      </c>
      <c r="AF6221">
        <v>30</v>
      </c>
      <c r="AG6221">
        <v>3.2950000799999999</v>
      </c>
      <c r="AH6221">
        <v>8</v>
      </c>
      <c r="AI6221">
        <v>48</v>
      </c>
      <c r="AJ6221">
        <v>1</v>
      </c>
      <c r="AK6221">
        <v>17</v>
      </c>
      <c r="AL6221">
        <v>40</v>
      </c>
      <c r="AM6221" t="s">
        <v>43</v>
      </c>
      <c r="AN6221" t="str">
        <f>HYPERLINK("https://www.google.com/maps?q=10.83218288,79.84017944","Open Location")</f>
        <v>Open Location</v>
      </c>
    </row>
    <row r="6222" spans="1:40" x14ac:dyDescent="0.3">
      <c r="A6222" s="1">
        <v>46210.279166666667</v>
      </c>
      <c r="B6222" t="s">
        <v>40</v>
      </c>
      <c r="C6222" t="s">
        <v>41</v>
      </c>
      <c r="D6222" s="1">
        <v>46210.282280092593</v>
      </c>
      <c r="E6222" t="s">
        <v>42</v>
      </c>
      <c r="F6222" t="s">
        <v>83</v>
      </c>
      <c r="G6222">
        <v>0</v>
      </c>
      <c r="H6222">
        <v>33081</v>
      </c>
      <c r="I6222" t="s">
        <v>3549</v>
      </c>
      <c r="J6222">
        <v>64</v>
      </c>
      <c r="K6222">
        <v>2</v>
      </c>
      <c r="L6222">
        <v>98</v>
      </c>
      <c r="M6222">
        <v>633.20001220999995</v>
      </c>
      <c r="N6222" t="s">
        <v>85</v>
      </c>
      <c r="O6222" t="s">
        <v>82</v>
      </c>
      <c r="P6222">
        <v>125</v>
      </c>
      <c r="Q6222" t="s">
        <v>82</v>
      </c>
      <c r="R6222">
        <v>0</v>
      </c>
      <c r="S6222">
        <v>0</v>
      </c>
      <c r="T6222">
        <v>-40</v>
      </c>
      <c r="U6222">
        <v>45</v>
      </c>
      <c r="V6222">
        <v>0</v>
      </c>
      <c r="W6222">
        <v>28</v>
      </c>
      <c r="X6222">
        <v>28</v>
      </c>
      <c r="Y6222">
        <v>1</v>
      </c>
      <c r="Z6222">
        <v>1</v>
      </c>
      <c r="AA6222">
        <v>26</v>
      </c>
      <c r="AB6222">
        <v>2</v>
      </c>
      <c r="AC6222">
        <v>2</v>
      </c>
      <c r="AD6222">
        <v>3.3110001100000002</v>
      </c>
      <c r="AE6222">
        <v>6</v>
      </c>
      <c r="AF6222">
        <v>30</v>
      </c>
      <c r="AG6222">
        <v>3.2950000799999999</v>
      </c>
      <c r="AH6222">
        <v>8</v>
      </c>
      <c r="AI6222">
        <v>48</v>
      </c>
      <c r="AJ6222">
        <v>1</v>
      </c>
      <c r="AK6222">
        <v>17</v>
      </c>
      <c r="AL6222">
        <v>40</v>
      </c>
      <c r="AM6222" t="s">
        <v>43</v>
      </c>
      <c r="AN6222" t="str">
        <f>HYPERLINK("https://www.google.com/maps?q=10.83218288,79.84018707","Open Location")</f>
        <v>Open Location</v>
      </c>
    </row>
    <row r="6223" spans="1:40" x14ac:dyDescent="0.3">
      <c r="A6223" s="1">
        <v>46210.279050925928</v>
      </c>
      <c r="B6223" t="s">
        <v>40</v>
      </c>
      <c r="C6223" t="s">
        <v>41</v>
      </c>
      <c r="D6223" s="1">
        <v>46210.281828703701</v>
      </c>
      <c r="E6223" t="s">
        <v>42</v>
      </c>
      <c r="F6223" t="s">
        <v>83</v>
      </c>
      <c r="G6223">
        <v>0</v>
      </c>
      <c r="H6223" t="s">
        <v>43</v>
      </c>
      <c r="I6223" t="s">
        <v>3550</v>
      </c>
      <c r="J6223">
        <v>64</v>
      </c>
      <c r="K6223">
        <v>2</v>
      </c>
      <c r="L6223">
        <v>98</v>
      </c>
      <c r="M6223">
        <v>633.20001220999995</v>
      </c>
      <c r="N6223" t="s">
        <v>85</v>
      </c>
      <c r="O6223" t="s">
        <v>82</v>
      </c>
      <c r="P6223">
        <v>125</v>
      </c>
      <c r="Q6223" t="s">
        <v>82</v>
      </c>
      <c r="R6223">
        <v>0</v>
      </c>
      <c r="S6223">
        <v>0</v>
      </c>
      <c r="T6223">
        <v>-40</v>
      </c>
      <c r="U6223">
        <v>45</v>
      </c>
      <c r="V6223">
        <v>0</v>
      </c>
      <c r="W6223">
        <v>28</v>
      </c>
      <c r="X6223">
        <v>28</v>
      </c>
      <c r="Y6223">
        <v>1</v>
      </c>
      <c r="Z6223">
        <v>1</v>
      </c>
      <c r="AA6223">
        <v>26</v>
      </c>
      <c r="AB6223">
        <v>2</v>
      </c>
      <c r="AC6223">
        <v>2</v>
      </c>
      <c r="AD6223">
        <v>3.3110001100000002</v>
      </c>
      <c r="AE6223">
        <v>6</v>
      </c>
      <c r="AF6223">
        <v>30</v>
      </c>
      <c r="AG6223">
        <v>3.2950000799999999</v>
      </c>
      <c r="AH6223">
        <v>8</v>
      </c>
      <c r="AI6223">
        <v>48</v>
      </c>
      <c r="AJ6223">
        <v>1</v>
      </c>
      <c r="AK6223">
        <v>17</v>
      </c>
      <c r="AL6223">
        <v>40</v>
      </c>
      <c r="AM6223" t="s">
        <v>43</v>
      </c>
      <c r="AN6223" t="str">
        <f>HYPERLINK("https://www.google.com/maps?q=10.83218479,79.84018707","Open Location")</f>
        <v>Open Location</v>
      </c>
    </row>
    <row r="6224" spans="1:40" x14ac:dyDescent="0.3">
      <c r="A6224" s="1">
        <v>46210.278935185182</v>
      </c>
      <c r="B6224" t="s">
        <v>40</v>
      </c>
      <c r="C6224" t="s">
        <v>41</v>
      </c>
      <c r="D6224" s="1">
        <v>46210.281817129631</v>
      </c>
      <c r="E6224" t="s">
        <v>42</v>
      </c>
      <c r="F6224" t="s">
        <v>83</v>
      </c>
      <c r="G6224">
        <v>0</v>
      </c>
      <c r="H6224">
        <v>33081</v>
      </c>
      <c r="I6224" t="s">
        <v>3532</v>
      </c>
      <c r="J6224">
        <v>64</v>
      </c>
      <c r="K6224">
        <v>2</v>
      </c>
      <c r="L6224">
        <v>98</v>
      </c>
      <c r="M6224">
        <v>633.59997558999999</v>
      </c>
      <c r="N6224" t="s">
        <v>85</v>
      </c>
      <c r="O6224" t="s">
        <v>82</v>
      </c>
      <c r="P6224">
        <v>125</v>
      </c>
      <c r="Q6224" t="s">
        <v>82</v>
      </c>
      <c r="R6224">
        <v>0</v>
      </c>
      <c r="S6224">
        <v>0</v>
      </c>
      <c r="T6224">
        <v>-40</v>
      </c>
      <c r="U6224">
        <v>45</v>
      </c>
      <c r="V6224">
        <v>0</v>
      </c>
      <c r="W6224">
        <v>28</v>
      </c>
      <c r="X6224">
        <v>28</v>
      </c>
      <c r="Y6224">
        <v>1</v>
      </c>
      <c r="Z6224">
        <v>1</v>
      </c>
      <c r="AA6224">
        <v>26</v>
      </c>
      <c r="AB6224">
        <v>2</v>
      </c>
      <c r="AC6224">
        <v>2</v>
      </c>
      <c r="AD6224">
        <v>3.3110001100000002</v>
      </c>
      <c r="AE6224">
        <v>6</v>
      </c>
      <c r="AF6224">
        <v>30</v>
      </c>
      <c r="AG6224">
        <v>3.2950000799999999</v>
      </c>
      <c r="AH6224">
        <v>8</v>
      </c>
      <c r="AI6224">
        <v>48</v>
      </c>
      <c r="AJ6224">
        <v>1</v>
      </c>
      <c r="AK6224">
        <v>17</v>
      </c>
      <c r="AL6224">
        <v>40</v>
      </c>
      <c r="AM6224" t="s">
        <v>43</v>
      </c>
      <c r="AN6224" t="str">
        <f>HYPERLINK("https://www.google.com/maps?q=10.83218479,79.8401947","Open Location")</f>
        <v>Open Location</v>
      </c>
    </row>
    <row r="6225" spans="1:40" x14ac:dyDescent="0.3">
      <c r="A6225" s="1">
        <v>46210.278819444444</v>
      </c>
      <c r="B6225" t="s">
        <v>40</v>
      </c>
      <c r="C6225" t="s">
        <v>41</v>
      </c>
      <c r="D6225" s="1">
        <v>46210.281550925924</v>
      </c>
      <c r="E6225" t="s">
        <v>42</v>
      </c>
      <c r="F6225" t="s">
        <v>83</v>
      </c>
      <c r="G6225">
        <v>0</v>
      </c>
      <c r="H6225">
        <v>33081</v>
      </c>
      <c r="I6225" t="s">
        <v>43</v>
      </c>
      <c r="J6225">
        <v>64</v>
      </c>
      <c r="K6225">
        <v>2</v>
      </c>
      <c r="L6225">
        <v>98</v>
      </c>
      <c r="M6225">
        <v>633.09997558999999</v>
      </c>
      <c r="N6225" t="s">
        <v>85</v>
      </c>
      <c r="O6225" t="s">
        <v>82</v>
      </c>
      <c r="P6225">
        <v>125</v>
      </c>
      <c r="Q6225" t="s">
        <v>82</v>
      </c>
      <c r="R6225">
        <v>0</v>
      </c>
      <c r="S6225">
        <v>0</v>
      </c>
      <c r="T6225">
        <v>-40</v>
      </c>
      <c r="U6225">
        <v>45</v>
      </c>
      <c r="V6225">
        <v>0</v>
      </c>
      <c r="W6225">
        <v>28</v>
      </c>
      <c r="X6225">
        <v>28</v>
      </c>
      <c r="Y6225">
        <v>1</v>
      </c>
      <c r="Z6225">
        <v>1</v>
      </c>
      <c r="AA6225">
        <v>26</v>
      </c>
      <c r="AB6225">
        <v>2</v>
      </c>
      <c r="AC6225">
        <v>2</v>
      </c>
      <c r="AD6225">
        <v>3.3110001100000002</v>
      </c>
      <c r="AE6225">
        <v>6</v>
      </c>
      <c r="AF6225">
        <v>30</v>
      </c>
      <c r="AG6225">
        <v>3.2950000799999999</v>
      </c>
      <c r="AH6225">
        <v>8</v>
      </c>
      <c r="AI6225">
        <v>48</v>
      </c>
      <c r="AJ6225">
        <v>1</v>
      </c>
      <c r="AK6225">
        <v>17</v>
      </c>
      <c r="AL6225">
        <v>40</v>
      </c>
      <c r="AM6225" t="s">
        <v>43</v>
      </c>
      <c r="AN6225" t="s">
        <v>43</v>
      </c>
    </row>
    <row r="6226" spans="1:40" x14ac:dyDescent="0.3">
      <c r="A6226" s="1">
        <v>46210.278703703705</v>
      </c>
      <c r="B6226" t="s">
        <v>40</v>
      </c>
      <c r="C6226" t="s">
        <v>41</v>
      </c>
      <c r="D6226" s="1">
        <v>46210.281550925924</v>
      </c>
      <c r="E6226" t="s">
        <v>42</v>
      </c>
      <c r="F6226" t="s">
        <v>83</v>
      </c>
      <c r="G6226">
        <v>0</v>
      </c>
      <c r="H6226">
        <v>33081</v>
      </c>
      <c r="I6226" t="s">
        <v>3551</v>
      </c>
      <c r="J6226">
        <v>64</v>
      </c>
      <c r="K6226">
        <v>2</v>
      </c>
      <c r="L6226">
        <v>98</v>
      </c>
      <c r="M6226">
        <v>633</v>
      </c>
      <c r="N6226" t="s">
        <v>85</v>
      </c>
      <c r="O6226" t="s">
        <v>82</v>
      </c>
      <c r="P6226">
        <v>125</v>
      </c>
      <c r="Q6226" t="s">
        <v>82</v>
      </c>
      <c r="R6226">
        <v>0</v>
      </c>
      <c r="S6226">
        <v>0</v>
      </c>
      <c r="T6226">
        <v>-40</v>
      </c>
      <c r="U6226">
        <v>45</v>
      </c>
      <c r="V6226">
        <v>0</v>
      </c>
      <c r="W6226">
        <v>28</v>
      </c>
      <c r="X6226">
        <v>28</v>
      </c>
      <c r="Y6226">
        <v>1</v>
      </c>
      <c r="Z6226">
        <v>1</v>
      </c>
      <c r="AA6226">
        <v>26</v>
      </c>
      <c r="AB6226">
        <v>2</v>
      </c>
      <c r="AC6226">
        <v>2</v>
      </c>
      <c r="AD6226">
        <v>3.3110001100000002</v>
      </c>
      <c r="AE6226">
        <v>6</v>
      </c>
      <c r="AF6226">
        <v>30</v>
      </c>
      <c r="AG6226">
        <v>3.2950000799999999</v>
      </c>
      <c r="AH6226">
        <v>8</v>
      </c>
      <c r="AI6226">
        <v>48</v>
      </c>
      <c r="AJ6226">
        <v>1</v>
      </c>
      <c r="AK6226">
        <v>17</v>
      </c>
      <c r="AL6226">
        <v>40</v>
      </c>
      <c r="AM6226" t="s">
        <v>43</v>
      </c>
      <c r="AN6226" t="str">
        <f>HYPERLINK("https://www.google.com/maps?q=10.83218861,79.8401947","Open Location")</f>
        <v>Open Location</v>
      </c>
    </row>
    <row r="6227" spans="1:40" x14ac:dyDescent="0.3">
      <c r="A6227" s="1">
        <v>46210.278587962966</v>
      </c>
      <c r="B6227" t="s">
        <v>40</v>
      </c>
      <c r="C6227" t="s">
        <v>41</v>
      </c>
      <c r="D6227" s="1">
        <v>46210.281400462962</v>
      </c>
      <c r="E6227" t="s">
        <v>42</v>
      </c>
      <c r="F6227" t="s">
        <v>83</v>
      </c>
      <c r="G6227">
        <v>0</v>
      </c>
      <c r="H6227">
        <v>33081</v>
      </c>
      <c r="I6227" t="s">
        <v>3551</v>
      </c>
      <c r="J6227">
        <v>64</v>
      </c>
      <c r="K6227">
        <v>2</v>
      </c>
      <c r="L6227">
        <v>98</v>
      </c>
      <c r="M6227">
        <v>633.59997558999999</v>
      </c>
      <c r="N6227" t="s">
        <v>85</v>
      </c>
      <c r="O6227" t="s">
        <v>82</v>
      </c>
      <c r="P6227">
        <v>125</v>
      </c>
      <c r="Q6227" t="s">
        <v>82</v>
      </c>
      <c r="R6227">
        <v>0</v>
      </c>
      <c r="S6227">
        <v>0</v>
      </c>
      <c r="T6227">
        <v>-40</v>
      </c>
      <c r="U6227">
        <v>45</v>
      </c>
      <c r="V6227">
        <v>0</v>
      </c>
      <c r="W6227">
        <v>28</v>
      </c>
      <c r="X6227">
        <v>28</v>
      </c>
      <c r="Y6227">
        <v>1</v>
      </c>
      <c r="Z6227">
        <v>1</v>
      </c>
      <c r="AA6227">
        <v>26</v>
      </c>
      <c r="AB6227">
        <v>2</v>
      </c>
      <c r="AC6227">
        <v>2</v>
      </c>
      <c r="AD6227">
        <v>3.3110001100000002</v>
      </c>
      <c r="AE6227">
        <v>6</v>
      </c>
      <c r="AF6227">
        <v>30</v>
      </c>
      <c r="AG6227">
        <v>3.2950000799999999</v>
      </c>
      <c r="AH6227">
        <v>8</v>
      </c>
      <c r="AI6227">
        <v>48</v>
      </c>
      <c r="AJ6227">
        <v>1</v>
      </c>
      <c r="AK6227">
        <v>17</v>
      </c>
      <c r="AL6227">
        <v>40</v>
      </c>
      <c r="AM6227" t="s">
        <v>43</v>
      </c>
      <c r="AN6227" t="str">
        <f>HYPERLINK("https://www.google.com/maps?q=10.83218861,79.8401947","Open Location")</f>
        <v>Open Location</v>
      </c>
    </row>
    <row r="6228" spans="1:40" x14ac:dyDescent="0.3">
      <c r="A6228" s="1">
        <v>46210.27847222222</v>
      </c>
      <c r="B6228" t="s">
        <v>40</v>
      </c>
      <c r="C6228" t="s">
        <v>41</v>
      </c>
      <c r="D6228" s="1">
        <v>46210.281412037039</v>
      </c>
      <c r="E6228" t="s">
        <v>42</v>
      </c>
      <c r="F6228" t="s">
        <v>83</v>
      </c>
      <c r="G6228">
        <v>0</v>
      </c>
      <c r="H6228">
        <v>33081</v>
      </c>
      <c r="I6228" t="s">
        <v>3552</v>
      </c>
      <c r="J6228">
        <v>64</v>
      </c>
      <c r="K6228">
        <v>2</v>
      </c>
      <c r="L6228">
        <v>98</v>
      </c>
      <c r="M6228">
        <v>633.09997558999999</v>
      </c>
      <c r="N6228" t="s">
        <v>85</v>
      </c>
      <c r="O6228" t="s">
        <v>82</v>
      </c>
      <c r="P6228">
        <v>125</v>
      </c>
      <c r="Q6228" t="s">
        <v>82</v>
      </c>
      <c r="R6228">
        <v>0</v>
      </c>
      <c r="S6228">
        <v>0</v>
      </c>
      <c r="T6228">
        <v>-40</v>
      </c>
      <c r="U6228">
        <v>45</v>
      </c>
      <c r="V6228">
        <v>0</v>
      </c>
      <c r="W6228">
        <v>28</v>
      </c>
      <c r="X6228">
        <v>28</v>
      </c>
      <c r="Y6228">
        <v>1</v>
      </c>
      <c r="Z6228">
        <v>1</v>
      </c>
      <c r="AA6228">
        <v>26</v>
      </c>
      <c r="AB6228">
        <v>2</v>
      </c>
      <c r="AC6228">
        <v>2</v>
      </c>
      <c r="AD6228">
        <v>3.3110001100000002</v>
      </c>
      <c r="AE6228">
        <v>6</v>
      </c>
      <c r="AF6228">
        <v>30</v>
      </c>
      <c r="AG6228">
        <v>3.2950000799999999</v>
      </c>
      <c r="AH6228">
        <v>8</v>
      </c>
      <c r="AI6228">
        <v>48</v>
      </c>
      <c r="AJ6228">
        <v>1</v>
      </c>
      <c r="AK6228">
        <v>17</v>
      </c>
      <c r="AL6228">
        <v>40</v>
      </c>
      <c r="AM6228" t="s">
        <v>43</v>
      </c>
      <c r="AN6228" t="str">
        <f>HYPERLINK("https://www.google.com/maps?q=10.83218765,79.8401947","Open Location")</f>
        <v>Open Location</v>
      </c>
    </row>
    <row r="6229" spans="1:40" x14ac:dyDescent="0.3">
      <c r="A6229" s="1">
        <v>46210.278356481482</v>
      </c>
      <c r="B6229" t="s">
        <v>40</v>
      </c>
      <c r="C6229" t="s">
        <v>41</v>
      </c>
      <c r="D6229" s="1">
        <v>46210.281215277777</v>
      </c>
      <c r="E6229" t="s">
        <v>42</v>
      </c>
      <c r="F6229" t="s">
        <v>83</v>
      </c>
      <c r="G6229">
        <v>0</v>
      </c>
      <c r="H6229">
        <v>33081</v>
      </c>
      <c r="I6229" t="s">
        <v>3553</v>
      </c>
      <c r="J6229">
        <v>64</v>
      </c>
      <c r="K6229">
        <v>2</v>
      </c>
      <c r="L6229">
        <v>98</v>
      </c>
      <c r="M6229">
        <v>633.70001220999995</v>
      </c>
      <c r="N6229" t="s">
        <v>85</v>
      </c>
      <c r="O6229" t="s">
        <v>82</v>
      </c>
      <c r="P6229">
        <v>125</v>
      </c>
      <c r="Q6229" t="s">
        <v>82</v>
      </c>
      <c r="R6229">
        <v>0</v>
      </c>
      <c r="S6229">
        <v>0</v>
      </c>
      <c r="T6229">
        <v>-40</v>
      </c>
      <c r="U6229">
        <v>45</v>
      </c>
      <c r="V6229">
        <v>0</v>
      </c>
      <c r="W6229">
        <v>28</v>
      </c>
      <c r="X6229">
        <v>28</v>
      </c>
      <c r="Y6229">
        <v>1</v>
      </c>
      <c r="Z6229">
        <v>1</v>
      </c>
      <c r="AA6229">
        <v>26</v>
      </c>
      <c r="AB6229">
        <v>2</v>
      </c>
      <c r="AC6229">
        <v>2</v>
      </c>
      <c r="AD6229">
        <v>3.3110001100000002</v>
      </c>
      <c r="AE6229">
        <v>6</v>
      </c>
      <c r="AF6229">
        <v>30</v>
      </c>
      <c r="AG6229">
        <v>3.2950000799999999</v>
      </c>
      <c r="AH6229">
        <v>8</v>
      </c>
      <c r="AI6229">
        <v>48</v>
      </c>
      <c r="AJ6229">
        <v>1</v>
      </c>
      <c r="AK6229">
        <v>17</v>
      </c>
      <c r="AL6229">
        <v>40</v>
      </c>
      <c r="AM6229" t="s">
        <v>43</v>
      </c>
      <c r="AN6229" t="str">
        <f>HYPERLINK("https://www.google.com/maps?q=10.83218575,79.8401947","Open Location")</f>
        <v>Open Location</v>
      </c>
    </row>
    <row r="6230" spans="1:40" x14ac:dyDescent="0.3">
      <c r="A6230" s="1">
        <v>46210.278240740743</v>
      </c>
      <c r="B6230" t="s">
        <v>40</v>
      </c>
      <c r="C6230" t="s">
        <v>41</v>
      </c>
      <c r="D6230" s="1">
        <v>46210.281388888892</v>
      </c>
      <c r="E6230" t="s">
        <v>42</v>
      </c>
      <c r="F6230" t="s">
        <v>83</v>
      </c>
      <c r="G6230">
        <v>0</v>
      </c>
      <c r="H6230">
        <v>33081</v>
      </c>
      <c r="I6230" t="s">
        <v>43</v>
      </c>
      <c r="J6230">
        <v>64</v>
      </c>
      <c r="K6230">
        <v>2</v>
      </c>
      <c r="L6230">
        <v>98</v>
      </c>
      <c r="M6230">
        <v>633.09997558999999</v>
      </c>
      <c r="N6230" t="s">
        <v>85</v>
      </c>
      <c r="O6230" t="s">
        <v>82</v>
      </c>
      <c r="P6230">
        <v>125</v>
      </c>
      <c r="Q6230" t="s">
        <v>82</v>
      </c>
      <c r="R6230">
        <v>0</v>
      </c>
      <c r="S6230">
        <v>0</v>
      </c>
      <c r="T6230">
        <v>-40</v>
      </c>
      <c r="U6230">
        <v>45</v>
      </c>
      <c r="V6230">
        <v>0</v>
      </c>
      <c r="W6230">
        <v>28</v>
      </c>
      <c r="X6230">
        <v>28</v>
      </c>
      <c r="Y6230">
        <v>1</v>
      </c>
      <c r="Z6230">
        <v>1</v>
      </c>
      <c r="AA6230">
        <v>26</v>
      </c>
      <c r="AB6230">
        <v>2</v>
      </c>
      <c r="AC6230">
        <v>2</v>
      </c>
      <c r="AD6230">
        <v>3.3110001100000002</v>
      </c>
      <c r="AE6230">
        <v>6</v>
      </c>
      <c r="AF6230">
        <v>30</v>
      </c>
      <c r="AG6230">
        <v>3.2950000799999999</v>
      </c>
      <c r="AH6230">
        <v>8</v>
      </c>
      <c r="AI6230">
        <v>48</v>
      </c>
      <c r="AJ6230">
        <v>1</v>
      </c>
      <c r="AK6230">
        <v>17</v>
      </c>
      <c r="AL6230">
        <v>40</v>
      </c>
      <c r="AM6230" t="s">
        <v>43</v>
      </c>
      <c r="AN6230" t="s">
        <v>43</v>
      </c>
    </row>
    <row r="6231" spans="1:40" x14ac:dyDescent="0.3">
      <c r="A6231" s="1">
        <v>46210.278124999997</v>
      </c>
      <c r="B6231" t="s">
        <v>40</v>
      </c>
      <c r="C6231" t="s">
        <v>41</v>
      </c>
      <c r="D6231" s="1">
        <v>46210.281030092592</v>
      </c>
      <c r="E6231" t="s">
        <v>42</v>
      </c>
      <c r="F6231" t="s">
        <v>83</v>
      </c>
      <c r="G6231">
        <v>0</v>
      </c>
      <c r="H6231">
        <v>33081</v>
      </c>
      <c r="I6231" t="s">
        <v>3553</v>
      </c>
      <c r="J6231">
        <v>64</v>
      </c>
      <c r="K6231">
        <v>2</v>
      </c>
      <c r="L6231">
        <v>98</v>
      </c>
      <c r="M6231">
        <v>633.79998779000005</v>
      </c>
      <c r="N6231" t="s">
        <v>85</v>
      </c>
      <c r="O6231" t="s">
        <v>82</v>
      </c>
      <c r="P6231">
        <v>125</v>
      </c>
      <c r="Q6231" t="s">
        <v>82</v>
      </c>
      <c r="R6231">
        <v>0</v>
      </c>
      <c r="S6231">
        <v>0</v>
      </c>
      <c r="T6231">
        <v>-40</v>
      </c>
      <c r="U6231">
        <v>45</v>
      </c>
      <c r="V6231">
        <v>0</v>
      </c>
      <c r="W6231">
        <v>28</v>
      </c>
      <c r="X6231">
        <v>28</v>
      </c>
      <c r="Y6231">
        <v>1</v>
      </c>
      <c r="Z6231">
        <v>1</v>
      </c>
      <c r="AA6231">
        <v>26</v>
      </c>
      <c r="AB6231">
        <v>2</v>
      </c>
      <c r="AC6231">
        <v>2</v>
      </c>
      <c r="AD6231">
        <v>3.3110001100000002</v>
      </c>
      <c r="AE6231">
        <v>6</v>
      </c>
      <c r="AF6231">
        <v>30</v>
      </c>
      <c r="AG6231">
        <v>3.2950000799999999</v>
      </c>
      <c r="AH6231">
        <v>8</v>
      </c>
      <c r="AI6231">
        <v>48</v>
      </c>
      <c r="AJ6231">
        <v>1</v>
      </c>
      <c r="AK6231">
        <v>17</v>
      </c>
      <c r="AL6231">
        <v>40</v>
      </c>
      <c r="AM6231" t="s">
        <v>43</v>
      </c>
      <c r="AN6231" t="str">
        <f>HYPERLINK("https://www.google.com/maps?q=10.83218575,79.8401947","Open Location")</f>
        <v>Open Location</v>
      </c>
    </row>
    <row r="6232" spans="1:40" x14ac:dyDescent="0.3">
      <c r="A6232" s="1">
        <v>46210.278009259258</v>
      </c>
      <c r="B6232" t="s">
        <v>40</v>
      </c>
      <c r="C6232" t="s">
        <v>41</v>
      </c>
      <c r="D6232" s="1">
        <v>46210.28087962963</v>
      </c>
      <c r="E6232" t="s">
        <v>42</v>
      </c>
      <c r="F6232" t="s">
        <v>83</v>
      </c>
      <c r="G6232">
        <v>0</v>
      </c>
      <c r="H6232">
        <v>33081</v>
      </c>
      <c r="I6232" t="s">
        <v>3532</v>
      </c>
      <c r="J6232">
        <v>64</v>
      </c>
      <c r="K6232">
        <v>2</v>
      </c>
      <c r="L6232">
        <v>98</v>
      </c>
      <c r="M6232">
        <v>633.70001220999995</v>
      </c>
      <c r="N6232" t="s">
        <v>85</v>
      </c>
      <c r="O6232" t="s">
        <v>82</v>
      </c>
      <c r="P6232">
        <v>125</v>
      </c>
      <c r="Q6232" t="s">
        <v>82</v>
      </c>
      <c r="R6232">
        <v>0</v>
      </c>
      <c r="S6232">
        <v>0</v>
      </c>
      <c r="T6232">
        <v>-40</v>
      </c>
      <c r="U6232">
        <v>45</v>
      </c>
      <c r="V6232">
        <v>0</v>
      </c>
      <c r="W6232">
        <v>28</v>
      </c>
      <c r="X6232">
        <v>28</v>
      </c>
      <c r="Y6232">
        <v>1</v>
      </c>
      <c r="Z6232">
        <v>1</v>
      </c>
      <c r="AA6232">
        <v>26</v>
      </c>
      <c r="AB6232">
        <v>2</v>
      </c>
      <c r="AC6232">
        <v>2</v>
      </c>
      <c r="AD6232">
        <v>3.3110001100000002</v>
      </c>
      <c r="AE6232">
        <v>6</v>
      </c>
      <c r="AF6232">
        <v>30</v>
      </c>
      <c r="AG6232">
        <v>3.2950000799999999</v>
      </c>
      <c r="AH6232">
        <v>8</v>
      </c>
      <c r="AI6232">
        <v>48</v>
      </c>
      <c r="AJ6232">
        <v>1</v>
      </c>
      <c r="AK6232">
        <v>17</v>
      </c>
      <c r="AL6232">
        <v>40</v>
      </c>
      <c r="AM6232" t="s">
        <v>43</v>
      </c>
      <c r="AN6232" t="str">
        <f>HYPERLINK("https://www.google.com/maps?q=10.83218479,79.8401947","Open Location")</f>
        <v>Open Location</v>
      </c>
    </row>
    <row r="6233" spans="1:40" x14ac:dyDescent="0.3">
      <c r="A6233" s="1">
        <v>46210.27789351852</v>
      </c>
      <c r="B6233" t="s">
        <v>40</v>
      </c>
      <c r="C6233" t="s">
        <v>41</v>
      </c>
      <c r="D6233" s="1">
        <v>46210.2809375</v>
      </c>
      <c r="E6233" t="s">
        <v>42</v>
      </c>
      <c r="F6233" t="s">
        <v>83</v>
      </c>
      <c r="G6233">
        <v>0</v>
      </c>
      <c r="H6233">
        <v>33081</v>
      </c>
      <c r="I6233" t="s">
        <v>3554</v>
      </c>
      <c r="J6233">
        <v>64</v>
      </c>
      <c r="K6233">
        <v>2</v>
      </c>
      <c r="L6233">
        <v>98</v>
      </c>
      <c r="M6233">
        <v>633.70001220999995</v>
      </c>
      <c r="N6233" t="s">
        <v>85</v>
      </c>
      <c r="O6233" t="s">
        <v>82</v>
      </c>
      <c r="P6233">
        <v>125</v>
      </c>
      <c r="Q6233" t="s">
        <v>82</v>
      </c>
      <c r="R6233">
        <v>0</v>
      </c>
      <c r="S6233">
        <v>0</v>
      </c>
      <c r="T6233">
        <v>-40</v>
      </c>
      <c r="U6233">
        <v>45</v>
      </c>
      <c r="V6233">
        <v>0</v>
      </c>
      <c r="W6233">
        <v>28</v>
      </c>
      <c r="X6233">
        <v>28</v>
      </c>
      <c r="Y6233">
        <v>1</v>
      </c>
      <c r="Z6233">
        <v>1</v>
      </c>
      <c r="AA6233">
        <v>26</v>
      </c>
      <c r="AB6233">
        <v>2</v>
      </c>
      <c r="AC6233">
        <v>2</v>
      </c>
      <c r="AD6233">
        <v>3.3110001100000002</v>
      </c>
      <c r="AE6233">
        <v>6</v>
      </c>
      <c r="AF6233">
        <v>30</v>
      </c>
      <c r="AG6233">
        <v>3.2950000799999999</v>
      </c>
      <c r="AH6233">
        <v>8</v>
      </c>
      <c r="AI6233">
        <v>48</v>
      </c>
      <c r="AJ6233">
        <v>1</v>
      </c>
      <c r="AK6233">
        <v>17</v>
      </c>
      <c r="AL6233">
        <v>40</v>
      </c>
      <c r="AM6233" t="s">
        <v>43</v>
      </c>
      <c r="AN6233" t="str">
        <f>HYPERLINK("https://www.google.com/maps?q=10.83218193,79.84020233","Open Location")</f>
        <v>Open Location</v>
      </c>
    </row>
    <row r="6234" spans="1:40" x14ac:dyDescent="0.3">
      <c r="A6234" s="1">
        <v>46210.277777777781</v>
      </c>
      <c r="B6234" t="s">
        <v>40</v>
      </c>
      <c r="C6234" t="s">
        <v>41</v>
      </c>
      <c r="D6234" s="1">
        <v>46210.280798611115</v>
      </c>
      <c r="E6234" t="s">
        <v>42</v>
      </c>
      <c r="F6234" t="s">
        <v>83</v>
      </c>
      <c r="G6234">
        <v>0</v>
      </c>
      <c r="H6234">
        <v>33081</v>
      </c>
      <c r="I6234" t="s">
        <v>3554</v>
      </c>
      <c r="J6234">
        <v>64</v>
      </c>
      <c r="K6234">
        <v>2</v>
      </c>
      <c r="L6234">
        <v>98</v>
      </c>
      <c r="M6234">
        <v>633.20001220999995</v>
      </c>
      <c r="N6234" t="s">
        <v>85</v>
      </c>
      <c r="O6234" t="s">
        <v>82</v>
      </c>
      <c r="P6234">
        <v>125</v>
      </c>
      <c r="Q6234" t="s">
        <v>82</v>
      </c>
      <c r="R6234">
        <v>0</v>
      </c>
      <c r="S6234">
        <v>0</v>
      </c>
      <c r="T6234">
        <v>-40</v>
      </c>
      <c r="U6234">
        <v>45</v>
      </c>
      <c r="V6234">
        <v>0</v>
      </c>
      <c r="W6234">
        <v>28</v>
      </c>
      <c r="X6234">
        <v>28</v>
      </c>
      <c r="Y6234">
        <v>1</v>
      </c>
      <c r="Z6234">
        <v>1</v>
      </c>
      <c r="AA6234">
        <v>26</v>
      </c>
      <c r="AB6234">
        <v>2</v>
      </c>
      <c r="AC6234">
        <v>2</v>
      </c>
      <c r="AD6234">
        <v>3.3110001100000002</v>
      </c>
      <c r="AE6234">
        <v>6</v>
      </c>
      <c r="AF6234">
        <v>30</v>
      </c>
      <c r="AG6234">
        <v>3.2950000799999999</v>
      </c>
      <c r="AH6234">
        <v>8</v>
      </c>
      <c r="AI6234">
        <v>48</v>
      </c>
      <c r="AJ6234">
        <v>1</v>
      </c>
      <c r="AK6234">
        <v>17</v>
      </c>
      <c r="AL6234">
        <v>40</v>
      </c>
      <c r="AM6234" t="s">
        <v>43</v>
      </c>
      <c r="AN6234" t="str">
        <f>HYPERLINK("https://www.google.com/maps?q=10.83218193,79.84020233","Open Location")</f>
        <v>Open Location</v>
      </c>
    </row>
    <row r="6235" spans="1:40" x14ac:dyDescent="0.3">
      <c r="A6235" s="1">
        <v>46210.277662037035</v>
      </c>
      <c r="B6235" t="s">
        <v>40</v>
      </c>
      <c r="C6235" t="s">
        <v>41</v>
      </c>
      <c r="D6235" s="1">
        <v>46210.280543981484</v>
      </c>
      <c r="E6235" t="s">
        <v>42</v>
      </c>
      <c r="F6235" t="s">
        <v>83</v>
      </c>
      <c r="G6235">
        <v>0</v>
      </c>
      <c r="H6235">
        <v>33081</v>
      </c>
      <c r="I6235" t="s">
        <v>3555</v>
      </c>
      <c r="J6235">
        <v>64</v>
      </c>
      <c r="K6235">
        <v>2</v>
      </c>
      <c r="L6235">
        <v>98</v>
      </c>
      <c r="M6235">
        <v>632.90002441000001</v>
      </c>
      <c r="N6235" t="s">
        <v>85</v>
      </c>
      <c r="O6235" t="s">
        <v>82</v>
      </c>
      <c r="P6235">
        <v>125</v>
      </c>
      <c r="Q6235" t="s">
        <v>82</v>
      </c>
      <c r="R6235">
        <v>0</v>
      </c>
      <c r="S6235">
        <v>0</v>
      </c>
      <c r="T6235">
        <v>-40</v>
      </c>
      <c r="U6235">
        <v>45</v>
      </c>
      <c r="V6235">
        <v>0</v>
      </c>
      <c r="W6235">
        <v>28</v>
      </c>
      <c r="X6235">
        <v>28</v>
      </c>
      <c r="Y6235">
        <v>1</v>
      </c>
      <c r="Z6235">
        <v>1</v>
      </c>
      <c r="AA6235">
        <v>26</v>
      </c>
      <c r="AB6235">
        <v>2</v>
      </c>
      <c r="AC6235">
        <v>2</v>
      </c>
      <c r="AD6235">
        <v>3.3110001100000002</v>
      </c>
      <c r="AE6235">
        <v>6</v>
      </c>
      <c r="AF6235">
        <v>30</v>
      </c>
      <c r="AG6235">
        <v>3.2950000799999999</v>
      </c>
      <c r="AH6235">
        <v>8</v>
      </c>
      <c r="AI6235">
        <v>48</v>
      </c>
      <c r="AJ6235">
        <v>1</v>
      </c>
      <c r="AK6235">
        <v>17</v>
      </c>
      <c r="AL6235">
        <v>40</v>
      </c>
      <c r="AM6235" t="s">
        <v>43</v>
      </c>
      <c r="AN6235" t="str">
        <f>HYPERLINK("https://www.google.com/maps?q=10.83218384,79.8401947","Open Location")</f>
        <v>Open Location</v>
      </c>
    </row>
    <row r="6236" spans="1:40" x14ac:dyDescent="0.3">
      <c r="A6236" s="1">
        <v>46210.277546296296</v>
      </c>
      <c r="B6236" t="s">
        <v>40</v>
      </c>
      <c r="C6236" t="s">
        <v>41</v>
      </c>
      <c r="D6236" s="1">
        <v>46210.280543981484</v>
      </c>
      <c r="E6236" t="s">
        <v>42</v>
      </c>
      <c r="F6236" t="s">
        <v>83</v>
      </c>
      <c r="G6236">
        <v>0</v>
      </c>
      <c r="H6236">
        <v>33081</v>
      </c>
      <c r="I6236" t="s">
        <v>43</v>
      </c>
      <c r="J6236">
        <v>64</v>
      </c>
      <c r="K6236">
        <v>2</v>
      </c>
      <c r="L6236">
        <v>98</v>
      </c>
      <c r="M6236">
        <v>633.90002441000001</v>
      </c>
      <c r="N6236" t="s">
        <v>85</v>
      </c>
      <c r="O6236" t="s">
        <v>82</v>
      </c>
      <c r="P6236">
        <v>125</v>
      </c>
      <c r="Q6236" t="s">
        <v>82</v>
      </c>
      <c r="R6236">
        <v>0</v>
      </c>
      <c r="S6236">
        <v>0</v>
      </c>
      <c r="T6236">
        <v>-40</v>
      </c>
      <c r="U6236">
        <v>45</v>
      </c>
      <c r="V6236">
        <v>0</v>
      </c>
      <c r="W6236">
        <v>28</v>
      </c>
      <c r="X6236">
        <v>28</v>
      </c>
      <c r="Y6236">
        <v>1</v>
      </c>
      <c r="Z6236">
        <v>1</v>
      </c>
      <c r="AA6236">
        <v>26</v>
      </c>
      <c r="AB6236">
        <v>2</v>
      </c>
      <c r="AC6236">
        <v>2</v>
      </c>
      <c r="AD6236">
        <v>3.3110001100000002</v>
      </c>
      <c r="AE6236">
        <v>6</v>
      </c>
      <c r="AF6236">
        <v>30</v>
      </c>
      <c r="AG6236">
        <v>3.2950000799999999</v>
      </c>
      <c r="AH6236">
        <v>8</v>
      </c>
      <c r="AI6236">
        <v>48</v>
      </c>
      <c r="AJ6236">
        <v>1</v>
      </c>
      <c r="AK6236">
        <v>17</v>
      </c>
      <c r="AL6236">
        <v>39</v>
      </c>
      <c r="AM6236" t="s">
        <v>43</v>
      </c>
      <c r="AN6236" t="s">
        <v>43</v>
      </c>
    </row>
    <row r="6237" spans="1:40" x14ac:dyDescent="0.3">
      <c r="A6237" s="1">
        <v>46210.277430555558</v>
      </c>
      <c r="B6237" t="s">
        <v>40</v>
      </c>
      <c r="C6237" t="s">
        <v>41</v>
      </c>
      <c r="D6237" s="1">
        <v>46210.280104166668</v>
      </c>
      <c r="E6237" t="s">
        <v>42</v>
      </c>
      <c r="F6237" t="s">
        <v>83</v>
      </c>
      <c r="G6237">
        <v>0</v>
      </c>
      <c r="H6237">
        <v>33081</v>
      </c>
      <c r="I6237" t="s">
        <v>3556</v>
      </c>
      <c r="J6237">
        <v>64</v>
      </c>
      <c r="K6237">
        <v>2</v>
      </c>
      <c r="L6237">
        <v>98</v>
      </c>
      <c r="M6237">
        <v>633.70001220999995</v>
      </c>
      <c r="N6237" t="s">
        <v>85</v>
      </c>
      <c r="O6237" t="s">
        <v>82</v>
      </c>
      <c r="P6237">
        <v>125</v>
      </c>
      <c r="Q6237" t="s">
        <v>82</v>
      </c>
      <c r="R6237">
        <v>0</v>
      </c>
      <c r="S6237">
        <v>0</v>
      </c>
      <c r="T6237">
        <v>-40</v>
      </c>
      <c r="U6237">
        <v>45</v>
      </c>
      <c r="V6237">
        <v>0</v>
      </c>
      <c r="W6237">
        <v>28</v>
      </c>
      <c r="X6237">
        <v>28</v>
      </c>
      <c r="Y6237">
        <v>1</v>
      </c>
      <c r="Z6237">
        <v>1</v>
      </c>
      <c r="AA6237">
        <v>26</v>
      </c>
      <c r="AB6237">
        <v>2</v>
      </c>
      <c r="AC6237">
        <v>2</v>
      </c>
      <c r="AD6237">
        <v>3.30999994</v>
      </c>
      <c r="AE6237">
        <v>6</v>
      </c>
      <c r="AF6237">
        <v>30</v>
      </c>
      <c r="AG6237">
        <v>3.2950000799999999</v>
      </c>
      <c r="AH6237">
        <v>8</v>
      </c>
      <c r="AI6237">
        <v>48</v>
      </c>
      <c r="AJ6237">
        <v>1</v>
      </c>
      <c r="AK6237">
        <v>17</v>
      </c>
      <c r="AL6237">
        <v>39</v>
      </c>
      <c r="AM6237" t="s">
        <v>43</v>
      </c>
      <c r="AN6237" t="str">
        <f>HYPERLINK("https://www.google.com/maps?q=10.8321867,79.84018707","Open Location")</f>
        <v>Open Location</v>
      </c>
    </row>
    <row r="6238" spans="1:40" x14ac:dyDescent="0.3">
      <c r="A6238" s="1">
        <v>46210.277314814812</v>
      </c>
      <c r="B6238" t="s">
        <v>40</v>
      </c>
      <c r="C6238" t="s">
        <v>41</v>
      </c>
      <c r="D6238" s="1">
        <v>46210.28025462963</v>
      </c>
      <c r="E6238" t="s">
        <v>42</v>
      </c>
      <c r="F6238" t="s">
        <v>83</v>
      </c>
      <c r="G6238">
        <v>0</v>
      </c>
      <c r="H6238">
        <v>33081</v>
      </c>
      <c r="I6238" t="s">
        <v>3555</v>
      </c>
      <c r="J6238">
        <v>64</v>
      </c>
      <c r="K6238">
        <v>2</v>
      </c>
      <c r="L6238">
        <v>98</v>
      </c>
      <c r="M6238">
        <v>633.20001220999995</v>
      </c>
      <c r="N6238" t="s">
        <v>85</v>
      </c>
      <c r="O6238" t="s">
        <v>82</v>
      </c>
      <c r="P6238">
        <v>125</v>
      </c>
      <c r="Q6238" t="s">
        <v>82</v>
      </c>
      <c r="R6238">
        <v>0</v>
      </c>
      <c r="S6238">
        <v>0</v>
      </c>
      <c r="T6238">
        <v>-40</v>
      </c>
      <c r="U6238">
        <v>45</v>
      </c>
      <c r="V6238">
        <v>0</v>
      </c>
      <c r="W6238">
        <v>28</v>
      </c>
      <c r="X6238">
        <v>28</v>
      </c>
      <c r="Y6238">
        <v>1</v>
      </c>
      <c r="Z6238">
        <v>1</v>
      </c>
      <c r="AA6238">
        <v>26</v>
      </c>
      <c r="AB6238">
        <v>2</v>
      </c>
      <c r="AC6238">
        <v>2</v>
      </c>
      <c r="AD6238">
        <v>3.30999994</v>
      </c>
      <c r="AE6238">
        <v>6</v>
      </c>
      <c r="AF6238">
        <v>30</v>
      </c>
      <c r="AG6238">
        <v>3.2950000799999999</v>
      </c>
      <c r="AH6238">
        <v>8</v>
      </c>
      <c r="AI6238">
        <v>48</v>
      </c>
      <c r="AJ6238">
        <v>1</v>
      </c>
      <c r="AK6238">
        <v>17</v>
      </c>
      <c r="AL6238">
        <v>39</v>
      </c>
      <c r="AM6238" t="s">
        <v>43</v>
      </c>
      <c r="AN6238" t="str">
        <f>HYPERLINK("https://www.google.com/maps?q=10.83218384,79.8401947","Open Location")</f>
        <v>Open Location</v>
      </c>
    </row>
    <row r="6239" spans="1:40" x14ac:dyDescent="0.3">
      <c r="A6239" s="1">
        <v>46210.277199074073</v>
      </c>
      <c r="B6239" t="s">
        <v>40</v>
      </c>
      <c r="C6239" t="s">
        <v>41</v>
      </c>
      <c r="D6239" s="1">
        <v>46210.280150462961</v>
      </c>
      <c r="E6239" t="s">
        <v>42</v>
      </c>
      <c r="F6239" t="s">
        <v>83</v>
      </c>
      <c r="G6239">
        <v>0</v>
      </c>
      <c r="H6239">
        <v>33081</v>
      </c>
      <c r="I6239" t="s">
        <v>3557</v>
      </c>
      <c r="J6239">
        <v>64</v>
      </c>
      <c r="K6239">
        <v>2</v>
      </c>
      <c r="L6239">
        <v>98</v>
      </c>
      <c r="M6239">
        <v>633.59997558999999</v>
      </c>
      <c r="N6239" t="s">
        <v>85</v>
      </c>
      <c r="O6239" t="s">
        <v>82</v>
      </c>
      <c r="P6239">
        <v>125</v>
      </c>
      <c r="Q6239" t="s">
        <v>82</v>
      </c>
      <c r="R6239">
        <v>0</v>
      </c>
      <c r="S6239">
        <v>0</v>
      </c>
      <c r="T6239">
        <v>-40</v>
      </c>
      <c r="U6239">
        <v>45</v>
      </c>
      <c r="V6239">
        <v>0</v>
      </c>
      <c r="W6239">
        <v>28</v>
      </c>
      <c r="X6239">
        <v>28</v>
      </c>
      <c r="Y6239">
        <v>1</v>
      </c>
      <c r="Z6239">
        <v>1</v>
      </c>
      <c r="AA6239">
        <v>26</v>
      </c>
      <c r="AB6239">
        <v>2</v>
      </c>
      <c r="AC6239">
        <v>2</v>
      </c>
      <c r="AD6239">
        <v>3.30999994</v>
      </c>
      <c r="AE6239">
        <v>6</v>
      </c>
      <c r="AF6239">
        <v>30</v>
      </c>
      <c r="AG6239">
        <v>3.2950000799999999</v>
      </c>
      <c r="AH6239">
        <v>8</v>
      </c>
      <c r="AI6239">
        <v>48</v>
      </c>
      <c r="AJ6239">
        <v>1</v>
      </c>
      <c r="AK6239">
        <v>17</v>
      </c>
      <c r="AL6239">
        <v>39</v>
      </c>
      <c r="AM6239" t="s">
        <v>43</v>
      </c>
      <c r="AN6239" t="str">
        <f>HYPERLINK("https://www.google.com/maps?q=10.83218288,79.8401947","Open Location")</f>
        <v>Open Location</v>
      </c>
    </row>
    <row r="6240" spans="1:40" x14ac:dyDescent="0.3">
      <c r="A6240" s="1">
        <v>46210.277083333334</v>
      </c>
      <c r="B6240" t="s">
        <v>40</v>
      </c>
      <c r="C6240" t="s">
        <v>41</v>
      </c>
      <c r="D6240" s="1">
        <v>46210.279965277776</v>
      </c>
      <c r="E6240" t="s">
        <v>42</v>
      </c>
      <c r="F6240" t="s">
        <v>83</v>
      </c>
      <c r="G6240">
        <v>0</v>
      </c>
      <c r="H6240">
        <v>33081</v>
      </c>
      <c r="I6240" t="s">
        <v>3534</v>
      </c>
      <c r="J6240">
        <v>64</v>
      </c>
      <c r="K6240">
        <v>2</v>
      </c>
      <c r="L6240">
        <v>98</v>
      </c>
      <c r="M6240">
        <v>633.59997558999999</v>
      </c>
      <c r="N6240" t="s">
        <v>85</v>
      </c>
      <c r="O6240" t="s">
        <v>82</v>
      </c>
      <c r="P6240">
        <v>125</v>
      </c>
      <c r="Q6240" t="s">
        <v>82</v>
      </c>
      <c r="R6240">
        <v>0</v>
      </c>
      <c r="S6240">
        <v>0</v>
      </c>
      <c r="T6240">
        <v>-40</v>
      </c>
      <c r="U6240">
        <v>45</v>
      </c>
      <c r="V6240">
        <v>0</v>
      </c>
      <c r="W6240">
        <v>28</v>
      </c>
      <c r="X6240">
        <v>28</v>
      </c>
      <c r="Y6240">
        <v>1</v>
      </c>
      <c r="Z6240">
        <v>1</v>
      </c>
      <c r="AA6240">
        <v>26</v>
      </c>
      <c r="AB6240">
        <v>2</v>
      </c>
      <c r="AC6240">
        <v>2</v>
      </c>
      <c r="AD6240">
        <v>3.30999994</v>
      </c>
      <c r="AE6240">
        <v>6</v>
      </c>
      <c r="AF6240">
        <v>30</v>
      </c>
      <c r="AG6240">
        <v>3.2950000799999999</v>
      </c>
      <c r="AH6240">
        <v>8</v>
      </c>
      <c r="AI6240">
        <v>48</v>
      </c>
      <c r="AJ6240">
        <v>1</v>
      </c>
      <c r="AK6240">
        <v>17</v>
      </c>
      <c r="AL6240">
        <v>39</v>
      </c>
      <c r="AM6240" t="s">
        <v>43</v>
      </c>
      <c r="AN6240" t="str">
        <f>HYPERLINK("https://www.google.com/maps?q=10.83217812,79.8401947","Open Location")</f>
        <v>Open Location</v>
      </c>
    </row>
    <row r="6241" spans="1:40" x14ac:dyDescent="0.3">
      <c r="A6241" s="1">
        <v>46210.276967592596</v>
      </c>
      <c r="B6241" t="s">
        <v>40</v>
      </c>
      <c r="C6241" t="s">
        <v>41</v>
      </c>
      <c r="D6241" s="1">
        <v>46210.279780092591</v>
      </c>
      <c r="E6241" t="s">
        <v>42</v>
      </c>
      <c r="F6241" t="s">
        <v>83</v>
      </c>
      <c r="G6241">
        <v>0</v>
      </c>
      <c r="H6241">
        <v>33081</v>
      </c>
      <c r="I6241" t="s">
        <v>3558</v>
      </c>
      <c r="J6241">
        <v>64</v>
      </c>
      <c r="K6241">
        <v>2</v>
      </c>
      <c r="L6241">
        <v>98</v>
      </c>
      <c r="M6241">
        <v>632.90002441000001</v>
      </c>
      <c r="N6241" t="s">
        <v>85</v>
      </c>
      <c r="O6241" t="s">
        <v>82</v>
      </c>
      <c r="P6241">
        <v>125</v>
      </c>
      <c r="Q6241" t="s">
        <v>82</v>
      </c>
      <c r="R6241">
        <v>0</v>
      </c>
      <c r="S6241">
        <v>0</v>
      </c>
      <c r="T6241">
        <v>-40</v>
      </c>
      <c r="U6241">
        <v>45</v>
      </c>
      <c r="V6241">
        <v>0</v>
      </c>
      <c r="W6241">
        <v>28</v>
      </c>
      <c r="X6241">
        <v>28</v>
      </c>
      <c r="Y6241">
        <v>1</v>
      </c>
      <c r="Z6241">
        <v>1</v>
      </c>
      <c r="AA6241">
        <v>26</v>
      </c>
      <c r="AB6241">
        <v>2</v>
      </c>
      <c r="AC6241">
        <v>2</v>
      </c>
      <c r="AD6241">
        <v>3.30999994</v>
      </c>
      <c r="AE6241">
        <v>6</v>
      </c>
      <c r="AF6241">
        <v>30</v>
      </c>
      <c r="AG6241">
        <v>3.2950000799999999</v>
      </c>
      <c r="AH6241">
        <v>8</v>
      </c>
      <c r="AI6241">
        <v>48</v>
      </c>
      <c r="AJ6241">
        <v>1</v>
      </c>
      <c r="AK6241">
        <v>17</v>
      </c>
      <c r="AL6241">
        <v>39</v>
      </c>
      <c r="AM6241" t="s">
        <v>43</v>
      </c>
      <c r="AN6241" t="str">
        <f>HYPERLINK("https://www.google.com/maps?q=10.83217621,79.8401947","Open Location")</f>
        <v>Open Location</v>
      </c>
    </row>
    <row r="6242" spans="1:40" x14ac:dyDescent="0.3">
      <c r="A6242" s="1">
        <v>46210.27685185185</v>
      </c>
      <c r="B6242" t="s">
        <v>40</v>
      </c>
      <c r="C6242" t="s">
        <v>41</v>
      </c>
      <c r="D6242" s="1">
        <v>46210.279780092591</v>
      </c>
      <c r="E6242" t="s">
        <v>42</v>
      </c>
      <c r="F6242" t="s">
        <v>83</v>
      </c>
      <c r="G6242">
        <v>0</v>
      </c>
      <c r="H6242">
        <v>33081</v>
      </c>
      <c r="I6242" t="s">
        <v>43</v>
      </c>
      <c r="J6242">
        <v>64</v>
      </c>
      <c r="K6242">
        <v>2</v>
      </c>
      <c r="L6242">
        <v>98</v>
      </c>
      <c r="M6242">
        <v>633.29998779000005</v>
      </c>
      <c r="N6242" t="s">
        <v>85</v>
      </c>
      <c r="O6242" t="s">
        <v>82</v>
      </c>
      <c r="P6242">
        <v>125</v>
      </c>
      <c r="Q6242" t="s">
        <v>82</v>
      </c>
      <c r="R6242">
        <v>0</v>
      </c>
      <c r="S6242">
        <v>0</v>
      </c>
      <c r="T6242">
        <v>-40</v>
      </c>
      <c r="U6242">
        <v>45</v>
      </c>
      <c r="V6242">
        <v>0</v>
      </c>
      <c r="W6242">
        <v>28</v>
      </c>
      <c r="X6242">
        <v>28</v>
      </c>
      <c r="Y6242">
        <v>1</v>
      </c>
      <c r="Z6242">
        <v>1</v>
      </c>
      <c r="AA6242">
        <v>26</v>
      </c>
      <c r="AB6242">
        <v>2</v>
      </c>
      <c r="AC6242">
        <v>2</v>
      </c>
      <c r="AD6242">
        <v>3.30999994</v>
      </c>
      <c r="AE6242">
        <v>6</v>
      </c>
      <c r="AF6242">
        <v>30</v>
      </c>
      <c r="AG6242">
        <v>3.2950000799999999</v>
      </c>
      <c r="AH6242">
        <v>8</v>
      </c>
      <c r="AI6242">
        <v>48</v>
      </c>
      <c r="AJ6242">
        <v>1</v>
      </c>
      <c r="AK6242">
        <v>17</v>
      </c>
      <c r="AL6242">
        <v>39</v>
      </c>
      <c r="AM6242" t="s">
        <v>43</v>
      </c>
      <c r="AN6242" t="s">
        <v>43</v>
      </c>
    </row>
    <row r="6243" spans="1:40" x14ac:dyDescent="0.3">
      <c r="A6243" s="1">
        <v>46210.276736111111</v>
      </c>
      <c r="B6243" t="s">
        <v>40</v>
      </c>
      <c r="C6243" t="s">
        <v>41</v>
      </c>
      <c r="D6243" s="1">
        <v>46210.279398148145</v>
      </c>
      <c r="E6243" t="s">
        <v>42</v>
      </c>
      <c r="F6243" t="s">
        <v>83</v>
      </c>
      <c r="G6243">
        <v>0</v>
      </c>
      <c r="H6243" t="s">
        <v>43</v>
      </c>
      <c r="I6243" t="s">
        <v>3559</v>
      </c>
      <c r="J6243">
        <v>64</v>
      </c>
      <c r="K6243">
        <v>2</v>
      </c>
      <c r="L6243">
        <v>98</v>
      </c>
      <c r="M6243">
        <v>633.20001220999995</v>
      </c>
      <c r="N6243" t="s">
        <v>85</v>
      </c>
      <c r="O6243" t="s">
        <v>82</v>
      </c>
      <c r="P6243">
        <v>125</v>
      </c>
      <c r="Q6243" t="s">
        <v>82</v>
      </c>
      <c r="R6243">
        <v>0</v>
      </c>
      <c r="S6243">
        <v>0</v>
      </c>
      <c r="T6243">
        <v>-40</v>
      </c>
      <c r="U6243">
        <v>45</v>
      </c>
      <c r="V6243">
        <v>0</v>
      </c>
      <c r="W6243">
        <v>28</v>
      </c>
      <c r="X6243">
        <v>28</v>
      </c>
      <c r="Y6243">
        <v>1</v>
      </c>
      <c r="Z6243">
        <v>1</v>
      </c>
      <c r="AA6243">
        <v>26</v>
      </c>
      <c r="AB6243">
        <v>2</v>
      </c>
      <c r="AC6243">
        <v>2</v>
      </c>
      <c r="AD6243">
        <v>3.30999994</v>
      </c>
      <c r="AE6243">
        <v>6</v>
      </c>
      <c r="AF6243">
        <v>30</v>
      </c>
      <c r="AG6243">
        <v>3.2950000799999999</v>
      </c>
      <c r="AH6243">
        <v>8</v>
      </c>
      <c r="AI6243">
        <v>48</v>
      </c>
      <c r="AJ6243">
        <v>1</v>
      </c>
      <c r="AK6243">
        <v>17</v>
      </c>
      <c r="AL6243">
        <v>39</v>
      </c>
      <c r="AM6243" t="s">
        <v>43</v>
      </c>
      <c r="AN6243" t="str">
        <f>HYPERLINK("https://www.google.com/maps?q=10.83217144,79.84018707","Open Location")</f>
        <v>Open Location</v>
      </c>
    </row>
    <row r="6244" spans="1:40" x14ac:dyDescent="0.3">
      <c r="A6244" s="1">
        <v>46210.276620370372</v>
      </c>
      <c r="B6244" t="s">
        <v>40</v>
      </c>
      <c r="C6244" t="s">
        <v>41</v>
      </c>
      <c r="D6244" s="1">
        <v>46210.27957175926</v>
      </c>
      <c r="E6244" t="s">
        <v>42</v>
      </c>
      <c r="F6244" t="s">
        <v>83</v>
      </c>
      <c r="G6244">
        <v>0</v>
      </c>
      <c r="H6244">
        <v>33081</v>
      </c>
      <c r="I6244" t="s">
        <v>3560</v>
      </c>
      <c r="J6244">
        <v>64</v>
      </c>
      <c r="K6244">
        <v>2</v>
      </c>
      <c r="L6244">
        <v>98</v>
      </c>
      <c r="M6244">
        <v>633.70001220999995</v>
      </c>
      <c r="N6244" t="s">
        <v>85</v>
      </c>
      <c r="O6244" t="s">
        <v>82</v>
      </c>
      <c r="P6244">
        <v>125</v>
      </c>
      <c r="Q6244" t="s">
        <v>82</v>
      </c>
      <c r="R6244">
        <v>0</v>
      </c>
      <c r="S6244">
        <v>0</v>
      </c>
      <c r="T6244">
        <v>-40</v>
      </c>
      <c r="U6244">
        <v>45</v>
      </c>
      <c r="V6244">
        <v>0</v>
      </c>
      <c r="W6244">
        <v>28</v>
      </c>
      <c r="X6244">
        <v>28</v>
      </c>
      <c r="Y6244">
        <v>1</v>
      </c>
      <c r="Z6244">
        <v>1</v>
      </c>
      <c r="AA6244">
        <v>26</v>
      </c>
      <c r="AB6244">
        <v>2</v>
      </c>
      <c r="AC6244">
        <v>2</v>
      </c>
      <c r="AD6244">
        <v>3.30999994</v>
      </c>
      <c r="AE6244">
        <v>6</v>
      </c>
      <c r="AF6244">
        <v>30</v>
      </c>
      <c r="AG6244">
        <v>3.2950000799999999</v>
      </c>
      <c r="AH6244">
        <v>8</v>
      </c>
      <c r="AI6244">
        <v>48</v>
      </c>
      <c r="AJ6244">
        <v>1</v>
      </c>
      <c r="AK6244">
        <v>17</v>
      </c>
      <c r="AL6244">
        <v>39</v>
      </c>
      <c r="AM6244" t="s">
        <v>43</v>
      </c>
      <c r="AN6244" t="str">
        <f>HYPERLINK("https://www.google.com/maps?q=10.83216858,79.8401947","Open Location")</f>
        <v>Open Location</v>
      </c>
    </row>
    <row r="6245" spans="1:40" x14ac:dyDescent="0.3">
      <c r="A6245" s="1">
        <v>46210.276504629626</v>
      </c>
      <c r="B6245" t="s">
        <v>40</v>
      </c>
      <c r="C6245" t="s">
        <v>41</v>
      </c>
      <c r="D6245" s="1">
        <v>46210.279166666667</v>
      </c>
      <c r="E6245" t="s">
        <v>42</v>
      </c>
      <c r="F6245" t="s">
        <v>83</v>
      </c>
      <c r="G6245">
        <v>0</v>
      </c>
      <c r="H6245">
        <v>33081</v>
      </c>
      <c r="I6245" t="s">
        <v>3561</v>
      </c>
      <c r="J6245">
        <v>64</v>
      </c>
      <c r="K6245">
        <v>2</v>
      </c>
      <c r="L6245">
        <v>98</v>
      </c>
      <c r="M6245">
        <v>633.09997558999999</v>
      </c>
      <c r="N6245" t="s">
        <v>85</v>
      </c>
      <c r="O6245" t="s">
        <v>82</v>
      </c>
      <c r="P6245">
        <v>125</v>
      </c>
      <c r="Q6245" t="s">
        <v>82</v>
      </c>
      <c r="R6245">
        <v>0</v>
      </c>
      <c r="S6245">
        <v>0</v>
      </c>
      <c r="T6245">
        <v>-40</v>
      </c>
      <c r="U6245">
        <v>45</v>
      </c>
      <c r="V6245">
        <v>0</v>
      </c>
      <c r="W6245">
        <v>28</v>
      </c>
      <c r="X6245">
        <v>28</v>
      </c>
      <c r="Y6245">
        <v>1</v>
      </c>
      <c r="Z6245">
        <v>1</v>
      </c>
      <c r="AA6245">
        <v>26</v>
      </c>
      <c r="AB6245">
        <v>2</v>
      </c>
      <c r="AC6245">
        <v>2</v>
      </c>
      <c r="AD6245">
        <v>3.30999994</v>
      </c>
      <c r="AE6245">
        <v>6</v>
      </c>
      <c r="AF6245">
        <v>30</v>
      </c>
      <c r="AG6245">
        <v>3.2950000799999999</v>
      </c>
      <c r="AH6245">
        <v>8</v>
      </c>
      <c r="AI6245">
        <v>9</v>
      </c>
      <c r="AJ6245">
        <v>1</v>
      </c>
      <c r="AK6245">
        <v>17</v>
      </c>
      <c r="AL6245">
        <v>39</v>
      </c>
      <c r="AM6245" t="s">
        <v>43</v>
      </c>
      <c r="AN6245" t="str">
        <f>HYPERLINK("https://www.google.com/maps?q=10.83216763,79.8401947","Open Location")</f>
        <v>Open Location</v>
      </c>
    </row>
    <row r="6246" spans="1:40" x14ac:dyDescent="0.3">
      <c r="A6246" s="1">
        <v>46210.276388888888</v>
      </c>
      <c r="B6246" t="s">
        <v>40</v>
      </c>
      <c r="C6246" t="s">
        <v>41</v>
      </c>
      <c r="D6246" s="1">
        <v>46210.27921296296</v>
      </c>
      <c r="E6246" t="s">
        <v>42</v>
      </c>
      <c r="F6246" t="s">
        <v>83</v>
      </c>
      <c r="G6246">
        <v>0</v>
      </c>
      <c r="H6246">
        <v>33081</v>
      </c>
      <c r="I6246" t="s">
        <v>3562</v>
      </c>
      <c r="J6246">
        <v>64</v>
      </c>
      <c r="K6246">
        <v>2</v>
      </c>
      <c r="L6246">
        <v>98</v>
      </c>
      <c r="M6246">
        <v>632.90002441000001</v>
      </c>
      <c r="N6246" t="s">
        <v>85</v>
      </c>
      <c r="O6246" t="s">
        <v>82</v>
      </c>
      <c r="P6246">
        <v>125</v>
      </c>
      <c r="Q6246" t="s">
        <v>82</v>
      </c>
      <c r="R6246">
        <v>0</v>
      </c>
      <c r="S6246">
        <v>0</v>
      </c>
      <c r="T6246">
        <v>-40</v>
      </c>
      <c r="U6246">
        <v>45</v>
      </c>
      <c r="V6246">
        <v>0</v>
      </c>
      <c r="W6246">
        <v>28</v>
      </c>
      <c r="X6246">
        <v>28</v>
      </c>
      <c r="Y6246">
        <v>1</v>
      </c>
      <c r="Z6246">
        <v>1</v>
      </c>
      <c r="AA6246">
        <v>26</v>
      </c>
      <c r="AB6246">
        <v>2</v>
      </c>
      <c r="AC6246">
        <v>2</v>
      </c>
      <c r="AD6246">
        <v>3.30999994</v>
      </c>
      <c r="AE6246">
        <v>6</v>
      </c>
      <c r="AF6246">
        <v>30</v>
      </c>
      <c r="AG6246">
        <v>3.2950000799999999</v>
      </c>
      <c r="AH6246">
        <v>8</v>
      </c>
      <c r="AI6246">
        <v>9</v>
      </c>
      <c r="AJ6246">
        <v>1</v>
      </c>
      <c r="AK6246">
        <v>17</v>
      </c>
      <c r="AL6246">
        <v>39</v>
      </c>
      <c r="AM6246" t="s">
        <v>43</v>
      </c>
      <c r="AN6246" t="str">
        <f>HYPERLINK("https://www.google.com/maps?q=10.83216667,79.84018707","Open Location")</f>
        <v>Open Location</v>
      </c>
    </row>
    <row r="6247" spans="1:40" x14ac:dyDescent="0.3">
      <c r="A6247" s="1">
        <v>46210.276273148149</v>
      </c>
      <c r="B6247" t="s">
        <v>40</v>
      </c>
      <c r="C6247" t="s">
        <v>41</v>
      </c>
      <c r="D6247" s="1">
        <v>46210.27915509259</v>
      </c>
      <c r="E6247" t="s">
        <v>42</v>
      </c>
      <c r="F6247" t="s">
        <v>83</v>
      </c>
      <c r="G6247">
        <v>0</v>
      </c>
      <c r="H6247">
        <v>33081</v>
      </c>
      <c r="I6247" t="s">
        <v>43</v>
      </c>
      <c r="J6247">
        <v>64</v>
      </c>
      <c r="K6247">
        <v>2</v>
      </c>
      <c r="L6247">
        <v>98</v>
      </c>
      <c r="M6247">
        <v>633.70001220999995</v>
      </c>
      <c r="N6247" t="s">
        <v>85</v>
      </c>
      <c r="O6247" t="s">
        <v>82</v>
      </c>
      <c r="P6247">
        <v>125</v>
      </c>
      <c r="Q6247" t="s">
        <v>82</v>
      </c>
      <c r="R6247">
        <v>0</v>
      </c>
      <c r="S6247">
        <v>0</v>
      </c>
      <c r="T6247">
        <v>-40</v>
      </c>
      <c r="U6247">
        <v>45</v>
      </c>
      <c r="V6247">
        <v>0</v>
      </c>
      <c r="W6247">
        <v>28</v>
      </c>
      <c r="X6247">
        <v>28</v>
      </c>
      <c r="Y6247">
        <v>1</v>
      </c>
      <c r="Z6247">
        <v>1</v>
      </c>
      <c r="AA6247">
        <v>26</v>
      </c>
      <c r="AB6247">
        <v>2</v>
      </c>
      <c r="AC6247">
        <v>2</v>
      </c>
      <c r="AD6247">
        <v>3.30999994</v>
      </c>
      <c r="AE6247">
        <v>6</v>
      </c>
      <c r="AF6247">
        <v>30</v>
      </c>
      <c r="AG6247">
        <v>3.2950000799999999</v>
      </c>
      <c r="AH6247">
        <v>8</v>
      </c>
      <c r="AI6247">
        <v>9</v>
      </c>
      <c r="AJ6247">
        <v>1</v>
      </c>
      <c r="AK6247">
        <v>17</v>
      </c>
      <c r="AL6247">
        <v>39</v>
      </c>
      <c r="AM6247" t="s">
        <v>43</v>
      </c>
      <c r="AN6247" t="s">
        <v>43</v>
      </c>
    </row>
    <row r="6248" spans="1:40" x14ac:dyDescent="0.3">
      <c r="A6248" s="1">
        <v>46210.27615740741</v>
      </c>
      <c r="B6248" t="s">
        <v>40</v>
      </c>
      <c r="C6248" t="s">
        <v>41</v>
      </c>
      <c r="D6248" s="1">
        <v>46210.279097222221</v>
      </c>
      <c r="E6248" t="s">
        <v>42</v>
      </c>
      <c r="F6248" t="s">
        <v>83</v>
      </c>
      <c r="G6248">
        <v>0</v>
      </c>
      <c r="H6248" t="s">
        <v>43</v>
      </c>
      <c r="I6248" t="s">
        <v>3563</v>
      </c>
      <c r="J6248">
        <v>64</v>
      </c>
      <c r="K6248">
        <v>2</v>
      </c>
      <c r="L6248">
        <v>98</v>
      </c>
      <c r="M6248">
        <v>633.79998779000005</v>
      </c>
      <c r="N6248" t="s">
        <v>85</v>
      </c>
      <c r="O6248" t="s">
        <v>82</v>
      </c>
      <c r="P6248">
        <v>125</v>
      </c>
      <c r="Q6248" t="s">
        <v>82</v>
      </c>
      <c r="R6248">
        <v>0</v>
      </c>
      <c r="S6248">
        <v>0</v>
      </c>
      <c r="T6248">
        <v>-40</v>
      </c>
      <c r="U6248">
        <v>45</v>
      </c>
      <c r="V6248">
        <v>0</v>
      </c>
      <c r="W6248">
        <v>28</v>
      </c>
      <c r="X6248">
        <v>28</v>
      </c>
      <c r="Y6248">
        <v>1</v>
      </c>
      <c r="Z6248">
        <v>1</v>
      </c>
      <c r="AA6248">
        <v>26</v>
      </c>
      <c r="AB6248">
        <v>2</v>
      </c>
      <c r="AC6248">
        <v>2</v>
      </c>
      <c r="AD6248">
        <v>3.30999994</v>
      </c>
      <c r="AE6248">
        <v>6</v>
      </c>
      <c r="AF6248">
        <v>30</v>
      </c>
      <c r="AG6248">
        <v>3.2950000799999999</v>
      </c>
      <c r="AH6248">
        <v>8</v>
      </c>
      <c r="AI6248">
        <v>9</v>
      </c>
      <c r="AJ6248">
        <v>1</v>
      </c>
      <c r="AK6248">
        <v>17</v>
      </c>
      <c r="AL6248">
        <v>39</v>
      </c>
      <c r="AM6248" t="s">
        <v>43</v>
      </c>
      <c r="AN6248" t="str">
        <f>HYPERLINK("https://www.google.com/maps?q=10.83216763,79.84017944","Open Location")</f>
        <v>Open Location</v>
      </c>
    </row>
    <row r="6249" spans="1:40" x14ac:dyDescent="0.3">
      <c r="A6249" s="1">
        <v>46210.276041666664</v>
      </c>
      <c r="B6249" t="s">
        <v>40</v>
      </c>
      <c r="C6249" t="s">
        <v>41</v>
      </c>
      <c r="D6249" s="1">
        <v>46210.279108796298</v>
      </c>
      <c r="E6249" t="s">
        <v>42</v>
      </c>
      <c r="F6249" t="s">
        <v>83</v>
      </c>
      <c r="G6249">
        <v>0</v>
      </c>
      <c r="H6249">
        <v>33081</v>
      </c>
      <c r="I6249" t="s">
        <v>3564</v>
      </c>
      <c r="J6249">
        <v>64</v>
      </c>
      <c r="K6249">
        <v>2</v>
      </c>
      <c r="L6249">
        <v>98</v>
      </c>
      <c r="M6249">
        <v>633.20001220999995</v>
      </c>
      <c r="N6249" t="s">
        <v>85</v>
      </c>
      <c r="O6249" t="s">
        <v>82</v>
      </c>
      <c r="P6249">
        <v>125</v>
      </c>
      <c r="Q6249" t="s">
        <v>82</v>
      </c>
      <c r="R6249">
        <v>0</v>
      </c>
      <c r="S6249">
        <v>0</v>
      </c>
      <c r="T6249">
        <v>-40</v>
      </c>
      <c r="U6249">
        <v>45</v>
      </c>
      <c r="V6249">
        <v>0</v>
      </c>
      <c r="W6249">
        <v>28</v>
      </c>
      <c r="X6249">
        <v>28</v>
      </c>
      <c r="Y6249">
        <v>1</v>
      </c>
      <c r="Z6249">
        <v>1</v>
      </c>
      <c r="AA6249">
        <v>26</v>
      </c>
      <c r="AB6249">
        <v>2</v>
      </c>
      <c r="AC6249">
        <v>2</v>
      </c>
      <c r="AD6249">
        <v>3.30999994</v>
      </c>
      <c r="AE6249">
        <v>6</v>
      </c>
      <c r="AF6249">
        <v>30</v>
      </c>
      <c r="AG6249">
        <v>3.2950000799999999</v>
      </c>
      <c r="AH6249">
        <v>8</v>
      </c>
      <c r="AI6249">
        <v>9</v>
      </c>
      <c r="AJ6249">
        <v>1</v>
      </c>
      <c r="AK6249">
        <v>17</v>
      </c>
      <c r="AL6249">
        <v>39</v>
      </c>
      <c r="AM6249" t="s">
        <v>43</v>
      </c>
      <c r="AN6249" t="str">
        <f>HYPERLINK("https://www.google.com/maps?q=10.83216286,79.84017944","Open Location")</f>
        <v>Open Location</v>
      </c>
    </row>
    <row r="6250" spans="1:40" x14ac:dyDescent="0.3">
      <c r="A6250" s="1">
        <v>46210.275925925926</v>
      </c>
      <c r="B6250" t="s">
        <v>40</v>
      </c>
      <c r="C6250" t="s">
        <v>41</v>
      </c>
      <c r="D6250" s="1">
        <v>46210.278715277775</v>
      </c>
      <c r="E6250" t="s">
        <v>42</v>
      </c>
      <c r="F6250" t="s">
        <v>83</v>
      </c>
      <c r="G6250">
        <v>0</v>
      </c>
      <c r="H6250">
        <v>33081</v>
      </c>
      <c r="I6250" t="s">
        <v>3565</v>
      </c>
      <c r="J6250">
        <v>64</v>
      </c>
      <c r="K6250">
        <v>2</v>
      </c>
      <c r="L6250">
        <v>98</v>
      </c>
      <c r="M6250">
        <v>633</v>
      </c>
      <c r="N6250" t="s">
        <v>85</v>
      </c>
      <c r="O6250" t="s">
        <v>82</v>
      </c>
      <c r="P6250">
        <v>125</v>
      </c>
      <c r="Q6250" t="s">
        <v>82</v>
      </c>
      <c r="R6250">
        <v>0</v>
      </c>
      <c r="S6250">
        <v>0</v>
      </c>
      <c r="T6250">
        <v>-40</v>
      </c>
      <c r="U6250">
        <v>45</v>
      </c>
      <c r="V6250">
        <v>0</v>
      </c>
      <c r="W6250">
        <v>28</v>
      </c>
      <c r="X6250">
        <v>28</v>
      </c>
      <c r="Y6250">
        <v>1</v>
      </c>
      <c r="Z6250">
        <v>1</v>
      </c>
      <c r="AA6250">
        <v>26</v>
      </c>
      <c r="AB6250">
        <v>2</v>
      </c>
      <c r="AC6250">
        <v>2</v>
      </c>
      <c r="AD6250">
        <v>3.30999994</v>
      </c>
      <c r="AE6250">
        <v>6</v>
      </c>
      <c r="AF6250">
        <v>30</v>
      </c>
      <c r="AG6250">
        <v>3.2950000799999999</v>
      </c>
      <c r="AH6250">
        <v>8</v>
      </c>
      <c r="AI6250">
        <v>9</v>
      </c>
      <c r="AJ6250">
        <v>1</v>
      </c>
      <c r="AK6250">
        <v>17</v>
      </c>
      <c r="AL6250">
        <v>39</v>
      </c>
      <c r="AM6250" t="s">
        <v>43</v>
      </c>
      <c r="AN6250" t="str">
        <f>HYPERLINK("https://www.google.com/maps?q=10.83215618,79.84018707","Open Location")</f>
        <v>Open Location</v>
      </c>
    </row>
    <row r="6251" spans="1:40" x14ac:dyDescent="0.3">
      <c r="A6251" s="1">
        <v>46210.275810185187</v>
      </c>
      <c r="B6251" t="s">
        <v>40</v>
      </c>
      <c r="C6251" t="s">
        <v>41</v>
      </c>
      <c r="D6251" s="1">
        <v>46210.278634259259</v>
      </c>
      <c r="E6251" t="s">
        <v>42</v>
      </c>
      <c r="F6251" t="s">
        <v>83</v>
      </c>
      <c r="G6251">
        <v>0</v>
      </c>
      <c r="H6251" t="s">
        <v>43</v>
      </c>
      <c r="I6251" t="s">
        <v>3566</v>
      </c>
      <c r="J6251">
        <v>64</v>
      </c>
      <c r="K6251">
        <v>2</v>
      </c>
      <c r="L6251">
        <v>98</v>
      </c>
      <c r="M6251">
        <v>633.59997558999999</v>
      </c>
      <c r="N6251" t="s">
        <v>85</v>
      </c>
      <c r="O6251" t="s">
        <v>82</v>
      </c>
      <c r="P6251">
        <v>125</v>
      </c>
      <c r="Q6251" t="s">
        <v>82</v>
      </c>
      <c r="R6251">
        <v>0</v>
      </c>
      <c r="S6251">
        <v>0</v>
      </c>
      <c r="T6251">
        <v>-40</v>
      </c>
      <c r="U6251">
        <v>45</v>
      </c>
      <c r="V6251">
        <v>0</v>
      </c>
      <c r="W6251">
        <v>28</v>
      </c>
      <c r="X6251">
        <v>28</v>
      </c>
      <c r="Y6251">
        <v>1</v>
      </c>
      <c r="Z6251">
        <v>1</v>
      </c>
      <c r="AA6251">
        <v>26</v>
      </c>
      <c r="AB6251">
        <v>2</v>
      </c>
      <c r="AC6251">
        <v>2</v>
      </c>
      <c r="AD6251">
        <v>3.30999994</v>
      </c>
      <c r="AE6251">
        <v>6</v>
      </c>
      <c r="AF6251">
        <v>30</v>
      </c>
      <c r="AG6251">
        <v>3.2950000799999999</v>
      </c>
      <c r="AH6251">
        <v>8</v>
      </c>
      <c r="AI6251">
        <v>9</v>
      </c>
      <c r="AJ6251">
        <v>1</v>
      </c>
      <c r="AK6251">
        <v>17</v>
      </c>
      <c r="AL6251">
        <v>39</v>
      </c>
      <c r="AM6251" t="s">
        <v>43</v>
      </c>
      <c r="AN6251" t="str">
        <f>HYPERLINK("https://www.google.com/maps?q=10.83215523,79.84018707","Open Location")</f>
        <v>Open Location</v>
      </c>
    </row>
    <row r="6252" spans="1:40" x14ac:dyDescent="0.3">
      <c r="A6252" s="1">
        <v>46210.275694444441</v>
      </c>
      <c r="B6252" t="s">
        <v>40</v>
      </c>
      <c r="C6252" t="s">
        <v>41</v>
      </c>
      <c r="D6252" s="1">
        <v>46210.278807870367</v>
      </c>
      <c r="E6252" t="s">
        <v>42</v>
      </c>
      <c r="F6252" t="s">
        <v>83</v>
      </c>
      <c r="G6252">
        <v>0</v>
      </c>
      <c r="H6252">
        <v>33081</v>
      </c>
      <c r="I6252" t="s">
        <v>3567</v>
      </c>
      <c r="J6252">
        <v>64</v>
      </c>
      <c r="K6252">
        <v>2</v>
      </c>
      <c r="L6252">
        <v>98</v>
      </c>
      <c r="M6252">
        <v>633.09997558999999</v>
      </c>
      <c r="N6252" t="s">
        <v>85</v>
      </c>
      <c r="O6252" t="s">
        <v>82</v>
      </c>
      <c r="P6252">
        <v>125</v>
      </c>
      <c r="Q6252" t="s">
        <v>43</v>
      </c>
      <c r="R6252">
        <v>0</v>
      </c>
      <c r="S6252">
        <v>0</v>
      </c>
      <c r="T6252">
        <v>-40</v>
      </c>
      <c r="U6252">
        <v>45</v>
      </c>
      <c r="V6252">
        <v>0</v>
      </c>
      <c r="W6252">
        <v>28</v>
      </c>
      <c r="X6252">
        <v>28</v>
      </c>
      <c r="Y6252">
        <v>1</v>
      </c>
      <c r="Z6252">
        <v>1</v>
      </c>
      <c r="AA6252">
        <v>26</v>
      </c>
      <c r="AB6252">
        <v>2</v>
      </c>
      <c r="AC6252">
        <v>2</v>
      </c>
      <c r="AD6252">
        <v>3.30999994</v>
      </c>
      <c r="AE6252">
        <v>6</v>
      </c>
      <c r="AF6252">
        <v>30</v>
      </c>
      <c r="AG6252">
        <v>3.2950000799999999</v>
      </c>
      <c r="AH6252">
        <v>8</v>
      </c>
      <c r="AI6252">
        <v>9</v>
      </c>
      <c r="AJ6252">
        <v>1</v>
      </c>
      <c r="AK6252">
        <v>17</v>
      </c>
      <c r="AL6252">
        <v>39</v>
      </c>
      <c r="AM6252" t="s">
        <v>43</v>
      </c>
      <c r="AN6252" t="str">
        <f>HYPERLINK("https://www.google.com/maps?q=10.83215332,79.84018707","Open Location")</f>
        <v>Open Location</v>
      </c>
    </row>
    <row r="6253" spans="1:40" x14ac:dyDescent="0.3">
      <c r="A6253" s="1">
        <v>46210.275578703702</v>
      </c>
      <c r="B6253" t="s">
        <v>40</v>
      </c>
      <c r="C6253" t="s">
        <v>41</v>
      </c>
      <c r="D6253" s="1">
        <v>46210.278356481482</v>
      </c>
      <c r="E6253" t="s">
        <v>42</v>
      </c>
      <c r="F6253" t="s">
        <v>83</v>
      </c>
      <c r="G6253">
        <v>0</v>
      </c>
      <c r="H6253">
        <v>33081</v>
      </c>
      <c r="I6253" t="s">
        <v>43</v>
      </c>
      <c r="J6253">
        <v>64</v>
      </c>
      <c r="K6253">
        <v>2</v>
      </c>
      <c r="L6253">
        <v>98</v>
      </c>
      <c r="M6253">
        <v>633.29998779000005</v>
      </c>
      <c r="N6253" t="s">
        <v>85</v>
      </c>
      <c r="O6253" t="s">
        <v>82</v>
      </c>
      <c r="P6253">
        <v>125</v>
      </c>
      <c r="Q6253" t="s">
        <v>82</v>
      </c>
      <c r="R6253">
        <v>0</v>
      </c>
      <c r="S6253">
        <v>0</v>
      </c>
      <c r="T6253">
        <v>-40</v>
      </c>
      <c r="U6253">
        <v>45</v>
      </c>
      <c r="V6253">
        <v>0</v>
      </c>
      <c r="W6253">
        <v>28</v>
      </c>
      <c r="X6253">
        <v>28</v>
      </c>
      <c r="Y6253">
        <v>1</v>
      </c>
      <c r="Z6253">
        <v>1</v>
      </c>
      <c r="AA6253">
        <v>26</v>
      </c>
      <c r="AB6253">
        <v>2</v>
      </c>
      <c r="AC6253">
        <v>2</v>
      </c>
      <c r="AD6253">
        <v>3.30999994</v>
      </c>
      <c r="AE6253">
        <v>6</v>
      </c>
      <c r="AF6253">
        <v>30</v>
      </c>
      <c r="AG6253">
        <v>3.2950000799999999</v>
      </c>
      <c r="AH6253">
        <v>8</v>
      </c>
      <c r="AI6253">
        <v>9</v>
      </c>
      <c r="AJ6253">
        <v>1</v>
      </c>
      <c r="AK6253">
        <v>17</v>
      </c>
      <c r="AL6253">
        <v>39</v>
      </c>
      <c r="AM6253" t="s">
        <v>43</v>
      </c>
      <c r="AN6253" t="s">
        <v>43</v>
      </c>
    </row>
    <row r="6254" spans="1:40" x14ac:dyDescent="0.3">
      <c r="A6254" s="1">
        <v>46210.275462962964</v>
      </c>
      <c r="B6254" t="s">
        <v>40</v>
      </c>
      <c r="C6254" t="s">
        <v>41</v>
      </c>
      <c r="D6254" s="1">
        <v>46210.278287037036</v>
      </c>
      <c r="E6254" t="s">
        <v>42</v>
      </c>
      <c r="F6254" t="s">
        <v>83</v>
      </c>
      <c r="G6254">
        <v>0</v>
      </c>
      <c r="H6254">
        <v>33081</v>
      </c>
      <c r="I6254" t="s">
        <v>3568</v>
      </c>
      <c r="J6254">
        <v>64</v>
      </c>
      <c r="K6254">
        <v>2</v>
      </c>
      <c r="L6254">
        <v>98</v>
      </c>
      <c r="M6254">
        <v>633.59997558999999</v>
      </c>
      <c r="N6254" t="s">
        <v>85</v>
      </c>
      <c r="O6254" t="s">
        <v>82</v>
      </c>
      <c r="P6254">
        <v>125</v>
      </c>
      <c r="Q6254" t="s">
        <v>82</v>
      </c>
      <c r="R6254">
        <v>0</v>
      </c>
      <c r="S6254">
        <v>0</v>
      </c>
      <c r="T6254">
        <v>-40</v>
      </c>
      <c r="U6254">
        <v>45</v>
      </c>
      <c r="V6254">
        <v>0</v>
      </c>
      <c r="W6254">
        <v>28</v>
      </c>
      <c r="X6254">
        <v>28</v>
      </c>
      <c r="Y6254">
        <v>1</v>
      </c>
      <c r="Z6254">
        <v>1</v>
      </c>
      <c r="AA6254">
        <v>26</v>
      </c>
      <c r="AB6254">
        <v>2</v>
      </c>
      <c r="AC6254">
        <v>2</v>
      </c>
      <c r="AD6254">
        <v>3.30999994</v>
      </c>
      <c r="AE6254">
        <v>6</v>
      </c>
      <c r="AF6254">
        <v>30</v>
      </c>
      <c r="AG6254">
        <v>3.2950000799999999</v>
      </c>
      <c r="AH6254">
        <v>8</v>
      </c>
      <c r="AI6254">
        <v>9</v>
      </c>
      <c r="AJ6254">
        <v>1</v>
      </c>
      <c r="AK6254">
        <v>17</v>
      </c>
      <c r="AL6254">
        <v>39</v>
      </c>
      <c r="AM6254" t="s">
        <v>43</v>
      </c>
      <c r="AN6254" t="str">
        <f>HYPERLINK("https://www.google.com/maps?q=10.83214664,79.84017944","Open Location")</f>
        <v>Open Location</v>
      </c>
    </row>
    <row r="6255" spans="1:40" x14ac:dyDescent="0.3">
      <c r="A6255" s="1">
        <v>46210.275347222225</v>
      </c>
      <c r="B6255" t="s">
        <v>40</v>
      </c>
      <c r="C6255" t="s">
        <v>41</v>
      </c>
      <c r="D6255" s="1">
        <v>46210.278055555558</v>
      </c>
      <c r="E6255" t="s">
        <v>42</v>
      </c>
      <c r="F6255" t="s">
        <v>83</v>
      </c>
      <c r="G6255">
        <v>0</v>
      </c>
      <c r="H6255">
        <v>33081</v>
      </c>
      <c r="I6255" t="s">
        <v>3569</v>
      </c>
      <c r="J6255">
        <v>64</v>
      </c>
      <c r="K6255">
        <v>2</v>
      </c>
      <c r="L6255">
        <v>98</v>
      </c>
      <c r="M6255">
        <v>633</v>
      </c>
      <c r="N6255" t="s">
        <v>85</v>
      </c>
      <c r="O6255" t="s">
        <v>82</v>
      </c>
      <c r="P6255">
        <v>125</v>
      </c>
      <c r="Q6255" t="s">
        <v>82</v>
      </c>
      <c r="R6255">
        <v>0</v>
      </c>
      <c r="S6255">
        <v>0</v>
      </c>
      <c r="T6255">
        <v>-40</v>
      </c>
      <c r="U6255">
        <v>45</v>
      </c>
      <c r="V6255">
        <v>0</v>
      </c>
      <c r="W6255">
        <v>28</v>
      </c>
      <c r="X6255">
        <v>28</v>
      </c>
      <c r="Y6255">
        <v>1</v>
      </c>
      <c r="Z6255">
        <v>1</v>
      </c>
      <c r="AA6255">
        <v>26</v>
      </c>
      <c r="AB6255">
        <v>2</v>
      </c>
      <c r="AC6255">
        <v>2</v>
      </c>
      <c r="AD6255">
        <v>3.30999994</v>
      </c>
      <c r="AE6255">
        <v>6</v>
      </c>
      <c r="AF6255">
        <v>30</v>
      </c>
      <c r="AG6255">
        <v>3.2950000799999999</v>
      </c>
      <c r="AH6255">
        <v>8</v>
      </c>
      <c r="AI6255">
        <v>9</v>
      </c>
      <c r="AJ6255">
        <v>1</v>
      </c>
      <c r="AK6255">
        <v>17</v>
      </c>
      <c r="AL6255">
        <v>39</v>
      </c>
      <c r="AM6255" t="s">
        <v>43</v>
      </c>
      <c r="AN6255" t="str">
        <f>HYPERLINK("https://www.google.com/maps?q=10.83214569,79.84017181","Open Location")</f>
        <v>Open Location</v>
      </c>
    </row>
    <row r="6256" spans="1:40" x14ac:dyDescent="0.3">
      <c r="A6256" s="1">
        <v>46210.275231481479</v>
      </c>
      <c r="B6256" t="s">
        <v>40</v>
      </c>
      <c r="C6256" t="s">
        <v>41</v>
      </c>
      <c r="D6256" s="1">
        <v>46210.278043981481</v>
      </c>
      <c r="E6256" t="s">
        <v>42</v>
      </c>
      <c r="F6256" t="s">
        <v>83</v>
      </c>
      <c r="G6256">
        <v>0</v>
      </c>
      <c r="H6256">
        <v>33081</v>
      </c>
      <c r="I6256" t="s">
        <v>3570</v>
      </c>
      <c r="J6256">
        <v>64</v>
      </c>
      <c r="K6256">
        <v>2</v>
      </c>
      <c r="L6256">
        <v>98</v>
      </c>
      <c r="M6256">
        <v>633.09997558999999</v>
      </c>
      <c r="N6256" t="s">
        <v>85</v>
      </c>
      <c r="O6256" t="s">
        <v>82</v>
      </c>
      <c r="P6256">
        <v>125</v>
      </c>
      <c r="Q6256" t="s">
        <v>82</v>
      </c>
      <c r="R6256">
        <v>0</v>
      </c>
      <c r="S6256">
        <v>0</v>
      </c>
      <c r="T6256">
        <v>-40</v>
      </c>
      <c r="U6256">
        <v>45</v>
      </c>
      <c r="V6256">
        <v>0</v>
      </c>
      <c r="W6256">
        <v>28</v>
      </c>
      <c r="X6256">
        <v>28</v>
      </c>
      <c r="Y6256">
        <v>1</v>
      </c>
      <c r="Z6256">
        <v>1</v>
      </c>
      <c r="AA6256">
        <v>26</v>
      </c>
      <c r="AB6256">
        <v>2</v>
      </c>
      <c r="AC6256">
        <v>2</v>
      </c>
      <c r="AD6256">
        <v>3.30999994</v>
      </c>
      <c r="AE6256">
        <v>6</v>
      </c>
      <c r="AF6256">
        <v>30</v>
      </c>
      <c r="AG6256">
        <v>3.2950000799999999</v>
      </c>
      <c r="AH6256">
        <v>8</v>
      </c>
      <c r="AI6256">
        <v>9</v>
      </c>
      <c r="AJ6256">
        <v>1</v>
      </c>
      <c r="AK6256">
        <v>17</v>
      </c>
      <c r="AL6256">
        <v>39</v>
      </c>
      <c r="AM6256" t="s">
        <v>43</v>
      </c>
      <c r="AN6256" t="str">
        <f>HYPERLINK("https://www.google.com/maps?q=10.83214474,79.84017181","Open Location")</f>
        <v>Open Location</v>
      </c>
    </row>
    <row r="6257" spans="1:40" x14ac:dyDescent="0.3">
      <c r="A6257" s="1">
        <v>46210.27511574074</v>
      </c>
      <c r="B6257" t="s">
        <v>40</v>
      </c>
      <c r="C6257" t="s">
        <v>41</v>
      </c>
      <c r="D6257" s="1">
        <v>46210.278032407405</v>
      </c>
      <c r="E6257" t="s">
        <v>42</v>
      </c>
      <c r="F6257" t="s">
        <v>83</v>
      </c>
      <c r="G6257">
        <v>0</v>
      </c>
      <c r="H6257">
        <v>33081</v>
      </c>
      <c r="I6257" t="s">
        <v>3571</v>
      </c>
      <c r="J6257">
        <v>64</v>
      </c>
      <c r="K6257">
        <v>2</v>
      </c>
      <c r="L6257">
        <v>98</v>
      </c>
      <c r="M6257">
        <v>633.09997558999999</v>
      </c>
      <c r="N6257" t="s">
        <v>85</v>
      </c>
      <c r="O6257" t="s">
        <v>82</v>
      </c>
      <c r="P6257">
        <v>125</v>
      </c>
      <c r="Q6257" t="s">
        <v>82</v>
      </c>
      <c r="R6257">
        <v>0</v>
      </c>
      <c r="S6257">
        <v>0</v>
      </c>
      <c r="T6257">
        <v>-40</v>
      </c>
      <c r="U6257">
        <v>45</v>
      </c>
      <c r="V6257">
        <v>0</v>
      </c>
      <c r="W6257">
        <v>28</v>
      </c>
      <c r="X6257">
        <v>28</v>
      </c>
      <c r="Y6257">
        <v>1</v>
      </c>
      <c r="Z6257">
        <v>1</v>
      </c>
      <c r="AA6257">
        <v>26</v>
      </c>
      <c r="AB6257">
        <v>2</v>
      </c>
      <c r="AC6257">
        <v>2</v>
      </c>
      <c r="AD6257">
        <v>3.30999994</v>
      </c>
      <c r="AE6257">
        <v>6</v>
      </c>
      <c r="AF6257">
        <v>30</v>
      </c>
      <c r="AG6257">
        <v>3.2950000799999999</v>
      </c>
      <c r="AH6257">
        <v>6</v>
      </c>
      <c r="AI6257">
        <v>34</v>
      </c>
      <c r="AJ6257">
        <v>1</v>
      </c>
      <c r="AK6257">
        <v>17</v>
      </c>
      <c r="AL6257">
        <v>39</v>
      </c>
      <c r="AM6257" t="s">
        <v>43</v>
      </c>
      <c r="AN6257" t="str">
        <f>HYPERLINK("https://www.google.com/maps?q=10.83214855,79.84015656","Open Location")</f>
        <v>Open Location</v>
      </c>
    </row>
    <row r="6258" spans="1:40" x14ac:dyDescent="0.3">
      <c r="A6258" s="1">
        <v>46210.275000000001</v>
      </c>
      <c r="B6258" t="s">
        <v>40</v>
      </c>
      <c r="C6258" t="s">
        <v>41</v>
      </c>
      <c r="D6258" s="1">
        <v>46210.278055555558</v>
      </c>
      <c r="E6258" t="s">
        <v>42</v>
      </c>
      <c r="F6258" t="s">
        <v>83</v>
      </c>
      <c r="G6258">
        <v>0</v>
      </c>
      <c r="H6258">
        <v>33081</v>
      </c>
      <c r="I6258" t="s">
        <v>3572</v>
      </c>
      <c r="J6258">
        <v>64</v>
      </c>
      <c r="K6258">
        <v>2</v>
      </c>
      <c r="L6258">
        <v>98</v>
      </c>
      <c r="M6258">
        <v>632.90002441000001</v>
      </c>
      <c r="N6258" t="s">
        <v>85</v>
      </c>
      <c r="O6258" t="s">
        <v>82</v>
      </c>
      <c r="P6258">
        <v>125</v>
      </c>
      <c r="Q6258" t="s">
        <v>82</v>
      </c>
      <c r="R6258">
        <v>0</v>
      </c>
      <c r="S6258">
        <v>0</v>
      </c>
      <c r="T6258">
        <v>-40</v>
      </c>
      <c r="U6258">
        <v>45</v>
      </c>
      <c r="V6258">
        <v>0</v>
      </c>
      <c r="W6258">
        <v>28</v>
      </c>
      <c r="X6258">
        <v>28</v>
      </c>
      <c r="Y6258">
        <v>1</v>
      </c>
      <c r="Z6258">
        <v>1</v>
      </c>
      <c r="AA6258">
        <v>26</v>
      </c>
      <c r="AB6258">
        <v>2</v>
      </c>
      <c r="AC6258">
        <v>2</v>
      </c>
      <c r="AD6258">
        <v>3.30999994</v>
      </c>
      <c r="AE6258">
        <v>6</v>
      </c>
      <c r="AF6258">
        <v>30</v>
      </c>
      <c r="AG6258">
        <v>3.2950000799999999</v>
      </c>
      <c r="AH6258">
        <v>6</v>
      </c>
      <c r="AI6258">
        <v>34</v>
      </c>
      <c r="AJ6258">
        <v>1</v>
      </c>
      <c r="AK6258">
        <v>17</v>
      </c>
      <c r="AL6258">
        <v>39</v>
      </c>
      <c r="AM6258" t="s">
        <v>43</v>
      </c>
      <c r="AN6258" t="str">
        <f>HYPERLINK("https://www.google.com/maps?q=10.83215141,79.84015656","Open Location")</f>
        <v>Open Location</v>
      </c>
    </row>
    <row r="6259" spans="1:40" x14ac:dyDescent="0.3">
      <c r="A6259" s="1">
        <v>46210.274884259263</v>
      </c>
      <c r="B6259" t="s">
        <v>40</v>
      </c>
      <c r="C6259" t="s">
        <v>41</v>
      </c>
      <c r="D6259" s="1">
        <v>46210.277662037035</v>
      </c>
      <c r="E6259" t="s">
        <v>42</v>
      </c>
      <c r="F6259" t="s">
        <v>83</v>
      </c>
      <c r="G6259">
        <v>0</v>
      </c>
      <c r="H6259">
        <v>33081</v>
      </c>
      <c r="I6259" t="s">
        <v>43</v>
      </c>
      <c r="J6259">
        <v>64</v>
      </c>
      <c r="K6259">
        <v>2</v>
      </c>
      <c r="L6259">
        <v>98</v>
      </c>
      <c r="M6259">
        <v>633.29998779000005</v>
      </c>
      <c r="N6259" t="s">
        <v>85</v>
      </c>
      <c r="O6259" t="s">
        <v>82</v>
      </c>
      <c r="P6259">
        <v>125</v>
      </c>
      <c r="Q6259" t="s">
        <v>82</v>
      </c>
      <c r="R6259">
        <v>0</v>
      </c>
      <c r="S6259">
        <v>0</v>
      </c>
      <c r="T6259">
        <v>-40</v>
      </c>
      <c r="U6259">
        <v>45</v>
      </c>
      <c r="V6259">
        <v>0</v>
      </c>
      <c r="W6259">
        <v>28</v>
      </c>
      <c r="X6259">
        <v>28</v>
      </c>
      <c r="Y6259">
        <v>1</v>
      </c>
      <c r="Z6259">
        <v>1</v>
      </c>
      <c r="AA6259">
        <v>26</v>
      </c>
      <c r="AB6259">
        <v>2</v>
      </c>
      <c r="AC6259">
        <v>2</v>
      </c>
      <c r="AD6259">
        <v>3.30900002</v>
      </c>
      <c r="AE6259">
        <v>6</v>
      </c>
      <c r="AF6259">
        <v>30</v>
      </c>
      <c r="AG6259">
        <v>3.2939999100000001</v>
      </c>
      <c r="AH6259">
        <v>8</v>
      </c>
      <c r="AI6259">
        <v>48</v>
      </c>
      <c r="AJ6259">
        <v>1</v>
      </c>
      <c r="AK6259">
        <v>17</v>
      </c>
      <c r="AL6259">
        <v>39</v>
      </c>
      <c r="AM6259" t="s">
        <v>43</v>
      </c>
      <c r="AN6259" t="s">
        <v>43</v>
      </c>
    </row>
    <row r="6260" spans="1:40" x14ac:dyDescent="0.3">
      <c r="A6260" s="1">
        <v>46210.274768518517</v>
      </c>
      <c r="B6260" t="s">
        <v>40</v>
      </c>
      <c r="C6260" t="s">
        <v>41</v>
      </c>
      <c r="D6260" s="1">
        <v>46210.277685185189</v>
      </c>
      <c r="E6260" t="s">
        <v>42</v>
      </c>
      <c r="F6260" t="s">
        <v>83</v>
      </c>
      <c r="G6260">
        <v>0</v>
      </c>
      <c r="H6260">
        <v>33081</v>
      </c>
      <c r="I6260" t="s">
        <v>3573</v>
      </c>
      <c r="J6260">
        <v>64</v>
      </c>
      <c r="K6260">
        <v>2</v>
      </c>
      <c r="L6260">
        <v>98</v>
      </c>
      <c r="M6260">
        <v>633.09997558999999</v>
      </c>
      <c r="N6260" t="s">
        <v>85</v>
      </c>
      <c r="O6260" t="s">
        <v>82</v>
      </c>
      <c r="P6260">
        <v>125</v>
      </c>
      <c r="Q6260" t="s">
        <v>82</v>
      </c>
      <c r="R6260">
        <v>0</v>
      </c>
      <c r="S6260">
        <v>0</v>
      </c>
      <c r="T6260">
        <v>-40</v>
      </c>
      <c r="U6260">
        <v>45</v>
      </c>
      <c r="V6260">
        <v>0</v>
      </c>
      <c r="W6260">
        <v>28</v>
      </c>
      <c r="X6260">
        <v>28</v>
      </c>
      <c r="Y6260">
        <v>1</v>
      </c>
      <c r="Z6260">
        <v>1</v>
      </c>
      <c r="AA6260">
        <v>26</v>
      </c>
      <c r="AB6260">
        <v>2</v>
      </c>
      <c r="AC6260">
        <v>2</v>
      </c>
      <c r="AD6260">
        <v>3.30900002</v>
      </c>
      <c r="AE6260">
        <v>6</v>
      </c>
      <c r="AF6260">
        <v>30</v>
      </c>
      <c r="AG6260">
        <v>3.2950000799999999</v>
      </c>
      <c r="AH6260">
        <v>6</v>
      </c>
      <c r="AI6260">
        <v>34</v>
      </c>
      <c r="AJ6260">
        <v>1</v>
      </c>
      <c r="AK6260">
        <v>17</v>
      </c>
      <c r="AL6260">
        <v>39</v>
      </c>
      <c r="AM6260" t="s">
        <v>43</v>
      </c>
      <c r="AN6260" t="str">
        <f>HYPERLINK("https://www.google.com/maps?q=10.83215141,79.84017181","Open Location")</f>
        <v>Open Location</v>
      </c>
    </row>
    <row r="6261" spans="1:40" x14ac:dyDescent="0.3">
      <c r="A6261" s="1">
        <v>46210.274652777778</v>
      </c>
      <c r="B6261" t="s">
        <v>40</v>
      </c>
      <c r="C6261" t="s">
        <v>41</v>
      </c>
      <c r="D6261" s="1">
        <v>46210.277337962965</v>
      </c>
      <c r="E6261" t="s">
        <v>42</v>
      </c>
      <c r="F6261" t="s">
        <v>83</v>
      </c>
      <c r="G6261">
        <v>0</v>
      </c>
      <c r="H6261">
        <v>33081</v>
      </c>
      <c r="I6261" t="s">
        <v>3574</v>
      </c>
      <c r="J6261">
        <v>64</v>
      </c>
      <c r="K6261">
        <v>2</v>
      </c>
      <c r="L6261">
        <v>98</v>
      </c>
      <c r="M6261">
        <v>633</v>
      </c>
      <c r="N6261" t="s">
        <v>85</v>
      </c>
      <c r="O6261" t="s">
        <v>82</v>
      </c>
      <c r="P6261">
        <v>125</v>
      </c>
      <c r="Q6261" t="s">
        <v>82</v>
      </c>
      <c r="R6261">
        <v>0</v>
      </c>
      <c r="S6261">
        <v>0</v>
      </c>
      <c r="T6261">
        <v>-40</v>
      </c>
      <c r="U6261">
        <v>45</v>
      </c>
      <c r="V6261">
        <v>0</v>
      </c>
      <c r="W6261">
        <v>28</v>
      </c>
      <c r="X6261">
        <v>28</v>
      </c>
      <c r="Y6261">
        <v>1</v>
      </c>
      <c r="Z6261">
        <v>1</v>
      </c>
      <c r="AA6261">
        <v>26</v>
      </c>
      <c r="AB6261">
        <v>2</v>
      </c>
      <c r="AC6261">
        <v>2</v>
      </c>
      <c r="AD6261">
        <v>3.30900002</v>
      </c>
      <c r="AE6261">
        <v>6</v>
      </c>
      <c r="AF6261">
        <v>30</v>
      </c>
      <c r="AG6261">
        <v>3.2950000799999999</v>
      </c>
      <c r="AH6261">
        <v>2</v>
      </c>
      <c r="AI6261">
        <v>45</v>
      </c>
      <c r="AJ6261">
        <v>1</v>
      </c>
      <c r="AK6261">
        <v>17</v>
      </c>
      <c r="AL6261">
        <v>39</v>
      </c>
      <c r="AM6261" t="s">
        <v>43</v>
      </c>
      <c r="AN6261" t="str">
        <f>HYPERLINK("https://www.google.com/maps?q=10.83215141,79.84017944","Open Location")</f>
        <v>Open Location</v>
      </c>
    </row>
    <row r="6262" spans="1:40" x14ac:dyDescent="0.3">
      <c r="A6262" s="1">
        <v>46210.274537037039</v>
      </c>
      <c r="B6262" t="s">
        <v>40</v>
      </c>
      <c r="C6262" t="s">
        <v>41</v>
      </c>
      <c r="D6262" s="1">
        <v>46210.277569444443</v>
      </c>
      <c r="E6262" t="s">
        <v>42</v>
      </c>
      <c r="F6262" t="s">
        <v>83</v>
      </c>
      <c r="G6262">
        <v>0</v>
      </c>
      <c r="H6262">
        <v>33081</v>
      </c>
      <c r="I6262" t="s">
        <v>3575</v>
      </c>
      <c r="J6262">
        <v>64</v>
      </c>
      <c r="K6262">
        <v>2</v>
      </c>
      <c r="L6262">
        <v>98</v>
      </c>
      <c r="M6262">
        <v>633.09997558999999</v>
      </c>
      <c r="N6262" t="s">
        <v>85</v>
      </c>
      <c r="O6262" t="s">
        <v>82</v>
      </c>
      <c r="P6262">
        <v>125</v>
      </c>
      <c r="Q6262" t="s">
        <v>82</v>
      </c>
      <c r="R6262">
        <v>0</v>
      </c>
      <c r="S6262">
        <v>0</v>
      </c>
      <c r="T6262">
        <v>-40</v>
      </c>
      <c r="U6262">
        <v>45</v>
      </c>
      <c r="V6262">
        <v>0</v>
      </c>
      <c r="W6262">
        <v>28</v>
      </c>
      <c r="X6262">
        <v>28</v>
      </c>
      <c r="Y6262">
        <v>1</v>
      </c>
      <c r="Z6262">
        <v>1</v>
      </c>
      <c r="AA6262">
        <v>26</v>
      </c>
      <c r="AB6262">
        <v>2</v>
      </c>
      <c r="AC6262">
        <v>2</v>
      </c>
      <c r="AD6262">
        <v>3.30900002</v>
      </c>
      <c r="AE6262">
        <v>6</v>
      </c>
      <c r="AF6262">
        <v>30</v>
      </c>
      <c r="AG6262">
        <v>3.2939999100000001</v>
      </c>
      <c r="AH6262">
        <v>8</v>
      </c>
      <c r="AI6262">
        <v>48</v>
      </c>
      <c r="AJ6262">
        <v>1</v>
      </c>
      <c r="AK6262">
        <v>17</v>
      </c>
      <c r="AL6262">
        <v>39</v>
      </c>
      <c r="AM6262" t="s">
        <v>43</v>
      </c>
      <c r="AN6262" t="str">
        <f>HYPERLINK("https://www.google.com/maps?q=10.83215332,79.84017944","Open Location")</f>
        <v>Open Location</v>
      </c>
    </row>
    <row r="6263" spans="1:40" x14ac:dyDescent="0.3">
      <c r="A6263" s="1">
        <v>46210.274421296293</v>
      </c>
      <c r="B6263" t="s">
        <v>40</v>
      </c>
      <c r="C6263" t="s">
        <v>41</v>
      </c>
      <c r="D6263" s="1">
        <v>46210.277233796296</v>
      </c>
      <c r="E6263" t="s">
        <v>42</v>
      </c>
      <c r="F6263" t="s">
        <v>83</v>
      </c>
      <c r="G6263">
        <v>0</v>
      </c>
      <c r="H6263">
        <v>33081</v>
      </c>
      <c r="I6263" t="s">
        <v>3576</v>
      </c>
      <c r="J6263">
        <v>64</v>
      </c>
      <c r="K6263">
        <v>2</v>
      </c>
      <c r="L6263">
        <v>98</v>
      </c>
      <c r="M6263">
        <v>633</v>
      </c>
      <c r="N6263" t="s">
        <v>85</v>
      </c>
      <c r="O6263" t="s">
        <v>82</v>
      </c>
      <c r="P6263">
        <v>125</v>
      </c>
      <c r="Q6263" t="s">
        <v>82</v>
      </c>
      <c r="R6263">
        <v>0</v>
      </c>
      <c r="S6263">
        <v>0</v>
      </c>
      <c r="T6263">
        <v>-40</v>
      </c>
      <c r="U6263">
        <v>45</v>
      </c>
      <c r="V6263">
        <v>0</v>
      </c>
      <c r="W6263">
        <v>28</v>
      </c>
      <c r="X6263">
        <v>28</v>
      </c>
      <c r="Y6263">
        <v>1</v>
      </c>
      <c r="Z6263">
        <v>1</v>
      </c>
      <c r="AA6263">
        <v>26</v>
      </c>
      <c r="AB6263">
        <v>2</v>
      </c>
      <c r="AC6263">
        <v>2</v>
      </c>
      <c r="AD6263">
        <v>3.30900002</v>
      </c>
      <c r="AE6263">
        <v>6</v>
      </c>
      <c r="AF6263">
        <v>30</v>
      </c>
      <c r="AG6263">
        <v>3.2939999100000001</v>
      </c>
      <c r="AH6263">
        <v>8</v>
      </c>
      <c r="AI6263">
        <v>48</v>
      </c>
      <c r="AJ6263">
        <v>1</v>
      </c>
      <c r="AK6263">
        <v>17</v>
      </c>
      <c r="AL6263">
        <v>39</v>
      </c>
      <c r="AM6263" t="s">
        <v>43</v>
      </c>
      <c r="AN6263" t="str">
        <f>HYPERLINK("https://www.google.com/maps?q=10.83215714,79.84017944","Open Location")</f>
        <v>Open Location</v>
      </c>
    </row>
    <row r="6264" spans="1:40" x14ac:dyDescent="0.3">
      <c r="A6264" s="1">
        <v>46210.274305555555</v>
      </c>
      <c r="B6264" t="s">
        <v>40</v>
      </c>
      <c r="C6264" t="s">
        <v>41</v>
      </c>
      <c r="D6264" s="1">
        <v>46210.277291666665</v>
      </c>
      <c r="E6264" t="s">
        <v>42</v>
      </c>
      <c r="F6264" t="s">
        <v>83</v>
      </c>
      <c r="G6264">
        <v>0</v>
      </c>
      <c r="H6264">
        <v>33081</v>
      </c>
      <c r="I6264" t="s">
        <v>43</v>
      </c>
      <c r="J6264">
        <v>64</v>
      </c>
      <c r="K6264">
        <v>2</v>
      </c>
      <c r="L6264">
        <v>98</v>
      </c>
      <c r="M6264">
        <v>633.5</v>
      </c>
      <c r="N6264" t="s">
        <v>85</v>
      </c>
      <c r="O6264" t="s">
        <v>82</v>
      </c>
      <c r="P6264">
        <v>125</v>
      </c>
      <c r="Q6264" t="s">
        <v>82</v>
      </c>
      <c r="R6264">
        <v>0</v>
      </c>
      <c r="S6264">
        <v>0</v>
      </c>
      <c r="T6264">
        <v>-40</v>
      </c>
      <c r="U6264">
        <v>45</v>
      </c>
      <c r="V6264">
        <v>0</v>
      </c>
      <c r="W6264">
        <v>28</v>
      </c>
      <c r="X6264">
        <v>28</v>
      </c>
      <c r="Y6264">
        <v>1</v>
      </c>
      <c r="Z6264">
        <v>1</v>
      </c>
      <c r="AA6264">
        <v>26</v>
      </c>
      <c r="AB6264">
        <v>2</v>
      </c>
      <c r="AC6264">
        <v>2</v>
      </c>
      <c r="AD6264">
        <v>3.30900002</v>
      </c>
      <c r="AE6264">
        <v>6</v>
      </c>
      <c r="AF6264">
        <v>30</v>
      </c>
      <c r="AG6264">
        <v>3.2939999100000001</v>
      </c>
      <c r="AH6264">
        <v>8</v>
      </c>
      <c r="AI6264">
        <v>48</v>
      </c>
      <c r="AJ6264">
        <v>1</v>
      </c>
      <c r="AK6264">
        <v>17</v>
      </c>
      <c r="AL6264">
        <v>39</v>
      </c>
      <c r="AM6264" t="s">
        <v>43</v>
      </c>
      <c r="AN6264" t="s">
        <v>43</v>
      </c>
    </row>
    <row r="6265" spans="1:40" x14ac:dyDescent="0.3">
      <c r="A6265" s="1">
        <v>46210.274189814816</v>
      </c>
      <c r="B6265" t="s">
        <v>40</v>
      </c>
      <c r="C6265" t="s">
        <v>41</v>
      </c>
      <c r="D6265" s="1">
        <v>46210.276979166665</v>
      </c>
      <c r="E6265" t="s">
        <v>42</v>
      </c>
      <c r="F6265" t="s">
        <v>83</v>
      </c>
      <c r="G6265">
        <v>0</v>
      </c>
      <c r="H6265" t="s">
        <v>43</v>
      </c>
      <c r="I6265" t="s">
        <v>3577</v>
      </c>
      <c r="J6265">
        <v>64</v>
      </c>
      <c r="K6265">
        <v>2</v>
      </c>
      <c r="L6265">
        <v>98</v>
      </c>
      <c r="M6265">
        <v>633.09997558999999</v>
      </c>
      <c r="N6265" t="s">
        <v>85</v>
      </c>
      <c r="O6265" t="s">
        <v>82</v>
      </c>
      <c r="P6265">
        <v>125</v>
      </c>
      <c r="Q6265" t="s">
        <v>82</v>
      </c>
      <c r="R6265">
        <v>0</v>
      </c>
      <c r="S6265">
        <v>0</v>
      </c>
      <c r="T6265">
        <v>-40</v>
      </c>
      <c r="U6265">
        <v>45</v>
      </c>
      <c r="V6265">
        <v>0</v>
      </c>
      <c r="W6265">
        <v>28</v>
      </c>
      <c r="X6265">
        <v>28</v>
      </c>
      <c r="Y6265">
        <v>1</v>
      </c>
      <c r="Z6265">
        <v>1</v>
      </c>
      <c r="AA6265">
        <v>26</v>
      </c>
      <c r="AB6265">
        <v>2</v>
      </c>
      <c r="AC6265">
        <v>2</v>
      </c>
      <c r="AD6265">
        <v>3.30900002</v>
      </c>
      <c r="AE6265">
        <v>6</v>
      </c>
      <c r="AF6265">
        <v>30</v>
      </c>
      <c r="AG6265">
        <v>3.2939999100000001</v>
      </c>
      <c r="AH6265">
        <v>8</v>
      </c>
      <c r="AI6265">
        <v>48</v>
      </c>
      <c r="AJ6265">
        <v>1</v>
      </c>
      <c r="AK6265">
        <v>17</v>
      </c>
      <c r="AL6265">
        <v>39</v>
      </c>
      <c r="AM6265" t="s">
        <v>43</v>
      </c>
      <c r="AN6265" t="str">
        <f>HYPERLINK("https://www.google.com/maps?q=10.8321619,79.84017944","Open Location")</f>
        <v>Open Location</v>
      </c>
    </row>
    <row r="6266" spans="1:40" x14ac:dyDescent="0.3">
      <c r="A6266" s="1">
        <v>46210.274074074077</v>
      </c>
      <c r="B6266" t="s">
        <v>40</v>
      </c>
      <c r="C6266" t="s">
        <v>41</v>
      </c>
      <c r="D6266" s="1">
        <v>46210.277083333334</v>
      </c>
      <c r="E6266" t="s">
        <v>42</v>
      </c>
      <c r="F6266" t="s">
        <v>83</v>
      </c>
      <c r="G6266">
        <v>0</v>
      </c>
      <c r="H6266">
        <v>33081</v>
      </c>
      <c r="I6266" t="s">
        <v>3576</v>
      </c>
      <c r="J6266">
        <v>64</v>
      </c>
      <c r="K6266">
        <v>2</v>
      </c>
      <c r="L6266">
        <v>98</v>
      </c>
      <c r="M6266">
        <v>633</v>
      </c>
      <c r="N6266" t="s">
        <v>85</v>
      </c>
      <c r="O6266" t="s">
        <v>82</v>
      </c>
      <c r="P6266">
        <v>125</v>
      </c>
      <c r="Q6266" t="s">
        <v>82</v>
      </c>
      <c r="R6266">
        <v>0</v>
      </c>
      <c r="S6266">
        <v>0</v>
      </c>
      <c r="T6266">
        <v>-40</v>
      </c>
      <c r="U6266">
        <v>45</v>
      </c>
      <c r="V6266">
        <v>0</v>
      </c>
      <c r="W6266">
        <v>28</v>
      </c>
      <c r="X6266">
        <v>28</v>
      </c>
      <c r="Y6266">
        <v>1</v>
      </c>
      <c r="Z6266">
        <v>1</v>
      </c>
      <c r="AA6266">
        <v>26</v>
      </c>
      <c r="AB6266">
        <v>2</v>
      </c>
      <c r="AC6266">
        <v>2</v>
      </c>
      <c r="AD6266">
        <v>3.30900002</v>
      </c>
      <c r="AE6266">
        <v>6</v>
      </c>
      <c r="AF6266">
        <v>30</v>
      </c>
      <c r="AG6266">
        <v>3.2939999100000001</v>
      </c>
      <c r="AH6266">
        <v>8</v>
      </c>
      <c r="AI6266">
        <v>48</v>
      </c>
      <c r="AJ6266">
        <v>1</v>
      </c>
      <c r="AK6266">
        <v>17</v>
      </c>
      <c r="AL6266">
        <v>39</v>
      </c>
      <c r="AM6266" t="s">
        <v>43</v>
      </c>
      <c r="AN6266" t="str">
        <f>HYPERLINK("https://www.google.com/maps?q=10.83215714,79.84017944","Open Location")</f>
        <v>Open Location</v>
      </c>
    </row>
    <row r="6267" spans="1:40" x14ac:dyDescent="0.3">
      <c r="A6267" s="1">
        <v>46210.273958333331</v>
      </c>
      <c r="B6267" t="s">
        <v>40</v>
      </c>
      <c r="C6267" t="s">
        <v>41</v>
      </c>
      <c r="D6267" s="1">
        <v>46210.276701388888</v>
      </c>
      <c r="E6267" t="s">
        <v>42</v>
      </c>
      <c r="F6267" t="s">
        <v>83</v>
      </c>
      <c r="G6267">
        <v>0</v>
      </c>
      <c r="H6267">
        <v>33081</v>
      </c>
      <c r="I6267" t="s">
        <v>3578</v>
      </c>
      <c r="J6267">
        <v>64</v>
      </c>
      <c r="K6267">
        <v>2</v>
      </c>
      <c r="L6267">
        <v>98</v>
      </c>
      <c r="M6267">
        <v>633.59997558999999</v>
      </c>
      <c r="N6267" t="s">
        <v>85</v>
      </c>
      <c r="O6267" t="s">
        <v>82</v>
      </c>
      <c r="P6267">
        <v>125</v>
      </c>
      <c r="Q6267" t="s">
        <v>82</v>
      </c>
      <c r="R6267">
        <v>0</v>
      </c>
      <c r="S6267">
        <v>0</v>
      </c>
      <c r="T6267">
        <v>-40</v>
      </c>
      <c r="U6267">
        <v>45</v>
      </c>
      <c r="V6267">
        <v>0</v>
      </c>
      <c r="W6267">
        <v>28</v>
      </c>
      <c r="X6267">
        <v>28</v>
      </c>
      <c r="Y6267">
        <v>1</v>
      </c>
      <c r="Z6267">
        <v>1</v>
      </c>
      <c r="AA6267">
        <v>26</v>
      </c>
      <c r="AB6267">
        <v>2</v>
      </c>
      <c r="AC6267">
        <v>2</v>
      </c>
      <c r="AD6267">
        <v>3.30900002</v>
      </c>
      <c r="AE6267">
        <v>6</v>
      </c>
      <c r="AF6267">
        <v>30</v>
      </c>
      <c r="AG6267">
        <v>3.2939999100000001</v>
      </c>
      <c r="AH6267">
        <v>8</v>
      </c>
      <c r="AI6267">
        <v>48</v>
      </c>
      <c r="AJ6267">
        <v>1</v>
      </c>
      <c r="AK6267">
        <v>17</v>
      </c>
      <c r="AL6267">
        <v>39</v>
      </c>
      <c r="AM6267" t="s">
        <v>43</v>
      </c>
      <c r="AN6267" t="str">
        <f>HYPERLINK("https://www.google.com/maps?q=10.83215427,79.8401947","Open Location")</f>
        <v>Open Location</v>
      </c>
    </row>
    <row r="6268" spans="1:40" x14ac:dyDescent="0.3">
      <c r="A6268" s="1">
        <v>46210.273842592593</v>
      </c>
      <c r="B6268" t="s">
        <v>40</v>
      </c>
      <c r="C6268" t="s">
        <v>41</v>
      </c>
      <c r="D6268" s="1">
        <v>46210.276863425926</v>
      </c>
      <c r="E6268" t="s">
        <v>42</v>
      </c>
      <c r="F6268" t="s">
        <v>83</v>
      </c>
      <c r="G6268">
        <v>0</v>
      </c>
      <c r="H6268">
        <v>33081</v>
      </c>
      <c r="I6268" t="s">
        <v>3579</v>
      </c>
      <c r="J6268">
        <v>64</v>
      </c>
      <c r="K6268">
        <v>2</v>
      </c>
      <c r="L6268">
        <v>98</v>
      </c>
      <c r="M6268">
        <v>633</v>
      </c>
      <c r="N6268" t="s">
        <v>85</v>
      </c>
      <c r="O6268" t="s">
        <v>82</v>
      </c>
      <c r="P6268">
        <v>125</v>
      </c>
      <c r="Q6268" t="s">
        <v>82</v>
      </c>
      <c r="R6268">
        <v>0</v>
      </c>
      <c r="S6268">
        <v>0</v>
      </c>
      <c r="T6268">
        <v>-40</v>
      </c>
      <c r="U6268">
        <v>45</v>
      </c>
      <c r="V6268">
        <v>0</v>
      </c>
      <c r="W6268">
        <v>28</v>
      </c>
      <c r="X6268">
        <v>28</v>
      </c>
      <c r="Y6268">
        <v>1</v>
      </c>
      <c r="Z6268">
        <v>1</v>
      </c>
      <c r="AA6268">
        <v>26</v>
      </c>
      <c r="AB6268">
        <v>2</v>
      </c>
      <c r="AC6268">
        <v>2</v>
      </c>
      <c r="AD6268">
        <v>3.30900002</v>
      </c>
      <c r="AE6268">
        <v>6</v>
      </c>
      <c r="AF6268">
        <v>30</v>
      </c>
      <c r="AG6268">
        <v>3.2939999100000001</v>
      </c>
      <c r="AH6268">
        <v>8</v>
      </c>
      <c r="AI6268">
        <v>48</v>
      </c>
      <c r="AJ6268">
        <v>1</v>
      </c>
      <c r="AK6268">
        <v>17</v>
      </c>
      <c r="AL6268">
        <v>39</v>
      </c>
      <c r="AM6268" t="s">
        <v>43</v>
      </c>
      <c r="AN6268" t="str">
        <f>HYPERLINK("https://www.google.com/maps?q=10.83215141,79.8401947","Open Location")</f>
        <v>Open Location</v>
      </c>
    </row>
    <row r="6269" spans="1:40" x14ac:dyDescent="0.3">
      <c r="A6269" s="1">
        <v>46210.273726851854</v>
      </c>
      <c r="B6269" t="s">
        <v>40</v>
      </c>
      <c r="C6269" t="s">
        <v>41</v>
      </c>
      <c r="D6269" s="1">
        <v>46210.276273148149</v>
      </c>
      <c r="E6269" t="s">
        <v>42</v>
      </c>
      <c r="F6269" t="s">
        <v>83</v>
      </c>
      <c r="G6269">
        <v>0</v>
      </c>
      <c r="H6269">
        <v>33081</v>
      </c>
      <c r="I6269" t="s">
        <v>3580</v>
      </c>
      <c r="J6269">
        <v>64</v>
      </c>
      <c r="K6269">
        <v>2</v>
      </c>
      <c r="L6269">
        <v>98</v>
      </c>
      <c r="M6269">
        <v>633.09997558999999</v>
      </c>
      <c r="N6269" t="s">
        <v>85</v>
      </c>
      <c r="O6269" t="s">
        <v>82</v>
      </c>
      <c r="P6269">
        <v>125</v>
      </c>
      <c r="Q6269" t="s">
        <v>82</v>
      </c>
      <c r="R6269">
        <v>0</v>
      </c>
      <c r="S6269">
        <v>0</v>
      </c>
      <c r="T6269">
        <v>-40</v>
      </c>
      <c r="U6269">
        <v>45</v>
      </c>
      <c r="V6269">
        <v>0</v>
      </c>
      <c r="W6269">
        <v>28</v>
      </c>
      <c r="X6269">
        <v>28</v>
      </c>
      <c r="Y6269">
        <v>1</v>
      </c>
      <c r="Z6269">
        <v>1</v>
      </c>
      <c r="AA6269">
        <v>26</v>
      </c>
      <c r="AB6269">
        <v>2</v>
      </c>
      <c r="AC6269">
        <v>2</v>
      </c>
      <c r="AD6269">
        <v>3.30900002</v>
      </c>
      <c r="AE6269">
        <v>6</v>
      </c>
      <c r="AF6269">
        <v>30</v>
      </c>
      <c r="AG6269">
        <v>3.2939999100000001</v>
      </c>
      <c r="AH6269">
        <v>8</v>
      </c>
      <c r="AI6269">
        <v>48</v>
      </c>
      <c r="AJ6269">
        <v>1</v>
      </c>
      <c r="AK6269">
        <v>17</v>
      </c>
      <c r="AL6269">
        <v>39</v>
      </c>
      <c r="AM6269" t="s">
        <v>43</v>
      </c>
      <c r="AN6269" t="str">
        <f>HYPERLINK("https://www.google.com/maps?q=10.83215427,79.84020233","Open Location")</f>
        <v>Open Location</v>
      </c>
    </row>
    <row r="6270" spans="1:40" x14ac:dyDescent="0.3">
      <c r="A6270" s="1">
        <v>46210.273611111108</v>
      </c>
      <c r="B6270" t="s">
        <v>40</v>
      </c>
      <c r="C6270" t="s">
        <v>41</v>
      </c>
      <c r="D6270" s="1">
        <v>46210.276365740741</v>
      </c>
      <c r="E6270" t="s">
        <v>42</v>
      </c>
      <c r="F6270" t="s">
        <v>83</v>
      </c>
      <c r="G6270">
        <v>0</v>
      </c>
      <c r="H6270">
        <v>33081</v>
      </c>
      <c r="I6270" t="s">
        <v>43</v>
      </c>
      <c r="J6270">
        <v>64</v>
      </c>
      <c r="K6270">
        <v>2</v>
      </c>
      <c r="L6270">
        <v>98</v>
      </c>
      <c r="M6270">
        <v>633.40002441000001</v>
      </c>
      <c r="N6270" t="s">
        <v>85</v>
      </c>
      <c r="O6270" t="s">
        <v>82</v>
      </c>
      <c r="P6270">
        <v>125</v>
      </c>
      <c r="Q6270" t="s">
        <v>82</v>
      </c>
      <c r="R6270">
        <v>0</v>
      </c>
      <c r="S6270">
        <v>0</v>
      </c>
      <c r="T6270">
        <v>-40</v>
      </c>
      <c r="U6270">
        <v>45</v>
      </c>
      <c r="V6270">
        <v>0</v>
      </c>
      <c r="W6270">
        <v>28</v>
      </c>
      <c r="X6270">
        <v>28</v>
      </c>
      <c r="Y6270">
        <v>1</v>
      </c>
      <c r="Z6270">
        <v>1</v>
      </c>
      <c r="AA6270">
        <v>26</v>
      </c>
      <c r="AB6270">
        <v>2</v>
      </c>
      <c r="AC6270">
        <v>2</v>
      </c>
      <c r="AD6270">
        <v>3.30900002</v>
      </c>
      <c r="AE6270">
        <v>6</v>
      </c>
      <c r="AF6270">
        <v>30</v>
      </c>
      <c r="AG6270">
        <v>3.2939999100000001</v>
      </c>
      <c r="AH6270">
        <v>8</v>
      </c>
      <c r="AI6270">
        <v>48</v>
      </c>
      <c r="AJ6270">
        <v>1</v>
      </c>
      <c r="AK6270">
        <v>17</v>
      </c>
      <c r="AL6270">
        <v>39</v>
      </c>
      <c r="AM6270" t="s">
        <v>43</v>
      </c>
      <c r="AN6270" t="s">
        <v>43</v>
      </c>
    </row>
    <row r="6271" spans="1:40" x14ac:dyDescent="0.3">
      <c r="A6271" s="1">
        <v>46210.273495370369</v>
      </c>
      <c r="B6271" t="s">
        <v>40</v>
      </c>
      <c r="C6271" t="s">
        <v>41</v>
      </c>
      <c r="D6271" s="1">
        <v>46210.276273148149</v>
      </c>
      <c r="E6271" t="s">
        <v>42</v>
      </c>
      <c r="F6271" t="s">
        <v>83</v>
      </c>
      <c r="G6271">
        <v>0</v>
      </c>
      <c r="H6271">
        <v>33081</v>
      </c>
      <c r="I6271" t="s">
        <v>3581</v>
      </c>
      <c r="J6271">
        <v>64</v>
      </c>
      <c r="K6271">
        <v>2</v>
      </c>
      <c r="L6271">
        <v>98</v>
      </c>
      <c r="M6271">
        <v>633.40002441000001</v>
      </c>
      <c r="N6271" t="s">
        <v>85</v>
      </c>
      <c r="O6271" t="s">
        <v>82</v>
      </c>
      <c r="P6271">
        <v>125</v>
      </c>
      <c r="Q6271" t="s">
        <v>82</v>
      </c>
      <c r="R6271">
        <v>0</v>
      </c>
      <c r="S6271">
        <v>0</v>
      </c>
      <c r="T6271">
        <v>-40</v>
      </c>
      <c r="U6271">
        <v>45</v>
      </c>
      <c r="V6271">
        <v>0</v>
      </c>
      <c r="W6271">
        <v>28</v>
      </c>
      <c r="X6271">
        <v>28</v>
      </c>
      <c r="Y6271">
        <v>1</v>
      </c>
      <c r="Z6271">
        <v>1</v>
      </c>
      <c r="AA6271">
        <v>26</v>
      </c>
      <c r="AB6271">
        <v>2</v>
      </c>
      <c r="AC6271">
        <v>2</v>
      </c>
      <c r="AD6271">
        <v>3.30900002</v>
      </c>
      <c r="AE6271">
        <v>6</v>
      </c>
      <c r="AF6271">
        <v>30</v>
      </c>
      <c r="AG6271">
        <v>3.2939999100000001</v>
      </c>
      <c r="AH6271">
        <v>8</v>
      </c>
      <c r="AI6271">
        <v>48</v>
      </c>
      <c r="AJ6271">
        <v>1</v>
      </c>
      <c r="AK6271">
        <v>17</v>
      </c>
      <c r="AL6271">
        <v>39</v>
      </c>
      <c r="AM6271" t="s">
        <v>43</v>
      </c>
      <c r="AN6271" t="str">
        <f>HYPERLINK("https://www.google.com/maps?q=10.83215618,79.84020233","Open Location")</f>
        <v>Open Location</v>
      </c>
    </row>
    <row r="6272" spans="1:40" x14ac:dyDescent="0.3">
      <c r="A6272" s="1">
        <v>46210.273379629631</v>
      </c>
      <c r="B6272" t="s">
        <v>40</v>
      </c>
      <c r="C6272" t="s">
        <v>41</v>
      </c>
      <c r="D6272" s="1">
        <v>46210.276180555556</v>
      </c>
      <c r="E6272" t="s">
        <v>42</v>
      </c>
      <c r="F6272" t="s">
        <v>83</v>
      </c>
      <c r="G6272">
        <v>0</v>
      </c>
      <c r="H6272">
        <v>33081</v>
      </c>
      <c r="I6272" t="s">
        <v>3582</v>
      </c>
      <c r="J6272">
        <v>64</v>
      </c>
      <c r="K6272">
        <v>2</v>
      </c>
      <c r="L6272">
        <v>98</v>
      </c>
      <c r="M6272">
        <v>632.90002441000001</v>
      </c>
      <c r="N6272" t="s">
        <v>85</v>
      </c>
      <c r="O6272" t="s">
        <v>82</v>
      </c>
      <c r="P6272">
        <v>125</v>
      </c>
      <c r="Q6272" t="s">
        <v>82</v>
      </c>
      <c r="R6272">
        <v>0</v>
      </c>
      <c r="S6272">
        <v>0</v>
      </c>
      <c r="T6272">
        <v>-40</v>
      </c>
      <c r="U6272">
        <v>45</v>
      </c>
      <c r="V6272">
        <v>0</v>
      </c>
      <c r="W6272">
        <v>28</v>
      </c>
      <c r="X6272">
        <v>28</v>
      </c>
      <c r="Y6272">
        <v>1</v>
      </c>
      <c r="Z6272">
        <v>1</v>
      </c>
      <c r="AA6272">
        <v>26</v>
      </c>
      <c r="AB6272">
        <v>2</v>
      </c>
      <c r="AC6272">
        <v>2</v>
      </c>
      <c r="AD6272">
        <v>3.30900002</v>
      </c>
      <c r="AE6272">
        <v>6</v>
      </c>
      <c r="AF6272">
        <v>30</v>
      </c>
      <c r="AG6272">
        <v>3.2939999100000001</v>
      </c>
      <c r="AH6272">
        <v>8</v>
      </c>
      <c r="AI6272">
        <v>48</v>
      </c>
      <c r="AJ6272">
        <v>1</v>
      </c>
      <c r="AK6272">
        <v>17</v>
      </c>
      <c r="AL6272">
        <v>39</v>
      </c>
      <c r="AM6272" t="s">
        <v>43</v>
      </c>
      <c r="AN6272" t="str">
        <f>HYPERLINK("https://www.google.com/maps?q=10.83215904,79.84020233","Open Location")</f>
        <v>Open Location</v>
      </c>
    </row>
    <row r="6273" spans="1:40" x14ac:dyDescent="0.3">
      <c r="A6273" s="1">
        <v>46210.273263888892</v>
      </c>
      <c r="B6273" t="s">
        <v>40</v>
      </c>
      <c r="C6273" t="s">
        <v>41</v>
      </c>
      <c r="D6273" s="1">
        <v>46210.275914351849</v>
      </c>
      <c r="E6273" t="s">
        <v>42</v>
      </c>
      <c r="F6273" t="s">
        <v>83</v>
      </c>
      <c r="G6273">
        <v>0</v>
      </c>
      <c r="H6273">
        <v>33081</v>
      </c>
      <c r="I6273" t="s">
        <v>3582</v>
      </c>
      <c r="J6273">
        <v>64</v>
      </c>
      <c r="K6273">
        <v>2</v>
      </c>
      <c r="L6273">
        <v>98</v>
      </c>
      <c r="M6273">
        <v>633.20001220999995</v>
      </c>
      <c r="N6273" t="s">
        <v>85</v>
      </c>
      <c r="O6273" t="s">
        <v>82</v>
      </c>
      <c r="P6273">
        <v>125</v>
      </c>
      <c r="Q6273" t="s">
        <v>82</v>
      </c>
      <c r="R6273">
        <v>0</v>
      </c>
      <c r="S6273">
        <v>0</v>
      </c>
      <c r="T6273">
        <v>-40</v>
      </c>
      <c r="U6273">
        <v>45</v>
      </c>
      <c r="V6273">
        <v>0</v>
      </c>
      <c r="W6273">
        <v>28</v>
      </c>
      <c r="X6273">
        <v>28</v>
      </c>
      <c r="Y6273">
        <v>1</v>
      </c>
      <c r="Z6273">
        <v>1</v>
      </c>
      <c r="AA6273">
        <v>26</v>
      </c>
      <c r="AB6273">
        <v>2</v>
      </c>
      <c r="AC6273">
        <v>2</v>
      </c>
      <c r="AD6273">
        <v>3.30900002</v>
      </c>
      <c r="AE6273">
        <v>6</v>
      </c>
      <c r="AF6273">
        <v>30</v>
      </c>
      <c r="AG6273">
        <v>3.2939999100000001</v>
      </c>
      <c r="AH6273">
        <v>8</v>
      </c>
      <c r="AI6273">
        <v>48</v>
      </c>
      <c r="AJ6273">
        <v>1</v>
      </c>
      <c r="AK6273">
        <v>17</v>
      </c>
      <c r="AL6273">
        <v>39</v>
      </c>
      <c r="AM6273" t="s">
        <v>43</v>
      </c>
      <c r="AN6273" t="str">
        <f>HYPERLINK("https://www.google.com/maps?q=10.83215904,79.84020233","Open Location")</f>
        <v>Open Location</v>
      </c>
    </row>
    <row r="6274" spans="1:40" x14ac:dyDescent="0.3">
      <c r="A6274" s="1">
        <v>46210.273148148146</v>
      </c>
      <c r="B6274" t="s">
        <v>40</v>
      </c>
      <c r="C6274" t="s">
        <v>41</v>
      </c>
      <c r="D6274" s="1">
        <v>46210.275925925926</v>
      </c>
      <c r="E6274" t="s">
        <v>42</v>
      </c>
      <c r="F6274" t="s">
        <v>83</v>
      </c>
      <c r="G6274">
        <v>0</v>
      </c>
      <c r="H6274" t="s">
        <v>43</v>
      </c>
      <c r="I6274" t="s">
        <v>3583</v>
      </c>
      <c r="J6274">
        <v>64</v>
      </c>
      <c r="K6274">
        <v>2</v>
      </c>
      <c r="L6274">
        <v>98</v>
      </c>
      <c r="M6274">
        <v>633.5</v>
      </c>
      <c r="N6274" t="s">
        <v>85</v>
      </c>
      <c r="O6274" t="s">
        <v>82</v>
      </c>
      <c r="P6274">
        <v>125</v>
      </c>
      <c r="Q6274" t="s">
        <v>82</v>
      </c>
      <c r="R6274">
        <v>0</v>
      </c>
      <c r="S6274">
        <v>0</v>
      </c>
      <c r="T6274">
        <v>-40</v>
      </c>
      <c r="U6274">
        <v>45</v>
      </c>
      <c r="V6274">
        <v>0</v>
      </c>
      <c r="W6274">
        <v>28</v>
      </c>
      <c r="X6274">
        <v>28</v>
      </c>
      <c r="Y6274">
        <v>1</v>
      </c>
      <c r="Z6274">
        <v>1</v>
      </c>
      <c r="AA6274">
        <v>26</v>
      </c>
      <c r="AB6274">
        <v>2</v>
      </c>
      <c r="AC6274">
        <v>2</v>
      </c>
      <c r="AD6274">
        <v>3.30900002</v>
      </c>
      <c r="AE6274">
        <v>6</v>
      </c>
      <c r="AF6274">
        <v>30</v>
      </c>
      <c r="AG6274">
        <v>3.2939999100000001</v>
      </c>
      <c r="AH6274">
        <v>8</v>
      </c>
      <c r="AI6274">
        <v>48</v>
      </c>
      <c r="AJ6274">
        <v>1</v>
      </c>
      <c r="AK6274">
        <v>17</v>
      </c>
      <c r="AL6274">
        <v>39</v>
      </c>
      <c r="AM6274" t="s">
        <v>43</v>
      </c>
      <c r="AN6274" t="str">
        <f>HYPERLINK("https://www.google.com/maps?q=10.83216095,79.84020233","Open Location")</f>
        <v>Open Location</v>
      </c>
    </row>
    <row r="6275" spans="1:40" x14ac:dyDescent="0.3">
      <c r="A6275" s="1">
        <v>46210.273032407407</v>
      </c>
      <c r="B6275" t="s">
        <v>40</v>
      </c>
      <c r="C6275" t="s">
        <v>41</v>
      </c>
      <c r="D6275" s="1">
        <v>46210.275821759256</v>
      </c>
      <c r="E6275" t="s">
        <v>42</v>
      </c>
      <c r="F6275" t="s">
        <v>83</v>
      </c>
      <c r="G6275">
        <v>0</v>
      </c>
      <c r="H6275">
        <v>33081</v>
      </c>
      <c r="I6275" t="s">
        <v>3584</v>
      </c>
      <c r="J6275">
        <v>64</v>
      </c>
      <c r="K6275">
        <v>2</v>
      </c>
      <c r="L6275">
        <v>98</v>
      </c>
      <c r="M6275">
        <v>632.70001220999995</v>
      </c>
      <c r="N6275" t="s">
        <v>85</v>
      </c>
      <c r="O6275" t="s">
        <v>82</v>
      </c>
      <c r="P6275">
        <v>125</v>
      </c>
      <c r="Q6275" t="s">
        <v>82</v>
      </c>
      <c r="R6275">
        <v>0</v>
      </c>
      <c r="S6275">
        <v>0</v>
      </c>
      <c r="T6275">
        <v>-40</v>
      </c>
      <c r="U6275">
        <v>45</v>
      </c>
      <c r="V6275">
        <v>0</v>
      </c>
      <c r="W6275">
        <v>28</v>
      </c>
      <c r="X6275">
        <v>28</v>
      </c>
      <c r="Y6275">
        <v>1</v>
      </c>
      <c r="Z6275">
        <v>1</v>
      </c>
      <c r="AA6275">
        <v>26</v>
      </c>
      <c r="AB6275">
        <v>2</v>
      </c>
      <c r="AC6275">
        <v>2</v>
      </c>
      <c r="AD6275">
        <v>3.3080000900000002</v>
      </c>
      <c r="AE6275">
        <v>6</v>
      </c>
      <c r="AF6275">
        <v>30</v>
      </c>
      <c r="AG6275">
        <v>3.2939999100000001</v>
      </c>
      <c r="AH6275">
        <v>8</v>
      </c>
      <c r="AI6275">
        <v>48</v>
      </c>
      <c r="AJ6275">
        <v>1</v>
      </c>
      <c r="AK6275">
        <v>17</v>
      </c>
      <c r="AL6275">
        <v>39</v>
      </c>
      <c r="AM6275" t="s">
        <v>43</v>
      </c>
      <c r="AN6275" t="str">
        <f>HYPERLINK("https://www.google.com/maps?q=10.83215809,79.8401947","Open Location")</f>
        <v>Open Location</v>
      </c>
    </row>
    <row r="6276" spans="1:40" x14ac:dyDescent="0.3">
      <c r="A6276" s="1">
        <v>46210.272916666669</v>
      </c>
      <c r="B6276" t="s">
        <v>40</v>
      </c>
      <c r="C6276" t="s">
        <v>41</v>
      </c>
      <c r="D6276" s="1">
        <v>46210.275891203702</v>
      </c>
      <c r="E6276" t="s">
        <v>42</v>
      </c>
      <c r="F6276" t="s">
        <v>83</v>
      </c>
      <c r="G6276">
        <v>0</v>
      </c>
      <c r="H6276">
        <v>33081</v>
      </c>
      <c r="I6276" t="s">
        <v>43</v>
      </c>
      <c r="J6276">
        <v>64</v>
      </c>
      <c r="K6276">
        <v>2</v>
      </c>
      <c r="L6276">
        <v>98</v>
      </c>
      <c r="M6276">
        <v>633.70001220999995</v>
      </c>
      <c r="N6276" t="s">
        <v>85</v>
      </c>
      <c r="O6276" t="s">
        <v>82</v>
      </c>
      <c r="P6276">
        <v>125</v>
      </c>
      <c r="Q6276" t="s">
        <v>82</v>
      </c>
      <c r="R6276">
        <v>0</v>
      </c>
      <c r="S6276">
        <v>0</v>
      </c>
      <c r="T6276">
        <v>-40</v>
      </c>
      <c r="U6276">
        <v>45</v>
      </c>
      <c r="V6276">
        <v>0</v>
      </c>
      <c r="W6276">
        <v>28</v>
      </c>
      <c r="X6276">
        <v>28</v>
      </c>
      <c r="Y6276">
        <v>1</v>
      </c>
      <c r="Z6276">
        <v>1</v>
      </c>
      <c r="AA6276">
        <v>26</v>
      </c>
      <c r="AB6276">
        <v>2</v>
      </c>
      <c r="AC6276">
        <v>2</v>
      </c>
      <c r="AD6276">
        <v>3.3080000900000002</v>
      </c>
      <c r="AE6276">
        <v>6</v>
      </c>
      <c r="AF6276">
        <v>30</v>
      </c>
      <c r="AG6276">
        <v>3.2939999100000001</v>
      </c>
      <c r="AH6276">
        <v>8</v>
      </c>
      <c r="AI6276">
        <v>48</v>
      </c>
      <c r="AJ6276">
        <v>1</v>
      </c>
      <c r="AK6276">
        <v>17</v>
      </c>
      <c r="AL6276">
        <v>39</v>
      </c>
      <c r="AM6276" t="s">
        <v>43</v>
      </c>
      <c r="AN6276" t="s">
        <v>43</v>
      </c>
    </row>
    <row r="6277" spans="1:40" x14ac:dyDescent="0.3">
      <c r="A6277" s="1">
        <v>46210.272800925923</v>
      </c>
      <c r="B6277" t="s">
        <v>40</v>
      </c>
      <c r="C6277" t="s">
        <v>41</v>
      </c>
      <c r="D6277" s="1">
        <v>46210.275821759256</v>
      </c>
      <c r="E6277" t="s">
        <v>42</v>
      </c>
      <c r="F6277" t="s">
        <v>83</v>
      </c>
      <c r="G6277">
        <v>0</v>
      </c>
      <c r="H6277" t="s">
        <v>43</v>
      </c>
      <c r="I6277" t="s">
        <v>3566</v>
      </c>
      <c r="J6277">
        <v>64</v>
      </c>
      <c r="K6277">
        <v>2</v>
      </c>
      <c r="L6277">
        <v>98</v>
      </c>
      <c r="M6277">
        <v>632.79998779000005</v>
      </c>
      <c r="N6277" t="s">
        <v>85</v>
      </c>
      <c r="O6277" t="s">
        <v>82</v>
      </c>
      <c r="P6277">
        <v>125</v>
      </c>
      <c r="Q6277" t="s">
        <v>82</v>
      </c>
      <c r="R6277">
        <v>0</v>
      </c>
      <c r="S6277">
        <v>0</v>
      </c>
      <c r="T6277">
        <v>-40</v>
      </c>
      <c r="U6277">
        <v>45</v>
      </c>
      <c r="V6277">
        <v>0</v>
      </c>
      <c r="W6277">
        <v>28</v>
      </c>
      <c r="X6277">
        <v>28</v>
      </c>
      <c r="Y6277">
        <v>1</v>
      </c>
      <c r="Z6277">
        <v>1</v>
      </c>
      <c r="AA6277">
        <v>26</v>
      </c>
      <c r="AB6277">
        <v>2</v>
      </c>
      <c r="AC6277">
        <v>2</v>
      </c>
      <c r="AD6277">
        <v>3.3080000900000002</v>
      </c>
      <c r="AE6277">
        <v>6</v>
      </c>
      <c r="AF6277">
        <v>30</v>
      </c>
      <c r="AG6277">
        <v>3.2939999100000001</v>
      </c>
      <c r="AH6277">
        <v>8</v>
      </c>
      <c r="AI6277">
        <v>48</v>
      </c>
      <c r="AJ6277">
        <v>1</v>
      </c>
      <c r="AK6277">
        <v>17</v>
      </c>
      <c r="AL6277">
        <v>39</v>
      </c>
      <c r="AM6277" t="s">
        <v>43</v>
      </c>
      <c r="AN6277" t="str">
        <f>HYPERLINK("https://www.google.com/maps?q=10.83215523,79.84018707","Open Location")</f>
        <v>Open Location</v>
      </c>
    </row>
    <row r="6278" spans="1:40" x14ac:dyDescent="0.3">
      <c r="A6278" s="1">
        <v>46210.272685185184</v>
      </c>
      <c r="B6278" t="s">
        <v>40</v>
      </c>
      <c r="C6278" t="s">
        <v>41</v>
      </c>
      <c r="D6278" s="1">
        <v>46210.275601851848</v>
      </c>
      <c r="E6278" t="s">
        <v>42</v>
      </c>
      <c r="F6278" t="s">
        <v>83</v>
      </c>
      <c r="G6278">
        <v>0</v>
      </c>
      <c r="H6278">
        <v>33081</v>
      </c>
      <c r="I6278" t="s">
        <v>3578</v>
      </c>
      <c r="J6278">
        <v>64</v>
      </c>
      <c r="K6278">
        <v>2</v>
      </c>
      <c r="L6278">
        <v>98</v>
      </c>
      <c r="M6278">
        <v>632.79998779000005</v>
      </c>
      <c r="N6278" t="s">
        <v>85</v>
      </c>
      <c r="O6278" t="s">
        <v>82</v>
      </c>
      <c r="P6278">
        <v>125</v>
      </c>
      <c r="Q6278" t="s">
        <v>82</v>
      </c>
      <c r="R6278">
        <v>0</v>
      </c>
      <c r="S6278">
        <v>0</v>
      </c>
      <c r="T6278">
        <v>-40</v>
      </c>
      <c r="U6278">
        <v>45</v>
      </c>
      <c r="V6278">
        <v>0</v>
      </c>
      <c r="W6278">
        <v>28</v>
      </c>
      <c r="X6278">
        <v>28</v>
      </c>
      <c r="Y6278">
        <v>1</v>
      </c>
      <c r="Z6278">
        <v>1</v>
      </c>
      <c r="AA6278">
        <v>26</v>
      </c>
      <c r="AB6278">
        <v>2</v>
      </c>
      <c r="AC6278">
        <v>2</v>
      </c>
      <c r="AD6278">
        <v>3.3080000900000002</v>
      </c>
      <c r="AE6278">
        <v>6</v>
      </c>
      <c r="AF6278">
        <v>30</v>
      </c>
      <c r="AG6278">
        <v>3.2939999100000001</v>
      </c>
      <c r="AH6278">
        <v>8</v>
      </c>
      <c r="AI6278">
        <v>48</v>
      </c>
      <c r="AJ6278">
        <v>1</v>
      </c>
      <c r="AK6278">
        <v>17</v>
      </c>
      <c r="AL6278">
        <v>39</v>
      </c>
      <c r="AM6278" t="s">
        <v>43</v>
      </c>
      <c r="AN6278" t="str">
        <f>HYPERLINK("https://www.google.com/maps?q=10.83215427,79.8401947","Open Location")</f>
        <v>Open Location</v>
      </c>
    </row>
    <row r="6279" spans="1:40" x14ac:dyDescent="0.3">
      <c r="A6279" s="1">
        <v>46210.272569444445</v>
      </c>
      <c r="B6279" t="s">
        <v>40</v>
      </c>
      <c r="C6279" t="s">
        <v>41</v>
      </c>
      <c r="D6279" s="1">
        <v>46210.275462962964</v>
      </c>
      <c r="E6279" t="s">
        <v>42</v>
      </c>
      <c r="F6279" t="s">
        <v>83</v>
      </c>
      <c r="G6279">
        <v>0</v>
      </c>
      <c r="H6279">
        <v>33081</v>
      </c>
      <c r="I6279" t="s">
        <v>3585</v>
      </c>
      <c r="J6279">
        <v>64</v>
      </c>
      <c r="K6279">
        <v>2</v>
      </c>
      <c r="L6279">
        <v>98</v>
      </c>
      <c r="M6279">
        <v>633.5</v>
      </c>
      <c r="N6279" t="s">
        <v>85</v>
      </c>
      <c r="O6279" t="s">
        <v>82</v>
      </c>
      <c r="P6279">
        <v>125</v>
      </c>
      <c r="Q6279" t="s">
        <v>82</v>
      </c>
      <c r="R6279">
        <v>0</v>
      </c>
      <c r="S6279">
        <v>0</v>
      </c>
      <c r="T6279">
        <v>-40</v>
      </c>
      <c r="U6279">
        <v>45</v>
      </c>
      <c r="V6279">
        <v>0</v>
      </c>
      <c r="W6279">
        <v>28</v>
      </c>
      <c r="X6279">
        <v>28</v>
      </c>
      <c r="Y6279">
        <v>1</v>
      </c>
      <c r="Z6279">
        <v>1</v>
      </c>
      <c r="AA6279">
        <v>26</v>
      </c>
      <c r="AB6279">
        <v>2</v>
      </c>
      <c r="AC6279">
        <v>2</v>
      </c>
      <c r="AD6279">
        <v>3.3080000900000002</v>
      </c>
      <c r="AE6279">
        <v>6</v>
      </c>
      <c r="AF6279">
        <v>30</v>
      </c>
      <c r="AG6279">
        <v>3.2939999100000001</v>
      </c>
      <c r="AH6279">
        <v>8</v>
      </c>
      <c r="AI6279">
        <v>48</v>
      </c>
      <c r="AJ6279">
        <v>1</v>
      </c>
      <c r="AK6279">
        <v>17</v>
      </c>
      <c r="AL6279">
        <v>39</v>
      </c>
      <c r="AM6279" t="s">
        <v>43</v>
      </c>
      <c r="AN6279" t="str">
        <f>HYPERLINK("https://www.google.com/maps?q=10.83216,79.8401947","Open Location")</f>
        <v>Open Location</v>
      </c>
    </row>
    <row r="6280" spans="1:40" x14ac:dyDescent="0.3">
      <c r="A6280" s="1">
        <v>46210.272453703707</v>
      </c>
      <c r="B6280" t="s">
        <v>40</v>
      </c>
      <c r="C6280" t="s">
        <v>41</v>
      </c>
      <c r="D6280" s="1">
        <v>46210.27542824074</v>
      </c>
      <c r="E6280" t="s">
        <v>42</v>
      </c>
      <c r="F6280" t="s">
        <v>83</v>
      </c>
      <c r="G6280">
        <v>0</v>
      </c>
      <c r="H6280">
        <v>33081</v>
      </c>
      <c r="I6280" t="s">
        <v>3586</v>
      </c>
      <c r="J6280">
        <v>64</v>
      </c>
      <c r="K6280">
        <v>2</v>
      </c>
      <c r="L6280">
        <v>98</v>
      </c>
      <c r="M6280">
        <v>633.5</v>
      </c>
      <c r="N6280" t="s">
        <v>85</v>
      </c>
      <c r="O6280" t="s">
        <v>82</v>
      </c>
      <c r="P6280">
        <v>125</v>
      </c>
      <c r="Q6280" t="s">
        <v>82</v>
      </c>
      <c r="R6280">
        <v>0</v>
      </c>
      <c r="S6280">
        <v>0</v>
      </c>
      <c r="T6280">
        <v>-40</v>
      </c>
      <c r="U6280">
        <v>45</v>
      </c>
      <c r="V6280">
        <v>0</v>
      </c>
      <c r="W6280">
        <v>28</v>
      </c>
      <c r="X6280">
        <v>28</v>
      </c>
      <c r="Y6280">
        <v>1</v>
      </c>
      <c r="Z6280">
        <v>1</v>
      </c>
      <c r="AA6280">
        <v>26</v>
      </c>
      <c r="AB6280">
        <v>2</v>
      </c>
      <c r="AC6280">
        <v>2</v>
      </c>
      <c r="AD6280">
        <v>3.3080000900000002</v>
      </c>
      <c r="AE6280">
        <v>6</v>
      </c>
      <c r="AF6280">
        <v>30</v>
      </c>
      <c r="AG6280">
        <v>3.2939999100000001</v>
      </c>
      <c r="AH6280">
        <v>8</v>
      </c>
      <c r="AI6280">
        <v>48</v>
      </c>
      <c r="AJ6280">
        <v>1</v>
      </c>
      <c r="AK6280">
        <v>17</v>
      </c>
      <c r="AL6280">
        <v>38</v>
      </c>
      <c r="AM6280" t="s">
        <v>43</v>
      </c>
      <c r="AN6280" t="str">
        <f>HYPERLINK("https://www.google.com/maps?q=10.83216381,79.84020233","Open Location")</f>
        <v>Open Location</v>
      </c>
    </row>
    <row r="6281" spans="1:40" x14ac:dyDescent="0.3">
      <c r="A6281" s="1">
        <v>46210.272337962961</v>
      </c>
      <c r="B6281" t="s">
        <v>40</v>
      </c>
      <c r="C6281" t="s">
        <v>41</v>
      </c>
      <c r="D6281" s="1">
        <v>46210.275208333333</v>
      </c>
      <c r="E6281" t="s">
        <v>42</v>
      </c>
      <c r="F6281" t="s">
        <v>83</v>
      </c>
      <c r="G6281">
        <v>0</v>
      </c>
      <c r="H6281">
        <v>33081</v>
      </c>
      <c r="I6281" t="s">
        <v>43</v>
      </c>
      <c r="J6281">
        <v>64</v>
      </c>
      <c r="K6281">
        <v>2</v>
      </c>
      <c r="L6281">
        <v>98</v>
      </c>
      <c r="M6281">
        <v>633.29998779000005</v>
      </c>
      <c r="N6281" t="s">
        <v>85</v>
      </c>
      <c r="O6281" t="s">
        <v>82</v>
      </c>
      <c r="P6281">
        <v>125</v>
      </c>
      <c r="Q6281" t="s">
        <v>82</v>
      </c>
      <c r="R6281">
        <v>0</v>
      </c>
      <c r="S6281">
        <v>0</v>
      </c>
      <c r="T6281">
        <v>-40</v>
      </c>
      <c r="U6281">
        <v>45</v>
      </c>
      <c r="V6281">
        <v>0</v>
      </c>
      <c r="W6281">
        <v>28</v>
      </c>
      <c r="X6281">
        <v>28</v>
      </c>
      <c r="Y6281">
        <v>1</v>
      </c>
      <c r="Z6281">
        <v>1</v>
      </c>
      <c r="AA6281">
        <v>26</v>
      </c>
      <c r="AB6281">
        <v>2</v>
      </c>
      <c r="AC6281">
        <v>2</v>
      </c>
      <c r="AD6281">
        <v>3.3080000900000002</v>
      </c>
      <c r="AE6281">
        <v>6</v>
      </c>
      <c r="AF6281">
        <v>30</v>
      </c>
      <c r="AG6281">
        <v>3.2939999100000001</v>
      </c>
      <c r="AH6281">
        <v>8</v>
      </c>
      <c r="AI6281">
        <v>48</v>
      </c>
      <c r="AJ6281">
        <v>1</v>
      </c>
      <c r="AK6281">
        <v>17</v>
      </c>
      <c r="AL6281">
        <v>38</v>
      </c>
      <c r="AM6281" t="s">
        <v>43</v>
      </c>
      <c r="AN6281" t="s">
        <v>43</v>
      </c>
    </row>
    <row r="6282" spans="1:40" x14ac:dyDescent="0.3">
      <c r="A6282" s="1">
        <v>46210.272222222222</v>
      </c>
      <c r="B6282" t="s">
        <v>40</v>
      </c>
      <c r="C6282" t="s">
        <v>41</v>
      </c>
      <c r="D6282" s="1">
        <v>46210.275092592594</v>
      </c>
      <c r="E6282" t="s">
        <v>42</v>
      </c>
      <c r="F6282" t="s">
        <v>83</v>
      </c>
      <c r="G6282">
        <v>0</v>
      </c>
      <c r="H6282">
        <v>33081</v>
      </c>
      <c r="I6282" t="s">
        <v>3587</v>
      </c>
      <c r="J6282">
        <v>64</v>
      </c>
      <c r="K6282">
        <v>2</v>
      </c>
      <c r="L6282">
        <v>98</v>
      </c>
      <c r="M6282">
        <v>633.5</v>
      </c>
      <c r="N6282" t="s">
        <v>85</v>
      </c>
      <c r="O6282" t="s">
        <v>82</v>
      </c>
      <c r="P6282">
        <v>125</v>
      </c>
      <c r="Q6282" t="s">
        <v>82</v>
      </c>
      <c r="R6282">
        <v>0</v>
      </c>
      <c r="S6282">
        <v>0</v>
      </c>
      <c r="T6282">
        <v>-40</v>
      </c>
      <c r="U6282">
        <v>45</v>
      </c>
      <c r="V6282">
        <v>0</v>
      </c>
      <c r="W6282">
        <v>28</v>
      </c>
      <c r="X6282">
        <v>28</v>
      </c>
      <c r="Y6282">
        <v>1</v>
      </c>
      <c r="Z6282">
        <v>1</v>
      </c>
      <c r="AA6282">
        <v>26</v>
      </c>
      <c r="AB6282">
        <v>2</v>
      </c>
      <c r="AC6282">
        <v>2</v>
      </c>
      <c r="AD6282">
        <v>3.3080000900000002</v>
      </c>
      <c r="AE6282">
        <v>6</v>
      </c>
      <c r="AF6282">
        <v>30</v>
      </c>
      <c r="AG6282">
        <v>3.2939999100000001</v>
      </c>
      <c r="AH6282">
        <v>8</v>
      </c>
      <c r="AI6282">
        <v>48</v>
      </c>
      <c r="AJ6282">
        <v>1</v>
      </c>
      <c r="AK6282">
        <v>17</v>
      </c>
      <c r="AL6282">
        <v>38</v>
      </c>
      <c r="AM6282" t="s">
        <v>43</v>
      </c>
      <c r="AN6282" t="str">
        <f>HYPERLINK("https://www.google.com/maps?q=10.83216763,79.84020233","Open Location")</f>
        <v>Open Location</v>
      </c>
    </row>
    <row r="6283" spans="1:40" x14ac:dyDescent="0.3">
      <c r="A6283" s="1">
        <v>46210.272106481483</v>
      </c>
      <c r="B6283" t="s">
        <v>40</v>
      </c>
      <c r="C6283" t="s">
        <v>41</v>
      </c>
      <c r="D6283" s="1">
        <v>46210.275208333333</v>
      </c>
      <c r="E6283" t="s">
        <v>42</v>
      </c>
      <c r="F6283" t="s">
        <v>83</v>
      </c>
      <c r="G6283">
        <v>0</v>
      </c>
      <c r="H6283">
        <v>33081</v>
      </c>
      <c r="I6283" t="s">
        <v>3588</v>
      </c>
      <c r="J6283">
        <v>64</v>
      </c>
      <c r="K6283">
        <v>2</v>
      </c>
      <c r="L6283">
        <v>98</v>
      </c>
      <c r="M6283">
        <v>632.79998779000005</v>
      </c>
      <c r="N6283" t="s">
        <v>85</v>
      </c>
      <c r="O6283" t="s">
        <v>82</v>
      </c>
      <c r="P6283">
        <v>125</v>
      </c>
      <c r="Q6283" t="s">
        <v>82</v>
      </c>
      <c r="R6283">
        <v>0</v>
      </c>
      <c r="S6283">
        <v>0</v>
      </c>
      <c r="T6283">
        <v>-40</v>
      </c>
      <c r="U6283">
        <v>45</v>
      </c>
      <c r="V6283">
        <v>0</v>
      </c>
      <c r="W6283">
        <v>28</v>
      </c>
      <c r="X6283">
        <v>28</v>
      </c>
      <c r="Y6283">
        <v>1</v>
      </c>
      <c r="Z6283">
        <v>1</v>
      </c>
      <c r="AA6283">
        <v>26</v>
      </c>
      <c r="AB6283">
        <v>2</v>
      </c>
      <c r="AC6283">
        <v>2</v>
      </c>
      <c r="AD6283">
        <v>3.3080000900000002</v>
      </c>
      <c r="AE6283">
        <v>6</v>
      </c>
      <c r="AF6283">
        <v>30</v>
      </c>
      <c r="AG6283">
        <v>3.2939999100000001</v>
      </c>
      <c r="AH6283">
        <v>8</v>
      </c>
      <c r="AI6283">
        <v>48</v>
      </c>
      <c r="AJ6283">
        <v>1</v>
      </c>
      <c r="AK6283">
        <v>17</v>
      </c>
      <c r="AL6283">
        <v>38</v>
      </c>
      <c r="AM6283" t="s">
        <v>43</v>
      </c>
      <c r="AN6283" t="str">
        <f>HYPERLINK("https://www.google.com/maps?q=10.83216953,79.84020233","Open Location")</f>
        <v>Open Location</v>
      </c>
    </row>
    <row r="6284" spans="1:40" x14ac:dyDescent="0.3">
      <c r="A6284" s="1">
        <v>46210.271990740737</v>
      </c>
      <c r="B6284" t="s">
        <v>40</v>
      </c>
      <c r="C6284" t="s">
        <v>41</v>
      </c>
      <c r="D6284" s="1">
        <v>46210.275370370371</v>
      </c>
      <c r="E6284" t="s">
        <v>42</v>
      </c>
      <c r="F6284" t="s">
        <v>83</v>
      </c>
      <c r="G6284">
        <v>0</v>
      </c>
      <c r="H6284">
        <v>33081</v>
      </c>
      <c r="I6284" t="s">
        <v>3589</v>
      </c>
      <c r="J6284">
        <v>64</v>
      </c>
      <c r="K6284">
        <v>2</v>
      </c>
      <c r="L6284">
        <v>98</v>
      </c>
      <c r="M6284">
        <v>633.5</v>
      </c>
      <c r="N6284" t="s">
        <v>85</v>
      </c>
      <c r="O6284" t="s">
        <v>82</v>
      </c>
      <c r="P6284">
        <v>125</v>
      </c>
      <c r="Q6284" t="s">
        <v>82</v>
      </c>
      <c r="R6284">
        <v>0</v>
      </c>
      <c r="S6284">
        <v>0</v>
      </c>
      <c r="T6284">
        <v>-40</v>
      </c>
      <c r="U6284">
        <v>45</v>
      </c>
      <c r="V6284">
        <v>0</v>
      </c>
      <c r="W6284">
        <v>28</v>
      </c>
      <c r="X6284">
        <v>28</v>
      </c>
      <c r="Y6284">
        <v>1</v>
      </c>
      <c r="Z6284">
        <v>1</v>
      </c>
      <c r="AA6284">
        <v>26</v>
      </c>
      <c r="AB6284">
        <v>2</v>
      </c>
      <c r="AC6284">
        <v>2</v>
      </c>
      <c r="AD6284">
        <v>3.3080000900000002</v>
      </c>
      <c r="AE6284">
        <v>6</v>
      </c>
      <c r="AF6284">
        <v>30</v>
      </c>
      <c r="AG6284">
        <v>3.2939999100000001</v>
      </c>
      <c r="AH6284">
        <v>8</v>
      </c>
      <c r="AI6284">
        <v>9</v>
      </c>
      <c r="AJ6284">
        <v>1</v>
      </c>
      <c r="AK6284">
        <v>17</v>
      </c>
      <c r="AL6284">
        <v>38</v>
      </c>
      <c r="AM6284" t="s">
        <v>43</v>
      </c>
      <c r="AN6284" t="str">
        <f>HYPERLINK("https://www.google.com/maps?q=10.83217144,79.84020233","Open Location")</f>
        <v>Open Location</v>
      </c>
    </row>
    <row r="6285" spans="1:40" x14ac:dyDescent="0.3">
      <c r="A6285" s="1">
        <v>46210.271874999999</v>
      </c>
      <c r="B6285" t="s">
        <v>40</v>
      </c>
      <c r="C6285" t="s">
        <v>41</v>
      </c>
      <c r="D6285" s="1">
        <v>46210.27484953704</v>
      </c>
      <c r="E6285" t="s">
        <v>42</v>
      </c>
      <c r="F6285" t="s">
        <v>83</v>
      </c>
      <c r="G6285">
        <v>0</v>
      </c>
      <c r="H6285">
        <v>33081</v>
      </c>
      <c r="I6285" t="s">
        <v>3590</v>
      </c>
      <c r="J6285">
        <v>64</v>
      </c>
      <c r="K6285">
        <v>2</v>
      </c>
      <c r="L6285">
        <v>98</v>
      </c>
      <c r="M6285">
        <v>632.90002441000001</v>
      </c>
      <c r="N6285" t="s">
        <v>85</v>
      </c>
      <c r="O6285" t="s">
        <v>82</v>
      </c>
      <c r="P6285">
        <v>125</v>
      </c>
      <c r="Q6285" t="s">
        <v>82</v>
      </c>
      <c r="R6285">
        <v>0</v>
      </c>
      <c r="S6285">
        <v>0</v>
      </c>
      <c r="T6285">
        <v>-40</v>
      </c>
      <c r="U6285">
        <v>45</v>
      </c>
      <c r="V6285">
        <v>0</v>
      </c>
      <c r="W6285">
        <v>28</v>
      </c>
      <c r="X6285">
        <v>28</v>
      </c>
      <c r="Y6285">
        <v>1</v>
      </c>
      <c r="Z6285">
        <v>1</v>
      </c>
      <c r="AA6285">
        <v>26</v>
      </c>
      <c r="AB6285">
        <v>2</v>
      </c>
      <c r="AC6285">
        <v>2</v>
      </c>
      <c r="AD6285">
        <v>3.3080000900000002</v>
      </c>
      <c r="AE6285">
        <v>6</v>
      </c>
      <c r="AF6285">
        <v>30</v>
      </c>
      <c r="AG6285">
        <v>3.2939999100000001</v>
      </c>
      <c r="AH6285">
        <v>8</v>
      </c>
      <c r="AI6285">
        <v>9</v>
      </c>
      <c r="AJ6285">
        <v>1</v>
      </c>
      <c r="AK6285">
        <v>17</v>
      </c>
      <c r="AL6285">
        <v>38</v>
      </c>
      <c r="AM6285" t="s">
        <v>43</v>
      </c>
      <c r="AN6285" t="str">
        <f>HYPERLINK("https://www.google.com/maps?q=10.83217335,79.84020996","Open Location")</f>
        <v>Open Location</v>
      </c>
    </row>
    <row r="6286" spans="1:40" x14ac:dyDescent="0.3">
      <c r="A6286" s="1">
        <v>46210.27175925926</v>
      </c>
      <c r="B6286" t="s">
        <v>40</v>
      </c>
      <c r="C6286" t="s">
        <v>41</v>
      </c>
      <c r="D6286" s="1">
        <v>46210.275092592594</v>
      </c>
      <c r="E6286" t="s">
        <v>42</v>
      </c>
      <c r="F6286" t="s">
        <v>83</v>
      </c>
      <c r="G6286">
        <v>0</v>
      </c>
      <c r="H6286">
        <v>33081</v>
      </c>
      <c r="I6286" t="s">
        <v>3591</v>
      </c>
      <c r="J6286">
        <v>64</v>
      </c>
      <c r="K6286">
        <v>2</v>
      </c>
      <c r="L6286">
        <v>98</v>
      </c>
      <c r="M6286">
        <v>632.70001220999995</v>
      </c>
      <c r="N6286" t="s">
        <v>85</v>
      </c>
      <c r="O6286" t="s">
        <v>82</v>
      </c>
      <c r="P6286">
        <v>125</v>
      </c>
      <c r="Q6286" t="s">
        <v>82</v>
      </c>
      <c r="R6286">
        <v>0</v>
      </c>
      <c r="S6286">
        <v>0</v>
      </c>
      <c r="T6286">
        <v>-40</v>
      </c>
      <c r="U6286">
        <v>45</v>
      </c>
      <c r="V6286">
        <v>0</v>
      </c>
      <c r="W6286">
        <v>28</v>
      </c>
      <c r="X6286">
        <v>28</v>
      </c>
      <c r="Y6286">
        <v>1</v>
      </c>
      <c r="Z6286">
        <v>1</v>
      </c>
      <c r="AA6286">
        <v>26</v>
      </c>
      <c r="AB6286">
        <v>2</v>
      </c>
      <c r="AC6286">
        <v>2</v>
      </c>
      <c r="AD6286">
        <v>3.30699992</v>
      </c>
      <c r="AE6286">
        <v>6</v>
      </c>
      <c r="AF6286">
        <v>30</v>
      </c>
      <c r="AG6286">
        <v>3.2939999100000001</v>
      </c>
      <c r="AH6286">
        <v>8</v>
      </c>
      <c r="AI6286">
        <v>9</v>
      </c>
      <c r="AJ6286">
        <v>1</v>
      </c>
      <c r="AK6286">
        <v>17</v>
      </c>
      <c r="AL6286">
        <v>38</v>
      </c>
      <c r="AM6286" t="s">
        <v>43</v>
      </c>
      <c r="AN6286" t="str">
        <f>HYPERLINK("https://www.google.com/maps?q=10.83217239,79.84020233","Open Location")</f>
        <v>Open Location</v>
      </c>
    </row>
    <row r="6287" spans="1:40" x14ac:dyDescent="0.3">
      <c r="A6287" s="1">
        <v>46210.271643518521</v>
      </c>
      <c r="B6287" t="s">
        <v>40</v>
      </c>
      <c r="C6287" t="s">
        <v>41</v>
      </c>
      <c r="D6287" s="1">
        <v>46210.27480324074</v>
      </c>
      <c r="E6287" t="s">
        <v>42</v>
      </c>
      <c r="F6287" t="s">
        <v>83</v>
      </c>
      <c r="G6287">
        <v>0</v>
      </c>
      <c r="H6287">
        <v>33081</v>
      </c>
      <c r="I6287" t="s">
        <v>43</v>
      </c>
      <c r="J6287">
        <v>64</v>
      </c>
      <c r="K6287">
        <v>2</v>
      </c>
      <c r="L6287">
        <v>98</v>
      </c>
      <c r="M6287">
        <v>632.90002441000001</v>
      </c>
      <c r="N6287" t="s">
        <v>85</v>
      </c>
      <c r="O6287" t="s">
        <v>82</v>
      </c>
      <c r="P6287">
        <v>125</v>
      </c>
      <c r="Q6287" t="s">
        <v>82</v>
      </c>
      <c r="R6287">
        <v>0</v>
      </c>
      <c r="S6287">
        <v>0</v>
      </c>
      <c r="T6287">
        <v>-40</v>
      </c>
      <c r="U6287">
        <v>45</v>
      </c>
      <c r="V6287">
        <v>0</v>
      </c>
      <c r="W6287">
        <v>28</v>
      </c>
      <c r="X6287">
        <v>28</v>
      </c>
      <c r="Y6287">
        <v>1</v>
      </c>
      <c r="Z6287">
        <v>1</v>
      </c>
      <c r="AA6287">
        <v>26</v>
      </c>
      <c r="AB6287">
        <v>2</v>
      </c>
      <c r="AC6287">
        <v>2</v>
      </c>
      <c r="AD6287">
        <v>3.30699992</v>
      </c>
      <c r="AE6287">
        <v>6</v>
      </c>
      <c r="AF6287">
        <v>30</v>
      </c>
      <c r="AG6287">
        <v>3.2939999100000001</v>
      </c>
      <c r="AH6287">
        <v>8</v>
      </c>
      <c r="AI6287">
        <v>9</v>
      </c>
      <c r="AJ6287">
        <v>1</v>
      </c>
      <c r="AK6287">
        <v>17</v>
      </c>
      <c r="AL6287">
        <v>38</v>
      </c>
      <c r="AM6287" t="s">
        <v>43</v>
      </c>
      <c r="AN6287" t="s">
        <v>43</v>
      </c>
    </row>
    <row r="6288" spans="1:40" x14ac:dyDescent="0.3">
      <c r="A6288" s="1">
        <v>46210.271527777775</v>
      </c>
      <c r="B6288" t="s">
        <v>40</v>
      </c>
      <c r="C6288" t="s">
        <v>41</v>
      </c>
      <c r="D6288" s="1">
        <v>46210.275000000001</v>
      </c>
      <c r="E6288" t="s">
        <v>42</v>
      </c>
      <c r="F6288" t="s">
        <v>83</v>
      </c>
      <c r="G6288">
        <v>0</v>
      </c>
      <c r="H6288">
        <v>33081</v>
      </c>
      <c r="I6288" t="s">
        <v>3590</v>
      </c>
      <c r="J6288">
        <v>64</v>
      </c>
      <c r="K6288">
        <v>2</v>
      </c>
      <c r="L6288">
        <v>98</v>
      </c>
      <c r="M6288">
        <v>633.29998779000005</v>
      </c>
      <c r="N6288" t="s">
        <v>85</v>
      </c>
      <c r="O6288" t="s">
        <v>82</v>
      </c>
      <c r="P6288">
        <v>125</v>
      </c>
      <c r="Q6288" t="s">
        <v>82</v>
      </c>
      <c r="R6288">
        <v>0</v>
      </c>
      <c r="S6288">
        <v>0</v>
      </c>
      <c r="T6288">
        <v>-40</v>
      </c>
      <c r="U6288">
        <v>45</v>
      </c>
      <c r="V6288">
        <v>0</v>
      </c>
      <c r="W6288">
        <v>28</v>
      </c>
      <c r="X6288">
        <v>28</v>
      </c>
      <c r="Y6288">
        <v>1</v>
      </c>
      <c r="Z6288">
        <v>1</v>
      </c>
      <c r="AA6288">
        <v>26</v>
      </c>
      <c r="AB6288">
        <v>2</v>
      </c>
      <c r="AC6288">
        <v>2</v>
      </c>
      <c r="AD6288">
        <v>3.30699992</v>
      </c>
      <c r="AE6288">
        <v>6</v>
      </c>
      <c r="AF6288">
        <v>30</v>
      </c>
      <c r="AG6288">
        <v>3.2939999100000001</v>
      </c>
      <c r="AH6288">
        <v>8</v>
      </c>
      <c r="AI6288">
        <v>9</v>
      </c>
      <c r="AJ6288">
        <v>1</v>
      </c>
      <c r="AK6288">
        <v>17</v>
      </c>
      <c r="AL6288">
        <v>38</v>
      </c>
      <c r="AM6288" t="s">
        <v>43</v>
      </c>
      <c r="AN6288" t="str">
        <f>HYPERLINK("https://www.google.com/maps?q=10.83217335,79.84020996","Open Location")</f>
        <v>Open Location</v>
      </c>
    </row>
    <row r="6289" spans="1:40" x14ac:dyDescent="0.3">
      <c r="A6289" s="1">
        <v>46210.271412037036</v>
      </c>
      <c r="B6289" t="s">
        <v>40</v>
      </c>
      <c r="C6289" t="s">
        <v>41</v>
      </c>
      <c r="D6289" s="1">
        <v>46210.274513888886</v>
      </c>
      <c r="E6289" t="s">
        <v>42</v>
      </c>
      <c r="F6289" t="s">
        <v>83</v>
      </c>
      <c r="G6289">
        <v>0</v>
      </c>
      <c r="H6289">
        <v>33081</v>
      </c>
      <c r="I6289" t="s">
        <v>3592</v>
      </c>
      <c r="J6289">
        <v>64</v>
      </c>
      <c r="K6289">
        <v>2</v>
      </c>
      <c r="L6289">
        <v>98</v>
      </c>
      <c r="M6289">
        <v>632.79998779000005</v>
      </c>
      <c r="N6289" t="s">
        <v>85</v>
      </c>
      <c r="O6289" t="s">
        <v>82</v>
      </c>
      <c r="P6289">
        <v>125</v>
      </c>
      <c r="Q6289" t="s">
        <v>82</v>
      </c>
      <c r="R6289">
        <v>0</v>
      </c>
      <c r="S6289">
        <v>0</v>
      </c>
      <c r="T6289">
        <v>-40</v>
      </c>
      <c r="U6289">
        <v>45</v>
      </c>
      <c r="V6289">
        <v>0</v>
      </c>
      <c r="W6289">
        <v>28</v>
      </c>
      <c r="X6289">
        <v>28</v>
      </c>
      <c r="Y6289">
        <v>1</v>
      </c>
      <c r="Z6289">
        <v>1</v>
      </c>
      <c r="AA6289">
        <v>26</v>
      </c>
      <c r="AB6289">
        <v>2</v>
      </c>
      <c r="AC6289">
        <v>2</v>
      </c>
      <c r="AD6289">
        <v>3.30699992</v>
      </c>
      <c r="AE6289">
        <v>6</v>
      </c>
      <c r="AF6289">
        <v>30</v>
      </c>
      <c r="AG6289">
        <v>3.2939999100000001</v>
      </c>
      <c r="AH6289">
        <v>8</v>
      </c>
      <c r="AI6289">
        <v>9</v>
      </c>
      <c r="AJ6289">
        <v>1</v>
      </c>
      <c r="AK6289">
        <v>17</v>
      </c>
      <c r="AL6289">
        <v>38</v>
      </c>
      <c r="AM6289" t="s">
        <v>43</v>
      </c>
      <c r="AN6289" t="str">
        <f>HYPERLINK("https://www.google.com/maps?q=10.83217812,79.84020996","Open Location")</f>
        <v>Open Location</v>
      </c>
    </row>
    <row r="6290" spans="1:40" x14ac:dyDescent="0.3">
      <c r="A6290" s="1">
        <v>46210.271296296298</v>
      </c>
      <c r="B6290" t="s">
        <v>40</v>
      </c>
      <c r="C6290" t="s">
        <v>41</v>
      </c>
      <c r="D6290" s="1">
        <v>46210.274629629632</v>
      </c>
      <c r="E6290" t="s">
        <v>42</v>
      </c>
      <c r="F6290" t="s">
        <v>83</v>
      </c>
      <c r="G6290">
        <v>0</v>
      </c>
      <c r="H6290" t="s">
        <v>43</v>
      </c>
      <c r="I6290" t="s">
        <v>3593</v>
      </c>
      <c r="J6290">
        <v>64</v>
      </c>
      <c r="K6290">
        <v>2</v>
      </c>
      <c r="L6290">
        <v>98</v>
      </c>
      <c r="M6290">
        <v>632.70001220999995</v>
      </c>
      <c r="N6290" t="s">
        <v>85</v>
      </c>
      <c r="O6290" t="s">
        <v>82</v>
      </c>
      <c r="P6290">
        <v>125</v>
      </c>
      <c r="Q6290" t="s">
        <v>43</v>
      </c>
      <c r="R6290">
        <v>0</v>
      </c>
      <c r="S6290">
        <v>0</v>
      </c>
      <c r="T6290">
        <v>-40</v>
      </c>
      <c r="U6290">
        <v>45</v>
      </c>
      <c r="V6290">
        <v>0</v>
      </c>
      <c r="W6290" t="s">
        <v>43</v>
      </c>
      <c r="X6290" t="s">
        <v>43</v>
      </c>
      <c r="Y6290" t="s">
        <v>43</v>
      </c>
      <c r="Z6290" t="s">
        <v>43</v>
      </c>
      <c r="AA6290" t="s">
        <v>43</v>
      </c>
      <c r="AB6290" t="s">
        <v>43</v>
      </c>
      <c r="AC6290" t="s">
        <v>43</v>
      </c>
      <c r="AD6290">
        <v>3.30699992</v>
      </c>
      <c r="AE6290">
        <v>6</v>
      </c>
      <c r="AF6290">
        <v>30</v>
      </c>
      <c r="AG6290">
        <v>3.2929999799999998</v>
      </c>
      <c r="AH6290">
        <v>8</v>
      </c>
      <c r="AI6290">
        <v>48</v>
      </c>
      <c r="AJ6290" t="s">
        <v>43</v>
      </c>
      <c r="AK6290">
        <v>17</v>
      </c>
      <c r="AL6290">
        <v>38</v>
      </c>
      <c r="AM6290" t="s">
        <v>43</v>
      </c>
      <c r="AN6290" t="str">
        <f>HYPERLINK("https://www.google.com/maps?q=10.83217907,79.84020996","Open Location")</f>
        <v>Open Location</v>
      </c>
    </row>
    <row r="6291" spans="1:40" x14ac:dyDescent="0.3">
      <c r="A6291" s="1">
        <v>46210.271180555559</v>
      </c>
      <c r="B6291" t="s">
        <v>40</v>
      </c>
      <c r="C6291" t="s">
        <v>41</v>
      </c>
      <c r="D6291" s="1">
        <v>46210.27416666667</v>
      </c>
      <c r="E6291" t="s">
        <v>42</v>
      </c>
      <c r="F6291" t="s">
        <v>83</v>
      </c>
      <c r="G6291">
        <v>0</v>
      </c>
      <c r="H6291">
        <v>33081</v>
      </c>
      <c r="I6291" t="s">
        <v>3594</v>
      </c>
      <c r="J6291">
        <v>64</v>
      </c>
      <c r="K6291">
        <v>2</v>
      </c>
      <c r="L6291">
        <v>98</v>
      </c>
      <c r="M6291">
        <v>633.09997558999999</v>
      </c>
      <c r="N6291" t="s">
        <v>85</v>
      </c>
      <c r="O6291" t="s">
        <v>82</v>
      </c>
      <c r="P6291">
        <v>125</v>
      </c>
      <c r="Q6291" t="s">
        <v>82</v>
      </c>
      <c r="R6291">
        <v>0</v>
      </c>
      <c r="S6291">
        <v>0</v>
      </c>
      <c r="T6291">
        <v>-40</v>
      </c>
      <c r="U6291">
        <v>45</v>
      </c>
      <c r="V6291">
        <v>0</v>
      </c>
      <c r="W6291">
        <v>28</v>
      </c>
      <c r="X6291">
        <v>28</v>
      </c>
      <c r="Y6291">
        <v>1</v>
      </c>
      <c r="Z6291">
        <v>1</v>
      </c>
      <c r="AA6291">
        <v>26</v>
      </c>
      <c r="AB6291">
        <v>2</v>
      </c>
      <c r="AC6291">
        <v>2</v>
      </c>
      <c r="AD6291">
        <v>3.30699992</v>
      </c>
      <c r="AE6291">
        <v>6</v>
      </c>
      <c r="AF6291">
        <v>30</v>
      </c>
      <c r="AG6291">
        <v>3.2929999799999998</v>
      </c>
      <c r="AH6291">
        <v>8</v>
      </c>
      <c r="AI6291">
        <v>48</v>
      </c>
      <c r="AJ6291">
        <v>1</v>
      </c>
      <c r="AK6291">
        <v>17</v>
      </c>
      <c r="AL6291">
        <v>38</v>
      </c>
      <c r="AM6291" t="s">
        <v>43</v>
      </c>
      <c r="AN6291" t="str">
        <f>HYPERLINK("https://www.google.com/maps?q=10.83218479,79.84020233","Open Location")</f>
        <v>Open Location</v>
      </c>
    </row>
    <row r="6292" spans="1:40" x14ac:dyDescent="0.3">
      <c r="A6292" s="1">
        <v>46210.271064814813</v>
      </c>
      <c r="B6292" t="s">
        <v>40</v>
      </c>
      <c r="C6292" t="s">
        <v>41</v>
      </c>
      <c r="D6292" s="1">
        <v>46210.274131944447</v>
      </c>
      <c r="E6292" t="s">
        <v>42</v>
      </c>
      <c r="F6292" t="s">
        <v>83</v>
      </c>
      <c r="G6292">
        <v>0</v>
      </c>
      <c r="H6292">
        <v>33081</v>
      </c>
      <c r="I6292" t="s">
        <v>43</v>
      </c>
      <c r="J6292">
        <v>64</v>
      </c>
      <c r="K6292">
        <v>2</v>
      </c>
      <c r="L6292">
        <v>98</v>
      </c>
      <c r="M6292">
        <v>632.59997558999999</v>
      </c>
      <c r="N6292" t="s">
        <v>85</v>
      </c>
      <c r="O6292" t="s">
        <v>82</v>
      </c>
      <c r="P6292">
        <v>125</v>
      </c>
      <c r="Q6292" t="s">
        <v>82</v>
      </c>
      <c r="R6292">
        <v>0</v>
      </c>
      <c r="S6292">
        <v>0</v>
      </c>
      <c r="T6292">
        <v>-40</v>
      </c>
      <c r="U6292">
        <v>45</v>
      </c>
      <c r="V6292">
        <v>0</v>
      </c>
      <c r="W6292">
        <v>28</v>
      </c>
      <c r="X6292">
        <v>28</v>
      </c>
      <c r="Y6292">
        <v>1</v>
      </c>
      <c r="Z6292">
        <v>1</v>
      </c>
      <c r="AA6292">
        <v>26</v>
      </c>
      <c r="AB6292">
        <v>2</v>
      </c>
      <c r="AC6292">
        <v>2</v>
      </c>
      <c r="AD6292">
        <v>3.30699992</v>
      </c>
      <c r="AE6292">
        <v>6</v>
      </c>
      <c r="AF6292">
        <v>30</v>
      </c>
      <c r="AG6292">
        <v>3.2929999799999998</v>
      </c>
      <c r="AH6292">
        <v>8</v>
      </c>
      <c r="AI6292">
        <v>48</v>
      </c>
      <c r="AJ6292">
        <v>1</v>
      </c>
      <c r="AK6292">
        <v>17</v>
      </c>
      <c r="AL6292">
        <v>38</v>
      </c>
      <c r="AM6292" t="s">
        <v>43</v>
      </c>
      <c r="AN6292" t="s">
        <v>43</v>
      </c>
    </row>
    <row r="6293" spans="1:40" x14ac:dyDescent="0.3">
      <c r="A6293" s="1">
        <v>46210.270949074074</v>
      </c>
      <c r="B6293" t="s">
        <v>40</v>
      </c>
      <c r="C6293" t="s">
        <v>41</v>
      </c>
      <c r="D6293" s="1">
        <v>46210.2737037037</v>
      </c>
      <c r="E6293" t="s">
        <v>42</v>
      </c>
      <c r="F6293" t="s">
        <v>83</v>
      </c>
      <c r="G6293">
        <v>0</v>
      </c>
      <c r="H6293">
        <v>33081</v>
      </c>
      <c r="I6293" t="s">
        <v>3595</v>
      </c>
      <c r="J6293">
        <v>64</v>
      </c>
      <c r="K6293">
        <v>2</v>
      </c>
      <c r="L6293">
        <v>98</v>
      </c>
      <c r="M6293">
        <v>632.5</v>
      </c>
      <c r="N6293" t="s">
        <v>85</v>
      </c>
      <c r="O6293" t="s">
        <v>82</v>
      </c>
      <c r="P6293">
        <v>125</v>
      </c>
      <c r="Q6293" t="s">
        <v>82</v>
      </c>
      <c r="R6293">
        <v>0</v>
      </c>
      <c r="S6293">
        <v>0</v>
      </c>
      <c r="T6293">
        <v>-40</v>
      </c>
      <c r="U6293">
        <v>45</v>
      </c>
      <c r="V6293">
        <v>0</v>
      </c>
      <c r="W6293">
        <v>28</v>
      </c>
      <c r="X6293">
        <v>28</v>
      </c>
      <c r="Y6293">
        <v>1</v>
      </c>
      <c r="Z6293">
        <v>1</v>
      </c>
      <c r="AA6293">
        <v>26</v>
      </c>
      <c r="AB6293">
        <v>2</v>
      </c>
      <c r="AC6293">
        <v>2</v>
      </c>
      <c r="AD6293">
        <v>3.30699992</v>
      </c>
      <c r="AE6293">
        <v>6</v>
      </c>
      <c r="AF6293">
        <v>30</v>
      </c>
      <c r="AG6293">
        <v>3.2929999799999998</v>
      </c>
      <c r="AH6293">
        <v>8</v>
      </c>
      <c r="AI6293">
        <v>48</v>
      </c>
      <c r="AJ6293">
        <v>1</v>
      </c>
      <c r="AK6293">
        <v>17</v>
      </c>
      <c r="AL6293">
        <v>38</v>
      </c>
      <c r="AM6293" t="s">
        <v>43</v>
      </c>
      <c r="AN6293" t="str">
        <f>HYPERLINK("https://www.google.com/maps?q=10.83218765,79.84020233","Open Location")</f>
        <v>Open Location</v>
      </c>
    </row>
    <row r="6294" spans="1:40" x14ac:dyDescent="0.3">
      <c r="A6294" s="1">
        <v>46210.270833333336</v>
      </c>
      <c r="B6294" t="s">
        <v>40</v>
      </c>
      <c r="C6294" t="s">
        <v>41</v>
      </c>
      <c r="D6294" s="1">
        <v>46210.273773148147</v>
      </c>
      <c r="E6294" t="s">
        <v>42</v>
      </c>
      <c r="F6294" t="s">
        <v>83</v>
      </c>
      <c r="G6294">
        <v>0</v>
      </c>
      <c r="H6294">
        <v>33081</v>
      </c>
      <c r="I6294" t="s">
        <v>3596</v>
      </c>
      <c r="J6294">
        <v>64</v>
      </c>
      <c r="K6294">
        <v>2</v>
      </c>
      <c r="L6294">
        <v>98</v>
      </c>
      <c r="M6294">
        <v>632.70001220999995</v>
      </c>
      <c r="N6294" t="s">
        <v>85</v>
      </c>
      <c r="O6294" t="s">
        <v>82</v>
      </c>
      <c r="P6294">
        <v>125</v>
      </c>
      <c r="Q6294" t="s">
        <v>82</v>
      </c>
      <c r="R6294">
        <v>0</v>
      </c>
      <c r="S6294">
        <v>0</v>
      </c>
      <c r="T6294">
        <v>-40</v>
      </c>
      <c r="U6294">
        <v>45</v>
      </c>
      <c r="V6294">
        <v>0</v>
      </c>
      <c r="W6294">
        <v>28</v>
      </c>
      <c r="X6294">
        <v>28</v>
      </c>
      <c r="Y6294">
        <v>1</v>
      </c>
      <c r="Z6294">
        <v>1</v>
      </c>
      <c r="AA6294">
        <v>26</v>
      </c>
      <c r="AB6294">
        <v>2</v>
      </c>
      <c r="AC6294">
        <v>2</v>
      </c>
      <c r="AD6294">
        <v>3.30699992</v>
      </c>
      <c r="AE6294">
        <v>6</v>
      </c>
      <c r="AF6294">
        <v>30</v>
      </c>
      <c r="AG6294">
        <v>3.2929999799999998</v>
      </c>
      <c r="AH6294">
        <v>8</v>
      </c>
      <c r="AI6294">
        <v>48</v>
      </c>
      <c r="AJ6294">
        <v>1</v>
      </c>
      <c r="AK6294">
        <v>17</v>
      </c>
      <c r="AL6294">
        <v>38</v>
      </c>
      <c r="AM6294" t="s">
        <v>43</v>
      </c>
      <c r="AN6294" t="str">
        <f>HYPERLINK("https://www.google.com/maps?q=10.83219719,79.8401947","Open Location")</f>
        <v>Open Location</v>
      </c>
    </row>
    <row r="6295" spans="1:40" x14ac:dyDescent="0.3">
      <c r="A6295" s="1">
        <v>46210.27071759259</v>
      </c>
      <c r="B6295" t="s">
        <v>40</v>
      </c>
      <c r="C6295" t="s">
        <v>41</v>
      </c>
      <c r="D6295" s="1">
        <v>46210.273425925923</v>
      </c>
      <c r="E6295" t="s">
        <v>42</v>
      </c>
      <c r="F6295" t="s">
        <v>83</v>
      </c>
      <c r="G6295">
        <v>0</v>
      </c>
      <c r="H6295">
        <v>33081</v>
      </c>
      <c r="I6295" t="s">
        <v>3597</v>
      </c>
      <c r="J6295">
        <v>64</v>
      </c>
      <c r="K6295">
        <v>2</v>
      </c>
      <c r="L6295">
        <v>98</v>
      </c>
      <c r="M6295">
        <v>633.09997558999999</v>
      </c>
      <c r="N6295" t="s">
        <v>85</v>
      </c>
      <c r="O6295" t="s">
        <v>82</v>
      </c>
      <c r="P6295">
        <v>125</v>
      </c>
      <c r="Q6295" t="s">
        <v>82</v>
      </c>
      <c r="R6295">
        <v>0</v>
      </c>
      <c r="S6295">
        <v>0</v>
      </c>
      <c r="T6295">
        <v>-40</v>
      </c>
      <c r="U6295">
        <v>45</v>
      </c>
      <c r="V6295">
        <v>0</v>
      </c>
      <c r="W6295">
        <v>28</v>
      </c>
      <c r="X6295">
        <v>28</v>
      </c>
      <c r="Y6295">
        <v>1</v>
      </c>
      <c r="Z6295">
        <v>1</v>
      </c>
      <c r="AA6295">
        <v>26</v>
      </c>
      <c r="AB6295">
        <v>2</v>
      </c>
      <c r="AC6295">
        <v>2</v>
      </c>
      <c r="AD6295">
        <v>3.30699992</v>
      </c>
      <c r="AE6295">
        <v>6</v>
      </c>
      <c r="AF6295">
        <v>30</v>
      </c>
      <c r="AG6295">
        <v>3.2929999799999998</v>
      </c>
      <c r="AH6295">
        <v>8</v>
      </c>
      <c r="AI6295">
        <v>48</v>
      </c>
      <c r="AJ6295">
        <v>1</v>
      </c>
      <c r="AK6295">
        <v>17</v>
      </c>
      <c r="AL6295">
        <v>38</v>
      </c>
      <c r="AM6295" t="s">
        <v>43</v>
      </c>
      <c r="AN6295" t="str">
        <f>HYPERLINK("https://www.google.com/maps?q=10.832201,79.84018707","Open Location")</f>
        <v>Open Location</v>
      </c>
    </row>
    <row r="6296" spans="1:40" x14ac:dyDescent="0.3">
      <c r="A6296" s="1">
        <v>46210.270601851851</v>
      </c>
      <c r="B6296" t="s">
        <v>40</v>
      </c>
      <c r="C6296" t="s">
        <v>41</v>
      </c>
      <c r="D6296" s="1">
        <v>46210.273414351854</v>
      </c>
      <c r="E6296" t="s">
        <v>42</v>
      </c>
      <c r="F6296" t="s">
        <v>83</v>
      </c>
      <c r="G6296">
        <v>0</v>
      </c>
      <c r="H6296">
        <v>33081</v>
      </c>
      <c r="I6296" t="s">
        <v>3597</v>
      </c>
      <c r="J6296">
        <v>64</v>
      </c>
      <c r="K6296">
        <v>2</v>
      </c>
      <c r="L6296">
        <v>98</v>
      </c>
      <c r="M6296">
        <v>632.79998779000005</v>
      </c>
      <c r="N6296" t="s">
        <v>85</v>
      </c>
      <c r="O6296" t="s">
        <v>82</v>
      </c>
      <c r="P6296">
        <v>125</v>
      </c>
      <c r="Q6296" t="s">
        <v>43</v>
      </c>
      <c r="R6296">
        <v>0</v>
      </c>
      <c r="S6296">
        <v>0</v>
      </c>
      <c r="T6296">
        <v>-40</v>
      </c>
      <c r="U6296">
        <v>45</v>
      </c>
      <c r="V6296">
        <v>0</v>
      </c>
      <c r="W6296" t="s">
        <v>43</v>
      </c>
      <c r="X6296" t="s">
        <v>43</v>
      </c>
      <c r="Y6296" t="s">
        <v>43</v>
      </c>
      <c r="Z6296" t="s">
        <v>43</v>
      </c>
      <c r="AA6296" t="s">
        <v>43</v>
      </c>
      <c r="AB6296" t="s">
        <v>43</v>
      </c>
      <c r="AC6296" t="s">
        <v>43</v>
      </c>
      <c r="AD6296">
        <v>3.3059999900000001</v>
      </c>
      <c r="AE6296">
        <v>6</v>
      </c>
      <c r="AF6296">
        <v>30</v>
      </c>
      <c r="AG6296">
        <v>3.2929999799999998</v>
      </c>
      <c r="AH6296">
        <v>8</v>
      </c>
      <c r="AI6296">
        <v>48</v>
      </c>
      <c r="AJ6296" t="s">
        <v>43</v>
      </c>
      <c r="AK6296" t="s">
        <v>43</v>
      </c>
      <c r="AL6296">
        <v>38</v>
      </c>
      <c r="AM6296" t="s">
        <v>43</v>
      </c>
      <c r="AN6296" t="str">
        <f>HYPERLINK("https://www.google.com/maps?q=10.832201,79.84018707","Open Location")</f>
        <v>Open Location</v>
      </c>
    </row>
    <row r="6297" spans="1:40" x14ac:dyDescent="0.3">
      <c r="A6297" s="1">
        <v>46210.270486111112</v>
      </c>
      <c r="B6297" t="s">
        <v>40</v>
      </c>
      <c r="C6297" t="s">
        <v>41</v>
      </c>
      <c r="D6297" s="1">
        <v>46210.273287037038</v>
      </c>
      <c r="E6297" t="s">
        <v>42</v>
      </c>
      <c r="F6297" t="s">
        <v>83</v>
      </c>
      <c r="G6297">
        <v>0</v>
      </c>
      <c r="H6297">
        <v>33081</v>
      </c>
      <c r="I6297" t="s">
        <v>3598</v>
      </c>
      <c r="J6297">
        <v>64</v>
      </c>
      <c r="K6297">
        <v>2</v>
      </c>
      <c r="L6297">
        <v>98</v>
      </c>
      <c r="M6297">
        <v>633.09997558999999</v>
      </c>
      <c r="N6297" t="s">
        <v>85</v>
      </c>
      <c r="O6297" t="s">
        <v>82</v>
      </c>
      <c r="P6297">
        <v>125</v>
      </c>
      <c r="Q6297" t="s">
        <v>82</v>
      </c>
      <c r="R6297">
        <v>0</v>
      </c>
      <c r="S6297">
        <v>0</v>
      </c>
      <c r="T6297">
        <v>-40</v>
      </c>
      <c r="U6297">
        <v>45</v>
      </c>
      <c r="V6297">
        <v>0</v>
      </c>
      <c r="W6297">
        <v>28</v>
      </c>
      <c r="X6297">
        <v>28</v>
      </c>
      <c r="Y6297">
        <v>1</v>
      </c>
      <c r="Z6297">
        <v>1</v>
      </c>
      <c r="AA6297">
        <v>26</v>
      </c>
      <c r="AB6297">
        <v>2</v>
      </c>
      <c r="AC6297">
        <v>2</v>
      </c>
      <c r="AD6297">
        <v>3.3059999900000001</v>
      </c>
      <c r="AE6297">
        <v>6</v>
      </c>
      <c r="AF6297">
        <v>30</v>
      </c>
      <c r="AG6297">
        <v>3.2929999799999998</v>
      </c>
      <c r="AH6297">
        <v>8</v>
      </c>
      <c r="AI6297">
        <v>48</v>
      </c>
      <c r="AJ6297">
        <v>1</v>
      </c>
      <c r="AK6297">
        <v>17</v>
      </c>
      <c r="AL6297">
        <v>38</v>
      </c>
      <c r="AM6297" t="s">
        <v>43</v>
      </c>
      <c r="AN6297" t="str">
        <f>HYPERLINK("https://www.google.com/maps?q=10.83220005,79.84018707","Open Location")</f>
        <v>Open Location</v>
      </c>
    </row>
    <row r="6298" spans="1:40" x14ac:dyDescent="0.3">
      <c r="A6298" s="1">
        <v>46210.270370370374</v>
      </c>
      <c r="B6298" t="s">
        <v>40</v>
      </c>
      <c r="C6298" t="s">
        <v>41</v>
      </c>
      <c r="D6298" s="1">
        <v>46210.273379629631</v>
      </c>
      <c r="E6298" t="s">
        <v>42</v>
      </c>
      <c r="F6298" t="s">
        <v>83</v>
      </c>
      <c r="G6298">
        <v>0</v>
      </c>
      <c r="H6298">
        <v>33081</v>
      </c>
      <c r="I6298" t="s">
        <v>43</v>
      </c>
      <c r="J6298">
        <v>64</v>
      </c>
      <c r="K6298">
        <v>2</v>
      </c>
      <c r="L6298">
        <v>98</v>
      </c>
      <c r="M6298">
        <v>632.70001220999995</v>
      </c>
      <c r="N6298" t="s">
        <v>85</v>
      </c>
      <c r="O6298" t="s">
        <v>82</v>
      </c>
      <c r="P6298">
        <v>125</v>
      </c>
      <c r="Q6298" t="s">
        <v>82</v>
      </c>
      <c r="R6298">
        <v>0</v>
      </c>
      <c r="S6298">
        <v>0</v>
      </c>
      <c r="T6298">
        <v>-40</v>
      </c>
      <c r="U6298">
        <v>45</v>
      </c>
      <c r="V6298">
        <v>0</v>
      </c>
      <c r="W6298">
        <v>28</v>
      </c>
      <c r="X6298">
        <v>28</v>
      </c>
      <c r="Y6298">
        <v>1</v>
      </c>
      <c r="Z6298">
        <v>1</v>
      </c>
      <c r="AA6298">
        <v>26</v>
      </c>
      <c r="AB6298">
        <v>2</v>
      </c>
      <c r="AC6298">
        <v>2</v>
      </c>
      <c r="AD6298">
        <v>3.3059999900000001</v>
      </c>
      <c r="AE6298">
        <v>6</v>
      </c>
      <c r="AF6298">
        <v>30</v>
      </c>
      <c r="AG6298">
        <v>3.2929999799999998</v>
      </c>
      <c r="AH6298">
        <v>8</v>
      </c>
      <c r="AI6298">
        <v>48</v>
      </c>
      <c r="AJ6298">
        <v>1</v>
      </c>
      <c r="AK6298">
        <v>17</v>
      </c>
      <c r="AL6298">
        <v>38</v>
      </c>
      <c r="AM6298" t="s">
        <v>43</v>
      </c>
      <c r="AN6298" t="s">
        <v>43</v>
      </c>
    </row>
    <row r="6299" spans="1:40" x14ac:dyDescent="0.3">
      <c r="A6299" s="1">
        <v>46210.270254629628</v>
      </c>
      <c r="B6299" t="s">
        <v>40</v>
      </c>
      <c r="C6299" t="s">
        <v>41</v>
      </c>
      <c r="D6299" s="1">
        <v>46210.273113425923</v>
      </c>
      <c r="E6299" t="s">
        <v>42</v>
      </c>
      <c r="F6299" t="s">
        <v>83</v>
      </c>
      <c r="G6299">
        <v>0</v>
      </c>
      <c r="H6299">
        <v>33081</v>
      </c>
      <c r="I6299" t="s">
        <v>3599</v>
      </c>
      <c r="J6299">
        <v>64</v>
      </c>
      <c r="K6299">
        <v>2</v>
      </c>
      <c r="L6299">
        <v>98</v>
      </c>
      <c r="M6299">
        <v>632.29998779000005</v>
      </c>
      <c r="N6299" t="s">
        <v>85</v>
      </c>
      <c r="O6299" t="s">
        <v>82</v>
      </c>
      <c r="P6299">
        <v>125</v>
      </c>
      <c r="Q6299" t="s">
        <v>82</v>
      </c>
      <c r="R6299">
        <v>0</v>
      </c>
      <c r="S6299">
        <v>0</v>
      </c>
      <c r="T6299">
        <v>-40</v>
      </c>
      <c r="U6299">
        <v>45</v>
      </c>
      <c r="V6299">
        <v>0</v>
      </c>
      <c r="W6299">
        <v>28</v>
      </c>
      <c r="X6299">
        <v>28</v>
      </c>
      <c r="Y6299">
        <v>1</v>
      </c>
      <c r="Z6299">
        <v>1</v>
      </c>
      <c r="AA6299">
        <v>26</v>
      </c>
      <c r="AB6299">
        <v>2</v>
      </c>
      <c r="AC6299">
        <v>2</v>
      </c>
      <c r="AD6299">
        <v>3.3059999900000001</v>
      </c>
      <c r="AE6299">
        <v>6</v>
      </c>
      <c r="AF6299">
        <v>30</v>
      </c>
      <c r="AG6299">
        <v>3.2929999799999998</v>
      </c>
      <c r="AH6299">
        <v>8</v>
      </c>
      <c r="AI6299">
        <v>48</v>
      </c>
      <c r="AJ6299">
        <v>1</v>
      </c>
      <c r="AK6299">
        <v>17</v>
      </c>
      <c r="AL6299">
        <v>38</v>
      </c>
      <c r="AM6299" t="s">
        <v>43</v>
      </c>
      <c r="AN6299" t="str">
        <f>HYPERLINK("https://www.google.com/maps?q=10.83219814,79.84015656","Open Location")</f>
        <v>Open Location</v>
      </c>
    </row>
    <row r="6300" spans="1:40" x14ac:dyDescent="0.3">
      <c r="A6300" s="1">
        <v>46210.270138888889</v>
      </c>
      <c r="B6300" t="s">
        <v>40</v>
      </c>
      <c r="C6300" t="s">
        <v>41</v>
      </c>
      <c r="D6300" s="1">
        <v>46210.272986111115</v>
      </c>
      <c r="E6300" t="s">
        <v>42</v>
      </c>
      <c r="F6300" t="s">
        <v>83</v>
      </c>
      <c r="G6300">
        <v>0</v>
      </c>
      <c r="H6300">
        <v>33081</v>
      </c>
      <c r="I6300" t="s">
        <v>3600</v>
      </c>
      <c r="J6300">
        <v>64</v>
      </c>
      <c r="K6300">
        <v>2</v>
      </c>
      <c r="L6300">
        <v>98</v>
      </c>
      <c r="M6300">
        <v>632.70001220999995</v>
      </c>
      <c r="N6300" t="s">
        <v>85</v>
      </c>
      <c r="O6300" t="s">
        <v>82</v>
      </c>
      <c r="P6300">
        <v>125</v>
      </c>
      <c r="Q6300" t="s">
        <v>82</v>
      </c>
      <c r="R6300">
        <v>0</v>
      </c>
      <c r="S6300">
        <v>0</v>
      </c>
      <c r="T6300">
        <v>-40</v>
      </c>
      <c r="U6300">
        <v>45</v>
      </c>
      <c r="V6300">
        <v>0</v>
      </c>
      <c r="W6300" t="s">
        <v>43</v>
      </c>
      <c r="X6300" t="s">
        <v>43</v>
      </c>
      <c r="Y6300" t="s">
        <v>43</v>
      </c>
      <c r="Z6300" t="s">
        <v>43</v>
      </c>
      <c r="AA6300" t="s">
        <v>43</v>
      </c>
      <c r="AB6300" t="s">
        <v>43</v>
      </c>
      <c r="AC6300" t="s">
        <v>43</v>
      </c>
      <c r="AD6300">
        <v>3.3059999900000001</v>
      </c>
      <c r="AE6300">
        <v>6</v>
      </c>
      <c r="AF6300">
        <v>30</v>
      </c>
      <c r="AG6300">
        <v>3.2929999799999998</v>
      </c>
      <c r="AH6300">
        <v>8</v>
      </c>
      <c r="AI6300">
        <v>48</v>
      </c>
      <c r="AJ6300">
        <v>1</v>
      </c>
      <c r="AK6300">
        <v>17</v>
      </c>
      <c r="AL6300">
        <v>38</v>
      </c>
      <c r="AM6300" t="s">
        <v>43</v>
      </c>
      <c r="AN6300" t="str">
        <f>HYPERLINK("https://www.google.com/maps?q=10.83219337,79.84015656","Open Location")</f>
        <v>Open Location</v>
      </c>
    </row>
    <row r="6301" spans="1:40" x14ac:dyDescent="0.3">
      <c r="A6301" s="1">
        <v>46210.27002314815</v>
      </c>
      <c r="B6301" t="s">
        <v>40</v>
      </c>
      <c r="C6301" t="s">
        <v>41</v>
      </c>
      <c r="D6301" s="1">
        <v>46210.272881944446</v>
      </c>
      <c r="E6301" t="s">
        <v>42</v>
      </c>
      <c r="F6301" t="s">
        <v>83</v>
      </c>
      <c r="G6301">
        <v>0</v>
      </c>
      <c r="H6301">
        <v>33081</v>
      </c>
      <c r="I6301" t="s">
        <v>3059</v>
      </c>
      <c r="J6301">
        <v>64</v>
      </c>
      <c r="K6301">
        <v>2</v>
      </c>
      <c r="L6301">
        <v>98</v>
      </c>
      <c r="M6301">
        <v>632.90002441000001</v>
      </c>
      <c r="N6301" t="s">
        <v>85</v>
      </c>
      <c r="O6301" t="s">
        <v>82</v>
      </c>
      <c r="P6301">
        <v>125</v>
      </c>
      <c r="Q6301" t="s">
        <v>82</v>
      </c>
      <c r="R6301">
        <v>0</v>
      </c>
      <c r="S6301">
        <v>0</v>
      </c>
      <c r="T6301">
        <v>-40</v>
      </c>
      <c r="U6301">
        <v>45</v>
      </c>
      <c r="V6301">
        <v>0</v>
      </c>
      <c r="W6301">
        <v>28</v>
      </c>
      <c r="X6301">
        <v>28</v>
      </c>
      <c r="Y6301">
        <v>1</v>
      </c>
      <c r="Z6301">
        <v>1</v>
      </c>
      <c r="AA6301">
        <v>26</v>
      </c>
      <c r="AB6301">
        <v>2</v>
      </c>
      <c r="AC6301">
        <v>2</v>
      </c>
      <c r="AD6301">
        <v>3.3059999900000001</v>
      </c>
      <c r="AE6301">
        <v>6</v>
      </c>
      <c r="AF6301">
        <v>30</v>
      </c>
      <c r="AG6301">
        <v>3.2929999799999998</v>
      </c>
      <c r="AH6301">
        <v>6</v>
      </c>
      <c r="AI6301">
        <v>34</v>
      </c>
      <c r="AJ6301">
        <v>1</v>
      </c>
      <c r="AK6301">
        <v>17</v>
      </c>
      <c r="AL6301">
        <v>38</v>
      </c>
      <c r="AM6301" t="s">
        <v>43</v>
      </c>
      <c r="AN6301" t="str">
        <f>HYPERLINK("https://www.google.com/maps?q=10.83219528,79.84014893","Open Location")</f>
        <v>Open Location</v>
      </c>
    </row>
    <row r="6302" spans="1:40" x14ac:dyDescent="0.3">
      <c r="A6302" s="1">
        <v>46210.269907407404</v>
      </c>
      <c r="B6302" t="s">
        <v>40</v>
      </c>
      <c r="C6302" t="s">
        <v>41</v>
      </c>
      <c r="D6302" s="1">
        <v>46210.273125</v>
      </c>
      <c r="E6302" t="s">
        <v>42</v>
      </c>
      <c r="F6302" t="s">
        <v>83</v>
      </c>
      <c r="G6302">
        <v>0</v>
      </c>
      <c r="H6302">
        <v>33081</v>
      </c>
      <c r="I6302" t="s">
        <v>3601</v>
      </c>
      <c r="J6302">
        <v>64</v>
      </c>
      <c r="K6302">
        <v>2</v>
      </c>
      <c r="L6302">
        <v>98</v>
      </c>
      <c r="M6302">
        <v>632.40002441000001</v>
      </c>
      <c r="N6302" t="s">
        <v>85</v>
      </c>
      <c r="O6302" t="s">
        <v>82</v>
      </c>
      <c r="P6302">
        <v>125</v>
      </c>
      <c r="Q6302" t="s">
        <v>43</v>
      </c>
      <c r="R6302">
        <v>0</v>
      </c>
      <c r="S6302">
        <v>0</v>
      </c>
      <c r="T6302">
        <v>-40</v>
      </c>
      <c r="U6302">
        <v>45</v>
      </c>
      <c r="V6302">
        <v>0</v>
      </c>
      <c r="W6302" t="s">
        <v>43</v>
      </c>
      <c r="X6302" t="s">
        <v>43</v>
      </c>
      <c r="Y6302" t="s">
        <v>43</v>
      </c>
      <c r="Z6302" t="s">
        <v>43</v>
      </c>
      <c r="AA6302" t="s">
        <v>43</v>
      </c>
      <c r="AB6302" t="s">
        <v>43</v>
      </c>
      <c r="AC6302" t="s">
        <v>43</v>
      </c>
      <c r="AD6302">
        <v>3.3050000700000002</v>
      </c>
      <c r="AE6302">
        <v>6</v>
      </c>
      <c r="AF6302">
        <v>30</v>
      </c>
      <c r="AG6302">
        <v>3.2920000599999999</v>
      </c>
      <c r="AH6302">
        <v>8</v>
      </c>
      <c r="AI6302">
        <v>48</v>
      </c>
      <c r="AJ6302" t="s">
        <v>43</v>
      </c>
      <c r="AK6302" t="s">
        <v>43</v>
      </c>
      <c r="AL6302">
        <v>38</v>
      </c>
      <c r="AM6302" t="s">
        <v>43</v>
      </c>
      <c r="AN6302" t="str">
        <f>HYPERLINK("https://www.google.com/maps?q=10.83219337,79.84014893","Open Location")</f>
        <v>Open Location</v>
      </c>
    </row>
    <row r="6303" spans="1:40" x14ac:dyDescent="0.3">
      <c r="A6303" s="1">
        <v>46210.269791666666</v>
      </c>
      <c r="B6303" t="s">
        <v>40</v>
      </c>
      <c r="C6303" t="s">
        <v>41</v>
      </c>
      <c r="D6303" s="1">
        <v>46210.272511574076</v>
      </c>
      <c r="E6303" t="s">
        <v>42</v>
      </c>
      <c r="F6303" t="s">
        <v>83</v>
      </c>
      <c r="G6303">
        <v>0</v>
      </c>
      <c r="H6303">
        <v>33081</v>
      </c>
      <c r="I6303" t="s">
        <v>3600</v>
      </c>
      <c r="J6303">
        <v>64</v>
      </c>
      <c r="K6303">
        <v>8</v>
      </c>
      <c r="L6303">
        <v>98</v>
      </c>
      <c r="M6303">
        <v>632.70001220999995</v>
      </c>
      <c r="N6303" t="s">
        <v>85</v>
      </c>
      <c r="O6303" t="s">
        <v>82</v>
      </c>
      <c r="P6303">
        <v>125</v>
      </c>
      <c r="Q6303" t="s">
        <v>82</v>
      </c>
      <c r="R6303">
        <v>0</v>
      </c>
      <c r="S6303">
        <v>0</v>
      </c>
      <c r="T6303">
        <v>-40</v>
      </c>
      <c r="U6303">
        <v>45</v>
      </c>
      <c r="V6303">
        <v>0</v>
      </c>
      <c r="W6303">
        <v>28</v>
      </c>
      <c r="X6303">
        <v>28</v>
      </c>
      <c r="Y6303">
        <v>1</v>
      </c>
      <c r="Z6303">
        <v>1</v>
      </c>
      <c r="AA6303">
        <v>26</v>
      </c>
      <c r="AB6303">
        <v>2</v>
      </c>
      <c r="AC6303">
        <v>2</v>
      </c>
      <c r="AD6303">
        <v>3.3039999</v>
      </c>
      <c r="AE6303">
        <v>6</v>
      </c>
      <c r="AF6303">
        <v>30</v>
      </c>
      <c r="AG6303">
        <v>3.2909998900000001</v>
      </c>
      <c r="AH6303">
        <v>8</v>
      </c>
      <c r="AI6303">
        <v>48</v>
      </c>
      <c r="AJ6303">
        <v>1</v>
      </c>
      <c r="AK6303">
        <v>17</v>
      </c>
      <c r="AL6303">
        <v>38</v>
      </c>
      <c r="AM6303" t="s">
        <v>43</v>
      </c>
      <c r="AN6303" t="str">
        <f>HYPERLINK("https://www.google.com/maps?q=10.83219337,79.84015656","Open Location")</f>
        <v>Open Location</v>
      </c>
    </row>
    <row r="6304" spans="1:40" x14ac:dyDescent="0.3">
      <c r="A6304" s="1">
        <v>46210.269675925927</v>
      </c>
      <c r="B6304" t="s">
        <v>40</v>
      </c>
      <c r="C6304" t="s">
        <v>41</v>
      </c>
      <c r="D6304" s="1">
        <v>46210.272534722222</v>
      </c>
      <c r="E6304" t="s">
        <v>42</v>
      </c>
      <c r="F6304" t="s">
        <v>83</v>
      </c>
      <c r="G6304">
        <v>0</v>
      </c>
      <c r="H6304">
        <v>33081</v>
      </c>
      <c r="I6304" t="s">
        <v>43</v>
      </c>
      <c r="J6304">
        <v>64</v>
      </c>
      <c r="K6304">
        <v>9</v>
      </c>
      <c r="L6304">
        <v>98</v>
      </c>
      <c r="M6304">
        <v>632.90002441000001</v>
      </c>
      <c r="N6304" t="s">
        <v>85</v>
      </c>
      <c r="O6304" t="s">
        <v>82</v>
      </c>
      <c r="P6304">
        <v>125</v>
      </c>
      <c r="Q6304" t="s">
        <v>82</v>
      </c>
      <c r="R6304">
        <v>0</v>
      </c>
      <c r="S6304">
        <v>0</v>
      </c>
      <c r="T6304">
        <v>-40</v>
      </c>
      <c r="U6304">
        <v>45</v>
      </c>
      <c r="V6304">
        <v>0</v>
      </c>
      <c r="W6304">
        <v>28</v>
      </c>
      <c r="X6304">
        <v>28</v>
      </c>
      <c r="Y6304">
        <v>1</v>
      </c>
      <c r="Z6304">
        <v>1</v>
      </c>
      <c r="AA6304">
        <v>26</v>
      </c>
      <c r="AB6304">
        <v>2</v>
      </c>
      <c r="AC6304">
        <v>2</v>
      </c>
      <c r="AD6304">
        <v>3.3039999</v>
      </c>
      <c r="AE6304">
        <v>6</v>
      </c>
      <c r="AF6304">
        <v>30</v>
      </c>
      <c r="AG6304">
        <v>3.2909998900000001</v>
      </c>
      <c r="AH6304">
        <v>8</v>
      </c>
      <c r="AI6304">
        <v>48</v>
      </c>
      <c r="AJ6304">
        <v>1</v>
      </c>
      <c r="AK6304">
        <v>17</v>
      </c>
      <c r="AL6304">
        <v>38</v>
      </c>
      <c r="AM6304" t="s">
        <v>43</v>
      </c>
      <c r="AN6304" t="s">
        <v>43</v>
      </c>
    </row>
    <row r="6305" spans="1:40" x14ac:dyDescent="0.3">
      <c r="A6305" s="1">
        <v>46210.269560185188</v>
      </c>
      <c r="B6305" t="s">
        <v>40</v>
      </c>
      <c r="C6305" t="s">
        <v>41</v>
      </c>
      <c r="D6305" s="1">
        <v>46210.272534722222</v>
      </c>
      <c r="E6305" t="s">
        <v>42</v>
      </c>
      <c r="F6305" t="s">
        <v>83</v>
      </c>
      <c r="G6305">
        <v>0</v>
      </c>
      <c r="H6305">
        <v>33081</v>
      </c>
      <c r="I6305" t="s">
        <v>3602</v>
      </c>
      <c r="J6305">
        <v>64</v>
      </c>
      <c r="K6305">
        <v>4</v>
      </c>
      <c r="L6305">
        <v>98</v>
      </c>
      <c r="M6305">
        <v>632.5</v>
      </c>
      <c r="N6305" t="s">
        <v>85</v>
      </c>
      <c r="O6305" t="s">
        <v>82</v>
      </c>
      <c r="P6305">
        <v>125</v>
      </c>
      <c r="Q6305" t="s">
        <v>82</v>
      </c>
      <c r="R6305">
        <v>0</v>
      </c>
      <c r="S6305">
        <v>0</v>
      </c>
      <c r="T6305">
        <v>-40</v>
      </c>
      <c r="U6305">
        <v>45</v>
      </c>
      <c r="V6305">
        <v>0</v>
      </c>
      <c r="W6305">
        <v>28</v>
      </c>
      <c r="X6305">
        <v>28</v>
      </c>
      <c r="Y6305">
        <v>1</v>
      </c>
      <c r="Z6305">
        <v>1</v>
      </c>
      <c r="AA6305">
        <v>26</v>
      </c>
      <c r="AB6305">
        <v>2</v>
      </c>
      <c r="AC6305">
        <v>2</v>
      </c>
      <c r="AD6305">
        <v>3.3059999900000001</v>
      </c>
      <c r="AE6305">
        <v>6</v>
      </c>
      <c r="AF6305">
        <v>30</v>
      </c>
      <c r="AG6305">
        <v>3.2929999799999998</v>
      </c>
      <c r="AH6305">
        <v>8</v>
      </c>
      <c r="AI6305">
        <v>9</v>
      </c>
      <c r="AJ6305">
        <v>1</v>
      </c>
      <c r="AK6305">
        <v>17</v>
      </c>
      <c r="AL6305">
        <v>38</v>
      </c>
      <c r="AM6305" t="s">
        <v>43</v>
      </c>
      <c r="AN6305" t="str">
        <f>HYPERLINK("https://www.google.com/maps?q=10.83219242,79.84017181","Open Location")</f>
        <v>Open Location</v>
      </c>
    </row>
    <row r="6306" spans="1:40" x14ac:dyDescent="0.3">
      <c r="A6306" s="1">
        <v>46210.269444444442</v>
      </c>
      <c r="B6306" t="s">
        <v>40</v>
      </c>
      <c r="C6306" t="s">
        <v>41</v>
      </c>
      <c r="D6306" s="1">
        <v>46210.272326388891</v>
      </c>
      <c r="E6306" t="s">
        <v>42</v>
      </c>
      <c r="F6306" t="s">
        <v>83</v>
      </c>
      <c r="G6306">
        <v>0</v>
      </c>
      <c r="H6306" t="s">
        <v>43</v>
      </c>
      <c r="I6306" t="s">
        <v>3602</v>
      </c>
      <c r="J6306">
        <v>64</v>
      </c>
      <c r="K6306">
        <v>2</v>
      </c>
      <c r="L6306">
        <v>98</v>
      </c>
      <c r="M6306">
        <v>633.20001220999995</v>
      </c>
      <c r="N6306" t="s">
        <v>85</v>
      </c>
      <c r="O6306" t="s">
        <v>82</v>
      </c>
      <c r="P6306">
        <v>125</v>
      </c>
      <c r="Q6306" t="s">
        <v>82</v>
      </c>
      <c r="R6306">
        <v>0</v>
      </c>
      <c r="S6306">
        <v>0</v>
      </c>
      <c r="T6306">
        <v>-40</v>
      </c>
      <c r="U6306">
        <v>45</v>
      </c>
      <c r="V6306">
        <v>0</v>
      </c>
      <c r="W6306" t="s">
        <v>43</v>
      </c>
      <c r="X6306" t="s">
        <v>43</v>
      </c>
      <c r="Y6306" t="s">
        <v>43</v>
      </c>
      <c r="Z6306" t="s">
        <v>43</v>
      </c>
      <c r="AA6306" t="s">
        <v>43</v>
      </c>
      <c r="AB6306" t="s">
        <v>43</v>
      </c>
      <c r="AC6306" t="s">
        <v>43</v>
      </c>
      <c r="AD6306">
        <v>3.3050000700000002</v>
      </c>
      <c r="AE6306">
        <v>6</v>
      </c>
      <c r="AF6306">
        <v>30</v>
      </c>
      <c r="AG6306">
        <v>3.2929999799999998</v>
      </c>
      <c r="AH6306">
        <v>8</v>
      </c>
      <c r="AI6306">
        <v>9</v>
      </c>
      <c r="AJ6306">
        <v>1</v>
      </c>
      <c r="AK6306">
        <v>17</v>
      </c>
      <c r="AL6306">
        <v>38</v>
      </c>
      <c r="AM6306" t="s">
        <v>43</v>
      </c>
      <c r="AN6306" t="str">
        <f>HYPERLINK("https://www.google.com/maps?q=10.83219242,79.84017181","Open Location")</f>
        <v>Open Location</v>
      </c>
    </row>
    <row r="6307" spans="1:40" x14ac:dyDescent="0.3">
      <c r="A6307" s="1">
        <v>46210.269328703704</v>
      </c>
      <c r="B6307" t="s">
        <v>40</v>
      </c>
      <c r="C6307" t="s">
        <v>41</v>
      </c>
      <c r="D6307" s="1">
        <v>46210.271979166668</v>
      </c>
      <c r="E6307" t="s">
        <v>42</v>
      </c>
      <c r="F6307" t="s">
        <v>83</v>
      </c>
      <c r="G6307">
        <v>0</v>
      </c>
      <c r="H6307">
        <v>33081</v>
      </c>
      <c r="I6307" t="s">
        <v>3603</v>
      </c>
      <c r="J6307">
        <v>64</v>
      </c>
      <c r="K6307">
        <v>2</v>
      </c>
      <c r="L6307">
        <v>98</v>
      </c>
      <c r="M6307">
        <v>632.70001220999995</v>
      </c>
      <c r="N6307" t="s">
        <v>85</v>
      </c>
      <c r="O6307" t="s">
        <v>82</v>
      </c>
      <c r="P6307">
        <v>125</v>
      </c>
      <c r="Q6307" t="s">
        <v>82</v>
      </c>
      <c r="R6307">
        <v>0</v>
      </c>
      <c r="S6307">
        <v>0</v>
      </c>
      <c r="T6307">
        <v>-40</v>
      </c>
      <c r="U6307">
        <v>45</v>
      </c>
      <c r="V6307">
        <v>0</v>
      </c>
      <c r="W6307">
        <v>28</v>
      </c>
      <c r="X6307">
        <v>28</v>
      </c>
      <c r="Y6307">
        <v>1</v>
      </c>
      <c r="Z6307">
        <v>1</v>
      </c>
      <c r="AA6307">
        <v>26</v>
      </c>
      <c r="AB6307">
        <v>2</v>
      </c>
      <c r="AC6307">
        <v>2</v>
      </c>
      <c r="AD6307">
        <v>3.3050000700000002</v>
      </c>
      <c r="AE6307">
        <v>6</v>
      </c>
      <c r="AF6307">
        <v>30</v>
      </c>
      <c r="AG6307">
        <v>3.2929999799999998</v>
      </c>
      <c r="AH6307">
        <v>6</v>
      </c>
      <c r="AI6307">
        <v>34</v>
      </c>
      <c r="AJ6307">
        <v>1</v>
      </c>
      <c r="AK6307">
        <v>17</v>
      </c>
      <c r="AL6307">
        <v>38</v>
      </c>
      <c r="AM6307" t="s">
        <v>43</v>
      </c>
      <c r="AN6307" t="str">
        <f>HYPERLINK("https://www.google.com/maps?q=10.83218765,79.84015656","Open Location")</f>
        <v>Open Location</v>
      </c>
    </row>
    <row r="6308" spans="1:40" x14ac:dyDescent="0.3">
      <c r="A6308" s="1">
        <v>46210.269212962965</v>
      </c>
      <c r="B6308" t="s">
        <v>40</v>
      </c>
      <c r="C6308" t="s">
        <v>41</v>
      </c>
      <c r="D6308" s="1">
        <v>46210.272129629629</v>
      </c>
      <c r="E6308" t="s">
        <v>42</v>
      </c>
      <c r="F6308" t="s">
        <v>83</v>
      </c>
      <c r="G6308">
        <v>0</v>
      </c>
      <c r="H6308">
        <v>33081</v>
      </c>
      <c r="I6308" t="s">
        <v>3604</v>
      </c>
      <c r="J6308">
        <v>64</v>
      </c>
      <c r="K6308">
        <v>2</v>
      </c>
      <c r="L6308">
        <v>98</v>
      </c>
      <c r="M6308">
        <v>633.09997558999999</v>
      </c>
      <c r="N6308" t="s">
        <v>85</v>
      </c>
      <c r="O6308" t="s">
        <v>82</v>
      </c>
      <c r="P6308">
        <v>125</v>
      </c>
      <c r="Q6308" t="s">
        <v>43</v>
      </c>
      <c r="R6308">
        <v>0</v>
      </c>
      <c r="S6308">
        <v>0</v>
      </c>
      <c r="T6308">
        <v>-40</v>
      </c>
      <c r="U6308">
        <v>45</v>
      </c>
      <c r="V6308">
        <v>0</v>
      </c>
      <c r="W6308" t="s">
        <v>43</v>
      </c>
      <c r="X6308" t="s">
        <v>43</v>
      </c>
      <c r="Y6308" t="s">
        <v>43</v>
      </c>
      <c r="Z6308" t="s">
        <v>43</v>
      </c>
      <c r="AA6308" t="s">
        <v>43</v>
      </c>
      <c r="AB6308" t="s">
        <v>43</v>
      </c>
      <c r="AC6308" t="s">
        <v>43</v>
      </c>
      <c r="AD6308">
        <v>3.3050000700000002</v>
      </c>
      <c r="AE6308">
        <v>6</v>
      </c>
      <c r="AF6308">
        <v>30</v>
      </c>
      <c r="AG6308">
        <v>3.2929999799999998</v>
      </c>
      <c r="AH6308">
        <v>2</v>
      </c>
      <c r="AI6308">
        <v>45</v>
      </c>
      <c r="AJ6308" t="s">
        <v>43</v>
      </c>
      <c r="AK6308" t="s">
        <v>43</v>
      </c>
      <c r="AL6308" t="s">
        <v>43</v>
      </c>
      <c r="AM6308" t="s">
        <v>43</v>
      </c>
      <c r="AN6308" t="str">
        <f>HYPERLINK("https://www.google.com/maps?q=10.83218288,79.84017181","Open Location")</f>
        <v>Open Location</v>
      </c>
    </row>
    <row r="6309" spans="1:40" x14ac:dyDescent="0.3">
      <c r="A6309" s="1">
        <v>46210.269097222219</v>
      </c>
      <c r="B6309" t="s">
        <v>40</v>
      </c>
      <c r="C6309" t="s">
        <v>41</v>
      </c>
      <c r="D6309" s="1">
        <v>46210.271909722222</v>
      </c>
      <c r="E6309" t="s">
        <v>42</v>
      </c>
      <c r="F6309" t="s">
        <v>83</v>
      </c>
      <c r="G6309">
        <v>0</v>
      </c>
      <c r="H6309">
        <v>33081</v>
      </c>
      <c r="I6309" t="s">
        <v>3605</v>
      </c>
      <c r="J6309">
        <v>64</v>
      </c>
      <c r="K6309">
        <v>2</v>
      </c>
      <c r="L6309">
        <v>98</v>
      </c>
      <c r="M6309">
        <v>633</v>
      </c>
      <c r="N6309" t="s">
        <v>85</v>
      </c>
      <c r="O6309" t="s">
        <v>82</v>
      </c>
      <c r="P6309">
        <v>125</v>
      </c>
      <c r="Q6309" t="s">
        <v>82</v>
      </c>
      <c r="R6309">
        <v>0</v>
      </c>
      <c r="S6309">
        <v>0</v>
      </c>
      <c r="T6309">
        <v>-40</v>
      </c>
      <c r="U6309">
        <v>45</v>
      </c>
      <c r="V6309">
        <v>0</v>
      </c>
      <c r="W6309">
        <v>28</v>
      </c>
      <c r="X6309">
        <v>28</v>
      </c>
      <c r="Y6309">
        <v>1</v>
      </c>
      <c r="Z6309">
        <v>1</v>
      </c>
      <c r="AA6309">
        <v>26</v>
      </c>
      <c r="AB6309">
        <v>2</v>
      </c>
      <c r="AC6309">
        <v>2</v>
      </c>
      <c r="AD6309">
        <v>3.3050000700000002</v>
      </c>
      <c r="AE6309">
        <v>6</v>
      </c>
      <c r="AF6309">
        <v>30</v>
      </c>
      <c r="AG6309">
        <v>3.2920000599999999</v>
      </c>
      <c r="AH6309">
        <v>8</v>
      </c>
      <c r="AI6309">
        <v>48</v>
      </c>
      <c r="AJ6309">
        <v>1</v>
      </c>
      <c r="AK6309">
        <v>17</v>
      </c>
      <c r="AL6309">
        <v>38</v>
      </c>
      <c r="AM6309" t="s">
        <v>43</v>
      </c>
      <c r="AN6309" t="str">
        <f>HYPERLINK("https://www.google.com/maps?q=10.83217621,79.84017181","Open Location")</f>
        <v>Open Location</v>
      </c>
    </row>
    <row r="6310" spans="1:40" x14ac:dyDescent="0.3">
      <c r="A6310" s="1">
        <v>46210.26898148148</v>
      </c>
      <c r="B6310" t="s">
        <v>40</v>
      </c>
      <c r="C6310" t="s">
        <v>41</v>
      </c>
      <c r="D6310" s="1">
        <v>46210.271909722222</v>
      </c>
      <c r="E6310" t="s">
        <v>42</v>
      </c>
      <c r="F6310" t="s">
        <v>83</v>
      </c>
      <c r="G6310">
        <v>0</v>
      </c>
      <c r="H6310" t="s">
        <v>43</v>
      </c>
      <c r="I6310" t="s">
        <v>43</v>
      </c>
      <c r="J6310">
        <v>64</v>
      </c>
      <c r="K6310">
        <v>2</v>
      </c>
      <c r="L6310">
        <v>98</v>
      </c>
      <c r="M6310">
        <v>632.5</v>
      </c>
      <c r="N6310" t="s">
        <v>85</v>
      </c>
      <c r="O6310" t="s">
        <v>82</v>
      </c>
      <c r="P6310">
        <v>125</v>
      </c>
      <c r="Q6310" t="s">
        <v>82</v>
      </c>
      <c r="R6310">
        <v>0</v>
      </c>
      <c r="S6310">
        <v>0</v>
      </c>
      <c r="T6310">
        <v>-40</v>
      </c>
      <c r="U6310">
        <v>45</v>
      </c>
      <c r="V6310">
        <v>0</v>
      </c>
      <c r="W6310">
        <v>28</v>
      </c>
      <c r="X6310">
        <v>28</v>
      </c>
      <c r="Y6310">
        <v>1</v>
      </c>
      <c r="Z6310">
        <v>1</v>
      </c>
      <c r="AA6310">
        <v>26</v>
      </c>
      <c r="AB6310">
        <v>2</v>
      </c>
      <c r="AC6310">
        <v>2</v>
      </c>
      <c r="AD6310">
        <v>3.3050000700000002</v>
      </c>
      <c r="AE6310">
        <v>6</v>
      </c>
      <c r="AF6310">
        <v>30</v>
      </c>
      <c r="AG6310">
        <v>3.2920000599999999</v>
      </c>
      <c r="AH6310">
        <v>8</v>
      </c>
      <c r="AI6310">
        <v>48</v>
      </c>
      <c r="AJ6310">
        <v>1</v>
      </c>
      <c r="AK6310">
        <v>17</v>
      </c>
      <c r="AL6310">
        <v>38</v>
      </c>
      <c r="AM6310" t="s">
        <v>43</v>
      </c>
      <c r="AN6310" t="s">
        <v>43</v>
      </c>
    </row>
    <row r="6311" spans="1:40" x14ac:dyDescent="0.3">
      <c r="A6311" s="1">
        <v>46210.268865740742</v>
      </c>
      <c r="B6311" t="s">
        <v>40</v>
      </c>
      <c r="C6311" t="s">
        <v>41</v>
      </c>
      <c r="D6311" s="1">
        <v>46210.271782407406</v>
      </c>
      <c r="E6311" t="s">
        <v>42</v>
      </c>
      <c r="F6311" t="s">
        <v>83</v>
      </c>
      <c r="G6311">
        <v>0</v>
      </c>
      <c r="H6311">
        <v>33081</v>
      </c>
      <c r="I6311" t="s">
        <v>3606</v>
      </c>
      <c r="J6311">
        <v>64</v>
      </c>
      <c r="K6311">
        <v>2</v>
      </c>
      <c r="L6311">
        <v>98</v>
      </c>
      <c r="M6311">
        <v>632.5</v>
      </c>
      <c r="N6311" t="s">
        <v>85</v>
      </c>
      <c r="O6311" t="s">
        <v>82</v>
      </c>
      <c r="P6311">
        <v>125</v>
      </c>
      <c r="Q6311" t="s">
        <v>82</v>
      </c>
      <c r="R6311">
        <v>0</v>
      </c>
      <c r="S6311">
        <v>0</v>
      </c>
      <c r="T6311">
        <v>-40</v>
      </c>
      <c r="U6311">
        <v>45</v>
      </c>
      <c r="V6311">
        <v>0</v>
      </c>
      <c r="W6311">
        <v>28</v>
      </c>
      <c r="X6311">
        <v>28</v>
      </c>
      <c r="Y6311">
        <v>1</v>
      </c>
      <c r="Z6311">
        <v>1</v>
      </c>
      <c r="AA6311">
        <v>26</v>
      </c>
      <c r="AB6311">
        <v>2</v>
      </c>
      <c r="AC6311">
        <v>2</v>
      </c>
      <c r="AD6311">
        <v>3.3050000700000002</v>
      </c>
      <c r="AE6311">
        <v>6</v>
      </c>
      <c r="AF6311">
        <v>30</v>
      </c>
      <c r="AG6311">
        <v>3.2920000599999999</v>
      </c>
      <c r="AH6311">
        <v>8</v>
      </c>
      <c r="AI6311">
        <v>48</v>
      </c>
      <c r="AJ6311">
        <v>1</v>
      </c>
      <c r="AK6311">
        <v>17</v>
      </c>
      <c r="AL6311">
        <v>38</v>
      </c>
      <c r="AM6311" t="s">
        <v>43</v>
      </c>
      <c r="AN6311" t="str">
        <f>HYPERLINK("https://www.google.com/maps?q=10.83217335,79.84017944","Open Location")</f>
        <v>Open Location</v>
      </c>
    </row>
    <row r="6312" spans="1:40" x14ac:dyDescent="0.3">
      <c r="A6312" s="1">
        <v>46210.268750000003</v>
      </c>
      <c r="B6312" t="s">
        <v>40</v>
      </c>
      <c r="C6312" t="s">
        <v>41</v>
      </c>
      <c r="D6312" s="1">
        <v>46210.271782407406</v>
      </c>
      <c r="E6312" t="s">
        <v>42</v>
      </c>
      <c r="F6312" t="s">
        <v>83</v>
      </c>
      <c r="G6312">
        <v>0</v>
      </c>
      <c r="H6312">
        <v>33081</v>
      </c>
      <c r="I6312" t="s">
        <v>3607</v>
      </c>
      <c r="J6312">
        <v>64</v>
      </c>
      <c r="K6312">
        <v>2</v>
      </c>
      <c r="L6312">
        <v>98</v>
      </c>
      <c r="M6312">
        <v>633.09997558999999</v>
      </c>
      <c r="N6312" t="s">
        <v>85</v>
      </c>
      <c r="O6312" t="s">
        <v>82</v>
      </c>
      <c r="P6312">
        <v>125</v>
      </c>
      <c r="Q6312" t="s">
        <v>82</v>
      </c>
      <c r="R6312">
        <v>0</v>
      </c>
      <c r="S6312">
        <v>0</v>
      </c>
      <c r="T6312">
        <v>-40</v>
      </c>
      <c r="U6312">
        <v>45</v>
      </c>
      <c r="V6312">
        <v>0</v>
      </c>
      <c r="W6312" t="s">
        <v>43</v>
      </c>
      <c r="X6312" t="s">
        <v>43</v>
      </c>
      <c r="Y6312" t="s">
        <v>43</v>
      </c>
      <c r="Z6312" t="s">
        <v>43</v>
      </c>
      <c r="AA6312" t="s">
        <v>43</v>
      </c>
      <c r="AB6312" t="s">
        <v>43</v>
      </c>
      <c r="AC6312" t="s">
        <v>43</v>
      </c>
      <c r="AD6312">
        <v>3.3039999</v>
      </c>
      <c r="AE6312">
        <v>6</v>
      </c>
      <c r="AF6312">
        <v>30</v>
      </c>
      <c r="AG6312">
        <v>3.2920000599999999</v>
      </c>
      <c r="AH6312">
        <v>8</v>
      </c>
      <c r="AI6312">
        <v>48</v>
      </c>
      <c r="AJ6312">
        <v>1</v>
      </c>
      <c r="AK6312">
        <v>17</v>
      </c>
      <c r="AL6312">
        <v>38</v>
      </c>
      <c r="AM6312" t="s">
        <v>43</v>
      </c>
      <c r="AN6312" t="str">
        <f>HYPERLINK("https://www.google.com/maps?q=10.83217144,79.84017944","Open Location")</f>
        <v>Open Location</v>
      </c>
    </row>
    <row r="6313" spans="1:40" x14ac:dyDescent="0.3">
      <c r="A6313" s="1">
        <v>46210.268634259257</v>
      </c>
      <c r="B6313" t="s">
        <v>40</v>
      </c>
      <c r="C6313" t="s">
        <v>41</v>
      </c>
      <c r="D6313" s="1">
        <v>46210.271782407406</v>
      </c>
      <c r="E6313" t="s">
        <v>42</v>
      </c>
      <c r="F6313" t="s">
        <v>83</v>
      </c>
      <c r="G6313">
        <v>0</v>
      </c>
      <c r="H6313">
        <v>33081</v>
      </c>
      <c r="I6313" t="s">
        <v>3608</v>
      </c>
      <c r="J6313">
        <v>64</v>
      </c>
      <c r="K6313">
        <v>2</v>
      </c>
      <c r="L6313">
        <v>98</v>
      </c>
      <c r="M6313">
        <v>632.90002441000001</v>
      </c>
      <c r="N6313" t="s">
        <v>85</v>
      </c>
      <c r="O6313" t="s">
        <v>82</v>
      </c>
      <c r="P6313">
        <v>125</v>
      </c>
      <c r="Q6313" t="s">
        <v>82</v>
      </c>
      <c r="R6313">
        <v>0</v>
      </c>
      <c r="S6313">
        <v>0</v>
      </c>
      <c r="T6313">
        <v>-40</v>
      </c>
      <c r="U6313">
        <v>45</v>
      </c>
      <c r="V6313">
        <v>0</v>
      </c>
      <c r="W6313">
        <v>28</v>
      </c>
      <c r="X6313">
        <v>28</v>
      </c>
      <c r="Y6313">
        <v>1</v>
      </c>
      <c r="Z6313">
        <v>1</v>
      </c>
      <c r="AA6313">
        <v>26</v>
      </c>
      <c r="AB6313">
        <v>2</v>
      </c>
      <c r="AC6313">
        <v>2</v>
      </c>
      <c r="AD6313">
        <v>3.3039999</v>
      </c>
      <c r="AE6313">
        <v>6</v>
      </c>
      <c r="AF6313">
        <v>30</v>
      </c>
      <c r="AG6313">
        <v>3.2920000599999999</v>
      </c>
      <c r="AH6313">
        <v>8</v>
      </c>
      <c r="AI6313">
        <v>48</v>
      </c>
      <c r="AJ6313">
        <v>1</v>
      </c>
      <c r="AK6313">
        <v>17</v>
      </c>
      <c r="AL6313">
        <v>38</v>
      </c>
      <c r="AM6313" t="s">
        <v>43</v>
      </c>
      <c r="AN6313" t="str">
        <f>HYPERLINK("https://www.google.com/maps?q=10.83216858,79.84015656","Open Location")</f>
        <v>Open Location</v>
      </c>
    </row>
    <row r="6314" spans="1:40" x14ac:dyDescent="0.3">
      <c r="A6314" s="1">
        <v>46210.268518518518</v>
      </c>
      <c r="B6314" t="s">
        <v>40</v>
      </c>
      <c r="C6314" t="s">
        <v>41</v>
      </c>
      <c r="D6314" s="1">
        <v>46210.271585648145</v>
      </c>
      <c r="E6314" t="s">
        <v>42</v>
      </c>
      <c r="F6314" t="s">
        <v>83</v>
      </c>
      <c r="G6314">
        <v>0</v>
      </c>
      <c r="H6314">
        <v>33081</v>
      </c>
      <c r="I6314" t="s">
        <v>3609</v>
      </c>
      <c r="J6314">
        <v>64</v>
      </c>
      <c r="K6314">
        <v>2</v>
      </c>
      <c r="L6314">
        <v>98</v>
      </c>
      <c r="M6314">
        <v>632.90002441000001</v>
      </c>
      <c r="N6314" t="s">
        <v>85</v>
      </c>
      <c r="O6314" t="s">
        <v>82</v>
      </c>
      <c r="P6314">
        <v>125</v>
      </c>
      <c r="Q6314" t="s">
        <v>43</v>
      </c>
      <c r="R6314">
        <v>0</v>
      </c>
      <c r="S6314">
        <v>0</v>
      </c>
      <c r="T6314">
        <v>-40</v>
      </c>
      <c r="U6314">
        <v>45</v>
      </c>
      <c r="V6314">
        <v>0</v>
      </c>
      <c r="W6314" t="s">
        <v>43</v>
      </c>
      <c r="X6314" t="s">
        <v>43</v>
      </c>
      <c r="Y6314" t="s">
        <v>43</v>
      </c>
      <c r="Z6314" t="s">
        <v>43</v>
      </c>
      <c r="AA6314" t="s">
        <v>43</v>
      </c>
      <c r="AB6314" t="s">
        <v>43</v>
      </c>
      <c r="AC6314" t="s">
        <v>43</v>
      </c>
      <c r="AD6314">
        <v>3.3039999</v>
      </c>
      <c r="AE6314">
        <v>6</v>
      </c>
      <c r="AF6314">
        <v>30</v>
      </c>
      <c r="AG6314">
        <v>3.2920000599999999</v>
      </c>
      <c r="AH6314">
        <v>8</v>
      </c>
      <c r="AI6314">
        <v>48</v>
      </c>
      <c r="AJ6314" t="s">
        <v>43</v>
      </c>
      <c r="AK6314" t="s">
        <v>43</v>
      </c>
      <c r="AL6314">
        <v>38</v>
      </c>
      <c r="AM6314" t="s">
        <v>43</v>
      </c>
      <c r="AN6314" t="str">
        <f>HYPERLINK("https://www.google.com/maps?q=10.83216572,79.84015656","Open Location")</f>
        <v>Open Location</v>
      </c>
    </row>
    <row r="6315" spans="1:40" x14ac:dyDescent="0.3">
      <c r="A6315" s="1">
        <v>46210.26840277778</v>
      </c>
      <c r="B6315" t="s">
        <v>40</v>
      </c>
      <c r="C6315" t="s">
        <v>41</v>
      </c>
      <c r="D6315" s="1">
        <v>46210.271238425928</v>
      </c>
      <c r="E6315" t="s">
        <v>42</v>
      </c>
      <c r="F6315" t="s">
        <v>83</v>
      </c>
      <c r="G6315">
        <v>0</v>
      </c>
      <c r="H6315">
        <v>33081</v>
      </c>
      <c r="I6315" t="s">
        <v>43</v>
      </c>
      <c r="J6315">
        <v>64</v>
      </c>
      <c r="K6315">
        <v>2</v>
      </c>
      <c r="L6315">
        <v>98</v>
      </c>
      <c r="M6315">
        <v>632.09997558999999</v>
      </c>
      <c r="N6315" t="s">
        <v>85</v>
      </c>
      <c r="O6315" t="s">
        <v>82</v>
      </c>
      <c r="P6315">
        <v>125</v>
      </c>
      <c r="Q6315" t="s">
        <v>82</v>
      </c>
      <c r="R6315">
        <v>0</v>
      </c>
      <c r="S6315">
        <v>0</v>
      </c>
      <c r="T6315">
        <v>-40</v>
      </c>
      <c r="U6315">
        <v>45</v>
      </c>
      <c r="V6315">
        <v>0</v>
      </c>
      <c r="W6315">
        <v>28</v>
      </c>
      <c r="X6315">
        <v>28</v>
      </c>
      <c r="Y6315">
        <v>1</v>
      </c>
      <c r="Z6315">
        <v>1</v>
      </c>
      <c r="AA6315">
        <v>26</v>
      </c>
      <c r="AB6315">
        <v>2</v>
      </c>
      <c r="AC6315">
        <v>2</v>
      </c>
      <c r="AD6315">
        <v>3.3039999</v>
      </c>
      <c r="AE6315">
        <v>6</v>
      </c>
      <c r="AF6315">
        <v>30</v>
      </c>
      <c r="AG6315">
        <v>3.2920000599999999</v>
      </c>
      <c r="AH6315">
        <v>8</v>
      </c>
      <c r="AI6315">
        <v>9</v>
      </c>
      <c r="AJ6315">
        <v>1</v>
      </c>
      <c r="AK6315">
        <v>17</v>
      </c>
      <c r="AL6315">
        <v>38</v>
      </c>
      <c r="AM6315" t="s">
        <v>43</v>
      </c>
      <c r="AN6315" t="s">
        <v>43</v>
      </c>
    </row>
    <row r="6316" spans="1:40" x14ac:dyDescent="0.3">
      <c r="A6316" s="1">
        <v>46210.268287037034</v>
      </c>
      <c r="B6316" t="s">
        <v>40</v>
      </c>
      <c r="C6316" t="s">
        <v>41</v>
      </c>
      <c r="D6316" s="1">
        <v>46210.271226851852</v>
      </c>
      <c r="E6316" t="s">
        <v>42</v>
      </c>
      <c r="F6316" t="s">
        <v>83</v>
      </c>
      <c r="G6316">
        <v>0</v>
      </c>
      <c r="H6316">
        <v>33081</v>
      </c>
      <c r="I6316" t="s">
        <v>3610</v>
      </c>
      <c r="J6316">
        <v>64</v>
      </c>
      <c r="K6316">
        <v>2</v>
      </c>
      <c r="L6316">
        <v>98</v>
      </c>
      <c r="M6316">
        <v>632.40002441000001</v>
      </c>
      <c r="N6316" t="s">
        <v>85</v>
      </c>
      <c r="O6316" t="s">
        <v>82</v>
      </c>
      <c r="P6316">
        <v>125</v>
      </c>
      <c r="Q6316" t="s">
        <v>82</v>
      </c>
      <c r="R6316">
        <v>0</v>
      </c>
      <c r="S6316">
        <v>0</v>
      </c>
      <c r="T6316">
        <v>-40</v>
      </c>
      <c r="U6316">
        <v>45</v>
      </c>
      <c r="V6316">
        <v>0</v>
      </c>
      <c r="W6316">
        <v>28</v>
      </c>
      <c r="X6316">
        <v>28</v>
      </c>
      <c r="Y6316">
        <v>1</v>
      </c>
      <c r="Z6316">
        <v>1</v>
      </c>
      <c r="AA6316">
        <v>26</v>
      </c>
      <c r="AB6316">
        <v>2</v>
      </c>
      <c r="AC6316">
        <v>2</v>
      </c>
      <c r="AD6316">
        <v>3.3039999</v>
      </c>
      <c r="AE6316">
        <v>6</v>
      </c>
      <c r="AF6316">
        <v>30</v>
      </c>
      <c r="AG6316">
        <v>3.2920000599999999</v>
      </c>
      <c r="AH6316">
        <v>8</v>
      </c>
      <c r="AI6316">
        <v>9</v>
      </c>
      <c r="AJ6316">
        <v>1</v>
      </c>
      <c r="AK6316">
        <v>17</v>
      </c>
      <c r="AL6316">
        <v>38</v>
      </c>
      <c r="AM6316" t="s">
        <v>43</v>
      </c>
      <c r="AN6316" t="str">
        <f>HYPERLINK("https://www.google.com/maps?q=10.83216763,79.84014893","Open Location")</f>
        <v>Open Location</v>
      </c>
    </row>
    <row r="6317" spans="1:40" x14ac:dyDescent="0.3">
      <c r="A6317" s="1">
        <v>46210.268171296295</v>
      </c>
      <c r="B6317" t="s">
        <v>40</v>
      </c>
      <c r="C6317" t="s">
        <v>41</v>
      </c>
      <c r="D6317" s="1">
        <v>46210.271006944444</v>
      </c>
      <c r="E6317" t="s">
        <v>42</v>
      </c>
      <c r="F6317" t="s">
        <v>83</v>
      </c>
      <c r="G6317">
        <v>0</v>
      </c>
      <c r="H6317">
        <v>33081</v>
      </c>
      <c r="I6317" t="s">
        <v>3611</v>
      </c>
      <c r="J6317">
        <v>64</v>
      </c>
      <c r="K6317">
        <v>2</v>
      </c>
      <c r="L6317">
        <v>98</v>
      </c>
      <c r="M6317">
        <v>632.90002441000001</v>
      </c>
      <c r="N6317" t="s">
        <v>85</v>
      </c>
      <c r="O6317" t="s">
        <v>82</v>
      </c>
      <c r="P6317">
        <v>125</v>
      </c>
      <c r="Q6317" t="s">
        <v>82</v>
      </c>
      <c r="R6317">
        <v>0</v>
      </c>
      <c r="S6317">
        <v>0</v>
      </c>
      <c r="T6317">
        <v>-40</v>
      </c>
      <c r="U6317">
        <v>45</v>
      </c>
      <c r="V6317">
        <v>0</v>
      </c>
      <c r="W6317">
        <v>28</v>
      </c>
      <c r="X6317">
        <v>28</v>
      </c>
      <c r="Y6317">
        <v>1</v>
      </c>
      <c r="Z6317">
        <v>1</v>
      </c>
      <c r="AA6317">
        <v>26</v>
      </c>
      <c r="AB6317">
        <v>2</v>
      </c>
      <c r="AC6317">
        <v>2</v>
      </c>
      <c r="AD6317">
        <v>3.3029999700000001</v>
      </c>
      <c r="AE6317">
        <v>1</v>
      </c>
      <c r="AF6317">
        <v>25</v>
      </c>
      <c r="AG6317">
        <v>3.2909998900000001</v>
      </c>
      <c r="AH6317">
        <v>8</v>
      </c>
      <c r="AI6317">
        <v>48</v>
      </c>
      <c r="AJ6317">
        <v>1</v>
      </c>
      <c r="AK6317">
        <v>17</v>
      </c>
      <c r="AL6317">
        <v>37</v>
      </c>
      <c r="AM6317" t="s">
        <v>43</v>
      </c>
      <c r="AN6317" t="str">
        <f>HYPERLINK("https://www.google.com/maps?q=10.8321743,79.8401413","Open Location")</f>
        <v>Open Location</v>
      </c>
    </row>
    <row r="6318" spans="1:40" x14ac:dyDescent="0.3">
      <c r="A6318" s="1">
        <v>46210.268055555556</v>
      </c>
      <c r="B6318" t="s">
        <v>40</v>
      </c>
      <c r="C6318" t="s">
        <v>41</v>
      </c>
      <c r="D6318" s="1">
        <v>46210.270972222221</v>
      </c>
      <c r="E6318" t="s">
        <v>42</v>
      </c>
      <c r="F6318" t="s">
        <v>83</v>
      </c>
      <c r="G6318">
        <v>0</v>
      </c>
      <c r="H6318">
        <v>33081</v>
      </c>
      <c r="I6318" t="s">
        <v>3612</v>
      </c>
      <c r="J6318">
        <v>64</v>
      </c>
      <c r="K6318">
        <v>2</v>
      </c>
      <c r="L6318">
        <v>98</v>
      </c>
      <c r="M6318">
        <v>632.29998779000005</v>
      </c>
      <c r="N6318" t="s">
        <v>85</v>
      </c>
      <c r="O6318" t="s">
        <v>82</v>
      </c>
      <c r="P6318">
        <v>125</v>
      </c>
      <c r="Q6318" t="s">
        <v>82</v>
      </c>
      <c r="R6318">
        <v>0</v>
      </c>
      <c r="S6318">
        <v>0</v>
      </c>
      <c r="T6318">
        <v>-40</v>
      </c>
      <c r="U6318">
        <v>45</v>
      </c>
      <c r="V6318">
        <v>0</v>
      </c>
      <c r="W6318">
        <v>28</v>
      </c>
      <c r="X6318">
        <v>28</v>
      </c>
      <c r="Y6318">
        <v>1</v>
      </c>
      <c r="Z6318">
        <v>1</v>
      </c>
      <c r="AA6318">
        <v>26</v>
      </c>
      <c r="AB6318">
        <v>2</v>
      </c>
      <c r="AC6318">
        <v>2</v>
      </c>
      <c r="AD6318">
        <v>3.3029999700000001</v>
      </c>
      <c r="AE6318">
        <v>6</v>
      </c>
      <c r="AF6318">
        <v>30</v>
      </c>
      <c r="AG6318">
        <v>3.2909998900000001</v>
      </c>
      <c r="AH6318">
        <v>8</v>
      </c>
      <c r="AI6318">
        <v>48</v>
      </c>
      <c r="AJ6318">
        <v>1</v>
      </c>
      <c r="AK6318">
        <v>17</v>
      </c>
      <c r="AL6318">
        <v>37</v>
      </c>
      <c r="AM6318" t="s">
        <v>43</v>
      </c>
      <c r="AN6318" t="str">
        <f>HYPERLINK("https://www.google.com/maps?q=10.83217907,79.8401413","Open Location")</f>
        <v>Open Location</v>
      </c>
    </row>
    <row r="6319" spans="1:40" x14ac:dyDescent="0.3">
      <c r="A6319" s="1">
        <v>46210.267939814818</v>
      </c>
      <c r="B6319" t="s">
        <v>40</v>
      </c>
      <c r="C6319" t="s">
        <v>41</v>
      </c>
      <c r="D6319" s="1">
        <v>46210.270833333336</v>
      </c>
      <c r="E6319" t="s">
        <v>42</v>
      </c>
      <c r="F6319" t="s">
        <v>83</v>
      </c>
      <c r="G6319">
        <v>0</v>
      </c>
      <c r="H6319">
        <v>33081</v>
      </c>
      <c r="I6319" t="s">
        <v>3613</v>
      </c>
      <c r="J6319">
        <v>64</v>
      </c>
      <c r="K6319">
        <v>2</v>
      </c>
      <c r="L6319">
        <v>98</v>
      </c>
      <c r="M6319">
        <v>632.70001220999995</v>
      </c>
      <c r="N6319" t="s">
        <v>85</v>
      </c>
      <c r="O6319" t="s">
        <v>82</v>
      </c>
      <c r="P6319">
        <v>125</v>
      </c>
      <c r="Q6319" t="s">
        <v>82</v>
      </c>
      <c r="R6319">
        <v>0</v>
      </c>
      <c r="S6319">
        <v>0</v>
      </c>
      <c r="T6319">
        <v>-40</v>
      </c>
      <c r="U6319">
        <v>45</v>
      </c>
      <c r="V6319">
        <v>0</v>
      </c>
      <c r="W6319">
        <v>28</v>
      </c>
      <c r="X6319">
        <v>28</v>
      </c>
      <c r="Y6319">
        <v>1</v>
      </c>
      <c r="Z6319">
        <v>1</v>
      </c>
      <c r="AA6319">
        <v>26</v>
      </c>
      <c r="AB6319">
        <v>2</v>
      </c>
      <c r="AC6319">
        <v>2</v>
      </c>
      <c r="AD6319">
        <v>3.3029999700000001</v>
      </c>
      <c r="AE6319">
        <v>6</v>
      </c>
      <c r="AF6319">
        <v>30</v>
      </c>
      <c r="AG6319">
        <v>3.2909998900000001</v>
      </c>
      <c r="AH6319">
        <v>8</v>
      </c>
      <c r="AI6319">
        <v>48</v>
      </c>
      <c r="AJ6319">
        <v>1</v>
      </c>
      <c r="AK6319">
        <v>17</v>
      </c>
      <c r="AL6319">
        <v>37</v>
      </c>
      <c r="AM6319" t="s">
        <v>43</v>
      </c>
      <c r="AN6319" t="str">
        <f>HYPERLINK("https://www.google.com/maps?q=10.83218575,79.8401413","Open Location")</f>
        <v>Open Location</v>
      </c>
    </row>
    <row r="6320" spans="1:40" x14ac:dyDescent="0.3">
      <c r="A6320" s="1">
        <v>46210.267824074072</v>
      </c>
      <c r="B6320" t="s">
        <v>40</v>
      </c>
      <c r="C6320" t="s">
        <v>41</v>
      </c>
      <c r="D6320" s="1">
        <v>46210.270636574074</v>
      </c>
      <c r="E6320" t="s">
        <v>42</v>
      </c>
      <c r="F6320" t="s">
        <v>83</v>
      </c>
      <c r="G6320">
        <v>0</v>
      </c>
      <c r="H6320">
        <v>33081</v>
      </c>
      <c r="I6320" t="s">
        <v>3614</v>
      </c>
      <c r="J6320">
        <v>64</v>
      </c>
      <c r="K6320">
        <v>2</v>
      </c>
      <c r="L6320">
        <v>98</v>
      </c>
      <c r="M6320">
        <v>632.70001220999995</v>
      </c>
      <c r="N6320" t="s">
        <v>85</v>
      </c>
      <c r="O6320" t="s">
        <v>82</v>
      </c>
      <c r="P6320">
        <v>125</v>
      </c>
      <c r="Q6320" t="s">
        <v>43</v>
      </c>
      <c r="R6320">
        <v>0</v>
      </c>
      <c r="S6320">
        <v>0</v>
      </c>
      <c r="T6320">
        <v>-40</v>
      </c>
      <c r="U6320">
        <v>44</v>
      </c>
      <c r="V6320">
        <v>0</v>
      </c>
      <c r="W6320" t="s">
        <v>43</v>
      </c>
      <c r="X6320" t="s">
        <v>43</v>
      </c>
      <c r="Y6320" t="s">
        <v>43</v>
      </c>
      <c r="Z6320" t="s">
        <v>43</v>
      </c>
      <c r="AA6320" t="s">
        <v>43</v>
      </c>
      <c r="AB6320" t="s">
        <v>43</v>
      </c>
      <c r="AC6320" t="s">
        <v>43</v>
      </c>
      <c r="AD6320">
        <v>3.3029999700000001</v>
      </c>
      <c r="AE6320">
        <v>6</v>
      </c>
      <c r="AF6320">
        <v>30</v>
      </c>
      <c r="AG6320">
        <v>3.2909998900000001</v>
      </c>
      <c r="AH6320">
        <v>8</v>
      </c>
      <c r="AI6320">
        <v>48</v>
      </c>
      <c r="AJ6320" t="s">
        <v>43</v>
      </c>
      <c r="AK6320" t="s">
        <v>43</v>
      </c>
      <c r="AL6320">
        <v>37</v>
      </c>
      <c r="AM6320" t="s">
        <v>43</v>
      </c>
      <c r="AN6320" t="str">
        <f>HYPERLINK("https://www.google.com/maps?q=10.83218765,79.8401413","Open Location")</f>
        <v>Open Location</v>
      </c>
    </row>
    <row r="6321" spans="1:40" x14ac:dyDescent="0.3">
      <c r="A6321" s="1">
        <v>46210.267708333333</v>
      </c>
      <c r="B6321" t="s">
        <v>40</v>
      </c>
      <c r="C6321" t="s">
        <v>41</v>
      </c>
      <c r="D6321" s="1">
        <v>46210.270370370374</v>
      </c>
      <c r="E6321" t="s">
        <v>42</v>
      </c>
      <c r="F6321" t="s">
        <v>83</v>
      </c>
      <c r="G6321">
        <v>0</v>
      </c>
      <c r="H6321">
        <v>33081</v>
      </c>
      <c r="I6321" t="s">
        <v>43</v>
      </c>
      <c r="J6321">
        <v>64</v>
      </c>
      <c r="K6321">
        <v>2</v>
      </c>
      <c r="L6321">
        <v>98</v>
      </c>
      <c r="M6321">
        <v>632.70001220999995</v>
      </c>
      <c r="N6321" t="s">
        <v>85</v>
      </c>
      <c r="O6321" t="s">
        <v>82</v>
      </c>
      <c r="P6321">
        <v>125</v>
      </c>
      <c r="Q6321" t="s">
        <v>82</v>
      </c>
      <c r="R6321">
        <v>0</v>
      </c>
      <c r="S6321">
        <v>0</v>
      </c>
      <c r="T6321">
        <v>-40</v>
      </c>
      <c r="U6321">
        <v>44</v>
      </c>
      <c r="V6321">
        <v>0</v>
      </c>
      <c r="W6321">
        <v>28</v>
      </c>
      <c r="X6321">
        <v>28</v>
      </c>
      <c r="Y6321">
        <v>1</v>
      </c>
      <c r="Z6321">
        <v>1</v>
      </c>
      <c r="AA6321">
        <v>26</v>
      </c>
      <c r="AB6321">
        <v>2</v>
      </c>
      <c r="AC6321">
        <v>2</v>
      </c>
      <c r="AD6321">
        <v>3.3020000500000002</v>
      </c>
      <c r="AE6321">
        <v>6</v>
      </c>
      <c r="AF6321">
        <v>30</v>
      </c>
      <c r="AG6321">
        <v>3.2909998900000001</v>
      </c>
      <c r="AH6321">
        <v>8</v>
      </c>
      <c r="AI6321">
        <v>9</v>
      </c>
      <c r="AJ6321">
        <v>1</v>
      </c>
      <c r="AK6321">
        <v>17</v>
      </c>
      <c r="AL6321">
        <v>37</v>
      </c>
      <c r="AM6321" t="s">
        <v>43</v>
      </c>
      <c r="AN6321" t="s">
        <v>43</v>
      </c>
    </row>
    <row r="6322" spans="1:40" x14ac:dyDescent="0.3">
      <c r="A6322" s="1">
        <v>46210.267592592594</v>
      </c>
      <c r="B6322" t="s">
        <v>40</v>
      </c>
      <c r="C6322" t="s">
        <v>41</v>
      </c>
      <c r="D6322" s="1">
        <v>46210.270497685182</v>
      </c>
      <c r="E6322" t="s">
        <v>42</v>
      </c>
      <c r="F6322" t="s">
        <v>83</v>
      </c>
      <c r="G6322">
        <v>0</v>
      </c>
      <c r="H6322">
        <v>33081</v>
      </c>
      <c r="I6322" t="s">
        <v>3615</v>
      </c>
      <c r="J6322">
        <v>64</v>
      </c>
      <c r="K6322">
        <v>2</v>
      </c>
      <c r="L6322">
        <v>98</v>
      </c>
      <c r="M6322">
        <v>632.5</v>
      </c>
      <c r="N6322" t="s">
        <v>85</v>
      </c>
      <c r="O6322" t="s">
        <v>82</v>
      </c>
      <c r="P6322">
        <v>125</v>
      </c>
      <c r="Q6322" t="s">
        <v>82</v>
      </c>
      <c r="R6322">
        <v>0</v>
      </c>
      <c r="S6322">
        <v>0</v>
      </c>
      <c r="T6322">
        <v>-40</v>
      </c>
      <c r="U6322">
        <v>44</v>
      </c>
      <c r="V6322">
        <v>0</v>
      </c>
      <c r="W6322">
        <v>28</v>
      </c>
      <c r="X6322">
        <v>28</v>
      </c>
      <c r="Y6322">
        <v>1</v>
      </c>
      <c r="Z6322">
        <v>1</v>
      </c>
      <c r="AA6322">
        <v>26</v>
      </c>
      <c r="AB6322">
        <v>2</v>
      </c>
      <c r="AC6322">
        <v>2</v>
      </c>
      <c r="AD6322">
        <v>3.3020000500000002</v>
      </c>
      <c r="AE6322">
        <v>6</v>
      </c>
      <c r="AF6322">
        <v>30</v>
      </c>
      <c r="AG6322">
        <v>3.2899999599999998</v>
      </c>
      <c r="AH6322">
        <v>8</v>
      </c>
      <c r="AI6322">
        <v>48</v>
      </c>
      <c r="AJ6322">
        <v>1</v>
      </c>
      <c r="AK6322">
        <v>17</v>
      </c>
      <c r="AL6322">
        <v>37</v>
      </c>
      <c r="AM6322" t="s">
        <v>43</v>
      </c>
      <c r="AN6322" t="str">
        <f>HYPERLINK("https://www.google.com/maps?q=10.83218956,79.8401413","Open Location")</f>
        <v>Open Location</v>
      </c>
    </row>
    <row r="6323" spans="1:40" x14ac:dyDescent="0.3">
      <c r="A6323" s="1">
        <v>46210.267476851855</v>
      </c>
      <c r="B6323" t="s">
        <v>40</v>
      </c>
      <c r="C6323" t="s">
        <v>41</v>
      </c>
      <c r="D6323" s="1">
        <v>46210.270150462966</v>
      </c>
      <c r="E6323" t="s">
        <v>42</v>
      </c>
      <c r="F6323" t="s">
        <v>83</v>
      </c>
      <c r="G6323">
        <v>0</v>
      </c>
      <c r="H6323">
        <v>33081</v>
      </c>
      <c r="I6323" t="s">
        <v>3616</v>
      </c>
      <c r="J6323">
        <v>64</v>
      </c>
      <c r="K6323">
        <v>2</v>
      </c>
      <c r="L6323">
        <v>98</v>
      </c>
      <c r="M6323">
        <v>632</v>
      </c>
      <c r="N6323" t="s">
        <v>85</v>
      </c>
      <c r="O6323" t="s">
        <v>82</v>
      </c>
      <c r="P6323">
        <v>125</v>
      </c>
      <c r="Q6323" t="s">
        <v>82</v>
      </c>
      <c r="R6323">
        <v>0</v>
      </c>
      <c r="S6323">
        <v>0</v>
      </c>
      <c r="T6323">
        <v>-40</v>
      </c>
      <c r="U6323">
        <v>44</v>
      </c>
      <c r="V6323">
        <v>0</v>
      </c>
      <c r="W6323">
        <v>28</v>
      </c>
      <c r="X6323">
        <v>28</v>
      </c>
      <c r="Y6323">
        <v>1</v>
      </c>
      <c r="Z6323">
        <v>1</v>
      </c>
      <c r="AA6323">
        <v>26</v>
      </c>
      <c r="AB6323">
        <v>2</v>
      </c>
      <c r="AC6323">
        <v>2</v>
      </c>
      <c r="AD6323">
        <v>3.3010001199999999</v>
      </c>
      <c r="AE6323">
        <v>1</v>
      </c>
      <c r="AF6323">
        <v>25</v>
      </c>
      <c r="AG6323">
        <v>3.2899999599999998</v>
      </c>
      <c r="AH6323">
        <v>8</v>
      </c>
      <c r="AI6323">
        <v>48</v>
      </c>
      <c r="AJ6323">
        <v>1</v>
      </c>
      <c r="AK6323">
        <v>17</v>
      </c>
      <c r="AL6323">
        <v>37</v>
      </c>
      <c r="AM6323" t="s">
        <v>43</v>
      </c>
      <c r="AN6323" t="str">
        <f>HYPERLINK("https://www.google.com/maps?q=10.83219337,79.8401413","Open Location")</f>
        <v>Open Location</v>
      </c>
    </row>
    <row r="6324" spans="1:40" x14ac:dyDescent="0.3">
      <c r="A6324" s="1">
        <v>46210.267361111109</v>
      </c>
      <c r="B6324" t="s">
        <v>40</v>
      </c>
      <c r="C6324" t="s">
        <v>41</v>
      </c>
      <c r="D6324" s="1">
        <v>46210.270150462966</v>
      </c>
      <c r="E6324" t="s">
        <v>42</v>
      </c>
      <c r="F6324" t="s">
        <v>83</v>
      </c>
      <c r="G6324">
        <v>0</v>
      </c>
      <c r="H6324">
        <v>33081</v>
      </c>
      <c r="I6324" t="s">
        <v>3617</v>
      </c>
      <c r="J6324">
        <v>64</v>
      </c>
      <c r="K6324">
        <v>2</v>
      </c>
      <c r="L6324">
        <v>98</v>
      </c>
      <c r="M6324">
        <v>631.79998779000005</v>
      </c>
      <c r="N6324" t="s">
        <v>85</v>
      </c>
      <c r="O6324" t="s">
        <v>82</v>
      </c>
      <c r="P6324">
        <v>125</v>
      </c>
      <c r="Q6324" t="s">
        <v>82</v>
      </c>
      <c r="R6324">
        <v>0</v>
      </c>
      <c r="S6324">
        <v>0</v>
      </c>
      <c r="T6324">
        <v>-40</v>
      </c>
      <c r="U6324">
        <v>44</v>
      </c>
      <c r="V6324">
        <v>0</v>
      </c>
      <c r="W6324">
        <v>28</v>
      </c>
      <c r="X6324">
        <v>28</v>
      </c>
      <c r="Y6324">
        <v>1</v>
      </c>
      <c r="Z6324">
        <v>1</v>
      </c>
      <c r="AA6324">
        <v>26</v>
      </c>
      <c r="AB6324">
        <v>2</v>
      </c>
      <c r="AC6324">
        <v>2</v>
      </c>
      <c r="AD6324">
        <v>3.2999999500000001</v>
      </c>
      <c r="AE6324">
        <v>6</v>
      </c>
      <c r="AF6324">
        <v>30</v>
      </c>
      <c r="AG6324">
        <v>3.28800011</v>
      </c>
      <c r="AH6324">
        <v>8</v>
      </c>
      <c r="AI6324">
        <v>48</v>
      </c>
      <c r="AJ6324">
        <v>1</v>
      </c>
      <c r="AK6324">
        <v>17</v>
      </c>
      <c r="AL6324">
        <v>37</v>
      </c>
      <c r="AM6324" t="s">
        <v>43</v>
      </c>
      <c r="AN6324" t="str">
        <f>HYPERLINK("https://www.google.com/maps?q=10.83219814,79.8401413","Open Location")</f>
        <v>Open Location</v>
      </c>
    </row>
    <row r="6325" spans="1:40" x14ac:dyDescent="0.3">
      <c r="A6325" s="1">
        <v>46210.267245370371</v>
      </c>
      <c r="B6325" t="s">
        <v>40</v>
      </c>
      <c r="C6325" t="s">
        <v>41</v>
      </c>
      <c r="D6325" s="1">
        <v>46210.270115740743</v>
      </c>
      <c r="E6325" t="s">
        <v>42</v>
      </c>
      <c r="F6325" t="s">
        <v>83</v>
      </c>
      <c r="G6325">
        <v>0</v>
      </c>
      <c r="H6325">
        <v>33081</v>
      </c>
      <c r="I6325" t="s">
        <v>3617</v>
      </c>
      <c r="J6325">
        <v>64</v>
      </c>
      <c r="K6325">
        <v>9</v>
      </c>
      <c r="L6325">
        <v>98</v>
      </c>
      <c r="M6325">
        <v>632.20001220999995</v>
      </c>
      <c r="N6325" t="s">
        <v>85</v>
      </c>
      <c r="O6325" t="s">
        <v>82</v>
      </c>
      <c r="P6325">
        <v>125</v>
      </c>
      <c r="Q6325" t="s">
        <v>82</v>
      </c>
      <c r="R6325">
        <v>0</v>
      </c>
      <c r="S6325">
        <v>0</v>
      </c>
      <c r="T6325">
        <v>-40</v>
      </c>
      <c r="U6325">
        <v>44</v>
      </c>
      <c r="V6325">
        <v>0</v>
      </c>
      <c r="W6325">
        <v>28</v>
      </c>
      <c r="X6325">
        <v>28</v>
      </c>
      <c r="Y6325">
        <v>1</v>
      </c>
      <c r="Z6325">
        <v>1</v>
      </c>
      <c r="AA6325">
        <v>26</v>
      </c>
      <c r="AB6325">
        <v>2</v>
      </c>
      <c r="AC6325">
        <v>2</v>
      </c>
      <c r="AD6325">
        <v>3.2990000199999998</v>
      </c>
      <c r="AE6325">
        <v>1</v>
      </c>
      <c r="AF6325">
        <v>25</v>
      </c>
      <c r="AG6325">
        <v>3.28800011</v>
      </c>
      <c r="AH6325">
        <v>8</v>
      </c>
      <c r="AI6325">
        <v>48</v>
      </c>
      <c r="AJ6325">
        <v>1</v>
      </c>
      <c r="AK6325">
        <v>17</v>
      </c>
      <c r="AL6325">
        <v>37</v>
      </c>
      <c r="AM6325" t="s">
        <v>43</v>
      </c>
      <c r="AN6325" t="str">
        <f>HYPERLINK("https://www.google.com/maps?q=10.83219814,79.8401413","Open Location")</f>
        <v>Open Location</v>
      </c>
    </row>
    <row r="6326" spans="1:40" x14ac:dyDescent="0.3">
      <c r="A6326" s="1">
        <v>46210.267129629632</v>
      </c>
      <c r="B6326" t="s">
        <v>40</v>
      </c>
      <c r="C6326" t="s">
        <v>41</v>
      </c>
      <c r="D6326" s="1">
        <v>46210.270243055558</v>
      </c>
      <c r="E6326" t="s">
        <v>42</v>
      </c>
      <c r="F6326" t="s">
        <v>83</v>
      </c>
      <c r="G6326">
        <v>0</v>
      </c>
      <c r="H6326" t="s">
        <v>43</v>
      </c>
      <c r="I6326" t="s">
        <v>43</v>
      </c>
      <c r="J6326">
        <v>64</v>
      </c>
      <c r="K6326">
        <v>9</v>
      </c>
      <c r="L6326">
        <v>98</v>
      </c>
      <c r="M6326">
        <v>632.40002441000001</v>
      </c>
      <c r="N6326" t="s">
        <v>85</v>
      </c>
      <c r="O6326" t="s">
        <v>82</v>
      </c>
      <c r="P6326">
        <v>125</v>
      </c>
      <c r="Q6326" t="s">
        <v>82</v>
      </c>
      <c r="R6326">
        <v>0</v>
      </c>
      <c r="S6326">
        <v>0</v>
      </c>
      <c r="T6326">
        <v>-40</v>
      </c>
      <c r="U6326">
        <v>44</v>
      </c>
      <c r="V6326">
        <v>0</v>
      </c>
      <c r="W6326" t="s">
        <v>43</v>
      </c>
      <c r="X6326" t="s">
        <v>43</v>
      </c>
      <c r="Y6326" t="s">
        <v>43</v>
      </c>
      <c r="Z6326" t="s">
        <v>43</v>
      </c>
      <c r="AA6326" t="s">
        <v>43</v>
      </c>
      <c r="AB6326" t="s">
        <v>43</v>
      </c>
      <c r="AC6326" t="s">
        <v>43</v>
      </c>
      <c r="AD6326">
        <v>3.2999999500000001</v>
      </c>
      <c r="AE6326">
        <v>6</v>
      </c>
      <c r="AF6326">
        <v>30</v>
      </c>
      <c r="AG6326">
        <v>3.28800011</v>
      </c>
      <c r="AH6326">
        <v>8</v>
      </c>
      <c r="AI6326">
        <v>48</v>
      </c>
      <c r="AJ6326" t="s">
        <v>43</v>
      </c>
      <c r="AK6326" t="s">
        <v>43</v>
      </c>
      <c r="AL6326">
        <v>37</v>
      </c>
      <c r="AM6326" t="s">
        <v>43</v>
      </c>
      <c r="AN6326" t="s">
        <v>43</v>
      </c>
    </row>
    <row r="6327" spans="1:40" x14ac:dyDescent="0.3">
      <c r="A6327" s="1">
        <v>46210.267013888886</v>
      </c>
      <c r="B6327" t="s">
        <v>40</v>
      </c>
      <c r="C6327" t="s">
        <v>41</v>
      </c>
      <c r="D6327" s="1">
        <v>46210.269791666666</v>
      </c>
      <c r="E6327" t="s">
        <v>42</v>
      </c>
      <c r="F6327" t="s">
        <v>83</v>
      </c>
      <c r="G6327">
        <v>0</v>
      </c>
      <c r="H6327">
        <v>33081</v>
      </c>
      <c r="I6327" t="s">
        <v>3618</v>
      </c>
      <c r="J6327">
        <v>64</v>
      </c>
      <c r="K6327">
        <v>2</v>
      </c>
      <c r="L6327">
        <v>98</v>
      </c>
      <c r="M6327">
        <v>632.29998779000005</v>
      </c>
      <c r="N6327" t="s">
        <v>85</v>
      </c>
      <c r="O6327" t="s">
        <v>82</v>
      </c>
      <c r="P6327">
        <v>125</v>
      </c>
      <c r="Q6327" t="s">
        <v>82</v>
      </c>
      <c r="R6327">
        <v>0</v>
      </c>
      <c r="S6327">
        <v>0</v>
      </c>
      <c r="T6327">
        <v>-40</v>
      </c>
      <c r="U6327">
        <v>44</v>
      </c>
      <c r="V6327">
        <v>0</v>
      </c>
      <c r="W6327">
        <v>28</v>
      </c>
      <c r="X6327">
        <v>28</v>
      </c>
      <c r="Y6327">
        <v>1</v>
      </c>
      <c r="Z6327">
        <v>1</v>
      </c>
      <c r="AA6327">
        <v>26</v>
      </c>
      <c r="AB6327">
        <v>2</v>
      </c>
      <c r="AC6327">
        <v>2</v>
      </c>
      <c r="AD6327">
        <v>3.2999999500000001</v>
      </c>
      <c r="AE6327">
        <v>1</v>
      </c>
      <c r="AF6327">
        <v>25</v>
      </c>
      <c r="AG6327">
        <v>3.28900003</v>
      </c>
      <c r="AH6327">
        <v>8</v>
      </c>
      <c r="AI6327">
        <v>48</v>
      </c>
      <c r="AJ6327">
        <v>1</v>
      </c>
      <c r="AK6327">
        <v>17</v>
      </c>
      <c r="AL6327">
        <v>37</v>
      </c>
      <c r="AM6327" t="s">
        <v>43</v>
      </c>
      <c r="AN6327" t="str">
        <f>HYPERLINK("https://www.google.com/maps?q=10.83219528,79.84013367","Open Location")</f>
        <v>Open Location</v>
      </c>
    </row>
    <row r="6328" spans="1:40" x14ac:dyDescent="0.3">
      <c r="A6328" s="1">
        <v>46210.266898148147</v>
      </c>
      <c r="B6328" t="s">
        <v>40</v>
      </c>
      <c r="C6328" t="s">
        <v>41</v>
      </c>
      <c r="D6328" s="1">
        <v>46210.269872685189</v>
      </c>
      <c r="E6328" t="s">
        <v>42</v>
      </c>
      <c r="F6328" t="s">
        <v>83</v>
      </c>
      <c r="G6328">
        <v>0</v>
      </c>
      <c r="H6328">
        <v>33081</v>
      </c>
      <c r="I6328" t="s">
        <v>3619</v>
      </c>
      <c r="J6328">
        <v>64</v>
      </c>
      <c r="K6328">
        <v>2</v>
      </c>
      <c r="L6328">
        <v>98</v>
      </c>
      <c r="M6328">
        <v>632</v>
      </c>
      <c r="N6328" t="s">
        <v>85</v>
      </c>
      <c r="O6328" t="s">
        <v>82</v>
      </c>
      <c r="P6328">
        <v>125</v>
      </c>
      <c r="Q6328" t="s">
        <v>82</v>
      </c>
      <c r="R6328">
        <v>0</v>
      </c>
      <c r="S6328">
        <v>0</v>
      </c>
      <c r="T6328">
        <v>-40</v>
      </c>
      <c r="U6328">
        <v>44</v>
      </c>
      <c r="V6328">
        <v>0</v>
      </c>
      <c r="W6328">
        <v>28</v>
      </c>
      <c r="X6328">
        <v>28</v>
      </c>
      <c r="Y6328">
        <v>1</v>
      </c>
      <c r="Z6328">
        <v>1</v>
      </c>
      <c r="AA6328">
        <v>26</v>
      </c>
      <c r="AB6328">
        <v>2</v>
      </c>
      <c r="AC6328">
        <v>2</v>
      </c>
      <c r="AD6328">
        <v>3.2999999500000001</v>
      </c>
      <c r="AE6328">
        <v>6</v>
      </c>
      <c r="AF6328">
        <v>30</v>
      </c>
      <c r="AG6328">
        <v>3.28900003</v>
      </c>
      <c r="AH6328">
        <v>8</v>
      </c>
      <c r="AI6328">
        <v>9</v>
      </c>
      <c r="AJ6328">
        <v>1</v>
      </c>
      <c r="AK6328">
        <v>17</v>
      </c>
      <c r="AL6328">
        <v>37</v>
      </c>
      <c r="AM6328" t="s">
        <v>43</v>
      </c>
      <c r="AN6328" t="str">
        <f>HYPERLINK("https://www.google.com/maps?q=10.83219147,79.8401413","Open Location")</f>
        <v>Open Location</v>
      </c>
    </row>
    <row r="6329" spans="1:40" x14ac:dyDescent="0.3">
      <c r="A6329" s="1">
        <v>46210.266782407409</v>
      </c>
      <c r="B6329" t="s">
        <v>40</v>
      </c>
      <c r="C6329" t="s">
        <v>41</v>
      </c>
      <c r="D6329" s="1">
        <v>46210.269502314812</v>
      </c>
      <c r="E6329" t="s">
        <v>42</v>
      </c>
      <c r="F6329" t="s">
        <v>83</v>
      </c>
      <c r="G6329">
        <v>13</v>
      </c>
      <c r="H6329">
        <v>33081</v>
      </c>
      <c r="I6329" t="s">
        <v>3620</v>
      </c>
      <c r="J6329">
        <v>64</v>
      </c>
      <c r="K6329">
        <v>-8</v>
      </c>
      <c r="L6329">
        <v>98</v>
      </c>
      <c r="M6329">
        <v>631.79998779000005</v>
      </c>
      <c r="N6329" t="s">
        <v>87</v>
      </c>
      <c r="O6329" t="s">
        <v>86</v>
      </c>
      <c r="P6329">
        <v>128</v>
      </c>
      <c r="Q6329">
        <v>3</v>
      </c>
      <c r="R6329">
        <v>17</v>
      </c>
      <c r="S6329">
        <v>1055</v>
      </c>
      <c r="T6329">
        <v>-40</v>
      </c>
      <c r="U6329">
        <v>44</v>
      </c>
      <c r="V6329">
        <v>-5</v>
      </c>
      <c r="W6329">
        <v>28</v>
      </c>
      <c r="X6329">
        <v>28</v>
      </c>
      <c r="Y6329">
        <v>1</v>
      </c>
      <c r="Z6329">
        <v>1</v>
      </c>
      <c r="AA6329">
        <v>26</v>
      </c>
      <c r="AB6329">
        <v>2</v>
      </c>
      <c r="AC6329">
        <v>2</v>
      </c>
      <c r="AD6329">
        <v>3.2939999100000001</v>
      </c>
      <c r="AE6329">
        <v>6</v>
      </c>
      <c r="AF6329">
        <v>30</v>
      </c>
      <c r="AG6329">
        <v>3.28299999</v>
      </c>
      <c r="AH6329">
        <v>7</v>
      </c>
      <c r="AI6329">
        <v>1</v>
      </c>
      <c r="AJ6329">
        <v>1</v>
      </c>
      <c r="AK6329">
        <v>17</v>
      </c>
      <c r="AL6329">
        <v>37</v>
      </c>
      <c r="AM6329" t="s">
        <v>43</v>
      </c>
      <c r="AN6329" t="str">
        <f>HYPERLINK("https://www.google.com/maps?q=10.83219528,79.83998871","Open Location")</f>
        <v>Open Location</v>
      </c>
    </row>
    <row r="6330" spans="1:40" x14ac:dyDescent="0.3">
      <c r="A6330" s="1">
        <v>46210.26666666667</v>
      </c>
      <c r="B6330" t="s">
        <v>40</v>
      </c>
      <c r="C6330" t="s">
        <v>41</v>
      </c>
      <c r="D6330" s="1">
        <v>46210.269502314812</v>
      </c>
      <c r="E6330" t="s">
        <v>42</v>
      </c>
      <c r="F6330" t="s">
        <v>83</v>
      </c>
      <c r="G6330">
        <v>11</v>
      </c>
      <c r="H6330">
        <v>33081</v>
      </c>
      <c r="I6330" t="s">
        <v>3621</v>
      </c>
      <c r="J6330">
        <v>64</v>
      </c>
      <c r="K6330">
        <v>-8</v>
      </c>
      <c r="L6330">
        <v>98</v>
      </c>
      <c r="M6330">
        <v>631.40002441000001</v>
      </c>
      <c r="N6330" t="s">
        <v>87</v>
      </c>
      <c r="O6330" t="s">
        <v>86</v>
      </c>
      <c r="P6330">
        <v>129</v>
      </c>
      <c r="Q6330">
        <v>4</v>
      </c>
      <c r="R6330">
        <v>-11</v>
      </c>
      <c r="S6330">
        <v>1387</v>
      </c>
      <c r="T6330">
        <v>-40</v>
      </c>
      <c r="U6330">
        <v>44</v>
      </c>
      <c r="V6330">
        <v>-68</v>
      </c>
      <c r="W6330" t="s">
        <v>43</v>
      </c>
      <c r="X6330" t="s">
        <v>43</v>
      </c>
      <c r="Y6330" t="s">
        <v>43</v>
      </c>
      <c r="Z6330" t="s">
        <v>43</v>
      </c>
      <c r="AA6330" t="s">
        <v>43</v>
      </c>
      <c r="AB6330" t="s">
        <v>43</v>
      </c>
      <c r="AC6330" t="s">
        <v>43</v>
      </c>
      <c r="AD6330">
        <v>3.3010001199999999</v>
      </c>
      <c r="AE6330">
        <v>1</v>
      </c>
      <c r="AF6330">
        <v>25</v>
      </c>
      <c r="AG6330">
        <v>3.2899999599999998</v>
      </c>
      <c r="AH6330">
        <v>8</v>
      </c>
      <c r="AI6330">
        <v>48</v>
      </c>
      <c r="AJ6330">
        <v>1</v>
      </c>
      <c r="AK6330">
        <v>17</v>
      </c>
      <c r="AL6330">
        <v>37</v>
      </c>
      <c r="AM6330" t="s">
        <v>43</v>
      </c>
      <c r="AN6330" t="str">
        <f>HYPERLINK("https://www.google.com/maps?q=10.83202171,79.8400116","Open Location")</f>
        <v>Open Location</v>
      </c>
    </row>
    <row r="6331" spans="1:40" x14ac:dyDescent="0.3">
      <c r="A6331" s="1">
        <v>46210.266550925924</v>
      </c>
      <c r="B6331" t="s">
        <v>40</v>
      </c>
      <c r="C6331" t="s">
        <v>41</v>
      </c>
      <c r="D6331" s="1">
        <v>46210.269502314812</v>
      </c>
      <c r="E6331" t="s">
        <v>42</v>
      </c>
      <c r="F6331" t="s">
        <v>83</v>
      </c>
      <c r="G6331">
        <v>13</v>
      </c>
      <c r="H6331">
        <v>33081</v>
      </c>
      <c r="I6331" t="s">
        <v>3622</v>
      </c>
      <c r="J6331">
        <v>64</v>
      </c>
      <c r="K6331">
        <v>14</v>
      </c>
      <c r="L6331">
        <v>98</v>
      </c>
      <c r="M6331">
        <v>631.09997558999999</v>
      </c>
      <c r="N6331" t="s">
        <v>87</v>
      </c>
      <c r="O6331" t="s">
        <v>86</v>
      </c>
      <c r="P6331">
        <v>129</v>
      </c>
      <c r="Q6331">
        <v>4</v>
      </c>
      <c r="R6331">
        <v>-12</v>
      </c>
      <c r="S6331">
        <v>895</v>
      </c>
      <c r="T6331">
        <v>-40</v>
      </c>
      <c r="U6331">
        <v>44</v>
      </c>
      <c r="V6331">
        <v>80</v>
      </c>
      <c r="W6331">
        <v>28</v>
      </c>
      <c r="X6331">
        <v>28</v>
      </c>
      <c r="Y6331">
        <v>1</v>
      </c>
      <c r="Z6331">
        <v>1</v>
      </c>
      <c r="AA6331">
        <v>26</v>
      </c>
      <c r="AB6331">
        <v>2</v>
      </c>
      <c r="AC6331">
        <v>2</v>
      </c>
      <c r="AD6331">
        <v>3.2959999999999998</v>
      </c>
      <c r="AE6331">
        <v>1</v>
      </c>
      <c r="AF6331">
        <v>25</v>
      </c>
      <c r="AG6331">
        <v>3.28600001</v>
      </c>
      <c r="AH6331">
        <v>2</v>
      </c>
      <c r="AI6331">
        <v>45</v>
      </c>
      <c r="AJ6331">
        <v>1</v>
      </c>
      <c r="AK6331">
        <v>17</v>
      </c>
      <c r="AL6331">
        <v>37</v>
      </c>
      <c r="AM6331" t="s">
        <v>43</v>
      </c>
      <c r="AN6331" t="str">
        <f>HYPERLINK("https://www.google.com/maps?q=10.83225918,79.840271","Open Location")</f>
        <v>Open Location</v>
      </c>
    </row>
    <row r="6332" spans="1:40" x14ac:dyDescent="0.3">
      <c r="A6332" s="1">
        <v>46210.266435185185</v>
      </c>
      <c r="B6332" t="s">
        <v>40</v>
      </c>
      <c r="C6332" t="s">
        <v>41</v>
      </c>
      <c r="D6332" s="1">
        <v>46210.269421296296</v>
      </c>
      <c r="E6332" t="s">
        <v>42</v>
      </c>
      <c r="F6332" t="s">
        <v>83</v>
      </c>
      <c r="G6332">
        <v>17</v>
      </c>
      <c r="H6332">
        <v>33081</v>
      </c>
      <c r="I6332" t="s">
        <v>43</v>
      </c>
      <c r="J6332">
        <v>64</v>
      </c>
      <c r="K6332">
        <v>-15</v>
      </c>
      <c r="L6332">
        <v>98</v>
      </c>
      <c r="M6332">
        <v>632.29998779000005</v>
      </c>
      <c r="N6332" t="s">
        <v>87</v>
      </c>
      <c r="O6332" t="s">
        <v>86</v>
      </c>
      <c r="P6332">
        <v>129</v>
      </c>
      <c r="Q6332">
        <v>4</v>
      </c>
      <c r="R6332">
        <v>29</v>
      </c>
      <c r="S6332">
        <v>1028</v>
      </c>
      <c r="T6332">
        <v>-40</v>
      </c>
      <c r="U6332">
        <v>45</v>
      </c>
      <c r="V6332">
        <v>-112</v>
      </c>
      <c r="W6332" t="s">
        <v>43</v>
      </c>
      <c r="X6332" t="s">
        <v>43</v>
      </c>
      <c r="Y6332" t="s">
        <v>43</v>
      </c>
      <c r="Z6332" t="s">
        <v>43</v>
      </c>
      <c r="AA6332" t="s">
        <v>43</v>
      </c>
      <c r="AB6332" t="s">
        <v>43</v>
      </c>
      <c r="AC6332" t="s">
        <v>43</v>
      </c>
      <c r="AD6332">
        <v>3.28800011</v>
      </c>
      <c r="AE6332">
        <v>1</v>
      </c>
      <c r="AF6332">
        <v>25</v>
      </c>
      <c r="AG6332">
        <v>3.27699995</v>
      </c>
      <c r="AH6332">
        <v>7</v>
      </c>
      <c r="AI6332">
        <v>1</v>
      </c>
      <c r="AJ6332">
        <v>1</v>
      </c>
      <c r="AK6332">
        <v>17</v>
      </c>
      <c r="AL6332">
        <v>37</v>
      </c>
      <c r="AM6332" t="s">
        <v>43</v>
      </c>
      <c r="AN6332" t="s">
        <v>43</v>
      </c>
    </row>
    <row r="6333" spans="1:40" x14ac:dyDescent="0.3">
      <c r="A6333" s="1">
        <v>46210.266319444447</v>
      </c>
      <c r="B6333" t="s">
        <v>40</v>
      </c>
      <c r="C6333" t="s">
        <v>41</v>
      </c>
      <c r="D6333" s="1">
        <v>46210.269131944442</v>
      </c>
      <c r="E6333" t="s">
        <v>42</v>
      </c>
      <c r="F6333" t="s">
        <v>83</v>
      </c>
      <c r="G6333">
        <v>15</v>
      </c>
      <c r="H6333">
        <v>33081</v>
      </c>
      <c r="I6333" t="s">
        <v>3623</v>
      </c>
      <c r="J6333">
        <v>64</v>
      </c>
      <c r="K6333">
        <v>-16</v>
      </c>
      <c r="L6333">
        <v>98</v>
      </c>
      <c r="M6333">
        <v>632.09997558999999</v>
      </c>
      <c r="N6333" t="s">
        <v>87</v>
      </c>
      <c r="O6333" t="s">
        <v>86</v>
      </c>
      <c r="P6333">
        <v>129</v>
      </c>
      <c r="Q6333">
        <v>4</v>
      </c>
      <c r="R6333">
        <v>6</v>
      </c>
      <c r="S6333">
        <v>1147</v>
      </c>
      <c r="T6333">
        <v>-40</v>
      </c>
      <c r="U6333">
        <v>45</v>
      </c>
      <c r="V6333">
        <v>-112</v>
      </c>
      <c r="W6333">
        <v>28</v>
      </c>
      <c r="X6333">
        <v>28</v>
      </c>
      <c r="Y6333">
        <v>1</v>
      </c>
      <c r="Z6333">
        <v>1</v>
      </c>
      <c r="AA6333">
        <v>26</v>
      </c>
      <c r="AB6333">
        <v>2</v>
      </c>
      <c r="AC6333">
        <v>2</v>
      </c>
      <c r="AD6333">
        <v>3.3010001199999999</v>
      </c>
      <c r="AE6333">
        <v>6</v>
      </c>
      <c r="AF6333">
        <v>30</v>
      </c>
      <c r="AG6333">
        <v>3.2899999599999998</v>
      </c>
      <c r="AH6333">
        <v>8</v>
      </c>
      <c r="AI6333">
        <v>48</v>
      </c>
      <c r="AJ6333">
        <v>1</v>
      </c>
      <c r="AK6333">
        <v>17</v>
      </c>
      <c r="AL6333">
        <v>37</v>
      </c>
      <c r="AM6333" t="s">
        <v>43</v>
      </c>
      <c r="AN6333" t="str">
        <f>HYPERLINK("https://www.google.com/maps?q=10.83274078,79.84027863","Open Location")</f>
        <v>Open Location</v>
      </c>
    </row>
    <row r="6334" spans="1:40" x14ac:dyDescent="0.3">
      <c r="A6334" s="1">
        <v>46210.266203703701</v>
      </c>
      <c r="B6334" t="s">
        <v>40</v>
      </c>
      <c r="C6334" t="s">
        <v>41</v>
      </c>
      <c r="D6334" s="1">
        <v>46210.269131944442</v>
      </c>
      <c r="E6334" t="s">
        <v>42</v>
      </c>
      <c r="F6334" t="s">
        <v>83</v>
      </c>
      <c r="G6334">
        <v>14</v>
      </c>
      <c r="H6334">
        <v>33081</v>
      </c>
      <c r="I6334" t="s">
        <v>3624</v>
      </c>
      <c r="J6334">
        <v>64</v>
      </c>
      <c r="K6334">
        <v>50</v>
      </c>
      <c r="L6334">
        <v>98</v>
      </c>
      <c r="M6334">
        <v>629.5</v>
      </c>
      <c r="N6334" t="s">
        <v>87</v>
      </c>
      <c r="O6334" t="s">
        <v>86</v>
      </c>
      <c r="P6334">
        <v>129</v>
      </c>
      <c r="Q6334">
        <v>4</v>
      </c>
      <c r="R6334">
        <v>7</v>
      </c>
      <c r="S6334">
        <v>1304</v>
      </c>
      <c r="T6334">
        <v>-40</v>
      </c>
      <c r="U6334">
        <v>45</v>
      </c>
      <c r="V6334">
        <v>220</v>
      </c>
      <c r="W6334">
        <v>28</v>
      </c>
      <c r="X6334">
        <v>28</v>
      </c>
      <c r="Y6334">
        <v>1</v>
      </c>
      <c r="Z6334">
        <v>1</v>
      </c>
      <c r="AA6334">
        <v>26</v>
      </c>
      <c r="AB6334">
        <v>2</v>
      </c>
      <c r="AC6334">
        <v>2</v>
      </c>
      <c r="AD6334">
        <v>3.2950000799999999</v>
      </c>
      <c r="AE6334">
        <v>1</v>
      </c>
      <c r="AF6334">
        <v>25</v>
      </c>
      <c r="AG6334">
        <v>3.28500009</v>
      </c>
      <c r="AH6334">
        <v>7</v>
      </c>
      <c r="AI6334">
        <v>1</v>
      </c>
      <c r="AJ6334">
        <v>1</v>
      </c>
      <c r="AK6334">
        <v>17</v>
      </c>
      <c r="AL6334">
        <v>37</v>
      </c>
      <c r="AM6334" t="s">
        <v>43</v>
      </c>
      <c r="AN6334" t="str">
        <f>HYPERLINK("https://www.google.com/maps?q=10.83284187,79.8398056","Open Location")</f>
        <v>Open Location</v>
      </c>
    </row>
    <row r="6335" spans="1:40" x14ac:dyDescent="0.3">
      <c r="A6335" s="1">
        <v>46210.266087962962</v>
      </c>
      <c r="B6335" t="s">
        <v>40</v>
      </c>
      <c r="C6335" t="s">
        <v>41</v>
      </c>
      <c r="D6335" s="1">
        <v>46210.26903935185</v>
      </c>
      <c r="E6335" t="s">
        <v>42</v>
      </c>
      <c r="F6335" t="s">
        <v>83</v>
      </c>
      <c r="G6335">
        <v>6</v>
      </c>
      <c r="H6335">
        <v>33081</v>
      </c>
      <c r="I6335" t="s">
        <v>3625</v>
      </c>
      <c r="J6335">
        <v>64</v>
      </c>
      <c r="K6335">
        <v>73</v>
      </c>
      <c r="L6335">
        <v>98</v>
      </c>
      <c r="M6335">
        <v>628.59997558999999</v>
      </c>
      <c r="N6335" t="s">
        <v>87</v>
      </c>
      <c r="O6335" t="s">
        <v>86</v>
      </c>
      <c r="P6335">
        <v>127</v>
      </c>
      <c r="Q6335">
        <v>2</v>
      </c>
      <c r="R6335">
        <v>28</v>
      </c>
      <c r="S6335">
        <v>1481</v>
      </c>
      <c r="T6335">
        <v>-40</v>
      </c>
      <c r="U6335">
        <v>44</v>
      </c>
      <c r="V6335">
        <v>280</v>
      </c>
      <c r="W6335">
        <v>28</v>
      </c>
      <c r="X6335">
        <v>28</v>
      </c>
      <c r="Y6335">
        <v>1</v>
      </c>
      <c r="Z6335">
        <v>1</v>
      </c>
      <c r="AA6335">
        <v>26</v>
      </c>
      <c r="AB6335">
        <v>2</v>
      </c>
      <c r="AC6335">
        <v>2</v>
      </c>
      <c r="AD6335">
        <v>3.2980000999999999</v>
      </c>
      <c r="AE6335">
        <v>1</v>
      </c>
      <c r="AF6335">
        <v>25</v>
      </c>
      <c r="AG6335">
        <v>3.28800011</v>
      </c>
      <c r="AH6335">
        <v>8</v>
      </c>
      <c r="AI6335">
        <v>9</v>
      </c>
      <c r="AJ6335">
        <v>1</v>
      </c>
      <c r="AK6335">
        <v>18</v>
      </c>
      <c r="AL6335">
        <v>37</v>
      </c>
      <c r="AM6335" t="s">
        <v>43</v>
      </c>
      <c r="AN6335" t="str">
        <f>HYPERLINK("https://www.google.com/maps?q=10.83282948,79.83942413","Open Location")</f>
        <v>Open Location</v>
      </c>
    </row>
    <row r="6336" spans="1:40" x14ac:dyDescent="0.3">
      <c r="A6336" s="1">
        <v>46210.265972222223</v>
      </c>
      <c r="B6336" t="s">
        <v>40</v>
      </c>
      <c r="C6336" t="s">
        <v>41</v>
      </c>
      <c r="D6336" s="1">
        <v>46210.26903935185</v>
      </c>
      <c r="E6336" t="s">
        <v>42</v>
      </c>
      <c r="F6336" t="s">
        <v>83</v>
      </c>
      <c r="G6336">
        <v>15</v>
      </c>
      <c r="H6336" t="s">
        <v>43</v>
      </c>
      <c r="I6336" t="s">
        <v>3626</v>
      </c>
      <c r="J6336">
        <v>64</v>
      </c>
      <c r="K6336">
        <v>10</v>
      </c>
      <c r="L6336">
        <v>98</v>
      </c>
      <c r="M6336">
        <v>631.20001220999995</v>
      </c>
      <c r="N6336" t="s">
        <v>87</v>
      </c>
      <c r="O6336" t="s">
        <v>86</v>
      </c>
      <c r="P6336">
        <v>128</v>
      </c>
      <c r="Q6336">
        <v>4</v>
      </c>
      <c r="R6336">
        <v>19</v>
      </c>
      <c r="S6336">
        <v>564</v>
      </c>
      <c r="T6336">
        <v>-40</v>
      </c>
      <c r="U6336">
        <v>45</v>
      </c>
      <c r="V6336">
        <v>5</v>
      </c>
      <c r="W6336">
        <v>28</v>
      </c>
      <c r="X6336">
        <v>28</v>
      </c>
      <c r="Y6336">
        <v>1</v>
      </c>
      <c r="Z6336">
        <v>1</v>
      </c>
      <c r="AA6336">
        <v>26</v>
      </c>
      <c r="AB6336">
        <v>2</v>
      </c>
      <c r="AC6336">
        <v>2</v>
      </c>
      <c r="AD6336">
        <v>3.28600001</v>
      </c>
      <c r="AE6336">
        <v>1</v>
      </c>
      <c r="AF6336">
        <v>25</v>
      </c>
      <c r="AG6336">
        <v>3.27399993</v>
      </c>
      <c r="AH6336">
        <v>7</v>
      </c>
      <c r="AI6336">
        <v>1</v>
      </c>
      <c r="AJ6336">
        <v>1</v>
      </c>
      <c r="AK6336">
        <v>18</v>
      </c>
      <c r="AL6336">
        <v>37</v>
      </c>
      <c r="AM6336" t="s">
        <v>43</v>
      </c>
      <c r="AN6336" t="str">
        <f>HYPERLINK("https://www.google.com/maps?q=10.83281708,79.83908844","Open Location")</f>
        <v>Open Location</v>
      </c>
    </row>
    <row r="6337" spans="1:40" x14ac:dyDescent="0.3">
      <c r="A6337" s="1">
        <v>46210.265856481485</v>
      </c>
      <c r="B6337" t="s">
        <v>40</v>
      </c>
      <c r="C6337" t="s">
        <v>41</v>
      </c>
      <c r="D6337" s="1">
        <v>46210.268692129626</v>
      </c>
      <c r="E6337" t="s">
        <v>42</v>
      </c>
      <c r="F6337" t="s">
        <v>83</v>
      </c>
      <c r="G6337">
        <v>12</v>
      </c>
      <c r="H6337">
        <v>33081</v>
      </c>
      <c r="I6337" t="s">
        <v>3627</v>
      </c>
      <c r="J6337">
        <v>64</v>
      </c>
      <c r="K6337">
        <v>63</v>
      </c>
      <c r="L6337">
        <v>98</v>
      </c>
      <c r="M6337">
        <v>629.5</v>
      </c>
      <c r="N6337" t="s">
        <v>87</v>
      </c>
      <c r="O6337" t="s">
        <v>86</v>
      </c>
      <c r="P6337">
        <v>129</v>
      </c>
      <c r="Q6337">
        <v>4</v>
      </c>
      <c r="R6337">
        <v>-11</v>
      </c>
      <c r="S6337">
        <v>1295</v>
      </c>
      <c r="T6337">
        <v>-40</v>
      </c>
      <c r="U6337">
        <v>44</v>
      </c>
      <c r="V6337">
        <v>260</v>
      </c>
      <c r="W6337">
        <v>28</v>
      </c>
      <c r="X6337">
        <v>28</v>
      </c>
      <c r="Y6337">
        <v>1</v>
      </c>
      <c r="Z6337">
        <v>1</v>
      </c>
      <c r="AA6337">
        <v>26</v>
      </c>
      <c r="AB6337">
        <v>2</v>
      </c>
      <c r="AC6337">
        <v>2</v>
      </c>
      <c r="AD6337">
        <v>3.2980000999999999</v>
      </c>
      <c r="AE6337">
        <v>6</v>
      </c>
      <c r="AF6337">
        <v>30</v>
      </c>
      <c r="AG6337">
        <v>3.2869999399999998</v>
      </c>
      <c r="AH6337">
        <v>4</v>
      </c>
      <c r="AI6337">
        <v>17</v>
      </c>
      <c r="AJ6337">
        <v>1</v>
      </c>
      <c r="AK6337">
        <v>17</v>
      </c>
      <c r="AL6337">
        <v>37</v>
      </c>
      <c r="AM6337" t="s">
        <v>43</v>
      </c>
      <c r="AN6337" t="str">
        <f>HYPERLINK("https://www.google.com/maps?q=10.83280754,79.83873749","Open Location")</f>
        <v>Open Location</v>
      </c>
    </row>
    <row r="6338" spans="1:40" x14ac:dyDescent="0.3">
      <c r="A6338" s="1">
        <v>46210.265740740739</v>
      </c>
      <c r="B6338" t="s">
        <v>40</v>
      </c>
      <c r="C6338" t="s">
        <v>41</v>
      </c>
      <c r="D6338" s="1">
        <v>46210.268703703703</v>
      </c>
      <c r="E6338" t="s">
        <v>42</v>
      </c>
      <c r="F6338" t="s">
        <v>83</v>
      </c>
      <c r="G6338">
        <v>15</v>
      </c>
      <c r="H6338">
        <v>33081</v>
      </c>
      <c r="I6338" t="s">
        <v>43</v>
      </c>
      <c r="J6338">
        <v>64</v>
      </c>
      <c r="K6338">
        <v>34</v>
      </c>
      <c r="L6338">
        <v>98</v>
      </c>
      <c r="M6338">
        <v>630.09997558999999</v>
      </c>
      <c r="N6338" t="s">
        <v>87</v>
      </c>
      <c r="O6338" t="s">
        <v>86</v>
      </c>
      <c r="P6338">
        <v>129</v>
      </c>
      <c r="Q6338">
        <v>4</v>
      </c>
      <c r="R6338">
        <v>-14</v>
      </c>
      <c r="S6338">
        <v>951</v>
      </c>
      <c r="T6338">
        <v>-40</v>
      </c>
      <c r="U6338">
        <v>44</v>
      </c>
      <c r="V6338">
        <v>160</v>
      </c>
      <c r="W6338">
        <v>28</v>
      </c>
      <c r="X6338">
        <v>28</v>
      </c>
      <c r="Y6338">
        <v>1</v>
      </c>
      <c r="Z6338">
        <v>1</v>
      </c>
      <c r="AA6338">
        <v>26</v>
      </c>
      <c r="AB6338">
        <v>2</v>
      </c>
      <c r="AC6338">
        <v>2</v>
      </c>
      <c r="AD6338">
        <v>3.2959999999999998</v>
      </c>
      <c r="AE6338">
        <v>6</v>
      </c>
      <c r="AF6338">
        <v>30</v>
      </c>
      <c r="AG6338">
        <v>3.28500009</v>
      </c>
      <c r="AH6338">
        <v>7</v>
      </c>
      <c r="AI6338">
        <v>1</v>
      </c>
      <c r="AJ6338">
        <v>1</v>
      </c>
      <c r="AK6338">
        <v>17</v>
      </c>
      <c r="AL6338">
        <v>37</v>
      </c>
      <c r="AM6338" t="s">
        <v>43</v>
      </c>
      <c r="AN6338" t="s">
        <v>43</v>
      </c>
    </row>
    <row r="6339" spans="1:40" x14ac:dyDescent="0.3">
      <c r="A6339" s="1">
        <v>46210.265625</v>
      </c>
      <c r="B6339" t="s">
        <v>40</v>
      </c>
      <c r="C6339" t="s">
        <v>41</v>
      </c>
      <c r="D6339" s="1">
        <v>46210.268495370372</v>
      </c>
      <c r="E6339" t="s">
        <v>42</v>
      </c>
      <c r="F6339" t="s">
        <v>83</v>
      </c>
      <c r="G6339">
        <v>16</v>
      </c>
      <c r="H6339">
        <v>33081</v>
      </c>
      <c r="I6339" t="s">
        <v>3628</v>
      </c>
      <c r="J6339">
        <v>64</v>
      </c>
      <c r="K6339">
        <v>17</v>
      </c>
      <c r="L6339">
        <v>98</v>
      </c>
      <c r="M6339">
        <v>631.29998779000005</v>
      </c>
      <c r="N6339" t="s">
        <v>87</v>
      </c>
      <c r="O6339" t="s">
        <v>86</v>
      </c>
      <c r="P6339">
        <v>129</v>
      </c>
      <c r="Q6339">
        <v>4</v>
      </c>
      <c r="R6339">
        <v>27</v>
      </c>
      <c r="S6339">
        <v>1165</v>
      </c>
      <c r="T6339">
        <v>-40</v>
      </c>
      <c r="U6339">
        <v>44</v>
      </c>
      <c r="V6339">
        <v>80</v>
      </c>
      <c r="W6339">
        <v>28</v>
      </c>
      <c r="X6339">
        <v>28</v>
      </c>
      <c r="Y6339">
        <v>1</v>
      </c>
      <c r="Z6339">
        <v>1</v>
      </c>
      <c r="AA6339">
        <v>26</v>
      </c>
      <c r="AB6339">
        <v>2</v>
      </c>
      <c r="AC6339">
        <v>2</v>
      </c>
      <c r="AD6339">
        <v>3.2899999599999998</v>
      </c>
      <c r="AE6339">
        <v>6</v>
      </c>
      <c r="AF6339">
        <v>30</v>
      </c>
      <c r="AG6339">
        <v>3.2790000400000001</v>
      </c>
      <c r="AH6339">
        <v>7</v>
      </c>
      <c r="AI6339">
        <v>1</v>
      </c>
      <c r="AJ6339">
        <v>1</v>
      </c>
      <c r="AK6339">
        <v>17</v>
      </c>
      <c r="AL6339">
        <v>37</v>
      </c>
      <c r="AM6339" t="s">
        <v>43</v>
      </c>
      <c r="AN6339" t="str">
        <f>HYPERLINK("https://www.google.com/maps?q=10.83277893,79.83828735","Open Location")</f>
        <v>Open Location</v>
      </c>
    </row>
    <row r="6340" spans="1:40" x14ac:dyDescent="0.3">
      <c r="A6340" s="1">
        <v>46210.265509259261</v>
      </c>
      <c r="B6340" t="s">
        <v>40</v>
      </c>
      <c r="C6340" t="s">
        <v>41</v>
      </c>
      <c r="D6340" s="1">
        <v>46210.268657407411</v>
      </c>
      <c r="E6340" t="s">
        <v>42</v>
      </c>
      <c r="F6340" t="s">
        <v>83</v>
      </c>
      <c r="G6340">
        <v>12</v>
      </c>
      <c r="H6340">
        <v>33081</v>
      </c>
      <c r="I6340" t="s">
        <v>3629</v>
      </c>
      <c r="J6340">
        <v>64</v>
      </c>
      <c r="K6340">
        <v>27</v>
      </c>
      <c r="L6340">
        <v>98</v>
      </c>
      <c r="M6340">
        <v>631.79998779000005</v>
      </c>
      <c r="N6340" t="s">
        <v>87</v>
      </c>
      <c r="O6340" t="s">
        <v>86</v>
      </c>
      <c r="P6340">
        <v>128</v>
      </c>
      <c r="Q6340">
        <v>3</v>
      </c>
      <c r="R6340">
        <v>20</v>
      </c>
      <c r="S6340">
        <v>1857</v>
      </c>
      <c r="T6340">
        <v>-40</v>
      </c>
      <c r="U6340">
        <v>44</v>
      </c>
      <c r="V6340">
        <v>100</v>
      </c>
      <c r="W6340">
        <v>28</v>
      </c>
      <c r="X6340">
        <v>28</v>
      </c>
      <c r="Y6340">
        <v>1</v>
      </c>
      <c r="Z6340">
        <v>1</v>
      </c>
      <c r="AA6340">
        <v>26</v>
      </c>
      <c r="AB6340">
        <v>2</v>
      </c>
      <c r="AC6340">
        <v>2</v>
      </c>
      <c r="AD6340">
        <v>3.2929999799999998</v>
      </c>
      <c r="AE6340">
        <v>6</v>
      </c>
      <c r="AF6340">
        <v>30</v>
      </c>
      <c r="AG6340">
        <v>3.2820000600000001</v>
      </c>
      <c r="AH6340">
        <v>7</v>
      </c>
      <c r="AI6340">
        <v>1</v>
      </c>
      <c r="AJ6340">
        <v>1</v>
      </c>
      <c r="AK6340">
        <v>17</v>
      </c>
      <c r="AL6340">
        <v>37</v>
      </c>
      <c r="AM6340" t="s">
        <v>43</v>
      </c>
      <c r="AN6340" t="str">
        <f>HYPERLINK("https://www.google.com/maps?q=10.83275986,79.83782196","Open Location")</f>
        <v>Open Location</v>
      </c>
    </row>
    <row r="6341" spans="1:40" x14ac:dyDescent="0.3">
      <c r="A6341" s="1">
        <v>46210.265393518515</v>
      </c>
      <c r="B6341" t="s">
        <v>40</v>
      </c>
      <c r="C6341" t="s">
        <v>41</v>
      </c>
      <c r="D6341" s="1">
        <v>46210.268310185187</v>
      </c>
      <c r="E6341" t="s">
        <v>42</v>
      </c>
      <c r="F6341" t="s">
        <v>83</v>
      </c>
      <c r="G6341">
        <v>13</v>
      </c>
      <c r="H6341">
        <v>33081</v>
      </c>
      <c r="I6341" t="s">
        <v>3630</v>
      </c>
      <c r="J6341">
        <v>64</v>
      </c>
      <c r="K6341">
        <v>39</v>
      </c>
      <c r="L6341">
        <v>98</v>
      </c>
      <c r="M6341">
        <v>630.5</v>
      </c>
      <c r="N6341" t="s">
        <v>87</v>
      </c>
      <c r="O6341" t="s">
        <v>86</v>
      </c>
      <c r="P6341">
        <v>129</v>
      </c>
      <c r="Q6341">
        <v>4</v>
      </c>
      <c r="R6341">
        <v>-12</v>
      </c>
      <c r="S6341">
        <v>1423</v>
      </c>
      <c r="T6341">
        <v>-40</v>
      </c>
      <c r="U6341">
        <v>44</v>
      </c>
      <c r="V6341">
        <v>140</v>
      </c>
      <c r="W6341">
        <v>28</v>
      </c>
      <c r="X6341">
        <v>28</v>
      </c>
      <c r="Y6341">
        <v>1</v>
      </c>
      <c r="Z6341">
        <v>1</v>
      </c>
      <c r="AA6341">
        <v>26</v>
      </c>
      <c r="AB6341">
        <v>2</v>
      </c>
      <c r="AC6341">
        <v>2</v>
      </c>
      <c r="AD6341">
        <v>3.3010001199999999</v>
      </c>
      <c r="AE6341">
        <v>6</v>
      </c>
      <c r="AF6341">
        <v>30</v>
      </c>
      <c r="AG6341">
        <v>3.2909998900000001</v>
      </c>
      <c r="AH6341">
        <v>2</v>
      </c>
      <c r="AI6341">
        <v>45</v>
      </c>
      <c r="AJ6341">
        <v>1</v>
      </c>
      <c r="AK6341">
        <v>18</v>
      </c>
      <c r="AL6341">
        <v>37</v>
      </c>
      <c r="AM6341" t="s">
        <v>43</v>
      </c>
      <c r="AN6341" t="str">
        <f>HYPERLINK("https://www.google.com/maps?q=10.83273506,79.83744812","Open Location")</f>
        <v>Open Location</v>
      </c>
    </row>
    <row r="6342" spans="1:40" x14ac:dyDescent="0.3">
      <c r="A6342" s="1">
        <v>46210.265277777777</v>
      </c>
      <c r="B6342" t="s">
        <v>40</v>
      </c>
      <c r="C6342" t="s">
        <v>41</v>
      </c>
      <c r="D6342" s="1">
        <v>46210.268310185187</v>
      </c>
      <c r="E6342" t="s">
        <v>42</v>
      </c>
      <c r="F6342" t="s">
        <v>83</v>
      </c>
      <c r="G6342">
        <v>14</v>
      </c>
      <c r="H6342">
        <v>33081</v>
      </c>
      <c r="I6342" t="s">
        <v>3631</v>
      </c>
      <c r="J6342">
        <v>64</v>
      </c>
      <c r="K6342">
        <v>20</v>
      </c>
      <c r="L6342">
        <v>98</v>
      </c>
      <c r="M6342">
        <v>631</v>
      </c>
      <c r="N6342" t="s">
        <v>87</v>
      </c>
      <c r="O6342" t="s">
        <v>86</v>
      </c>
      <c r="P6342">
        <v>129</v>
      </c>
      <c r="Q6342">
        <v>4</v>
      </c>
      <c r="R6342">
        <v>25</v>
      </c>
      <c r="S6342">
        <v>1099</v>
      </c>
      <c r="T6342">
        <v>-40</v>
      </c>
      <c r="U6342">
        <v>44</v>
      </c>
      <c r="V6342">
        <v>100</v>
      </c>
      <c r="W6342">
        <v>28</v>
      </c>
      <c r="X6342">
        <v>28</v>
      </c>
      <c r="Y6342">
        <v>1</v>
      </c>
      <c r="Z6342">
        <v>1</v>
      </c>
      <c r="AA6342">
        <v>26</v>
      </c>
      <c r="AB6342">
        <v>2</v>
      </c>
      <c r="AC6342">
        <v>2</v>
      </c>
      <c r="AD6342">
        <v>3.2959999999999998</v>
      </c>
      <c r="AE6342">
        <v>6</v>
      </c>
      <c r="AF6342">
        <v>30</v>
      </c>
      <c r="AG6342">
        <v>3.28500009</v>
      </c>
      <c r="AH6342">
        <v>7</v>
      </c>
      <c r="AI6342">
        <v>1</v>
      </c>
      <c r="AJ6342">
        <v>1</v>
      </c>
      <c r="AK6342">
        <v>17</v>
      </c>
      <c r="AL6342">
        <v>37</v>
      </c>
      <c r="AM6342" t="s">
        <v>43</v>
      </c>
      <c r="AN6342" t="str">
        <f>HYPERLINK("https://www.google.com/maps?q=10.83269978,79.83699799","Open Location")</f>
        <v>Open Location</v>
      </c>
    </row>
    <row r="6343" spans="1:40" x14ac:dyDescent="0.3">
      <c r="A6343" s="1">
        <v>46210.265162037038</v>
      </c>
      <c r="B6343" t="s">
        <v>40</v>
      </c>
      <c r="C6343" t="s">
        <v>41</v>
      </c>
      <c r="D6343" s="1">
        <v>46210.267928240741</v>
      </c>
      <c r="E6343" t="s">
        <v>42</v>
      </c>
      <c r="F6343" t="s">
        <v>83</v>
      </c>
      <c r="G6343">
        <v>14</v>
      </c>
      <c r="H6343">
        <v>33081</v>
      </c>
      <c r="I6343" t="s">
        <v>43</v>
      </c>
      <c r="J6343">
        <v>64</v>
      </c>
      <c r="K6343">
        <v>33</v>
      </c>
      <c r="L6343">
        <v>98</v>
      </c>
      <c r="M6343">
        <v>631</v>
      </c>
      <c r="N6343" t="s">
        <v>87</v>
      </c>
      <c r="O6343" t="s">
        <v>86</v>
      </c>
      <c r="P6343">
        <v>129</v>
      </c>
      <c r="Q6343">
        <v>4</v>
      </c>
      <c r="R6343">
        <v>2</v>
      </c>
      <c r="S6343">
        <v>1233</v>
      </c>
      <c r="T6343">
        <v>-40</v>
      </c>
      <c r="U6343">
        <v>44</v>
      </c>
      <c r="V6343">
        <v>160</v>
      </c>
      <c r="W6343">
        <v>28</v>
      </c>
      <c r="X6343">
        <v>28</v>
      </c>
      <c r="Y6343">
        <v>1</v>
      </c>
      <c r="Z6343">
        <v>1</v>
      </c>
      <c r="AA6343">
        <v>26</v>
      </c>
      <c r="AB6343">
        <v>2</v>
      </c>
      <c r="AC6343">
        <v>2</v>
      </c>
      <c r="AD6343">
        <v>3.3010001199999999</v>
      </c>
      <c r="AE6343">
        <v>6</v>
      </c>
      <c r="AF6343">
        <v>30</v>
      </c>
      <c r="AG6343">
        <v>3.2899999599999998</v>
      </c>
      <c r="AH6343">
        <v>8</v>
      </c>
      <c r="AI6343">
        <v>48</v>
      </c>
      <c r="AJ6343">
        <v>1</v>
      </c>
      <c r="AK6343">
        <v>17</v>
      </c>
      <c r="AL6343">
        <v>37</v>
      </c>
      <c r="AM6343" t="s">
        <v>43</v>
      </c>
      <c r="AN6343" t="s">
        <v>43</v>
      </c>
    </row>
    <row r="6344" spans="1:40" x14ac:dyDescent="0.3">
      <c r="A6344" s="1">
        <v>46210.265046296299</v>
      </c>
      <c r="B6344" t="s">
        <v>40</v>
      </c>
      <c r="C6344" t="s">
        <v>41</v>
      </c>
      <c r="D6344" s="1">
        <v>46210.267812500002</v>
      </c>
      <c r="E6344" t="s">
        <v>42</v>
      </c>
      <c r="F6344" t="s">
        <v>83</v>
      </c>
      <c r="G6344">
        <v>17</v>
      </c>
      <c r="H6344">
        <v>33081</v>
      </c>
      <c r="I6344" t="s">
        <v>3632</v>
      </c>
      <c r="J6344">
        <v>64</v>
      </c>
      <c r="K6344">
        <v>64</v>
      </c>
      <c r="L6344">
        <v>98</v>
      </c>
      <c r="M6344">
        <v>628.70001220999995</v>
      </c>
      <c r="N6344" t="s">
        <v>87</v>
      </c>
      <c r="O6344" t="s">
        <v>86</v>
      </c>
      <c r="P6344">
        <v>130</v>
      </c>
      <c r="Q6344">
        <v>4</v>
      </c>
      <c r="R6344">
        <v>-14</v>
      </c>
      <c r="S6344">
        <v>1972</v>
      </c>
      <c r="T6344">
        <v>-40</v>
      </c>
      <c r="U6344">
        <v>44</v>
      </c>
      <c r="V6344">
        <v>220</v>
      </c>
      <c r="W6344">
        <v>28</v>
      </c>
      <c r="X6344">
        <v>28</v>
      </c>
      <c r="Y6344">
        <v>1</v>
      </c>
      <c r="Z6344">
        <v>1</v>
      </c>
      <c r="AA6344">
        <v>26</v>
      </c>
      <c r="AB6344">
        <v>2</v>
      </c>
      <c r="AC6344">
        <v>2</v>
      </c>
      <c r="AD6344">
        <v>3.3010001199999999</v>
      </c>
      <c r="AE6344">
        <v>6</v>
      </c>
      <c r="AF6344">
        <v>30</v>
      </c>
      <c r="AG6344">
        <v>3.2909998900000001</v>
      </c>
      <c r="AH6344">
        <v>2</v>
      </c>
      <c r="AI6344">
        <v>45</v>
      </c>
      <c r="AJ6344">
        <v>1</v>
      </c>
      <c r="AK6344">
        <v>18</v>
      </c>
      <c r="AL6344">
        <v>37</v>
      </c>
      <c r="AM6344" t="s">
        <v>43</v>
      </c>
      <c r="AN6344" t="str">
        <f>HYPERLINK("https://www.google.com/maps?q=10.83265305,79.83654022","Open Location")</f>
        <v>Open Location</v>
      </c>
    </row>
    <row r="6345" spans="1:40" x14ac:dyDescent="0.3">
      <c r="A6345" s="1">
        <v>46210.264930555553</v>
      </c>
      <c r="B6345" t="s">
        <v>40</v>
      </c>
      <c r="C6345" t="s">
        <v>41</v>
      </c>
      <c r="D6345" s="1">
        <v>46210.267685185187</v>
      </c>
      <c r="E6345" t="s">
        <v>42</v>
      </c>
      <c r="F6345" t="s">
        <v>83</v>
      </c>
      <c r="G6345">
        <v>21</v>
      </c>
      <c r="H6345">
        <v>33081</v>
      </c>
      <c r="I6345" t="s">
        <v>3633</v>
      </c>
      <c r="J6345">
        <v>64</v>
      </c>
      <c r="K6345">
        <v>-19</v>
      </c>
      <c r="L6345">
        <v>98</v>
      </c>
      <c r="M6345">
        <v>631.79998779000005</v>
      </c>
      <c r="N6345" t="s">
        <v>87</v>
      </c>
      <c r="O6345" t="s">
        <v>86</v>
      </c>
      <c r="P6345">
        <v>130</v>
      </c>
      <c r="Q6345">
        <v>5</v>
      </c>
      <c r="R6345">
        <v>21</v>
      </c>
      <c r="S6345">
        <v>852</v>
      </c>
      <c r="T6345">
        <v>-40</v>
      </c>
      <c r="U6345">
        <v>44</v>
      </c>
      <c r="V6345">
        <v>-184</v>
      </c>
      <c r="W6345">
        <v>28</v>
      </c>
      <c r="X6345">
        <v>28</v>
      </c>
      <c r="Y6345">
        <v>1</v>
      </c>
      <c r="Z6345">
        <v>1</v>
      </c>
      <c r="AA6345">
        <v>26</v>
      </c>
      <c r="AB6345">
        <v>2</v>
      </c>
      <c r="AC6345">
        <v>2</v>
      </c>
      <c r="AD6345">
        <v>3.2939999100000001</v>
      </c>
      <c r="AE6345">
        <v>1</v>
      </c>
      <c r="AF6345">
        <v>25</v>
      </c>
      <c r="AG6345">
        <v>3.2839999199999999</v>
      </c>
      <c r="AH6345">
        <v>2</v>
      </c>
      <c r="AI6345">
        <v>45</v>
      </c>
      <c r="AJ6345">
        <v>1</v>
      </c>
      <c r="AK6345">
        <v>17</v>
      </c>
      <c r="AL6345">
        <v>37</v>
      </c>
      <c r="AM6345" t="s">
        <v>43</v>
      </c>
      <c r="AN6345" t="str">
        <f>HYPERLINK("https://www.google.com/maps?q=10.83255577,79.83601379","Open Location")</f>
        <v>Open Location</v>
      </c>
    </row>
    <row r="6346" spans="1:40" x14ac:dyDescent="0.3">
      <c r="A6346" s="1">
        <v>46210.264814814815</v>
      </c>
      <c r="B6346" t="s">
        <v>40</v>
      </c>
      <c r="C6346" t="s">
        <v>41</v>
      </c>
      <c r="D6346" s="1">
        <v>46210.267581018517</v>
      </c>
      <c r="E6346" t="s">
        <v>42</v>
      </c>
      <c r="F6346" t="s">
        <v>83</v>
      </c>
      <c r="G6346">
        <v>25</v>
      </c>
      <c r="H6346">
        <v>33081</v>
      </c>
      <c r="I6346" t="s">
        <v>3634</v>
      </c>
      <c r="J6346">
        <v>64</v>
      </c>
      <c r="K6346">
        <v>-27</v>
      </c>
      <c r="L6346">
        <v>98</v>
      </c>
      <c r="M6346">
        <v>632.59997558999999</v>
      </c>
      <c r="N6346" t="s">
        <v>87</v>
      </c>
      <c r="O6346" t="s">
        <v>86</v>
      </c>
      <c r="P6346">
        <v>130</v>
      </c>
      <c r="Q6346">
        <v>5</v>
      </c>
      <c r="R6346">
        <v>28</v>
      </c>
      <c r="S6346">
        <v>1087</v>
      </c>
      <c r="T6346">
        <v>-40</v>
      </c>
      <c r="U6346">
        <v>45</v>
      </c>
      <c r="V6346">
        <v>-184</v>
      </c>
      <c r="W6346">
        <v>28</v>
      </c>
      <c r="X6346">
        <v>28</v>
      </c>
      <c r="Y6346">
        <v>1</v>
      </c>
      <c r="Z6346">
        <v>1</v>
      </c>
      <c r="AA6346">
        <v>26</v>
      </c>
      <c r="AB6346">
        <v>2</v>
      </c>
      <c r="AC6346">
        <v>2</v>
      </c>
      <c r="AD6346">
        <v>3.28600001</v>
      </c>
      <c r="AE6346">
        <v>1</v>
      </c>
      <c r="AF6346">
        <v>25</v>
      </c>
      <c r="AG6346">
        <v>3.2750001000000002</v>
      </c>
      <c r="AH6346">
        <v>7</v>
      </c>
      <c r="AI6346">
        <v>1</v>
      </c>
      <c r="AJ6346">
        <v>1</v>
      </c>
      <c r="AK6346">
        <v>17</v>
      </c>
      <c r="AL6346">
        <v>37</v>
      </c>
      <c r="AM6346" t="s">
        <v>43</v>
      </c>
      <c r="AN6346" t="str">
        <f>HYPERLINK("https://www.google.com/maps?q=10.83239269,79.83526611","Open Location")</f>
        <v>Open Location</v>
      </c>
    </row>
    <row r="6347" spans="1:40" x14ac:dyDescent="0.3">
      <c r="A6347" s="1">
        <v>46210.264699074076</v>
      </c>
      <c r="B6347" t="s">
        <v>40</v>
      </c>
      <c r="C6347" t="s">
        <v>41</v>
      </c>
      <c r="D6347" s="1">
        <v>46210.267569444448</v>
      </c>
      <c r="E6347" t="s">
        <v>42</v>
      </c>
      <c r="F6347" t="s">
        <v>83</v>
      </c>
      <c r="G6347">
        <v>17</v>
      </c>
      <c r="H6347">
        <v>33081</v>
      </c>
      <c r="I6347" t="s">
        <v>3635</v>
      </c>
      <c r="J6347">
        <v>64</v>
      </c>
      <c r="K6347">
        <v>83</v>
      </c>
      <c r="L6347">
        <v>98</v>
      </c>
      <c r="M6347">
        <v>627.79998779000005</v>
      </c>
      <c r="N6347" t="s">
        <v>87</v>
      </c>
      <c r="O6347" t="s">
        <v>86</v>
      </c>
      <c r="P6347">
        <v>129</v>
      </c>
      <c r="Q6347">
        <v>4</v>
      </c>
      <c r="R6347">
        <v>58</v>
      </c>
      <c r="S6347">
        <v>1764</v>
      </c>
      <c r="T6347">
        <v>-40</v>
      </c>
      <c r="U6347">
        <v>44</v>
      </c>
      <c r="V6347">
        <v>280</v>
      </c>
      <c r="W6347">
        <v>28</v>
      </c>
      <c r="X6347">
        <v>28</v>
      </c>
      <c r="Y6347">
        <v>1</v>
      </c>
      <c r="Z6347">
        <v>1</v>
      </c>
      <c r="AA6347">
        <v>26</v>
      </c>
      <c r="AB6347">
        <v>2</v>
      </c>
      <c r="AC6347">
        <v>2</v>
      </c>
      <c r="AD6347">
        <v>3.2820000600000001</v>
      </c>
      <c r="AE6347">
        <v>6</v>
      </c>
      <c r="AF6347">
        <v>30</v>
      </c>
      <c r="AG6347">
        <v>3.2690000499999998</v>
      </c>
      <c r="AH6347">
        <v>4</v>
      </c>
      <c r="AI6347">
        <v>17</v>
      </c>
      <c r="AJ6347">
        <v>1</v>
      </c>
      <c r="AK6347">
        <v>17</v>
      </c>
      <c r="AL6347">
        <v>37</v>
      </c>
      <c r="AM6347" t="s">
        <v>43</v>
      </c>
      <c r="AN6347" t="str">
        <f>HYPERLINK("https://www.google.com/maps?q=10.83226585,79.83459473","Open Location")</f>
        <v>Open Location</v>
      </c>
    </row>
    <row r="6348" spans="1:40" x14ac:dyDescent="0.3">
      <c r="A6348" s="1">
        <v>46210.26458333333</v>
      </c>
      <c r="B6348" t="s">
        <v>40</v>
      </c>
      <c r="C6348" t="s">
        <v>41</v>
      </c>
      <c r="D6348" s="1">
        <v>46210.267650462964</v>
      </c>
      <c r="E6348" t="s">
        <v>42</v>
      </c>
      <c r="F6348" t="s">
        <v>83</v>
      </c>
      <c r="G6348">
        <v>5</v>
      </c>
      <c r="H6348">
        <v>33081</v>
      </c>
      <c r="I6348" t="s">
        <v>3636</v>
      </c>
      <c r="J6348">
        <v>64</v>
      </c>
      <c r="K6348">
        <v>86</v>
      </c>
      <c r="L6348">
        <v>98</v>
      </c>
      <c r="M6348">
        <v>626.40002441000001</v>
      </c>
      <c r="N6348" t="s">
        <v>87</v>
      </c>
      <c r="O6348" t="s">
        <v>86</v>
      </c>
      <c r="P6348">
        <v>128</v>
      </c>
      <c r="Q6348">
        <v>2</v>
      </c>
      <c r="R6348">
        <v>0</v>
      </c>
      <c r="S6348">
        <v>1350</v>
      </c>
      <c r="T6348">
        <v>-40</v>
      </c>
      <c r="U6348">
        <v>43</v>
      </c>
      <c r="V6348">
        <v>370</v>
      </c>
      <c r="W6348">
        <v>28</v>
      </c>
      <c r="X6348">
        <v>28</v>
      </c>
      <c r="Y6348">
        <v>1</v>
      </c>
      <c r="Z6348">
        <v>1</v>
      </c>
      <c r="AA6348">
        <v>26</v>
      </c>
      <c r="AB6348">
        <v>2</v>
      </c>
      <c r="AC6348">
        <v>2</v>
      </c>
      <c r="AD6348">
        <v>3.2969999300000001</v>
      </c>
      <c r="AE6348">
        <v>1</v>
      </c>
      <c r="AF6348">
        <v>25</v>
      </c>
      <c r="AG6348">
        <v>3.2869999399999998</v>
      </c>
      <c r="AH6348">
        <v>7</v>
      </c>
      <c r="AI6348">
        <v>1</v>
      </c>
      <c r="AJ6348">
        <v>1</v>
      </c>
      <c r="AK6348">
        <v>17</v>
      </c>
      <c r="AL6348">
        <v>37</v>
      </c>
      <c r="AM6348" t="s">
        <v>43</v>
      </c>
      <c r="AN6348" t="str">
        <f>HYPERLINK("https://www.google.com/maps?q=10.83221722,79.83431244","Open Location")</f>
        <v>Open Location</v>
      </c>
    </row>
    <row r="6349" spans="1:40" x14ac:dyDescent="0.3">
      <c r="A6349" s="1">
        <v>46210.264467592591</v>
      </c>
      <c r="B6349" t="s">
        <v>40</v>
      </c>
      <c r="C6349" t="s">
        <v>41</v>
      </c>
      <c r="D6349" s="1">
        <v>46210.267650462964</v>
      </c>
      <c r="E6349" t="s">
        <v>42</v>
      </c>
      <c r="F6349" t="s">
        <v>83</v>
      </c>
      <c r="G6349">
        <v>7</v>
      </c>
      <c r="H6349">
        <v>33081</v>
      </c>
      <c r="I6349" t="s">
        <v>43</v>
      </c>
      <c r="J6349">
        <v>65</v>
      </c>
      <c r="K6349">
        <v>10</v>
      </c>
      <c r="L6349">
        <v>98</v>
      </c>
      <c r="M6349">
        <v>631.40002441000001</v>
      </c>
      <c r="N6349" t="s">
        <v>87</v>
      </c>
      <c r="O6349" t="s">
        <v>86</v>
      </c>
      <c r="P6349">
        <v>128</v>
      </c>
      <c r="Q6349">
        <v>3</v>
      </c>
      <c r="R6349">
        <v>1</v>
      </c>
      <c r="S6349">
        <v>839</v>
      </c>
      <c r="T6349">
        <v>-40</v>
      </c>
      <c r="U6349">
        <v>43</v>
      </c>
      <c r="V6349">
        <v>5</v>
      </c>
      <c r="W6349">
        <v>28</v>
      </c>
      <c r="X6349">
        <v>28</v>
      </c>
      <c r="Y6349">
        <v>1</v>
      </c>
      <c r="Z6349">
        <v>1</v>
      </c>
      <c r="AA6349">
        <v>26</v>
      </c>
      <c r="AB6349">
        <v>2</v>
      </c>
      <c r="AC6349">
        <v>2</v>
      </c>
      <c r="AD6349">
        <v>3.30699992</v>
      </c>
      <c r="AE6349">
        <v>6</v>
      </c>
      <c r="AF6349">
        <v>30</v>
      </c>
      <c r="AG6349">
        <v>3.2959999999999998</v>
      </c>
      <c r="AH6349">
        <v>8</v>
      </c>
      <c r="AI6349">
        <v>48</v>
      </c>
      <c r="AJ6349">
        <v>1</v>
      </c>
      <c r="AK6349">
        <v>18</v>
      </c>
      <c r="AL6349">
        <v>37</v>
      </c>
      <c r="AM6349" t="s">
        <v>43</v>
      </c>
      <c r="AN6349" t="s">
        <v>43</v>
      </c>
    </row>
    <row r="6350" spans="1:40" x14ac:dyDescent="0.3">
      <c r="A6350" s="1">
        <v>46210.264351851853</v>
      </c>
      <c r="B6350" t="s">
        <v>40</v>
      </c>
      <c r="C6350" t="s">
        <v>41</v>
      </c>
      <c r="D6350" s="1">
        <v>46210.267650462964</v>
      </c>
      <c r="E6350" t="s">
        <v>42</v>
      </c>
      <c r="F6350" t="s">
        <v>83</v>
      </c>
      <c r="G6350">
        <v>16</v>
      </c>
      <c r="H6350">
        <v>33081</v>
      </c>
      <c r="I6350" t="s">
        <v>3637</v>
      </c>
      <c r="J6350">
        <v>65</v>
      </c>
      <c r="K6350">
        <v>37</v>
      </c>
      <c r="L6350">
        <v>98</v>
      </c>
      <c r="M6350">
        <v>631.29998779000005</v>
      </c>
      <c r="N6350" t="s">
        <v>87</v>
      </c>
      <c r="O6350" t="s">
        <v>86</v>
      </c>
      <c r="P6350">
        <v>129</v>
      </c>
      <c r="Q6350">
        <v>4</v>
      </c>
      <c r="R6350">
        <v>-15</v>
      </c>
      <c r="S6350">
        <v>1427</v>
      </c>
      <c r="T6350">
        <v>-40</v>
      </c>
      <c r="U6350">
        <v>44</v>
      </c>
      <c r="V6350">
        <v>160</v>
      </c>
      <c r="W6350">
        <v>28</v>
      </c>
      <c r="X6350">
        <v>28</v>
      </c>
      <c r="Y6350">
        <v>1</v>
      </c>
      <c r="Z6350">
        <v>1</v>
      </c>
      <c r="AA6350">
        <v>26</v>
      </c>
      <c r="AB6350">
        <v>2</v>
      </c>
      <c r="AC6350">
        <v>2</v>
      </c>
      <c r="AD6350">
        <v>3.28800011</v>
      </c>
      <c r="AE6350">
        <v>1</v>
      </c>
      <c r="AF6350">
        <v>25</v>
      </c>
      <c r="AG6350">
        <v>3.2760000200000001</v>
      </c>
      <c r="AH6350">
        <v>7</v>
      </c>
      <c r="AI6350">
        <v>1</v>
      </c>
      <c r="AJ6350">
        <v>1</v>
      </c>
      <c r="AK6350">
        <v>18</v>
      </c>
      <c r="AL6350">
        <v>37</v>
      </c>
      <c r="AM6350" t="s">
        <v>43</v>
      </c>
      <c r="AN6350" t="str">
        <f>HYPERLINK("https://www.google.com/maps?q=10.83216381,79.83405304","Open Location")</f>
        <v>Open Location</v>
      </c>
    </row>
    <row r="6351" spans="1:40" x14ac:dyDescent="0.3">
      <c r="A6351" s="1">
        <v>46210.264236111114</v>
      </c>
      <c r="B6351" t="s">
        <v>40</v>
      </c>
      <c r="C6351" t="s">
        <v>41</v>
      </c>
      <c r="D6351" s="1">
        <v>46210.267083333332</v>
      </c>
      <c r="E6351" t="s">
        <v>42</v>
      </c>
      <c r="F6351" t="s">
        <v>83</v>
      </c>
      <c r="G6351">
        <v>0</v>
      </c>
      <c r="H6351">
        <v>33081</v>
      </c>
      <c r="I6351" t="s">
        <v>3638</v>
      </c>
      <c r="J6351">
        <v>65</v>
      </c>
      <c r="K6351">
        <v>176</v>
      </c>
      <c r="L6351">
        <v>98</v>
      </c>
      <c r="M6351">
        <v>624</v>
      </c>
      <c r="N6351" t="s">
        <v>85</v>
      </c>
      <c r="O6351" t="s">
        <v>86</v>
      </c>
      <c r="P6351">
        <v>127</v>
      </c>
      <c r="Q6351">
        <v>2</v>
      </c>
      <c r="R6351">
        <v>2</v>
      </c>
      <c r="S6351">
        <v>1612</v>
      </c>
      <c r="T6351">
        <v>-40</v>
      </c>
      <c r="U6351">
        <v>42</v>
      </c>
      <c r="V6351">
        <v>630</v>
      </c>
      <c r="W6351">
        <v>28</v>
      </c>
      <c r="X6351">
        <v>28</v>
      </c>
      <c r="Y6351">
        <v>1</v>
      </c>
      <c r="Z6351">
        <v>1</v>
      </c>
      <c r="AA6351">
        <v>26</v>
      </c>
      <c r="AB6351">
        <v>2</v>
      </c>
      <c r="AC6351">
        <v>2</v>
      </c>
      <c r="AD6351">
        <v>3.2990000199999998</v>
      </c>
      <c r="AE6351">
        <v>1</v>
      </c>
      <c r="AF6351">
        <v>25</v>
      </c>
      <c r="AG6351">
        <v>3.28900003</v>
      </c>
      <c r="AH6351">
        <v>8</v>
      </c>
      <c r="AI6351">
        <v>48</v>
      </c>
      <c r="AJ6351">
        <v>1</v>
      </c>
      <c r="AK6351">
        <v>18</v>
      </c>
      <c r="AL6351">
        <v>36</v>
      </c>
      <c r="AM6351" t="s">
        <v>43</v>
      </c>
      <c r="AN6351" t="str">
        <f>HYPERLINK("https://www.google.com/maps?q=10.83176708,79.83411407","Open Location")</f>
        <v>Open Location</v>
      </c>
    </row>
    <row r="6352" spans="1:40" x14ac:dyDescent="0.3">
      <c r="A6352" s="1">
        <v>46210.264120370368</v>
      </c>
      <c r="B6352" t="s">
        <v>40</v>
      </c>
      <c r="C6352" t="s">
        <v>41</v>
      </c>
      <c r="D6352" s="1">
        <v>46210.267291666663</v>
      </c>
      <c r="E6352" t="s">
        <v>42</v>
      </c>
      <c r="F6352" t="s">
        <v>83</v>
      </c>
      <c r="G6352">
        <v>0</v>
      </c>
      <c r="H6352">
        <v>33081</v>
      </c>
      <c r="I6352" t="s">
        <v>43</v>
      </c>
      <c r="J6352">
        <v>65</v>
      </c>
      <c r="K6352">
        <v>2</v>
      </c>
      <c r="L6352">
        <v>98</v>
      </c>
      <c r="M6352">
        <v>631.90002441000001</v>
      </c>
      <c r="N6352" t="s">
        <v>85</v>
      </c>
      <c r="O6352" t="s">
        <v>86</v>
      </c>
      <c r="P6352">
        <v>127</v>
      </c>
      <c r="Q6352">
        <v>2</v>
      </c>
      <c r="R6352">
        <v>0</v>
      </c>
      <c r="S6352">
        <v>33</v>
      </c>
      <c r="T6352">
        <v>-40</v>
      </c>
      <c r="U6352">
        <v>43</v>
      </c>
      <c r="V6352">
        <v>-5</v>
      </c>
      <c r="W6352">
        <v>28</v>
      </c>
      <c r="X6352">
        <v>28</v>
      </c>
      <c r="Y6352">
        <v>1</v>
      </c>
      <c r="Z6352">
        <v>1</v>
      </c>
      <c r="AA6352">
        <v>26</v>
      </c>
      <c r="AB6352">
        <v>2</v>
      </c>
      <c r="AC6352">
        <v>2</v>
      </c>
      <c r="AD6352">
        <v>3.2990000199999998</v>
      </c>
      <c r="AE6352">
        <v>6</v>
      </c>
      <c r="AF6352">
        <v>30</v>
      </c>
      <c r="AG6352">
        <v>3.28800011</v>
      </c>
      <c r="AH6352">
        <v>8</v>
      </c>
      <c r="AI6352">
        <v>48</v>
      </c>
      <c r="AJ6352">
        <v>1</v>
      </c>
      <c r="AK6352">
        <v>18</v>
      </c>
      <c r="AL6352">
        <v>36</v>
      </c>
      <c r="AM6352" t="s">
        <v>43</v>
      </c>
      <c r="AN6352" t="s">
        <v>43</v>
      </c>
    </row>
    <row r="6353" spans="1:40" x14ac:dyDescent="0.3">
      <c r="A6353" s="1">
        <v>46210.264004629629</v>
      </c>
      <c r="B6353" t="s">
        <v>40</v>
      </c>
      <c r="C6353" t="s">
        <v>41</v>
      </c>
      <c r="D6353" s="1">
        <v>46210.266736111109</v>
      </c>
      <c r="E6353" t="s">
        <v>42</v>
      </c>
      <c r="F6353" t="s">
        <v>83</v>
      </c>
      <c r="G6353">
        <v>6</v>
      </c>
      <c r="H6353" t="s">
        <v>43</v>
      </c>
      <c r="I6353" t="s">
        <v>3639</v>
      </c>
      <c r="J6353">
        <v>65</v>
      </c>
      <c r="K6353">
        <v>2</v>
      </c>
      <c r="L6353">
        <v>98</v>
      </c>
      <c r="M6353">
        <v>631.5</v>
      </c>
      <c r="N6353" t="s">
        <v>87</v>
      </c>
      <c r="O6353" t="s">
        <v>86</v>
      </c>
      <c r="P6353">
        <v>130</v>
      </c>
      <c r="Q6353">
        <v>2</v>
      </c>
      <c r="R6353">
        <v>0</v>
      </c>
      <c r="S6353">
        <v>233</v>
      </c>
      <c r="T6353">
        <v>-40</v>
      </c>
      <c r="U6353">
        <v>46</v>
      </c>
      <c r="V6353">
        <v>5</v>
      </c>
      <c r="W6353">
        <v>28</v>
      </c>
      <c r="X6353">
        <v>28</v>
      </c>
      <c r="Y6353">
        <v>1</v>
      </c>
      <c r="Z6353">
        <v>1</v>
      </c>
      <c r="AA6353">
        <v>26</v>
      </c>
      <c r="AB6353">
        <v>2</v>
      </c>
      <c r="AC6353">
        <v>2</v>
      </c>
      <c r="AD6353">
        <v>3.3110001100000002</v>
      </c>
      <c r="AE6353">
        <v>1</v>
      </c>
      <c r="AF6353">
        <v>27</v>
      </c>
      <c r="AG6353">
        <v>3.3010001199999999</v>
      </c>
      <c r="AH6353">
        <v>8</v>
      </c>
      <c r="AI6353">
        <v>48</v>
      </c>
      <c r="AJ6353">
        <v>1</v>
      </c>
      <c r="AK6353">
        <v>19</v>
      </c>
      <c r="AL6353">
        <v>36</v>
      </c>
      <c r="AM6353" t="s">
        <v>43</v>
      </c>
      <c r="AN6353" t="str">
        <f>HYPERLINK("https://www.google.com/maps?q=10.83163357,79.83415985","Open Location")</f>
        <v>Open Location</v>
      </c>
    </row>
    <row r="6354" spans="1:40" x14ac:dyDescent="0.3">
      <c r="A6354" s="1">
        <v>46210.263888888891</v>
      </c>
      <c r="B6354" t="s">
        <v>40</v>
      </c>
      <c r="C6354" t="s">
        <v>41</v>
      </c>
      <c r="D6354" s="1">
        <v>46210.266736111109</v>
      </c>
      <c r="E6354" t="s">
        <v>42</v>
      </c>
      <c r="F6354" t="s">
        <v>83</v>
      </c>
      <c r="G6354">
        <v>35</v>
      </c>
      <c r="H6354">
        <v>33081</v>
      </c>
      <c r="I6354" t="s">
        <v>3640</v>
      </c>
      <c r="J6354">
        <v>65</v>
      </c>
      <c r="K6354">
        <v>-164</v>
      </c>
      <c r="L6354">
        <v>98</v>
      </c>
      <c r="M6354">
        <v>636.59997558999999</v>
      </c>
      <c r="N6354" t="s">
        <v>87</v>
      </c>
      <c r="O6354" t="s">
        <v>86</v>
      </c>
      <c r="P6354">
        <v>130</v>
      </c>
      <c r="Q6354">
        <v>5</v>
      </c>
      <c r="R6354">
        <v>-31</v>
      </c>
      <c r="S6354">
        <v>1213</v>
      </c>
      <c r="T6354">
        <v>-40</v>
      </c>
      <c r="U6354">
        <v>44</v>
      </c>
      <c r="V6354">
        <v>-880</v>
      </c>
      <c r="W6354">
        <v>28</v>
      </c>
      <c r="X6354">
        <v>28</v>
      </c>
      <c r="Y6354">
        <v>1</v>
      </c>
      <c r="Z6354">
        <v>1</v>
      </c>
      <c r="AA6354">
        <v>26</v>
      </c>
      <c r="AB6354">
        <v>2</v>
      </c>
      <c r="AC6354">
        <v>2</v>
      </c>
      <c r="AD6354">
        <v>3.2839999199999999</v>
      </c>
      <c r="AE6354">
        <v>1</v>
      </c>
      <c r="AF6354">
        <v>25</v>
      </c>
      <c r="AG6354">
        <v>3.27399993</v>
      </c>
      <c r="AH6354">
        <v>4</v>
      </c>
      <c r="AI6354">
        <v>17</v>
      </c>
      <c r="AJ6354">
        <v>1</v>
      </c>
      <c r="AK6354">
        <v>17</v>
      </c>
      <c r="AL6354">
        <v>36</v>
      </c>
      <c r="AM6354" t="s">
        <v>43</v>
      </c>
      <c r="AN6354" t="str">
        <f>HYPERLINK("https://www.google.com/maps?q=10.83067703,79.83441925","Open Location")</f>
        <v>Open Location</v>
      </c>
    </row>
    <row r="6355" spans="1:40" x14ac:dyDescent="0.3">
      <c r="A6355" s="1">
        <v>46210.263773148145</v>
      </c>
      <c r="B6355" t="s">
        <v>40</v>
      </c>
      <c r="C6355" t="s">
        <v>41</v>
      </c>
      <c r="D6355" s="1">
        <v>46210.266608796293</v>
      </c>
      <c r="E6355" t="s">
        <v>42</v>
      </c>
      <c r="F6355" t="s">
        <v>83</v>
      </c>
      <c r="G6355">
        <v>33</v>
      </c>
      <c r="H6355">
        <v>33080</v>
      </c>
      <c r="I6355" t="s">
        <v>43</v>
      </c>
      <c r="J6355">
        <v>65</v>
      </c>
      <c r="K6355">
        <v>57</v>
      </c>
      <c r="L6355">
        <v>98</v>
      </c>
      <c r="M6355">
        <v>628.59997558999999</v>
      </c>
      <c r="N6355" t="s">
        <v>87</v>
      </c>
      <c r="O6355" t="s">
        <v>86</v>
      </c>
      <c r="P6355">
        <v>130</v>
      </c>
      <c r="Q6355">
        <v>5</v>
      </c>
      <c r="R6355">
        <v>22</v>
      </c>
      <c r="S6355">
        <v>1623</v>
      </c>
      <c r="T6355">
        <v>-40</v>
      </c>
      <c r="U6355">
        <v>44</v>
      </c>
      <c r="V6355">
        <v>200</v>
      </c>
      <c r="W6355">
        <v>28</v>
      </c>
      <c r="X6355">
        <v>28</v>
      </c>
      <c r="Y6355">
        <v>1</v>
      </c>
      <c r="Z6355">
        <v>1</v>
      </c>
      <c r="AA6355">
        <v>26</v>
      </c>
      <c r="AB6355">
        <v>2</v>
      </c>
      <c r="AC6355">
        <v>2</v>
      </c>
      <c r="AD6355">
        <v>3.2839999199999999</v>
      </c>
      <c r="AE6355">
        <v>1</v>
      </c>
      <c r="AF6355">
        <v>25</v>
      </c>
      <c r="AG6355">
        <v>3.27399993</v>
      </c>
      <c r="AH6355">
        <v>7</v>
      </c>
      <c r="AI6355">
        <v>1</v>
      </c>
      <c r="AJ6355">
        <v>1</v>
      </c>
      <c r="AK6355">
        <v>17</v>
      </c>
      <c r="AL6355">
        <v>36</v>
      </c>
      <c r="AM6355" t="s">
        <v>43</v>
      </c>
      <c r="AN6355" t="s">
        <v>43</v>
      </c>
    </row>
    <row r="6356" spans="1:40" x14ac:dyDescent="0.3">
      <c r="A6356" s="1">
        <v>46210.263657407406</v>
      </c>
      <c r="B6356" t="s">
        <v>40</v>
      </c>
      <c r="C6356" t="s">
        <v>41</v>
      </c>
      <c r="D6356" s="1">
        <v>46210.266747685186</v>
      </c>
      <c r="E6356" t="s">
        <v>42</v>
      </c>
      <c r="F6356" t="s">
        <v>83</v>
      </c>
      <c r="G6356">
        <v>31</v>
      </c>
      <c r="H6356">
        <v>33080</v>
      </c>
      <c r="I6356" t="s">
        <v>3641</v>
      </c>
      <c r="J6356">
        <v>65</v>
      </c>
      <c r="K6356">
        <v>70</v>
      </c>
      <c r="L6356">
        <v>98</v>
      </c>
      <c r="M6356">
        <v>628.20001220999995</v>
      </c>
      <c r="N6356" t="s">
        <v>87</v>
      </c>
      <c r="O6356" t="s">
        <v>86</v>
      </c>
      <c r="P6356">
        <v>130</v>
      </c>
      <c r="Q6356">
        <v>5</v>
      </c>
      <c r="R6356">
        <v>-28</v>
      </c>
      <c r="S6356">
        <v>1474</v>
      </c>
      <c r="T6356">
        <v>-40</v>
      </c>
      <c r="U6356">
        <v>43</v>
      </c>
      <c r="V6356">
        <v>240</v>
      </c>
      <c r="W6356">
        <v>28</v>
      </c>
      <c r="X6356">
        <v>28</v>
      </c>
      <c r="Y6356">
        <v>1</v>
      </c>
      <c r="Z6356">
        <v>1</v>
      </c>
      <c r="AA6356">
        <v>26</v>
      </c>
      <c r="AB6356">
        <v>2</v>
      </c>
      <c r="AC6356">
        <v>2</v>
      </c>
      <c r="AD6356">
        <v>3.2869999399999998</v>
      </c>
      <c r="AE6356">
        <v>1</v>
      </c>
      <c r="AF6356">
        <v>25</v>
      </c>
      <c r="AG6356">
        <v>3.2760000200000001</v>
      </c>
      <c r="AH6356">
        <v>4</v>
      </c>
      <c r="AI6356">
        <v>17</v>
      </c>
      <c r="AJ6356">
        <v>1</v>
      </c>
      <c r="AK6356">
        <v>17</v>
      </c>
      <c r="AL6356">
        <v>36</v>
      </c>
      <c r="AM6356" t="s">
        <v>43</v>
      </c>
      <c r="AN6356" t="str">
        <f>HYPERLINK("https://www.google.com/maps?q=10.82965279,79.83446503","Open Location")</f>
        <v>Open Location</v>
      </c>
    </row>
    <row r="6357" spans="1:40" x14ac:dyDescent="0.3">
      <c r="A6357" s="1">
        <v>46210.263541666667</v>
      </c>
      <c r="B6357" t="s">
        <v>40</v>
      </c>
      <c r="C6357" t="s">
        <v>41</v>
      </c>
      <c r="D6357" s="1">
        <v>46210.266435185185</v>
      </c>
      <c r="E6357" t="s">
        <v>42</v>
      </c>
      <c r="F6357" t="s">
        <v>83</v>
      </c>
      <c r="G6357">
        <v>30</v>
      </c>
      <c r="H6357">
        <v>33080</v>
      </c>
      <c r="I6357" t="s">
        <v>3642</v>
      </c>
      <c r="J6357">
        <v>65</v>
      </c>
      <c r="K6357">
        <v>40</v>
      </c>
      <c r="L6357">
        <v>98</v>
      </c>
      <c r="M6357">
        <v>629.20001220999995</v>
      </c>
      <c r="N6357" t="s">
        <v>87</v>
      </c>
      <c r="O6357" t="s">
        <v>86</v>
      </c>
      <c r="P6357">
        <v>130</v>
      </c>
      <c r="Q6357">
        <v>5</v>
      </c>
      <c r="R6357">
        <v>37</v>
      </c>
      <c r="S6357">
        <v>1467</v>
      </c>
      <c r="T6357">
        <v>-40</v>
      </c>
      <c r="U6357">
        <v>44</v>
      </c>
      <c r="V6357">
        <v>120</v>
      </c>
      <c r="W6357">
        <v>28</v>
      </c>
      <c r="X6357">
        <v>28</v>
      </c>
      <c r="Y6357">
        <v>1</v>
      </c>
      <c r="Z6357">
        <v>1</v>
      </c>
      <c r="AA6357">
        <v>26</v>
      </c>
      <c r="AB6357">
        <v>2</v>
      </c>
      <c r="AC6357">
        <v>2</v>
      </c>
      <c r="AD6357">
        <v>3.2809998999999999</v>
      </c>
      <c r="AE6357">
        <v>1</v>
      </c>
      <c r="AF6357">
        <v>25</v>
      </c>
      <c r="AG6357">
        <v>3.2699999800000001</v>
      </c>
      <c r="AH6357">
        <v>7</v>
      </c>
      <c r="AI6357">
        <v>1</v>
      </c>
      <c r="AJ6357">
        <v>1</v>
      </c>
      <c r="AK6357">
        <v>17</v>
      </c>
      <c r="AL6357">
        <v>36</v>
      </c>
      <c r="AM6357" t="s">
        <v>43</v>
      </c>
      <c r="AN6357" t="str">
        <f>HYPERLINK("https://www.google.com/maps?q=10.82866573,79.83444977","Open Location")</f>
        <v>Open Location</v>
      </c>
    </row>
    <row r="6358" spans="1:40" x14ac:dyDescent="0.3">
      <c r="A6358" s="1">
        <v>46210.263425925928</v>
      </c>
      <c r="B6358" t="s">
        <v>40</v>
      </c>
      <c r="C6358" t="s">
        <v>41</v>
      </c>
      <c r="D6358" s="1">
        <v>46210.266296296293</v>
      </c>
      <c r="E6358" t="s">
        <v>42</v>
      </c>
      <c r="F6358" t="s">
        <v>83</v>
      </c>
      <c r="G6358">
        <v>24</v>
      </c>
      <c r="H6358">
        <v>33080</v>
      </c>
      <c r="I6358" t="s">
        <v>43</v>
      </c>
      <c r="J6358">
        <v>65</v>
      </c>
      <c r="K6358">
        <v>72</v>
      </c>
      <c r="L6358">
        <v>98</v>
      </c>
      <c r="M6358">
        <v>627.90002441000001</v>
      </c>
      <c r="N6358" t="s">
        <v>87</v>
      </c>
      <c r="O6358" t="s">
        <v>86</v>
      </c>
      <c r="P6358">
        <v>130</v>
      </c>
      <c r="Q6358">
        <v>5</v>
      </c>
      <c r="R6358">
        <v>34</v>
      </c>
      <c r="S6358">
        <v>1260</v>
      </c>
      <c r="T6358">
        <v>-40</v>
      </c>
      <c r="U6358">
        <v>43</v>
      </c>
      <c r="V6358">
        <v>300</v>
      </c>
      <c r="W6358">
        <v>28</v>
      </c>
      <c r="X6358">
        <v>28</v>
      </c>
      <c r="Y6358">
        <v>1</v>
      </c>
      <c r="Z6358">
        <v>1</v>
      </c>
      <c r="AA6358">
        <v>26</v>
      </c>
      <c r="AB6358">
        <v>2</v>
      </c>
      <c r="AC6358">
        <v>2</v>
      </c>
      <c r="AD6358">
        <v>3.2929999799999998</v>
      </c>
      <c r="AE6358">
        <v>1</v>
      </c>
      <c r="AF6358">
        <v>25</v>
      </c>
      <c r="AG6358">
        <v>3.2839999199999999</v>
      </c>
      <c r="AH6358">
        <v>2</v>
      </c>
      <c r="AI6358">
        <v>45</v>
      </c>
      <c r="AJ6358">
        <v>1</v>
      </c>
      <c r="AK6358">
        <v>17</v>
      </c>
      <c r="AL6358">
        <v>36</v>
      </c>
      <c r="AM6358" t="s">
        <v>43</v>
      </c>
      <c r="AN6358" t="s">
        <v>43</v>
      </c>
    </row>
    <row r="6359" spans="1:40" x14ac:dyDescent="0.3">
      <c r="A6359" s="1">
        <v>46210.263310185182</v>
      </c>
      <c r="B6359" t="s">
        <v>40</v>
      </c>
      <c r="C6359" t="s">
        <v>41</v>
      </c>
      <c r="D6359" s="1">
        <v>46210.265914351854</v>
      </c>
      <c r="E6359" t="s">
        <v>42</v>
      </c>
      <c r="F6359" t="s">
        <v>83</v>
      </c>
      <c r="G6359">
        <v>21</v>
      </c>
      <c r="H6359">
        <v>33080</v>
      </c>
      <c r="I6359" t="s">
        <v>3643</v>
      </c>
      <c r="J6359">
        <v>65</v>
      </c>
      <c r="K6359">
        <v>66</v>
      </c>
      <c r="L6359">
        <v>98</v>
      </c>
      <c r="M6359">
        <v>628.5</v>
      </c>
      <c r="N6359" t="s">
        <v>87</v>
      </c>
      <c r="O6359" t="s">
        <v>86</v>
      </c>
      <c r="P6359">
        <v>129</v>
      </c>
      <c r="Q6359">
        <v>4</v>
      </c>
      <c r="R6359">
        <v>16</v>
      </c>
      <c r="S6359">
        <v>1778</v>
      </c>
      <c r="T6359">
        <v>-40</v>
      </c>
      <c r="U6359">
        <v>43</v>
      </c>
      <c r="V6359">
        <v>200</v>
      </c>
      <c r="W6359">
        <v>28</v>
      </c>
      <c r="X6359">
        <v>28</v>
      </c>
      <c r="Y6359">
        <v>1</v>
      </c>
      <c r="Z6359">
        <v>1</v>
      </c>
      <c r="AA6359">
        <v>26</v>
      </c>
      <c r="AB6359">
        <v>2</v>
      </c>
      <c r="AC6359">
        <v>2</v>
      </c>
      <c r="AD6359">
        <v>3.28900003</v>
      </c>
      <c r="AE6359">
        <v>1</v>
      </c>
      <c r="AF6359">
        <v>25</v>
      </c>
      <c r="AG6359">
        <v>3.2780001200000002</v>
      </c>
      <c r="AH6359">
        <v>7</v>
      </c>
      <c r="AI6359">
        <v>1</v>
      </c>
      <c r="AJ6359">
        <v>1</v>
      </c>
      <c r="AK6359">
        <v>17</v>
      </c>
      <c r="AL6359">
        <v>36</v>
      </c>
      <c r="AM6359" t="s">
        <v>43</v>
      </c>
      <c r="AN6359" t="str">
        <f>HYPERLINK("https://www.google.com/maps?q=10.82739353,79.83515167","Open Location")</f>
        <v>Open Location</v>
      </c>
    </row>
    <row r="6360" spans="1:40" x14ac:dyDescent="0.3">
      <c r="A6360" s="1">
        <v>46210.263194444444</v>
      </c>
      <c r="B6360" t="s">
        <v>40</v>
      </c>
      <c r="C6360" t="s">
        <v>41</v>
      </c>
      <c r="D6360" s="1">
        <v>46210.266030092593</v>
      </c>
      <c r="E6360" t="s">
        <v>42</v>
      </c>
      <c r="F6360" t="s">
        <v>83</v>
      </c>
      <c r="G6360">
        <v>22</v>
      </c>
      <c r="H6360">
        <v>33080</v>
      </c>
      <c r="I6360" t="s">
        <v>43</v>
      </c>
      <c r="J6360">
        <v>65</v>
      </c>
      <c r="K6360">
        <v>27</v>
      </c>
      <c r="L6360">
        <v>98</v>
      </c>
      <c r="M6360">
        <v>630.90002441000001</v>
      </c>
      <c r="N6360" t="s">
        <v>87</v>
      </c>
      <c r="O6360" t="s">
        <v>86</v>
      </c>
      <c r="P6360">
        <v>129</v>
      </c>
      <c r="Q6360">
        <v>4</v>
      </c>
      <c r="R6360">
        <v>-20</v>
      </c>
      <c r="S6360">
        <v>1610</v>
      </c>
      <c r="T6360">
        <v>-40</v>
      </c>
      <c r="U6360">
        <v>43</v>
      </c>
      <c r="V6360">
        <v>96</v>
      </c>
      <c r="W6360">
        <v>28</v>
      </c>
      <c r="X6360">
        <v>28</v>
      </c>
      <c r="Y6360">
        <v>1</v>
      </c>
      <c r="Z6360">
        <v>1</v>
      </c>
      <c r="AA6360">
        <v>26</v>
      </c>
      <c r="AB6360">
        <v>2</v>
      </c>
      <c r="AC6360">
        <v>2</v>
      </c>
      <c r="AD6360">
        <v>3.2909998900000001</v>
      </c>
      <c r="AE6360">
        <v>1</v>
      </c>
      <c r="AF6360">
        <v>25</v>
      </c>
      <c r="AG6360">
        <v>3.2809998999999999</v>
      </c>
      <c r="AH6360">
        <v>7</v>
      </c>
      <c r="AI6360">
        <v>1</v>
      </c>
      <c r="AJ6360">
        <v>1</v>
      </c>
      <c r="AK6360">
        <v>17</v>
      </c>
      <c r="AL6360">
        <v>36</v>
      </c>
      <c r="AM6360" t="s">
        <v>43</v>
      </c>
      <c r="AN6360" t="s">
        <v>43</v>
      </c>
    </row>
    <row r="6361" spans="1:40" x14ac:dyDescent="0.3">
      <c r="A6361" s="1">
        <v>46210.263078703705</v>
      </c>
      <c r="B6361" t="s">
        <v>40</v>
      </c>
      <c r="C6361" t="s">
        <v>41</v>
      </c>
      <c r="D6361" s="1">
        <v>46210.265914351854</v>
      </c>
      <c r="E6361" t="s">
        <v>42</v>
      </c>
      <c r="F6361" t="s">
        <v>83</v>
      </c>
      <c r="G6361">
        <v>21</v>
      </c>
      <c r="H6361" t="s">
        <v>43</v>
      </c>
      <c r="I6361" t="s">
        <v>3644</v>
      </c>
      <c r="J6361">
        <v>65</v>
      </c>
      <c r="K6361">
        <v>61</v>
      </c>
      <c r="L6361">
        <v>98</v>
      </c>
      <c r="M6361">
        <v>628.79998779000005</v>
      </c>
      <c r="N6361" t="s">
        <v>87</v>
      </c>
      <c r="O6361" t="s">
        <v>86</v>
      </c>
      <c r="P6361">
        <v>129</v>
      </c>
      <c r="Q6361">
        <v>4</v>
      </c>
      <c r="R6361">
        <v>32</v>
      </c>
      <c r="S6361">
        <v>1749</v>
      </c>
      <c r="T6361">
        <v>-40</v>
      </c>
      <c r="U6361">
        <v>43</v>
      </c>
      <c r="V6361">
        <v>200</v>
      </c>
      <c r="W6361">
        <v>28</v>
      </c>
      <c r="X6361">
        <v>28</v>
      </c>
      <c r="Y6361">
        <v>1</v>
      </c>
      <c r="Z6361">
        <v>1</v>
      </c>
      <c r="AA6361">
        <v>26</v>
      </c>
      <c r="AB6361">
        <v>2</v>
      </c>
      <c r="AC6361">
        <v>2</v>
      </c>
      <c r="AD6361">
        <v>3.28600001</v>
      </c>
      <c r="AE6361">
        <v>1</v>
      </c>
      <c r="AF6361">
        <v>25</v>
      </c>
      <c r="AG6361">
        <v>3.2750001000000002</v>
      </c>
      <c r="AH6361">
        <v>7</v>
      </c>
      <c r="AI6361">
        <v>1</v>
      </c>
      <c r="AJ6361">
        <v>1</v>
      </c>
      <c r="AK6361">
        <v>17</v>
      </c>
      <c r="AL6361">
        <v>36</v>
      </c>
      <c r="AM6361" t="s">
        <v>43</v>
      </c>
      <c r="AN6361" t="str">
        <f>HYPERLINK("https://www.google.com/maps?q=10.82678509,79.83544922","Open Location")</f>
        <v>Open Location</v>
      </c>
    </row>
    <row r="6362" spans="1:40" x14ac:dyDescent="0.3">
      <c r="A6362" s="1">
        <v>46210.262962962966</v>
      </c>
      <c r="B6362" t="s">
        <v>40</v>
      </c>
      <c r="C6362" t="s">
        <v>41</v>
      </c>
      <c r="D6362" s="1">
        <v>46210.265879629631</v>
      </c>
      <c r="E6362" t="s">
        <v>42</v>
      </c>
      <c r="F6362" t="s">
        <v>83</v>
      </c>
      <c r="G6362">
        <v>17</v>
      </c>
      <c r="H6362">
        <v>33080</v>
      </c>
      <c r="I6362" t="s">
        <v>3645</v>
      </c>
      <c r="J6362">
        <v>65</v>
      </c>
      <c r="K6362">
        <v>62</v>
      </c>
      <c r="L6362">
        <v>98</v>
      </c>
      <c r="M6362">
        <v>628.90002441000001</v>
      </c>
      <c r="N6362" t="s">
        <v>87</v>
      </c>
      <c r="O6362" t="s">
        <v>86</v>
      </c>
      <c r="P6362">
        <v>129</v>
      </c>
      <c r="Q6362">
        <v>4</v>
      </c>
      <c r="R6362">
        <v>-15</v>
      </c>
      <c r="S6362">
        <v>1285</v>
      </c>
      <c r="T6362">
        <v>-40</v>
      </c>
      <c r="U6362">
        <v>42</v>
      </c>
      <c r="V6362">
        <v>280</v>
      </c>
      <c r="W6362">
        <v>28</v>
      </c>
      <c r="X6362">
        <v>28</v>
      </c>
      <c r="Y6362">
        <v>1</v>
      </c>
      <c r="Z6362">
        <v>1</v>
      </c>
      <c r="AA6362">
        <v>26</v>
      </c>
      <c r="AB6362">
        <v>2</v>
      </c>
      <c r="AC6362">
        <v>2</v>
      </c>
      <c r="AD6362">
        <v>3.3010001199999999</v>
      </c>
      <c r="AE6362">
        <v>1</v>
      </c>
      <c r="AF6362">
        <v>25</v>
      </c>
      <c r="AG6362">
        <v>3.2920000599999999</v>
      </c>
      <c r="AH6362">
        <v>2</v>
      </c>
      <c r="AI6362">
        <v>45</v>
      </c>
      <c r="AJ6362">
        <v>1</v>
      </c>
      <c r="AK6362">
        <v>17</v>
      </c>
      <c r="AL6362">
        <v>36</v>
      </c>
      <c r="AM6362" t="s">
        <v>43</v>
      </c>
      <c r="AN6362" t="str">
        <f>HYPERLINK("https://www.google.com/maps?q=10.82623482,79.83571625","Open Location")</f>
        <v>Open Location</v>
      </c>
    </row>
    <row r="6363" spans="1:40" x14ac:dyDescent="0.3">
      <c r="A6363" s="1">
        <v>46210.26284722222</v>
      </c>
      <c r="B6363" t="s">
        <v>40</v>
      </c>
      <c r="C6363" t="s">
        <v>41</v>
      </c>
      <c r="D6363" s="1">
        <v>46210.265694444446</v>
      </c>
      <c r="E6363" t="s">
        <v>42</v>
      </c>
      <c r="F6363" t="s">
        <v>83</v>
      </c>
      <c r="G6363">
        <v>18</v>
      </c>
      <c r="H6363">
        <v>33080</v>
      </c>
      <c r="I6363" t="s">
        <v>3646</v>
      </c>
      <c r="J6363">
        <v>65</v>
      </c>
      <c r="K6363">
        <v>37</v>
      </c>
      <c r="L6363">
        <v>98</v>
      </c>
      <c r="M6363">
        <v>629.90002441000001</v>
      </c>
      <c r="N6363" t="s">
        <v>87</v>
      </c>
      <c r="O6363" t="s">
        <v>86</v>
      </c>
      <c r="P6363">
        <v>129</v>
      </c>
      <c r="Q6363">
        <v>4</v>
      </c>
      <c r="R6363">
        <v>-16</v>
      </c>
      <c r="S6363">
        <v>1347</v>
      </c>
      <c r="T6363">
        <v>-40</v>
      </c>
      <c r="U6363">
        <v>43</v>
      </c>
      <c r="V6363">
        <v>175</v>
      </c>
      <c r="W6363">
        <v>28</v>
      </c>
      <c r="X6363">
        <v>28</v>
      </c>
      <c r="Y6363">
        <v>1</v>
      </c>
      <c r="Z6363">
        <v>1</v>
      </c>
      <c r="AA6363">
        <v>26</v>
      </c>
      <c r="AB6363">
        <v>2</v>
      </c>
      <c r="AC6363">
        <v>2</v>
      </c>
      <c r="AD6363">
        <v>3.2869999399999998</v>
      </c>
      <c r="AE6363">
        <v>1</v>
      </c>
      <c r="AF6363">
        <v>25</v>
      </c>
      <c r="AG6363">
        <v>3.27699995</v>
      </c>
      <c r="AH6363">
        <v>4</v>
      </c>
      <c r="AI6363">
        <v>17</v>
      </c>
      <c r="AJ6363">
        <v>1</v>
      </c>
      <c r="AK6363">
        <v>18</v>
      </c>
      <c r="AL6363">
        <v>36</v>
      </c>
      <c r="AM6363" t="s">
        <v>43</v>
      </c>
      <c r="AN6363" t="str">
        <f>HYPERLINK("https://www.google.com/maps?q=10.82568836,79.83585358","Open Location")</f>
        <v>Open Location</v>
      </c>
    </row>
    <row r="6364" spans="1:40" x14ac:dyDescent="0.3">
      <c r="A6364" s="1">
        <v>46210.262731481482</v>
      </c>
      <c r="B6364" t="s">
        <v>40</v>
      </c>
      <c r="C6364" t="s">
        <v>41</v>
      </c>
      <c r="D6364" s="1">
        <v>46210.265682870369</v>
      </c>
      <c r="E6364" t="s">
        <v>42</v>
      </c>
      <c r="F6364" t="s">
        <v>83</v>
      </c>
      <c r="G6364">
        <v>7</v>
      </c>
      <c r="H6364">
        <v>33080</v>
      </c>
      <c r="I6364" t="s">
        <v>3647</v>
      </c>
      <c r="J6364">
        <v>65</v>
      </c>
      <c r="K6364">
        <v>-3</v>
      </c>
      <c r="L6364">
        <v>98</v>
      </c>
      <c r="M6364">
        <v>630.59997558999999</v>
      </c>
      <c r="N6364" t="s">
        <v>87</v>
      </c>
      <c r="O6364" t="s">
        <v>86</v>
      </c>
      <c r="P6364">
        <v>127</v>
      </c>
      <c r="Q6364">
        <v>2</v>
      </c>
      <c r="R6364">
        <v>0</v>
      </c>
      <c r="S6364">
        <v>1164</v>
      </c>
      <c r="T6364">
        <v>-40</v>
      </c>
      <c r="U6364">
        <v>42</v>
      </c>
      <c r="V6364">
        <v>38</v>
      </c>
      <c r="W6364">
        <v>28</v>
      </c>
      <c r="X6364">
        <v>28</v>
      </c>
      <c r="Y6364">
        <v>1</v>
      </c>
      <c r="Z6364">
        <v>1</v>
      </c>
      <c r="AA6364">
        <v>26</v>
      </c>
      <c r="AB6364">
        <v>2</v>
      </c>
      <c r="AC6364">
        <v>2</v>
      </c>
      <c r="AD6364">
        <v>3.2950000799999999</v>
      </c>
      <c r="AE6364">
        <v>1</v>
      </c>
      <c r="AF6364">
        <v>25</v>
      </c>
      <c r="AG6364">
        <v>3.28500009</v>
      </c>
      <c r="AH6364">
        <v>8</v>
      </c>
      <c r="AI6364">
        <v>48</v>
      </c>
      <c r="AJ6364">
        <v>1</v>
      </c>
      <c r="AK6364">
        <v>19</v>
      </c>
      <c r="AL6364">
        <v>36</v>
      </c>
      <c r="AM6364" t="s">
        <v>43</v>
      </c>
      <c r="AN6364" t="str">
        <f>HYPERLINK("https://www.google.com/maps?q=10.82528687,79.83592224","Open Location")</f>
        <v>Open Location</v>
      </c>
    </row>
    <row r="6365" spans="1:40" x14ac:dyDescent="0.3">
      <c r="A6365" s="1">
        <v>46210.262615740743</v>
      </c>
      <c r="B6365" t="s">
        <v>40</v>
      </c>
      <c r="C6365" t="s">
        <v>41</v>
      </c>
      <c r="D6365" s="1">
        <v>46210.265532407408</v>
      </c>
      <c r="E6365" t="s">
        <v>42</v>
      </c>
      <c r="F6365" t="s">
        <v>83</v>
      </c>
      <c r="G6365">
        <v>14</v>
      </c>
      <c r="H6365">
        <v>33080</v>
      </c>
      <c r="I6365" t="s">
        <v>3648</v>
      </c>
      <c r="J6365">
        <v>65</v>
      </c>
      <c r="K6365">
        <v>27</v>
      </c>
      <c r="L6365">
        <v>98</v>
      </c>
      <c r="M6365">
        <v>629.90002441000001</v>
      </c>
      <c r="N6365" t="s">
        <v>87</v>
      </c>
      <c r="O6365" t="s">
        <v>86</v>
      </c>
      <c r="P6365">
        <v>129</v>
      </c>
      <c r="Q6365">
        <v>4</v>
      </c>
      <c r="R6365">
        <v>-14</v>
      </c>
      <c r="S6365">
        <v>1280</v>
      </c>
      <c r="T6365">
        <v>-40</v>
      </c>
      <c r="U6365">
        <v>43</v>
      </c>
      <c r="V6365">
        <v>96</v>
      </c>
      <c r="W6365">
        <v>28</v>
      </c>
      <c r="X6365">
        <v>28</v>
      </c>
      <c r="Y6365">
        <v>1</v>
      </c>
      <c r="Z6365">
        <v>1</v>
      </c>
      <c r="AA6365">
        <v>26</v>
      </c>
      <c r="AB6365">
        <v>2</v>
      </c>
      <c r="AC6365">
        <v>2</v>
      </c>
      <c r="AD6365">
        <v>3.2929999799999998</v>
      </c>
      <c r="AE6365">
        <v>1</v>
      </c>
      <c r="AF6365">
        <v>25</v>
      </c>
      <c r="AG6365">
        <v>3.2820000600000001</v>
      </c>
      <c r="AH6365">
        <v>4</v>
      </c>
      <c r="AI6365">
        <v>17</v>
      </c>
      <c r="AJ6365">
        <v>1</v>
      </c>
      <c r="AK6365">
        <v>18</v>
      </c>
      <c r="AL6365">
        <v>36</v>
      </c>
      <c r="AM6365" t="s">
        <v>43</v>
      </c>
      <c r="AN6365" t="str">
        <f>HYPERLINK("https://www.google.com/maps?q=10.82496452,79.83591461","Open Location")</f>
        <v>Open Location</v>
      </c>
    </row>
    <row r="6366" spans="1:40" x14ac:dyDescent="0.3">
      <c r="A6366" s="1">
        <v>46210.262499999997</v>
      </c>
      <c r="B6366" t="s">
        <v>40</v>
      </c>
      <c r="C6366" t="s">
        <v>41</v>
      </c>
      <c r="D6366" s="1">
        <v>46210.265694444446</v>
      </c>
      <c r="E6366" t="s">
        <v>42</v>
      </c>
      <c r="F6366" t="s">
        <v>83</v>
      </c>
      <c r="G6366">
        <v>6</v>
      </c>
      <c r="H6366">
        <v>33080</v>
      </c>
      <c r="I6366" t="s">
        <v>43</v>
      </c>
      <c r="J6366">
        <v>65</v>
      </c>
      <c r="K6366">
        <v>87</v>
      </c>
      <c r="L6366">
        <v>98</v>
      </c>
      <c r="M6366">
        <v>628.59997558999999</v>
      </c>
      <c r="N6366" t="s">
        <v>87</v>
      </c>
      <c r="O6366" t="s">
        <v>86</v>
      </c>
      <c r="P6366">
        <v>127</v>
      </c>
      <c r="Q6366">
        <v>2</v>
      </c>
      <c r="R6366">
        <v>17</v>
      </c>
      <c r="S6366">
        <v>1372</v>
      </c>
      <c r="T6366">
        <v>-40</v>
      </c>
      <c r="U6366">
        <v>44</v>
      </c>
      <c r="V6366">
        <v>300</v>
      </c>
      <c r="W6366">
        <v>28</v>
      </c>
      <c r="X6366">
        <v>28</v>
      </c>
      <c r="Y6366">
        <v>1</v>
      </c>
      <c r="Z6366">
        <v>1</v>
      </c>
      <c r="AA6366">
        <v>26</v>
      </c>
      <c r="AB6366">
        <v>2</v>
      </c>
      <c r="AC6366">
        <v>2</v>
      </c>
      <c r="AD6366">
        <v>3.2990000199999998</v>
      </c>
      <c r="AE6366">
        <v>1</v>
      </c>
      <c r="AF6366">
        <v>25</v>
      </c>
      <c r="AG6366">
        <v>3.2899999599999998</v>
      </c>
      <c r="AH6366">
        <v>8</v>
      </c>
      <c r="AI6366">
        <v>9</v>
      </c>
      <c r="AJ6366">
        <v>1</v>
      </c>
      <c r="AK6366">
        <v>17</v>
      </c>
      <c r="AL6366">
        <v>36</v>
      </c>
      <c r="AM6366" t="s">
        <v>43</v>
      </c>
      <c r="AN6366" t="s">
        <v>43</v>
      </c>
    </row>
    <row r="6367" spans="1:40" x14ac:dyDescent="0.3">
      <c r="A6367" s="1">
        <v>46210.262384259258</v>
      </c>
      <c r="B6367" t="s">
        <v>40</v>
      </c>
      <c r="C6367" t="s">
        <v>41</v>
      </c>
      <c r="D6367" s="1">
        <v>46210.2653125</v>
      </c>
      <c r="E6367" t="s">
        <v>42</v>
      </c>
      <c r="F6367" t="s">
        <v>83</v>
      </c>
      <c r="G6367">
        <v>35</v>
      </c>
      <c r="H6367">
        <v>33080</v>
      </c>
      <c r="I6367" t="s">
        <v>3649</v>
      </c>
      <c r="J6367">
        <v>65</v>
      </c>
      <c r="K6367">
        <v>-32</v>
      </c>
      <c r="L6367">
        <v>98</v>
      </c>
      <c r="M6367">
        <v>632.90002441000001</v>
      </c>
      <c r="N6367" t="s">
        <v>87</v>
      </c>
      <c r="O6367" t="s">
        <v>86</v>
      </c>
      <c r="P6367">
        <v>131</v>
      </c>
      <c r="Q6367">
        <v>6</v>
      </c>
      <c r="R6367">
        <v>-95</v>
      </c>
      <c r="S6367">
        <v>336</v>
      </c>
      <c r="T6367">
        <v>-40</v>
      </c>
      <c r="U6367">
        <v>45</v>
      </c>
      <c r="V6367">
        <v>-720</v>
      </c>
      <c r="W6367">
        <v>28</v>
      </c>
      <c r="X6367">
        <v>28</v>
      </c>
      <c r="Y6367">
        <v>1</v>
      </c>
      <c r="Z6367">
        <v>1</v>
      </c>
      <c r="AA6367">
        <v>26</v>
      </c>
      <c r="AB6367">
        <v>2</v>
      </c>
      <c r="AC6367">
        <v>2</v>
      </c>
      <c r="AD6367">
        <v>3.3059999900000001</v>
      </c>
      <c r="AE6367">
        <v>1</v>
      </c>
      <c r="AF6367">
        <v>27</v>
      </c>
      <c r="AG6367">
        <v>3.2969999300000001</v>
      </c>
      <c r="AH6367">
        <v>8</v>
      </c>
      <c r="AI6367">
        <v>48</v>
      </c>
      <c r="AJ6367">
        <v>1</v>
      </c>
      <c r="AK6367">
        <v>18</v>
      </c>
      <c r="AL6367">
        <v>36</v>
      </c>
      <c r="AM6367" t="s">
        <v>43</v>
      </c>
      <c r="AN6367" t="str">
        <f>HYPERLINK("https://www.google.com/maps?q=10.82470989,79.83585358","Open Location")</f>
        <v>Open Location</v>
      </c>
    </row>
    <row r="6368" spans="1:40" x14ac:dyDescent="0.3">
      <c r="A6368" s="1">
        <v>46210.26226851852</v>
      </c>
      <c r="B6368" t="s">
        <v>40</v>
      </c>
      <c r="C6368" t="s">
        <v>41</v>
      </c>
      <c r="D6368" s="1">
        <v>46210.265173611115</v>
      </c>
      <c r="E6368" t="s">
        <v>42</v>
      </c>
      <c r="F6368" t="s">
        <v>83</v>
      </c>
      <c r="G6368">
        <v>53</v>
      </c>
      <c r="H6368">
        <v>33080</v>
      </c>
      <c r="I6368" t="s">
        <v>3650</v>
      </c>
      <c r="J6368">
        <v>65</v>
      </c>
      <c r="K6368">
        <v>-197</v>
      </c>
      <c r="L6368">
        <v>98</v>
      </c>
      <c r="M6368">
        <v>638.40002441000001</v>
      </c>
      <c r="N6368" t="s">
        <v>87</v>
      </c>
      <c r="O6368" t="s">
        <v>86</v>
      </c>
      <c r="P6368">
        <v>131</v>
      </c>
      <c r="Q6368">
        <v>6</v>
      </c>
      <c r="R6368">
        <v>18</v>
      </c>
      <c r="S6368">
        <v>1279</v>
      </c>
      <c r="T6368">
        <v>-40</v>
      </c>
      <c r="U6368">
        <v>43</v>
      </c>
      <c r="V6368">
        <v>-1000</v>
      </c>
      <c r="W6368">
        <v>28</v>
      </c>
      <c r="X6368">
        <v>28</v>
      </c>
      <c r="Y6368">
        <v>1</v>
      </c>
      <c r="Z6368">
        <v>1</v>
      </c>
      <c r="AA6368">
        <v>26</v>
      </c>
      <c r="AB6368">
        <v>2</v>
      </c>
      <c r="AC6368">
        <v>2</v>
      </c>
      <c r="AD6368">
        <v>3.2909998900000001</v>
      </c>
      <c r="AE6368">
        <v>1</v>
      </c>
      <c r="AF6368">
        <v>25</v>
      </c>
      <c r="AG6368">
        <v>3.28299999</v>
      </c>
      <c r="AH6368">
        <v>2</v>
      </c>
      <c r="AI6368">
        <v>45</v>
      </c>
      <c r="AJ6368">
        <v>1</v>
      </c>
      <c r="AK6368">
        <v>17</v>
      </c>
      <c r="AL6368">
        <v>36</v>
      </c>
      <c r="AM6368" t="s">
        <v>43</v>
      </c>
      <c r="AN6368" t="str">
        <f>HYPERLINK("https://www.google.com/maps?q=10.82374382,79.83530426","Open Location")</f>
        <v>Open Location</v>
      </c>
    </row>
    <row r="6369" spans="1:40" x14ac:dyDescent="0.3">
      <c r="A6369" s="1">
        <v>46210.262152777781</v>
      </c>
      <c r="B6369" t="s">
        <v>40</v>
      </c>
      <c r="C6369" t="s">
        <v>41</v>
      </c>
      <c r="D6369" s="1">
        <v>46210.264988425923</v>
      </c>
      <c r="E6369" t="s">
        <v>42</v>
      </c>
      <c r="F6369" t="s">
        <v>83</v>
      </c>
      <c r="G6369">
        <v>47</v>
      </c>
      <c r="H6369">
        <v>33080</v>
      </c>
      <c r="I6369" t="s">
        <v>3651</v>
      </c>
      <c r="J6369">
        <v>65</v>
      </c>
      <c r="K6369">
        <v>82</v>
      </c>
      <c r="L6369">
        <v>98</v>
      </c>
      <c r="M6369">
        <v>626.29998779000005</v>
      </c>
      <c r="N6369" t="s">
        <v>87</v>
      </c>
      <c r="O6369" t="s">
        <v>86</v>
      </c>
      <c r="P6369">
        <v>131</v>
      </c>
      <c r="Q6369">
        <v>6</v>
      </c>
      <c r="R6369">
        <v>71</v>
      </c>
      <c r="S6369">
        <v>1428</v>
      </c>
      <c r="T6369">
        <v>-40</v>
      </c>
      <c r="U6369">
        <v>44</v>
      </c>
      <c r="V6369">
        <v>340</v>
      </c>
      <c r="W6369">
        <v>28</v>
      </c>
      <c r="X6369">
        <v>28</v>
      </c>
      <c r="Y6369">
        <v>1</v>
      </c>
      <c r="Z6369">
        <v>1</v>
      </c>
      <c r="AA6369">
        <v>26</v>
      </c>
      <c r="AB6369">
        <v>2</v>
      </c>
      <c r="AC6369">
        <v>2</v>
      </c>
      <c r="AD6369">
        <v>3.26200008</v>
      </c>
      <c r="AE6369">
        <v>5</v>
      </c>
      <c r="AF6369">
        <v>38</v>
      </c>
      <c r="AG6369">
        <v>3.2460000500000001</v>
      </c>
      <c r="AH6369">
        <v>7</v>
      </c>
      <c r="AI6369">
        <v>1</v>
      </c>
      <c r="AJ6369">
        <v>1</v>
      </c>
      <c r="AK6369">
        <v>17</v>
      </c>
      <c r="AL6369">
        <v>36</v>
      </c>
      <c r="AM6369" t="s">
        <v>43</v>
      </c>
      <c r="AN6369" t="str">
        <f>HYPERLINK("https://www.google.com/maps?q=10.8224926,79.83418274","Open Location")</f>
        <v>Open Location</v>
      </c>
    </row>
    <row r="6370" spans="1:40" x14ac:dyDescent="0.3">
      <c r="A6370" s="1">
        <v>46210.262037037035</v>
      </c>
      <c r="B6370" t="s">
        <v>40</v>
      </c>
      <c r="C6370" t="s">
        <v>41</v>
      </c>
      <c r="D6370" s="1">
        <v>46210.264999999999</v>
      </c>
      <c r="E6370" t="s">
        <v>42</v>
      </c>
      <c r="F6370" t="s">
        <v>83</v>
      </c>
      <c r="G6370">
        <v>43</v>
      </c>
      <c r="H6370">
        <v>33079</v>
      </c>
      <c r="I6370" t="s">
        <v>3652</v>
      </c>
      <c r="J6370">
        <v>65</v>
      </c>
      <c r="K6370">
        <v>148</v>
      </c>
      <c r="L6370">
        <v>98</v>
      </c>
      <c r="M6370">
        <v>624.29998779000005</v>
      </c>
      <c r="N6370" t="s">
        <v>87</v>
      </c>
      <c r="O6370" t="s">
        <v>86</v>
      </c>
      <c r="P6370">
        <v>131</v>
      </c>
      <c r="Q6370">
        <v>6</v>
      </c>
      <c r="R6370">
        <v>17</v>
      </c>
      <c r="S6370">
        <v>1223</v>
      </c>
      <c r="T6370">
        <v>-40</v>
      </c>
      <c r="U6370">
        <v>42</v>
      </c>
      <c r="V6370">
        <v>660</v>
      </c>
      <c r="W6370">
        <v>28</v>
      </c>
      <c r="X6370">
        <v>28</v>
      </c>
      <c r="Y6370">
        <v>1</v>
      </c>
      <c r="Z6370">
        <v>1</v>
      </c>
      <c r="AA6370">
        <v>26</v>
      </c>
      <c r="AB6370">
        <v>2</v>
      </c>
      <c r="AC6370">
        <v>2</v>
      </c>
      <c r="AD6370">
        <v>3.28800011</v>
      </c>
      <c r="AE6370">
        <v>1</v>
      </c>
      <c r="AF6370">
        <v>25</v>
      </c>
      <c r="AG6370">
        <v>3.2790000400000001</v>
      </c>
      <c r="AH6370">
        <v>4</v>
      </c>
      <c r="AI6370">
        <v>17</v>
      </c>
      <c r="AJ6370">
        <v>1</v>
      </c>
      <c r="AK6370">
        <v>17</v>
      </c>
      <c r="AL6370">
        <v>36</v>
      </c>
      <c r="AM6370" t="s">
        <v>43</v>
      </c>
      <c r="AN6370" t="str">
        <f>HYPERLINK("https://www.google.com/maps?q=10.82132912,79.83354187","Open Location")</f>
        <v>Open Location</v>
      </c>
    </row>
    <row r="6371" spans="1:40" x14ac:dyDescent="0.3">
      <c r="A6371" s="1">
        <v>46210.261921296296</v>
      </c>
      <c r="B6371" t="s">
        <v>40</v>
      </c>
      <c r="C6371" t="s">
        <v>41</v>
      </c>
      <c r="D6371" s="1">
        <v>46210.264722222222</v>
      </c>
      <c r="E6371" t="s">
        <v>42</v>
      </c>
      <c r="F6371" t="s">
        <v>83</v>
      </c>
      <c r="G6371">
        <v>45</v>
      </c>
      <c r="H6371" t="s">
        <v>43</v>
      </c>
      <c r="I6371" t="s">
        <v>3653</v>
      </c>
      <c r="J6371">
        <v>65</v>
      </c>
      <c r="K6371">
        <v>38</v>
      </c>
      <c r="L6371">
        <v>98</v>
      </c>
      <c r="M6371">
        <v>628.79998779000005</v>
      </c>
      <c r="N6371" t="s">
        <v>87</v>
      </c>
      <c r="O6371" t="s">
        <v>86</v>
      </c>
      <c r="P6371">
        <v>131</v>
      </c>
      <c r="Q6371">
        <v>6</v>
      </c>
      <c r="R6371">
        <v>20</v>
      </c>
      <c r="S6371">
        <v>1228</v>
      </c>
      <c r="T6371">
        <v>-40</v>
      </c>
      <c r="U6371">
        <v>43</v>
      </c>
      <c r="V6371">
        <v>180</v>
      </c>
      <c r="W6371">
        <v>28</v>
      </c>
      <c r="X6371">
        <v>28</v>
      </c>
      <c r="Y6371">
        <v>1</v>
      </c>
      <c r="Z6371">
        <v>1</v>
      </c>
      <c r="AA6371">
        <v>26</v>
      </c>
      <c r="AB6371">
        <v>2</v>
      </c>
      <c r="AC6371">
        <v>2</v>
      </c>
      <c r="AD6371">
        <v>3.2790000400000001</v>
      </c>
      <c r="AE6371">
        <v>1</v>
      </c>
      <c r="AF6371">
        <v>25</v>
      </c>
      <c r="AG6371">
        <v>3.26799989</v>
      </c>
      <c r="AH6371">
        <v>4</v>
      </c>
      <c r="AI6371">
        <v>17</v>
      </c>
      <c r="AJ6371">
        <v>1</v>
      </c>
      <c r="AK6371">
        <v>17</v>
      </c>
      <c r="AL6371">
        <v>36</v>
      </c>
      <c r="AM6371" t="s">
        <v>43</v>
      </c>
      <c r="AN6371" t="str">
        <f>HYPERLINK("https://www.google.com/maps?q=10.82010937,79.83294678","Open Location")</f>
        <v>Open Location</v>
      </c>
    </row>
    <row r="6372" spans="1:40" x14ac:dyDescent="0.3">
      <c r="A6372" s="1">
        <v>46210.261805555558</v>
      </c>
      <c r="B6372" t="s">
        <v>40</v>
      </c>
      <c r="C6372" t="s">
        <v>41</v>
      </c>
      <c r="D6372" s="1">
        <v>46210.264918981484</v>
      </c>
      <c r="E6372" t="s">
        <v>42</v>
      </c>
      <c r="F6372" t="s">
        <v>83</v>
      </c>
      <c r="G6372">
        <v>43</v>
      </c>
      <c r="H6372">
        <v>33079</v>
      </c>
      <c r="I6372" t="s">
        <v>43</v>
      </c>
      <c r="J6372">
        <v>65</v>
      </c>
      <c r="K6372">
        <v>69</v>
      </c>
      <c r="L6372">
        <v>98</v>
      </c>
      <c r="M6372">
        <v>628.29998779000005</v>
      </c>
      <c r="N6372" t="s">
        <v>87</v>
      </c>
      <c r="O6372" t="s">
        <v>86</v>
      </c>
      <c r="P6372">
        <v>131</v>
      </c>
      <c r="Q6372">
        <v>6</v>
      </c>
      <c r="R6372">
        <v>40</v>
      </c>
      <c r="S6372">
        <v>1260</v>
      </c>
      <c r="T6372">
        <v>-40</v>
      </c>
      <c r="U6372">
        <v>43</v>
      </c>
      <c r="V6372">
        <v>300</v>
      </c>
      <c r="W6372">
        <v>28</v>
      </c>
      <c r="X6372">
        <v>28</v>
      </c>
      <c r="Y6372">
        <v>1</v>
      </c>
      <c r="Z6372">
        <v>1</v>
      </c>
      <c r="AA6372">
        <v>26</v>
      </c>
      <c r="AB6372">
        <v>2</v>
      </c>
      <c r="AC6372">
        <v>2</v>
      </c>
      <c r="AD6372">
        <v>3.27699995</v>
      </c>
      <c r="AE6372">
        <v>1</v>
      </c>
      <c r="AF6372">
        <v>25</v>
      </c>
      <c r="AG6372">
        <v>3.2639999400000002</v>
      </c>
      <c r="AH6372">
        <v>4</v>
      </c>
      <c r="AI6372">
        <v>17</v>
      </c>
      <c r="AJ6372">
        <v>1</v>
      </c>
      <c r="AK6372">
        <v>17</v>
      </c>
      <c r="AL6372">
        <v>36</v>
      </c>
      <c r="AM6372" t="s">
        <v>43</v>
      </c>
      <c r="AN6372" t="s">
        <v>43</v>
      </c>
    </row>
    <row r="6373" spans="1:40" x14ac:dyDescent="0.3">
      <c r="A6373" s="1">
        <v>46210.261689814812</v>
      </c>
      <c r="B6373" t="s">
        <v>40</v>
      </c>
      <c r="C6373" t="s">
        <v>41</v>
      </c>
      <c r="D6373" s="1">
        <v>46210.264525462961</v>
      </c>
      <c r="E6373" t="s">
        <v>42</v>
      </c>
      <c r="F6373" t="s">
        <v>83</v>
      </c>
      <c r="G6373">
        <v>41</v>
      </c>
      <c r="H6373">
        <v>33079</v>
      </c>
      <c r="I6373" t="s">
        <v>3654</v>
      </c>
      <c r="J6373">
        <v>65</v>
      </c>
      <c r="K6373">
        <v>75</v>
      </c>
      <c r="L6373">
        <v>98</v>
      </c>
      <c r="M6373">
        <v>626.90002441000001</v>
      </c>
      <c r="N6373" t="s">
        <v>87</v>
      </c>
      <c r="O6373" t="s">
        <v>86</v>
      </c>
      <c r="P6373">
        <v>131</v>
      </c>
      <c r="Q6373">
        <v>6</v>
      </c>
      <c r="R6373">
        <v>35</v>
      </c>
      <c r="S6373">
        <v>1166</v>
      </c>
      <c r="T6373">
        <v>-40</v>
      </c>
      <c r="U6373">
        <v>43</v>
      </c>
      <c r="V6373">
        <v>320</v>
      </c>
      <c r="W6373">
        <v>28</v>
      </c>
      <c r="X6373">
        <v>28</v>
      </c>
      <c r="Y6373">
        <v>1</v>
      </c>
      <c r="Z6373">
        <v>1</v>
      </c>
      <c r="AA6373">
        <v>26</v>
      </c>
      <c r="AB6373">
        <v>2</v>
      </c>
      <c r="AC6373">
        <v>2</v>
      </c>
      <c r="AD6373">
        <v>3.28600001</v>
      </c>
      <c r="AE6373">
        <v>1</v>
      </c>
      <c r="AF6373">
        <v>25</v>
      </c>
      <c r="AG6373">
        <v>3.2760000200000001</v>
      </c>
      <c r="AH6373">
        <v>7</v>
      </c>
      <c r="AI6373">
        <v>1</v>
      </c>
      <c r="AJ6373">
        <v>1</v>
      </c>
      <c r="AK6373">
        <v>17</v>
      </c>
      <c r="AL6373">
        <v>36</v>
      </c>
      <c r="AM6373" t="s">
        <v>43</v>
      </c>
      <c r="AN6373" t="str">
        <f>HYPERLINK("https://www.google.com/maps?q=10.81891537,79.83235168","Open Location")</f>
        <v>Open Location</v>
      </c>
    </row>
    <row r="6374" spans="1:40" x14ac:dyDescent="0.3">
      <c r="A6374" s="1">
        <v>46210.261574074073</v>
      </c>
      <c r="B6374" t="s">
        <v>40</v>
      </c>
      <c r="C6374" t="s">
        <v>41</v>
      </c>
      <c r="D6374" s="1">
        <v>46210.264525462961</v>
      </c>
      <c r="E6374" t="s">
        <v>42</v>
      </c>
      <c r="F6374" t="s">
        <v>83</v>
      </c>
      <c r="G6374">
        <v>51</v>
      </c>
      <c r="H6374">
        <v>33079</v>
      </c>
      <c r="I6374" t="s">
        <v>3655</v>
      </c>
      <c r="J6374">
        <v>65</v>
      </c>
      <c r="K6374">
        <v>64</v>
      </c>
      <c r="L6374">
        <v>98</v>
      </c>
      <c r="M6374">
        <v>629.5</v>
      </c>
      <c r="N6374" t="s">
        <v>87</v>
      </c>
      <c r="O6374" t="s">
        <v>86</v>
      </c>
      <c r="P6374">
        <v>131</v>
      </c>
      <c r="Q6374">
        <v>6</v>
      </c>
      <c r="R6374">
        <v>-148</v>
      </c>
      <c r="S6374">
        <v>1130</v>
      </c>
      <c r="T6374">
        <v>-40</v>
      </c>
      <c r="U6374">
        <v>43</v>
      </c>
      <c r="V6374">
        <v>200</v>
      </c>
      <c r="W6374">
        <v>28</v>
      </c>
      <c r="X6374">
        <v>28</v>
      </c>
      <c r="Y6374">
        <v>1</v>
      </c>
      <c r="Z6374">
        <v>1</v>
      </c>
      <c r="AA6374">
        <v>26</v>
      </c>
      <c r="AB6374">
        <v>2</v>
      </c>
      <c r="AC6374">
        <v>2</v>
      </c>
      <c r="AD6374">
        <v>3.2969999300000001</v>
      </c>
      <c r="AE6374">
        <v>1</v>
      </c>
      <c r="AF6374">
        <v>25</v>
      </c>
      <c r="AG6374">
        <v>3.28900003</v>
      </c>
      <c r="AH6374">
        <v>8</v>
      </c>
      <c r="AI6374">
        <v>48</v>
      </c>
      <c r="AJ6374">
        <v>1</v>
      </c>
      <c r="AK6374">
        <v>19</v>
      </c>
      <c r="AL6374">
        <v>36</v>
      </c>
      <c r="AM6374" t="s">
        <v>43</v>
      </c>
      <c r="AN6374" t="str">
        <f>HYPERLINK("https://www.google.com/maps?q=10.81778622,79.83179474","Open Location")</f>
        <v>Open Location</v>
      </c>
    </row>
    <row r="6375" spans="1:40" x14ac:dyDescent="0.3">
      <c r="A6375" s="1">
        <v>46210.261458333334</v>
      </c>
      <c r="B6375" t="s">
        <v>40</v>
      </c>
      <c r="C6375" t="s">
        <v>41</v>
      </c>
      <c r="D6375" s="1">
        <v>46210.264131944445</v>
      </c>
      <c r="E6375" t="s">
        <v>42</v>
      </c>
      <c r="F6375" t="s">
        <v>83</v>
      </c>
      <c r="G6375">
        <v>55</v>
      </c>
      <c r="H6375">
        <v>33079</v>
      </c>
      <c r="I6375" t="s">
        <v>3656</v>
      </c>
      <c r="J6375">
        <v>65</v>
      </c>
      <c r="K6375">
        <v>47</v>
      </c>
      <c r="L6375">
        <v>98</v>
      </c>
      <c r="M6375">
        <v>627.90002441000001</v>
      </c>
      <c r="N6375" t="s">
        <v>87</v>
      </c>
      <c r="O6375" t="s">
        <v>86</v>
      </c>
      <c r="P6375">
        <v>131</v>
      </c>
      <c r="Q6375">
        <v>6</v>
      </c>
      <c r="R6375">
        <v>84</v>
      </c>
      <c r="S6375">
        <v>1568</v>
      </c>
      <c r="T6375">
        <v>-40</v>
      </c>
      <c r="U6375">
        <v>44</v>
      </c>
      <c r="V6375">
        <v>140</v>
      </c>
      <c r="W6375">
        <v>28</v>
      </c>
      <c r="X6375">
        <v>28</v>
      </c>
      <c r="Y6375">
        <v>1</v>
      </c>
      <c r="Z6375">
        <v>1</v>
      </c>
      <c r="AA6375">
        <v>26</v>
      </c>
      <c r="AB6375">
        <v>2</v>
      </c>
      <c r="AC6375">
        <v>2</v>
      </c>
      <c r="AD6375">
        <v>3.2599999899999998</v>
      </c>
      <c r="AE6375">
        <v>5</v>
      </c>
      <c r="AF6375">
        <v>38</v>
      </c>
      <c r="AG6375">
        <v>3.24399996</v>
      </c>
      <c r="AH6375">
        <v>7</v>
      </c>
      <c r="AI6375">
        <v>1</v>
      </c>
      <c r="AJ6375">
        <v>1</v>
      </c>
      <c r="AK6375">
        <v>17</v>
      </c>
      <c r="AL6375">
        <v>36</v>
      </c>
      <c r="AM6375" t="s">
        <v>43</v>
      </c>
      <c r="AN6375" t="str">
        <f>HYPERLINK("https://www.google.com/maps?q=10.81632519,79.83100891","Open Location")</f>
        <v>Open Location</v>
      </c>
    </row>
    <row r="6376" spans="1:40" x14ac:dyDescent="0.3">
      <c r="A6376" s="1">
        <v>46210.261342592596</v>
      </c>
      <c r="B6376" t="s">
        <v>40</v>
      </c>
      <c r="C6376" t="s">
        <v>41</v>
      </c>
      <c r="D6376" s="1">
        <v>46210.264131944445</v>
      </c>
      <c r="E6376" t="s">
        <v>42</v>
      </c>
      <c r="F6376" t="s">
        <v>83</v>
      </c>
      <c r="G6376">
        <v>53</v>
      </c>
      <c r="H6376" t="s">
        <v>43</v>
      </c>
      <c r="I6376" t="s">
        <v>3657</v>
      </c>
      <c r="J6376">
        <v>65</v>
      </c>
      <c r="K6376">
        <v>123</v>
      </c>
      <c r="L6376">
        <v>98</v>
      </c>
      <c r="M6376">
        <v>624.79998779000005</v>
      </c>
      <c r="N6376" t="s">
        <v>87</v>
      </c>
      <c r="O6376" t="s">
        <v>86</v>
      </c>
      <c r="P6376">
        <v>131</v>
      </c>
      <c r="Q6376">
        <v>6</v>
      </c>
      <c r="R6376">
        <v>65</v>
      </c>
      <c r="S6376">
        <v>1500</v>
      </c>
      <c r="T6376">
        <v>-40</v>
      </c>
      <c r="U6376">
        <v>44</v>
      </c>
      <c r="V6376">
        <v>460</v>
      </c>
      <c r="W6376">
        <v>28</v>
      </c>
      <c r="X6376">
        <v>28</v>
      </c>
      <c r="Y6376">
        <v>1</v>
      </c>
      <c r="Z6376">
        <v>1</v>
      </c>
      <c r="AA6376">
        <v>26</v>
      </c>
      <c r="AB6376">
        <v>2</v>
      </c>
      <c r="AC6376">
        <v>2</v>
      </c>
      <c r="AD6376">
        <v>3.27099991</v>
      </c>
      <c r="AE6376">
        <v>1</v>
      </c>
      <c r="AF6376">
        <v>25</v>
      </c>
      <c r="AG6376">
        <v>3.25900006</v>
      </c>
      <c r="AH6376">
        <v>4</v>
      </c>
      <c r="AI6376">
        <v>17</v>
      </c>
      <c r="AJ6376">
        <v>1</v>
      </c>
      <c r="AK6376">
        <v>17</v>
      </c>
      <c r="AL6376">
        <v>36</v>
      </c>
      <c r="AM6376" t="s">
        <v>43</v>
      </c>
      <c r="AN6376" t="str">
        <f>HYPERLINK("https://www.google.com/maps?q=10.81520081,79.82983398","Open Location")</f>
        <v>Open Location</v>
      </c>
    </row>
    <row r="6377" spans="1:40" x14ac:dyDescent="0.3">
      <c r="A6377" s="1">
        <v>46210.26122685185</v>
      </c>
      <c r="B6377" t="s">
        <v>40</v>
      </c>
      <c r="C6377" t="s">
        <v>41</v>
      </c>
      <c r="D6377" s="1">
        <v>46210.26390046296</v>
      </c>
      <c r="E6377" t="s">
        <v>42</v>
      </c>
      <c r="F6377" t="s">
        <v>83</v>
      </c>
      <c r="G6377">
        <v>52</v>
      </c>
      <c r="H6377">
        <v>33079</v>
      </c>
      <c r="I6377" t="s">
        <v>43</v>
      </c>
      <c r="J6377">
        <v>65</v>
      </c>
      <c r="K6377">
        <v>102</v>
      </c>
      <c r="L6377">
        <v>98</v>
      </c>
      <c r="M6377">
        <v>626</v>
      </c>
      <c r="N6377" t="s">
        <v>87</v>
      </c>
      <c r="O6377" t="s">
        <v>86</v>
      </c>
      <c r="P6377">
        <v>131</v>
      </c>
      <c r="Q6377">
        <v>6</v>
      </c>
      <c r="R6377">
        <v>80</v>
      </c>
      <c r="S6377">
        <v>1468</v>
      </c>
      <c r="T6377">
        <v>-40</v>
      </c>
      <c r="U6377">
        <v>45</v>
      </c>
      <c r="V6377">
        <v>380</v>
      </c>
      <c r="W6377">
        <v>28</v>
      </c>
      <c r="X6377">
        <v>28</v>
      </c>
      <c r="Y6377">
        <v>1</v>
      </c>
      <c r="Z6377">
        <v>1</v>
      </c>
      <c r="AA6377">
        <v>26</v>
      </c>
      <c r="AB6377">
        <v>2</v>
      </c>
      <c r="AC6377">
        <v>2</v>
      </c>
      <c r="AD6377">
        <v>3.2639999400000002</v>
      </c>
      <c r="AE6377">
        <v>5</v>
      </c>
      <c r="AF6377">
        <v>38</v>
      </c>
      <c r="AG6377">
        <v>3.24699998</v>
      </c>
      <c r="AH6377">
        <v>7</v>
      </c>
      <c r="AI6377">
        <v>1</v>
      </c>
      <c r="AJ6377">
        <v>1</v>
      </c>
      <c r="AK6377">
        <v>17</v>
      </c>
      <c r="AL6377">
        <v>36</v>
      </c>
      <c r="AM6377" t="s">
        <v>43</v>
      </c>
      <c r="AN6377" t="s">
        <v>43</v>
      </c>
    </row>
    <row r="6378" spans="1:40" x14ac:dyDescent="0.3">
      <c r="A6378" s="1">
        <v>46210.261111111111</v>
      </c>
      <c r="B6378" t="s">
        <v>40</v>
      </c>
      <c r="C6378" t="s">
        <v>41</v>
      </c>
      <c r="D6378" s="1">
        <v>46210.26390046296</v>
      </c>
      <c r="E6378" t="s">
        <v>42</v>
      </c>
      <c r="F6378" t="s">
        <v>83</v>
      </c>
      <c r="G6378">
        <v>45</v>
      </c>
      <c r="H6378">
        <v>33078</v>
      </c>
      <c r="I6378" t="s">
        <v>3658</v>
      </c>
      <c r="J6378">
        <v>65</v>
      </c>
      <c r="K6378">
        <v>193</v>
      </c>
      <c r="L6378">
        <v>98</v>
      </c>
      <c r="M6378">
        <v>622.90002441000001</v>
      </c>
      <c r="N6378" t="s">
        <v>87</v>
      </c>
      <c r="O6378" t="s">
        <v>86</v>
      </c>
      <c r="P6378">
        <v>131</v>
      </c>
      <c r="Q6378">
        <v>6</v>
      </c>
      <c r="R6378">
        <v>29</v>
      </c>
      <c r="S6378">
        <v>1369</v>
      </c>
      <c r="T6378">
        <v>-40</v>
      </c>
      <c r="U6378">
        <v>43</v>
      </c>
      <c r="V6378">
        <v>800</v>
      </c>
      <c r="W6378">
        <v>28</v>
      </c>
      <c r="X6378">
        <v>28</v>
      </c>
      <c r="Y6378">
        <v>1</v>
      </c>
      <c r="Z6378">
        <v>1</v>
      </c>
      <c r="AA6378">
        <v>26</v>
      </c>
      <c r="AB6378">
        <v>2</v>
      </c>
      <c r="AC6378">
        <v>2</v>
      </c>
      <c r="AD6378">
        <v>3.2999999500000001</v>
      </c>
      <c r="AE6378">
        <v>6</v>
      </c>
      <c r="AF6378">
        <v>30</v>
      </c>
      <c r="AG6378">
        <v>3.2899999599999998</v>
      </c>
      <c r="AH6378">
        <v>8</v>
      </c>
      <c r="AI6378">
        <v>48</v>
      </c>
      <c r="AJ6378">
        <v>1</v>
      </c>
      <c r="AK6378">
        <v>17</v>
      </c>
      <c r="AL6378">
        <v>36</v>
      </c>
      <c r="AM6378" t="s">
        <v>43</v>
      </c>
      <c r="AN6378" t="str">
        <f>HYPERLINK("https://www.google.com/maps?q=10.8139534,79.82868958","Open Location")</f>
        <v>Open Location</v>
      </c>
    </row>
    <row r="6379" spans="1:40" x14ac:dyDescent="0.3">
      <c r="A6379" s="1">
        <v>46210.260995370372</v>
      </c>
      <c r="B6379" t="s">
        <v>40</v>
      </c>
      <c r="C6379" t="s">
        <v>41</v>
      </c>
      <c r="D6379" s="1">
        <v>46210.263784722221</v>
      </c>
      <c r="E6379" t="s">
        <v>42</v>
      </c>
      <c r="F6379" t="s">
        <v>83</v>
      </c>
      <c r="G6379">
        <v>54</v>
      </c>
      <c r="H6379">
        <v>33078</v>
      </c>
      <c r="I6379" t="s">
        <v>3659</v>
      </c>
      <c r="J6379">
        <v>65</v>
      </c>
      <c r="K6379">
        <v>-58</v>
      </c>
      <c r="L6379">
        <v>98</v>
      </c>
      <c r="M6379">
        <v>633.59997558999999</v>
      </c>
      <c r="N6379" t="s">
        <v>87</v>
      </c>
      <c r="O6379" t="s">
        <v>86</v>
      </c>
      <c r="P6379">
        <v>131</v>
      </c>
      <c r="Q6379">
        <v>6</v>
      </c>
      <c r="R6379">
        <v>-5</v>
      </c>
      <c r="S6379">
        <v>1330</v>
      </c>
      <c r="T6379">
        <v>-40</v>
      </c>
      <c r="U6379">
        <v>43</v>
      </c>
      <c r="V6379">
        <v>-300</v>
      </c>
      <c r="W6379">
        <v>28</v>
      </c>
      <c r="X6379">
        <v>28</v>
      </c>
      <c r="Y6379">
        <v>1</v>
      </c>
      <c r="Z6379">
        <v>1</v>
      </c>
      <c r="AA6379">
        <v>26</v>
      </c>
      <c r="AB6379">
        <v>2</v>
      </c>
      <c r="AC6379">
        <v>2</v>
      </c>
      <c r="AD6379">
        <v>3.2780001200000002</v>
      </c>
      <c r="AE6379">
        <v>1</v>
      </c>
      <c r="AF6379">
        <v>25</v>
      </c>
      <c r="AG6379">
        <v>3.2669999600000001</v>
      </c>
      <c r="AH6379">
        <v>7</v>
      </c>
      <c r="AI6379">
        <v>1</v>
      </c>
      <c r="AJ6379">
        <v>1</v>
      </c>
      <c r="AK6379">
        <v>17</v>
      </c>
      <c r="AL6379">
        <v>36</v>
      </c>
      <c r="AM6379" t="s">
        <v>43</v>
      </c>
      <c r="AN6379" t="str">
        <f>HYPERLINK("https://www.google.com/maps?q=10.81263828,79.82813263","Open Location")</f>
        <v>Open Location</v>
      </c>
    </row>
    <row r="6380" spans="1:40" x14ac:dyDescent="0.3">
      <c r="A6380" s="1">
        <v>46210.260879629626</v>
      </c>
      <c r="B6380" t="s">
        <v>40</v>
      </c>
      <c r="C6380" t="s">
        <v>41</v>
      </c>
      <c r="D6380" s="1">
        <v>46210.263969907406</v>
      </c>
      <c r="E6380" t="s">
        <v>42</v>
      </c>
      <c r="F6380" t="s">
        <v>83</v>
      </c>
      <c r="G6380">
        <v>54</v>
      </c>
      <c r="H6380">
        <v>33078</v>
      </c>
      <c r="I6380" t="s">
        <v>3660</v>
      </c>
      <c r="J6380">
        <v>65</v>
      </c>
      <c r="K6380">
        <v>58</v>
      </c>
      <c r="L6380">
        <v>98</v>
      </c>
      <c r="M6380">
        <v>627.59997558999999</v>
      </c>
      <c r="N6380" t="s">
        <v>87</v>
      </c>
      <c r="O6380" t="s">
        <v>86</v>
      </c>
      <c r="P6380">
        <v>131</v>
      </c>
      <c r="Q6380">
        <v>6</v>
      </c>
      <c r="R6380">
        <v>62</v>
      </c>
      <c r="S6380">
        <v>1510</v>
      </c>
      <c r="T6380">
        <v>-40</v>
      </c>
      <c r="U6380">
        <v>44</v>
      </c>
      <c r="V6380">
        <v>220</v>
      </c>
      <c r="W6380">
        <v>28</v>
      </c>
      <c r="X6380">
        <v>28</v>
      </c>
      <c r="Y6380">
        <v>1</v>
      </c>
      <c r="Z6380">
        <v>1</v>
      </c>
      <c r="AA6380">
        <v>26</v>
      </c>
      <c r="AB6380">
        <v>2</v>
      </c>
      <c r="AC6380">
        <v>2</v>
      </c>
      <c r="AD6380">
        <v>3.2730000000000001</v>
      </c>
      <c r="AE6380">
        <v>5</v>
      </c>
      <c r="AF6380">
        <v>38</v>
      </c>
      <c r="AG6380">
        <v>3.2599999899999998</v>
      </c>
      <c r="AH6380">
        <v>4</v>
      </c>
      <c r="AI6380">
        <v>17</v>
      </c>
      <c r="AJ6380">
        <v>1</v>
      </c>
      <c r="AK6380">
        <v>17</v>
      </c>
      <c r="AL6380">
        <v>36</v>
      </c>
      <c r="AM6380" t="s">
        <v>43</v>
      </c>
      <c r="AN6380" t="str">
        <f>HYPERLINK("https://www.google.com/maps?q=10.81110096,79.82754517","Open Location")</f>
        <v>Open Location</v>
      </c>
    </row>
    <row r="6381" spans="1:40" x14ac:dyDescent="0.3">
      <c r="A6381" s="1">
        <v>46210.260763888888</v>
      </c>
      <c r="B6381" t="s">
        <v>40</v>
      </c>
      <c r="C6381" t="s">
        <v>41</v>
      </c>
      <c r="D6381" s="1">
        <v>46210.263553240744</v>
      </c>
      <c r="E6381" t="s">
        <v>42</v>
      </c>
      <c r="F6381" t="s">
        <v>83</v>
      </c>
      <c r="G6381">
        <v>50</v>
      </c>
      <c r="H6381">
        <v>33078</v>
      </c>
      <c r="I6381" t="s">
        <v>3661</v>
      </c>
      <c r="J6381">
        <v>65</v>
      </c>
      <c r="K6381">
        <v>96</v>
      </c>
      <c r="L6381">
        <v>98</v>
      </c>
      <c r="M6381">
        <v>626.79998779000005</v>
      </c>
      <c r="N6381" t="s">
        <v>87</v>
      </c>
      <c r="O6381" t="s">
        <v>86</v>
      </c>
      <c r="P6381">
        <v>131</v>
      </c>
      <c r="Q6381">
        <v>6</v>
      </c>
      <c r="R6381">
        <v>61</v>
      </c>
      <c r="S6381">
        <v>1460</v>
      </c>
      <c r="T6381">
        <v>-40</v>
      </c>
      <c r="U6381">
        <v>43</v>
      </c>
      <c r="V6381">
        <v>340</v>
      </c>
      <c r="W6381">
        <v>28</v>
      </c>
      <c r="X6381">
        <v>28</v>
      </c>
      <c r="Y6381">
        <v>1</v>
      </c>
      <c r="Z6381">
        <v>1</v>
      </c>
      <c r="AA6381">
        <v>26</v>
      </c>
      <c r="AB6381">
        <v>2</v>
      </c>
      <c r="AC6381">
        <v>2</v>
      </c>
      <c r="AD6381">
        <v>3.2780001200000002</v>
      </c>
      <c r="AE6381">
        <v>5</v>
      </c>
      <c r="AF6381">
        <v>38</v>
      </c>
      <c r="AG6381">
        <v>3.2660000299999998</v>
      </c>
      <c r="AH6381">
        <v>7</v>
      </c>
      <c r="AI6381">
        <v>1</v>
      </c>
      <c r="AJ6381">
        <v>1</v>
      </c>
      <c r="AK6381">
        <v>17</v>
      </c>
      <c r="AL6381">
        <v>36</v>
      </c>
      <c r="AM6381" t="s">
        <v>43</v>
      </c>
      <c r="AN6381" t="str">
        <f>HYPERLINK("https://www.google.com/maps?q=10.80962658,79.82696533","Open Location")</f>
        <v>Open Location</v>
      </c>
    </row>
    <row r="6382" spans="1:40" x14ac:dyDescent="0.3">
      <c r="A6382" s="1">
        <v>46210.260648148149</v>
      </c>
      <c r="B6382" t="s">
        <v>40</v>
      </c>
      <c r="C6382" t="s">
        <v>41</v>
      </c>
      <c r="D6382" s="1">
        <v>46210.263553240744</v>
      </c>
      <c r="E6382" t="s">
        <v>42</v>
      </c>
      <c r="F6382" t="s">
        <v>83</v>
      </c>
      <c r="G6382">
        <v>49</v>
      </c>
      <c r="H6382">
        <v>33078</v>
      </c>
      <c r="I6382" t="s">
        <v>3662</v>
      </c>
      <c r="J6382">
        <v>65</v>
      </c>
      <c r="K6382">
        <v>58</v>
      </c>
      <c r="L6382">
        <v>98</v>
      </c>
      <c r="M6382">
        <v>628.09997558999999</v>
      </c>
      <c r="N6382" t="s">
        <v>87</v>
      </c>
      <c r="O6382" t="s">
        <v>86</v>
      </c>
      <c r="P6382">
        <v>131</v>
      </c>
      <c r="Q6382">
        <v>6</v>
      </c>
      <c r="R6382">
        <v>36</v>
      </c>
      <c r="S6382">
        <v>1355</v>
      </c>
      <c r="T6382">
        <v>-40</v>
      </c>
      <c r="U6382">
        <v>43</v>
      </c>
      <c r="V6382">
        <v>240</v>
      </c>
      <c r="W6382">
        <v>28</v>
      </c>
      <c r="X6382">
        <v>28</v>
      </c>
      <c r="Y6382">
        <v>1</v>
      </c>
      <c r="Z6382">
        <v>1</v>
      </c>
      <c r="AA6382">
        <v>26</v>
      </c>
      <c r="AB6382">
        <v>2</v>
      </c>
      <c r="AC6382">
        <v>2</v>
      </c>
      <c r="AD6382">
        <v>3.27999997</v>
      </c>
      <c r="AE6382">
        <v>1</v>
      </c>
      <c r="AF6382">
        <v>25</v>
      </c>
      <c r="AG6382">
        <v>3.2690000499999998</v>
      </c>
      <c r="AH6382">
        <v>7</v>
      </c>
      <c r="AI6382">
        <v>1</v>
      </c>
      <c r="AJ6382">
        <v>1</v>
      </c>
      <c r="AK6382">
        <v>17</v>
      </c>
      <c r="AL6382">
        <v>36</v>
      </c>
      <c r="AM6382" t="s">
        <v>43</v>
      </c>
      <c r="AN6382" t="str">
        <f>HYPERLINK("https://www.google.com/maps?q=10.8082304,79.8264389","Open Location")</f>
        <v>Open Location</v>
      </c>
    </row>
    <row r="6383" spans="1:40" x14ac:dyDescent="0.3">
      <c r="A6383" s="1">
        <v>46210.26053240741</v>
      </c>
      <c r="B6383" t="s">
        <v>40</v>
      </c>
      <c r="C6383" t="s">
        <v>41</v>
      </c>
      <c r="D6383" s="1">
        <v>46210.263425925928</v>
      </c>
      <c r="E6383" t="s">
        <v>42</v>
      </c>
      <c r="F6383" t="s">
        <v>83</v>
      </c>
      <c r="G6383">
        <v>47</v>
      </c>
      <c r="H6383">
        <v>33078</v>
      </c>
      <c r="I6383" t="s">
        <v>43</v>
      </c>
      <c r="J6383">
        <v>65</v>
      </c>
      <c r="K6383">
        <v>81</v>
      </c>
      <c r="L6383">
        <v>98</v>
      </c>
      <c r="M6383">
        <v>627.29998779000005</v>
      </c>
      <c r="N6383" t="s">
        <v>87</v>
      </c>
      <c r="O6383" t="s">
        <v>86</v>
      </c>
      <c r="P6383">
        <v>131</v>
      </c>
      <c r="Q6383">
        <v>6</v>
      </c>
      <c r="R6383">
        <v>40</v>
      </c>
      <c r="S6383">
        <v>1335</v>
      </c>
      <c r="T6383">
        <v>-40</v>
      </c>
      <c r="U6383">
        <v>44</v>
      </c>
      <c r="V6383">
        <v>340</v>
      </c>
      <c r="W6383">
        <v>28</v>
      </c>
      <c r="X6383">
        <v>28</v>
      </c>
      <c r="Y6383">
        <v>1</v>
      </c>
      <c r="Z6383">
        <v>1</v>
      </c>
      <c r="AA6383">
        <v>26</v>
      </c>
      <c r="AB6383">
        <v>2</v>
      </c>
      <c r="AC6383">
        <v>2</v>
      </c>
      <c r="AD6383">
        <v>3.2780001200000002</v>
      </c>
      <c r="AE6383">
        <v>5</v>
      </c>
      <c r="AF6383">
        <v>38</v>
      </c>
      <c r="AG6383">
        <v>3.2650001</v>
      </c>
      <c r="AH6383">
        <v>7</v>
      </c>
      <c r="AI6383">
        <v>1</v>
      </c>
      <c r="AJ6383">
        <v>1</v>
      </c>
      <c r="AK6383">
        <v>18</v>
      </c>
      <c r="AL6383">
        <v>36</v>
      </c>
      <c r="AM6383" t="s">
        <v>43</v>
      </c>
      <c r="AN6383" t="s">
        <v>43</v>
      </c>
    </row>
    <row r="6384" spans="1:40" x14ac:dyDescent="0.3">
      <c r="A6384" s="1">
        <v>46210.260416666664</v>
      </c>
      <c r="B6384" t="s">
        <v>40</v>
      </c>
      <c r="C6384" t="s">
        <v>41</v>
      </c>
      <c r="D6384" s="1">
        <v>46210.263518518521</v>
      </c>
      <c r="E6384" t="s">
        <v>42</v>
      </c>
      <c r="F6384" t="s">
        <v>83</v>
      </c>
      <c r="G6384">
        <v>44</v>
      </c>
      <c r="H6384" t="s">
        <v>43</v>
      </c>
      <c r="I6384" t="s">
        <v>3663</v>
      </c>
      <c r="J6384">
        <v>65</v>
      </c>
      <c r="K6384">
        <v>78</v>
      </c>
      <c r="L6384">
        <v>98</v>
      </c>
      <c r="M6384">
        <v>627.79998779000005</v>
      </c>
      <c r="N6384" t="s">
        <v>87</v>
      </c>
      <c r="O6384" t="s">
        <v>86</v>
      </c>
      <c r="P6384">
        <v>131</v>
      </c>
      <c r="Q6384">
        <v>6</v>
      </c>
      <c r="R6384">
        <v>51</v>
      </c>
      <c r="S6384">
        <v>1281</v>
      </c>
      <c r="T6384">
        <v>-40</v>
      </c>
      <c r="U6384">
        <v>44</v>
      </c>
      <c r="V6384">
        <v>340</v>
      </c>
      <c r="W6384">
        <v>28</v>
      </c>
      <c r="X6384">
        <v>28</v>
      </c>
      <c r="Y6384">
        <v>1</v>
      </c>
      <c r="Z6384">
        <v>1</v>
      </c>
      <c r="AA6384">
        <v>26</v>
      </c>
      <c r="AB6384">
        <v>2</v>
      </c>
      <c r="AC6384">
        <v>2</v>
      </c>
      <c r="AD6384">
        <v>3.2760000200000001</v>
      </c>
      <c r="AE6384">
        <v>5</v>
      </c>
      <c r="AF6384">
        <v>38</v>
      </c>
      <c r="AG6384">
        <v>3.26200008</v>
      </c>
      <c r="AH6384">
        <v>7</v>
      </c>
      <c r="AI6384">
        <v>1</v>
      </c>
      <c r="AJ6384">
        <v>1</v>
      </c>
      <c r="AK6384">
        <v>18</v>
      </c>
      <c r="AL6384">
        <v>36</v>
      </c>
      <c r="AM6384" t="s">
        <v>43</v>
      </c>
      <c r="AN6384" t="str">
        <f>HYPERLINK("https://www.google.com/maps?q=10.80686188,79.82601166","Open Location")</f>
        <v>Open Location</v>
      </c>
    </row>
    <row r="6385" spans="1:40" x14ac:dyDescent="0.3">
      <c r="A6385" s="1">
        <v>46210.260300925926</v>
      </c>
      <c r="B6385" t="s">
        <v>40</v>
      </c>
      <c r="C6385" t="s">
        <v>41</v>
      </c>
      <c r="D6385" s="1">
        <v>46210.263055555559</v>
      </c>
      <c r="E6385" t="s">
        <v>42</v>
      </c>
      <c r="F6385" t="s">
        <v>83</v>
      </c>
      <c r="G6385">
        <v>40</v>
      </c>
      <c r="H6385">
        <v>33077</v>
      </c>
      <c r="I6385" t="s">
        <v>3664</v>
      </c>
      <c r="J6385">
        <v>65</v>
      </c>
      <c r="K6385">
        <v>72</v>
      </c>
      <c r="L6385">
        <v>98</v>
      </c>
      <c r="M6385">
        <v>628</v>
      </c>
      <c r="N6385" t="s">
        <v>87</v>
      </c>
      <c r="O6385" t="s">
        <v>86</v>
      </c>
      <c r="P6385">
        <v>130</v>
      </c>
      <c r="Q6385">
        <v>6</v>
      </c>
      <c r="R6385">
        <v>4</v>
      </c>
      <c r="S6385">
        <v>1178</v>
      </c>
      <c r="T6385">
        <v>-40</v>
      </c>
      <c r="U6385">
        <v>45</v>
      </c>
      <c r="V6385">
        <v>340</v>
      </c>
      <c r="W6385">
        <v>28</v>
      </c>
      <c r="X6385">
        <v>28</v>
      </c>
      <c r="Y6385">
        <v>1</v>
      </c>
      <c r="Z6385">
        <v>1</v>
      </c>
      <c r="AA6385">
        <v>26</v>
      </c>
      <c r="AB6385">
        <v>2</v>
      </c>
      <c r="AC6385">
        <v>2</v>
      </c>
      <c r="AD6385">
        <v>3.2699999800000001</v>
      </c>
      <c r="AE6385">
        <v>5</v>
      </c>
      <c r="AF6385">
        <v>38</v>
      </c>
      <c r="AG6385">
        <v>3.2550001100000001</v>
      </c>
      <c r="AH6385">
        <v>7</v>
      </c>
      <c r="AI6385">
        <v>1</v>
      </c>
      <c r="AJ6385">
        <v>1</v>
      </c>
      <c r="AK6385">
        <v>17</v>
      </c>
      <c r="AL6385">
        <v>36</v>
      </c>
      <c r="AM6385" t="s">
        <v>43</v>
      </c>
      <c r="AN6385" t="str">
        <f>HYPERLINK("https://www.google.com/maps?q=10.80560207,79.82561493","Open Location")</f>
        <v>Open Location</v>
      </c>
    </row>
    <row r="6386" spans="1:40" x14ac:dyDescent="0.3">
      <c r="A6386" s="1">
        <v>46210.260185185187</v>
      </c>
      <c r="B6386" t="s">
        <v>40</v>
      </c>
      <c r="C6386" t="s">
        <v>41</v>
      </c>
      <c r="D6386" s="1">
        <v>46210.263425925928</v>
      </c>
      <c r="E6386" t="s">
        <v>42</v>
      </c>
      <c r="F6386" t="s">
        <v>83</v>
      </c>
      <c r="G6386">
        <v>27</v>
      </c>
      <c r="H6386">
        <v>33077</v>
      </c>
      <c r="I6386" t="s">
        <v>3665</v>
      </c>
      <c r="J6386">
        <v>65</v>
      </c>
      <c r="K6386">
        <v>135</v>
      </c>
      <c r="L6386">
        <v>98</v>
      </c>
      <c r="M6386">
        <v>625.90002441000001</v>
      </c>
      <c r="N6386" t="s">
        <v>87</v>
      </c>
      <c r="O6386" t="s">
        <v>86</v>
      </c>
      <c r="P6386">
        <v>130</v>
      </c>
      <c r="Q6386">
        <v>5</v>
      </c>
      <c r="R6386">
        <v>111</v>
      </c>
      <c r="S6386">
        <v>1705</v>
      </c>
      <c r="T6386">
        <v>-40</v>
      </c>
      <c r="U6386">
        <v>44</v>
      </c>
      <c r="V6386">
        <v>460</v>
      </c>
      <c r="W6386">
        <v>28</v>
      </c>
      <c r="X6386">
        <v>28</v>
      </c>
      <c r="Y6386">
        <v>1</v>
      </c>
      <c r="Z6386">
        <v>1</v>
      </c>
      <c r="AA6386">
        <v>26</v>
      </c>
      <c r="AB6386">
        <v>2</v>
      </c>
      <c r="AC6386">
        <v>2</v>
      </c>
      <c r="AD6386">
        <v>3.2980000999999999</v>
      </c>
      <c r="AE6386">
        <v>6</v>
      </c>
      <c r="AF6386">
        <v>30</v>
      </c>
      <c r="AG6386">
        <v>3.28500009</v>
      </c>
      <c r="AH6386">
        <v>7</v>
      </c>
      <c r="AI6386">
        <v>1</v>
      </c>
      <c r="AJ6386">
        <v>1</v>
      </c>
      <c r="AK6386">
        <v>17</v>
      </c>
      <c r="AL6386">
        <v>36</v>
      </c>
      <c r="AM6386" t="s">
        <v>43</v>
      </c>
      <c r="AN6386" t="str">
        <f>HYPERLINK("https://www.google.com/maps?q=10.80444431,79.82527924","Open Location")</f>
        <v>Open Location</v>
      </c>
    </row>
    <row r="6387" spans="1:40" x14ac:dyDescent="0.3">
      <c r="A6387" s="1">
        <v>46210.260069444441</v>
      </c>
      <c r="B6387" t="s">
        <v>40</v>
      </c>
      <c r="C6387" t="s">
        <v>41</v>
      </c>
      <c r="D6387" s="1">
        <v>46210.263043981482</v>
      </c>
      <c r="E6387" t="s">
        <v>42</v>
      </c>
      <c r="F6387" t="s">
        <v>83</v>
      </c>
      <c r="G6387">
        <v>10</v>
      </c>
      <c r="H6387">
        <v>33077</v>
      </c>
      <c r="I6387" t="s">
        <v>3666</v>
      </c>
      <c r="J6387">
        <v>66</v>
      </c>
      <c r="K6387">
        <v>189</v>
      </c>
      <c r="L6387">
        <v>98</v>
      </c>
      <c r="M6387">
        <v>624.70001220999995</v>
      </c>
      <c r="N6387" t="s">
        <v>87</v>
      </c>
      <c r="O6387" t="s">
        <v>86</v>
      </c>
      <c r="P6387">
        <v>127</v>
      </c>
      <c r="Q6387">
        <v>2</v>
      </c>
      <c r="R6387">
        <v>107</v>
      </c>
      <c r="S6387">
        <v>1541</v>
      </c>
      <c r="T6387">
        <v>-40</v>
      </c>
      <c r="U6387">
        <v>42</v>
      </c>
      <c r="V6387">
        <v>720</v>
      </c>
      <c r="W6387">
        <v>28</v>
      </c>
      <c r="X6387">
        <v>28</v>
      </c>
      <c r="Y6387">
        <v>1</v>
      </c>
      <c r="Z6387">
        <v>1</v>
      </c>
      <c r="AA6387">
        <v>26</v>
      </c>
      <c r="AB6387">
        <v>2</v>
      </c>
      <c r="AC6387">
        <v>2</v>
      </c>
      <c r="AD6387">
        <v>3.2929999799999998</v>
      </c>
      <c r="AE6387">
        <v>1</v>
      </c>
      <c r="AF6387">
        <v>25</v>
      </c>
      <c r="AG6387">
        <v>3.2820000600000001</v>
      </c>
      <c r="AH6387">
        <v>4</v>
      </c>
      <c r="AI6387">
        <v>17</v>
      </c>
      <c r="AJ6387">
        <v>1</v>
      </c>
      <c r="AK6387">
        <v>17</v>
      </c>
      <c r="AL6387">
        <v>36</v>
      </c>
      <c r="AM6387" t="s">
        <v>43</v>
      </c>
      <c r="AN6387" t="str">
        <f>HYPERLINK("https://www.google.com/maps?q=10.80396175,79.82512665","Open Location")</f>
        <v>Open Location</v>
      </c>
    </row>
    <row r="6388" spans="1:40" x14ac:dyDescent="0.3">
      <c r="A6388" s="1">
        <v>46210.259953703702</v>
      </c>
      <c r="B6388" t="s">
        <v>40</v>
      </c>
      <c r="C6388" t="s">
        <v>41</v>
      </c>
      <c r="D6388" s="1">
        <v>46210.262835648151</v>
      </c>
      <c r="E6388" t="s">
        <v>42</v>
      </c>
      <c r="F6388" t="s">
        <v>83</v>
      </c>
      <c r="G6388">
        <v>13</v>
      </c>
      <c r="H6388" t="s">
        <v>43</v>
      </c>
      <c r="I6388" t="s">
        <v>3667</v>
      </c>
      <c r="J6388">
        <v>66</v>
      </c>
      <c r="K6388">
        <v>12</v>
      </c>
      <c r="L6388">
        <v>98</v>
      </c>
      <c r="M6388">
        <v>631.29998779000005</v>
      </c>
      <c r="N6388" t="s">
        <v>87</v>
      </c>
      <c r="O6388" t="s">
        <v>86</v>
      </c>
      <c r="P6388">
        <v>128</v>
      </c>
      <c r="Q6388">
        <v>3</v>
      </c>
      <c r="R6388">
        <v>32</v>
      </c>
      <c r="S6388">
        <v>785</v>
      </c>
      <c r="T6388">
        <v>-40</v>
      </c>
      <c r="U6388">
        <v>42</v>
      </c>
      <c r="V6388">
        <v>5</v>
      </c>
      <c r="W6388">
        <v>28</v>
      </c>
      <c r="X6388">
        <v>28</v>
      </c>
      <c r="Y6388">
        <v>1</v>
      </c>
      <c r="Z6388">
        <v>1</v>
      </c>
      <c r="AA6388">
        <v>26</v>
      </c>
      <c r="AB6388">
        <v>2</v>
      </c>
      <c r="AC6388">
        <v>2</v>
      </c>
      <c r="AD6388">
        <v>3.28800011</v>
      </c>
      <c r="AE6388">
        <v>1</v>
      </c>
      <c r="AF6388">
        <v>25</v>
      </c>
      <c r="AG6388">
        <v>3.2750001000000002</v>
      </c>
      <c r="AH6388">
        <v>4</v>
      </c>
      <c r="AI6388">
        <v>17</v>
      </c>
      <c r="AJ6388">
        <v>1</v>
      </c>
      <c r="AK6388">
        <v>17</v>
      </c>
      <c r="AL6388">
        <v>36</v>
      </c>
      <c r="AM6388" t="s">
        <v>43</v>
      </c>
      <c r="AN6388" t="str">
        <f>HYPERLINK("https://www.google.com/maps?q=10.80391884,79.82480621","Open Location")</f>
        <v>Open Location</v>
      </c>
    </row>
    <row r="6389" spans="1:40" x14ac:dyDescent="0.3">
      <c r="A6389" s="1">
        <v>46210.259837962964</v>
      </c>
      <c r="B6389" t="s">
        <v>40</v>
      </c>
      <c r="C6389" t="s">
        <v>41</v>
      </c>
      <c r="D6389" s="1">
        <v>46210.262465277781</v>
      </c>
      <c r="E6389" t="s">
        <v>42</v>
      </c>
      <c r="F6389" t="s">
        <v>83</v>
      </c>
      <c r="G6389">
        <v>8</v>
      </c>
      <c r="H6389">
        <v>33077</v>
      </c>
      <c r="I6389" t="s">
        <v>43</v>
      </c>
      <c r="J6389">
        <v>66</v>
      </c>
      <c r="K6389">
        <v>63</v>
      </c>
      <c r="L6389">
        <v>98</v>
      </c>
      <c r="M6389">
        <v>630.09997558999999</v>
      </c>
      <c r="N6389" t="s">
        <v>87</v>
      </c>
      <c r="O6389" t="s">
        <v>86</v>
      </c>
      <c r="P6389">
        <v>127</v>
      </c>
      <c r="Q6389">
        <v>2</v>
      </c>
      <c r="R6389">
        <v>33</v>
      </c>
      <c r="S6389">
        <v>1441</v>
      </c>
      <c r="T6389">
        <v>-40</v>
      </c>
      <c r="U6389">
        <v>42</v>
      </c>
      <c r="V6389">
        <v>220</v>
      </c>
      <c r="W6389">
        <v>28</v>
      </c>
      <c r="X6389">
        <v>28</v>
      </c>
      <c r="Y6389">
        <v>1</v>
      </c>
      <c r="Z6389">
        <v>1</v>
      </c>
      <c r="AA6389">
        <v>26</v>
      </c>
      <c r="AB6389">
        <v>2</v>
      </c>
      <c r="AC6389">
        <v>2</v>
      </c>
      <c r="AD6389">
        <v>3.3029999700000001</v>
      </c>
      <c r="AE6389">
        <v>1</v>
      </c>
      <c r="AF6389">
        <v>25</v>
      </c>
      <c r="AG6389">
        <v>3.2920000599999999</v>
      </c>
      <c r="AH6389">
        <v>8</v>
      </c>
      <c r="AI6389">
        <v>48</v>
      </c>
      <c r="AJ6389">
        <v>1</v>
      </c>
      <c r="AK6389">
        <v>18</v>
      </c>
      <c r="AL6389">
        <v>36</v>
      </c>
      <c r="AM6389" t="s">
        <v>43</v>
      </c>
      <c r="AN6389" t="s">
        <v>43</v>
      </c>
    </row>
    <row r="6390" spans="1:40" x14ac:dyDescent="0.3">
      <c r="A6390" s="1">
        <v>46210.259722222225</v>
      </c>
      <c r="B6390" t="s">
        <v>40</v>
      </c>
      <c r="C6390" t="s">
        <v>41</v>
      </c>
      <c r="D6390" s="1">
        <v>46210.262662037036</v>
      </c>
      <c r="E6390" t="s">
        <v>42</v>
      </c>
      <c r="F6390" t="s">
        <v>83</v>
      </c>
      <c r="G6390">
        <v>7</v>
      </c>
      <c r="H6390">
        <v>33077</v>
      </c>
      <c r="I6390" t="s">
        <v>3668</v>
      </c>
      <c r="J6390">
        <v>66</v>
      </c>
      <c r="K6390">
        <v>11</v>
      </c>
      <c r="L6390">
        <v>98</v>
      </c>
      <c r="M6390">
        <v>632.79998779000005</v>
      </c>
      <c r="N6390" t="s">
        <v>87</v>
      </c>
      <c r="O6390" t="s">
        <v>86</v>
      </c>
      <c r="P6390">
        <v>127</v>
      </c>
      <c r="Q6390">
        <v>2</v>
      </c>
      <c r="R6390">
        <v>12</v>
      </c>
      <c r="S6390">
        <v>1694</v>
      </c>
      <c r="T6390">
        <v>-40</v>
      </c>
      <c r="U6390">
        <v>43</v>
      </c>
      <c r="V6390">
        <v>5</v>
      </c>
      <c r="W6390">
        <v>28</v>
      </c>
      <c r="X6390">
        <v>28</v>
      </c>
      <c r="Y6390">
        <v>1</v>
      </c>
      <c r="Z6390">
        <v>1</v>
      </c>
      <c r="AA6390">
        <v>26</v>
      </c>
      <c r="AB6390">
        <v>2</v>
      </c>
      <c r="AC6390">
        <v>2</v>
      </c>
      <c r="AD6390">
        <v>3.3059999900000001</v>
      </c>
      <c r="AE6390">
        <v>1</v>
      </c>
      <c r="AF6390">
        <v>25</v>
      </c>
      <c r="AG6390">
        <v>3.2950000799999999</v>
      </c>
      <c r="AH6390">
        <v>8</v>
      </c>
      <c r="AI6390">
        <v>48</v>
      </c>
      <c r="AJ6390">
        <v>1</v>
      </c>
      <c r="AK6390">
        <v>17</v>
      </c>
      <c r="AL6390">
        <v>36</v>
      </c>
      <c r="AM6390" t="s">
        <v>43</v>
      </c>
      <c r="AN6390" t="str">
        <f>HYPERLINK("https://www.google.com/maps?q=10.80386353,79.82453156","Open Location")</f>
        <v>Open Location</v>
      </c>
    </row>
    <row r="6391" spans="1:40" x14ac:dyDescent="0.3">
      <c r="A6391" s="1">
        <v>46210.259606481479</v>
      </c>
      <c r="B6391" t="s">
        <v>40</v>
      </c>
      <c r="C6391" t="s">
        <v>41</v>
      </c>
      <c r="D6391" s="1">
        <v>46210.262465277781</v>
      </c>
      <c r="E6391" t="s">
        <v>42</v>
      </c>
      <c r="F6391" t="s">
        <v>83</v>
      </c>
      <c r="G6391">
        <v>33</v>
      </c>
      <c r="H6391">
        <v>33077</v>
      </c>
      <c r="I6391" t="s">
        <v>3669</v>
      </c>
      <c r="J6391">
        <v>66</v>
      </c>
      <c r="K6391">
        <v>-50</v>
      </c>
      <c r="L6391">
        <v>98</v>
      </c>
      <c r="M6391">
        <v>635.29998779000005</v>
      </c>
      <c r="N6391" t="s">
        <v>87</v>
      </c>
      <c r="O6391" t="s">
        <v>86</v>
      </c>
      <c r="P6391">
        <v>130</v>
      </c>
      <c r="Q6391">
        <v>5</v>
      </c>
      <c r="R6391">
        <v>-144</v>
      </c>
      <c r="S6391">
        <v>475</v>
      </c>
      <c r="T6391">
        <v>-40</v>
      </c>
      <c r="U6391">
        <v>42</v>
      </c>
      <c r="V6391">
        <v>-670</v>
      </c>
      <c r="W6391">
        <v>28</v>
      </c>
      <c r="X6391">
        <v>28</v>
      </c>
      <c r="Y6391">
        <v>1</v>
      </c>
      <c r="Z6391">
        <v>1</v>
      </c>
      <c r="AA6391">
        <v>26</v>
      </c>
      <c r="AB6391">
        <v>2</v>
      </c>
      <c r="AC6391">
        <v>2</v>
      </c>
      <c r="AD6391">
        <v>3.3059999900000001</v>
      </c>
      <c r="AE6391">
        <v>1</v>
      </c>
      <c r="AF6391">
        <v>25</v>
      </c>
      <c r="AG6391">
        <v>3.2959999999999998</v>
      </c>
      <c r="AH6391">
        <v>8</v>
      </c>
      <c r="AI6391">
        <v>48</v>
      </c>
      <c r="AJ6391">
        <v>1</v>
      </c>
      <c r="AK6391">
        <v>18</v>
      </c>
      <c r="AL6391">
        <v>36</v>
      </c>
      <c r="AM6391" t="s">
        <v>43</v>
      </c>
      <c r="AN6391" t="str">
        <f>HYPERLINK("https://www.google.com/maps?q=10.80351257,79.82458496","Open Location")</f>
        <v>Open Location</v>
      </c>
    </row>
    <row r="6392" spans="1:40" x14ac:dyDescent="0.3">
      <c r="A6392" s="1">
        <v>46210.25949074074</v>
      </c>
      <c r="B6392" t="s">
        <v>40</v>
      </c>
      <c r="C6392" t="s">
        <v>41</v>
      </c>
      <c r="D6392" s="1">
        <v>46210.262488425928</v>
      </c>
      <c r="E6392" t="s">
        <v>42</v>
      </c>
      <c r="F6392" t="s">
        <v>83</v>
      </c>
      <c r="G6392">
        <v>34</v>
      </c>
      <c r="H6392">
        <v>33077</v>
      </c>
      <c r="I6392" t="s">
        <v>3670</v>
      </c>
      <c r="J6392">
        <v>66</v>
      </c>
      <c r="K6392">
        <v>25</v>
      </c>
      <c r="L6392">
        <v>98</v>
      </c>
      <c r="M6392">
        <v>630.70001220999995</v>
      </c>
      <c r="N6392" t="s">
        <v>87</v>
      </c>
      <c r="O6392" t="s">
        <v>86</v>
      </c>
      <c r="P6392">
        <v>130</v>
      </c>
      <c r="Q6392">
        <v>5</v>
      </c>
      <c r="R6392">
        <v>-27</v>
      </c>
      <c r="S6392">
        <v>1686</v>
      </c>
      <c r="T6392">
        <v>-40</v>
      </c>
      <c r="U6392">
        <v>42</v>
      </c>
      <c r="V6392">
        <v>80</v>
      </c>
      <c r="W6392">
        <v>28</v>
      </c>
      <c r="X6392">
        <v>28</v>
      </c>
      <c r="Y6392">
        <v>1</v>
      </c>
      <c r="Z6392">
        <v>1</v>
      </c>
      <c r="AA6392">
        <v>26</v>
      </c>
      <c r="AB6392">
        <v>2</v>
      </c>
      <c r="AC6392">
        <v>2</v>
      </c>
      <c r="AD6392">
        <v>3.2950000799999999</v>
      </c>
      <c r="AE6392">
        <v>1</v>
      </c>
      <c r="AF6392">
        <v>25</v>
      </c>
      <c r="AG6392">
        <v>3.28600001</v>
      </c>
      <c r="AH6392">
        <v>2</v>
      </c>
      <c r="AI6392">
        <v>45</v>
      </c>
      <c r="AJ6392">
        <v>1</v>
      </c>
      <c r="AK6392">
        <v>18</v>
      </c>
      <c r="AL6392">
        <v>36</v>
      </c>
      <c r="AM6392" t="s">
        <v>43</v>
      </c>
      <c r="AN6392" t="str">
        <f>HYPERLINK("https://www.google.com/maps?q=10.8024683,79.82480621","Open Location")</f>
        <v>Open Location</v>
      </c>
    </row>
    <row r="6393" spans="1:40" x14ac:dyDescent="0.3">
      <c r="A6393" s="1">
        <v>46210.259375000001</v>
      </c>
      <c r="B6393" t="s">
        <v>40</v>
      </c>
      <c r="C6393" t="s">
        <v>41</v>
      </c>
      <c r="D6393" s="1">
        <v>46210.262256944443</v>
      </c>
      <c r="E6393" t="s">
        <v>42</v>
      </c>
      <c r="F6393" t="s">
        <v>83</v>
      </c>
      <c r="G6393">
        <v>29</v>
      </c>
      <c r="H6393" t="s">
        <v>43</v>
      </c>
      <c r="I6393" t="s">
        <v>3671</v>
      </c>
      <c r="J6393">
        <v>66</v>
      </c>
      <c r="K6393">
        <v>78</v>
      </c>
      <c r="L6393">
        <v>98</v>
      </c>
      <c r="M6393">
        <v>628.29998779000005</v>
      </c>
      <c r="N6393" t="s">
        <v>87</v>
      </c>
      <c r="O6393" t="s">
        <v>86</v>
      </c>
      <c r="P6393">
        <v>130</v>
      </c>
      <c r="Q6393">
        <v>5</v>
      </c>
      <c r="R6393">
        <v>8</v>
      </c>
      <c r="S6393">
        <v>1474</v>
      </c>
      <c r="T6393">
        <v>-40</v>
      </c>
      <c r="U6393">
        <v>43</v>
      </c>
      <c r="V6393">
        <v>300</v>
      </c>
      <c r="W6393">
        <v>28</v>
      </c>
      <c r="X6393">
        <v>28</v>
      </c>
      <c r="Y6393">
        <v>1</v>
      </c>
      <c r="Z6393">
        <v>1</v>
      </c>
      <c r="AA6393">
        <v>26</v>
      </c>
      <c r="AB6393">
        <v>2</v>
      </c>
      <c r="AC6393">
        <v>2</v>
      </c>
      <c r="AD6393">
        <v>3.2869999399999998</v>
      </c>
      <c r="AE6393">
        <v>1</v>
      </c>
      <c r="AF6393">
        <v>25</v>
      </c>
      <c r="AG6393">
        <v>3.2760000200000001</v>
      </c>
      <c r="AH6393">
        <v>7</v>
      </c>
      <c r="AI6393">
        <v>1</v>
      </c>
      <c r="AJ6393">
        <v>1</v>
      </c>
      <c r="AK6393">
        <v>17</v>
      </c>
      <c r="AL6393">
        <v>36</v>
      </c>
      <c r="AM6393" t="s">
        <v>43</v>
      </c>
      <c r="AN6393" t="str">
        <f>HYPERLINK("https://www.google.com/maps?q=10.80153561,79.82498932","Open Location")</f>
        <v>Open Location</v>
      </c>
    </row>
    <row r="6394" spans="1:40" x14ac:dyDescent="0.3">
      <c r="A6394" s="1">
        <v>46210.259259259263</v>
      </c>
      <c r="B6394" t="s">
        <v>40</v>
      </c>
      <c r="C6394" t="s">
        <v>41</v>
      </c>
      <c r="D6394" s="1">
        <v>46210.262141203704</v>
      </c>
      <c r="E6394" t="s">
        <v>42</v>
      </c>
      <c r="F6394" t="s">
        <v>83</v>
      </c>
      <c r="G6394">
        <v>15</v>
      </c>
      <c r="H6394">
        <v>33077</v>
      </c>
      <c r="I6394" t="s">
        <v>43</v>
      </c>
      <c r="J6394">
        <v>66</v>
      </c>
      <c r="K6394">
        <v>4</v>
      </c>
      <c r="L6394">
        <v>98</v>
      </c>
      <c r="M6394">
        <v>629.40002441000001</v>
      </c>
      <c r="N6394" t="s">
        <v>87</v>
      </c>
      <c r="O6394" t="s">
        <v>86</v>
      </c>
      <c r="P6394">
        <v>128</v>
      </c>
      <c r="Q6394">
        <v>4</v>
      </c>
      <c r="R6394">
        <v>0</v>
      </c>
      <c r="S6394">
        <v>1121</v>
      </c>
      <c r="T6394">
        <v>-40</v>
      </c>
      <c r="U6394">
        <v>43</v>
      </c>
      <c r="V6394">
        <v>0</v>
      </c>
      <c r="W6394">
        <v>28</v>
      </c>
      <c r="X6394">
        <v>28</v>
      </c>
      <c r="Y6394">
        <v>1</v>
      </c>
      <c r="Z6394">
        <v>1</v>
      </c>
      <c r="AA6394">
        <v>26</v>
      </c>
      <c r="AB6394">
        <v>2</v>
      </c>
      <c r="AC6394">
        <v>2</v>
      </c>
      <c r="AD6394">
        <v>3.2869999399999998</v>
      </c>
      <c r="AE6394">
        <v>1</v>
      </c>
      <c r="AF6394">
        <v>25</v>
      </c>
      <c r="AG6394">
        <v>3.2750001000000002</v>
      </c>
      <c r="AH6394">
        <v>7</v>
      </c>
      <c r="AI6394">
        <v>1</v>
      </c>
      <c r="AJ6394">
        <v>1</v>
      </c>
      <c r="AK6394">
        <v>17</v>
      </c>
      <c r="AL6394">
        <v>36</v>
      </c>
      <c r="AM6394" t="s">
        <v>43</v>
      </c>
      <c r="AN6394" t="s">
        <v>43</v>
      </c>
    </row>
    <row r="6395" spans="1:40" x14ac:dyDescent="0.3">
      <c r="A6395" s="1">
        <v>46210.259143518517</v>
      </c>
      <c r="B6395" t="s">
        <v>40</v>
      </c>
      <c r="C6395" t="s">
        <v>41</v>
      </c>
      <c r="D6395" s="1">
        <v>46210.261782407404</v>
      </c>
      <c r="E6395" t="s">
        <v>42</v>
      </c>
      <c r="F6395" t="s">
        <v>83</v>
      </c>
      <c r="G6395">
        <v>37</v>
      </c>
      <c r="H6395">
        <v>33077</v>
      </c>
      <c r="I6395" t="s">
        <v>3672</v>
      </c>
      <c r="J6395">
        <v>66</v>
      </c>
      <c r="K6395">
        <v>6</v>
      </c>
      <c r="L6395">
        <v>98</v>
      </c>
      <c r="M6395">
        <v>627.20001220999995</v>
      </c>
      <c r="N6395" t="s">
        <v>87</v>
      </c>
      <c r="O6395" t="s">
        <v>86</v>
      </c>
      <c r="P6395">
        <v>131</v>
      </c>
      <c r="Q6395">
        <v>6</v>
      </c>
      <c r="R6395">
        <v>-105</v>
      </c>
      <c r="S6395">
        <v>379</v>
      </c>
      <c r="T6395">
        <v>-40</v>
      </c>
      <c r="U6395">
        <v>42</v>
      </c>
      <c r="V6395">
        <v>0</v>
      </c>
      <c r="W6395">
        <v>28</v>
      </c>
      <c r="X6395">
        <v>28</v>
      </c>
      <c r="Y6395">
        <v>1</v>
      </c>
      <c r="Z6395">
        <v>1</v>
      </c>
      <c r="AA6395">
        <v>26</v>
      </c>
      <c r="AB6395">
        <v>2</v>
      </c>
      <c r="AC6395">
        <v>2</v>
      </c>
      <c r="AD6395">
        <v>3.30699992</v>
      </c>
      <c r="AE6395">
        <v>1</v>
      </c>
      <c r="AF6395">
        <v>25</v>
      </c>
      <c r="AG6395">
        <v>3.2969999300000001</v>
      </c>
      <c r="AH6395">
        <v>8</v>
      </c>
      <c r="AI6395">
        <v>48</v>
      </c>
      <c r="AJ6395">
        <v>1</v>
      </c>
      <c r="AK6395">
        <v>18</v>
      </c>
      <c r="AL6395">
        <v>36</v>
      </c>
      <c r="AM6395" t="s">
        <v>43</v>
      </c>
      <c r="AN6395" t="str">
        <f>HYPERLINK("https://www.google.com/maps?q=10.80093956,79.82512665","Open Location")</f>
        <v>Open Location</v>
      </c>
    </row>
    <row r="6396" spans="1:40" x14ac:dyDescent="0.3">
      <c r="A6396" s="1">
        <v>46210.259027777778</v>
      </c>
      <c r="B6396" t="s">
        <v>40</v>
      </c>
      <c r="C6396" t="s">
        <v>41</v>
      </c>
      <c r="D6396" s="1">
        <v>46210.262094907404</v>
      </c>
      <c r="E6396" t="s">
        <v>42</v>
      </c>
      <c r="F6396" t="s">
        <v>83</v>
      </c>
      <c r="G6396">
        <v>48</v>
      </c>
      <c r="H6396">
        <v>33077</v>
      </c>
      <c r="I6396" t="s">
        <v>3673</v>
      </c>
      <c r="J6396">
        <v>66</v>
      </c>
      <c r="K6396">
        <v>19</v>
      </c>
      <c r="L6396">
        <v>98</v>
      </c>
      <c r="M6396">
        <v>631.20001220999995</v>
      </c>
      <c r="N6396" t="s">
        <v>87</v>
      </c>
      <c r="O6396" t="s">
        <v>86</v>
      </c>
      <c r="P6396">
        <v>131</v>
      </c>
      <c r="Q6396">
        <v>6</v>
      </c>
      <c r="R6396">
        <v>-36</v>
      </c>
      <c r="S6396">
        <v>1287</v>
      </c>
      <c r="T6396">
        <v>-40</v>
      </c>
      <c r="U6396">
        <v>42</v>
      </c>
      <c r="V6396">
        <v>100</v>
      </c>
      <c r="W6396">
        <v>28</v>
      </c>
      <c r="X6396">
        <v>28</v>
      </c>
      <c r="Y6396">
        <v>1</v>
      </c>
      <c r="Z6396">
        <v>1</v>
      </c>
      <c r="AA6396">
        <v>26</v>
      </c>
      <c r="AB6396">
        <v>2</v>
      </c>
      <c r="AC6396">
        <v>2</v>
      </c>
      <c r="AD6396">
        <v>3.3059999900000001</v>
      </c>
      <c r="AE6396">
        <v>1</v>
      </c>
      <c r="AF6396">
        <v>25</v>
      </c>
      <c r="AG6396">
        <v>3.2969999300000001</v>
      </c>
      <c r="AH6396">
        <v>8</v>
      </c>
      <c r="AI6396">
        <v>48</v>
      </c>
      <c r="AJ6396">
        <v>1</v>
      </c>
      <c r="AK6396">
        <v>18</v>
      </c>
      <c r="AL6396">
        <v>36</v>
      </c>
      <c r="AM6396" t="s">
        <v>43</v>
      </c>
      <c r="AN6396" t="str">
        <f>HYPERLINK("https://www.google.com/maps?q=10.79985809,79.82530212","Open Location")</f>
        <v>Open Location</v>
      </c>
    </row>
    <row r="6397" spans="1:40" x14ac:dyDescent="0.3">
      <c r="A6397" s="1">
        <v>46210.258912037039</v>
      </c>
      <c r="B6397" t="s">
        <v>40</v>
      </c>
      <c r="C6397" t="s">
        <v>41</v>
      </c>
      <c r="D6397" s="1">
        <v>46210.261770833335</v>
      </c>
      <c r="E6397" t="s">
        <v>42</v>
      </c>
      <c r="F6397" t="s">
        <v>83</v>
      </c>
      <c r="G6397">
        <v>53</v>
      </c>
      <c r="H6397" t="s">
        <v>43</v>
      </c>
      <c r="I6397" t="s">
        <v>3674</v>
      </c>
      <c r="J6397">
        <v>66</v>
      </c>
      <c r="K6397">
        <v>-55</v>
      </c>
      <c r="L6397">
        <v>98</v>
      </c>
      <c r="M6397">
        <v>633.59997558999999</v>
      </c>
      <c r="N6397" t="s">
        <v>87</v>
      </c>
      <c r="O6397" t="s">
        <v>86</v>
      </c>
      <c r="P6397">
        <v>131</v>
      </c>
      <c r="Q6397">
        <v>6</v>
      </c>
      <c r="R6397">
        <v>3</v>
      </c>
      <c r="S6397">
        <v>1410</v>
      </c>
      <c r="T6397">
        <v>-40</v>
      </c>
      <c r="U6397">
        <v>41</v>
      </c>
      <c r="V6397">
        <v>-300</v>
      </c>
      <c r="W6397">
        <v>28</v>
      </c>
      <c r="X6397">
        <v>28</v>
      </c>
      <c r="Y6397">
        <v>1</v>
      </c>
      <c r="Z6397">
        <v>1</v>
      </c>
      <c r="AA6397">
        <v>26</v>
      </c>
      <c r="AB6397">
        <v>2</v>
      </c>
      <c r="AC6397">
        <v>2</v>
      </c>
      <c r="AD6397">
        <v>3.28600001</v>
      </c>
      <c r="AE6397">
        <v>1</v>
      </c>
      <c r="AF6397">
        <v>25</v>
      </c>
      <c r="AG6397">
        <v>3.2760000200000001</v>
      </c>
      <c r="AH6397">
        <v>4</v>
      </c>
      <c r="AI6397">
        <v>17</v>
      </c>
      <c r="AJ6397">
        <v>1</v>
      </c>
      <c r="AK6397">
        <v>18</v>
      </c>
      <c r="AL6397">
        <v>36</v>
      </c>
      <c r="AM6397" t="s">
        <v>43</v>
      </c>
      <c r="AN6397" t="str">
        <f>HYPERLINK("https://www.google.com/maps?q=10.79833508,79.82514954","Open Location")</f>
        <v>Open Location</v>
      </c>
    </row>
    <row r="6398" spans="1:40" x14ac:dyDescent="0.3">
      <c r="A6398" s="1">
        <v>46210.258796296293</v>
      </c>
      <c r="B6398" t="s">
        <v>40</v>
      </c>
      <c r="C6398" t="s">
        <v>41</v>
      </c>
      <c r="D6398" s="1">
        <v>46210.261747685188</v>
      </c>
      <c r="E6398" t="s">
        <v>42</v>
      </c>
      <c r="F6398" t="s">
        <v>83</v>
      </c>
      <c r="G6398">
        <v>52</v>
      </c>
      <c r="H6398">
        <v>33077</v>
      </c>
      <c r="I6398" t="s">
        <v>3675</v>
      </c>
      <c r="J6398">
        <v>66</v>
      </c>
      <c r="K6398">
        <v>21</v>
      </c>
      <c r="L6398">
        <v>98</v>
      </c>
      <c r="M6398">
        <v>629.5</v>
      </c>
      <c r="N6398" t="s">
        <v>87</v>
      </c>
      <c r="O6398" t="s">
        <v>86</v>
      </c>
      <c r="P6398">
        <v>131</v>
      </c>
      <c r="Q6398">
        <v>6</v>
      </c>
      <c r="R6398">
        <v>11</v>
      </c>
      <c r="S6398">
        <v>1479</v>
      </c>
      <c r="T6398">
        <v>-40</v>
      </c>
      <c r="U6398">
        <v>42</v>
      </c>
      <c r="V6398">
        <v>-22</v>
      </c>
      <c r="W6398">
        <v>28</v>
      </c>
      <c r="X6398">
        <v>28</v>
      </c>
      <c r="Y6398">
        <v>1</v>
      </c>
      <c r="Z6398">
        <v>1</v>
      </c>
      <c r="AA6398">
        <v>26</v>
      </c>
      <c r="AB6398">
        <v>2</v>
      </c>
      <c r="AC6398">
        <v>2</v>
      </c>
      <c r="AD6398">
        <v>3.2780001200000002</v>
      </c>
      <c r="AE6398">
        <v>1</v>
      </c>
      <c r="AF6398">
        <v>25</v>
      </c>
      <c r="AG6398">
        <v>3.2669999600000001</v>
      </c>
      <c r="AH6398">
        <v>4</v>
      </c>
      <c r="AI6398">
        <v>17</v>
      </c>
      <c r="AJ6398" t="s">
        <v>43</v>
      </c>
      <c r="AK6398" t="s">
        <v>43</v>
      </c>
      <c r="AL6398" t="s">
        <v>43</v>
      </c>
      <c r="AM6398" t="s">
        <v>43</v>
      </c>
      <c r="AN6398" t="str">
        <f>HYPERLINK("https://www.google.com/maps?q=10.79674625,79.82489014","Open Location")</f>
        <v>Open Location</v>
      </c>
    </row>
    <row r="6399" spans="1:40" x14ac:dyDescent="0.3">
      <c r="A6399" s="1">
        <v>46210.258680555555</v>
      </c>
      <c r="B6399" t="s">
        <v>40</v>
      </c>
      <c r="C6399" t="s">
        <v>41</v>
      </c>
      <c r="D6399" s="1">
        <v>46210.261435185188</v>
      </c>
      <c r="E6399" t="s">
        <v>42</v>
      </c>
      <c r="F6399" t="s">
        <v>83</v>
      </c>
      <c r="G6399">
        <v>54</v>
      </c>
      <c r="H6399">
        <v>33076</v>
      </c>
      <c r="I6399" t="s">
        <v>3676</v>
      </c>
      <c r="J6399">
        <v>66</v>
      </c>
      <c r="K6399">
        <v>104</v>
      </c>
      <c r="L6399">
        <v>98</v>
      </c>
      <c r="M6399">
        <v>626.29998779000005</v>
      </c>
      <c r="N6399" t="s">
        <v>87</v>
      </c>
      <c r="O6399" t="s">
        <v>86</v>
      </c>
      <c r="P6399">
        <v>131</v>
      </c>
      <c r="Q6399">
        <v>6</v>
      </c>
      <c r="R6399">
        <v>22</v>
      </c>
      <c r="S6399">
        <v>1445</v>
      </c>
      <c r="T6399">
        <v>-40</v>
      </c>
      <c r="U6399">
        <v>44</v>
      </c>
      <c r="V6399">
        <v>480</v>
      </c>
      <c r="W6399">
        <v>28</v>
      </c>
      <c r="X6399">
        <v>28</v>
      </c>
      <c r="Y6399">
        <v>1</v>
      </c>
      <c r="Z6399">
        <v>1</v>
      </c>
      <c r="AA6399">
        <v>26</v>
      </c>
      <c r="AB6399">
        <v>2</v>
      </c>
      <c r="AC6399">
        <v>2</v>
      </c>
      <c r="AD6399">
        <v>3.2699999800000001</v>
      </c>
      <c r="AE6399">
        <v>5</v>
      </c>
      <c r="AF6399">
        <v>38</v>
      </c>
      <c r="AG6399">
        <v>3.25600004</v>
      </c>
      <c r="AH6399">
        <v>7</v>
      </c>
      <c r="AI6399">
        <v>1</v>
      </c>
      <c r="AJ6399">
        <v>1</v>
      </c>
      <c r="AK6399">
        <v>18</v>
      </c>
      <c r="AL6399">
        <v>36</v>
      </c>
      <c r="AM6399" t="s">
        <v>43</v>
      </c>
      <c r="AN6399" t="str">
        <f>HYPERLINK("https://www.google.com/maps?q=10.79515266,79.82463074","Open Location")</f>
        <v>Open Location</v>
      </c>
    </row>
    <row r="6400" spans="1:40" x14ac:dyDescent="0.3">
      <c r="A6400" s="1">
        <v>46210.258564814816</v>
      </c>
      <c r="B6400" t="s">
        <v>40</v>
      </c>
      <c r="C6400" t="s">
        <v>41</v>
      </c>
      <c r="D6400" s="1">
        <v>46210.261469907404</v>
      </c>
      <c r="E6400" t="s">
        <v>42</v>
      </c>
      <c r="F6400" t="s">
        <v>83</v>
      </c>
      <c r="G6400">
        <v>52</v>
      </c>
      <c r="H6400">
        <v>33076</v>
      </c>
      <c r="I6400" t="s">
        <v>43</v>
      </c>
      <c r="J6400">
        <v>66</v>
      </c>
      <c r="K6400">
        <v>137</v>
      </c>
      <c r="L6400">
        <v>98</v>
      </c>
      <c r="M6400">
        <v>624.20001220999995</v>
      </c>
      <c r="N6400" t="s">
        <v>87</v>
      </c>
      <c r="O6400" t="s">
        <v>86</v>
      </c>
      <c r="P6400">
        <v>131</v>
      </c>
      <c r="Q6400">
        <v>6</v>
      </c>
      <c r="R6400">
        <v>104</v>
      </c>
      <c r="S6400">
        <v>1499</v>
      </c>
      <c r="T6400">
        <v>-40</v>
      </c>
      <c r="U6400">
        <v>44</v>
      </c>
      <c r="V6400">
        <v>520</v>
      </c>
      <c r="W6400">
        <v>28</v>
      </c>
      <c r="X6400">
        <v>28</v>
      </c>
      <c r="Y6400">
        <v>1</v>
      </c>
      <c r="Z6400">
        <v>1</v>
      </c>
      <c r="AA6400">
        <v>26</v>
      </c>
      <c r="AB6400">
        <v>2</v>
      </c>
      <c r="AC6400">
        <v>2</v>
      </c>
      <c r="AD6400">
        <v>3.2630000099999998</v>
      </c>
      <c r="AE6400">
        <v>5</v>
      </c>
      <c r="AF6400">
        <v>38</v>
      </c>
      <c r="AG6400">
        <v>3.2460000500000001</v>
      </c>
      <c r="AH6400">
        <v>4</v>
      </c>
      <c r="AI6400">
        <v>17</v>
      </c>
      <c r="AJ6400">
        <v>1</v>
      </c>
      <c r="AK6400">
        <v>18</v>
      </c>
      <c r="AL6400">
        <v>36</v>
      </c>
      <c r="AM6400" t="s">
        <v>43</v>
      </c>
      <c r="AN6400" t="s">
        <v>43</v>
      </c>
    </row>
    <row r="6401" spans="1:40" x14ac:dyDescent="0.3">
      <c r="A6401" s="1">
        <v>46210.258449074077</v>
      </c>
      <c r="B6401" t="s">
        <v>40</v>
      </c>
      <c r="C6401" t="s">
        <v>41</v>
      </c>
      <c r="D6401" s="1">
        <v>46210.26153935185</v>
      </c>
      <c r="E6401" t="s">
        <v>42</v>
      </c>
      <c r="F6401" t="s">
        <v>83</v>
      </c>
      <c r="G6401">
        <v>55</v>
      </c>
      <c r="H6401">
        <v>33076</v>
      </c>
      <c r="I6401" t="s">
        <v>3677</v>
      </c>
      <c r="J6401">
        <v>66</v>
      </c>
      <c r="K6401">
        <v>141</v>
      </c>
      <c r="L6401">
        <v>98</v>
      </c>
      <c r="M6401">
        <v>626.09997558999999</v>
      </c>
      <c r="N6401" t="s">
        <v>87</v>
      </c>
      <c r="O6401" t="s">
        <v>86</v>
      </c>
      <c r="P6401">
        <v>131</v>
      </c>
      <c r="Q6401">
        <v>6</v>
      </c>
      <c r="R6401">
        <v>-8</v>
      </c>
      <c r="S6401">
        <v>1426</v>
      </c>
      <c r="T6401">
        <v>-40</v>
      </c>
      <c r="U6401">
        <v>42</v>
      </c>
      <c r="V6401">
        <v>550</v>
      </c>
      <c r="W6401">
        <v>28</v>
      </c>
      <c r="X6401">
        <v>28</v>
      </c>
      <c r="Y6401">
        <v>1</v>
      </c>
      <c r="Z6401">
        <v>1</v>
      </c>
      <c r="AA6401">
        <v>26</v>
      </c>
      <c r="AB6401">
        <v>2</v>
      </c>
      <c r="AC6401">
        <v>2</v>
      </c>
      <c r="AD6401">
        <v>3.27699995</v>
      </c>
      <c r="AE6401">
        <v>1</v>
      </c>
      <c r="AF6401">
        <v>25</v>
      </c>
      <c r="AG6401">
        <v>3.2650001</v>
      </c>
      <c r="AH6401">
        <v>7</v>
      </c>
      <c r="AI6401">
        <v>1</v>
      </c>
      <c r="AJ6401">
        <v>1</v>
      </c>
      <c r="AK6401">
        <v>18</v>
      </c>
      <c r="AL6401">
        <v>36</v>
      </c>
      <c r="AM6401" t="s">
        <v>43</v>
      </c>
      <c r="AN6401" t="str">
        <f>HYPERLINK("https://www.google.com/maps?q=10.79357243,79.82444","Open Location")</f>
        <v>Open Location</v>
      </c>
    </row>
    <row r="6402" spans="1:40" x14ac:dyDescent="0.3">
      <c r="A6402" s="1">
        <v>46210.258333333331</v>
      </c>
      <c r="B6402" t="s">
        <v>40</v>
      </c>
      <c r="C6402" t="s">
        <v>41</v>
      </c>
      <c r="D6402" s="1">
        <v>46210.26153935185</v>
      </c>
      <c r="E6402" t="s">
        <v>42</v>
      </c>
      <c r="F6402" t="s">
        <v>83</v>
      </c>
      <c r="G6402">
        <v>57</v>
      </c>
      <c r="H6402">
        <v>33076</v>
      </c>
      <c r="I6402" t="s">
        <v>3678</v>
      </c>
      <c r="J6402">
        <v>66</v>
      </c>
      <c r="K6402">
        <v>70</v>
      </c>
      <c r="L6402">
        <v>98</v>
      </c>
      <c r="M6402">
        <v>627.29998779000005</v>
      </c>
      <c r="N6402" t="s">
        <v>87</v>
      </c>
      <c r="O6402" t="s">
        <v>86</v>
      </c>
      <c r="P6402">
        <v>131</v>
      </c>
      <c r="Q6402">
        <v>6</v>
      </c>
      <c r="R6402">
        <v>29</v>
      </c>
      <c r="S6402">
        <v>1545</v>
      </c>
      <c r="T6402">
        <v>-40</v>
      </c>
      <c r="U6402">
        <v>42</v>
      </c>
      <c r="V6402">
        <v>260</v>
      </c>
      <c r="W6402">
        <v>28</v>
      </c>
      <c r="X6402">
        <v>28</v>
      </c>
      <c r="Y6402">
        <v>1</v>
      </c>
      <c r="Z6402">
        <v>1</v>
      </c>
      <c r="AA6402">
        <v>26</v>
      </c>
      <c r="AB6402">
        <v>2</v>
      </c>
      <c r="AC6402">
        <v>2</v>
      </c>
      <c r="AD6402">
        <v>3.2780001200000002</v>
      </c>
      <c r="AE6402">
        <v>5</v>
      </c>
      <c r="AF6402">
        <v>38</v>
      </c>
      <c r="AG6402">
        <v>3.2660000299999998</v>
      </c>
      <c r="AH6402">
        <v>7</v>
      </c>
      <c r="AI6402">
        <v>1</v>
      </c>
      <c r="AJ6402">
        <v>1</v>
      </c>
      <c r="AK6402">
        <v>18</v>
      </c>
      <c r="AL6402">
        <v>36</v>
      </c>
      <c r="AM6402" t="s">
        <v>43</v>
      </c>
      <c r="AN6402" t="str">
        <f>HYPERLINK("https://www.google.com/maps?q=10.79192734,79.82433319","Open Location")</f>
        <v>Open Location</v>
      </c>
    </row>
    <row r="6403" spans="1:40" x14ac:dyDescent="0.3">
      <c r="A6403" s="1">
        <v>46210.258217592593</v>
      </c>
      <c r="B6403" t="s">
        <v>40</v>
      </c>
      <c r="C6403" t="s">
        <v>41</v>
      </c>
      <c r="D6403" s="1">
        <v>46210.260925925926</v>
      </c>
      <c r="E6403" t="s">
        <v>42</v>
      </c>
      <c r="F6403" t="s">
        <v>83</v>
      </c>
      <c r="G6403">
        <v>57</v>
      </c>
      <c r="H6403">
        <v>33076</v>
      </c>
      <c r="I6403" t="s">
        <v>3679</v>
      </c>
      <c r="J6403">
        <v>66</v>
      </c>
      <c r="K6403">
        <v>56</v>
      </c>
      <c r="L6403">
        <v>98</v>
      </c>
      <c r="M6403">
        <v>627.5</v>
      </c>
      <c r="N6403" t="s">
        <v>87</v>
      </c>
      <c r="O6403" t="s">
        <v>86</v>
      </c>
      <c r="P6403">
        <v>131</v>
      </c>
      <c r="Q6403">
        <v>6</v>
      </c>
      <c r="R6403">
        <v>76</v>
      </c>
      <c r="S6403">
        <v>1597</v>
      </c>
      <c r="T6403">
        <v>-40</v>
      </c>
      <c r="U6403">
        <v>44</v>
      </c>
      <c r="V6403">
        <v>200</v>
      </c>
      <c r="W6403">
        <v>28</v>
      </c>
      <c r="X6403">
        <v>28</v>
      </c>
      <c r="Y6403">
        <v>1</v>
      </c>
      <c r="Z6403">
        <v>1</v>
      </c>
      <c r="AA6403">
        <v>26</v>
      </c>
      <c r="AB6403">
        <v>2</v>
      </c>
      <c r="AC6403">
        <v>2</v>
      </c>
      <c r="AD6403">
        <v>3.26799989</v>
      </c>
      <c r="AE6403">
        <v>5</v>
      </c>
      <c r="AF6403">
        <v>38</v>
      </c>
      <c r="AG6403">
        <v>3.2520000900000001</v>
      </c>
      <c r="AH6403">
        <v>7</v>
      </c>
      <c r="AI6403">
        <v>1</v>
      </c>
      <c r="AJ6403">
        <v>1</v>
      </c>
      <c r="AK6403">
        <v>18</v>
      </c>
      <c r="AL6403">
        <v>36</v>
      </c>
      <c r="AM6403" t="s">
        <v>43</v>
      </c>
      <c r="AN6403" t="str">
        <f>HYPERLINK("https://www.google.com/maps?q=10.79005241,79.8242569","Open Location")</f>
        <v>Open Location</v>
      </c>
    </row>
    <row r="6404" spans="1:40" x14ac:dyDescent="0.3">
      <c r="A6404" s="1">
        <v>46210.258101851854</v>
      </c>
      <c r="B6404" t="s">
        <v>40</v>
      </c>
      <c r="C6404" t="s">
        <v>41</v>
      </c>
      <c r="D6404" s="1">
        <v>46210.261076388888</v>
      </c>
      <c r="E6404" t="s">
        <v>42</v>
      </c>
      <c r="F6404" t="s">
        <v>83</v>
      </c>
      <c r="G6404">
        <v>54</v>
      </c>
      <c r="H6404" t="s">
        <v>43</v>
      </c>
      <c r="I6404" t="s">
        <v>3680</v>
      </c>
      <c r="J6404">
        <v>66</v>
      </c>
      <c r="K6404">
        <v>122</v>
      </c>
      <c r="L6404">
        <v>98</v>
      </c>
      <c r="M6404">
        <v>625.09997558999999</v>
      </c>
      <c r="N6404" t="s">
        <v>87</v>
      </c>
      <c r="O6404" t="s">
        <v>86</v>
      </c>
      <c r="P6404">
        <v>131</v>
      </c>
      <c r="Q6404">
        <v>6</v>
      </c>
      <c r="R6404">
        <v>62</v>
      </c>
      <c r="S6404">
        <v>1555</v>
      </c>
      <c r="T6404">
        <v>-40</v>
      </c>
      <c r="U6404">
        <v>44</v>
      </c>
      <c r="V6404">
        <v>372</v>
      </c>
      <c r="W6404">
        <v>28</v>
      </c>
      <c r="X6404">
        <v>28</v>
      </c>
      <c r="Y6404">
        <v>1</v>
      </c>
      <c r="Z6404">
        <v>1</v>
      </c>
      <c r="AA6404">
        <v>26</v>
      </c>
      <c r="AB6404">
        <v>2</v>
      </c>
      <c r="AC6404">
        <v>2</v>
      </c>
      <c r="AD6404">
        <v>3.27099991</v>
      </c>
      <c r="AE6404">
        <v>5</v>
      </c>
      <c r="AF6404">
        <v>38</v>
      </c>
      <c r="AG6404">
        <v>3.25600004</v>
      </c>
      <c r="AH6404">
        <v>7</v>
      </c>
      <c r="AI6404">
        <v>1</v>
      </c>
      <c r="AJ6404" t="s">
        <v>43</v>
      </c>
      <c r="AK6404" t="s">
        <v>43</v>
      </c>
      <c r="AL6404" t="s">
        <v>43</v>
      </c>
      <c r="AM6404" t="s">
        <v>43</v>
      </c>
      <c r="AN6404" t="str">
        <f>HYPERLINK("https://www.google.com/maps?q=10.78837872,79.82417297","Open Location")</f>
        <v>Open Location</v>
      </c>
    </row>
    <row r="6405" spans="1:40" x14ac:dyDescent="0.3">
      <c r="A6405" s="1">
        <v>46210.257986111108</v>
      </c>
      <c r="B6405" t="s">
        <v>40</v>
      </c>
      <c r="C6405" t="s">
        <v>41</v>
      </c>
      <c r="D6405" s="1">
        <v>46210.260717592595</v>
      </c>
      <c r="E6405" t="s">
        <v>42</v>
      </c>
      <c r="F6405" t="s">
        <v>83</v>
      </c>
      <c r="G6405">
        <v>49</v>
      </c>
      <c r="H6405">
        <v>33075</v>
      </c>
      <c r="I6405" t="s">
        <v>3681</v>
      </c>
      <c r="J6405">
        <v>66</v>
      </c>
      <c r="K6405">
        <v>124</v>
      </c>
      <c r="L6405">
        <v>98</v>
      </c>
      <c r="M6405">
        <v>625.59997558999999</v>
      </c>
      <c r="N6405" t="s">
        <v>87</v>
      </c>
      <c r="O6405" t="s">
        <v>86</v>
      </c>
      <c r="P6405">
        <v>131</v>
      </c>
      <c r="Q6405">
        <v>6</v>
      </c>
      <c r="R6405">
        <v>68</v>
      </c>
      <c r="S6405">
        <v>1450</v>
      </c>
      <c r="T6405">
        <v>-40</v>
      </c>
      <c r="U6405">
        <v>42</v>
      </c>
      <c r="V6405">
        <v>480</v>
      </c>
      <c r="W6405">
        <v>28</v>
      </c>
      <c r="X6405">
        <v>28</v>
      </c>
      <c r="Y6405">
        <v>1</v>
      </c>
      <c r="Z6405">
        <v>1</v>
      </c>
      <c r="AA6405">
        <v>26</v>
      </c>
      <c r="AB6405">
        <v>2</v>
      </c>
      <c r="AC6405">
        <v>2</v>
      </c>
      <c r="AD6405">
        <v>3.2790000400000001</v>
      </c>
      <c r="AE6405">
        <v>5</v>
      </c>
      <c r="AF6405">
        <v>38</v>
      </c>
      <c r="AG6405">
        <v>3.2650001</v>
      </c>
      <c r="AH6405">
        <v>7</v>
      </c>
      <c r="AI6405">
        <v>1</v>
      </c>
      <c r="AJ6405">
        <v>1</v>
      </c>
      <c r="AK6405">
        <v>18</v>
      </c>
      <c r="AL6405">
        <v>36</v>
      </c>
      <c r="AM6405" t="s">
        <v>43</v>
      </c>
      <c r="AN6405" t="str">
        <f>HYPERLINK("https://www.google.com/maps?q=10.7868681,79.82410431","Open Location")</f>
        <v>Open Location</v>
      </c>
    </row>
    <row r="6406" spans="1:40" x14ac:dyDescent="0.3">
      <c r="A6406" s="1">
        <v>46210.257870370369</v>
      </c>
      <c r="B6406" t="s">
        <v>40</v>
      </c>
      <c r="C6406" t="s">
        <v>41</v>
      </c>
      <c r="D6406" s="1">
        <v>46210.260729166665</v>
      </c>
      <c r="E6406" t="s">
        <v>42</v>
      </c>
      <c r="F6406" t="s">
        <v>83</v>
      </c>
      <c r="G6406">
        <v>50</v>
      </c>
      <c r="H6406" t="s">
        <v>43</v>
      </c>
      <c r="I6406" t="s">
        <v>43</v>
      </c>
      <c r="J6406">
        <v>66</v>
      </c>
      <c r="K6406">
        <v>-44</v>
      </c>
      <c r="L6406">
        <v>98</v>
      </c>
      <c r="M6406">
        <v>633.29998779000005</v>
      </c>
      <c r="N6406" t="s">
        <v>87</v>
      </c>
      <c r="O6406" t="s">
        <v>86</v>
      </c>
      <c r="P6406">
        <v>131</v>
      </c>
      <c r="Q6406">
        <v>6</v>
      </c>
      <c r="R6406">
        <v>20</v>
      </c>
      <c r="S6406">
        <v>1328</v>
      </c>
      <c r="T6406">
        <v>-40</v>
      </c>
      <c r="U6406">
        <v>43</v>
      </c>
      <c r="V6406">
        <v>-285</v>
      </c>
      <c r="W6406">
        <v>28</v>
      </c>
      <c r="X6406">
        <v>28</v>
      </c>
      <c r="Y6406">
        <v>1</v>
      </c>
      <c r="Z6406">
        <v>1</v>
      </c>
      <c r="AA6406">
        <v>26</v>
      </c>
      <c r="AB6406">
        <v>2</v>
      </c>
      <c r="AC6406">
        <v>2</v>
      </c>
      <c r="AD6406">
        <v>3.2780001200000002</v>
      </c>
      <c r="AE6406">
        <v>5</v>
      </c>
      <c r="AF6406">
        <v>38</v>
      </c>
      <c r="AG6406">
        <v>3.2650001</v>
      </c>
      <c r="AH6406">
        <v>7</v>
      </c>
      <c r="AI6406">
        <v>1</v>
      </c>
      <c r="AJ6406">
        <v>1</v>
      </c>
      <c r="AK6406">
        <v>17</v>
      </c>
      <c r="AL6406">
        <v>36</v>
      </c>
      <c r="AM6406" t="s">
        <v>43</v>
      </c>
      <c r="AN6406" t="s">
        <v>43</v>
      </c>
    </row>
    <row r="6407" spans="1:40" x14ac:dyDescent="0.3">
      <c r="A6407" s="1">
        <v>46210.257754629631</v>
      </c>
      <c r="B6407" t="s">
        <v>40</v>
      </c>
      <c r="C6407" t="s">
        <v>41</v>
      </c>
      <c r="D6407" s="1">
        <v>46210.260798611111</v>
      </c>
      <c r="E6407" t="s">
        <v>42</v>
      </c>
      <c r="F6407" t="s">
        <v>83</v>
      </c>
      <c r="G6407">
        <v>45</v>
      </c>
      <c r="H6407">
        <v>33075</v>
      </c>
      <c r="I6407" t="s">
        <v>3682</v>
      </c>
      <c r="J6407">
        <v>66</v>
      </c>
      <c r="K6407">
        <v>102</v>
      </c>
      <c r="L6407">
        <v>98</v>
      </c>
      <c r="M6407">
        <v>627.79998779000005</v>
      </c>
      <c r="N6407" t="s">
        <v>87</v>
      </c>
      <c r="O6407" t="s">
        <v>86</v>
      </c>
      <c r="P6407">
        <v>131</v>
      </c>
      <c r="Q6407">
        <v>6</v>
      </c>
      <c r="R6407">
        <v>70</v>
      </c>
      <c r="S6407">
        <v>1362</v>
      </c>
      <c r="T6407">
        <v>-40</v>
      </c>
      <c r="U6407">
        <v>43</v>
      </c>
      <c r="V6407">
        <v>460</v>
      </c>
      <c r="W6407">
        <v>28</v>
      </c>
      <c r="X6407">
        <v>28</v>
      </c>
      <c r="Y6407">
        <v>1</v>
      </c>
      <c r="Z6407">
        <v>1</v>
      </c>
      <c r="AA6407">
        <v>26</v>
      </c>
      <c r="AB6407">
        <v>2</v>
      </c>
      <c r="AC6407">
        <v>2</v>
      </c>
      <c r="AD6407">
        <v>3.3010001199999999</v>
      </c>
      <c r="AE6407">
        <v>1</v>
      </c>
      <c r="AF6407">
        <v>25</v>
      </c>
      <c r="AG6407">
        <v>3.2920000599999999</v>
      </c>
      <c r="AH6407">
        <v>8</v>
      </c>
      <c r="AI6407">
        <v>48</v>
      </c>
      <c r="AJ6407">
        <v>1</v>
      </c>
      <c r="AK6407">
        <v>18</v>
      </c>
      <c r="AL6407">
        <v>36</v>
      </c>
      <c r="AM6407" t="s">
        <v>43</v>
      </c>
      <c r="AN6407" t="str">
        <f>HYPERLINK("https://www.google.com/maps?q=10.7853632,79.8241272","Open Location")</f>
        <v>Open Location</v>
      </c>
    </row>
    <row r="6408" spans="1:40" x14ac:dyDescent="0.3">
      <c r="A6408" s="1">
        <v>46210.257638888892</v>
      </c>
      <c r="B6408" t="s">
        <v>40</v>
      </c>
      <c r="C6408" t="s">
        <v>41</v>
      </c>
      <c r="D6408" s="1">
        <v>46210.260798611111</v>
      </c>
      <c r="E6408" t="s">
        <v>42</v>
      </c>
      <c r="F6408" t="s">
        <v>83</v>
      </c>
      <c r="G6408">
        <v>44</v>
      </c>
      <c r="H6408">
        <v>33075</v>
      </c>
      <c r="I6408" t="s">
        <v>3683</v>
      </c>
      <c r="J6408">
        <v>66</v>
      </c>
      <c r="K6408">
        <v>41</v>
      </c>
      <c r="L6408">
        <v>98</v>
      </c>
      <c r="M6408">
        <v>628.90002441000001</v>
      </c>
      <c r="N6408" t="s">
        <v>87</v>
      </c>
      <c r="O6408" t="s">
        <v>86</v>
      </c>
      <c r="P6408">
        <v>131</v>
      </c>
      <c r="Q6408">
        <v>6</v>
      </c>
      <c r="R6408">
        <v>87</v>
      </c>
      <c r="S6408">
        <v>1253</v>
      </c>
      <c r="T6408">
        <v>-40</v>
      </c>
      <c r="U6408">
        <v>44</v>
      </c>
      <c r="V6408">
        <v>180</v>
      </c>
      <c r="W6408">
        <v>28</v>
      </c>
      <c r="X6408">
        <v>28</v>
      </c>
      <c r="Y6408">
        <v>1</v>
      </c>
      <c r="Z6408">
        <v>1</v>
      </c>
      <c r="AA6408">
        <v>26</v>
      </c>
      <c r="AB6408">
        <v>2</v>
      </c>
      <c r="AC6408">
        <v>2</v>
      </c>
      <c r="AD6408">
        <v>3.2780001200000002</v>
      </c>
      <c r="AE6408">
        <v>5</v>
      </c>
      <c r="AF6408">
        <v>38</v>
      </c>
      <c r="AG6408">
        <v>3.2639999400000002</v>
      </c>
      <c r="AH6408">
        <v>7</v>
      </c>
      <c r="AI6408">
        <v>1</v>
      </c>
      <c r="AJ6408">
        <v>1</v>
      </c>
      <c r="AK6408">
        <v>18</v>
      </c>
      <c r="AL6408">
        <v>36</v>
      </c>
      <c r="AM6408" t="s">
        <v>43</v>
      </c>
      <c r="AN6408" t="str">
        <f>HYPERLINK("https://www.google.com/maps?q=10.78398132,79.82423401","Open Location")</f>
        <v>Open Location</v>
      </c>
    </row>
    <row r="6409" spans="1:40" x14ac:dyDescent="0.3">
      <c r="A6409" s="1">
        <v>46210.257523148146</v>
      </c>
      <c r="B6409" t="s">
        <v>40</v>
      </c>
      <c r="C6409" t="s">
        <v>41</v>
      </c>
      <c r="D6409" s="1">
        <v>46210.260439814818</v>
      </c>
      <c r="E6409" t="s">
        <v>42</v>
      </c>
      <c r="F6409" t="s">
        <v>83</v>
      </c>
      <c r="G6409">
        <v>39</v>
      </c>
      <c r="H6409">
        <v>33075</v>
      </c>
      <c r="I6409" t="s">
        <v>3684</v>
      </c>
      <c r="J6409">
        <v>66</v>
      </c>
      <c r="K6409">
        <v>94</v>
      </c>
      <c r="L6409">
        <v>98</v>
      </c>
      <c r="M6409">
        <v>626.90002441000001</v>
      </c>
      <c r="N6409" t="s">
        <v>87</v>
      </c>
      <c r="O6409" t="s">
        <v>86</v>
      </c>
      <c r="P6409">
        <v>130</v>
      </c>
      <c r="Q6409">
        <v>5</v>
      </c>
      <c r="R6409">
        <v>106</v>
      </c>
      <c r="S6409">
        <v>1175</v>
      </c>
      <c r="T6409">
        <v>-40</v>
      </c>
      <c r="U6409">
        <v>45</v>
      </c>
      <c r="V6409">
        <v>405</v>
      </c>
      <c r="W6409">
        <v>28</v>
      </c>
      <c r="X6409">
        <v>28</v>
      </c>
      <c r="Y6409">
        <v>1</v>
      </c>
      <c r="Z6409">
        <v>1</v>
      </c>
      <c r="AA6409">
        <v>26</v>
      </c>
      <c r="AB6409">
        <v>2</v>
      </c>
      <c r="AC6409">
        <v>2</v>
      </c>
      <c r="AD6409">
        <v>3.2660000299999998</v>
      </c>
      <c r="AE6409">
        <v>5</v>
      </c>
      <c r="AF6409">
        <v>38</v>
      </c>
      <c r="AG6409">
        <v>3.2460000500000001</v>
      </c>
      <c r="AH6409">
        <v>8</v>
      </c>
      <c r="AI6409">
        <v>35</v>
      </c>
      <c r="AJ6409">
        <v>1</v>
      </c>
      <c r="AK6409">
        <v>18</v>
      </c>
      <c r="AL6409">
        <v>36</v>
      </c>
      <c r="AM6409" t="s">
        <v>43</v>
      </c>
      <c r="AN6409" t="str">
        <f>HYPERLINK("https://www.google.com/maps?q=10.78269863,79.82433319","Open Location")</f>
        <v>Open Location</v>
      </c>
    </row>
    <row r="6410" spans="1:40" x14ac:dyDescent="0.3">
      <c r="A6410" s="1">
        <v>46210.257407407407</v>
      </c>
      <c r="B6410" t="s">
        <v>40</v>
      </c>
      <c r="C6410" t="s">
        <v>41</v>
      </c>
      <c r="D6410" s="1">
        <v>46210.260266203702</v>
      </c>
      <c r="E6410" t="s">
        <v>42</v>
      </c>
      <c r="F6410" t="s">
        <v>83</v>
      </c>
      <c r="G6410">
        <v>26</v>
      </c>
      <c r="H6410">
        <v>33075</v>
      </c>
      <c r="I6410" t="s">
        <v>3685</v>
      </c>
      <c r="J6410">
        <v>66</v>
      </c>
      <c r="K6410">
        <v>142</v>
      </c>
      <c r="L6410">
        <v>98</v>
      </c>
      <c r="M6410">
        <v>625.09997558999999</v>
      </c>
      <c r="N6410" t="s">
        <v>87</v>
      </c>
      <c r="O6410" t="s">
        <v>86</v>
      </c>
      <c r="P6410">
        <v>130</v>
      </c>
      <c r="Q6410">
        <v>5</v>
      </c>
      <c r="R6410">
        <v>101</v>
      </c>
      <c r="S6410">
        <v>1576</v>
      </c>
      <c r="T6410">
        <v>-40</v>
      </c>
      <c r="U6410">
        <v>43</v>
      </c>
      <c r="V6410">
        <v>520</v>
      </c>
      <c r="W6410">
        <v>28</v>
      </c>
      <c r="X6410">
        <v>28</v>
      </c>
      <c r="Y6410">
        <v>1</v>
      </c>
      <c r="Z6410">
        <v>1</v>
      </c>
      <c r="AA6410">
        <v>26</v>
      </c>
      <c r="AB6410">
        <v>2</v>
      </c>
      <c r="AC6410">
        <v>2</v>
      </c>
      <c r="AD6410">
        <v>3.2669999600000001</v>
      </c>
      <c r="AE6410">
        <v>5</v>
      </c>
      <c r="AF6410">
        <v>38</v>
      </c>
      <c r="AG6410">
        <v>3.24699998</v>
      </c>
      <c r="AH6410">
        <v>4</v>
      </c>
      <c r="AI6410">
        <v>17</v>
      </c>
      <c r="AJ6410" t="s">
        <v>43</v>
      </c>
      <c r="AK6410" t="s">
        <v>43</v>
      </c>
      <c r="AL6410" t="s">
        <v>43</v>
      </c>
      <c r="AM6410" t="s">
        <v>43</v>
      </c>
      <c r="AN6410" t="str">
        <f>HYPERLINK("https://www.google.com/maps?q=10.78166294,79.82442474","Open Location")</f>
        <v>Open Location</v>
      </c>
    </row>
    <row r="6411" spans="1:40" x14ac:dyDescent="0.3">
      <c r="A6411" s="1">
        <v>46210.257291666669</v>
      </c>
      <c r="B6411" t="s">
        <v>40</v>
      </c>
      <c r="C6411" t="s">
        <v>41</v>
      </c>
      <c r="D6411" s="1">
        <v>46210.259976851848</v>
      </c>
      <c r="E6411" t="s">
        <v>42</v>
      </c>
      <c r="F6411" t="s">
        <v>83</v>
      </c>
      <c r="G6411">
        <v>16</v>
      </c>
      <c r="H6411">
        <v>33075</v>
      </c>
      <c r="I6411" t="s">
        <v>43</v>
      </c>
      <c r="J6411">
        <v>66</v>
      </c>
      <c r="K6411">
        <v>145</v>
      </c>
      <c r="L6411">
        <v>98</v>
      </c>
      <c r="M6411">
        <v>626.59997558999999</v>
      </c>
      <c r="N6411" t="s">
        <v>87</v>
      </c>
      <c r="O6411" t="s">
        <v>86</v>
      </c>
      <c r="P6411">
        <v>129</v>
      </c>
      <c r="Q6411">
        <v>4</v>
      </c>
      <c r="R6411">
        <v>17</v>
      </c>
      <c r="S6411">
        <v>1581</v>
      </c>
      <c r="T6411">
        <v>-40</v>
      </c>
      <c r="U6411">
        <v>42</v>
      </c>
      <c r="V6411">
        <v>500</v>
      </c>
      <c r="W6411">
        <v>28</v>
      </c>
      <c r="X6411">
        <v>28</v>
      </c>
      <c r="Y6411">
        <v>1</v>
      </c>
      <c r="Z6411">
        <v>1</v>
      </c>
      <c r="AA6411">
        <v>26</v>
      </c>
      <c r="AB6411">
        <v>2</v>
      </c>
      <c r="AC6411">
        <v>2</v>
      </c>
      <c r="AD6411">
        <v>3.2939999100000001</v>
      </c>
      <c r="AE6411">
        <v>5</v>
      </c>
      <c r="AF6411">
        <v>38</v>
      </c>
      <c r="AG6411">
        <v>3.2809998999999999</v>
      </c>
      <c r="AH6411">
        <v>4</v>
      </c>
      <c r="AI6411">
        <v>17</v>
      </c>
      <c r="AJ6411">
        <v>1</v>
      </c>
      <c r="AK6411">
        <v>18</v>
      </c>
      <c r="AL6411">
        <v>36</v>
      </c>
      <c r="AM6411" t="s">
        <v>43</v>
      </c>
      <c r="AN6411" t="s">
        <v>43</v>
      </c>
    </row>
    <row r="6412" spans="1:40" x14ac:dyDescent="0.3">
      <c r="A6412" s="1">
        <v>46210.257175925923</v>
      </c>
      <c r="B6412" t="s">
        <v>40</v>
      </c>
      <c r="C6412" t="s">
        <v>41</v>
      </c>
      <c r="D6412" s="1">
        <v>46210.260046296295</v>
      </c>
      <c r="E6412" t="s">
        <v>42</v>
      </c>
      <c r="F6412" t="s">
        <v>83</v>
      </c>
      <c r="G6412">
        <v>29</v>
      </c>
      <c r="H6412">
        <v>33075</v>
      </c>
      <c r="I6412" t="s">
        <v>3686</v>
      </c>
      <c r="J6412">
        <v>66</v>
      </c>
      <c r="K6412">
        <v>65</v>
      </c>
      <c r="L6412">
        <v>98</v>
      </c>
      <c r="M6412">
        <v>630.90002441000001</v>
      </c>
      <c r="N6412" t="s">
        <v>87</v>
      </c>
      <c r="O6412" t="s">
        <v>86</v>
      </c>
      <c r="P6412">
        <v>131</v>
      </c>
      <c r="Q6412">
        <v>4</v>
      </c>
      <c r="R6412">
        <v>-76</v>
      </c>
      <c r="S6412">
        <v>1874</v>
      </c>
      <c r="T6412">
        <v>-40</v>
      </c>
      <c r="U6412">
        <v>45</v>
      </c>
      <c r="V6412">
        <v>372</v>
      </c>
      <c r="W6412">
        <v>28</v>
      </c>
      <c r="X6412">
        <v>28</v>
      </c>
      <c r="Y6412">
        <v>1</v>
      </c>
      <c r="Z6412">
        <v>1</v>
      </c>
      <c r="AA6412">
        <v>26</v>
      </c>
      <c r="AB6412">
        <v>2</v>
      </c>
      <c r="AC6412">
        <v>2</v>
      </c>
      <c r="AD6412">
        <v>3.3310000899999999</v>
      </c>
      <c r="AE6412">
        <v>6</v>
      </c>
      <c r="AF6412">
        <v>30</v>
      </c>
      <c r="AG6412">
        <v>3.3199999299999998</v>
      </c>
      <c r="AH6412">
        <v>8</v>
      </c>
      <c r="AI6412">
        <v>48</v>
      </c>
      <c r="AJ6412">
        <v>1</v>
      </c>
      <c r="AK6412">
        <v>19</v>
      </c>
      <c r="AL6412">
        <v>36</v>
      </c>
      <c r="AM6412" t="s">
        <v>43</v>
      </c>
      <c r="AN6412" t="str">
        <f>HYPERLINK("https://www.google.com/maps?q=10.78118324,79.82455444","Open Location")</f>
        <v>Open Location</v>
      </c>
    </row>
    <row r="6413" spans="1:40" x14ac:dyDescent="0.3">
      <c r="A6413" s="1">
        <v>46210.257060185184</v>
      </c>
      <c r="B6413" t="s">
        <v>40</v>
      </c>
      <c r="C6413" t="s">
        <v>41</v>
      </c>
      <c r="D6413" s="1">
        <v>46210.259872685187</v>
      </c>
      <c r="E6413" t="s">
        <v>42</v>
      </c>
      <c r="F6413" t="s">
        <v>83</v>
      </c>
      <c r="G6413">
        <v>53</v>
      </c>
      <c r="H6413">
        <v>33075</v>
      </c>
      <c r="I6413" t="s">
        <v>3687</v>
      </c>
      <c r="J6413">
        <v>66</v>
      </c>
      <c r="K6413">
        <v>-182</v>
      </c>
      <c r="L6413">
        <v>98</v>
      </c>
      <c r="M6413">
        <v>639.5</v>
      </c>
      <c r="N6413" t="s">
        <v>87</v>
      </c>
      <c r="O6413" t="s">
        <v>86</v>
      </c>
      <c r="P6413">
        <v>131</v>
      </c>
      <c r="Q6413">
        <v>6</v>
      </c>
      <c r="R6413">
        <v>30</v>
      </c>
      <c r="S6413">
        <v>1223</v>
      </c>
      <c r="T6413">
        <v>-40</v>
      </c>
      <c r="U6413">
        <v>41</v>
      </c>
      <c r="V6413">
        <v>-1000</v>
      </c>
      <c r="W6413">
        <v>28</v>
      </c>
      <c r="X6413">
        <v>28</v>
      </c>
      <c r="Y6413">
        <v>1</v>
      </c>
      <c r="Z6413">
        <v>1</v>
      </c>
      <c r="AA6413">
        <v>26</v>
      </c>
      <c r="AB6413">
        <v>2</v>
      </c>
      <c r="AC6413">
        <v>2</v>
      </c>
      <c r="AD6413">
        <v>3.2920000599999999</v>
      </c>
      <c r="AE6413">
        <v>1</v>
      </c>
      <c r="AF6413">
        <v>25</v>
      </c>
      <c r="AG6413">
        <v>3.2809998999999999</v>
      </c>
      <c r="AH6413">
        <v>7</v>
      </c>
      <c r="AI6413">
        <v>1</v>
      </c>
      <c r="AJ6413">
        <v>1</v>
      </c>
      <c r="AK6413">
        <v>18</v>
      </c>
      <c r="AL6413">
        <v>36</v>
      </c>
      <c r="AM6413" t="s">
        <v>43</v>
      </c>
      <c r="AN6413" t="str">
        <f>HYPERLINK("https://www.google.com/maps?q=10.78021145,79.8245697","Open Location")</f>
        <v>Open Location</v>
      </c>
    </row>
    <row r="6414" spans="1:40" x14ac:dyDescent="0.3">
      <c r="A6414" s="1">
        <v>46210.256944444445</v>
      </c>
      <c r="B6414" t="s">
        <v>40</v>
      </c>
      <c r="C6414" t="s">
        <v>41</v>
      </c>
      <c r="D6414" s="1">
        <v>46210.259884259256</v>
      </c>
      <c r="E6414" t="s">
        <v>42</v>
      </c>
      <c r="F6414" t="s">
        <v>83</v>
      </c>
      <c r="G6414">
        <v>55</v>
      </c>
      <c r="H6414" t="s">
        <v>43</v>
      </c>
      <c r="I6414" t="s">
        <v>43</v>
      </c>
      <c r="J6414">
        <v>66</v>
      </c>
      <c r="K6414">
        <v>54</v>
      </c>
      <c r="L6414">
        <v>98</v>
      </c>
      <c r="M6414">
        <v>629.40002441000001</v>
      </c>
      <c r="N6414" t="s">
        <v>87</v>
      </c>
      <c r="O6414" t="s">
        <v>86</v>
      </c>
      <c r="P6414">
        <v>131</v>
      </c>
      <c r="Q6414">
        <v>6</v>
      </c>
      <c r="R6414">
        <v>28</v>
      </c>
      <c r="S6414">
        <v>1519</v>
      </c>
      <c r="T6414">
        <v>-40</v>
      </c>
      <c r="U6414">
        <v>42</v>
      </c>
      <c r="V6414">
        <v>200</v>
      </c>
      <c r="W6414">
        <v>28</v>
      </c>
      <c r="X6414">
        <v>28</v>
      </c>
      <c r="Y6414">
        <v>1</v>
      </c>
      <c r="Z6414">
        <v>1</v>
      </c>
      <c r="AA6414">
        <v>26</v>
      </c>
      <c r="AB6414">
        <v>2</v>
      </c>
      <c r="AC6414">
        <v>2</v>
      </c>
      <c r="AD6414">
        <v>3.2920000599999999</v>
      </c>
      <c r="AE6414">
        <v>1</v>
      </c>
      <c r="AF6414">
        <v>25</v>
      </c>
      <c r="AG6414">
        <v>3.2820000600000001</v>
      </c>
      <c r="AH6414">
        <v>4</v>
      </c>
      <c r="AI6414">
        <v>17</v>
      </c>
      <c r="AJ6414" t="s">
        <v>43</v>
      </c>
      <c r="AK6414" t="s">
        <v>43</v>
      </c>
      <c r="AL6414">
        <v>36</v>
      </c>
      <c r="AM6414" t="s">
        <v>43</v>
      </c>
      <c r="AN6414" t="s">
        <v>43</v>
      </c>
    </row>
    <row r="6415" spans="1:40" x14ac:dyDescent="0.3">
      <c r="A6415" s="1">
        <v>46210.256828703707</v>
      </c>
      <c r="B6415" t="s">
        <v>40</v>
      </c>
      <c r="C6415" t="s">
        <v>41</v>
      </c>
      <c r="D6415" s="1">
        <v>46210.259884259256</v>
      </c>
      <c r="E6415" t="s">
        <v>42</v>
      </c>
      <c r="F6415" t="s">
        <v>83</v>
      </c>
      <c r="G6415">
        <v>49</v>
      </c>
      <c r="H6415">
        <v>33074</v>
      </c>
      <c r="I6415" t="s">
        <v>3688</v>
      </c>
      <c r="J6415">
        <v>66</v>
      </c>
      <c r="K6415">
        <v>41</v>
      </c>
      <c r="L6415">
        <v>98</v>
      </c>
      <c r="M6415">
        <v>629.5</v>
      </c>
      <c r="N6415" t="s">
        <v>87</v>
      </c>
      <c r="O6415" t="s">
        <v>86</v>
      </c>
      <c r="P6415">
        <v>131</v>
      </c>
      <c r="Q6415">
        <v>6</v>
      </c>
      <c r="R6415">
        <v>51</v>
      </c>
      <c r="S6415">
        <v>1480</v>
      </c>
      <c r="T6415">
        <v>-40</v>
      </c>
      <c r="U6415">
        <v>43</v>
      </c>
      <c r="V6415">
        <v>90</v>
      </c>
      <c r="W6415">
        <v>28</v>
      </c>
      <c r="X6415">
        <v>28</v>
      </c>
      <c r="Y6415">
        <v>1</v>
      </c>
      <c r="Z6415">
        <v>1</v>
      </c>
      <c r="AA6415">
        <v>26</v>
      </c>
      <c r="AB6415">
        <v>2</v>
      </c>
      <c r="AC6415">
        <v>2</v>
      </c>
      <c r="AD6415">
        <v>3.2790000400000001</v>
      </c>
      <c r="AE6415">
        <v>5</v>
      </c>
      <c r="AF6415">
        <v>38</v>
      </c>
      <c r="AG6415">
        <v>3.2650001</v>
      </c>
      <c r="AH6415">
        <v>4</v>
      </c>
      <c r="AI6415">
        <v>17</v>
      </c>
      <c r="AJ6415">
        <v>1</v>
      </c>
      <c r="AK6415">
        <v>18</v>
      </c>
      <c r="AL6415">
        <v>36</v>
      </c>
      <c r="AM6415" t="s">
        <v>43</v>
      </c>
      <c r="AN6415" t="str">
        <f>HYPERLINK("https://www.google.com/maps?q=10.77710819,79.82491302","Open Location")</f>
        <v>Open Location</v>
      </c>
    </row>
    <row r="6416" spans="1:40" x14ac:dyDescent="0.3">
      <c r="A6416" s="1">
        <v>46210.256712962961</v>
      </c>
      <c r="B6416" t="s">
        <v>40</v>
      </c>
      <c r="C6416" t="s">
        <v>41</v>
      </c>
      <c r="D6416" s="1">
        <v>46210.259629629632</v>
      </c>
      <c r="E6416" t="s">
        <v>42</v>
      </c>
      <c r="F6416" t="s">
        <v>83</v>
      </c>
      <c r="G6416">
        <v>42</v>
      </c>
      <c r="H6416" t="s">
        <v>43</v>
      </c>
      <c r="I6416" t="s">
        <v>43</v>
      </c>
      <c r="J6416">
        <v>66</v>
      </c>
      <c r="K6416">
        <v>83</v>
      </c>
      <c r="L6416">
        <v>98</v>
      </c>
      <c r="M6416">
        <v>628.09997558999999</v>
      </c>
      <c r="N6416" t="s">
        <v>87</v>
      </c>
      <c r="O6416" t="s">
        <v>86</v>
      </c>
      <c r="P6416">
        <v>131</v>
      </c>
      <c r="Q6416">
        <v>6</v>
      </c>
      <c r="R6416">
        <v>35</v>
      </c>
      <c r="S6416">
        <v>1295</v>
      </c>
      <c r="T6416">
        <v>-40</v>
      </c>
      <c r="U6416">
        <v>43</v>
      </c>
      <c r="V6416">
        <v>360</v>
      </c>
      <c r="W6416">
        <v>28</v>
      </c>
      <c r="X6416">
        <v>28</v>
      </c>
      <c r="Y6416">
        <v>1</v>
      </c>
      <c r="Z6416">
        <v>1</v>
      </c>
      <c r="AA6416">
        <v>26</v>
      </c>
      <c r="AB6416">
        <v>2</v>
      </c>
      <c r="AC6416">
        <v>2</v>
      </c>
      <c r="AD6416">
        <v>3.2820000600000001</v>
      </c>
      <c r="AE6416">
        <v>5</v>
      </c>
      <c r="AF6416">
        <v>38</v>
      </c>
      <c r="AG6416">
        <v>3.2669999600000001</v>
      </c>
      <c r="AH6416">
        <v>7</v>
      </c>
      <c r="AI6416">
        <v>1</v>
      </c>
      <c r="AJ6416" t="s">
        <v>43</v>
      </c>
      <c r="AK6416" t="s">
        <v>43</v>
      </c>
      <c r="AL6416">
        <v>36</v>
      </c>
      <c r="AM6416" t="s">
        <v>43</v>
      </c>
      <c r="AN6416" t="s">
        <v>43</v>
      </c>
    </row>
    <row r="6417" spans="1:40" x14ac:dyDescent="0.3">
      <c r="A6417" s="1">
        <v>46210.256597222222</v>
      </c>
      <c r="B6417" t="s">
        <v>40</v>
      </c>
      <c r="C6417" t="s">
        <v>41</v>
      </c>
      <c r="D6417" s="1">
        <v>46210.259293981479</v>
      </c>
      <c r="E6417" t="s">
        <v>42</v>
      </c>
      <c r="F6417" t="s">
        <v>83</v>
      </c>
      <c r="G6417">
        <v>45</v>
      </c>
      <c r="H6417" t="s">
        <v>43</v>
      </c>
      <c r="I6417" t="s">
        <v>3689</v>
      </c>
      <c r="J6417">
        <v>66</v>
      </c>
      <c r="K6417">
        <v>18</v>
      </c>
      <c r="L6417">
        <v>98</v>
      </c>
      <c r="M6417">
        <v>630.5</v>
      </c>
      <c r="N6417" t="s">
        <v>87</v>
      </c>
      <c r="O6417" t="s">
        <v>86</v>
      </c>
      <c r="P6417">
        <v>131</v>
      </c>
      <c r="Q6417">
        <v>6</v>
      </c>
      <c r="R6417">
        <v>-40</v>
      </c>
      <c r="S6417">
        <v>1134</v>
      </c>
      <c r="T6417">
        <v>-40</v>
      </c>
      <c r="U6417">
        <v>43</v>
      </c>
      <c r="V6417">
        <v>103</v>
      </c>
      <c r="W6417">
        <v>28</v>
      </c>
      <c r="X6417">
        <v>28</v>
      </c>
      <c r="Y6417">
        <v>1</v>
      </c>
      <c r="Z6417">
        <v>1</v>
      </c>
      <c r="AA6417">
        <v>26</v>
      </c>
      <c r="AB6417">
        <v>2</v>
      </c>
      <c r="AC6417">
        <v>2</v>
      </c>
      <c r="AD6417">
        <v>3.3010001199999999</v>
      </c>
      <c r="AE6417">
        <v>1</v>
      </c>
      <c r="AF6417">
        <v>25</v>
      </c>
      <c r="AG6417">
        <v>3.2920000599999999</v>
      </c>
      <c r="AH6417">
        <v>8</v>
      </c>
      <c r="AI6417">
        <v>48</v>
      </c>
      <c r="AJ6417">
        <v>1</v>
      </c>
      <c r="AK6417">
        <v>18</v>
      </c>
      <c r="AL6417">
        <v>36</v>
      </c>
      <c r="AM6417" t="s">
        <v>43</v>
      </c>
      <c r="AN6417" t="str">
        <f>HYPERLINK("https://www.google.com/maps?q=10.77522278,79.8250885","Open Location")</f>
        <v>Open Location</v>
      </c>
    </row>
    <row r="6418" spans="1:40" x14ac:dyDescent="0.3">
      <c r="A6418" s="1">
        <v>46210.256481481483</v>
      </c>
      <c r="B6418" t="s">
        <v>40</v>
      </c>
      <c r="C6418" t="s">
        <v>41</v>
      </c>
      <c r="D6418" s="1">
        <v>46210.259293981479</v>
      </c>
      <c r="E6418" t="s">
        <v>42</v>
      </c>
      <c r="F6418" t="s">
        <v>83</v>
      </c>
      <c r="G6418">
        <v>49</v>
      </c>
      <c r="H6418">
        <v>33074</v>
      </c>
      <c r="I6418" t="s">
        <v>3690</v>
      </c>
      <c r="J6418">
        <v>66</v>
      </c>
      <c r="K6418">
        <v>63</v>
      </c>
      <c r="L6418">
        <v>98</v>
      </c>
      <c r="M6418">
        <v>628.70001220999995</v>
      </c>
      <c r="N6418" t="s">
        <v>87</v>
      </c>
      <c r="O6418" t="s">
        <v>86</v>
      </c>
      <c r="P6418">
        <v>131</v>
      </c>
      <c r="Q6418">
        <v>6</v>
      </c>
      <c r="R6418">
        <v>76</v>
      </c>
      <c r="S6418">
        <v>1363</v>
      </c>
      <c r="T6418">
        <v>-40</v>
      </c>
      <c r="U6418">
        <v>44</v>
      </c>
      <c r="V6418">
        <v>280</v>
      </c>
      <c r="W6418">
        <v>28</v>
      </c>
      <c r="X6418">
        <v>28</v>
      </c>
      <c r="Y6418">
        <v>1</v>
      </c>
      <c r="Z6418">
        <v>1</v>
      </c>
      <c r="AA6418">
        <v>26</v>
      </c>
      <c r="AB6418">
        <v>2</v>
      </c>
      <c r="AC6418">
        <v>2</v>
      </c>
      <c r="AD6418">
        <v>3.27399993</v>
      </c>
      <c r="AE6418">
        <v>5</v>
      </c>
      <c r="AF6418">
        <v>38</v>
      </c>
      <c r="AG6418">
        <v>3.2579999000000002</v>
      </c>
      <c r="AH6418">
        <v>7</v>
      </c>
      <c r="AI6418">
        <v>1</v>
      </c>
      <c r="AJ6418" t="s">
        <v>43</v>
      </c>
      <c r="AK6418" t="s">
        <v>43</v>
      </c>
      <c r="AL6418">
        <v>36</v>
      </c>
      <c r="AM6418" t="s">
        <v>43</v>
      </c>
      <c r="AN6418" t="str">
        <f>HYPERLINK("https://www.google.com/maps?q=10.77379894,79.82528687","Open Location")</f>
        <v>Open Location</v>
      </c>
    </row>
    <row r="6419" spans="1:40" x14ac:dyDescent="0.3">
      <c r="A6419" s="1">
        <v>46210.256365740737</v>
      </c>
      <c r="B6419" t="s">
        <v>40</v>
      </c>
      <c r="C6419" t="s">
        <v>41</v>
      </c>
      <c r="D6419" s="1">
        <v>46210.259189814817</v>
      </c>
      <c r="E6419" t="s">
        <v>42</v>
      </c>
      <c r="F6419" t="s">
        <v>83</v>
      </c>
      <c r="G6419">
        <v>48</v>
      </c>
      <c r="H6419">
        <v>33074</v>
      </c>
      <c r="I6419" t="s">
        <v>3691</v>
      </c>
      <c r="J6419">
        <v>66</v>
      </c>
      <c r="K6419">
        <v>108</v>
      </c>
      <c r="L6419">
        <v>98</v>
      </c>
      <c r="M6419">
        <v>626.09997558999999</v>
      </c>
      <c r="N6419" t="s">
        <v>87</v>
      </c>
      <c r="O6419" t="s">
        <v>86</v>
      </c>
      <c r="P6419">
        <v>131</v>
      </c>
      <c r="Q6419">
        <v>6</v>
      </c>
      <c r="R6419">
        <v>78</v>
      </c>
      <c r="S6419">
        <v>1362</v>
      </c>
      <c r="T6419">
        <v>-40</v>
      </c>
      <c r="U6419">
        <v>46</v>
      </c>
      <c r="V6419">
        <v>440</v>
      </c>
      <c r="W6419">
        <v>28</v>
      </c>
      <c r="X6419">
        <v>28</v>
      </c>
      <c r="Y6419">
        <v>1</v>
      </c>
      <c r="Z6419">
        <v>1</v>
      </c>
      <c r="AA6419">
        <v>26</v>
      </c>
      <c r="AB6419">
        <v>2</v>
      </c>
      <c r="AC6419">
        <v>2</v>
      </c>
      <c r="AD6419">
        <v>3.2579999000000002</v>
      </c>
      <c r="AE6419">
        <v>5</v>
      </c>
      <c r="AF6419">
        <v>38</v>
      </c>
      <c r="AG6419">
        <v>3.2349999</v>
      </c>
      <c r="AH6419">
        <v>8</v>
      </c>
      <c r="AI6419">
        <v>35</v>
      </c>
      <c r="AJ6419">
        <v>1</v>
      </c>
      <c r="AK6419">
        <v>18</v>
      </c>
      <c r="AL6419">
        <v>35</v>
      </c>
      <c r="AM6419" t="s">
        <v>43</v>
      </c>
      <c r="AN6419" t="str">
        <f>HYPERLINK("https://www.google.com/maps?q=10.7723341,79.82552338","Open Location")</f>
        <v>Open Location</v>
      </c>
    </row>
    <row r="6420" spans="1:40" x14ac:dyDescent="0.3">
      <c r="A6420" s="1">
        <v>46210.256249999999</v>
      </c>
      <c r="B6420" t="s">
        <v>40</v>
      </c>
      <c r="C6420" t="s">
        <v>41</v>
      </c>
      <c r="D6420" s="1">
        <v>46210.259293981479</v>
      </c>
      <c r="E6420" t="s">
        <v>42</v>
      </c>
      <c r="F6420" t="s">
        <v>83</v>
      </c>
      <c r="G6420">
        <v>41</v>
      </c>
      <c r="H6420">
        <v>33074</v>
      </c>
      <c r="I6420" t="s">
        <v>3692</v>
      </c>
      <c r="J6420">
        <v>67</v>
      </c>
      <c r="K6420">
        <v>204</v>
      </c>
      <c r="L6420">
        <v>98</v>
      </c>
      <c r="M6420">
        <v>623.20001220999995</v>
      </c>
      <c r="N6420" t="s">
        <v>87</v>
      </c>
      <c r="O6420" t="s">
        <v>86</v>
      </c>
      <c r="P6420">
        <v>131</v>
      </c>
      <c r="Q6420">
        <v>6</v>
      </c>
      <c r="R6420">
        <v>22</v>
      </c>
      <c r="S6420">
        <v>1276</v>
      </c>
      <c r="T6420">
        <v>-40</v>
      </c>
      <c r="U6420">
        <v>41</v>
      </c>
      <c r="V6420">
        <v>940</v>
      </c>
      <c r="W6420">
        <v>28</v>
      </c>
      <c r="X6420">
        <v>28</v>
      </c>
      <c r="Y6420">
        <v>1</v>
      </c>
      <c r="Z6420">
        <v>1</v>
      </c>
      <c r="AA6420">
        <v>26</v>
      </c>
      <c r="AB6420">
        <v>2</v>
      </c>
      <c r="AC6420">
        <v>2</v>
      </c>
      <c r="AD6420">
        <v>3.3080000900000002</v>
      </c>
      <c r="AE6420">
        <v>1</v>
      </c>
      <c r="AF6420">
        <v>2</v>
      </c>
      <c r="AG6420">
        <v>3.2990000199999998</v>
      </c>
      <c r="AH6420">
        <v>8</v>
      </c>
      <c r="AI6420">
        <v>48</v>
      </c>
      <c r="AJ6420" t="s">
        <v>43</v>
      </c>
      <c r="AK6420" t="s">
        <v>43</v>
      </c>
      <c r="AL6420">
        <v>35</v>
      </c>
      <c r="AM6420" t="s">
        <v>43</v>
      </c>
      <c r="AN6420" t="str">
        <f>HYPERLINK("https://www.google.com/maps?q=10.77103615,79.82570648","Open Location")</f>
        <v>Open Location</v>
      </c>
    </row>
    <row r="6421" spans="1:40" x14ac:dyDescent="0.3">
      <c r="A6421" s="1">
        <v>46210.25613425926</v>
      </c>
      <c r="B6421" t="s">
        <v>40</v>
      </c>
      <c r="C6421" t="s">
        <v>41</v>
      </c>
      <c r="D6421" s="1">
        <v>46210.258935185186</v>
      </c>
      <c r="E6421" t="s">
        <v>42</v>
      </c>
      <c r="F6421" t="s">
        <v>83</v>
      </c>
      <c r="G6421">
        <v>40</v>
      </c>
      <c r="H6421">
        <v>33074</v>
      </c>
      <c r="I6421" t="s">
        <v>43</v>
      </c>
      <c r="J6421">
        <v>67</v>
      </c>
      <c r="K6421">
        <v>11</v>
      </c>
      <c r="L6421">
        <v>98</v>
      </c>
      <c r="M6421">
        <v>632.70001220999995</v>
      </c>
      <c r="N6421" t="s">
        <v>87</v>
      </c>
      <c r="O6421" t="s">
        <v>86</v>
      </c>
      <c r="P6421">
        <v>131</v>
      </c>
      <c r="Q6421">
        <v>6</v>
      </c>
      <c r="R6421">
        <v>27</v>
      </c>
      <c r="S6421">
        <v>1165</v>
      </c>
      <c r="T6421">
        <v>-40</v>
      </c>
      <c r="U6421">
        <v>42</v>
      </c>
      <c r="V6421">
        <v>60</v>
      </c>
      <c r="W6421">
        <v>28</v>
      </c>
      <c r="X6421">
        <v>28</v>
      </c>
      <c r="Y6421">
        <v>1</v>
      </c>
      <c r="Z6421">
        <v>1</v>
      </c>
      <c r="AA6421">
        <v>26</v>
      </c>
      <c r="AB6421">
        <v>2</v>
      </c>
      <c r="AC6421">
        <v>2</v>
      </c>
      <c r="AD6421">
        <v>3.31200004</v>
      </c>
      <c r="AE6421">
        <v>1</v>
      </c>
      <c r="AF6421">
        <v>25</v>
      </c>
      <c r="AG6421">
        <v>3.3020000500000002</v>
      </c>
      <c r="AH6421">
        <v>8</v>
      </c>
      <c r="AI6421">
        <v>48</v>
      </c>
      <c r="AJ6421">
        <v>1</v>
      </c>
      <c r="AK6421">
        <v>18</v>
      </c>
      <c r="AL6421">
        <v>35</v>
      </c>
      <c r="AM6421" t="s">
        <v>43</v>
      </c>
      <c r="AN6421" t="s">
        <v>43</v>
      </c>
    </row>
    <row r="6422" spans="1:40" x14ac:dyDescent="0.3">
      <c r="A6422" s="1">
        <v>46210.256018518521</v>
      </c>
      <c r="B6422" t="s">
        <v>40</v>
      </c>
      <c r="C6422" t="s">
        <v>41</v>
      </c>
      <c r="D6422" s="1">
        <v>46210.25922453704</v>
      </c>
      <c r="E6422" t="s">
        <v>42</v>
      </c>
      <c r="F6422" t="s">
        <v>83</v>
      </c>
      <c r="G6422">
        <v>48</v>
      </c>
      <c r="H6422">
        <v>33073</v>
      </c>
      <c r="I6422" t="s">
        <v>3693</v>
      </c>
      <c r="J6422">
        <v>67</v>
      </c>
      <c r="K6422">
        <v>-51</v>
      </c>
      <c r="L6422">
        <v>98</v>
      </c>
      <c r="M6422">
        <v>634.59997558999999</v>
      </c>
      <c r="N6422" t="s">
        <v>87</v>
      </c>
      <c r="O6422" t="s">
        <v>86</v>
      </c>
      <c r="P6422">
        <v>131</v>
      </c>
      <c r="Q6422">
        <v>6</v>
      </c>
      <c r="R6422">
        <v>-42</v>
      </c>
      <c r="S6422">
        <v>1167</v>
      </c>
      <c r="T6422">
        <v>-40</v>
      </c>
      <c r="U6422">
        <v>41</v>
      </c>
      <c r="V6422">
        <v>-300</v>
      </c>
      <c r="W6422">
        <v>28</v>
      </c>
      <c r="X6422">
        <v>28</v>
      </c>
      <c r="Y6422">
        <v>1</v>
      </c>
      <c r="Z6422">
        <v>1</v>
      </c>
      <c r="AA6422">
        <v>26</v>
      </c>
      <c r="AB6422">
        <v>2</v>
      </c>
      <c r="AC6422">
        <v>2</v>
      </c>
      <c r="AD6422">
        <v>3.2969999300000001</v>
      </c>
      <c r="AE6422">
        <v>1</v>
      </c>
      <c r="AF6422">
        <v>25</v>
      </c>
      <c r="AG6422">
        <v>3.2869999399999998</v>
      </c>
      <c r="AH6422">
        <v>7</v>
      </c>
      <c r="AI6422">
        <v>1</v>
      </c>
      <c r="AJ6422">
        <v>1</v>
      </c>
      <c r="AK6422">
        <v>18</v>
      </c>
      <c r="AL6422">
        <v>35</v>
      </c>
      <c r="AM6422" t="s">
        <v>43</v>
      </c>
      <c r="AN6422" t="str">
        <f>HYPERLINK("https://www.google.com/maps?q=10.76979446,79.82588959","Open Location")</f>
        <v>Open Location</v>
      </c>
    </row>
    <row r="6423" spans="1:40" x14ac:dyDescent="0.3">
      <c r="A6423" s="1">
        <v>46210.255902777775</v>
      </c>
      <c r="B6423" t="s">
        <v>40</v>
      </c>
      <c r="C6423" t="s">
        <v>41</v>
      </c>
      <c r="D6423" s="1">
        <v>46210.258842592593</v>
      </c>
      <c r="E6423" t="s">
        <v>42</v>
      </c>
      <c r="F6423" t="s">
        <v>83</v>
      </c>
      <c r="G6423">
        <v>50</v>
      </c>
      <c r="H6423" t="s">
        <v>43</v>
      </c>
      <c r="I6423" t="s">
        <v>3694</v>
      </c>
      <c r="J6423">
        <v>67</v>
      </c>
      <c r="K6423">
        <v>44</v>
      </c>
      <c r="L6423">
        <v>98</v>
      </c>
      <c r="M6423">
        <v>630.20001220999995</v>
      </c>
      <c r="N6423" t="s">
        <v>87</v>
      </c>
      <c r="O6423" t="s">
        <v>86</v>
      </c>
      <c r="P6423">
        <v>131</v>
      </c>
      <c r="Q6423">
        <v>6</v>
      </c>
      <c r="R6423">
        <v>39</v>
      </c>
      <c r="S6423">
        <v>1386</v>
      </c>
      <c r="T6423">
        <v>-40</v>
      </c>
      <c r="U6423">
        <v>42</v>
      </c>
      <c r="V6423">
        <v>180</v>
      </c>
      <c r="W6423">
        <v>28</v>
      </c>
      <c r="X6423">
        <v>28</v>
      </c>
      <c r="Y6423">
        <v>1</v>
      </c>
      <c r="Z6423">
        <v>1</v>
      </c>
      <c r="AA6423">
        <v>26</v>
      </c>
      <c r="AB6423">
        <v>2</v>
      </c>
      <c r="AC6423">
        <v>2</v>
      </c>
      <c r="AD6423">
        <v>3.2869999399999998</v>
      </c>
      <c r="AE6423">
        <v>5</v>
      </c>
      <c r="AF6423">
        <v>38</v>
      </c>
      <c r="AG6423">
        <v>3.27399993</v>
      </c>
      <c r="AH6423">
        <v>7</v>
      </c>
      <c r="AI6423">
        <v>1</v>
      </c>
      <c r="AJ6423">
        <v>1</v>
      </c>
      <c r="AK6423">
        <v>17</v>
      </c>
      <c r="AL6423">
        <v>35</v>
      </c>
      <c r="AM6423" t="s">
        <v>43</v>
      </c>
      <c r="AN6423" t="str">
        <f>HYPERLINK("https://www.google.com/maps?q=10.76821136,79.82601166","Open Location")</f>
        <v>Open Location</v>
      </c>
    </row>
    <row r="6424" spans="1:40" x14ac:dyDescent="0.3">
      <c r="A6424" s="1">
        <v>46210.255787037036</v>
      </c>
      <c r="B6424" t="s">
        <v>40</v>
      </c>
      <c r="C6424" t="s">
        <v>41</v>
      </c>
      <c r="D6424" s="1">
        <v>46210.25880787037</v>
      </c>
      <c r="E6424" t="s">
        <v>42</v>
      </c>
      <c r="F6424" t="s">
        <v>83</v>
      </c>
      <c r="G6424">
        <v>50</v>
      </c>
      <c r="H6424">
        <v>33073</v>
      </c>
      <c r="I6424" t="s">
        <v>43</v>
      </c>
      <c r="J6424">
        <v>67</v>
      </c>
      <c r="K6424">
        <v>57</v>
      </c>
      <c r="L6424">
        <v>98</v>
      </c>
      <c r="M6424">
        <v>629.40002441000001</v>
      </c>
      <c r="N6424" t="s">
        <v>87</v>
      </c>
      <c r="O6424" t="s">
        <v>86</v>
      </c>
      <c r="P6424">
        <v>131</v>
      </c>
      <c r="Q6424">
        <v>6</v>
      </c>
      <c r="R6424">
        <v>49</v>
      </c>
      <c r="S6424">
        <v>1399</v>
      </c>
      <c r="T6424">
        <v>-40</v>
      </c>
      <c r="U6424">
        <v>43</v>
      </c>
      <c r="V6424">
        <v>240</v>
      </c>
      <c r="W6424">
        <v>28</v>
      </c>
      <c r="X6424">
        <v>28</v>
      </c>
      <c r="Y6424">
        <v>1</v>
      </c>
      <c r="Z6424">
        <v>1</v>
      </c>
      <c r="AA6424">
        <v>26</v>
      </c>
      <c r="AB6424">
        <v>2</v>
      </c>
      <c r="AC6424">
        <v>2</v>
      </c>
      <c r="AD6424">
        <v>3.2809998999999999</v>
      </c>
      <c r="AE6424">
        <v>5</v>
      </c>
      <c r="AF6424">
        <v>38</v>
      </c>
      <c r="AG6424">
        <v>3.2669999600000001</v>
      </c>
      <c r="AH6424">
        <v>7</v>
      </c>
      <c r="AI6424">
        <v>1</v>
      </c>
      <c r="AJ6424">
        <v>1</v>
      </c>
      <c r="AK6424">
        <v>18</v>
      </c>
      <c r="AL6424">
        <v>35</v>
      </c>
      <c r="AM6424" t="s">
        <v>43</v>
      </c>
      <c r="AN6424" t="s">
        <v>43</v>
      </c>
    </row>
    <row r="6425" spans="1:40" x14ac:dyDescent="0.3">
      <c r="A6425" s="1">
        <v>46210.255671296298</v>
      </c>
      <c r="B6425" t="s">
        <v>40</v>
      </c>
      <c r="C6425" t="s">
        <v>41</v>
      </c>
      <c r="D6425" s="1">
        <v>46210.258506944447</v>
      </c>
      <c r="E6425" t="s">
        <v>42</v>
      </c>
      <c r="F6425" t="s">
        <v>83</v>
      </c>
      <c r="G6425">
        <v>48</v>
      </c>
      <c r="H6425">
        <v>33073</v>
      </c>
      <c r="I6425" t="s">
        <v>3695</v>
      </c>
      <c r="J6425">
        <v>67</v>
      </c>
      <c r="K6425">
        <v>87</v>
      </c>
      <c r="L6425">
        <v>98</v>
      </c>
      <c r="M6425">
        <v>627.79998779000005</v>
      </c>
      <c r="N6425" t="s">
        <v>87</v>
      </c>
      <c r="O6425" t="s">
        <v>86</v>
      </c>
      <c r="P6425">
        <v>131</v>
      </c>
      <c r="Q6425">
        <v>6</v>
      </c>
      <c r="R6425">
        <v>55</v>
      </c>
      <c r="S6425">
        <v>1363</v>
      </c>
      <c r="T6425">
        <v>-40</v>
      </c>
      <c r="U6425">
        <v>42</v>
      </c>
      <c r="V6425">
        <v>360</v>
      </c>
      <c r="W6425">
        <v>28</v>
      </c>
      <c r="X6425">
        <v>28</v>
      </c>
      <c r="Y6425">
        <v>1</v>
      </c>
      <c r="Z6425">
        <v>1</v>
      </c>
      <c r="AA6425">
        <v>26</v>
      </c>
      <c r="AB6425">
        <v>2</v>
      </c>
      <c r="AC6425">
        <v>2</v>
      </c>
      <c r="AD6425">
        <v>3.28800011</v>
      </c>
      <c r="AE6425">
        <v>5</v>
      </c>
      <c r="AF6425">
        <v>38</v>
      </c>
      <c r="AG6425">
        <v>3.2750001000000002</v>
      </c>
      <c r="AH6425">
        <v>7</v>
      </c>
      <c r="AI6425">
        <v>1</v>
      </c>
      <c r="AJ6425">
        <v>1</v>
      </c>
      <c r="AK6425">
        <v>18</v>
      </c>
      <c r="AL6425">
        <v>35</v>
      </c>
      <c r="AM6425" t="s">
        <v>43</v>
      </c>
      <c r="AN6425" t="str">
        <f>HYPERLINK("https://www.google.com/maps?q=10.76521969,79.82581329","Open Location")</f>
        <v>Open Location</v>
      </c>
    </row>
    <row r="6426" spans="1:40" x14ac:dyDescent="0.3">
      <c r="A6426" s="1">
        <v>46210.255555555559</v>
      </c>
      <c r="B6426" t="s">
        <v>40</v>
      </c>
      <c r="C6426" t="s">
        <v>41</v>
      </c>
      <c r="D6426" s="1">
        <v>46210.258553240739</v>
      </c>
      <c r="E6426" t="s">
        <v>42</v>
      </c>
      <c r="F6426" t="s">
        <v>83</v>
      </c>
      <c r="G6426">
        <v>48</v>
      </c>
      <c r="H6426" t="s">
        <v>43</v>
      </c>
      <c r="I6426" t="s">
        <v>3696</v>
      </c>
      <c r="J6426">
        <v>67</v>
      </c>
      <c r="K6426">
        <v>50</v>
      </c>
      <c r="L6426">
        <v>98</v>
      </c>
      <c r="M6426">
        <v>629.40002441000001</v>
      </c>
      <c r="N6426" t="s">
        <v>87</v>
      </c>
      <c r="O6426" t="s">
        <v>86</v>
      </c>
      <c r="P6426">
        <v>131</v>
      </c>
      <c r="Q6426">
        <v>6</v>
      </c>
      <c r="R6426">
        <v>19</v>
      </c>
      <c r="S6426">
        <v>1312</v>
      </c>
      <c r="T6426">
        <v>-40</v>
      </c>
      <c r="U6426">
        <v>42</v>
      </c>
      <c r="V6426">
        <v>200</v>
      </c>
      <c r="W6426">
        <v>28</v>
      </c>
      <c r="X6426">
        <v>28</v>
      </c>
      <c r="Y6426">
        <v>1</v>
      </c>
      <c r="Z6426">
        <v>1</v>
      </c>
      <c r="AA6426">
        <v>26</v>
      </c>
      <c r="AB6426">
        <v>2</v>
      </c>
      <c r="AC6426">
        <v>2</v>
      </c>
      <c r="AD6426">
        <v>3.2899999599999998</v>
      </c>
      <c r="AE6426">
        <v>1</v>
      </c>
      <c r="AF6426">
        <v>25</v>
      </c>
      <c r="AG6426">
        <v>3.2780001200000002</v>
      </c>
      <c r="AH6426">
        <v>7</v>
      </c>
      <c r="AI6426">
        <v>1</v>
      </c>
      <c r="AJ6426">
        <v>1</v>
      </c>
      <c r="AK6426">
        <v>18</v>
      </c>
      <c r="AL6426">
        <v>35</v>
      </c>
      <c r="AM6426" t="s">
        <v>43</v>
      </c>
      <c r="AN6426" t="str">
        <f>HYPERLINK("https://www.google.com/maps?q=10.76380253,79.82555389","Open Location")</f>
        <v>Open Location</v>
      </c>
    </row>
    <row r="6427" spans="1:40" x14ac:dyDescent="0.3">
      <c r="A6427" s="1">
        <v>46210.255439814813</v>
      </c>
      <c r="B6427" t="s">
        <v>40</v>
      </c>
      <c r="C6427" t="s">
        <v>41</v>
      </c>
      <c r="D6427" s="1">
        <v>46210.258252314816</v>
      </c>
      <c r="E6427" t="s">
        <v>42</v>
      </c>
      <c r="F6427" t="s">
        <v>83</v>
      </c>
      <c r="G6427">
        <v>47</v>
      </c>
      <c r="H6427">
        <v>33073</v>
      </c>
      <c r="I6427" t="s">
        <v>43</v>
      </c>
      <c r="J6427">
        <v>67</v>
      </c>
      <c r="K6427">
        <v>38</v>
      </c>
      <c r="L6427">
        <v>98</v>
      </c>
      <c r="M6427">
        <v>629.90002441000001</v>
      </c>
      <c r="N6427" t="s">
        <v>87</v>
      </c>
      <c r="O6427" t="s">
        <v>86</v>
      </c>
      <c r="P6427">
        <v>131</v>
      </c>
      <c r="Q6427">
        <v>6</v>
      </c>
      <c r="R6427">
        <v>27</v>
      </c>
      <c r="S6427">
        <v>1323</v>
      </c>
      <c r="T6427">
        <v>-40</v>
      </c>
      <c r="U6427">
        <v>43</v>
      </c>
      <c r="V6427">
        <v>160</v>
      </c>
      <c r="W6427">
        <v>28</v>
      </c>
      <c r="X6427">
        <v>28</v>
      </c>
      <c r="Y6427">
        <v>1</v>
      </c>
      <c r="Z6427">
        <v>1</v>
      </c>
      <c r="AA6427">
        <v>26</v>
      </c>
      <c r="AB6427">
        <v>2</v>
      </c>
      <c r="AC6427">
        <v>2</v>
      </c>
      <c r="AD6427">
        <v>3.28500009</v>
      </c>
      <c r="AE6427">
        <v>5</v>
      </c>
      <c r="AF6427">
        <v>38</v>
      </c>
      <c r="AG6427">
        <v>3.2720000699999998</v>
      </c>
      <c r="AH6427">
        <v>7</v>
      </c>
      <c r="AI6427">
        <v>1</v>
      </c>
      <c r="AJ6427">
        <v>1</v>
      </c>
      <c r="AK6427">
        <v>18</v>
      </c>
      <c r="AL6427">
        <v>35</v>
      </c>
      <c r="AM6427" t="s">
        <v>43</v>
      </c>
      <c r="AN6427" t="s">
        <v>43</v>
      </c>
    </row>
    <row r="6428" spans="1:40" x14ac:dyDescent="0.3">
      <c r="A6428" s="1">
        <v>46210.255324074074</v>
      </c>
      <c r="B6428" t="s">
        <v>40</v>
      </c>
      <c r="C6428" t="s">
        <v>41</v>
      </c>
      <c r="D6428" s="1">
        <v>46210.258402777778</v>
      </c>
      <c r="E6428" t="s">
        <v>42</v>
      </c>
      <c r="F6428" t="s">
        <v>83</v>
      </c>
      <c r="G6428">
        <v>43</v>
      </c>
      <c r="H6428">
        <v>33073</v>
      </c>
      <c r="I6428" t="s">
        <v>3697</v>
      </c>
      <c r="J6428">
        <v>67</v>
      </c>
      <c r="K6428">
        <v>81</v>
      </c>
      <c r="L6428">
        <v>98</v>
      </c>
      <c r="M6428">
        <v>628.09997558999999</v>
      </c>
      <c r="N6428" t="s">
        <v>87</v>
      </c>
      <c r="O6428" t="s">
        <v>86</v>
      </c>
      <c r="P6428">
        <v>131</v>
      </c>
      <c r="Q6428">
        <v>6</v>
      </c>
      <c r="R6428">
        <v>92</v>
      </c>
      <c r="S6428">
        <v>1298</v>
      </c>
      <c r="T6428">
        <v>-40</v>
      </c>
      <c r="U6428">
        <v>43</v>
      </c>
      <c r="V6428">
        <v>355</v>
      </c>
      <c r="W6428">
        <v>28</v>
      </c>
      <c r="X6428">
        <v>28</v>
      </c>
      <c r="Y6428">
        <v>1</v>
      </c>
      <c r="Z6428">
        <v>1</v>
      </c>
      <c r="AA6428">
        <v>26</v>
      </c>
      <c r="AB6428">
        <v>2</v>
      </c>
      <c r="AC6428">
        <v>2</v>
      </c>
      <c r="AD6428">
        <v>3.2809998999999999</v>
      </c>
      <c r="AE6428">
        <v>5</v>
      </c>
      <c r="AF6428">
        <v>38</v>
      </c>
      <c r="AG6428">
        <v>3.2660000299999998</v>
      </c>
      <c r="AH6428">
        <v>4</v>
      </c>
      <c r="AI6428">
        <v>17</v>
      </c>
      <c r="AJ6428">
        <v>1</v>
      </c>
      <c r="AK6428">
        <v>18</v>
      </c>
      <c r="AL6428">
        <v>35</v>
      </c>
      <c r="AM6428" t="s">
        <v>43</v>
      </c>
      <c r="AN6428" t="str">
        <f>HYPERLINK("https://www.google.com/maps?q=10.76241589,79.82514954","Open Location")</f>
        <v>Open Location</v>
      </c>
    </row>
    <row r="6429" spans="1:40" x14ac:dyDescent="0.3">
      <c r="A6429" s="1">
        <v>46210.255208333336</v>
      </c>
      <c r="B6429" t="s">
        <v>40</v>
      </c>
      <c r="C6429" t="s">
        <v>41</v>
      </c>
      <c r="D6429" s="1">
        <v>46210.257928240739</v>
      </c>
      <c r="E6429" t="s">
        <v>42</v>
      </c>
      <c r="F6429" t="s">
        <v>83</v>
      </c>
      <c r="G6429">
        <v>38</v>
      </c>
      <c r="H6429">
        <v>33073</v>
      </c>
      <c r="I6429" t="s">
        <v>3698</v>
      </c>
      <c r="J6429">
        <v>67</v>
      </c>
      <c r="K6429">
        <v>141</v>
      </c>
      <c r="L6429">
        <v>98</v>
      </c>
      <c r="M6429">
        <v>626.20001220999995</v>
      </c>
      <c r="N6429" t="s">
        <v>87</v>
      </c>
      <c r="O6429" t="s">
        <v>86</v>
      </c>
      <c r="P6429">
        <v>130</v>
      </c>
      <c r="Q6429">
        <v>5</v>
      </c>
      <c r="R6429">
        <v>29</v>
      </c>
      <c r="S6429">
        <v>1122</v>
      </c>
      <c r="T6429">
        <v>-40</v>
      </c>
      <c r="U6429">
        <v>42</v>
      </c>
      <c r="V6429">
        <v>700</v>
      </c>
      <c r="W6429">
        <v>28</v>
      </c>
      <c r="X6429">
        <v>28</v>
      </c>
      <c r="Y6429">
        <v>1</v>
      </c>
      <c r="Z6429">
        <v>1</v>
      </c>
      <c r="AA6429">
        <v>26</v>
      </c>
      <c r="AB6429">
        <v>2</v>
      </c>
      <c r="AC6429">
        <v>2</v>
      </c>
      <c r="AD6429">
        <v>3.2869999399999998</v>
      </c>
      <c r="AE6429">
        <v>5</v>
      </c>
      <c r="AF6429">
        <v>38</v>
      </c>
      <c r="AG6429">
        <v>3.27399993</v>
      </c>
      <c r="AH6429">
        <v>4</v>
      </c>
      <c r="AI6429">
        <v>17</v>
      </c>
      <c r="AJ6429">
        <v>1</v>
      </c>
      <c r="AK6429">
        <v>18</v>
      </c>
      <c r="AL6429">
        <v>35</v>
      </c>
      <c r="AM6429" t="s">
        <v>43</v>
      </c>
      <c r="AN6429" t="str">
        <f>HYPERLINK("https://www.google.com/maps?q=10.76123428,79.82466888","Open Location")</f>
        <v>Open Location</v>
      </c>
    </row>
    <row r="6430" spans="1:40" x14ac:dyDescent="0.3">
      <c r="A6430" s="1">
        <v>46210.25509259259</v>
      </c>
      <c r="B6430" t="s">
        <v>40</v>
      </c>
      <c r="C6430" t="s">
        <v>41</v>
      </c>
      <c r="D6430" s="1">
        <v>46210.258032407408</v>
      </c>
      <c r="E6430" t="s">
        <v>42</v>
      </c>
      <c r="F6430" t="s">
        <v>83</v>
      </c>
      <c r="G6430">
        <v>36</v>
      </c>
      <c r="H6430">
        <v>33072</v>
      </c>
      <c r="I6430" t="s">
        <v>3699</v>
      </c>
      <c r="J6430">
        <v>67</v>
      </c>
      <c r="K6430">
        <v>97</v>
      </c>
      <c r="L6430">
        <v>98</v>
      </c>
      <c r="M6430">
        <v>628.20001220999995</v>
      </c>
      <c r="N6430" t="s">
        <v>87</v>
      </c>
      <c r="O6430" t="s">
        <v>86</v>
      </c>
      <c r="P6430">
        <v>130</v>
      </c>
      <c r="Q6430">
        <v>5</v>
      </c>
      <c r="R6430">
        <v>41</v>
      </c>
      <c r="S6430">
        <v>1727</v>
      </c>
      <c r="T6430">
        <v>-40</v>
      </c>
      <c r="U6430">
        <v>42</v>
      </c>
      <c r="V6430">
        <v>300</v>
      </c>
      <c r="W6430">
        <v>28</v>
      </c>
      <c r="X6430">
        <v>28</v>
      </c>
      <c r="Y6430">
        <v>1</v>
      </c>
      <c r="Z6430">
        <v>1</v>
      </c>
      <c r="AA6430">
        <v>26</v>
      </c>
      <c r="AB6430">
        <v>2</v>
      </c>
      <c r="AC6430">
        <v>2</v>
      </c>
      <c r="AD6430">
        <v>3.2929999799999998</v>
      </c>
      <c r="AE6430">
        <v>5</v>
      </c>
      <c r="AF6430">
        <v>38</v>
      </c>
      <c r="AG6430">
        <v>3.27999997</v>
      </c>
      <c r="AH6430">
        <v>7</v>
      </c>
      <c r="AI6430">
        <v>1</v>
      </c>
      <c r="AJ6430">
        <v>1</v>
      </c>
      <c r="AK6430">
        <v>18</v>
      </c>
      <c r="AL6430">
        <v>35</v>
      </c>
      <c r="AM6430" t="s">
        <v>43</v>
      </c>
      <c r="AN6430" t="str">
        <f>HYPERLINK("https://www.google.com/maps?q=10.76059437,79.82376099","Open Location")</f>
        <v>Open Location</v>
      </c>
    </row>
    <row r="6431" spans="1:40" x14ac:dyDescent="0.3">
      <c r="A6431" s="1">
        <v>46210.254976851851</v>
      </c>
      <c r="B6431" t="s">
        <v>40</v>
      </c>
      <c r="C6431" t="s">
        <v>41</v>
      </c>
      <c r="D6431" s="1">
        <v>46210.258032407408</v>
      </c>
      <c r="E6431" t="s">
        <v>42</v>
      </c>
      <c r="F6431" t="s">
        <v>83</v>
      </c>
      <c r="G6431">
        <v>36</v>
      </c>
      <c r="H6431">
        <v>33072</v>
      </c>
      <c r="I6431" t="s">
        <v>3700</v>
      </c>
      <c r="J6431">
        <v>67</v>
      </c>
      <c r="K6431">
        <v>-43</v>
      </c>
      <c r="L6431">
        <v>98</v>
      </c>
      <c r="M6431">
        <v>633.70001220999995</v>
      </c>
      <c r="N6431" t="s">
        <v>87</v>
      </c>
      <c r="O6431" t="s">
        <v>86</v>
      </c>
      <c r="P6431">
        <v>130</v>
      </c>
      <c r="Q6431">
        <v>5</v>
      </c>
      <c r="R6431">
        <v>44</v>
      </c>
      <c r="S6431">
        <v>1618</v>
      </c>
      <c r="T6431">
        <v>-40</v>
      </c>
      <c r="U6431">
        <v>42</v>
      </c>
      <c r="V6431">
        <v>-184</v>
      </c>
      <c r="W6431">
        <v>28</v>
      </c>
      <c r="X6431">
        <v>28</v>
      </c>
      <c r="Y6431">
        <v>1</v>
      </c>
      <c r="Z6431">
        <v>1</v>
      </c>
      <c r="AA6431">
        <v>26</v>
      </c>
      <c r="AB6431">
        <v>2</v>
      </c>
      <c r="AC6431">
        <v>2</v>
      </c>
      <c r="AD6431">
        <v>3.2909998900000001</v>
      </c>
      <c r="AE6431">
        <v>5</v>
      </c>
      <c r="AF6431">
        <v>38</v>
      </c>
      <c r="AG6431">
        <v>3.2780001200000002</v>
      </c>
      <c r="AH6431">
        <v>7</v>
      </c>
      <c r="AI6431">
        <v>1</v>
      </c>
      <c r="AJ6431">
        <v>1</v>
      </c>
      <c r="AK6431">
        <v>18</v>
      </c>
      <c r="AL6431">
        <v>35</v>
      </c>
      <c r="AM6431" t="s">
        <v>43</v>
      </c>
      <c r="AN6431" t="str">
        <f>HYPERLINK("https://www.google.com/maps?q=10.76062202,79.82254028","Open Location")</f>
        <v>Open Location</v>
      </c>
    </row>
    <row r="6432" spans="1:40" x14ac:dyDescent="0.3">
      <c r="A6432" s="1">
        <v>46210.254861111112</v>
      </c>
      <c r="B6432" t="s">
        <v>40</v>
      </c>
      <c r="C6432" t="s">
        <v>41</v>
      </c>
      <c r="D6432" s="1">
        <v>46210.258032407408</v>
      </c>
      <c r="E6432" t="s">
        <v>42</v>
      </c>
      <c r="F6432" t="s">
        <v>83</v>
      </c>
      <c r="G6432">
        <v>35</v>
      </c>
      <c r="H6432" t="s">
        <v>43</v>
      </c>
      <c r="I6432" t="s">
        <v>43</v>
      </c>
      <c r="J6432">
        <v>67</v>
      </c>
      <c r="K6432">
        <v>72</v>
      </c>
      <c r="L6432">
        <v>98</v>
      </c>
      <c r="M6432">
        <v>630</v>
      </c>
      <c r="N6432" t="s">
        <v>87</v>
      </c>
      <c r="O6432" t="s">
        <v>86</v>
      </c>
      <c r="P6432">
        <v>130</v>
      </c>
      <c r="Q6432">
        <v>5</v>
      </c>
      <c r="R6432">
        <v>13</v>
      </c>
      <c r="S6432">
        <v>1598</v>
      </c>
      <c r="T6432">
        <v>-40</v>
      </c>
      <c r="U6432">
        <v>42</v>
      </c>
      <c r="V6432">
        <v>260</v>
      </c>
      <c r="W6432">
        <v>28</v>
      </c>
      <c r="X6432">
        <v>28</v>
      </c>
      <c r="Y6432">
        <v>1</v>
      </c>
      <c r="Z6432">
        <v>1</v>
      </c>
      <c r="AA6432">
        <v>26</v>
      </c>
      <c r="AB6432">
        <v>2</v>
      </c>
      <c r="AC6432">
        <v>2</v>
      </c>
      <c r="AD6432">
        <v>3.2909998900000001</v>
      </c>
      <c r="AE6432">
        <v>5</v>
      </c>
      <c r="AF6432">
        <v>38</v>
      </c>
      <c r="AG6432">
        <v>3.2780001200000002</v>
      </c>
      <c r="AH6432">
        <v>7</v>
      </c>
      <c r="AI6432">
        <v>1</v>
      </c>
      <c r="AJ6432" t="s">
        <v>43</v>
      </c>
      <c r="AK6432">
        <v>18</v>
      </c>
      <c r="AL6432">
        <v>35</v>
      </c>
      <c r="AM6432" t="s">
        <v>43</v>
      </c>
      <c r="AN6432" t="s">
        <v>43</v>
      </c>
    </row>
    <row r="6433" spans="1:40" x14ac:dyDescent="0.3">
      <c r="A6433" s="1">
        <v>46210.254745370374</v>
      </c>
      <c r="B6433" t="s">
        <v>40</v>
      </c>
      <c r="C6433" t="s">
        <v>41</v>
      </c>
      <c r="D6433" s="1">
        <v>46210.257800925923</v>
      </c>
      <c r="E6433" t="s">
        <v>42</v>
      </c>
      <c r="F6433" t="s">
        <v>83</v>
      </c>
      <c r="G6433">
        <v>31</v>
      </c>
      <c r="H6433">
        <v>33072</v>
      </c>
      <c r="I6433" t="s">
        <v>3701</v>
      </c>
      <c r="J6433">
        <v>67</v>
      </c>
      <c r="K6433">
        <v>90</v>
      </c>
      <c r="L6433">
        <v>98</v>
      </c>
      <c r="M6433">
        <v>629.5</v>
      </c>
      <c r="N6433" t="s">
        <v>87</v>
      </c>
      <c r="O6433" t="s">
        <v>86</v>
      </c>
      <c r="P6433">
        <v>131</v>
      </c>
      <c r="Q6433">
        <v>5</v>
      </c>
      <c r="R6433">
        <v>0</v>
      </c>
      <c r="S6433">
        <v>1598</v>
      </c>
      <c r="T6433">
        <v>-40</v>
      </c>
      <c r="U6433">
        <v>43</v>
      </c>
      <c r="V6433">
        <v>340</v>
      </c>
      <c r="W6433">
        <v>28</v>
      </c>
      <c r="X6433">
        <v>28</v>
      </c>
      <c r="Y6433">
        <v>1</v>
      </c>
      <c r="Z6433">
        <v>1</v>
      </c>
      <c r="AA6433">
        <v>26</v>
      </c>
      <c r="AB6433">
        <v>2</v>
      </c>
      <c r="AC6433">
        <v>2</v>
      </c>
      <c r="AD6433">
        <v>3.3250000499999999</v>
      </c>
      <c r="AE6433">
        <v>1</v>
      </c>
      <c r="AF6433">
        <v>27</v>
      </c>
      <c r="AG6433">
        <v>3.31500006</v>
      </c>
      <c r="AH6433">
        <v>8</v>
      </c>
      <c r="AI6433">
        <v>48</v>
      </c>
      <c r="AJ6433">
        <v>1</v>
      </c>
      <c r="AK6433">
        <v>18</v>
      </c>
      <c r="AL6433">
        <v>35</v>
      </c>
      <c r="AM6433" t="s">
        <v>43</v>
      </c>
      <c r="AN6433" t="str">
        <f>HYPERLINK("https://www.google.com/maps?q=10.76066589,79.82147217","Open Location")</f>
        <v>Open Location</v>
      </c>
    </row>
    <row r="6434" spans="1:40" x14ac:dyDescent="0.3">
      <c r="A6434" s="1">
        <v>46210.254629629628</v>
      </c>
      <c r="B6434" t="s">
        <v>40</v>
      </c>
      <c r="C6434" t="s">
        <v>41</v>
      </c>
      <c r="D6434" s="1">
        <v>46210.2577662037</v>
      </c>
      <c r="E6434" t="s">
        <v>42</v>
      </c>
      <c r="F6434" t="s">
        <v>83</v>
      </c>
      <c r="G6434">
        <v>43</v>
      </c>
      <c r="H6434">
        <v>33072</v>
      </c>
      <c r="I6434" t="s">
        <v>3702</v>
      </c>
      <c r="J6434">
        <v>67</v>
      </c>
      <c r="K6434">
        <v>-149</v>
      </c>
      <c r="L6434">
        <v>98</v>
      </c>
      <c r="M6434">
        <v>639.29998779000005</v>
      </c>
      <c r="N6434" t="s">
        <v>87</v>
      </c>
      <c r="O6434" t="s">
        <v>86</v>
      </c>
      <c r="P6434">
        <v>131</v>
      </c>
      <c r="Q6434">
        <v>6</v>
      </c>
      <c r="R6434">
        <v>-38</v>
      </c>
      <c r="S6434">
        <v>1058</v>
      </c>
      <c r="T6434">
        <v>-40</v>
      </c>
      <c r="U6434">
        <v>42</v>
      </c>
      <c r="V6434">
        <v>-990</v>
      </c>
      <c r="W6434">
        <v>28</v>
      </c>
      <c r="X6434">
        <v>28</v>
      </c>
      <c r="Y6434">
        <v>1</v>
      </c>
      <c r="Z6434">
        <v>1</v>
      </c>
      <c r="AA6434">
        <v>26</v>
      </c>
      <c r="AB6434">
        <v>2</v>
      </c>
      <c r="AC6434">
        <v>2</v>
      </c>
      <c r="AD6434">
        <v>3.30999994</v>
      </c>
      <c r="AE6434">
        <v>1</v>
      </c>
      <c r="AF6434">
        <v>25</v>
      </c>
      <c r="AG6434">
        <v>3.3010001199999999</v>
      </c>
      <c r="AH6434">
        <v>8</v>
      </c>
      <c r="AI6434">
        <v>48</v>
      </c>
      <c r="AJ6434">
        <v>1</v>
      </c>
      <c r="AK6434">
        <v>18</v>
      </c>
      <c r="AL6434">
        <v>35</v>
      </c>
      <c r="AM6434" t="s">
        <v>43</v>
      </c>
      <c r="AN6434" t="str">
        <f>HYPERLINK("https://www.google.com/maps?q=10.76069069,79.82038116","Open Location")</f>
        <v>Open Location</v>
      </c>
    </row>
    <row r="6435" spans="1:40" x14ac:dyDescent="0.3">
      <c r="A6435" s="1">
        <v>46210.254513888889</v>
      </c>
      <c r="B6435" t="s">
        <v>40</v>
      </c>
      <c r="C6435" t="s">
        <v>41</v>
      </c>
      <c r="D6435" s="1">
        <v>46210.257210648146</v>
      </c>
      <c r="E6435" t="s">
        <v>42</v>
      </c>
      <c r="F6435" t="s">
        <v>83</v>
      </c>
      <c r="G6435">
        <v>49</v>
      </c>
      <c r="H6435" t="s">
        <v>43</v>
      </c>
      <c r="I6435" t="s">
        <v>3703</v>
      </c>
      <c r="J6435">
        <v>67</v>
      </c>
      <c r="K6435">
        <v>-57</v>
      </c>
      <c r="L6435">
        <v>98</v>
      </c>
      <c r="M6435">
        <v>634.29998779000005</v>
      </c>
      <c r="N6435" t="s">
        <v>87</v>
      </c>
      <c r="O6435" t="s">
        <v>86</v>
      </c>
      <c r="P6435">
        <v>131</v>
      </c>
      <c r="Q6435">
        <v>6</v>
      </c>
      <c r="R6435">
        <v>22</v>
      </c>
      <c r="S6435">
        <v>1285</v>
      </c>
      <c r="T6435">
        <v>-40</v>
      </c>
      <c r="U6435">
        <v>42</v>
      </c>
      <c r="V6435">
        <v>-300</v>
      </c>
      <c r="W6435">
        <v>28</v>
      </c>
      <c r="X6435">
        <v>28</v>
      </c>
      <c r="Y6435">
        <v>1</v>
      </c>
      <c r="Z6435">
        <v>1</v>
      </c>
      <c r="AA6435">
        <v>26</v>
      </c>
      <c r="AB6435">
        <v>2</v>
      </c>
      <c r="AC6435">
        <v>2</v>
      </c>
      <c r="AD6435">
        <v>3.2899999599999998</v>
      </c>
      <c r="AE6435">
        <v>1</v>
      </c>
      <c r="AF6435">
        <v>25</v>
      </c>
      <c r="AG6435">
        <v>3.2790000400000001</v>
      </c>
      <c r="AH6435">
        <v>4</v>
      </c>
      <c r="AI6435">
        <v>17</v>
      </c>
      <c r="AJ6435">
        <v>1</v>
      </c>
      <c r="AK6435">
        <v>17</v>
      </c>
      <c r="AL6435">
        <v>35</v>
      </c>
      <c r="AM6435" t="s">
        <v>43</v>
      </c>
      <c r="AN6435" t="str">
        <f>HYPERLINK("https://www.google.com/maps?q=10.76063633,79.81899261","Open Location")</f>
        <v>Open Location</v>
      </c>
    </row>
    <row r="6436" spans="1:40" x14ac:dyDescent="0.3">
      <c r="A6436" s="1">
        <v>46210.25439814815</v>
      </c>
      <c r="B6436" t="s">
        <v>40</v>
      </c>
      <c r="C6436" t="s">
        <v>41</v>
      </c>
      <c r="D6436" s="1">
        <v>46210.257384259261</v>
      </c>
      <c r="E6436" t="s">
        <v>42</v>
      </c>
      <c r="F6436" t="s">
        <v>83</v>
      </c>
      <c r="G6436">
        <v>51</v>
      </c>
      <c r="H6436">
        <v>33072</v>
      </c>
      <c r="I6436" t="s">
        <v>3704</v>
      </c>
      <c r="J6436">
        <v>67</v>
      </c>
      <c r="K6436">
        <v>39</v>
      </c>
      <c r="L6436">
        <v>98</v>
      </c>
      <c r="M6436">
        <v>630</v>
      </c>
      <c r="N6436" t="s">
        <v>87</v>
      </c>
      <c r="O6436" t="s">
        <v>86</v>
      </c>
      <c r="P6436">
        <v>131</v>
      </c>
      <c r="Q6436">
        <v>6</v>
      </c>
      <c r="R6436">
        <v>-45</v>
      </c>
      <c r="S6436">
        <v>1374</v>
      </c>
      <c r="T6436">
        <v>-40</v>
      </c>
      <c r="U6436">
        <v>43</v>
      </c>
      <c r="V6436">
        <v>160</v>
      </c>
      <c r="W6436">
        <v>28</v>
      </c>
      <c r="X6436">
        <v>28</v>
      </c>
      <c r="Y6436">
        <v>1</v>
      </c>
      <c r="Z6436">
        <v>1</v>
      </c>
      <c r="AA6436">
        <v>26</v>
      </c>
      <c r="AB6436">
        <v>2</v>
      </c>
      <c r="AC6436">
        <v>2</v>
      </c>
      <c r="AD6436">
        <v>3.3020000500000002</v>
      </c>
      <c r="AE6436">
        <v>1</v>
      </c>
      <c r="AF6436">
        <v>2</v>
      </c>
      <c r="AG6436">
        <v>3.2939999100000001</v>
      </c>
      <c r="AH6436">
        <v>8</v>
      </c>
      <c r="AI6436">
        <v>48</v>
      </c>
      <c r="AJ6436">
        <v>1</v>
      </c>
      <c r="AK6436">
        <v>18</v>
      </c>
      <c r="AL6436">
        <v>35</v>
      </c>
      <c r="AM6436" t="s">
        <v>43</v>
      </c>
      <c r="AN6436" t="str">
        <f>HYPERLINK("https://www.google.com/maps?q=10.7607193,79.81747437","Open Location")</f>
        <v>Open Location</v>
      </c>
    </row>
    <row r="6437" spans="1:40" x14ac:dyDescent="0.3">
      <c r="A6437" s="1">
        <v>46210.254282407404</v>
      </c>
      <c r="B6437" t="s">
        <v>40</v>
      </c>
      <c r="C6437" t="s">
        <v>41</v>
      </c>
      <c r="D6437" s="1">
        <v>46210.257418981484</v>
      </c>
      <c r="E6437" t="s">
        <v>42</v>
      </c>
      <c r="F6437" t="s">
        <v>83</v>
      </c>
      <c r="G6437">
        <v>52</v>
      </c>
      <c r="H6437">
        <v>33072</v>
      </c>
      <c r="I6437" t="s">
        <v>3705</v>
      </c>
      <c r="J6437">
        <v>67</v>
      </c>
      <c r="K6437">
        <v>50</v>
      </c>
      <c r="L6437">
        <v>98</v>
      </c>
      <c r="M6437">
        <v>629.20001220999995</v>
      </c>
      <c r="N6437" t="s">
        <v>87</v>
      </c>
      <c r="O6437" t="s">
        <v>86</v>
      </c>
      <c r="P6437">
        <v>131</v>
      </c>
      <c r="Q6437">
        <v>6</v>
      </c>
      <c r="R6437">
        <v>87</v>
      </c>
      <c r="S6437">
        <v>1507</v>
      </c>
      <c r="T6437">
        <v>-40</v>
      </c>
      <c r="U6437">
        <v>45</v>
      </c>
      <c r="V6437">
        <v>200</v>
      </c>
      <c r="W6437">
        <v>28</v>
      </c>
      <c r="X6437">
        <v>28</v>
      </c>
      <c r="Y6437">
        <v>1</v>
      </c>
      <c r="Z6437">
        <v>1</v>
      </c>
      <c r="AA6437">
        <v>26</v>
      </c>
      <c r="AB6437">
        <v>2</v>
      </c>
      <c r="AC6437">
        <v>2</v>
      </c>
      <c r="AD6437">
        <v>3.2669999600000001</v>
      </c>
      <c r="AE6437">
        <v>5</v>
      </c>
      <c r="AF6437">
        <v>38</v>
      </c>
      <c r="AG6437">
        <v>3.25</v>
      </c>
      <c r="AH6437">
        <v>6</v>
      </c>
      <c r="AI6437">
        <v>24</v>
      </c>
      <c r="AJ6437">
        <v>1</v>
      </c>
      <c r="AK6437">
        <v>18</v>
      </c>
      <c r="AL6437">
        <v>35</v>
      </c>
      <c r="AM6437" t="s">
        <v>43</v>
      </c>
      <c r="AN6437" t="str">
        <f>HYPERLINK("https://www.google.com/maps?q=10.76080894,79.81583405","Open Location")</f>
        <v>Open Location</v>
      </c>
    </row>
    <row r="6438" spans="1:40" x14ac:dyDescent="0.3">
      <c r="A6438" s="1">
        <v>46210.254166666666</v>
      </c>
      <c r="B6438" t="s">
        <v>40</v>
      </c>
      <c r="C6438" t="s">
        <v>41</v>
      </c>
      <c r="D6438" s="1">
        <v>46210.257187499999</v>
      </c>
      <c r="E6438" t="s">
        <v>42</v>
      </c>
      <c r="F6438" t="s">
        <v>83</v>
      </c>
      <c r="G6438">
        <v>43</v>
      </c>
      <c r="H6438">
        <v>33072</v>
      </c>
      <c r="I6438" t="s">
        <v>43</v>
      </c>
      <c r="J6438">
        <v>67</v>
      </c>
      <c r="K6438">
        <v>155</v>
      </c>
      <c r="L6438">
        <v>98</v>
      </c>
      <c r="M6438">
        <v>625</v>
      </c>
      <c r="N6438" t="s">
        <v>87</v>
      </c>
      <c r="O6438" t="s">
        <v>86</v>
      </c>
      <c r="P6438">
        <v>131</v>
      </c>
      <c r="Q6438">
        <v>6</v>
      </c>
      <c r="R6438">
        <v>90</v>
      </c>
      <c r="S6438">
        <v>1387</v>
      </c>
      <c r="T6438">
        <v>-40</v>
      </c>
      <c r="U6438">
        <v>44</v>
      </c>
      <c r="V6438">
        <v>620</v>
      </c>
      <c r="W6438">
        <v>28</v>
      </c>
      <c r="X6438">
        <v>28</v>
      </c>
      <c r="Y6438">
        <v>1</v>
      </c>
      <c r="Z6438">
        <v>1</v>
      </c>
      <c r="AA6438">
        <v>26</v>
      </c>
      <c r="AB6438">
        <v>2</v>
      </c>
      <c r="AC6438">
        <v>2</v>
      </c>
      <c r="AD6438">
        <v>3.26799989</v>
      </c>
      <c r="AE6438">
        <v>5</v>
      </c>
      <c r="AF6438">
        <v>38</v>
      </c>
      <c r="AG6438">
        <v>3.2479999099999999</v>
      </c>
      <c r="AH6438">
        <v>8</v>
      </c>
      <c r="AI6438">
        <v>35</v>
      </c>
      <c r="AJ6438" t="s">
        <v>43</v>
      </c>
      <c r="AK6438" t="s">
        <v>43</v>
      </c>
      <c r="AL6438">
        <v>35</v>
      </c>
      <c r="AM6438" t="s">
        <v>43</v>
      </c>
      <c r="AN6438" t="s">
        <v>43</v>
      </c>
    </row>
    <row r="6439" spans="1:40" x14ac:dyDescent="0.3">
      <c r="A6439" s="1">
        <v>46210.254050925927</v>
      </c>
      <c r="B6439" t="s">
        <v>40</v>
      </c>
      <c r="C6439" t="s">
        <v>41</v>
      </c>
      <c r="D6439" s="1">
        <v>46210.257037037038</v>
      </c>
      <c r="E6439" t="s">
        <v>42</v>
      </c>
      <c r="F6439" t="s">
        <v>83</v>
      </c>
      <c r="G6439">
        <v>32</v>
      </c>
      <c r="H6439">
        <v>33071</v>
      </c>
      <c r="I6439" t="s">
        <v>3706</v>
      </c>
      <c r="J6439">
        <v>67</v>
      </c>
      <c r="K6439">
        <v>159</v>
      </c>
      <c r="L6439">
        <v>98</v>
      </c>
      <c r="M6439">
        <v>626.20001220999995</v>
      </c>
      <c r="N6439" t="s">
        <v>87</v>
      </c>
      <c r="O6439" t="s">
        <v>86</v>
      </c>
      <c r="P6439">
        <v>130</v>
      </c>
      <c r="Q6439">
        <v>5</v>
      </c>
      <c r="R6439">
        <v>90</v>
      </c>
      <c r="S6439">
        <v>1099</v>
      </c>
      <c r="T6439">
        <v>-40</v>
      </c>
      <c r="U6439">
        <v>42</v>
      </c>
      <c r="V6439">
        <v>820</v>
      </c>
      <c r="W6439">
        <v>28</v>
      </c>
      <c r="X6439">
        <v>28</v>
      </c>
      <c r="Y6439">
        <v>1</v>
      </c>
      <c r="Z6439">
        <v>1</v>
      </c>
      <c r="AA6439">
        <v>26</v>
      </c>
      <c r="AB6439">
        <v>2</v>
      </c>
      <c r="AC6439">
        <v>2</v>
      </c>
      <c r="AD6439">
        <v>3.3050000700000002</v>
      </c>
      <c r="AE6439">
        <v>1</v>
      </c>
      <c r="AF6439">
        <v>25</v>
      </c>
      <c r="AG6439">
        <v>3.2950000799999999</v>
      </c>
      <c r="AH6439">
        <v>4</v>
      </c>
      <c r="AI6439">
        <v>17</v>
      </c>
      <c r="AJ6439">
        <v>1</v>
      </c>
      <c r="AK6439">
        <v>18</v>
      </c>
      <c r="AL6439">
        <v>35</v>
      </c>
      <c r="AM6439" t="s">
        <v>43</v>
      </c>
      <c r="AN6439" t="str">
        <f>HYPERLINK("https://www.google.com/maps?q=10.76090431,79.81436157","Open Location")</f>
        <v>Open Location</v>
      </c>
    </row>
    <row r="6440" spans="1:40" x14ac:dyDescent="0.3">
      <c r="A6440" s="1">
        <v>46210.253935185188</v>
      </c>
      <c r="B6440" t="s">
        <v>40</v>
      </c>
      <c r="C6440" t="s">
        <v>41</v>
      </c>
      <c r="D6440" s="1">
        <v>46210.256863425922</v>
      </c>
      <c r="E6440" t="s">
        <v>42</v>
      </c>
      <c r="F6440" t="s">
        <v>83</v>
      </c>
      <c r="G6440">
        <v>38</v>
      </c>
      <c r="H6440">
        <v>33071</v>
      </c>
      <c r="I6440" t="s">
        <v>3707</v>
      </c>
      <c r="J6440">
        <v>67</v>
      </c>
      <c r="K6440">
        <v>-30</v>
      </c>
      <c r="L6440">
        <v>98</v>
      </c>
      <c r="M6440">
        <v>635</v>
      </c>
      <c r="N6440" t="s">
        <v>87</v>
      </c>
      <c r="O6440" t="s">
        <v>86</v>
      </c>
      <c r="P6440">
        <v>131</v>
      </c>
      <c r="Q6440">
        <v>6</v>
      </c>
      <c r="R6440">
        <v>-33</v>
      </c>
      <c r="S6440">
        <v>896</v>
      </c>
      <c r="T6440">
        <v>-40</v>
      </c>
      <c r="U6440">
        <v>42</v>
      </c>
      <c r="V6440">
        <v>-300</v>
      </c>
      <c r="W6440">
        <v>28</v>
      </c>
      <c r="X6440">
        <v>28</v>
      </c>
      <c r="Y6440">
        <v>1</v>
      </c>
      <c r="Z6440">
        <v>1</v>
      </c>
      <c r="AA6440">
        <v>26</v>
      </c>
      <c r="AB6440">
        <v>2</v>
      </c>
      <c r="AC6440">
        <v>2</v>
      </c>
      <c r="AD6440">
        <v>3.3169999099999998</v>
      </c>
      <c r="AE6440">
        <v>1</v>
      </c>
      <c r="AF6440">
        <v>25</v>
      </c>
      <c r="AG6440">
        <v>3.30900002</v>
      </c>
      <c r="AH6440">
        <v>2</v>
      </c>
      <c r="AI6440">
        <v>45</v>
      </c>
      <c r="AJ6440">
        <v>1</v>
      </c>
      <c r="AK6440">
        <v>18</v>
      </c>
      <c r="AL6440">
        <v>35</v>
      </c>
      <c r="AM6440" t="s">
        <v>43</v>
      </c>
      <c r="AN6440" t="str">
        <f>HYPERLINK("https://www.google.com/maps?q=10.76097679,79.8133316","Open Location")</f>
        <v>Open Location</v>
      </c>
    </row>
    <row r="6441" spans="1:40" x14ac:dyDescent="0.3">
      <c r="A6441" s="1">
        <v>46210.253819444442</v>
      </c>
      <c r="B6441" t="s">
        <v>40</v>
      </c>
      <c r="C6441" t="s">
        <v>41</v>
      </c>
      <c r="D6441" s="1">
        <v>46210.256516203706</v>
      </c>
      <c r="E6441" t="s">
        <v>42</v>
      </c>
      <c r="F6441" t="s">
        <v>83</v>
      </c>
      <c r="G6441">
        <v>48</v>
      </c>
      <c r="H6441">
        <v>33071</v>
      </c>
      <c r="I6441" t="s">
        <v>3708</v>
      </c>
      <c r="J6441">
        <v>67</v>
      </c>
      <c r="K6441">
        <v>-49</v>
      </c>
      <c r="L6441">
        <v>98</v>
      </c>
      <c r="M6441">
        <v>635.09997558999999</v>
      </c>
      <c r="N6441" t="s">
        <v>87</v>
      </c>
      <c r="O6441" t="s">
        <v>86</v>
      </c>
      <c r="P6441">
        <v>131</v>
      </c>
      <c r="Q6441">
        <v>6</v>
      </c>
      <c r="R6441">
        <v>11</v>
      </c>
      <c r="S6441">
        <v>1154</v>
      </c>
      <c r="T6441">
        <v>-40</v>
      </c>
      <c r="U6441">
        <v>41</v>
      </c>
      <c r="V6441">
        <v>-300</v>
      </c>
      <c r="W6441">
        <v>28</v>
      </c>
      <c r="X6441">
        <v>28</v>
      </c>
      <c r="Y6441">
        <v>1</v>
      </c>
      <c r="Z6441">
        <v>1</v>
      </c>
      <c r="AA6441">
        <v>26</v>
      </c>
      <c r="AB6441">
        <v>2</v>
      </c>
      <c r="AC6441">
        <v>2</v>
      </c>
      <c r="AD6441">
        <v>3.2920000599999999</v>
      </c>
      <c r="AE6441">
        <v>5</v>
      </c>
      <c r="AF6441">
        <v>38</v>
      </c>
      <c r="AG6441">
        <v>3.27999997</v>
      </c>
      <c r="AH6441">
        <v>7</v>
      </c>
      <c r="AI6441">
        <v>1</v>
      </c>
      <c r="AJ6441">
        <v>1</v>
      </c>
      <c r="AK6441">
        <v>18</v>
      </c>
      <c r="AL6441">
        <v>35</v>
      </c>
      <c r="AM6441" t="s">
        <v>43</v>
      </c>
      <c r="AN6441" t="str">
        <f>HYPERLINK("https://www.google.com/maps?q=10.76104927,79.81204987","Open Location")</f>
        <v>Open Location</v>
      </c>
    </row>
    <row r="6442" spans="1:40" x14ac:dyDescent="0.3">
      <c r="A6442" s="1">
        <v>46210.253703703704</v>
      </c>
      <c r="B6442" t="s">
        <v>40</v>
      </c>
      <c r="C6442" t="s">
        <v>41</v>
      </c>
      <c r="D6442" s="1">
        <v>46210.256504629629</v>
      </c>
      <c r="E6442" t="s">
        <v>42</v>
      </c>
      <c r="F6442" t="s">
        <v>83</v>
      </c>
      <c r="G6442">
        <v>47</v>
      </c>
      <c r="H6442">
        <v>33071</v>
      </c>
      <c r="I6442" t="s">
        <v>3709</v>
      </c>
      <c r="J6442">
        <v>67</v>
      </c>
      <c r="K6442">
        <v>58</v>
      </c>
      <c r="L6442">
        <v>98</v>
      </c>
      <c r="M6442">
        <v>629.79998779000005</v>
      </c>
      <c r="N6442" t="s">
        <v>87</v>
      </c>
      <c r="O6442" t="s">
        <v>86</v>
      </c>
      <c r="P6442">
        <v>131</v>
      </c>
      <c r="Q6442">
        <v>6</v>
      </c>
      <c r="R6442">
        <v>46</v>
      </c>
      <c r="S6442">
        <v>1335</v>
      </c>
      <c r="T6442">
        <v>-40</v>
      </c>
      <c r="U6442">
        <v>42</v>
      </c>
      <c r="V6442">
        <v>240</v>
      </c>
      <c r="W6442">
        <v>28</v>
      </c>
      <c r="X6442">
        <v>28</v>
      </c>
      <c r="Y6442">
        <v>1</v>
      </c>
      <c r="Z6442">
        <v>1</v>
      </c>
      <c r="AA6442">
        <v>26</v>
      </c>
      <c r="AB6442">
        <v>2</v>
      </c>
      <c r="AC6442">
        <v>2</v>
      </c>
      <c r="AD6442">
        <v>3.28299999</v>
      </c>
      <c r="AE6442">
        <v>5</v>
      </c>
      <c r="AF6442">
        <v>38</v>
      </c>
      <c r="AG6442">
        <v>3.2690000499999998</v>
      </c>
      <c r="AH6442">
        <v>7</v>
      </c>
      <c r="AI6442">
        <v>1</v>
      </c>
      <c r="AJ6442">
        <v>1</v>
      </c>
      <c r="AK6442">
        <v>18</v>
      </c>
      <c r="AL6442">
        <v>35</v>
      </c>
      <c r="AM6442" t="s">
        <v>43</v>
      </c>
      <c r="AN6442" t="str">
        <f>HYPERLINK("https://www.google.com/maps?q=10.76111126,79.81059265","Open Location")</f>
        <v>Open Location</v>
      </c>
    </row>
    <row r="6443" spans="1:40" x14ac:dyDescent="0.3">
      <c r="A6443" s="1">
        <v>46210.253587962965</v>
      </c>
      <c r="B6443" t="s">
        <v>40</v>
      </c>
      <c r="C6443" t="s">
        <v>41</v>
      </c>
      <c r="D6443" s="1">
        <v>46210.256516203706</v>
      </c>
      <c r="E6443" t="s">
        <v>42</v>
      </c>
      <c r="F6443" t="s">
        <v>83</v>
      </c>
      <c r="G6443">
        <v>48</v>
      </c>
      <c r="H6443">
        <v>33071</v>
      </c>
      <c r="I6443" t="s">
        <v>3710</v>
      </c>
      <c r="J6443">
        <v>67</v>
      </c>
      <c r="K6443">
        <v>125</v>
      </c>
      <c r="L6443">
        <v>98</v>
      </c>
      <c r="M6443">
        <v>627.40002441000001</v>
      </c>
      <c r="N6443" t="s">
        <v>87</v>
      </c>
      <c r="O6443" t="s">
        <v>86</v>
      </c>
      <c r="P6443">
        <v>131</v>
      </c>
      <c r="Q6443">
        <v>6</v>
      </c>
      <c r="R6443">
        <v>-43</v>
      </c>
      <c r="S6443">
        <v>1248</v>
      </c>
      <c r="T6443">
        <v>-40</v>
      </c>
      <c r="U6443">
        <v>41</v>
      </c>
      <c r="V6443">
        <v>560</v>
      </c>
      <c r="W6443">
        <v>28</v>
      </c>
      <c r="X6443">
        <v>28</v>
      </c>
      <c r="Y6443">
        <v>1</v>
      </c>
      <c r="Z6443">
        <v>1</v>
      </c>
      <c r="AA6443">
        <v>26</v>
      </c>
      <c r="AB6443">
        <v>2</v>
      </c>
      <c r="AC6443">
        <v>2</v>
      </c>
      <c r="AD6443">
        <v>3.2869999399999998</v>
      </c>
      <c r="AE6443">
        <v>5</v>
      </c>
      <c r="AF6443">
        <v>38</v>
      </c>
      <c r="AG6443">
        <v>3.2750001000000002</v>
      </c>
      <c r="AH6443">
        <v>4</v>
      </c>
      <c r="AI6443">
        <v>17</v>
      </c>
      <c r="AJ6443">
        <v>1</v>
      </c>
      <c r="AK6443">
        <v>18</v>
      </c>
      <c r="AL6443">
        <v>35</v>
      </c>
      <c r="AM6443" t="s">
        <v>43</v>
      </c>
      <c r="AN6443" t="str">
        <f>HYPERLINK("https://www.google.com/maps?q=10.76118088,79.8091507","Open Location")</f>
        <v>Open Location</v>
      </c>
    </row>
    <row r="6444" spans="1:40" x14ac:dyDescent="0.3">
      <c r="A6444" s="1">
        <v>46210.253472222219</v>
      </c>
      <c r="B6444" t="s">
        <v>40</v>
      </c>
      <c r="C6444" t="s">
        <v>41</v>
      </c>
      <c r="D6444" s="1">
        <v>46210.256539351853</v>
      </c>
      <c r="E6444" t="s">
        <v>42</v>
      </c>
      <c r="F6444" t="s">
        <v>83</v>
      </c>
      <c r="G6444">
        <v>50</v>
      </c>
      <c r="H6444" t="s">
        <v>43</v>
      </c>
      <c r="I6444" t="s">
        <v>43</v>
      </c>
      <c r="J6444">
        <v>67</v>
      </c>
      <c r="K6444">
        <v>56</v>
      </c>
      <c r="L6444">
        <v>98</v>
      </c>
      <c r="M6444">
        <v>629.70001220999995</v>
      </c>
      <c r="N6444" t="s">
        <v>87</v>
      </c>
      <c r="O6444" t="s">
        <v>86</v>
      </c>
      <c r="P6444">
        <v>131</v>
      </c>
      <c r="Q6444">
        <v>6</v>
      </c>
      <c r="R6444">
        <v>20</v>
      </c>
      <c r="S6444">
        <v>1366</v>
      </c>
      <c r="T6444">
        <v>-40</v>
      </c>
      <c r="U6444">
        <v>41</v>
      </c>
      <c r="V6444">
        <v>240</v>
      </c>
      <c r="W6444">
        <v>28</v>
      </c>
      <c r="X6444">
        <v>28</v>
      </c>
      <c r="Y6444">
        <v>1</v>
      </c>
      <c r="Z6444">
        <v>1</v>
      </c>
      <c r="AA6444">
        <v>26</v>
      </c>
      <c r="AB6444">
        <v>2</v>
      </c>
      <c r="AC6444">
        <v>2</v>
      </c>
      <c r="AD6444">
        <v>3.2899999599999998</v>
      </c>
      <c r="AE6444">
        <v>5</v>
      </c>
      <c r="AF6444">
        <v>38</v>
      </c>
      <c r="AG6444">
        <v>3.2780001200000002</v>
      </c>
      <c r="AH6444">
        <v>7</v>
      </c>
      <c r="AI6444">
        <v>1</v>
      </c>
      <c r="AJ6444">
        <v>1</v>
      </c>
      <c r="AK6444">
        <v>18</v>
      </c>
      <c r="AL6444">
        <v>35</v>
      </c>
      <c r="AM6444" t="s">
        <v>43</v>
      </c>
      <c r="AN6444" t="s">
        <v>43</v>
      </c>
    </row>
    <row r="6445" spans="1:40" x14ac:dyDescent="0.3">
      <c r="A6445" s="1">
        <v>46210.25335648148</v>
      </c>
      <c r="B6445" t="s">
        <v>40</v>
      </c>
      <c r="C6445" t="s">
        <v>41</v>
      </c>
      <c r="D6445" s="1">
        <v>46210.256273148145</v>
      </c>
      <c r="E6445" t="s">
        <v>42</v>
      </c>
      <c r="F6445" t="s">
        <v>83</v>
      </c>
      <c r="G6445">
        <v>51</v>
      </c>
      <c r="H6445">
        <v>33071</v>
      </c>
      <c r="I6445" t="s">
        <v>3711</v>
      </c>
      <c r="J6445">
        <v>67</v>
      </c>
      <c r="K6445">
        <v>35</v>
      </c>
      <c r="L6445">
        <v>98</v>
      </c>
      <c r="M6445">
        <v>630.09997558999999</v>
      </c>
      <c r="N6445" t="s">
        <v>87</v>
      </c>
      <c r="O6445" t="s">
        <v>86</v>
      </c>
      <c r="P6445">
        <v>131</v>
      </c>
      <c r="Q6445">
        <v>6</v>
      </c>
      <c r="R6445">
        <v>35</v>
      </c>
      <c r="S6445">
        <v>1407</v>
      </c>
      <c r="T6445">
        <v>-40</v>
      </c>
      <c r="U6445">
        <v>42</v>
      </c>
      <c r="V6445">
        <v>140</v>
      </c>
      <c r="W6445" t="s">
        <v>43</v>
      </c>
      <c r="X6445" t="s">
        <v>43</v>
      </c>
      <c r="Y6445" t="s">
        <v>43</v>
      </c>
      <c r="Z6445" t="s">
        <v>43</v>
      </c>
      <c r="AA6445" t="s">
        <v>43</v>
      </c>
      <c r="AB6445" t="s">
        <v>43</v>
      </c>
      <c r="AC6445" t="s">
        <v>43</v>
      </c>
      <c r="AD6445" t="s">
        <v>43</v>
      </c>
      <c r="AE6445" t="s">
        <v>43</v>
      </c>
      <c r="AF6445" t="s">
        <v>43</v>
      </c>
      <c r="AG6445" t="s">
        <v>43</v>
      </c>
      <c r="AH6445" t="s">
        <v>43</v>
      </c>
      <c r="AI6445" t="s">
        <v>43</v>
      </c>
      <c r="AJ6445">
        <v>1</v>
      </c>
      <c r="AK6445">
        <v>18</v>
      </c>
      <c r="AL6445">
        <v>35</v>
      </c>
      <c r="AM6445" t="s">
        <v>43</v>
      </c>
      <c r="AN6445" t="str">
        <f>HYPERLINK("https://www.google.com/maps?q=10.76124954,79.80762482","Open Location")</f>
        <v>Open Location</v>
      </c>
    </row>
    <row r="6446" spans="1:40" x14ac:dyDescent="0.3">
      <c r="A6446" s="1">
        <v>46210.253240740742</v>
      </c>
      <c r="B6446" t="s">
        <v>40</v>
      </c>
      <c r="C6446" t="s">
        <v>41</v>
      </c>
      <c r="D6446" s="1">
        <v>46210.256331018521</v>
      </c>
      <c r="E6446" t="s">
        <v>42</v>
      </c>
      <c r="F6446" t="s">
        <v>83</v>
      </c>
      <c r="G6446">
        <v>51</v>
      </c>
      <c r="H6446" t="s">
        <v>43</v>
      </c>
      <c r="I6446" t="s">
        <v>3712</v>
      </c>
      <c r="J6446">
        <v>67</v>
      </c>
      <c r="K6446">
        <v>76</v>
      </c>
      <c r="L6446">
        <v>98</v>
      </c>
      <c r="M6446">
        <v>628.59997558999999</v>
      </c>
      <c r="N6446" t="s">
        <v>87</v>
      </c>
      <c r="O6446" t="s">
        <v>86</v>
      </c>
      <c r="P6446">
        <v>131</v>
      </c>
      <c r="Q6446">
        <v>6</v>
      </c>
      <c r="R6446">
        <v>41</v>
      </c>
      <c r="S6446">
        <v>1431</v>
      </c>
      <c r="T6446">
        <v>-40</v>
      </c>
      <c r="U6446">
        <v>42</v>
      </c>
      <c r="V6446">
        <v>300</v>
      </c>
      <c r="W6446">
        <v>28</v>
      </c>
      <c r="X6446">
        <v>28</v>
      </c>
      <c r="Y6446">
        <v>1</v>
      </c>
      <c r="Z6446">
        <v>1</v>
      </c>
      <c r="AA6446">
        <v>26</v>
      </c>
      <c r="AB6446">
        <v>2</v>
      </c>
      <c r="AC6446">
        <v>2</v>
      </c>
      <c r="AD6446">
        <v>3.2820000600000001</v>
      </c>
      <c r="AE6446">
        <v>5</v>
      </c>
      <c r="AF6446">
        <v>38</v>
      </c>
      <c r="AG6446">
        <v>3.26799989</v>
      </c>
      <c r="AH6446">
        <v>7</v>
      </c>
      <c r="AI6446">
        <v>1</v>
      </c>
      <c r="AJ6446">
        <v>1</v>
      </c>
      <c r="AK6446">
        <v>18</v>
      </c>
      <c r="AL6446">
        <v>35</v>
      </c>
      <c r="AM6446" t="s">
        <v>43</v>
      </c>
      <c r="AN6446" t="str">
        <f>HYPERLINK("https://www.google.com/maps?q=10.76132584,79.80604553","Open Location")</f>
        <v>Open Location</v>
      </c>
    </row>
    <row r="6447" spans="1:40" x14ac:dyDescent="0.3">
      <c r="A6447" s="1">
        <v>46210.253125000003</v>
      </c>
      <c r="B6447" t="s">
        <v>40</v>
      </c>
      <c r="C6447" t="s">
        <v>41</v>
      </c>
      <c r="D6447" s="1">
        <v>46210.255902777775</v>
      </c>
      <c r="E6447" t="s">
        <v>42</v>
      </c>
      <c r="F6447" t="s">
        <v>83</v>
      </c>
      <c r="G6447">
        <v>50</v>
      </c>
      <c r="H6447">
        <v>33070</v>
      </c>
      <c r="I6447" t="s">
        <v>3713</v>
      </c>
      <c r="J6447">
        <v>67</v>
      </c>
      <c r="K6447">
        <v>69</v>
      </c>
      <c r="L6447">
        <v>98</v>
      </c>
      <c r="M6447">
        <v>628.40002441000001</v>
      </c>
      <c r="N6447" t="s">
        <v>87</v>
      </c>
      <c r="O6447" t="s">
        <v>86</v>
      </c>
      <c r="P6447">
        <v>131</v>
      </c>
      <c r="Q6447">
        <v>6</v>
      </c>
      <c r="R6447">
        <v>38</v>
      </c>
      <c r="S6447">
        <v>1415</v>
      </c>
      <c r="T6447">
        <v>-40</v>
      </c>
      <c r="U6447">
        <v>43</v>
      </c>
      <c r="V6447">
        <v>280</v>
      </c>
      <c r="W6447">
        <v>28</v>
      </c>
      <c r="X6447">
        <v>28</v>
      </c>
      <c r="Y6447">
        <v>1</v>
      </c>
      <c r="Z6447">
        <v>1</v>
      </c>
      <c r="AA6447">
        <v>26</v>
      </c>
      <c r="AB6447">
        <v>2</v>
      </c>
      <c r="AC6447">
        <v>2</v>
      </c>
      <c r="AD6447">
        <v>3.28299999</v>
      </c>
      <c r="AE6447">
        <v>5</v>
      </c>
      <c r="AF6447">
        <v>38</v>
      </c>
      <c r="AG6447">
        <v>3.2690000499999998</v>
      </c>
      <c r="AH6447">
        <v>7</v>
      </c>
      <c r="AI6447">
        <v>1</v>
      </c>
      <c r="AJ6447">
        <v>1</v>
      </c>
      <c r="AK6447">
        <v>18</v>
      </c>
      <c r="AL6447">
        <v>35</v>
      </c>
      <c r="AM6447" t="s">
        <v>43</v>
      </c>
      <c r="AN6447" t="str">
        <f>HYPERLINK("https://www.google.com/maps?q=10.76140499,79.80436707","Open Location")</f>
        <v>Open Location</v>
      </c>
    </row>
    <row r="6448" spans="1:40" x14ac:dyDescent="0.3">
      <c r="A6448" s="1">
        <v>46210.253009259257</v>
      </c>
      <c r="B6448" t="s">
        <v>40</v>
      </c>
      <c r="C6448" t="s">
        <v>41</v>
      </c>
      <c r="D6448" s="1">
        <v>46210.255902777775</v>
      </c>
      <c r="E6448" t="s">
        <v>42</v>
      </c>
      <c r="F6448" t="s">
        <v>83</v>
      </c>
      <c r="G6448">
        <v>48</v>
      </c>
      <c r="H6448">
        <v>33070</v>
      </c>
      <c r="I6448" t="s">
        <v>3714</v>
      </c>
      <c r="J6448">
        <v>67</v>
      </c>
      <c r="K6448">
        <v>73</v>
      </c>
      <c r="L6448">
        <v>98</v>
      </c>
      <c r="M6448">
        <v>628.20001220999995</v>
      </c>
      <c r="N6448" t="s">
        <v>87</v>
      </c>
      <c r="O6448" t="s">
        <v>86</v>
      </c>
      <c r="P6448">
        <v>131</v>
      </c>
      <c r="Q6448">
        <v>6</v>
      </c>
      <c r="R6448">
        <v>55</v>
      </c>
      <c r="S6448">
        <v>1391</v>
      </c>
      <c r="T6448">
        <v>-40</v>
      </c>
      <c r="U6448">
        <v>43</v>
      </c>
      <c r="V6448">
        <v>300</v>
      </c>
      <c r="W6448">
        <v>28</v>
      </c>
      <c r="X6448">
        <v>28</v>
      </c>
      <c r="Y6448">
        <v>1</v>
      </c>
      <c r="Z6448">
        <v>1</v>
      </c>
      <c r="AA6448">
        <v>26</v>
      </c>
      <c r="AB6448">
        <v>2</v>
      </c>
      <c r="AC6448">
        <v>2</v>
      </c>
      <c r="AD6448">
        <v>3.2809998999999999</v>
      </c>
      <c r="AE6448">
        <v>5</v>
      </c>
      <c r="AF6448">
        <v>38</v>
      </c>
      <c r="AG6448">
        <v>3.26799989</v>
      </c>
      <c r="AH6448">
        <v>7</v>
      </c>
      <c r="AI6448">
        <v>1</v>
      </c>
      <c r="AJ6448">
        <v>1</v>
      </c>
      <c r="AK6448">
        <v>18</v>
      </c>
      <c r="AL6448">
        <v>35</v>
      </c>
      <c r="AM6448" t="s">
        <v>43</v>
      </c>
      <c r="AN6448" t="str">
        <f>HYPERLINK("https://www.google.com/maps?q=10.76148605,79.80285645","Open Location")</f>
        <v>Open Location</v>
      </c>
    </row>
    <row r="6449" spans="1:40" x14ac:dyDescent="0.3">
      <c r="A6449" s="1">
        <v>46210.252893518518</v>
      </c>
      <c r="B6449" t="s">
        <v>40</v>
      </c>
      <c r="C6449" t="s">
        <v>41</v>
      </c>
      <c r="D6449" s="1">
        <v>46210.255798611113</v>
      </c>
      <c r="E6449" t="s">
        <v>42</v>
      </c>
      <c r="F6449" t="s">
        <v>83</v>
      </c>
      <c r="G6449">
        <v>43</v>
      </c>
      <c r="H6449" t="s">
        <v>43</v>
      </c>
      <c r="I6449" t="s">
        <v>43</v>
      </c>
      <c r="J6449">
        <v>67</v>
      </c>
      <c r="K6449">
        <v>69</v>
      </c>
      <c r="L6449">
        <v>98</v>
      </c>
      <c r="M6449">
        <v>628.29998779000005</v>
      </c>
      <c r="N6449" t="s">
        <v>87</v>
      </c>
      <c r="O6449" t="s">
        <v>86</v>
      </c>
      <c r="P6449">
        <v>131</v>
      </c>
      <c r="Q6449">
        <v>6</v>
      </c>
      <c r="R6449">
        <v>100</v>
      </c>
      <c r="S6449">
        <v>1338</v>
      </c>
      <c r="T6449">
        <v>-40</v>
      </c>
      <c r="U6449">
        <v>45</v>
      </c>
      <c r="V6449">
        <v>300</v>
      </c>
      <c r="W6449">
        <v>28</v>
      </c>
      <c r="X6449">
        <v>28</v>
      </c>
      <c r="Y6449">
        <v>1</v>
      </c>
      <c r="Z6449">
        <v>1</v>
      </c>
      <c r="AA6449">
        <v>26</v>
      </c>
      <c r="AB6449">
        <v>2</v>
      </c>
      <c r="AC6449">
        <v>2</v>
      </c>
      <c r="AD6449">
        <v>3.2839999199999999</v>
      </c>
      <c r="AE6449">
        <v>5</v>
      </c>
      <c r="AF6449">
        <v>38</v>
      </c>
      <c r="AG6449">
        <v>3.27099991</v>
      </c>
      <c r="AH6449">
        <v>7</v>
      </c>
      <c r="AI6449">
        <v>1</v>
      </c>
      <c r="AJ6449">
        <v>1</v>
      </c>
      <c r="AK6449">
        <v>18</v>
      </c>
      <c r="AL6449">
        <v>35</v>
      </c>
      <c r="AM6449" t="s">
        <v>43</v>
      </c>
      <c r="AN6449" t="s">
        <v>43</v>
      </c>
    </row>
    <row r="6450" spans="1:40" x14ac:dyDescent="0.3">
      <c r="A6450" s="1">
        <v>46210.25277777778</v>
      </c>
      <c r="B6450" t="s">
        <v>40</v>
      </c>
      <c r="C6450" t="s">
        <v>41</v>
      </c>
      <c r="D6450" s="1">
        <v>46210.255902777775</v>
      </c>
      <c r="E6450" t="s">
        <v>42</v>
      </c>
      <c r="F6450" t="s">
        <v>83</v>
      </c>
      <c r="G6450">
        <v>30</v>
      </c>
      <c r="H6450">
        <v>33070</v>
      </c>
      <c r="I6450" t="s">
        <v>3715</v>
      </c>
      <c r="J6450">
        <v>67</v>
      </c>
      <c r="K6450">
        <v>94</v>
      </c>
      <c r="L6450">
        <v>98</v>
      </c>
      <c r="M6450">
        <v>625.70001220999995</v>
      </c>
      <c r="N6450" t="s">
        <v>87</v>
      </c>
      <c r="O6450" t="s">
        <v>86</v>
      </c>
      <c r="P6450">
        <v>130</v>
      </c>
      <c r="Q6450">
        <v>5</v>
      </c>
      <c r="R6450">
        <v>108</v>
      </c>
      <c r="S6450">
        <v>1102</v>
      </c>
      <c r="T6450">
        <v>-40</v>
      </c>
      <c r="U6450">
        <v>43</v>
      </c>
      <c r="V6450">
        <v>590</v>
      </c>
      <c r="W6450">
        <v>28</v>
      </c>
      <c r="X6450">
        <v>28</v>
      </c>
      <c r="Y6450">
        <v>1</v>
      </c>
      <c r="Z6450">
        <v>1</v>
      </c>
      <c r="AA6450">
        <v>26</v>
      </c>
      <c r="AB6450">
        <v>2</v>
      </c>
      <c r="AC6450">
        <v>2</v>
      </c>
      <c r="AD6450">
        <v>3.2720000699999998</v>
      </c>
      <c r="AE6450">
        <v>5</v>
      </c>
      <c r="AF6450">
        <v>38</v>
      </c>
      <c r="AG6450">
        <v>3.2539999499999999</v>
      </c>
      <c r="AH6450">
        <v>8</v>
      </c>
      <c r="AI6450">
        <v>35</v>
      </c>
      <c r="AJ6450">
        <v>1</v>
      </c>
      <c r="AK6450">
        <v>18</v>
      </c>
      <c r="AL6450">
        <v>35</v>
      </c>
      <c r="AM6450" t="s">
        <v>43</v>
      </c>
      <c r="AN6450" t="str">
        <f>HYPERLINK("https://www.google.com/maps?q=10.76156044,79.80149078","Open Location")</f>
        <v>Open Location</v>
      </c>
    </row>
    <row r="6451" spans="1:40" x14ac:dyDescent="0.3">
      <c r="A6451" s="1">
        <v>46210.252662037034</v>
      </c>
      <c r="B6451" t="s">
        <v>40</v>
      </c>
      <c r="C6451" t="s">
        <v>41</v>
      </c>
      <c r="D6451" s="1">
        <v>46210.255555555559</v>
      </c>
      <c r="E6451" t="s">
        <v>42</v>
      </c>
      <c r="F6451" t="s">
        <v>83</v>
      </c>
      <c r="G6451">
        <v>21</v>
      </c>
      <c r="H6451">
        <v>33070</v>
      </c>
      <c r="I6451" t="s">
        <v>3716</v>
      </c>
      <c r="J6451">
        <v>68</v>
      </c>
      <c r="K6451">
        <v>85</v>
      </c>
      <c r="L6451">
        <v>98</v>
      </c>
      <c r="M6451">
        <v>629.90002441000001</v>
      </c>
      <c r="N6451" t="s">
        <v>87</v>
      </c>
      <c r="O6451" t="s">
        <v>86</v>
      </c>
      <c r="P6451">
        <v>129</v>
      </c>
      <c r="Q6451">
        <v>4</v>
      </c>
      <c r="R6451">
        <v>0</v>
      </c>
      <c r="S6451">
        <v>1176</v>
      </c>
      <c r="T6451">
        <v>-40</v>
      </c>
      <c r="U6451">
        <v>42</v>
      </c>
      <c r="V6451">
        <v>400</v>
      </c>
      <c r="W6451">
        <v>28</v>
      </c>
      <c r="X6451">
        <v>28</v>
      </c>
      <c r="Y6451">
        <v>1</v>
      </c>
      <c r="Z6451">
        <v>1</v>
      </c>
      <c r="AA6451">
        <v>26</v>
      </c>
      <c r="AB6451">
        <v>2</v>
      </c>
      <c r="AC6451">
        <v>2</v>
      </c>
      <c r="AD6451">
        <v>3.28800011</v>
      </c>
      <c r="AE6451">
        <v>5</v>
      </c>
      <c r="AF6451">
        <v>38</v>
      </c>
      <c r="AG6451">
        <v>3.27399993</v>
      </c>
      <c r="AH6451">
        <v>7</v>
      </c>
      <c r="AI6451">
        <v>1</v>
      </c>
      <c r="AJ6451">
        <v>1</v>
      </c>
      <c r="AK6451">
        <v>18</v>
      </c>
      <c r="AL6451">
        <v>35</v>
      </c>
      <c r="AM6451" t="s">
        <v>43</v>
      </c>
      <c r="AN6451" t="str">
        <f>HYPERLINK("https://www.google.com/maps?q=10.76159382,79.80054474","Open Location")</f>
        <v>Open Location</v>
      </c>
    </row>
    <row r="6452" spans="1:40" x14ac:dyDescent="0.3">
      <c r="A6452" s="1">
        <v>46210.252546296295</v>
      </c>
      <c r="B6452" t="s">
        <v>40</v>
      </c>
      <c r="C6452" t="s">
        <v>41</v>
      </c>
      <c r="D6452" s="1">
        <v>46210.255543981482</v>
      </c>
      <c r="E6452" t="s">
        <v>42</v>
      </c>
      <c r="F6452" t="s">
        <v>83</v>
      </c>
      <c r="G6452">
        <v>35</v>
      </c>
      <c r="H6452">
        <v>33070</v>
      </c>
      <c r="I6452" t="s">
        <v>3717</v>
      </c>
      <c r="J6452">
        <v>68</v>
      </c>
      <c r="K6452">
        <v>-19</v>
      </c>
      <c r="L6452">
        <v>98</v>
      </c>
      <c r="M6452">
        <v>634.79998779000005</v>
      </c>
      <c r="N6452" t="s">
        <v>87</v>
      </c>
      <c r="O6452" t="s">
        <v>86</v>
      </c>
      <c r="P6452">
        <v>131</v>
      </c>
      <c r="Q6452">
        <v>6</v>
      </c>
      <c r="R6452">
        <v>-48</v>
      </c>
      <c r="S6452">
        <v>642</v>
      </c>
      <c r="T6452">
        <v>-40</v>
      </c>
      <c r="U6452">
        <v>42</v>
      </c>
      <c r="V6452">
        <v>-300</v>
      </c>
      <c r="W6452">
        <v>28</v>
      </c>
      <c r="X6452">
        <v>28</v>
      </c>
      <c r="Y6452">
        <v>1</v>
      </c>
      <c r="Z6452">
        <v>1</v>
      </c>
      <c r="AA6452">
        <v>26</v>
      </c>
      <c r="AB6452">
        <v>2</v>
      </c>
      <c r="AC6452">
        <v>2</v>
      </c>
      <c r="AD6452">
        <v>3.30999994</v>
      </c>
      <c r="AE6452">
        <v>1</v>
      </c>
      <c r="AF6452">
        <v>25</v>
      </c>
      <c r="AG6452">
        <v>3.3010001199999999</v>
      </c>
      <c r="AH6452">
        <v>8</v>
      </c>
      <c r="AI6452">
        <v>48</v>
      </c>
      <c r="AJ6452">
        <v>1</v>
      </c>
      <c r="AK6452">
        <v>18</v>
      </c>
      <c r="AL6452">
        <v>35</v>
      </c>
      <c r="AM6452" t="s">
        <v>43</v>
      </c>
      <c r="AN6452" t="str">
        <f>HYPERLINK("https://www.google.com/maps?q=10.76170921,79.79978943","Open Location")</f>
        <v>Open Location</v>
      </c>
    </row>
    <row r="6453" spans="1:40" x14ac:dyDescent="0.3">
      <c r="A6453" s="1">
        <v>46210.252430555556</v>
      </c>
      <c r="B6453" t="s">
        <v>40</v>
      </c>
      <c r="C6453" t="s">
        <v>41</v>
      </c>
      <c r="D6453" s="1">
        <v>46210.255069444444</v>
      </c>
      <c r="E6453" t="s">
        <v>42</v>
      </c>
      <c r="F6453" t="s">
        <v>83</v>
      </c>
      <c r="G6453">
        <v>42</v>
      </c>
      <c r="H6453">
        <v>33070</v>
      </c>
      <c r="I6453" t="s">
        <v>3718</v>
      </c>
      <c r="J6453">
        <v>68</v>
      </c>
      <c r="K6453">
        <v>-42</v>
      </c>
      <c r="L6453">
        <v>98</v>
      </c>
      <c r="M6453">
        <v>634</v>
      </c>
      <c r="N6453" t="s">
        <v>87</v>
      </c>
      <c r="O6453" t="s">
        <v>86</v>
      </c>
      <c r="P6453">
        <v>131</v>
      </c>
      <c r="Q6453">
        <v>6</v>
      </c>
      <c r="R6453">
        <v>36</v>
      </c>
      <c r="S6453">
        <v>1136</v>
      </c>
      <c r="T6453">
        <v>-40</v>
      </c>
      <c r="U6453">
        <v>43</v>
      </c>
      <c r="V6453">
        <v>-300</v>
      </c>
      <c r="W6453">
        <v>28</v>
      </c>
      <c r="X6453">
        <v>28</v>
      </c>
      <c r="Y6453">
        <v>1</v>
      </c>
      <c r="Z6453">
        <v>1</v>
      </c>
      <c r="AA6453">
        <v>26</v>
      </c>
      <c r="AB6453">
        <v>2</v>
      </c>
      <c r="AC6453">
        <v>2</v>
      </c>
      <c r="AD6453">
        <v>3.3059999900000001</v>
      </c>
      <c r="AE6453">
        <v>1</v>
      </c>
      <c r="AF6453">
        <v>2</v>
      </c>
      <c r="AG6453">
        <v>3.2980000999999999</v>
      </c>
      <c r="AH6453">
        <v>8</v>
      </c>
      <c r="AI6453">
        <v>48</v>
      </c>
      <c r="AJ6453">
        <v>1</v>
      </c>
      <c r="AK6453">
        <v>18</v>
      </c>
      <c r="AL6453">
        <v>35</v>
      </c>
      <c r="AM6453" t="s">
        <v>43</v>
      </c>
      <c r="AN6453" t="str">
        <f>HYPERLINK("https://www.google.com/maps?q=10.76194954,79.79857635","Open Location")</f>
        <v>Open Location</v>
      </c>
    </row>
    <row r="6454" spans="1:40" x14ac:dyDescent="0.3">
      <c r="A6454" s="1">
        <v>46210.252314814818</v>
      </c>
      <c r="B6454" t="s">
        <v>40</v>
      </c>
      <c r="C6454" t="s">
        <v>41</v>
      </c>
      <c r="D6454" s="1">
        <v>46210.25509259259</v>
      </c>
      <c r="E6454" t="s">
        <v>42</v>
      </c>
      <c r="F6454" t="s">
        <v>83</v>
      </c>
      <c r="G6454">
        <v>38</v>
      </c>
      <c r="H6454">
        <v>33070</v>
      </c>
      <c r="I6454" t="s">
        <v>3719</v>
      </c>
      <c r="J6454">
        <v>68</v>
      </c>
      <c r="K6454">
        <v>93</v>
      </c>
      <c r="L6454">
        <v>98</v>
      </c>
      <c r="M6454">
        <v>628.70001220999995</v>
      </c>
      <c r="N6454" t="s">
        <v>87</v>
      </c>
      <c r="O6454" t="s">
        <v>86</v>
      </c>
      <c r="P6454">
        <v>130</v>
      </c>
      <c r="Q6454">
        <v>5</v>
      </c>
      <c r="R6454">
        <v>88</v>
      </c>
      <c r="S6454">
        <v>1147</v>
      </c>
      <c r="T6454">
        <v>-40</v>
      </c>
      <c r="U6454">
        <v>44</v>
      </c>
      <c r="V6454">
        <v>420</v>
      </c>
      <c r="W6454">
        <v>28</v>
      </c>
      <c r="X6454">
        <v>28</v>
      </c>
      <c r="Y6454">
        <v>1</v>
      </c>
      <c r="Z6454">
        <v>1</v>
      </c>
      <c r="AA6454">
        <v>26</v>
      </c>
      <c r="AB6454">
        <v>2</v>
      </c>
      <c r="AC6454">
        <v>2</v>
      </c>
      <c r="AD6454">
        <v>3.2839999199999999</v>
      </c>
      <c r="AE6454">
        <v>5</v>
      </c>
      <c r="AF6454">
        <v>38</v>
      </c>
      <c r="AG6454">
        <v>3.2699999800000001</v>
      </c>
      <c r="AH6454">
        <v>7</v>
      </c>
      <c r="AI6454">
        <v>1</v>
      </c>
      <c r="AJ6454">
        <v>1</v>
      </c>
      <c r="AK6454">
        <v>18</v>
      </c>
      <c r="AL6454">
        <v>35</v>
      </c>
      <c r="AM6454" t="s">
        <v>43</v>
      </c>
      <c r="AN6454" t="str">
        <f>HYPERLINK("https://www.google.com/maps?q=10.76225185,79.79730988","Open Location")</f>
        <v>Open Location</v>
      </c>
    </row>
    <row r="6455" spans="1:40" x14ac:dyDescent="0.3">
      <c r="A6455" s="1">
        <v>46210.252199074072</v>
      </c>
      <c r="B6455" t="s">
        <v>40</v>
      </c>
      <c r="C6455" t="s">
        <v>41</v>
      </c>
      <c r="D6455" s="1">
        <v>46210.255208333336</v>
      </c>
      <c r="E6455" t="s">
        <v>42</v>
      </c>
      <c r="F6455" t="s">
        <v>83</v>
      </c>
      <c r="G6455">
        <v>47</v>
      </c>
      <c r="H6455">
        <v>33070</v>
      </c>
      <c r="I6455" t="s">
        <v>43</v>
      </c>
      <c r="J6455">
        <v>68</v>
      </c>
      <c r="K6455">
        <v>186</v>
      </c>
      <c r="L6455">
        <v>98</v>
      </c>
      <c r="M6455">
        <v>627</v>
      </c>
      <c r="N6455" t="s">
        <v>87</v>
      </c>
      <c r="O6455" t="s">
        <v>86</v>
      </c>
      <c r="P6455">
        <v>131</v>
      </c>
      <c r="Q6455">
        <v>6</v>
      </c>
      <c r="R6455">
        <v>-138</v>
      </c>
      <c r="S6455">
        <v>1521</v>
      </c>
      <c r="T6455">
        <v>-40</v>
      </c>
      <c r="U6455">
        <v>43</v>
      </c>
      <c r="V6455">
        <v>680</v>
      </c>
      <c r="W6455">
        <v>28</v>
      </c>
      <c r="X6455">
        <v>28</v>
      </c>
      <c r="Y6455">
        <v>1</v>
      </c>
      <c r="Z6455">
        <v>1</v>
      </c>
      <c r="AA6455">
        <v>26</v>
      </c>
      <c r="AB6455">
        <v>2</v>
      </c>
      <c r="AC6455">
        <v>2</v>
      </c>
      <c r="AD6455">
        <v>3.2780001200000002</v>
      </c>
      <c r="AE6455">
        <v>5</v>
      </c>
      <c r="AF6455">
        <v>38</v>
      </c>
      <c r="AG6455">
        <v>3.2599999899999998</v>
      </c>
      <c r="AH6455">
        <v>7</v>
      </c>
      <c r="AI6455">
        <v>1</v>
      </c>
      <c r="AJ6455">
        <v>1</v>
      </c>
      <c r="AK6455">
        <v>19</v>
      </c>
      <c r="AL6455">
        <v>35</v>
      </c>
      <c r="AM6455" t="s">
        <v>43</v>
      </c>
      <c r="AN6455" t="s">
        <v>43</v>
      </c>
    </row>
    <row r="6456" spans="1:40" x14ac:dyDescent="0.3">
      <c r="A6456" s="1">
        <v>46210.252083333333</v>
      </c>
      <c r="B6456" t="s">
        <v>40</v>
      </c>
      <c r="C6456" t="s">
        <v>41</v>
      </c>
      <c r="D6456" s="1">
        <v>46210.255046296297</v>
      </c>
      <c r="E6456" t="s">
        <v>42</v>
      </c>
      <c r="F6456" t="s">
        <v>83</v>
      </c>
      <c r="G6456">
        <v>57</v>
      </c>
      <c r="H6456">
        <v>33069</v>
      </c>
      <c r="I6456" t="s">
        <v>3720</v>
      </c>
      <c r="J6456">
        <v>68</v>
      </c>
      <c r="K6456">
        <v>-90</v>
      </c>
      <c r="L6456">
        <v>98</v>
      </c>
      <c r="M6456">
        <v>638.70001220999995</v>
      </c>
      <c r="N6456" t="s">
        <v>87</v>
      </c>
      <c r="O6456" t="s">
        <v>86</v>
      </c>
      <c r="P6456">
        <v>131</v>
      </c>
      <c r="Q6456">
        <v>6</v>
      </c>
      <c r="R6456">
        <v>56</v>
      </c>
      <c r="S6456">
        <v>1544</v>
      </c>
      <c r="T6456">
        <v>-40</v>
      </c>
      <c r="U6456">
        <v>42</v>
      </c>
      <c r="V6456">
        <v>-300</v>
      </c>
      <c r="W6456">
        <v>28</v>
      </c>
      <c r="X6456">
        <v>28</v>
      </c>
      <c r="Y6456">
        <v>1</v>
      </c>
      <c r="Z6456">
        <v>1</v>
      </c>
      <c r="AA6456">
        <v>26</v>
      </c>
      <c r="AB6456">
        <v>2</v>
      </c>
      <c r="AC6456">
        <v>2</v>
      </c>
      <c r="AD6456">
        <v>3.33599997</v>
      </c>
      <c r="AE6456">
        <v>4</v>
      </c>
      <c r="AF6456">
        <v>24</v>
      </c>
      <c r="AG6456">
        <v>3.3259999800000002</v>
      </c>
      <c r="AH6456">
        <v>5</v>
      </c>
      <c r="AI6456">
        <v>27</v>
      </c>
      <c r="AJ6456">
        <v>1</v>
      </c>
      <c r="AK6456">
        <v>18</v>
      </c>
      <c r="AL6456">
        <v>35</v>
      </c>
      <c r="AM6456" t="s">
        <v>43</v>
      </c>
      <c r="AN6456" t="str">
        <f>HYPERLINK("https://www.google.com/maps?q=10.76264858,79.79603577","Open Location")</f>
        <v>Open Location</v>
      </c>
    </row>
    <row r="6457" spans="1:40" x14ac:dyDescent="0.3">
      <c r="A6457" s="1">
        <v>46210.251967592594</v>
      </c>
      <c r="B6457" t="s">
        <v>40</v>
      </c>
      <c r="C6457" t="s">
        <v>41</v>
      </c>
      <c r="D6457" s="1">
        <v>46210.254803240743</v>
      </c>
      <c r="E6457" t="s">
        <v>42</v>
      </c>
      <c r="F6457" t="s">
        <v>83</v>
      </c>
      <c r="G6457">
        <v>56</v>
      </c>
      <c r="H6457" t="s">
        <v>43</v>
      </c>
      <c r="I6457" t="s">
        <v>3721</v>
      </c>
      <c r="J6457">
        <v>68</v>
      </c>
      <c r="K6457">
        <v>89</v>
      </c>
      <c r="L6457">
        <v>98</v>
      </c>
      <c r="M6457">
        <v>627.59997558999999</v>
      </c>
      <c r="N6457" t="s">
        <v>87</v>
      </c>
      <c r="O6457" t="s">
        <v>86</v>
      </c>
      <c r="P6457">
        <v>131</v>
      </c>
      <c r="Q6457">
        <v>6</v>
      </c>
      <c r="R6457">
        <v>39</v>
      </c>
      <c r="S6457">
        <v>1576</v>
      </c>
      <c r="T6457">
        <v>-40</v>
      </c>
      <c r="U6457">
        <v>42</v>
      </c>
      <c r="V6457">
        <v>320</v>
      </c>
      <c r="W6457">
        <v>28</v>
      </c>
      <c r="X6457">
        <v>28</v>
      </c>
      <c r="Y6457">
        <v>1</v>
      </c>
      <c r="Z6457">
        <v>1</v>
      </c>
      <c r="AA6457">
        <v>26</v>
      </c>
      <c r="AB6457">
        <v>2</v>
      </c>
      <c r="AC6457">
        <v>2</v>
      </c>
      <c r="AD6457">
        <v>3.2790000400000001</v>
      </c>
      <c r="AE6457">
        <v>5</v>
      </c>
      <c r="AF6457">
        <v>38</v>
      </c>
      <c r="AG6457">
        <v>3.2650001</v>
      </c>
      <c r="AH6457">
        <v>7</v>
      </c>
      <c r="AI6457">
        <v>1</v>
      </c>
      <c r="AJ6457">
        <v>1</v>
      </c>
      <c r="AK6457">
        <v>18</v>
      </c>
      <c r="AL6457">
        <v>35</v>
      </c>
      <c r="AM6457" t="s">
        <v>43</v>
      </c>
      <c r="AN6457" t="str">
        <f>HYPERLINK("https://www.google.com/maps?q=10.76329899,79.79439545","Open Location")</f>
        <v>Open Location</v>
      </c>
    </row>
    <row r="6458" spans="1:40" x14ac:dyDescent="0.3">
      <c r="A6458" s="1">
        <v>46210.251851851855</v>
      </c>
      <c r="B6458" t="s">
        <v>40</v>
      </c>
      <c r="C6458" t="s">
        <v>41</v>
      </c>
      <c r="D6458" s="1">
        <v>46210.254814814813</v>
      </c>
      <c r="E6458" t="s">
        <v>42</v>
      </c>
      <c r="F6458" t="s">
        <v>83</v>
      </c>
      <c r="G6458">
        <v>55</v>
      </c>
      <c r="H6458">
        <v>33069</v>
      </c>
      <c r="I6458" t="s">
        <v>3722</v>
      </c>
      <c r="J6458">
        <v>68</v>
      </c>
      <c r="K6458">
        <v>86</v>
      </c>
      <c r="L6458">
        <v>98</v>
      </c>
      <c r="M6458">
        <v>627.29998779000005</v>
      </c>
      <c r="N6458" t="s">
        <v>87</v>
      </c>
      <c r="O6458" t="s">
        <v>86</v>
      </c>
      <c r="P6458">
        <v>131</v>
      </c>
      <c r="Q6458">
        <v>6</v>
      </c>
      <c r="R6458">
        <v>64</v>
      </c>
      <c r="S6458">
        <v>1552</v>
      </c>
      <c r="T6458">
        <v>-40</v>
      </c>
      <c r="U6458">
        <v>43</v>
      </c>
      <c r="V6458">
        <v>332</v>
      </c>
      <c r="W6458">
        <v>28</v>
      </c>
      <c r="X6458">
        <v>28</v>
      </c>
      <c r="Y6458">
        <v>1</v>
      </c>
      <c r="Z6458">
        <v>1</v>
      </c>
      <c r="AA6458">
        <v>26</v>
      </c>
      <c r="AB6458">
        <v>2</v>
      </c>
      <c r="AC6458">
        <v>2</v>
      </c>
      <c r="AD6458">
        <v>3.2780001200000002</v>
      </c>
      <c r="AE6458">
        <v>5</v>
      </c>
      <c r="AF6458">
        <v>38</v>
      </c>
      <c r="AG6458">
        <v>3.2639999400000002</v>
      </c>
      <c r="AH6458">
        <v>7</v>
      </c>
      <c r="AI6458">
        <v>1</v>
      </c>
      <c r="AJ6458">
        <v>1</v>
      </c>
      <c r="AK6458">
        <v>18</v>
      </c>
      <c r="AL6458">
        <v>35</v>
      </c>
      <c r="AM6458" t="s">
        <v>43</v>
      </c>
      <c r="AN6458" t="str">
        <f>HYPERLINK("https://www.google.com/maps?q=10.76394939,79.7928009","Open Location")</f>
        <v>Open Location</v>
      </c>
    </row>
    <row r="6459" spans="1:40" x14ac:dyDescent="0.3">
      <c r="A6459" s="1">
        <v>46210.251736111109</v>
      </c>
      <c r="B6459" t="s">
        <v>40</v>
      </c>
      <c r="C6459" t="s">
        <v>41</v>
      </c>
      <c r="D6459" s="1">
        <v>46210.25472222222</v>
      </c>
      <c r="E6459" t="s">
        <v>42</v>
      </c>
      <c r="F6459" t="s">
        <v>83</v>
      </c>
      <c r="G6459">
        <v>52</v>
      </c>
      <c r="H6459">
        <v>33069</v>
      </c>
      <c r="I6459" t="s">
        <v>3723</v>
      </c>
      <c r="J6459">
        <v>68</v>
      </c>
      <c r="K6459">
        <v>106</v>
      </c>
      <c r="L6459">
        <v>98</v>
      </c>
      <c r="M6459">
        <v>627.29998779000005</v>
      </c>
      <c r="N6459" t="s">
        <v>87</v>
      </c>
      <c r="O6459" t="s">
        <v>86</v>
      </c>
      <c r="P6459">
        <v>131</v>
      </c>
      <c r="Q6459">
        <v>6</v>
      </c>
      <c r="R6459">
        <v>69</v>
      </c>
      <c r="S6459">
        <v>1504</v>
      </c>
      <c r="T6459">
        <v>-40</v>
      </c>
      <c r="U6459">
        <v>42</v>
      </c>
      <c r="V6459">
        <v>400</v>
      </c>
      <c r="W6459">
        <v>28</v>
      </c>
      <c r="X6459">
        <v>28</v>
      </c>
      <c r="Y6459">
        <v>1</v>
      </c>
      <c r="Z6459">
        <v>1</v>
      </c>
      <c r="AA6459">
        <v>26</v>
      </c>
      <c r="AB6459">
        <v>2</v>
      </c>
      <c r="AC6459">
        <v>2</v>
      </c>
      <c r="AD6459">
        <v>3.27699995</v>
      </c>
      <c r="AE6459">
        <v>5</v>
      </c>
      <c r="AF6459">
        <v>38</v>
      </c>
      <c r="AG6459">
        <v>3.2609999200000002</v>
      </c>
      <c r="AH6459">
        <v>7</v>
      </c>
      <c r="AI6459">
        <v>1</v>
      </c>
      <c r="AJ6459">
        <v>1</v>
      </c>
      <c r="AK6459">
        <v>18</v>
      </c>
      <c r="AL6459">
        <v>35</v>
      </c>
      <c r="AM6459" t="s">
        <v>43</v>
      </c>
      <c r="AN6459" t="str">
        <f>HYPERLINK("https://www.google.com/maps?q=10.76455212,79.79127502","Open Location")</f>
        <v>Open Location</v>
      </c>
    </row>
    <row r="6460" spans="1:40" x14ac:dyDescent="0.3">
      <c r="A6460" s="1">
        <v>46210.251620370371</v>
      </c>
      <c r="B6460" t="s">
        <v>40</v>
      </c>
      <c r="C6460" t="s">
        <v>41</v>
      </c>
      <c r="D6460" s="1">
        <v>46210.254826388889</v>
      </c>
      <c r="E6460" t="s">
        <v>42</v>
      </c>
      <c r="F6460" t="s">
        <v>83</v>
      </c>
      <c r="G6460">
        <v>48</v>
      </c>
      <c r="H6460">
        <v>33069</v>
      </c>
      <c r="I6460" t="s">
        <v>43</v>
      </c>
      <c r="J6460">
        <v>68</v>
      </c>
      <c r="K6460">
        <v>112</v>
      </c>
      <c r="L6460">
        <v>98</v>
      </c>
      <c r="M6460">
        <v>627</v>
      </c>
      <c r="N6460" t="s">
        <v>87</v>
      </c>
      <c r="O6460" t="s">
        <v>86</v>
      </c>
      <c r="P6460">
        <v>131</v>
      </c>
      <c r="Q6460">
        <v>6</v>
      </c>
      <c r="R6460">
        <v>58</v>
      </c>
      <c r="S6460">
        <v>1408</v>
      </c>
      <c r="T6460">
        <v>-40</v>
      </c>
      <c r="U6460">
        <v>42</v>
      </c>
      <c r="V6460">
        <v>440</v>
      </c>
      <c r="W6460">
        <v>28</v>
      </c>
      <c r="X6460">
        <v>28</v>
      </c>
      <c r="Y6460">
        <v>1</v>
      </c>
      <c r="Z6460">
        <v>1</v>
      </c>
      <c r="AA6460">
        <v>26</v>
      </c>
      <c r="AB6460">
        <v>2</v>
      </c>
      <c r="AC6460">
        <v>2</v>
      </c>
      <c r="AD6460">
        <v>3.27999997</v>
      </c>
      <c r="AE6460">
        <v>5</v>
      </c>
      <c r="AF6460">
        <v>38</v>
      </c>
      <c r="AG6460">
        <v>3.2650001</v>
      </c>
      <c r="AH6460">
        <v>4</v>
      </c>
      <c r="AI6460">
        <v>17</v>
      </c>
      <c r="AJ6460">
        <v>1</v>
      </c>
      <c r="AK6460">
        <v>18</v>
      </c>
      <c r="AL6460">
        <v>35</v>
      </c>
      <c r="AM6460" t="s">
        <v>43</v>
      </c>
      <c r="AN6460" t="s">
        <v>43</v>
      </c>
    </row>
    <row r="6461" spans="1:40" x14ac:dyDescent="0.3">
      <c r="A6461" s="1">
        <v>46210.251504629632</v>
      </c>
      <c r="B6461" t="s">
        <v>40</v>
      </c>
      <c r="C6461" t="s">
        <v>41</v>
      </c>
      <c r="D6461" s="1">
        <v>46210.254340277781</v>
      </c>
      <c r="E6461" t="s">
        <v>42</v>
      </c>
      <c r="F6461" t="s">
        <v>83</v>
      </c>
      <c r="G6461">
        <v>49</v>
      </c>
      <c r="H6461">
        <v>33069</v>
      </c>
      <c r="I6461" t="s">
        <v>3724</v>
      </c>
      <c r="J6461">
        <v>68</v>
      </c>
      <c r="K6461">
        <v>27</v>
      </c>
      <c r="L6461">
        <v>98</v>
      </c>
      <c r="M6461">
        <v>628.5</v>
      </c>
      <c r="N6461" t="s">
        <v>87</v>
      </c>
      <c r="O6461" t="s">
        <v>86</v>
      </c>
      <c r="P6461">
        <v>131</v>
      </c>
      <c r="Q6461">
        <v>6</v>
      </c>
      <c r="R6461">
        <v>17</v>
      </c>
      <c r="S6461">
        <v>1274</v>
      </c>
      <c r="T6461">
        <v>-40</v>
      </c>
      <c r="U6461">
        <v>41</v>
      </c>
      <c r="V6461">
        <v>120</v>
      </c>
      <c r="W6461">
        <v>28</v>
      </c>
      <c r="X6461">
        <v>28</v>
      </c>
      <c r="Y6461">
        <v>1</v>
      </c>
      <c r="Z6461">
        <v>1</v>
      </c>
      <c r="AA6461">
        <v>26</v>
      </c>
      <c r="AB6461">
        <v>2</v>
      </c>
      <c r="AC6461">
        <v>2</v>
      </c>
      <c r="AD6461">
        <v>3.28500009</v>
      </c>
      <c r="AE6461">
        <v>5</v>
      </c>
      <c r="AF6461">
        <v>38</v>
      </c>
      <c r="AG6461">
        <v>3.27099991</v>
      </c>
      <c r="AH6461">
        <v>7</v>
      </c>
      <c r="AI6461">
        <v>1</v>
      </c>
      <c r="AJ6461">
        <v>1</v>
      </c>
      <c r="AK6461">
        <v>18</v>
      </c>
      <c r="AL6461">
        <v>35</v>
      </c>
      <c r="AM6461" t="s">
        <v>43</v>
      </c>
      <c r="AN6461" t="str">
        <f>HYPERLINK("https://www.google.com/maps?q=10.76501369,79.78984833","Open Location")</f>
        <v>Open Location</v>
      </c>
    </row>
    <row r="6462" spans="1:40" x14ac:dyDescent="0.3">
      <c r="A6462" s="1">
        <v>46210.251388888886</v>
      </c>
      <c r="B6462" t="s">
        <v>40</v>
      </c>
      <c r="C6462" t="s">
        <v>41</v>
      </c>
      <c r="D6462" s="1">
        <v>46210.254328703704</v>
      </c>
      <c r="E6462" t="s">
        <v>42</v>
      </c>
      <c r="F6462" t="s">
        <v>83</v>
      </c>
      <c r="G6462">
        <v>50</v>
      </c>
      <c r="H6462">
        <v>33069</v>
      </c>
      <c r="I6462" t="s">
        <v>3725</v>
      </c>
      <c r="J6462">
        <v>68</v>
      </c>
      <c r="K6462">
        <v>3</v>
      </c>
      <c r="L6462">
        <v>98</v>
      </c>
      <c r="M6462">
        <v>633.59997558999999</v>
      </c>
      <c r="N6462" t="s">
        <v>87</v>
      </c>
      <c r="O6462" t="s">
        <v>86</v>
      </c>
      <c r="P6462">
        <v>131</v>
      </c>
      <c r="Q6462">
        <v>6</v>
      </c>
      <c r="R6462">
        <v>60</v>
      </c>
      <c r="S6462">
        <v>1410</v>
      </c>
      <c r="T6462">
        <v>-40</v>
      </c>
      <c r="U6462">
        <v>42</v>
      </c>
      <c r="V6462">
        <v>-50</v>
      </c>
      <c r="W6462">
        <v>28</v>
      </c>
      <c r="X6462">
        <v>28</v>
      </c>
      <c r="Y6462">
        <v>1</v>
      </c>
      <c r="Z6462">
        <v>1</v>
      </c>
      <c r="AA6462">
        <v>26</v>
      </c>
      <c r="AB6462">
        <v>2</v>
      </c>
      <c r="AC6462">
        <v>2</v>
      </c>
      <c r="AD6462">
        <v>3.3050000700000002</v>
      </c>
      <c r="AE6462">
        <v>1</v>
      </c>
      <c r="AF6462">
        <v>2</v>
      </c>
      <c r="AG6462">
        <v>3.2980000999999999</v>
      </c>
      <c r="AH6462">
        <v>2</v>
      </c>
      <c r="AI6462">
        <v>45</v>
      </c>
      <c r="AJ6462">
        <v>1</v>
      </c>
      <c r="AK6462">
        <v>18</v>
      </c>
      <c r="AL6462">
        <v>35</v>
      </c>
      <c r="AM6462" t="s">
        <v>43</v>
      </c>
      <c r="AN6462" t="str">
        <f>HYPERLINK("https://www.google.com/maps?q=10.76539516,79.78823853","Open Location")</f>
        <v>Open Location</v>
      </c>
    </row>
    <row r="6463" spans="1:40" x14ac:dyDescent="0.3">
      <c r="A6463" s="1">
        <v>46210.251273148147</v>
      </c>
      <c r="B6463" t="s">
        <v>40</v>
      </c>
      <c r="C6463" t="s">
        <v>41</v>
      </c>
      <c r="D6463" s="1">
        <v>46210.25403935185</v>
      </c>
      <c r="E6463" t="s">
        <v>42</v>
      </c>
      <c r="F6463" t="s">
        <v>83</v>
      </c>
      <c r="G6463">
        <v>46</v>
      </c>
      <c r="H6463">
        <v>33068</v>
      </c>
      <c r="I6463" t="s">
        <v>3726</v>
      </c>
      <c r="J6463">
        <v>68</v>
      </c>
      <c r="K6463">
        <v>87</v>
      </c>
      <c r="L6463">
        <v>98</v>
      </c>
      <c r="M6463">
        <v>628.20001220999995</v>
      </c>
      <c r="N6463" t="s">
        <v>87</v>
      </c>
      <c r="O6463" t="s">
        <v>86</v>
      </c>
      <c r="P6463">
        <v>131</v>
      </c>
      <c r="Q6463">
        <v>6</v>
      </c>
      <c r="R6463">
        <v>69</v>
      </c>
      <c r="S6463">
        <v>1361</v>
      </c>
      <c r="T6463">
        <v>-40</v>
      </c>
      <c r="U6463">
        <v>42</v>
      </c>
      <c r="V6463">
        <v>360</v>
      </c>
      <c r="W6463">
        <v>28</v>
      </c>
      <c r="X6463">
        <v>28</v>
      </c>
      <c r="Y6463">
        <v>1</v>
      </c>
      <c r="Z6463">
        <v>1</v>
      </c>
      <c r="AA6463">
        <v>26</v>
      </c>
      <c r="AB6463">
        <v>2</v>
      </c>
      <c r="AC6463">
        <v>2</v>
      </c>
      <c r="AD6463">
        <v>3.2820000600000001</v>
      </c>
      <c r="AE6463">
        <v>5</v>
      </c>
      <c r="AF6463">
        <v>38</v>
      </c>
      <c r="AG6463">
        <v>3.26799989</v>
      </c>
      <c r="AH6463">
        <v>7</v>
      </c>
      <c r="AI6463">
        <v>1</v>
      </c>
      <c r="AJ6463">
        <v>1</v>
      </c>
      <c r="AK6463">
        <v>18</v>
      </c>
      <c r="AL6463">
        <v>35</v>
      </c>
      <c r="AM6463" t="s">
        <v>43</v>
      </c>
      <c r="AN6463" t="str">
        <f>HYPERLINK("https://www.google.com/maps?q=10.76562881,79.78675079","Open Location")</f>
        <v>Open Location</v>
      </c>
    </row>
    <row r="6464" spans="1:40" x14ac:dyDescent="0.3">
      <c r="A6464" s="1">
        <v>46210.251157407409</v>
      </c>
      <c r="B6464" t="s">
        <v>40</v>
      </c>
      <c r="C6464" t="s">
        <v>41</v>
      </c>
      <c r="D6464" s="1">
        <v>46210.254027777781</v>
      </c>
      <c r="E6464" t="s">
        <v>42</v>
      </c>
      <c r="F6464" t="s">
        <v>83</v>
      </c>
      <c r="G6464">
        <v>41</v>
      </c>
      <c r="H6464" t="s">
        <v>43</v>
      </c>
      <c r="I6464" t="s">
        <v>3727</v>
      </c>
      <c r="J6464">
        <v>68</v>
      </c>
      <c r="K6464">
        <v>88</v>
      </c>
      <c r="L6464">
        <v>98</v>
      </c>
      <c r="M6464">
        <v>628.5</v>
      </c>
      <c r="N6464" t="s">
        <v>87</v>
      </c>
      <c r="O6464" t="s">
        <v>86</v>
      </c>
      <c r="P6464">
        <v>131</v>
      </c>
      <c r="Q6464">
        <v>6</v>
      </c>
      <c r="R6464">
        <v>47</v>
      </c>
      <c r="S6464">
        <v>1227</v>
      </c>
      <c r="T6464">
        <v>-40</v>
      </c>
      <c r="U6464">
        <v>41</v>
      </c>
      <c r="V6464">
        <v>400</v>
      </c>
      <c r="W6464">
        <v>28</v>
      </c>
      <c r="X6464">
        <v>28</v>
      </c>
      <c r="Y6464">
        <v>1</v>
      </c>
      <c r="Z6464">
        <v>1</v>
      </c>
      <c r="AA6464">
        <v>26</v>
      </c>
      <c r="AB6464">
        <v>2</v>
      </c>
      <c r="AC6464">
        <v>2</v>
      </c>
      <c r="AD6464">
        <v>3.2809998999999999</v>
      </c>
      <c r="AE6464">
        <v>5</v>
      </c>
      <c r="AF6464">
        <v>38</v>
      </c>
      <c r="AG6464">
        <v>3.2660000299999998</v>
      </c>
      <c r="AH6464">
        <v>7</v>
      </c>
      <c r="AI6464">
        <v>1</v>
      </c>
      <c r="AJ6464" t="s">
        <v>43</v>
      </c>
      <c r="AK6464" t="s">
        <v>43</v>
      </c>
      <c r="AL6464">
        <v>35</v>
      </c>
      <c r="AM6464" t="s">
        <v>43</v>
      </c>
      <c r="AN6464" t="str">
        <f>HYPERLINK("https://www.google.com/maps?q=10.76573944,79.78542328","Open Location")</f>
        <v>Open Location</v>
      </c>
    </row>
    <row r="6465" spans="1:40" x14ac:dyDescent="0.3">
      <c r="A6465" s="1">
        <v>46210.25104166667</v>
      </c>
      <c r="B6465" t="s">
        <v>40</v>
      </c>
      <c r="C6465" t="s">
        <v>41</v>
      </c>
      <c r="D6465" s="1">
        <v>46210.253668981481</v>
      </c>
      <c r="E6465" t="s">
        <v>42</v>
      </c>
      <c r="F6465" t="s">
        <v>83</v>
      </c>
      <c r="G6465">
        <v>42</v>
      </c>
      <c r="H6465">
        <v>33068</v>
      </c>
      <c r="I6465" t="s">
        <v>3728</v>
      </c>
      <c r="J6465">
        <v>68</v>
      </c>
      <c r="K6465">
        <v>79</v>
      </c>
      <c r="L6465">
        <v>98</v>
      </c>
      <c r="M6465">
        <v>628.59997558999999</v>
      </c>
      <c r="N6465" t="s">
        <v>87</v>
      </c>
      <c r="O6465" t="s">
        <v>86</v>
      </c>
      <c r="P6465">
        <v>131</v>
      </c>
      <c r="Q6465">
        <v>6</v>
      </c>
      <c r="R6465">
        <v>-37</v>
      </c>
      <c r="S6465">
        <v>1098</v>
      </c>
      <c r="T6465">
        <v>-40</v>
      </c>
      <c r="U6465">
        <v>41</v>
      </c>
      <c r="V6465">
        <v>460</v>
      </c>
      <c r="W6465">
        <v>28</v>
      </c>
      <c r="X6465">
        <v>28</v>
      </c>
      <c r="Y6465">
        <v>1</v>
      </c>
      <c r="Z6465">
        <v>1</v>
      </c>
      <c r="AA6465">
        <v>26</v>
      </c>
      <c r="AB6465">
        <v>2</v>
      </c>
      <c r="AC6465">
        <v>2</v>
      </c>
      <c r="AD6465">
        <v>3.2939999100000001</v>
      </c>
      <c r="AE6465">
        <v>1</v>
      </c>
      <c r="AF6465">
        <v>25</v>
      </c>
      <c r="AG6465">
        <v>3.28299999</v>
      </c>
      <c r="AH6465">
        <v>7</v>
      </c>
      <c r="AI6465">
        <v>1</v>
      </c>
      <c r="AJ6465">
        <v>1</v>
      </c>
      <c r="AK6465">
        <v>18</v>
      </c>
      <c r="AL6465">
        <v>35</v>
      </c>
      <c r="AM6465" t="s">
        <v>43</v>
      </c>
      <c r="AN6465" t="str">
        <f>HYPERLINK("https://www.google.com/maps?q=10.76577854,79.78416443","Open Location")</f>
        <v>Open Location</v>
      </c>
    </row>
    <row r="6466" spans="1:40" x14ac:dyDescent="0.3">
      <c r="A6466" s="1">
        <v>46210.250925925924</v>
      </c>
      <c r="B6466" t="s">
        <v>40</v>
      </c>
      <c r="C6466" t="s">
        <v>41</v>
      </c>
      <c r="D6466" s="1">
        <v>46210.253680555557</v>
      </c>
      <c r="E6466" t="s">
        <v>42</v>
      </c>
      <c r="F6466" t="s">
        <v>83</v>
      </c>
      <c r="G6466">
        <v>51</v>
      </c>
      <c r="H6466" t="s">
        <v>43</v>
      </c>
      <c r="I6466" t="s">
        <v>43</v>
      </c>
      <c r="J6466">
        <v>68</v>
      </c>
      <c r="K6466">
        <v>-48</v>
      </c>
      <c r="L6466">
        <v>98</v>
      </c>
      <c r="M6466">
        <v>634.20001220999995</v>
      </c>
      <c r="N6466" t="s">
        <v>87</v>
      </c>
      <c r="O6466" t="s">
        <v>86</v>
      </c>
      <c r="P6466">
        <v>131</v>
      </c>
      <c r="Q6466">
        <v>6</v>
      </c>
      <c r="R6466">
        <v>-14</v>
      </c>
      <c r="S6466">
        <v>1271</v>
      </c>
      <c r="T6466">
        <v>-40</v>
      </c>
      <c r="U6466">
        <v>41</v>
      </c>
      <c r="V6466">
        <v>-300</v>
      </c>
      <c r="W6466">
        <v>28</v>
      </c>
      <c r="X6466">
        <v>28</v>
      </c>
      <c r="Y6466">
        <v>1</v>
      </c>
      <c r="Z6466">
        <v>1</v>
      </c>
      <c r="AA6466">
        <v>26</v>
      </c>
      <c r="AB6466">
        <v>2</v>
      </c>
      <c r="AC6466">
        <v>2</v>
      </c>
      <c r="AD6466">
        <v>3.3080000900000002</v>
      </c>
      <c r="AE6466">
        <v>1</v>
      </c>
      <c r="AF6466">
        <v>25</v>
      </c>
      <c r="AG6466">
        <v>3.2999999500000001</v>
      </c>
      <c r="AH6466">
        <v>8</v>
      </c>
      <c r="AI6466">
        <v>48</v>
      </c>
      <c r="AJ6466">
        <v>1</v>
      </c>
      <c r="AK6466">
        <v>18</v>
      </c>
      <c r="AL6466">
        <v>35</v>
      </c>
      <c r="AM6466" t="s">
        <v>43</v>
      </c>
      <c r="AN6466" t="s">
        <v>43</v>
      </c>
    </row>
    <row r="6467" spans="1:40" x14ac:dyDescent="0.3">
      <c r="A6467" s="1">
        <v>46210.250810185185</v>
      </c>
      <c r="B6467" t="s">
        <v>40</v>
      </c>
      <c r="C6467" t="s">
        <v>41</v>
      </c>
      <c r="D6467" s="1">
        <v>46210.253668981481</v>
      </c>
      <c r="E6467" t="s">
        <v>42</v>
      </c>
      <c r="F6467" t="s">
        <v>83</v>
      </c>
      <c r="G6467">
        <v>51</v>
      </c>
      <c r="H6467">
        <v>33068</v>
      </c>
      <c r="I6467" t="s">
        <v>3729</v>
      </c>
      <c r="J6467">
        <v>68</v>
      </c>
      <c r="K6467">
        <v>82</v>
      </c>
      <c r="L6467">
        <v>98</v>
      </c>
      <c r="M6467">
        <v>628</v>
      </c>
      <c r="N6467" t="s">
        <v>87</v>
      </c>
      <c r="O6467" t="s">
        <v>86</v>
      </c>
      <c r="P6467">
        <v>131</v>
      </c>
      <c r="Q6467">
        <v>6</v>
      </c>
      <c r="R6467">
        <v>41</v>
      </c>
      <c r="S6467">
        <v>1445</v>
      </c>
      <c r="T6467">
        <v>-40</v>
      </c>
      <c r="U6467">
        <v>42</v>
      </c>
      <c r="V6467">
        <v>285</v>
      </c>
      <c r="W6467">
        <v>28</v>
      </c>
      <c r="X6467">
        <v>28</v>
      </c>
      <c r="Y6467">
        <v>1</v>
      </c>
      <c r="Z6467">
        <v>1</v>
      </c>
      <c r="AA6467">
        <v>26</v>
      </c>
      <c r="AB6467">
        <v>2</v>
      </c>
      <c r="AC6467">
        <v>2</v>
      </c>
      <c r="AD6467">
        <v>3.27999997</v>
      </c>
      <c r="AE6467">
        <v>5</v>
      </c>
      <c r="AF6467">
        <v>38</v>
      </c>
      <c r="AG6467">
        <v>3.2660000299999998</v>
      </c>
      <c r="AH6467">
        <v>7</v>
      </c>
      <c r="AI6467">
        <v>1</v>
      </c>
      <c r="AJ6467">
        <v>1</v>
      </c>
      <c r="AK6467">
        <v>18</v>
      </c>
      <c r="AL6467">
        <v>35</v>
      </c>
      <c r="AM6467" t="s">
        <v>43</v>
      </c>
      <c r="AN6467" t="str">
        <f>HYPERLINK("https://www.google.com/maps?q=10.76569176,79.78263855","Open Location")</f>
        <v>Open Location</v>
      </c>
    </row>
    <row r="6468" spans="1:40" x14ac:dyDescent="0.3">
      <c r="A6468" s="1">
        <v>46210.250694444447</v>
      </c>
      <c r="B6468" t="s">
        <v>40</v>
      </c>
      <c r="C6468" t="s">
        <v>41</v>
      </c>
      <c r="D6468" s="1">
        <v>46210.253668981481</v>
      </c>
      <c r="E6468" t="s">
        <v>42</v>
      </c>
      <c r="F6468" t="s">
        <v>83</v>
      </c>
      <c r="G6468">
        <v>50</v>
      </c>
      <c r="H6468">
        <v>33068</v>
      </c>
      <c r="I6468" t="s">
        <v>3730</v>
      </c>
      <c r="J6468">
        <v>68</v>
      </c>
      <c r="K6468">
        <v>66</v>
      </c>
      <c r="L6468">
        <v>98</v>
      </c>
      <c r="M6468">
        <v>628.09997558999999</v>
      </c>
      <c r="N6468" t="s">
        <v>87</v>
      </c>
      <c r="O6468" t="s">
        <v>86</v>
      </c>
      <c r="P6468">
        <v>131</v>
      </c>
      <c r="Q6468">
        <v>6</v>
      </c>
      <c r="R6468">
        <v>57</v>
      </c>
      <c r="S6468">
        <v>1413</v>
      </c>
      <c r="T6468">
        <v>-40</v>
      </c>
      <c r="U6468">
        <v>43</v>
      </c>
      <c r="V6468">
        <v>240</v>
      </c>
      <c r="W6468">
        <v>28</v>
      </c>
      <c r="X6468">
        <v>28</v>
      </c>
      <c r="Y6468">
        <v>1</v>
      </c>
      <c r="Z6468">
        <v>1</v>
      </c>
      <c r="AA6468">
        <v>26</v>
      </c>
      <c r="AB6468">
        <v>2</v>
      </c>
      <c r="AC6468">
        <v>2</v>
      </c>
      <c r="AD6468">
        <v>3.2820000600000001</v>
      </c>
      <c r="AE6468">
        <v>1</v>
      </c>
      <c r="AF6468">
        <v>25</v>
      </c>
      <c r="AG6468">
        <v>3.2690000499999998</v>
      </c>
      <c r="AH6468">
        <v>4</v>
      </c>
      <c r="AI6468">
        <v>17</v>
      </c>
      <c r="AJ6468">
        <v>1</v>
      </c>
      <c r="AK6468">
        <v>18</v>
      </c>
      <c r="AL6468">
        <v>35</v>
      </c>
      <c r="AM6468" t="s">
        <v>43</v>
      </c>
      <c r="AN6468" t="str">
        <f>HYPERLINK("https://www.google.com/maps?q=10.76558685,79.78108215","Open Location")</f>
        <v>Open Location</v>
      </c>
    </row>
    <row r="6469" spans="1:40" x14ac:dyDescent="0.3">
      <c r="A6469" s="1">
        <v>46210.250578703701</v>
      </c>
      <c r="B6469" t="s">
        <v>40</v>
      </c>
      <c r="C6469" t="s">
        <v>41</v>
      </c>
      <c r="D6469" s="1">
        <v>46210.253344907411</v>
      </c>
      <c r="E6469" t="s">
        <v>42</v>
      </c>
      <c r="F6469" t="s">
        <v>83</v>
      </c>
      <c r="G6469">
        <v>42</v>
      </c>
      <c r="H6469">
        <v>33068</v>
      </c>
      <c r="I6469" t="s">
        <v>3731</v>
      </c>
      <c r="J6469">
        <v>68</v>
      </c>
      <c r="K6469">
        <v>115</v>
      </c>
      <c r="L6469">
        <v>98</v>
      </c>
      <c r="M6469">
        <v>626.5</v>
      </c>
      <c r="N6469" t="s">
        <v>87</v>
      </c>
      <c r="O6469" t="s">
        <v>86</v>
      </c>
      <c r="P6469">
        <v>131</v>
      </c>
      <c r="Q6469">
        <v>6</v>
      </c>
      <c r="R6469">
        <v>104</v>
      </c>
      <c r="S6469">
        <v>1339</v>
      </c>
      <c r="T6469">
        <v>-40</v>
      </c>
      <c r="U6469">
        <v>44</v>
      </c>
      <c r="V6469">
        <v>480</v>
      </c>
      <c r="W6469">
        <v>28</v>
      </c>
      <c r="X6469">
        <v>28</v>
      </c>
      <c r="Y6469">
        <v>1</v>
      </c>
      <c r="Z6469">
        <v>1</v>
      </c>
      <c r="AA6469">
        <v>26</v>
      </c>
      <c r="AB6469">
        <v>2</v>
      </c>
      <c r="AC6469">
        <v>2</v>
      </c>
      <c r="AD6469">
        <v>3.2750001000000002</v>
      </c>
      <c r="AE6469">
        <v>5</v>
      </c>
      <c r="AF6469">
        <v>38</v>
      </c>
      <c r="AG6469">
        <v>3.25900006</v>
      </c>
      <c r="AH6469">
        <v>7</v>
      </c>
      <c r="AI6469">
        <v>1</v>
      </c>
      <c r="AJ6469">
        <v>1</v>
      </c>
      <c r="AK6469">
        <v>18</v>
      </c>
      <c r="AL6469">
        <v>35</v>
      </c>
      <c r="AM6469" t="s">
        <v>43</v>
      </c>
      <c r="AN6469" t="str">
        <f>HYPERLINK("https://www.google.com/maps?q=10.76548576,79.77960205","Open Location")</f>
        <v>Open Location</v>
      </c>
    </row>
    <row r="6470" spans="1:40" x14ac:dyDescent="0.3">
      <c r="A6470" s="1">
        <v>46210.250462962962</v>
      </c>
      <c r="B6470" t="s">
        <v>40</v>
      </c>
      <c r="C6470" t="s">
        <v>41</v>
      </c>
      <c r="D6470" s="1">
        <v>46210.253298611111</v>
      </c>
      <c r="E6470" t="s">
        <v>42</v>
      </c>
      <c r="F6470" t="s">
        <v>83</v>
      </c>
      <c r="G6470">
        <v>54</v>
      </c>
      <c r="H6470">
        <v>33068</v>
      </c>
      <c r="I6470" t="s">
        <v>3732</v>
      </c>
      <c r="J6470">
        <v>68</v>
      </c>
      <c r="K6470">
        <v>-28</v>
      </c>
      <c r="L6470">
        <v>98</v>
      </c>
      <c r="M6470">
        <v>631.90002441000001</v>
      </c>
      <c r="N6470" t="s">
        <v>87</v>
      </c>
      <c r="O6470" t="s">
        <v>86</v>
      </c>
      <c r="P6470">
        <v>131</v>
      </c>
      <c r="Q6470">
        <v>6</v>
      </c>
      <c r="R6470">
        <v>47</v>
      </c>
      <c r="S6470">
        <v>1074</v>
      </c>
      <c r="T6470">
        <v>-40</v>
      </c>
      <c r="U6470">
        <v>42</v>
      </c>
      <c r="V6470">
        <v>-75</v>
      </c>
      <c r="W6470">
        <v>28</v>
      </c>
      <c r="X6470">
        <v>28</v>
      </c>
      <c r="Y6470">
        <v>1</v>
      </c>
      <c r="Z6470">
        <v>1</v>
      </c>
      <c r="AA6470">
        <v>26</v>
      </c>
      <c r="AB6470">
        <v>2</v>
      </c>
      <c r="AC6470">
        <v>2</v>
      </c>
      <c r="AD6470">
        <v>3.31500006</v>
      </c>
      <c r="AE6470">
        <v>1</v>
      </c>
      <c r="AF6470">
        <v>25</v>
      </c>
      <c r="AG6470">
        <v>3.3080000900000002</v>
      </c>
      <c r="AH6470">
        <v>8</v>
      </c>
      <c r="AI6470">
        <v>48</v>
      </c>
      <c r="AJ6470" t="s">
        <v>43</v>
      </c>
      <c r="AK6470" t="s">
        <v>43</v>
      </c>
      <c r="AL6470" t="s">
        <v>43</v>
      </c>
      <c r="AM6470" t="s">
        <v>43</v>
      </c>
      <c r="AN6470" t="str">
        <f>HYPERLINK("https://www.google.com/maps?q=10.76537323,79.77803802","Open Location")</f>
        <v>Open Location</v>
      </c>
    </row>
    <row r="6471" spans="1:40" x14ac:dyDescent="0.3">
      <c r="A6471" s="1">
        <v>46210.250347222223</v>
      </c>
      <c r="B6471" t="s">
        <v>40</v>
      </c>
      <c r="C6471" t="s">
        <v>41</v>
      </c>
      <c r="D6471" s="1">
        <v>46210.253206018519</v>
      </c>
      <c r="E6471" t="s">
        <v>42</v>
      </c>
      <c r="F6471" t="s">
        <v>83</v>
      </c>
      <c r="G6471">
        <v>52</v>
      </c>
      <c r="H6471">
        <v>33067</v>
      </c>
      <c r="I6471" t="s">
        <v>3733</v>
      </c>
      <c r="J6471">
        <v>68</v>
      </c>
      <c r="K6471">
        <v>74</v>
      </c>
      <c r="L6471">
        <v>98</v>
      </c>
      <c r="M6471">
        <v>628.09997558999999</v>
      </c>
      <c r="N6471" t="s">
        <v>87</v>
      </c>
      <c r="O6471" t="s">
        <v>86</v>
      </c>
      <c r="P6471">
        <v>131</v>
      </c>
      <c r="Q6471">
        <v>6</v>
      </c>
      <c r="R6471">
        <v>68</v>
      </c>
      <c r="S6471">
        <v>1500</v>
      </c>
      <c r="T6471">
        <v>-40</v>
      </c>
      <c r="U6471">
        <v>41</v>
      </c>
      <c r="V6471">
        <v>280</v>
      </c>
      <c r="W6471">
        <v>28</v>
      </c>
      <c r="X6471">
        <v>28</v>
      </c>
      <c r="Y6471">
        <v>1</v>
      </c>
      <c r="Z6471">
        <v>1</v>
      </c>
      <c r="AA6471">
        <v>26</v>
      </c>
      <c r="AB6471">
        <v>2</v>
      </c>
      <c r="AC6471">
        <v>2</v>
      </c>
      <c r="AD6471">
        <v>3.2820000600000001</v>
      </c>
      <c r="AE6471">
        <v>5</v>
      </c>
      <c r="AF6471">
        <v>38</v>
      </c>
      <c r="AG6471">
        <v>3.26799989</v>
      </c>
      <c r="AH6471">
        <v>7</v>
      </c>
      <c r="AI6471">
        <v>1</v>
      </c>
      <c r="AJ6471">
        <v>1</v>
      </c>
      <c r="AK6471">
        <v>18</v>
      </c>
      <c r="AL6471">
        <v>35</v>
      </c>
      <c r="AM6471" t="s">
        <v>43</v>
      </c>
      <c r="AN6471" t="str">
        <f>HYPERLINK("https://www.google.com/maps?q=10.76525974,79.77642059","Open Location")</f>
        <v>Open Location</v>
      </c>
    </row>
    <row r="6472" spans="1:40" x14ac:dyDescent="0.3">
      <c r="A6472" s="1">
        <v>46210.250231481485</v>
      </c>
      <c r="B6472" t="s">
        <v>40</v>
      </c>
      <c r="C6472" t="s">
        <v>41</v>
      </c>
      <c r="D6472" s="1">
        <v>46210.25309027778</v>
      </c>
      <c r="E6472" t="s">
        <v>42</v>
      </c>
      <c r="F6472" t="s">
        <v>83</v>
      </c>
      <c r="G6472">
        <v>52</v>
      </c>
      <c r="H6472">
        <v>33067</v>
      </c>
      <c r="I6472" t="s">
        <v>43</v>
      </c>
      <c r="J6472">
        <v>68</v>
      </c>
      <c r="K6472">
        <v>51</v>
      </c>
      <c r="L6472">
        <v>98</v>
      </c>
      <c r="M6472">
        <v>629.5</v>
      </c>
      <c r="N6472" t="s">
        <v>87</v>
      </c>
      <c r="O6472" t="s">
        <v>86</v>
      </c>
      <c r="P6472">
        <v>131</v>
      </c>
      <c r="Q6472">
        <v>6</v>
      </c>
      <c r="R6472">
        <v>45</v>
      </c>
      <c r="S6472">
        <v>1428</v>
      </c>
      <c r="T6472">
        <v>-40</v>
      </c>
      <c r="U6472">
        <v>41</v>
      </c>
      <c r="V6472">
        <v>200</v>
      </c>
      <c r="W6472">
        <v>28</v>
      </c>
      <c r="X6472">
        <v>28</v>
      </c>
      <c r="Y6472">
        <v>1</v>
      </c>
      <c r="Z6472">
        <v>1</v>
      </c>
      <c r="AA6472">
        <v>26</v>
      </c>
      <c r="AB6472">
        <v>2</v>
      </c>
      <c r="AC6472">
        <v>2</v>
      </c>
      <c r="AD6472">
        <v>3.28800011</v>
      </c>
      <c r="AE6472">
        <v>5</v>
      </c>
      <c r="AF6472">
        <v>38</v>
      </c>
      <c r="AG6472">
        <v>3.2760000200000001</v>
      </c>
      <c r="AH6472">
        <v>7</v>
      </c>
      <c r="AI6472">
        <v>1</v>
      </c>
      <c r="AJ6472">
        <v>1</v>
      </c>
      <c r="AK6472">
        <v>18</v>
      </c>
      <c r="AL6472">
        <v>35</v>
      </c>
      <c r="AM6472" t="s">
        <v>43</v>
      </c>
      <c r="AN6472" t="s">
        <v>43</v>
      </c>
    </row>
    <row r="6473" spans="1:40" x14ac:dyDescent="0.3">
      <c r="A6473" s="1">
        <v>46210.250115740739</v>
      </c>
      <c r="B6473" t="s">
        <v>40</v>
      </c>
      <c r="C6473" t="s">
        <v>41</v>
      </c>
      <c r="D6473" s="1">
        <v>46210.252905092595</v>
      </c>
      <c r="E6473" t="s">
        <v>42</v>
      </c>
      <c r="F6473" t="s">
        <v>83</v>
      </c>
      <c r="G6473">
        <v>52</v>
      </c>
      <c r="H6473">
        <v>33067</v>
      </c>
      <c r="I6473" t="s">
        <v>3734</v>
      </c>
      <c r="J6473">
        <v>68</v>
      </c>
      <c r="K6473">
        <v>64</v>
      </c>
      <c r="L6473">
        <v>98</v>
      </c>
      <c r="M6473">
        <v>628.90002441000001</v>
      </c>
      <c r="N6473" t="s">
        <v>87</v>
      </c>
      <c r="O6473" t="s">
        <v>86</v>
      </c>
      <c r="P6473">
        <v>131</v>
      </c>
      <c r="Q6473">
        <v>6</v>
      </c>
      <c r="R6473">
        <v>27</v>
      </c>
      <c r="S6473">
        <v>1425</v>
      </c>
      <c r="T6473">
        <v>-40</v>
      </c>
      <c r="U6473">
        <v>42</v>
      </c>
      <c r="V6473">
        <v>260</v>
      </c>
      <c r="W6473">
        <v>28</v>
      </c>
      <c r="X6473">
        <v>28</v>
      </c>
      <c r="Y6473">
        <v>1</v>
      </c>
      <c r="Z6473">
        <v>1</v>
      </c>
      <c r="AA6473">
        <v>26</v>
      </c>
      <c r="AB6473">
        <v>2</v>
      </c>
      <c r="AC6473">
        <v>2</v>
      </c>
      <c r="AD6473">
        <v>3.28600001</v>
      </c>
      <c r="AE6473">
        <v>5</v>
      </c>
      <c r="AF6473">
        <v>38</v>
      </c>
      <c r="AG6473">
        <v>3.27399993</v>
      </c>
      <c r="AH6473">
        <v>4</v>
      </c>
      <c r="AI6473">
        <v>17</v>
      </c>
      <c r="AJ6473">
        <v>1</v>
      </c>
      <c r="AK6473">
        <v>18</v>
      </c>
      <c r="AL6473">
        <v>35</v>
      </c>
      <c r="AM6473" t="s">
        <v>43</v>
      </c>
      <c r="AN6473" t="str">
        <f>HYPERLINK("https://www.google.com/maps?q=10.76514912,79.77484131","Open Location")</f>
        <v>Open Location</v>
      </c>
    </row>
    <row r="6474" spans="1:40" x14ac:dyDescent="0.3">
      <c r="A6474" s="1">
        <v>46210.25</v>
      </c>
      <c r="B6474" t="s">
        <v>40</v>
      </c>
      <c r="C6474" t="s">
        <v>41</v>
      </c>
      <c r="D6474" s="1">
        <v>46210.252847222226</v>
      </c>
      <c r="E6474" t="s">
        <v>42</v>
      </c>
      <c r="F6474" t="s">
        <v>83</v>
      </c>
      <c r="G6474">
        <v>52</v>
      </c>
      <c r="H6474">
        <v>33067</v>
      </c>
      <c r="I6474" t="s">
        <v>3735</v>
      </c>
      <c r="J6474">
        <v>68</v>
      </c>
      <c r="K6474">
        <v>74</v>
      </c>
      <c r="L6474">
        <v>98</v>
      </c>
      <c r="M6474">
        <v>628.20001220999995</v>
      </c>
      <c r="N6474" t="s">
        <v>87</v>
      </c>
      <c r="O6474" t="s">
        <v>86</v>
      </c>
      <c r="P6474">
        <v>131</v>
      </c>
      <c r="Q6474">
        <v>6</v>
      </c>
      <c r="R6474">
        <v>87</v>
      </c>
      <c r="S6474">
        <v>1447</v>
      </c>
      <c r="T6474">
        <v>-40</v>
      </c>
      <c r="U6474">
        <v>45</v>
      </c>
      <c r="V6474">
        <v>260</v>
      </c>
      <c r="W6474">
        <v>28</v>
      </c>
      <c r="X6474">
        <v>28</v>
      </c>
      <c r="Y6474">
        <v>1</v>
      </c>
      <c r="Z6474">
        <v>1</v>
      </c>
      <c r="AA6474">
        <v>26</v>
      </c>
      <c r="AB6474">
        <v>2</v>
      </c>
      <c r="AC6474">
        <v>2</v>
      </c>
      <c r="AD6474">
        <v>3.2809998999999999</v>
      </c>
      <c r="AE6474">
        <v>5</v>
      </c>
      <c r="AF6474">
        <v>38</v>
      </c>
      <c r="AG6474">
        <v>3.26799989</v>
      </c>
      <c r="AH6474">
        <v>7</v>
      </c>
      <c r="AI6474">
        <v>1</v>
      </c>
      <c r="AJ6474">
        <v>1</v>
      </c>
      <c r="AK6474">
        <v>18</v>
      </c>
      <c r="AL6474">
        <v>35</v>
      </c>
      <c r="AM6474" t="s">
        <v>43</v>
      </c>
      <c r="AN6474" t="str">
        <f>HYPERLINK("https://www.google.com/maps?q=10.76503086,79.77325439","Open Location")</f>
        <v>Open Location</v>
      </c>
    </row>
    <row r="6475" spans="1:40" x14ac:dyDescent="0.3">
      <c r="A6475" s="1">
        <v>46210.249884259261</v>
      </c>
      <c r="B6475" t="s">
        <v>40</v>
      </c>
      <c r="C6475" t="s">
        <v>41</v>
      </c>
      <c r="D6475" s="1">
        <v>46210.252847222226</v>
      </c>
      <c r="E6475" t="s">
        <v>42</v>
      </c>
      <c r="F6475" t="s">
        <v>83</v>
      </c>
      <c r="G6475">
        <v>39</v>
      </c>
      <c r="H6475">
        <v>33067</v>
      </c>
      <c r="I6475" t="s">
        <v>3736</v>
      </c>
      <c r="J6475">
        <v>68</v>
      </c>
      <c r="K6475">
        <v>218</v>
      </c>
      <c r="L6475">
        <v>98</v>
      </c>
      <c r="M6475">
        <v>623.29998779000005</v>
      </c>
      <c r="N6475" t="s">
        <v>87</v>
      </c>
      <c r="O6475" t="s">
        <v>86</v>
      </c>
      <c r="P6475">
        <v>130</v>
      </c>
      <c r="Q6475">
        <v>5</v>
      </c>
      <c r="R6475">
        <v>194</v>
      </c>
      <c r="S6475">
        <v>1362</v>
      </c>
      <c r="T6475">
        <v>-40</v>
      </c>
      <c r="U6475">
        <v>42</v>
      </c>
      <c r="V6475">
        <v>860</v>
      </c>
      <c r="W6475">
        <v>28</v>
      </c>
      <c r="X6475">
        <v>28</v>
      </c>
      <c r="Y6475">
        <v>1</v>
      </c>
      <c r="Z6475">
        <v>1</v>
      </c>
      <c r="AA6475">
        <v>26</v>
      </c>
      <c r="AB6475">
        <v>2</v>
      </c>
      <c r="AC6475">
        <v>1</v>
      </c>
      <c r="AD6475">
        <v>3.25600004</v>
      </c>
      <c r="AE6475">
        <v>5</v>
      </c>
      <c r="AF6475">
        <v>38</v>
      </c>
      <c r="AG6475">
        <v>3.2330000399999999</v>
      </c>
      <c r="AH6475">
        <v>8</v>
      </c>
      <c r="AI6475">
        <v>35</v>
      </c>
      <c r="AJ6475">
        <v>1</v>
      </c>
      <c r="AK6475">
        <v>20</v>
      </c>
      <c r="AL6475">
        <v>35</v>
      </c>
      <c r="AM6475" t="s">
        <v>43</v>
      </c>
      <c r="AN6475" t="str">
        <f>HYPERLINK("https://www.google.com/maps?q=10.76495457,79.77179718","Open Location")</f>
        <v>Open Location</v>
      </c>
    </row>
    <row r="6476" spans="1:40" x14ac:dyDescent="0.3">
      <c r="A6476" s="1">
        <v>46210.249768518515</v>
      </c>
      <c r="B6476" t="s">
        <v>40</v>
      </c>
      <c r="C6476" t="s">
        <v>41</v>
      </c>
      <c r="D6476" s="1">
        <v>46210.252939814818</v>
      </c>
      <c r="E6476" t="s">
        <v>42</v>
      </c>
      <c r="F6476" t="s">
        <v>83</v>
      </c>
      <c r="G6476">
        <v>35</v>
      </c>
      <c r="H6476">
        <v>33067</v>
      </c>
      <c r="I6476" t="s">
        <v>3737</v>
      </c>
      <c r="J6476">
        <v>69</v>
      </c>
      <c r="K6476">
        <v>176</v>
      </c>
      <c r="L6476">
        <v>98</v>
      </c>
      <c r="M6476">
        <v>627.70001220999995</v>
      </c>
      <c r="N6476" t="s">
        <v>87</v>
      </c>
      <c r="O6476" t="s">
        <v>86</v>
      </c>
      <c r="P6476">
        <v>131</v>
      </c>
      <c r="Q6476">
        <v>6</v>
      </c>
      <c r="R6476">
        <v>-96</v>
      </c>
      <c r="S6476">
        <v>1586</v>
      </c>
      <c r="T6476">
        <v>-40</v>
      </c>
      <c r="U6476">
        <v>42</v>
      </c>
      <c r="V6476">
        <v>630</v>
      </c>
      <c r="W6476">
        <v>28</v>
      </c>
      <c r="X6476">
        <v>28</v>
      </c>
      <c r="Y6476">
        <v>1</v>
      </c>
      <c r="Z6476">
        <v>1</v>
      </c>
      <c r="AA6476">
        <v>26</v>
      </c>
      <c r="AB6476">
        <v>2</v>
      </c>
      <c r="AC6476">
        <v>1</v>
      </c>
      <c r="AD6476">
        <v>3.2730000000000001</v>
      </c>
      <c r="AE6476">
        <v>5</v>
      </c>
      <c r="AF6476">
        <v>38</v>
      </c>
      <c r="AG6476">
        <v>3.25300002</v>
      </c>
      <c r="AH6476">
        <v>8</v>
      </c>
      <c r="AI6476">
        <v>35</v>
      </c>
      <c r="AJ6476" t="s">
        <v>43</v>
      </c>
      <c r="AK6476" t="s">
        <v>43</v>
      </c>
      <c r="AL6476" t="s">
        <v>43</v>
      </c>
      <c r="AM6476" t="s">
        <v>43</v>
      </c>
      <c r="AN6476" t="str">
        <f>HYPERLINK("https://www.google.com/maps?q=10.76490784,79.77075195","Open Location")</f>
        <v>Open Location</v>
      </c>
    </row>
    <row r="6477" spans="1:40" x14ac:dyDescent="0.3">
      <c r="A6477" s="1">
        <v>46210.249652777777</v>
      </c>
      <c r="B6477" t="s">
        <v>40</v>
      </c>
      <c r="C6477" t="s">
        <v>41</v>
      </c>
      <c r="D6477" s="1">
        <v>46210.252476851849</v>
      </c>
      <c r="E6477" t="s">
        <v>42</v>
      </c>
      <c r="F6477" t="s">
        <v>83</v>
      </c>
      <c r="G6477">
        <v>40</v>
      </c>
      <c r="H6477">
        <v>33067</v>
      </c>
      <c r="I6477" t="s">
        <v>43</v>
      </c>
      <c r="J6477">
        <v>69</v>
      </c>
      <c r="K6477">
        <v>-47</v>
      </c>
      <c r="L6477">
        <v>98</v>
      </c>
      <c r="M6477">
        <v>635</v>
      </c>
      <c r="N6477" t="s">
        <v>87</v>
      </c>
      <c r="O6477" t="s">
        <v>86</v>
      </c>
      <c r="P6477">
        <v>131</v>
      </c>
      <c r="Q6477">
        <v>6</v>
      </c>
      <c r="R6477">
        <v>-98</v>
      </c>
      <c r="S6477">
        <v>1143</v>
      </c>
      <c r="T6477">
        <v>-40</v>
      </c>
      <c r="U6477">
        <v>41</v>
      </c>
      <c r="V6477">
        <v>-300</v>
      </c>
      <c r="W6477">
        <v>28</v>
      </c>
      <c r="X6477">
        <v>28</v>
      </c>
      <c r="Y6477">
        <v>1</v>
      </c>
      <c r="Z6477">
        <v>1</v>
      </c>
      <c r="AA6477">
        <v>26</v>
      </c>
      <c r="AB6477">
        <v>2</v>
      </c>
      <c r="AC6477">
        <v>1</v>
      </c>
      <c r="AD6477">
        <v>3.3080000900000002</v>
      </c>
      <c r="AE6477">
        <v>5</v>
      </c>
      <c r="AF6477">
        <v>38</v>
      </c>
      <c r="AG6477">
        <v>3.2999999500000001</v>
      </c>
      <c r="AH6477">
        <v>7</v>
      </c>
      <c r="AI6477">
        <v>1</v>
      </c>
      <c r="AJ6477">
        <v>1</v>
      </c>
      <c r="AK6477">
        <v>18</v>
      </c>
      <c r="AL6477">
        <v>35</v>
      </c>
      <c r="AM6477" t="s">
        <v>43</v>
      </c>
      <c r="AN6477" t="s">
        <v>43</v>
      </c>
    </row>
    <row r="6478" spans="1:40" x14ac:dyDescent="0.3">
      <c r="A6478" s="1">
        <v>46210.249537037038</v>
      </c>
      <c r="B6478" t="s">
        <v>40</v>
      </c>
      <c r="C6478" t="s">
        <v>41</v>
      </c>
      <c r="D6478" s="1">
        <v>46210.252488425926</v>
      </c>
      <c r="E6478" t="s">
        <v>42</v>
      </c>
      <c r="F6478" t="s">
        <v>83</v>
      </c>
      <c r="G6478">
        <v>47</v>
      </c>
      <c r="H6478">
        <v>33067</v>
      </c>
      <c r="I6478" t="s">
        <v>3738</v>
      </c>
      <c r="J6478">
        <v>69</v>
      </c>
      <c r="K6478">
        <v>35</v>
      </c>
      <c r="L6478">
        <v>98</v>
      </c>
      <c r="M6478">
        <v>631.40002441000001</v>
      </c>
      <c r="N6478" t="s">
        <v>87</v>
      </c>
      <c r="O6478" t="s">
        <v>86</v>
      </c>
      <c r="P6478">
        <v>131</v>
      </c>
      <c r="Q6478">
        <v>6</v>
      </c>
      <c r="R6478">
        <v>30</v>
      </c>
      <c r="S6478">
        <v>1344</v>
      </c>
      <c r="T6478">
        <v>-40</v>
      </c>
      <c r="U6478">
        <v>40</v>
      </c>
      <c r="V6478">
        <v>100</v>
      </c>
      <c r="W6478">
        <v>28</v>
      </c>
      <c r="X6478">
        <v>28</v>
      </c>
      <c r="Y6478">
        <v>1</v>
      </c>
      <c r="Z6478">
        <v>1</v>
      </c>
      <c r="AA6478">
        <v>26</v>
      </c>
      <c r="AB6478">
        <v>2</v>
      </c>
      <c r="AC6478">
        <v>1</v>
      </c>
      <c r="AD6478">
        <v>3.2909998900000001</v>
      </c>
      <c r="AE6478">
        <v>5</v>
      </c>
      <c r="AF6478">
        <v>38</v>
      </c>
      <c r="AG6478">
        <v>3.2780001200000002</v>
      </c>
      <c r="AH6478">
        <v>7</v>
      </c>
      <c r="AI6478">
        <v>1</v>
      </c>
      <c r="AJ6478">
        <v>1</v>
      </c>
      <c r="AK6478">
        <v>18</v>
      </c>
      <c r="AL6478">
        <v>35</v>
      </c>
      <c r="AM6478" t="s">
        <v>43</v>
      </c>
      <c r="AN6478" t="str">
        <f>HYPERLINK("https://www.google.com/maps?q=10.76484013,79.76946259","Open Location")</f>
        <v>Open Location</v>
      </c>
    </row>
    <row r="6479" spans="1:40" x14ac:dyDescent="0.3">
      <c r="A6479" s="1">
        <v>46210.249421296299</v>
      </c>
      <c r="B6479" t="s">
        <v>40</v>
      </c>
      <c r="C6479" t="s">
        <v>41</v>
      </c>
      <c r="D6479" s="1">
        <v>46210.252129629633</v>
      </c>
      <c r="E6479" t="s">
        <v>42</v>
      </c>
      <c r="F6479" t="s">
        <v>83</v>
      </c>
      <c r="G6479">
        <v>50</v>
      </c>
      <c r="H6479">
        <v>33066</v>
      </c>
      <c r="I6479" t="s">
        <v>3739</v>
      </c>
      <c r="J6479">
        <v>69</v>
      </c>
      <c r="K6479">
        <v>56</v>
      </c>
      <c r="L6479">
        <v>98</v>
      </c>
      <c r="M6479">
        <v>630.59997558999999</v>
      </c>
      <c r="N6479" t="s">
        <v>87</v>
      </c>
      <c r="O6479" t="s">
        <v>86</v>
      </c>
      <c r="P6479">
        <v>131</v>
      </c>
      <c r="Q6479">
        <v>6</v>
      </c>
      <c r="R6479">
        <v>-44</v>
      </c>
      <c r="S6479">
        <v>1304</v>
      </c>
      <c r="T6479">
        <v>-40</v>
      </c>
      <c r="U6479">
        <v>40</v>
      </c>
      <c r="V6479">
        <v>240</v>
      </c>
      <c r="W6479">
        <v>28</v>
      </c>
      <c r="X6479">
        <v>28</v>
      </c>
      <c r="Y6479">
        <v>1</v>
      </c>
      <c r="Z6479">
        <v>1</v>
      </c>
      <c r="AA6479">
        <v>26</v>
      </c>
      <c r="AB6479">
        <v>2</v>
      </c>
      <c r="AC6479">
        <v>1</v>
      </c>
      <c r="AD6479">
        <v>3.2920000599999999</v>
      </c>
      <c r="AE6479">
        <v>1</v>
      </c>
      <c r="AF6479">
        <v>25</v>
      </c>
      <c r="AG6479">
        <v>3.27999997</v>
      </c>
      <c r="AH6479">
        <v>7</v>
      </c>
      <c r="AI6479">
        <v>1</v>
      </c>
      <c r="AJ6479">
        <v>1</v>
      </c>
      <c r="AK6479">
        <v>18</v>
      </c>
      <c r="AL6479">
        <v>35</v>
      </c>
      <c r="AM6479" t="s">
        <v>43</v>
      </c>
      <c r="AN6479" t="str">
        <f>HYPERLINK("https://www.google.com/maps?q=10.76474285,79.7678833","Open Location")</f>
        <v>Open Location</v>
      </c>
    </row>
    <row r="6480" spans="1:40" x14ac:dyDescent="0.3">
      <c r="A6480" s="1">
        <v>46210.249305555553</v>
      </c>
      <c r="B6480" t="s">
        <v>40</v>
      </c>
      <c r="C6480" t="s">
        <v>41</v>
      </c>
      <c r="D6480" s="1">
        <v>46210.252141203702</v>
      </c>
      <c r="E6480" t="s">
        <v>42</v>
      </c>
      <c r="F6480" t="s">
        <v>83</v>
      </c>
      <c r="G6480">
        <v>53</v>
      </c>
      <c r="H6480">
        <v>33066</v>
      </c>
      <c r="I6480" t="s">
        <v>3740</v>
      </c>
      <c r="J6480">
        <v>69</v>
      </c>
      <c r="K6480">
        <v>27</v>
      </c>
      <c r="L6480">
        <v>98</v>
      </c>
      <c r="M6480">
        <v>631</v>
      </c>
      <c r="N6480" t="s">
        <v>87</v>
      </c>
      <c r="O6480" t="s">
        <v>86</v>
      </c>
      <c r="P6480">
        <v>131</v>
      </c>
      <c r="Q6480">
        <v>6</v>
      </c>
      <c r="R6480">
        <v>61</v>
      </c>
      <c r="S6480">
        <v>1445</v>
      </c>
      <c r="T6480">
        <v>-40</v>
      </c>
      <c r="U6480">
        <v>42</v>
      </c>
      <c r="V6480">
        <v>100</v>
      </c>
      <c r="W6480">
        <v>28</v>
      </c>
      <c r="X6480">
        <v>28</v>
      </c>
      <c r="Y6480">
        <v>1</v>
      </c>
      <c r="Z6480">
        <v>1</v>
      </c>
      <c r="AA6480">
        <v>26</v>
      </c>
      <c r="AB6480">
        <v>2</v>
      </c>
      <c r="AC6480">
        <v>1</v>
      </c>
      <c r="AD6480">
        <v>3.2929999799999998</v>
      </c>
      <c r="AE6480">
        <v>1</v>
      </c>
      <c r="AF6480">
        <v>25</v>
      </c>
      <c r="AG6480">
        <v>3.2820000600000001</v>
      </c>
      <c r="AH6480">
        <v>7</v>
      </c>
      <c r="AI6480">
        <v>1</v>
      </c>
      <c r="AJ6480">
        <v>1</v>
      </c>
      <c r="AK6480">
        <v>18</v>
      </c>
      <c r="AL6480">
        <v>35</v>
      </c>
      <c r="AM6480" t="s">
        <v>43</v>
      </c>
      <c r="AN6480" t="str">
        <f>HYPERLINK("https://www.google.com/maps?q=10.76464081,79.76631927","Open Location")</f>
        <v>Open Location</v>
      </c>
    </row>
    <row r="6481" spans="1:40" x14ac:dyDescent="0.3">
      <c r="A6481" s="1">
        <v>46210.249189814815</v>
      </c>
      <c r="B6481" t="s">
        <v>40</v>
      </c>
      <c r="C6481" t="s">
        <v>41</v>
      </c>
      <c r="D6481" s="1">
        <v>46210.252118055556</v>
      </c>
      <c r="E6481" t="s">
        <v>42</v>
      </c>
      <c r="F6481" t="s">
        <v>83</v>
      </c>
      <c r="G6481">
        <v>51</v>
      </c>
      <c r="H6481">
        <v>33066</v>
      </c>
      <c r="I6481" t="s">
        <v>3741</v>
      </c>
      <c r="J6481">
        <v>69</v>
      </c>
      <c r="K6481">
        <v>150</v>
      </c>
      <c r="L6481">
        <v>98</v>
      </c>
      <c r="M6481">
        <v>625.90002441000001</v>
      </c>
      <c r="N6481" t="s">
        <v>87</v>
      </c>
      <c r="O6481" t="s">
        <v>86</v>
      </c>
      <c r="P6481">
        <v>131</v>
      </c>
      <c r="Q6481">
        <v>6</v>
      </c>
      <c r="R6481">
        <v>41</v>
      </c>
      <c r="S6481">
        <v>1415</v>
      </c>
      <c r="T6481">
        <v>-40</v>
      </c>
      <c r="U6481">
        <v>40</v>
      </c>
      <c r="V6481">
        <v>671</v>
      </c>
      <c r="W6481">
        <v>28</v>
      </c>
      <c r="X6481">
        <v>28</v>
      </c>
      <c r="Y6481">
        <v>1</v>
      </c>
      <c r="Z6481">
        <v>1</v>
      </c>
      <c r="AA6481">
        <v>26</v>
      </c>
      <c r="AB6481">
        <v>2</v>
      </c>
      <c r="AC6481">
        <v>1</v>
      </c>
      <c r="AD6481">
        <v>3.2780001200000002</v>
      </c>
      <c r="AE6481">
        <v>5</v>
      </c>
      <c r="AF6481">
        <v>38</v>
      </c>
      <c r="AG6481">
        <v>3.26200008</v>
      </c>
      <c r="AH6481">
        <v>6</v>
      </c>
      <c r="AI6481">
        <v>24</v>
      </c>
      <c r="AJ6481">
        <v>1</v>
      </c>
      <c r="AK6481">
        <v>18</v>
      </c>
      <c r="AL6481">
        <v>35</v>
      </c>
      <c r="AM6481" t="s">
        <v>43</v>
      </c>
      <c r="AN6481" t="str">
        <f>HYPERLINK("https://www.google.com/maps?q=10.76453495,79.76475525","Open Location")</f>
        <v>Open Location</v>
      </c>
    </row>
    <row r="6482" spans="1:40" x14ac:dyDescent="0.3">
      <c r="A6482" s="1">
        <v>46210.249074074076</v>
      </c>
      <c r="B6482" t="s">
        <v>40</v>
      </c>
      <c r="C6482" t="s">
        <v>41</v>
      </c>
      <c r="D6482" s="1">
        <v>46210.252118055556</v>
      </c>
      <c r="E6482" t="s">
        <v>42</v>
      </c>
      <c r="F6482" t="s">
        <v>83</v>
      </c>
      <c r="G6482">
        <v>54</v>
      </c>
      <c r="H6482" t="s">
        <v>43</v>
      </c>
      <c r="I6482" t="s">
        <v>3742</v>
      </c>
      <c r="J6482">
        <v>69</v>
      </c>
      <c r="K6482">
        <v>25</v>
      </c>
      <c r="L6482">
        <v>98</v>
      </c>
      <c r="M6482">
        <v>629</v>
      </c>
      <c r="N6482" t="s">
        <v>87</v>
      </c>
      <c r="O6482" t="s">
        <v>86</v>
      </c>
      <c r="P6482">
        <v>131</v>
      </c>
      <c r="Q6482">
        <v>6</v>
      </c>
      <c r="R6482">
        <v>9</v>
      </c>
      <c r="S6482">
        <v>1422</v>
      </c>
      <c r="T6482">
        <v>-40</v>
      </c>
      <c r="U6482">
        <v>40</v>
      </c>
      <c r="V6482">
        <v>131</v>
      </c>
      <c r="W6482">
        <v>28</v>
      </c>
      <c r="X6482">
        <v>28</v>
      </c>
      <c r="Y6482">
        <v>1</v>
      </c>
      <c r="Z6482">
        <v>1</v>
      </c>
      <c r="AA6482">
        <v>26</v>
      </c>
      <c r="AB6482">
        <v>2</v>
      </c>
      <c r="AC6482">
        <v>1</v>
      </c>
      <c r="AD6482">
        <v>3.3059999900000001</v>
      </c>
      <c r="AE6482">
        <v>1</v>
      </c>
      <c r="AF6482">
        <v>25</v>
      </c>
      <c r="AG6482">
        <v>3.2990000199999998</v>
      </c>
      <c r="AH6482">
        <v>2</v>
      </c>
      <c r="AI6482">
        <v>45</v>
      </c>
      <c r="AJ6482" t="s">
        <v>43</v>
      </c>
      <c r="AK6482" t="s">
        <v>43</v>
      </c>
      <c r="AL6482" t="s">
        <v>43</v>
      </c>
      <c r="AM6482" t="s">
        <v>43</v>
      </c>
      <c r="AN6482" t="str">
        <f>HYPERLINK("https://www.google.com/maps?q=10.76441383,79.76315308","Open Location")</f>
        <v>Open Location</v>
      </c>
    </row>
    <row r="6483" spans="1:40" x14ac:dyDescent="0.3">
      <c r="A6483" s="1">
        <v>46210.24895833333</v>
      </c>
      <c r="B6483" t="s">
        <v>40</v>
      </c>
      <c r="C6483" t="s">
        <v>41</v>
      </c>
      <c r="D6483" s="1">
        <v>46210.251759259256</v>
      </c>
      <c r="E6483" t="s">
        <v>42</v>
      </c>
      <c r="F6483" t="s">
        <v>83</v>
      </c>
      <c r="G6483">
        <v>55</v>
      </c>
      <c r="H6483">
        <v>33066</v>
      </c>
      <c r="I6483" t="s">
        <v>43</v>
      </c>
      <c r="J6483">
        <v>69</v>
      </c>
      <c r="K6483">
        <v>33</v>
      </c>
      <c r="L6483">
        <v>98</v>
      </c>
      <c r="M6483">
        <v>630.70001220999995</v>
      </c>
      <c r="N6483" t="s">
        <v>87</v>
      </c>
      <c r="O6483" t="s">
        <v>86</v>
      </c>
      <c r="P6483">
        <v>131</v>
      </c>
      <c r="Q6483">
        <v>6</v>
      </c>
      <c r="R6483">
        <v>35</v>
      </c>
      <c r="S6483">
        <v>1514</v>
      </c>
      <c r="T6483">
        <v>-40</v>
      </c>
      <c r="U6483">
        <v>40</v>
      </c>
      <c r="V6483">
        <v>120</v>
      </c>
      <c r="W6483">
        <v>28</v>
      </c>
      <c r="X6483">
        <v>28</v>
      </c>
      <c r="Y6483">
        <v>1</v>
      </c>
      <c r="Z6483">
        <v>1</v>
      </c>
      <c r="AA6483">
        <v>26</v>
      </c>
      <c r="AB6483">
        <v>2</v>
      </c>
      <c r="AC6483">
        <v>1</v>
      </c>
      <c r="AD6483">
        <v>3.2920000599999999</v>
      </c>
      <c r="AE6483">
        <v>5</v>
      </c>
      <c r="AF6483">
        <v>38</v>
      </c>
      <c r="AG6483">
        <v>3.2809998999999999</v>
      </c>
      <c r="AH6483">
        <v>7</v>
      </c>
      <c r="AI6483">
        <v>1</v>
      </c>
      <c r="AJ6483">
        <v>1</v>
      </c>
      <c r="AK6483">
        <v>18</v>
      </c>
      <c r="AL6483">
        <v>35</v>
      </c>
      <c r="AM6483" t="s">
        <v>43</v>
      </c>
      <c r="AN6483" t="s">
        <v>43</v>
      </c>
    </row>
    <row r="6484" spans="1:40" x14ac:dyDescent="0.3">
      <c r="A6484" s="1">
        <v>46210.248842592591</v>
      </c>
      <c r="B6484" t="s">
        <v>40</v>
      </c>
      <c r="C6484" t="s">
        <v>41</v>
      </c>
      <c r="D6484" s="1">
        <v>46210.251736111109</v>
      </c>
      <c r="E6484" t="s">
        <v>42</v>
      </c>
      <c r="F6484" t="s">
        <v>83</v>
      </c>
      <c r="G6484">
        <v>56</v>
      </c>
      <c r="H6484">
        <v>33066</v>
      </c>
      <c r="I6484" t="s">
        <v>3743</v>
      </c>
      <c r="J6484">
        <v>69</v>
      </c>
      <c r="K6484">
        <v>60</v>
      </c>
      <c r="L6484">
        <v>98</v>
      </c>
      <c r="M6484">
        <v>629.5</v>
      </c>
      <c r="N6484" t="s">
        <v>87</v>
      </c>
      <c r="O6484" t="s">
        <v>86</v>
      </c>
      <c r="P6484">
        <v>131</v>
      </c>
      <c r="Q6484">
        <v>6</v>
      </c>
      <c r="R6484">
        <v>64</v>
      </c>
      <c r="S6484">
        <v>1537</v>
      </c>
      <c r="T6484">
        <v>-40</v>
      </c>
      <c r="U6484">
        <v>42</v>
      </c>
      <c r="V6484">
        <v>220</v>
      </c>
      <c r="W6484">
        <v>28</v>
      </c>
      <c r="X6484">
        <v>28</v>
      </c>
      <c r="Y6484">
        <v>1</v>
      </c>
      <c r="Z6484">
        <v>1</v>
      </c>
      <c r="AA6484">
        <v>26</v>
      </c>
      <c r="AB6484">
        <v>2</v>
      </c>
      <c r="AC6484">
        <v>1</v>
      </c>
      <c r="AD6484">
        <v>3.28600001</v>
      </c>
      <c r="AE6484">
        <v>5</v>
      </c>
      <c r="AF6484">
        <v>38</v>
      </c>
      <c r="AG6484">
        <v>3.2730000000000001</v>
      </c>
      <c r="AH6484">
        <v>7</v>
      </c>
      <c r="AI6484">
        <v>1</v>
      </c>
      <c r="AJ6484">
        <v>1</v>
      </c>
      <c r="AK6484">
        <v>18</v>
      </c>
      <c r="AL6484">
        <v>35</v>
      </c>
      <c r="AM6484" t="s">
        <v>43</v>
      </c>
      <c r="AN6484" t="str">
        <f>HYPERLINK("https://www.google.com/maps?q=10.76430225,79.76145935","Open Location")</f>
        <v>Open Location</v>
      </c>
    </row>
    <row r="6485" spans="1:40" x14ac:dyDescent="0.3">
      <c r="A6485" s="1">
        <v>46210.248726851853</v>
      </c>
      <c r="B6485" t="s">
        <v>40</v>
      </c>
      <c r="C6485" t="s">
        <v>41</v>
      </c>
      <c r="D6485" s="1">
        <v>46210.251736111109</v>
      </c>
      <c r="E6485" t="s">
        <v>42</v>
      </c>
      <c r="F6485" t="s">
        <v>83</v>
      </c>
      <c r="G6485">
        <v>52</v>
      </c>
      <c r="H6485">
        <v>33066</v>
      </c>
      <c r="I6485" t="s">
        <v>3744</v>
      </c>
      <c r="J6485">
        <v>69</v>
      </c>
      <c r="K6485">
        <v>180</v>
      </c>
      <c r="L6485">
        <v>98</v>
      </c>
      <c r="M6485">
        <v>623.90002441000001</v>
      </c>
      <c r="N6485" t="s">
        <v>87</v>
      </c>
      <c r="O6485" t="s">
        <v>86</v>
      </c>
      <c r="P6485">
        <v>131</v>
      </c>
      <c r="Q6485">
        <v>6</v>
      </c>
      <c r="R6485">
        <v>30</v>
      </c>
      <c r="S6485">
        <v>1512</v>
      </c>
      <c r="T6485">
        <v>-40</v>
      </c>
      <c r="U6485">
        <v>41</v>
      </c>
      <c r="V6485">
        <v>680</v>
      </c>
      <c r="W6485">
        <v>28</v>
      </c>
      <c r="X6485">
        <v>28</v>
      </c>
      <c r="Y6485">
        <v>1</v>
      </c>
      <c r="Z6485">
        <v>1</v>
      </c>
      <c r="AA6485">
        <v>26</v>
      </c>
      <c r="AB6485">
        <v>2</v>
      </c>
      <c r="AC6485">
        <v>1</v>
      </c>
      <c r="AD6485">
        <v>3.2780001200000002</v>
      </c>
      <c r="AE6485">
        <v>5</v>
      </c>
      <c r="AF6485">
        <v>38</v>
      </c>
      <c r="AG6485">
        <v>3.26200008</v>
      </c>
      <c r="AH6485">
        <v>4</v>
      </c>
      <c r="AI6485">
        <v>17</v>
      </c>
      <c r="AJ6485">
        <v>1</v>
      </c>
      <c r="AK6485">
        <v>18</v>
      </c>
      <c r="AL6485">
        <v>35</v>
      </c>
      <c r="AM6485" t="s">
        <v>43</v>
      </c>
      <c r="AN6485" t="str">
        <f>HYPERLINK("https://www.google.com/maps?q=10.76414776,79.75976563","Open Location")</f>
        <v>Open Location</v>
      </c>
    </row>
    <row r="6486" spans="1:40" x14ac:dyDescent="0.3">
      <c r="A6486" s="1">
        <v>46210.248611111114</v>
      </c>
      <c r="B6486" t="s">
        <v>40</v>
      </c>
      <c r="C6486" t="s">
        <v>41</v>
      </c>
      <c r="D6486" s="1">
        <v>46210.251817129632</v>
      </c>
      <c r="E6486" t="s">
        <v>42</v>
      </c>
      <c r="F6486" t="s">
        <v>83</v>
      </c>
      <c r="G6486">
        <v>46</v>
      </c>
      <c r="H6486">
        <v>33065</v>
      </c>
      <c r="I6486" t="s">
        <v>3745</v>
      </c>
      <c r="J6486">
        <v>69</v>
      </c>
      <c r="K6486">
        <v>122</v>
      </c>
      <c r="L6486">
        <v>98</v>
      </c>
      <c r="M6486">
        <v>628.20001220999995</v>
      </c>
      <c r="N6486" t="s">
        <v>87</v>
      </c>
      <c r="O6486" t="s">
        <v>86</v>
      </c>
      <c r="P6486">
        <v>131</v>
      </c>
      <c r="Q6486">
        <v>6</v>
      </c>
      <c r="R6486">
        <v>44</v>
      </c>
      <c r="S6486">
        <v>1440</v>
      </c>
      <c r="T6486">
        <v>-40</v>
      </c>
      <c r="U6486">
        <v>41</v>
      </c>
      <c r="V6486">
        <v>460</v>
      </c>
      <c r="W6486">
        <v>28</v>
      </c>
      <c r="X6486">
        <v>28</v>
      </c>
      <c r="Y6486">
        <v>1</v>
      </c>
      <c r="Z6486">
        <v>1</v>
      </c>
      <c r="AA6486">
        <v>26</v>
      </c>
      <c r="AB6486">
        <v>2</v>
      </c>
      <c r="AC6486">
        <v>1</v>
      </c>
      <c r="AD6486">
        <v>3.2790000400000001</v>
      </c>
      <c r="AE6486">
        <v>5</v>
      </c>
      <c r="AF6486">
        <v>38</v>
      </c>
      <c r="AG6486">
        <v>3.2630000099999998</v>
      </c>
      <c r="AH6486">
        <v>7</v>
      </c>
      <c r="AI6486">
        <v>1</v>
      </c>
      <c r="AJ6486">
        <v>1</v>
      </c>
      <c r="AK6486">
        <v>19</v>
      </c>
      <c r="AL6486">
        <v>35</v>
      </c>
      <c r="AM6486" t="s">
        <v>43</v>
      </c>
      <c r="AN6486" t="str">
        <f>HYPERLINK("https://www.google.com/maps?q=10.76389313,79.75807953","Open Location")</f>
        <v>Open Location</v>
      </c>
    </row>
    <row r="6487" spans="1:40" x14ac:dyDescent="0.3">
      <c r="A6487" s="1">
        <v>46210.248495370368</v>
      </c>
      <c r="B6487" t="s">
        <v>40</v>
      </c>
      <c r="C6487" t="s">
        <v>41</v>
      </c>
      <c r="D6487" s="1">
        <v>46210.251377314817</v>
      </c>
      <c r="E6487" t="s">
        <v>42</v>
      </c>
      <c r="F6487" t="s">
        <v>83</v>
      </c>
      <c r="G6487">
        <v>57</v>
      </c>
      <c r="H6487" t="s">
        <v>43</v>
      </c>
      <c r="I6487" t="s">
        <v>3746</v>
      </c>
      <c r="J6487">
        <v>69</v>
      </c>
      <c r="K6487">
        <v>-99</v>
      </c>
      <c r="L6487">
        <v>98</v>
      </c>
      <c r="M6487">
        <v>637.5</v>
      </c>
      <c r="N6487" t="s">
        <v>87</v>
      </c>
      <c r="O6487" t="s">
        <v>86</v>
      </c>
      <c r="P6487">
        <v>131</v>
      </c>
      <c r="Q6487">
        <v>6</v>
      </c>
      <c r="R6487">
        <v>2</v>
      </c>
      <c r="S6487">
        <v>1342</v>
      </c>
      <c r="T6487">
        <v>-40</v>
      </c>
      <c r="U6487">
        <v>40</v>
      </c>
      <c r="V6487">
        <v>-640</v>
      </c>
      <c r="W6487">
        <v>28</v>
      </c>
      <c r="X6487">
        <v>28</v>
      </c>
      <c r="Y6487">
        <v>1</v>
      </c>
      <c r="Z6487">
        <v>1</v>
      </c>
      <c r="AA6487">
        <v>26</v>
      </c>
      <c r="AB6487">
        <v>2</v>
      </c>
      <c r="AC6487">
        <v>1</v>
      </c>
      <c r="AD6487">
        <v>3.31299996</v>
      </c>
      <c r="AE6487">
        <v>1</v>
      </c>
      <c r="AF6487">
        <v>2</v>
      </c>
      <c r="AG6487">
        <v>3.30699992</v>
      </c>
      <c r="AH6487">
        <v>2</v>
      </c>
      <c r="AI6487">
        <v>45</v>
      </c>
      <c r="AJ6487">
        <v>1</v>
      </c>
      <c r="AK6487">
        <v>18</v>
      </c>
      <c r="AL6487">
        <v>35</v>
      </c>
      <c r="AM6487" t="s">
        <v>43</v>
      </c>
      <c r="AN6487" t="str">
        <f>HYPERLINK("https://www.google.com/maps?q=10.76347828,79.75656891","Open Location")</f>
        <v>Open Location</v>
      </c>
    </row>
    <row r="6488" spans="1:40" x14ac:dyDescent="0.3">
      <c r="A6488" s="1">
        <v>46210.248379629629</v>
      </c>
      <c r="B6488" t="s">
        <v>40</v>
      </c>
      <c r="C6488" t="s">
        <v>41</v>
      </c>
      <c r="D6488" s="1">
        <v>46210.251203703701</v>
      </c>
      <c r="E6488" t="s">
        <v>42</v>
      </c>
      <c r="F6488" t="s">
        <v>83</v>
      </c>
      <c r="G6488">
        <v>58</v>
      </c>
      <c r="H6488">
        <v>33065</v>
      </c>
      <c r="I6488" t="s">
        <v>3747</v>
      </c>
      <c r="J6488">
        <v>69</v>
      </c>
      <c r="K6488">
        <v>90</v>
      </c>
      <c r="L6488">
        <v>98</v>
      </c>
      <c r="M6488">
        <v>628.09997558999999</v>
      </c>
      <c r="N6488" t="s">
        <v>87</v>
      </c>
      <c r="O6488" t="s">
        <v>86</v>
      </c>
      <c r="P6488">
        <v>131</v>
      </c>
      <c r="Q6488">
        <v>6</v>
      </c>
      <c r="R6488">
        <v>53</v>
      </c>
      <c r="S6488">
        <v>1611</v>
      </c>
      <c r="T6488">
        <v>-40</v>
      </c>
      <c r="U6488">
        <v>41</v>
      </c>
      <c r="V6488">
        <v>300</v>
      </c>
      <c r="W6488">
        <v>28</v>
      </c>
      <c r="X6488">
        <v>28</v>
      </c>
      <c r="Y6488">
        <v>1</v>
      </c>
      <c r="Z6488">
        <v>1</v>
      </c>
      <c r="AA6488">
        <v>26</v>
      </c>
      <c r="AB6488">
        <v>2</v>
      </c>
      <c r="AC6488">
        <v>1</v>
      </c>
      <c r="AD6488">
        <v>3.2809998999999999</v>
      </c>
      <c r="AE6488">
        <v>5</v>
      </c>
      <c r="AF6488">
        <v>38</v>
      </c>
      <c r="AG6488">
        <v>3.2669999600000001</v>
      </c>
      <c r="AH6488">
        <v>7</v>
      </c>
      <c r="AI6488">
        <v>1</v>
      </c>
      <c r="AJ6488" t="s">
        <v>43</v>
      </c>
      <c r="AK6488" t="s">
        <v>43</v>
      </c>
      <c r="AL6488">
        <v>35</v>
      </c>
      <c r="AM6488" t="s">
        <v>43</v>
      </c>
      <c r="AN6488" t="str">
        <f>HYPERLINK("https://www.google.com/maps?q=10.76294994,79.75486755","Open Location")</f>
        <v>Open Location</v>
      </c>
    </row>
    <row r="6489" spans="1:40" x14ac:dyDescent="0.3">
      <c r="A6489" s="1">
        <v>46210.248263888891</v>
      </c>
      <c r="B6489" t="s">
        <v>40</v>
      </c>
      <c r="C6489" t="s">
        <v>41</v>
      </c>
      <c r="D6489" s="1">
        <v>46210.251377314817</v>
      </c>
      <c r="E6489" t="s">
        <v>42</v>
      </c>
      <c r="F6489" t="s">
        <v>83</v>
      </c>
      <c r="G6489">
        <v>58</v>
      </c>
      <c r="H6489">
        <v>33065</v>
      </c>
      <c r="I6489" t="s">
        <v>43</v>
      </c>
      <c r="J6489">
        <v>69</v>
      </c>
      <c r="K6489">
        <v>85</v>
      </c>
      <c r="L6489">
        <v>98</v>
      </c>
      <c r="M6489">
        <v>628.09997558999999</v>
      </c>
      <c r="N6489" t="s">
        <v>87</v>
      </c>
      <c r="O6489" t="s">
        <v>86</v>
      </c>
      <c r="P6489">
        <v>131</v>
      </c>
      <c r="Q6489">
        <v>6</v>
      </c>
      <c r="R6489">
        <v>34</v>
      </c>
      <c r="S6489">
        <v>1616</v>
      </c>
      <c r="T6489">
        <v>-40</v>
      </c>
      <c r="U6489">
        <v>40</v>
      </c>
      <c r="V6489">
        <v>300</v>
      </c>
      <c r="W6489">
        <v>28</v>
      </c>
      <c r="X6489">
        <v>28</v>
      </c>
      <c r="Y6489">
        <v>1</v>
      </c>
      <c r="Z6489">
        <v>1</v>
      </c>
      <c r="AA6489">
        <v>26</v>
      </c>
      <c r="AB6489">
        <v>2</v>
      </c>
      <c r="AC6489">
        <v>1</v>
      </c>
      <c r="AD6489">
        <v>3.2780001200000002</v>
      </c>
      <c r="AE6489">
        <v>5</v>
      </c>
      <c r="AF6489">
        <v>38</v>
      </c>
      <c r="AG6489">
        <v>3.2630000099999998</v>
      </c>
      <c r="AH6489">
        <v>7</v>
      </c>
      <c r="AI6489">
        <v>1</v>
      </c>
      <c r="AJ6489">
        <v>1</v>
      </c>
      <c r="AK6489">
        <v>18</v>
      </c>
      <c r="AL6489">
        <v>35</v>
      </c>
      <c r="AM6489" t="s">
        <v>43</v>
      </c>
      <c r="AN6489" t="s">
        <v>43</v>
      </c>
    </row>
    <row r="6490" spans="1:40" x14ac:dyDescent="0.3">
      <c r="A6490" s="1">
        <v>46210.248148148145</v>
      </c>
      <c r="B6490" t="s">
        <v>40</v>
      </c>
      <c r="C6490" t="s">
        <v>41</v>
      </c>
      <c r="D6490" s="1">
        <v>46210.251099537039</v>
      </c>
      <c r="E6490" t="s">
        <v>42</v>
      </c>
      <c r="F6490" t="s">
        <v>83</v>
      </c>
      <c r="G6490">
        <v>60</v>
      </c>
      <c r="H6490">
        <v>33065</v>
      </c>
      <c r="I6490" t="s">
        <v>3748</v>
      </c>
      <c r="J6490">
        <v>69</v>
      </c>
      <c r="K6490">
        <v>61</v>
      </c>
      <c r="L6490">
        <v>98</v>
      </c>
      <c r="M6490">
        <v>630</v>
      </c>
      <c r="N6490" t="s">
        <v>87</v>
      </c>
      <c r="O6490" t="s">
        <v>86</v>
      </c>
      <c r="P6490">
        <v>131</v>
      </c>
      <c r="Q6490">
        <v>6</v>
      </c>
      <c r="R6490">
        <v>38</v>
      </c>
      <c r="S6490">
        <v>1618</v>
      </c>
      <c r="T6490">
        <v>-40</v>
      </c>
      <c r="U6490">
        <v>41</v>
      </c>
      <c r="V6490">
        <v>220</v>
      </c>
      <c r="W6490">
        <v>28</v>
      </c>
      <c r="X6490">
        <v>28</v>
      </c>
      <c r="Y6490">
        <v>1</v>
      </c>
      <c r="Z6490">
        <v>1</v>
      </c>
      <c r="AA6490">
        <v>26</v>
      </c>
      <c r="AB6490">
        <v>2</v>
      </c>
      <c r="AC6490">
        <v>1</v>
      </c>
      <c r="AD6490">
        <v>3.28600001</v>
      </c>
      <c r="AE6490">
        <v>5</v>
      </c>
      <c r="AF6490">
        <v>38</v>
      </c>
      <c r="AG6490">
        <v>3.2730000000000001</v>
      </c>
      <c r="AH6490">
        <v>7</v>
      </c>
      <c r="AI6490">
        <v>1</v>
      </c>
      <c r="AJ6490">
        <v>1</v>
      </c>
      <c r="AK6490">
        <v>19</v>
      </c>
      <c r="AL6490">
        <v>35</v>
      </c>
      <c r="AM6490" t="s">
        <v>43</v>
      </c>
      <c r="AN6490" t="str">
        <f>HYPERLINK("https://www.google.com/maps?q=10.76241589,79.7531662","Open Location")</f>
        <v>Open Location</v>
      </c>
    </row>
    <row r="6491" spans="1:40" x14ac:dyDescent="0.3">
      <c r="A6491" s="1">
        <v>46210.248032407406</v>
      </c>
      <c r="B6491" t="s">
        <v>40</v>
      </c>
      <c r="C6491" t="s">
        <v>41</v>
      </c>
      <c r="D6491" s="1">
        <v>46210.250914351855</v>
      </c>
      <c r="E6491" t="s">
        <v>42</v>
      </c>
      <c r="F6491" t="s">
        <v>83</v>
      </c>
      <c r="G6491">
        <v>59</v>
      </c>
      <c r="H6491">
        <v>33065</v>
      </c>
      <c r="I6491" t="s">
        <v>3749</v>
      </c>
      <c r="J6491">
        <v>69</v>
      </c>
      <c r="K6491">
        <v>81</v>
      </c>
      <c r="L6491">
        <v>98</v>
      </c>
      <c r="M6491">
        <v>627.59997558999999</v>
      </c>
      <c r="N6491" t="s">
        <v>87</v>
      </c>
      <c r="O6491" t="s">
        <v>86</v>
      </c>
      <c r="P6491">
        <v>131</v>
      </c>
      <c r="Q6491">
        <v>6</v>
      </c>
      <c r="R6491">
        <v>41</v>
      </c>
      <c r="S6491">
        <v>1657</v>
      </c>
      <c r="T6491">
        <v>-40</v>
      </c>
      <c r="U6491">
        <v>42</v>
      </c>
      <c r="V6491">
        <v>304</v>
      </c>
      <c r="W6491">
        <v>28</v>
      </c>
      <c r="X6491">
        <v>28</v>
      </c>
      <c r="Y6491">
        <v>1</v>
      </c>
      <c r="Z6491">
        <v>1</v>
      </c>
      <c r="AA6491">
        <v>26</v>
      </c>
      <c r="AB6491">
        <v>2</v>
      </c>
      <c r="AC6491">
        <v>1</v>
      </c>
      <c r="AD6491">
        <v>3.2760000200000001</v>
      </c>
      <c r="AE6491">
        <v>5</v>
      </c>
      <c r="AF6491">
        <v>38</v>
      </c>
      <c r="AG6491">
        <v>3.2609999200000002</v>
      </c>
      <c r="AH6491">
        <v>4</v>
      </c>
      <c r="AI6491">
        <v>17</v>
      </c>
      <c r="AJ6491">
        <v>1</v>
      </c>
      <c r="AK6491">
        <v>18</v>
      </c>
      <c r="AL6491">
        <v>35</v>
      </c>
      <c r="AM6491" t="s">
        <v>43</v>
      </c>
      <c r="AN6491" t="str">
        <f>HYPERLINK("https://www.google.com/maps?q=10.76203346,79.75138092","Open Location")</f>
        <v>Open Location</v>
      </c>
    </row>
    <row r="6492" spans="1:40" x14ac:dyDescent="0.3">
      <c r="A6492" s="1">
        <v>46210.247916666667</v>
      </c>
      <c r="B6492" t="s">
        <v>40</v>
      </c>
      <c r="C6492" t="s">
        <v>41</v>
      </c>
      <c r="D6492" s="1">
        <v>46210.250868055555</v>
      </c>
      <c r="E6492" t="s">
        <v>42</v>
      </c>
      <c r="F6492" t="s">
        <v>83</v>
      </c>
      <c r="G6492">
        <v>58</v>
      </c>
      <c r="H6492">
        <v>33065</v>
      </c>
      <c r="I6492" t="s">
        <v>3750</v>
      </c>
      <c r="J6492">
        <v>69</v>
      </c>
      <c r="K6492">
        <v>203</v>
      </c>
      <c r="L6492">
        <v>98</v>
      </c>
      <c r="M6492">
        <v>624.5</v>
      </c>
      <c r="N6492" t="s">
        <v>87</v>
      </c>
      <c r="O6492" t="s">
        <v>86</v>
      </c>
      <c r="P6492">
        <v>131</v>
      </c>
      <c r="Q6492">
        <v>6</v>
      </c>
      <c r="R6492">
        <v>40</v>
      </c>
      <c r="S6492">
        <v>1611</v>
      </c>
      <c r="T6492">
        <v>-40</v>
      </c>
      <c r="U6492">
        <v>41</v>
      </c>
      <c r="V6492">
        <v>700</v>
      </c>
      <c r="W6492">
        <v>28</v>
      </c>
      <c r="X6492">
        <v>28</v>
      </c>
      <c r="Y6492">
        <v>1</v>
      </c>
      <c r="Z6492">
        <v>1</v>
      </c>
      <c r="AA6492">
        <v>26</v>
      </c>
      <c r="AB6492">
        <v>2</v>
      </c>
      <c r="AC6492">
        <v>1</v>
      </c>
      <c r="AD6492">
        <v>3.2750001000000002</v>
      </c>
      <c r="AE6492">
        <v>5</v>
      </c>
      <c r="AF6492">
        <v>38</v>
      </c>
      <c r="AG6492">
        <v>3.2579999000000002</v>
      </c>
      <c r="AH6492">
        <v>2</v>
      </c>
      <c r="AI6492">
        <v>46</v>
      </c>
      <c r="AJ6492">
        <v>1</v>
      </c>
      <c r="AK6492">
        <v>18</v>
      </c>
      <c r="AL6492">
        <v>35</v>
      </c>
      <c r="AM6492" t="s">
        <v>43</v>
      </c>
      <c r="AN6492" t="str">
        <f>HYPERLINK("https://www.google.com/maps?q=10.76169586,79.74963379","Open Location")</f>
        <v>Open Location</v>
      </c>
    </row>
    <row r="6493" spans="1:40" x14ac:dyDescent="0.3">
      <c r="A6493" s="1">
        <v>46210.247800925928</v>
      </c>
      <c r="B6493" t="s">
        <v>40</v>
      </c>
      <c r="C6493" t="s">
        <v>41</v>
      </c>
      <c r="D6493" s="1">
        <v>46210.250659722224</v>
      </c>
      <c r="E6493" t="s">
        <v>42</v>
      </c>
      <c r="F6493" t="s">
        <v>83</v>
      </c>
      <c r="G6493">
        <v>57</v>
      </c>
      <c r="H6493">
        <v>33064</v>
      </c>
      <c r="I6493" t="s">
        <v>3751</v>
      </c>
      <c r="J6493">
        <v>69</v>
      </c>
      <c r="K6493">
        <v>107</v>
      </c>
      <c r="L6493">
        <v>98</v>
      </c>
      <c r="M6493">
        <v>627.70001220999995</v>
      </c>
      <c r="N6493" t="s">
        <v>87</v>
      </c>
      <c r="O6493" t="s">
        <v>86</v>
      </c>
      <c r="P6493">
        <v>131</v>
      </c>
      <c r="Q6493">
        <v>6</v>
      </c>
      <c r="R6493">
        <v>42</v>
      </c>
      <c r="S6493">
        <v>1606</v>
      </c>
      <c r="T6493">
        <v>-40</v>
      </c>
      <c r="U6493">
        <v>41</v>
      </c>
      <c r="V6493">
        <v>360</v>
      </c>
      <c r="W6493">
        <v>28</v>
      </c>
      <c r="X6493">
        <v>28</v>
      </c>
      <c r="Y6493">
        <v>1</v>
      </c>
      <c r="Z6493">
        <v>1</v>
      </c>
      <c r="AA6493">
        <v>26</v>
      </c>
      <c r="AB6493">
        <v>2</v>
      </c>
      <c r="AC6493">
        <v>1</v>
      </c>
      <c r="AD6493">
        <v>3.2750001000000002</v>
      </c>
      <c r="AE6493">
        <v>5</v>
      </c>
      <c r="AF6493">
        <v>38</v>
      </c>
      <c r="AG6493">
        <v>3.25900006</v>
      </c>
      <c r="AH6493">
        <v>7</v>
      </c>
      <c r="AI6493">
        <v>1</v>
      </c>
      <c r="AJ6493">
        <v>1</v>
      </c>
      <c r="AK6493">
        <v>19</v>
      </c>
      <c r="AL6493">
        <v>35</v>
      </c>
      <c r="AM6493" t="s">
        <v>43</v>
      </c>
      <c r="AN6493" t="str">
        <f>HYPERLINK("https://www.google.com/maps?q=10.76140785,79.74788666","Open Location")</f>
        <v>Open Location</v>
      </c>
    </row>
    <row r="6494" spans="1:40" x14ac:dyDescent="0.3">
      <c r="A6494" s="1">
        <v>46210.247685185182</v>
      </c>
      <c r="B6494" t="s">
        <v>40</v>
      </c>
      <c r="C6494" t="s">
        <v>41</v>
      </c>
      <c r="D6494" s="1">
        <v>46210.250659722224</v>
      </c>
      <c r="E6494" t="s">
        <v>42</v>
      </c>
      <c r="F6494" t="s">
        <v>83</v>
      </c>
      <c r="G6494">
        <v>57</v>
      </c>
      <c r="H6494" t="s">
        <v>43</v>
      </c>
      <c r="I6494" t="s">
        <v>43</v>
      </c>
      <c r="J6494">
        <v>69</v>
      </c>
      <c r="K6494">
        <v>88</v>
      </c>
      <c r="L6494">
        <v>98</v>
      </c>
      <c r="M6494">
        <v>628.40002441000001</v>
      </c>
      <c r="N6494" t="s">
        <v>87</v>
      </c>
      <c r="O6494" t="s">
        <v>86</v>
      </c>
      <c r="P6494">
        <v>131</v>
      </c>
      <c r="Q6494">
        <v>6</v>
      </c>
      <c r="R6494">
        <v>31</v>
      </c>
      <c r="S6494">
        <v>1579</v>
      </c>
      <c r="T6494">
        <v>-40</v>
      </c>
      <c r="U6494">
        <v>41</v>
      </c>
      <c r="V6494">
        <v>320</v>
      </c>
      <c r="W6494">
        <v>28</v>
      </c>
      <c r="X6494">
        <v>28</v>
      </c>
      <c r="Y6494">
        <v>1</v>
      </c>
      <c r="Z6494">
        <v>1</v>
      </c>
      <c r="AA6494">
        <v>26</v>
      </c>
      <c r="AB6494">
        <v>2</v>
      </c>
      <c r="AC6494">
        <v>1</v>
      </c>
      <c r="AD6494">
        <v>3.2839999199999999</v>
      </c>
      <c r="AE6494">
        <v>5</v>
      </c>
      <c r="AF6494">
        <v>38</v>
      </c>
      <c r="AG6494">
        <v>3.27099991</v>
      </c>
      <c r="AH6494">
        <v>7</v>
      </c>
      <c r="AI6494">
        <v>1</v>
      </c>
      <c r="AJ6494" t="s">
        <v>43</v>
      </c>
      <c r="AK6494" t="s">
        <v>43</v>
      </c>
      <c r="AL6494" t="s">
        <v>43</v>
      </c>
      <c r="AM6494" t="s">
        <v>43</v>
      </c>
      <c r="AN6494" t="s">
        <v>43</v>
      </c>
    </row>
    <row r="6495" spans="1:40" x14ac:dyDescent="0.3">
      <c r="A6495" s="1">
        <v>46210.247569444444</v>
      </c>
      <c r="B6495" t="s">
        <v>40</v>
      </c>
      <c r="C6495" t="s">
        <v>41</v>
      </c>
      <c r="D6495" s="1">
        <v>46210.250300925924</v>
      </c>
      <c r="E6495" t="s">
        <v>42</v>
      </c>
      <c r="F6495" t="s">
        <v>83</v>
      </c>
      <c r="G6495">
        <v>57</v>
      </c>
      <c r="H6495">
        <v>33064</v>
      </c>
      <c r="I6495" t="s">
        <v>3752</v>
      </c>
      <c r="J6495">
        <v>69</v>
      </c>
      <c r="K6495">
        <v>45</v>
      </c>
      <c r="L6495">
        <v>98</v>
      </c>
      <c r="M6495">
        <v>629.79998779000005</v>
      </c>
      <c r="N6495" t="s">
        <v>87</v>
      </c>
      <c r="O6495" t="s">
        <v>86</v>
      </c>
      <c r="P6495">
        <v>131</v>
      </c>
      <c r="Q6495">
        <v>6</v>
      </c>
      <c r="R6495">
        <v>36</v>
      </c>
      <c r="S6495">
        <v>1579</v>
      </c>
      <c r="T6495">
        <v>-40</v>
      </c>
      <c r="U6495">
        <v>42</v>
      </c>
      <c r="V6495">
        <v>160</v>
      </c>
      <c r="W6495">
        <v>28</v>
      </c>
      <c r="X6495">
        <v>28</v>
      </c>
      <c r="Y6495">
        <v>1</v>
      </c>
      <c r="Z6495">
        <v>7</v>
      </c>
      <c r="AA6495">
        <v>26</v>
      </c>
      <c r="AB6495">
        <v>2</v>
      </c>
      <c r="AC6495">
        <v>1</v>
      </c>
      <c r="AD6495">
        <v>3.28299999</v>
      </c>
      <c r="AE6495">
        <v>5</v>
      </c>
      <c r="AF6495">
        <v>38</v>
      </c>
      <c r="AG6495">
        <v>3.2699999800000001</v>
      </c>
      <c r="AH6495">
        <v>6</v>
      </c>
      <c r="AI6495">
        <v>24</v>
      </c>
      <c r="AJ6495">
        <v>1</v>
      </c>
      <c r="AK6495">
        <v>18</v>
      </c>
      <c r="AL6495">
        <v>35</v>
      </c>
      <c r="AM6495" t="s">
        <v>43</v>
      </c>
      <c r="AN6495" t="str">
        <f>HYPERLINK("https://www.google.com/maps?q=10.76117325,79.74601746","Open Location")</f>
        <v>Open Location</v>
      </c>
    </row>
    <row r="6496" spans="1:40" x14ac:dyDescent="0.3">
      <c r="A6496" s="1">
        <v>46210.247453703705</v>
      </c>
      <c r="B6496" t="s">
        <v>40</v>
      </c>
      <c r="C6496" t="s">
        <v>41</v>
      </c>
      <c r="D6496" s="1">
        <v>46210.250300925924</v>
      </c>
      <c r="E6496" t="s">
        <v>42</v>
      </c>
      <c r="F6496" t="s">
        <v>83</v>
      </c>
      <c r="G6496">
        <v>55</v>
      </c>
      <c r="H6496" t="s">
        <v>43</v>
      </c>
      <c r="I6496" t="s">
        <v>3753</v>
      </c>
      <c r="J6496">
        <v>69</v>
      </c>
      <c r="K6496">
        <v>200</v>
      </c>
      <c r="L6496">
        <v>98</v>
      </c>
      <c r="M6496">
        <v>624.20001220999995</v>
      </c>
      <c r="N6496" t="s">
        <v>87</v>
      </c>
      <c r="O6496" t="s">
        <v>86</v>
      </c>
      <c r="P6496">
        <v>131</v>
      </c>
      <c r="Q6496">
        <v>6</v>
      </c>
      <c r="R6496">
        <v>44</v>
      </c>
      <c r="S6496">
        <v>1557</v>
      </c>
      <c r="T6496">
        <v>-40</v>
      </c>
      <c r="U6496">
        <v>44</v>
      </c>
      <c r="V6496">
        <v>760</v>
      </c>
      <c r="W6496">
        <v>28</v>
      </c>
      <c r="X6496">
        <v>28</v>
      </c>
      <c r="Y6496">
        <v>1</v>
      </c>
      <c r="Z6496">
        <v>7</v>
      </c>
      <c r="AA6496">
        <v>26</v>
      </c>
      <c r="AB6496">
        <v>2</v>
      </c>
      <c r="AC6496">
        <v>1</v>
      </c>
      <c r="AD6496">
        <v>3.28900003</v>
      </c>
      <c r="AE6496">
        <v>5</v>
      </c>
      <c r="AF6496">
        <v>38</v>
      </c>
      <c r="AG6496">
        <v>3.2780001200000002</v>
      </c>
      <c r="AH6496">
        <v>6</v>
      </c>
      <c r="AI6496">
        <v>24</v>
      </c>
      <c r="AJ6496" t="s">
        <v>43</v>
      </c>
      <c r="AK6496" t="s">
        <v>43</v>
      </c>
      <c r="AL6496" t="s">
        <v>43</v>
      </c>
      <c r="AM6496" t="s">
        <v>43</v>
      </c>
      <c r="AN6496" t="str">
        <f>HYPERLINK("https://www.google.com/maps?q=10.76097107,79.74427795","Open Location")</f>
        <v>Open Location</v>
      </c>
    </row>
    <row r="6497" spans="1:40" x14ac:dyDescent="0.3">
      <c r="A6497" s="1">
        <v>46210.247337962966</v>
      </c>
      <c r="B6497" t="s">
        <v>40</v>
      </c>
      <c r="C6497" t="s">
        <v>41</v>
      </c>
      <c r="D6497" s="1">
        <v>46210.250324074077</v>
      </c>
      <c r="E6497" t="s">
        <v>42</v>
      </c>
      <c r="F6497" t="s">
        <v>83</v>
      </c>
      <c r="G6497">
        <v>50</v>
      </c>
      <c r="H6497">
        <v>33064</v>
      </c>
      <c r="I6497" t="s">
        <v>3754</v>
      </c>
      <c r="J6497">
        <v>69</v>
      </c>
      <c r="K6497">
        <v>273</v>
      </c>
      <c r="L6497">
        <v>98</v>
      </c>
      <c r="M6497">
        <v>622.5</v>
      </c>
      <c r="N6497" t="s">
        <v>87</v>
      </c>
      <c r="O6497" t="s">
        <v>86</v>
      </c>
      <c r="P6497">
        <v>131</v>
      </c>
      <c r="Q6497">
        <v>6</v>
      </c>
      <c r="R6497">
        <v>-110</v>
      </c>
      <c r="S6497">
        <v>1516</v>
      </c>
      <c r="T6497">
        <v>-40</v>
      </c>
      <c r="U6497">
        <v>41</v>
      </c>
      <c r="V6497">
        <v>992</v>
      </c>
      <c r="W6497">
        <v>28</v>
      </c>
      <c r="X6497">
        <v>28</v>
      </c>
      <c r="Y6497">
        <v>1</v>
      </c>
      <c r="Z6497">
        <v>7</v>
      </c>
      <c r="AA6497">
        <v>26</v>
      </c>
      <c r="AB6497">
        <v>2</v>
      </c>
      <c r="AC6497">
        <v>1</v>
      </c>
      <c r="AD6497">
        <v>3.2520000900000001</v>
      </c>
      <c r="AE6497">
        <v>5</v>
      </c>
      <c r="AF6497">
        <v>38</v>
      </c>
      <c r="AG6497">
        <v>3.2269999999999999</v>
      </c>
      <c r="AH6497">
        <v>8</v>
      </c>
      <c r="AI6497">
        <v>35</v>
      </c>
      <c r="AJ6497">
        <v>1</v>
      </c>
      <c r="AK6497">
        <v>20</v>
      </c>
      <c r="AL6497">
        <v>35</v>
      </c>
      <c r="AM6497" t="s">
        <v>43</v>
      </c>
      <c r="AN6497" t="str">
        <f>HYPERLINK("https://www.google.com/maps?q=10.7607832,79.74267578","Open Location")</f>
        <v>Open Location</v>
      </c>
    </row>
    <row r="6498" spans="1:40" x14ac:dyDescent="0.3">
      <c r="A6498" s="1">
        <v>46210.24722222222</v>
      </c>
      <c r="B6498" t="s">
        <v>40</v>
      </c>
      <c r="C6498" t="s">
        <v>41</v>
      </c>
      <c r="D6498" s="1">
        <v>46210.250300925924</v>
      </c>
      <c r="E6498" t="s">
        <v>42</v>
      </c>
      <c r="F6498" t="s">
        <v>83</v>
      </c>
      <c r="G6498">
        <v>49</v>
      </c>
      <c r="H6498">
        <v>33064</v>
      </c>
      <c r="I6498" t="s">
        <v>3755</v>
      </c>
      <c r="J6498">
        <v>69</v>
      </c>
      <c r="K6498">
        <v>69</v>
      </c>
      <c r="L6498">
        <v>98</v>
      </c>
      <c r="M6498">
        <v>629</v>
      </c>
      <c r="N6498" t="s">
        <v>87</v>
      </c>
      <c r="O6498" t="s">
        <v>86</v>
      </c>
      <c r="P6498">
        <v>131</v>
      </c>
      <c r="Q6498">
        <v>6</v>
      </c>
      <c r="R6498">
        <v>111</v>
      </c>
      <c r="S6498">
        <v>1459</v>
      </c>
      <c r="T6498">
        <v>-40</v>
      </c>
      <c r="U6498">
        <v>42</v>
      </c>
      <c r="V6498">
        <v>240</v>
      </c>
      <c r="W6498">
        <v>28</v>
      </c>
      <c r="X6498">
        <v>28</v>
      </c>
      <c r="Y6498">
        <v>1</v>
      </c>
      <c r="Z6498">
        <v>7</v>
      </c>
      <c r="AA6498">
        <v>26</v>
      </c>
      <c r="AB6498">
        <v>2</v>
      </c>
      <c r="AC6498">
        <v>1</v>
      </c>
      <c r="AD6498">
        <v>3.28600001</v>
      </c>
      <c r="AE6498">
        <v>5</v>
      </c>
      <c r="AF6498">
        <v>38</v>
      </c>
      <c r="AG6498">
        <v>3.2720000699999998</v>
      </c>
      <c r="AH6498">
        <v>4</v>
      </c>
      <c r="AI6498">
        <v>17</v>
      </c>
      <c r="AJ6498" t="s">
        <v>43</v>
      </c>
      <c r="AK6498" t="s">
        <v>43</v>
      </c>
      <c r="AL6498">
        <v>35</v>
      </c>
      <c r="AM6498" t="s">
        <v>43</v>
      </c>
      <c r="AN6498" t="str">
        <f>HYPERLINK("https://www.google.com/maps?q=10.76060581,79.74111176","Open Location")</f>
        <v>Open Location</v>
      </c>
    </row>
    <row r="6499" spans="1:40" x14ac:dyDescent="0.3">
      <c r="A6499" s="1">
        <v>46210.247106481482</v>
      </c>
      <c r="B6499" t="s">
        <v>40</v>
      </c>
      <c r="C6499" t="s">
        <v>41</v>
      </c>
      <c r="D6499" s="1">
        <v>46210.249849537038</v>
      </c>
      <c r="E6499" t="s">
        <v>42</v>
      </c>
      <c r="F6499" t="s">
        <v>83</v>
      </c>
      <c r="G6499">
        <v>53</v>
      </c>
      <c r="H6499">
        <v>33063</v>
      </c>
      <c r="I6499" t="s">
        <v>3756</v>
      </c>
      <c r="J6499">
        <v>69</v>
      </c>
      <c r="K6499">
        <v>79</v>
      </c>
      <c r="L6499">
        <v>98</v>
      </c>
      <c r="M6499">
        <v>630.09997558999999</v>
      </c>
      <c r="N6499" t="s">
        <v>87</v>
      </c>
      <c r="O6499" t="s">
        <v>86</v>
      </c>
      <c r="P6499">
        <v>131</v>
      </c>
      <c r="Q6499">
        <v>6</v>
      </c>
      <c r="R6499">
        <v>-46</v>
      </c>
      <c r="S6499">
        <v>1297</v>
      </c>
      <c r="T6499">
        <v>-40</v>
      </c>
      <c r="U6499">
        <v>40</v>
      </c>
      <c r="V6499">
        <v>280</v>
      </c>
      <c r="W6499">
        <v>28</v>
      </c>
      <c r="X6499">
        <v>28</v>
      </c>
      <c r="Y6499">
        <v>1</v>
      </c>
      <c r="Z6499">
        <v>7</v>
      </c>
      <c r="AA6499">
        <v>26</v>
      </c>
      <c r="AB6499">
        <v>2</v>
      </c>
      <c r="AC6499">
        <v>1</v>
      </c>
      <c r="AD6499">
        <v>3.28500009</v>
      </c>
      <c r="AE6499">
        <v>5</v>
      </c>
      <c r="AF6499">
        <v>38</v>
      </c>
      <c r="AG6499">
        <v>3.27099991</v>
      </c>
      <c r="AH6499">
        <v>4</v>
      </c>
      <c r="AI6499">
        <v>17</v>
      </c>
      <c r="AJ6499">
        <v>1</v>
      </c>
      <c r="AK6499">
        <v>21</v>
      </c>
      <c r="AL6499">
        <v>35</v>
      </c>
      <c r="AM6499" t="s">
        <v>43</v>
      </c>
      <c r="AN6499" t="str">
        <f>HYPERLINK("https://www.google.com/maps?q=10.76043129,79.73962402","Open Location")</f>
        <v>Open Location</v>
      </c>
    </row>
    <row r="6500" spans="1:40" x14ac:dyDescent="0.3">
      <c r="A6500" s="1">
        <v>46210.246990740743</v>
      </c>
      <c r="B6500" t="s">
        <v>40</v>
      </c>
      <c r="C6500" t="s">
        <v>41</v>
      </c>
      <c r="D6500" s="1">
        <v>46210.249930555554</v>
      </c>
      <c r="E6500" t="s">
        <v>42</v>
      </c>
      <c r="F6500" t="s">
        <v>83</v>
      </c>
      <c r="G6500">
        <v>57</v>
      </c>
      <c r="H6500" t="s">
        <v>43</v>
      </c>
      <c r="I6500" t="s">
        <v>43</v>
      </c>
      <c r="J6500">
        <v>69</v>
      </c>
      <c r="K6500">
        <v>33</v>
      </c>
      <c r="L6500">
        <v>98</v>
      </c>
      <c r="M6500">
        <v>631.5</v>
      </c>
      <c r="N6500" t="s">
        <v>87</v>
      </c>
      <c r="O6500" t="s">
        <v>86</v>
      </c>
      <c r="P6500">
        <v>131</v>
      </c>
      <c r="Q6500">
        <v>6</v>
      </c>
      <c r="R6500">
        <v>40</v>
      </c>
      <c r="S6500">
        <v>1502</v>
      </c>
      <c r="T6500">
        <v>-40</v>
      </c>
      <c r="U6500">
        <v>41</v>
      </c>
      <c r="V6500">
        <v>120</v>
      </c>
      <c r="W6500">
        <v>28</v>
      </c>
      <c r="X6500">
        <v>28</v>
      </c>
      <c r="Y6500">
        <v>1</v>
      </c>
      <c r="Z6500">
        <v>7</v>
      </c>
      <c r="AA6500">
        <v>26</v>
      </c>
      <c r="AB6500">
        <v>2</v>
      </c>
      <c r="AC6500">
        <v>1</v>
      </c>
      <c r="AD6500">
        <v>3.2920000599999999</v>
      </c>
      <c r="AE6500">
        <v>5</v>
      </c>
      <c r="AF6500">
        <v>38</v>
      </c>
      <c r="AG6500">
        <v>3.2790000400000001</v>
      </c>
      <c r="AH6500">
        <v>7</v>
      </c>
      <c r="AI6500">
        <v>1</v>
      </c>
      <c r="AJ6500">
        <v>1</v>
      </c>
      <c r="AK6500">
        <v>20</v>
      </c>
      <c r="AL6500">
        <v>35</v>
      </c>
      <c r="AM6500" t="s">
        <v>43</v>
      </c>
      <c r="AN6500" t="s">
        <v>43</v>
      </c>
    </row>
    <row r="6501" spans="1:40" x14ac:dyDescent="0.3">
      <c r="A6501" s="1">
        <v>46210.246874999997</v>
      </c>
      <c r="B6501" t="s">
        <v>40</v>
      </c>
      <c r="C6501" t="s">
        <v>41</v>
      </c>
      <c r="D6501" s="1">
        <v>46210.249849537038</v>
      </c>
      <c r="E6501" t="s">
        <v>42</v>
      </c>
      <c r="F6501" t="s">
        <v>83</v>
      </c>
      <c r="G6501">
        <v>58</v>
      </c>
      <c r="H6501" t="s">
        <v>43</v>
      </c>
      <c r="I6501" t="s">
        <v>3757</v>
      </c>
      <c r="J6501">
        <v>69</v>
      </c>
      <c r="K6501">
        <v>73</v>
      </c>
      <c r="L6501">
        <v>98</v>
      </c>
      <c r="M6501">
        <v>628.90002441000001</v>
      </c>
      <c r="N6501" t="s">
        <v>87</v>
      </c>
      <c r="O6501" t="s">
        <v>86</v>
      </c>
      <c r="P6501">
        <v>131</v>
      </c>
      <c r="Q6501">
        <v>6</v>
      </c>
      <c r="R6501">
        <v>44</v>
      </c>
      <c r="S6501">
        <v>1600</v>
      </c>
      <c r="T6501">
        <v>-40</v>
      </c>
      <c r="U6501">
        <v>41</v>
      </c>
      <c r="V6501">
        <v>260</v>
      </c>
      <c r="W6501">
        <v>28</v>
      </c>
      <c r="X6501">
        <v>28</v>
      </c>
      <c r="Y6501">
        <v>1</v>
      </c>
      <c r="Z6501">
        <v>7</v>
      </c>
      <c r="AA6501">
        <v>26</v>
      </c>
      <c r="AB6501">
        <v>2</v>
      </c>
      <c r="AC6501">
        <v>1</v>
      </c>
      <c r="AD6501">
        <v>3.28500009</v>
      </c>
      <c r="AE6501">
        <v>5</v>
      </c>
      <c r="AF6501">
        <v>38</v>
      </c>
      <c r="AG6501">
        <v>3.2730000000000001</v>
      </c>
      <c r="AH6501">
        <v>2</v>
      </c>
      <c r="AI6501">
        <v>46</v>
      </c>
      <c r="AJ6501">
        <v>1</v>
      </c>
      <c r="AK6501">
        <v>20</v>
      </c>
      <c r="AL6501">
        <v>35</v>
      </c>
      <c r="AM6501" t="s">
        <v>43</v>
      </c>
      <c r="AN6501" t="str">
        <f>HYPERLINK("https://www.google.com/maps?q=10.7602253,79.73792267","Open Location")</f>
        <v>Open Location</v>
      </c>
    </row>
    <row r="6502" spans="1:40" x14ac:dyDescent="0.3">
      <c r="A6502" s="1">
        <v>46210.246759259258</v>
      </c>
      <c r="B6502" t="s">
        <v>40</v>
      </c>
      <c r="C6502" t="s">
        <v>41</v>
      </c>
      <c r="D6502" s="1">
        <v>46210.249814814815</v>
      </c>
      <c r="E6502" t="s">
        <v>42</v>
      </c>
      <c r="F6502" t="s">
        <v>83</v>
      </c>
      <c r="G6502">
        <v>59</v>
      </c>
      <c r="H6502">
        <v>33063</v>
      </c>
      <c r="I6502" t="s">
        <v>43</v>
      </c>
      <c r="J6502">
        <v>70</v>
      </c>
      <c r="K6502">
        <v>74</v>
      </c>
      <c r="L6502">
        <v>98</v>
      </c>
      <c r="M6502">
        <v>628.40002441000001</v>
      </c>
      <c r="N6502" t="s">
        <v>87</v>
      </c>
      <c r="O6502" t="s">
        <v>86</v>
      </c>
      <c r="P6502">
        <v>131</v>
      </c>
      <c r="Q6502">
        <v>6</v>
      </c>
      <c r="R6502">
        <v>-52</v>
      </c>
      <c r="S6502">
        <v>1620</v>
      </c>
      <c r="T6502">
        <v>-40</v>
      </c>
      <c r="U6502">
        <v>41</v>
      </c>
      <c r="V6502">
        <v>260</v>
      </c>
      <c r="W6502">
        <v>28</v>
      </c>
      <c r="X6502">
        <v>28</v>
      </c>
      <c r="Y6502">
        <v>1</v>
      </c>
      <c r="Z6502">
        <v>7</v>
      </c>
      <c r="AA6502">
        <v>26</v>
      </c>
      <c r="AB6502">
        <v>2</v>
      </c>
      <c r="AC6502">
        <v>1</v>
      </c>
      <c r="AD6502">
        <v>3.2839999199999999</v>
      </c>
      <c r="AE6502">
        <v>5</v>
      </c>
      <c r="AF6502">
        <v>38</v>
      </c>
      <c r="AG6502">
        <v>3.2699999800000001</v>
      </c>
      <c r="AH6502">
        <v>8</v>
      </c>
      <c r="AI6502">
        <v>35</v>
      </c>
      <c r="AJ6502">
        <v>1</v>
      </c>
      <c r="AK6502">
        <v>20</v>
      </c>
      <c r="AL6502">
        <v>35</v>
      </c>
      <c r="AM6502" t="s">
        <v>43</v>
      </c>
      <c r="AN6502" t="s">
        <v>43</v>
      </c>
    </row>
    <row r="6503" spans="1:40" x14ac:dyDescent="0.3">
      <c r="A6503" s="1">
        <v>46210.24664351852</v>
      </c>
      <c r="B6503" t="s">
        <v>40</v>
      </c>
      <c r="C6503" t="s">
        <v>41</v>
      </c>
      <c r="D6503" s="1">
        <v>46210.249560185184</v>
      </c>
      <c r="E6503" t="s">
        <v>42</v>
      </c>
      <c r="F6503" t="s">
        <v>83</v>
      </c>
      <c r="G6503">
        <v>61</v>
      </c>
      <c r="H6503">
        <v>33063</v>
      </c>
      <c r="I6503" t="s">
        <v>3758</v>
      </c>
      <c r="J6503">
        <v>70</v>
      </c>
      <c r="K6503">
        <v>95</v>
      </c>
      <c r="L6503">
        <v>98</v>
      </c>
      <c r="M6503">
        <v>628.79998779000005</v>
      </c>
      <c r="N6503" t="s">
        <v>87</v>
      </c>
      <c r="O6503" t="s">
        <v>86</v>
      </c>
      <c r="P6503">
        <v>131</v>
      </c>
      <c r="Q6503">
        <v>6</v>
      </c>
      <c r="R6503">
        <v>17</v>
      </c>
      <c r="S6503">
        <v>1678</v>
      </c>
      <c r="T6503">
        <v>-40</v>
      </c>
      <c r="U6503">
        <v>42</v>
      </c>
      <c r="V6503">
        <v>312</v>
      </c>
      <c r="W6503">
        <v>28</v>
      </c>
      <c r="X6503">
        <v>28</v>
      </c>
      <c r="Y6503">
        <v>1</v>
      </c>
      <c r="Z6503">
        <v>7</v>
      </c>
      <c r="AA6503">
        <v>26</v>
      </c>
      <c r="AB6503">
        <v>2</v>
      </c>
      <c r="AC6503">
        <v>1</v>
      </c>
      <c r="AD6503">
        <v>3.27099991</v>
      </c>
      <c r="AE6503">
        <v>5</v>
      </c>
      <c r="AF6503">
        <v>38</v>
      </c>
      <c r="AG6503">
        <v>3.2539999499999999</v>
      </c>
      <c r="AH6503">
        <v>6</v>
      </c>
      <c r="AI6503">
        <v>24</v>
      </c>
      <c r="AJ6503">
        <v>1</v>
      </c>
      <c r="AK6503">
        <v>20</v>
      </c>
      <c r="AL6503">
        <v>35</v>
      </c>
      <c r="AM6503" t="s">
        <v>43</v>
      </c>
      <c r="AN6503" t="str">
        <f>HYPERLINK("https://www.google.com/maps?q=10.75959206,79.73435211","Open Location")</f>
        <v>Open Location</v>
      </c>
    </row>
    <row r="6504" spans="1:40" x14ac:dyDescent="0.3">
      <c r="A6504" s="1">
        <v>46210.246527777781</v>
      </c>
      <c r="B6504" t="s">
        <v>40</v>
      </c>
      <c r="C6504" t="s">
        <v>41</v>
      </c>
      <c r="D6504" s="1">
        <v>46210.249560185184</v>
      </c>
      <c r="E6504" t="s">
        <v>42</v>
      </c>
      <c r="F6504" t="s">
        <v>83</v>
      </c>
      <c r="G6504">
        <v>57</v>
      </c>
      <c r="H6504">
        <v>33063</v>
      </c>
      <c r="I6504" t="s">
        <v>3759</v>
      </c>
      <c r="J6504">
        <v>70</v>
      </c>
      <c r="K6504">
        <v>106</v>
      </c>
      <c r="L6504">
        <v>98</v>
      </c>
      <c r="M6504">
        <v>627.40002441000001</v>
      </c>
      <c r="N6504" t="s">
        <v>87</v>
      </c>
      <c r="O6504" t="s">
        <v>86</v>
      </c>
      <c r="P6504">
        <v>131</v>
      </c>
      <c r="Q6504">
        <v>6</v>
      </c>
      <c r="R6504">
        <v>89</v>
      </c>
      <c r="S6504">
        <v>1692</v>
      </c>
      <c r="T6504">
        <v>-40</v>
      </c>
      <c r="U6504">
        <v>42</v>
      </c>
      <c r="V6504">
        <v>288</v>
      </c>
      <c r="W6504">
        <v>28</v>
      </c>
      <c r="X6504">
        <v>28</v>
      </c>
      <c r="Y6504">
        <v>1</v>
      </c>
      <c r="Z6504">
        <v>7</v>
      </c>
      <c r="AA6504">
        <v>26</v>
      </c>
      <c r="AB6504">
        <v>2</v>
      </c>
      <c r="AC6504">
        <v>1</v>
      </c>
      <c r="AD6504">
        <v>3.2669999600000001</v>
      </c>
      <c r="AE6504">
        <v>5</v>
      </c>
      <c r="AF6504">
        <v>38</v>
      </c>
      <c r="AG6504">
        <v>3.2479999099999999</v>
      </c>
      <c r="AH6504">
        <v>8</v>
      </c>
      <c r="AI6504">
        <v>35</v>
      </c>
      <c r="AJ6504">
        <v>1</v>
      </c>
      <c r="AK6504">
        <v>20</v>
      </c>
      <c r="AL6504">
        <v>35</v>
      </c>
      <c r="AM6504" t="s">
        <v>43</v>
      </c>
      <c r="AN6504" t="str">
        <f>HYPERLINK("https://www.google.com/maps?q=10.75932407,79.73238373","Open Location")</f>
        <v>Open Location</v>
      </c>
    </row>
    <row r="6505" spans="1:40" x14ac:dyDescent="0.3">
      <c r="A6505" s="1">
        <v>46210.246412037035</v>
      </c>
      <c r="B6505" t="s">
        <v>40</v>
      </c>
      <c r="C6505" t="s">
        <v>41</v>
      </c>
      <c r="D6505" s="1">
        <v>46210.249097222222</v>
      </c>
      <c r="E6505" t="s">
        <v>42</v>
      </c>
      <c r="F6505" t="s">
        <v>83</v>
      </c>
      <c r="G6505">
        <v>57</v>
      </c>
      <c r="H6505">
        <v>33062</v>
      </c>
      <c r="I6505" t="s">
        <v>3760</v>
      </c>
      <c r="J6505">
        <v>70</v>
      </c>
      <c r="K6505">
        <v>127</v>
      </c>
      <c r="L6505">
        <v>98</v>
      </c>
      <c r="M6505">
        <v>626.90002441000001</v>
      </c>
      <c r="N6505" t="s">
        <v>87</v>
      </c>
      <c r="O6505" t="s">
        <v>86</v>
      </c>
      <c r="P6505">
        <v>131</v>
      </c>
      <c r="Q6505">
        <v>6</v>
      </c>
      <c r="R6505">
        <v>42</v>
      </c>
      <c r="S6505">
        <v>1571</v>
      </c>
      <c r="T6505">
        <v>-40</v>
      </c>
      <c r="U6505">
        <v>43</v>
      </c>
      <c r="V6505">
        <v>480</v>
      </c>
      <c r="W6505">
        <v>28</v>
      </c>
      <c r="X6505">
        <v>28</v>
      </c>
      <c r="Y6505">
        <v>1</v>
      </c>
      <c r="Z6505">
        <v>7</v>
      </c>
      <c r="AA6505">
        <v>26</v>
      </c>
      <c r="AB6505">
        <v>2</v>
      </c>
      <c r="AC6505">
        <v>1</v>
      </c>
      <c r="AD6505">
        <v>3.28299999</v>
      </c>
      <c r="AE6505">
        <v>5</v>
      </c>
      <c r="AF6505">
        <v>38</v>
      </c>
      <c r="AG6505">
        <v>3.2699999800000001</v>
      </c>
      <c r="AH6505">
        <v>7</v>
      </c>
      <c r="AI6505">
        <v>1</v>
      </c>
      <c r="AJ6505">
        <v>1</v>
      </c>
      <c r="AK6505">
        <v>20</v>
      </c>
      <c r="AL6505">
        <v>35</v>
      </c>
      <c r="AM6505" t="s">
        <v>43</v>
      </c>
      <c r="AN6505" t="str">
        <f>HYPERLINK("https://www.google.com/maps?q=10.75909424,79.73067474","Open Location")</f>
        <v>Open Location</v>
      </c>
    </row>
    <row r="6506" spans="1:40" x14ac:dyDescent="0.3">
      <c r="A6506" s="1">
        <v>46210.246296296296</v>
      </c>
      <c r="B6506" t="s">
        <v>40</v>
      </c>
      <c r="C6506" t="s">
        <v>41</v>
      </c>
      <c r="D6506" s="1">
        <v>46210.249097222222</v>
      </c>
      <c r="E6506" t="s">
        <v>42</v>
      </c>
      <c r="F6506" t="s">
        <v>83</v>
      </c>
      <c r="G6506">
        <v>52</v>
      </c>
      <c r="H6506">
        <v>33062</v>
      </c>
      <c r="I6506" t="s">
        <v>43</v>
      </c>
      <c r="J6506">
        <v>70</v>
      </c>
      <c r="K6506">
        <v>165</v>
      </c>
      <c r="L6506">
        <v>98</v>
      </c>
      <c r="M6506">
        <v>626.40002441000001</v>
      </c>
      <c r="N6506" t="s">
        <v>87</v>
      </c>
      <c r="O6506" t="s">
        <v>86</v>
      </c>
      <c r="P6506">
        <v>131</v>
      </c>
      <c r="Q6506">
        <v>6</v>
      </c>
      <c r="R6506">
        <v>48</v>
      </c>
      <c r="S6506">
        <v>1562</v>
      </c>
      <c r="T6506">
        <v>-40</v>
      </c>
      <c r="U6506">
        <v>41</v>
      </c>
      <c r="V6506">
        <v>540</v>
      </c>
      <c r="W6506">
        <v>28</v>
      </c>
      <c r="X6506">
        <v>28</v>
      </c>
      <c r="Y6506">
        <v>1</v>
      </c>
      <c r="Z6506">
        <v>7</v>
      </c>
      <c r="AA6506">
        <v>26</v>
      </c>
      <c r="AB6506">
        <v>2</v>
      </c>
      <c r="AC6506">
        <v>1</v>
      </c>
      <c r="AD6506">
        <v>3.27099991</v>
      </c>
      <c r="AE6506">
        <v>5</v>
      </c>
      <c r="AF6506">
        <v>38</v>
      </c>
      <c r="AG6506">
        <v>3.25300002</v>
      </c>
      <c r="AH6506">
        <v>4</v>
      </c>
      <c r="AI6506">
        <v>24</v>
      </c>
      <c r="AJ6506">
        <v>1</v>
      </c>
      <c r="AK6506">
        <v>20</v>
      </c>
      <c r="AL6506">
        <v>35</v>
      </c>
      <c r="AM6506" t="s">
        <v>43</v>
      </c>
      <c r="AN6506" t="s">
        <v>43</v>
      </c>
    </row>
    <row r="6507" spans="1:40" x14ac:dyDescent="0.3">
      <c r="A6507" s="1">
        <v>46210.246180555558</v>
      </c>
      <c r="B6507" t="s">
        <v>40</v>
      </c>
      <c r="C6507" t="s">
        <v>41</v>
      </c>
      <c r="D6507" s="1">
        <v>46210.249201388891</v>
      </c>
      <c r="E6507" t="s">
        <v>42</v>
      </c>
      <c r="F6507" t="s">
        <v>83</v>
      </c>
      <c r="G6507">
        <v>52</v>
      </c>
      <c r="H6507" t="s">
        <v>43</v>
      </c>
      <c r="I6507" t="s">
        <v>3761</v>
      </c>
      <c r="J6507">
        <v>70</v>
      </c>
      <c r="K6507">
        <v>18</v>
      </c>
      <c r="L6507">
        <v>98</v>
      </c>
      <c r="M6507">
        <v>631.29998779000005</v>
      </c>
      <c r="N6507" t="s">
        <v>87</v>
      </c>
      <c r="O6507" t="s">
        <v>86</v>
      </c>
      <c r="P6507">
        <v>131</v>
      </c>
      <c r="Q6507">
        <v>6</v>
      </c>
      <c r="R6507">
        <v>57</v>
      </c>
      <c r="S6507">
        <v>1449</v>
      </c>
      <c r="T6507">
        <v>-40</v>
      </c>
      <c r="U6507">
        <v>43</v>
      </c>
      <c r="V6507">
        <v>60</v>
      </c>
      <c r="W6507">
        <v>28</v>
      </c>
      <c r="X6507">
        <v>28</v>
      </c>
      <c r="Y6507">
        <v>1</v>
      </c>
      <c r="Z6507">
        <v>7</v>
      </c>
      <c r="AA6507">
        <v>26</v>
      </c>
      <c r="AB6507">
        <v>2</v>
      </c>
      <c r="AC6507">
        <v>1</v>
      </c>
      <c r="AD6507">
        <v>3.28800011</v>
      </c>
      <c r="AE6507">
        <v>5</v>
      </c>
      <c r="AF6507">
        <v>38</v>
      </c>
      <c r="AG6507">
        <v>3.2760000200000001</v>
      </c>
      <c r="AH6507">
        <v>7</v>
      </c>
      <c r="AI6507">
        <v>1</v>
      </c>
      <c r="AJ6507">
        <v>1</v>
      </c>
      <c r="AK6507">
        <v>20</v>
      </c>
      <c r="AL6507">
        <v>35</v>
      </c>
      <c r="AM6507" t="s">
        <v>43</v>
      </c>
      <c r="AN6507" t="str">
        <f>HYPERLINK("https://www.google.com/maps?q=10.75888062,79.72904968","Open Location")</f>
        <v>Open Location</v>
      </c>
    </row>
    <row r="6508" spans="1:40" x14ac:dyDescent="0.3">
      <c r="A6508" s="1">
        <v>46210.246064814812</v>
      </c>
      <c r="B6508" t="s">
        <v>40</v>
      </c>
      <c r="C6508" t="s">
        <v>41</v>
      </c>
      <c r="D6508" s="1">
        <v>46210.248831018522</v>
      </c>
      <c r="E6508" t="s">
        <v>42</v>
      </c>
      <c r="F6508" t="s">
        <v>83</v>
      </c>
      <c r="G6508">
        <v>47</v>
      </c>
      <c r="H6508">
        <v>33062</v>
      </c>
      <c r="I6508" t="s">
        <v>43</v>
      </c>
      <c r="J6508">
        <v>70</v>
      </c>
      <c r="K6508">
        <v>113</v>
      </c>
      <c r="L6508">
        <v>98</v>
      </c>
      <c r="M6508">
        <v>628.09997558999999</v>
      </c>
      <c r="N6508" t="s">
        <v>87</v>
      </c>
      <c r="O6508" t="s">
        <v>86</v>
      </c>
      <c r="P6508">
        <v>131</v>
      </c>
      <c r="Q6508">
        <v>6</v>
      </c>
      <c r="R6508">
        <v>85</v>
      </c>
      <c r="S6508">
        <v>1431</v>
      </c>
      <c r="T6508">
        <v>-40</v>
      </c>
      <c r="U6508">
        <v>43</v>
      </c>
      <c r="V6508">
        <v>420</v>
      </c>
      <c r="W6508">
        <v>28</v>
      </c>
      <c r="X6508">
        <v>28</v>
      </c>
      <c r="Y6508">
        <v>1</v>
      </c>
      <c r="Z6508">
        <v>7</v>
      </c>
      <c r="AA6508">
        <v>26</v>
      </c>
      <c r="AB6508">
        <v>2</v>
      </c>
      <c r="AC6508">
        <v>1</v>
      </c>
      <c r="AD6508">
        <v>3.27999997</v>
      </c>
      <c r="AE6508">
        <v>5</v>
      </c>
      <c r="AF6508">
        <v>38</v>
      </c>
      <c r="AG6508">
        <v>3.2639999400000002</v>
      </c>
      <c r="AH6508">
        <v>6</v>
      </c>
      <c r="AI6508">
        <v>24</v>
      </c>
      <c r="AJ6508">
        <v>1</v>
      </c>
      <c r="AK6508">
        <v>20</v>
      </c>
      <c r="AL6508">
        <v>35</v>
      </c>
      <c r="AM6508" t="s">
        <v>43</v>
      </c>
      <c r="AN6508" t="s">
        <v>43</v>
      </c>
    </row>
    <row r="6509" spans="1:40" x14ac:dyDescent="0.3">
      <c r="A6509" s="1">
        <v>46210.245949074073</v>
      </c>
      <c r="B6509" t="s">
        <v>40</v>
      </c>
      <c r="C6509" t="s">
        <v>41</v>
      </c>
      <c r="D6509" s="1">
        <v>46210.248715277776</v>
      </c>
      <c r="E6509" t="s">
        <v>42</v>
      </c>
      <c r="F6509" t="s">
        <v>83</v>
      </c>
      <c r="G6509">
        <v>44</v>
      </c>
      <c r="H6509">
        <v>33062</v>
      </c>
      <c r="I6509" t="s">
        <v>3762</v>
      </c>
      <c r="J6509">
        <v>70</v>
      </c>
      <c r="K6509">
        <v>94</v>
      </c>
      <c r="L6509">
        <v>98</v>
      </c>
      <c r="M6509">
        <v>626.79998779000005</v>
      </c>
      <c r="N6509" t="s">
        <v>87</v>
      </c>
      <c r="O6509" t="s">
        <v>86</v>
      </c>
      <c r="P6509">
        <v>131</v>
      </c>
      <c r="Q6509">
        <v>6</v>
      </c>
      <c r="R6509">
        <v>58</v>
      </c>
      <c r="S6509">
        <v>1254</v>
      </c>
      <c r="T6509">
        <v>-40</v>
      </c>
      <c r="U6509">
        <v>42</v>
      </c>
      <c r="V6509">
        <v>454</v>
      </c>
      <c r="W6509">
        <v>28</v>
      </c>
      <c r="X6509">
        <v>28</v>
      </c>
      <c r="Y6509">
        <v>1</v>
      </c>
      <c r="Z6509">
        <v>7</v>
      </c>
      <c r="AA6509">
        <v>26</v>
      </c>
      <c r="AB6509">
        <v>2</v>
      </c>
      <c r="AC6509">
        <v>1</v>
      </c>
      <c r="AD6509">
        <v>3.28500009</v>
      </c>
      <c r="AE6509">
        <v>5</v>
      </c>
      <c r="AF6509">
        <v>38</v>
      </c>
      <c r="AG6509">
        <v>3.2699999800000001</v>
      </c>
      <c r="AH6509">
        <v>8</v>
      </c>
      <c r="AI6509">
        <v>35</v>
      </c>
      <c r="AJ6509">
        <v>1</v>
      </c>
      <c r="AK6509">
        <v>20</v>
      </c>
      <c r="AL6509">
        <v>35</v>
      </c>
      <c r="AM6509" t="s">
        <v>43</v>
      </c>
      <c r="AN6509" t="str">
        <f>HYPERLINK("https://www.google.com/maps?q=10.75853825,79.72605896","Open Location")</f>
        <v>Open Location</v>
      </c>
    </row>
    <row r="6510" spans="1:40" x14ac:dyDescent="0.3">
      <c r="A6510" s="1">
        <v>46210.245833333334</v>
      </c>
      <c r="B6510" t="s">
        <v>40</v>
      </c>
      <c r="C6510" t="s">
        <v>41</v>
      </c>
      <c r="D6510" s="1">
        <v>46210.248807870368</v>
      </c>
      <c r="E6510" t="s">
        <v>42</v>
      </c>
      <c r="F6510" t="s">
        <v>83</v>
      </c>
      <c r="G6510">
        <v>42</v>
      </c>
      <c r="H6510">
        <v>33062</v>
      </c>
      <c r="I6510" t="s">
        <v>3763</v>
      </c>
      <c r="J6510">
        <v>70</v>
      </c>
      <c r="K6510">
        <v>35</v>
      </c>
      <c r="L6510">
        <v>98</v>
      </c>
      <c r="M6510">
        <v>631.79998779000005</v>
      </c>
      <c r="N6510" t="s">
        <v>87</v>
      </c>
      <c r="O6510" t="s">
        <v>86</v>
      </c>
      <c r="P6510">
        <v>131</v>
      </c>
      <c r="Q6510">
        <v>6</v>
      </c>
      <c r="R6510">
        <v>56</v>
      </c>
      <c r="S6510">
        <v>1215</v>
      </c>
      <c r="T6510">
        <v>-40</v>
      </c>
      <c r="U6510">
        <v>42</v>
      </c>
      <c r="V6510">
        <v>160</v>
      </c>
      <c r="W6510">
        <v>28</v>
      </c>
      <c r="X6510">
        <v>28</v>
      </c>
      <c r="Y6510">
        <v>1</v>
      </c>
      <c r="Z6510">
        <v>7</v>
      </c>
      <c r="AA6510">
        <v>26</v>
      </c>
      <c r="AB6510">
        <v>2</v>
      </c>
      <c r="AC6510">
        <v>1</v>
      </c>
      <c r="AD6510">
        <v>3.2909998900000001</v>
      </c>
      <c r="AE6510">
        <v>5</v>
      </c>
      <c r="AF6510">
        <v>38</v>
      </c>
      <c r="AG6510">
        <v>3.2790000400000001</v>
      </c>
      <c r="AH6510">
        <v>7</v>
      </c>
      <c r="AI6510">
        <v>1</v>
      </c>
      <c r="AJ6510">
        <v>1</v>
      </c>
      <c r="AK6510">
        <v>20</v>
      </c>
      <c r="AL6510">
        <v>35</v>
      </c>
      <c r="AM6510" t="s">
        <v>43</v>
      </c>
      <c r="AN6510" t="str">
        <f>HYPERLINK("https://www.google.com/maps?q=10.7584486,79.72473145","Open Location")</f>
        <v>Open Location</v>
      </c>
    </row>
    <row r="6511" spans="1:40" x14ac:dyDescent="0.3">
      <c r="A6511" s="1">
        <v>46210.245717592596</v>
      </c>
      <c r="B6511" t="s">
        <v>40</v>
      </c>
      <c r="C6511" t="s">
        <v>41</v>
      </c>
      <c r="D6511" s="1">
        <v>46210.248368055552</v>
      </c>
      <c r="E6511" t="s">
        <v>42</v>
      </c>
      <c r="F6511" t="s">
        <v>83</v>
      </c>
      <c r="G6511">
        <v>40</v>
      </c>
      <c r="H6511">
        <v>33062</v>
      </c>
      <c r="I6511" t="s">
        <v>43</v>
      </c>
      <c r="J6511">
        <v>70</v>
      </c>
      <c r="K6511">
        <v>101</v>
      </c>
      <c r="L6511">
        <v>98</v>
      </c>
      <c r="M6511">
        <v>629.20001220999995</v>
      </c>
      <c r="N6511" t="s">
        <v>87</v>
      </c>
      <c r="O6511" t="s">
        <v>86</v>
      </c>
      <c r="P6511">
        <v>131</v>
      </c>
      <c r="Q6511">
        <v>6</v>
      </c>
      <c r="R6511">
        <v>18</v>
      </c>
      <c r="S6511">
        <v>1141</v>
      </c>
      <c r="T6511">
        <v>-40</v>
      </c>
      <c r="U6511">
        <v>43</v>
      </c>
      <c r="V6511">
        <v>540</v>
      </c>
      <c r="W6511">
        <v>28</v>
      </c>
      <c r="X6511">
        <v>28</v>
      </c>
      <c r="Y6511">
        <v>1</v>
      </c>
      <c r="Z6511">
        <v>7</v>
      </c>
      <c r="AA6511">
        <v>26</v>
      </c>
      <c r="AB6511">
        <v>2</v>
      </c>
      <c r="AC6511">
        <v>1</v>
      </c>
      <c r="AD6511">
        <v>3.2950000799999999</v>
      </c>
      <c r="AE6511">
        <v>5</v>
      </c>
      <c r="AF6511">
        <v>38</v>
      </c>
      <c r="AG6511">
        <v>3.2839999199999999</v>
      </c>
      <c r="AH6511">
        <v>4</v>
      </c>
      <c r="AI6511">
        <v>17</v>
      </c>
      <c r="AJ6511">
        <v>1</v>
      </c>
      <c r="AK6511">
        <v>20</v>
      </c>
      <c r="AL6511">
        <v>35</v>
      </c>
      <c r="AM6511" t="s">
        <v>43</v>
      </c>
      <c r="AN6511" t="s">
        <v>43</v>
      </c>
    </row>
    <row r="6512" spans="1:40" x14ac:dyDescent="0.3">
      <c r="A6512" s="1">
        <v>46210.24560185185</v>
      </c>
      <c r="B6512" t="s">
        <v>40</v>
      </c>
      <c r="C6512" t="s">
        <v>41</v>
      </c>
      <c r="D6512" s="1">
        <v>46210.248425925929</v>
      </c>
      <c r="E6512" t="s">
        <v>42</v>
      </c>
      <c r="F6512" t="s">
        <v>83</v>
      </c>
      <c r="G6512">
        <v>36</v>
      </c>
      <c r="H6512">
        <v>33062</v>
      </c>
      <c r="I6512" t="s">
        <v>3764</v>
      </c>
      <c r="J6512">
        <v>70</v>
      </c>
      <c r="K6512">
        <v>131</v>
      </c>
      <c r="L6512">
        <v>98</v>
      </c>
      <c r="M6512">
        <v>628.09997558999999</v>
      </c>
      <c r="N6512" t="s">
        <v>87</v>
      </c>
      <c r="O6512" t="s">
        <v>86</v>
      </c>
      <c r="P6512">
        <v>131</v>
      </c>
      <c r="Q6512">
        <v>6</v>
      </c>
      <c r="R6512">
        <v>-32</v>
      </c>
      <c r="S6512">
        <v>1085</v>
      </c>
      <c r="T6512">
        <v>-40</v>
      </c>
      <c r="U6512">
        <v>42</v>
      </c>
      <c r="V6512">
        <v>640</v>
      </c>
      <c r="W6512">
        <v>28</v>
      </c>
      <c r="X6512">
        <v>28</v>
      </c>
      <c r="Y6512">
        <v>1</v>
      </c>
      <c r="Z6512">
        <v>7</v>
      </c>
      <c r="AA6512">
        <v>26</v>
      </c>
      <c r="AB6512">
        <v>2</v>
      </c>
      <c r="AC6512">
        <v>1</v>
      </c>
      <c r="AD6512">
        <v>3.28500009</v>
      </c>
      <c r="AE6512">
        <v>5</v>
      </c>
      <c r="AF6512">
        <v>38</v>
      </c>
      <c r="AG6512">
        <v>3.2699999800000001</v>
      </c>
      <c r="AH6512">
        <v>4</v>
      </c>
      <c r="AI6512">
        <v>17</v>
      </c>
      <c r="AJ6512">
        <v>1</v>
      </c>
      <c r="AK6512">
        <v>20</v>
      </c>
      <c r="AL6512">
        <v>35</v>
      </c>
      <c r="AM6512" t="s">
        <v>43</v>
      </c>
      <c r="AN6512" t="str">
        <f>HYPERLINK("https://www.google.com/maps?q=10.758358,79.72348785","Open Location")</f>
        <v>Open Location</v>
      </c>
    </row>
    <row r="6513" spans="1:40" x14ac:dyDescent="0.3">
      <c r="A6513" s="1">
        <v>46210.245486111111</v>
      </c>
      <c r="B6513" t="s">
        <v>40</v>
      </c>
      <c r="C6513" t="s">
        <v>41</v>
      </c>
      <c r="D6513" s="1">
        <v>46210.248368055552</v>
      </c>
      <c r="E6513" t="s">
        <v>42</v>
      </c>
      <c r="F6513" t="s">
        <v>83</v>
      </c>
      <c r="G6513">
        <v>32</v>
      </c>
      <c r="H6513">
        <v>33061</v>
      </c>
      <c r="I6513" t="s">
        <v>3765</v>
      </c>
      <c r="J6513">
        <v>70</v>
      </c>
      <c r="K6513">
        <v>4</v>
      </c>
      <c r="L6513">
        <v>98</v>
      </c>
      <c r="M6513">
        <v>634.59997558999999</v>
      </c>
      <c r="N6513" t="s">
        <v>87</v>
      </c>
      <c r="O6513" t="s">
        <v>86</v>
      </c>
      <c r="P6513">
        <v>130</v>
      </c>
      <c r="Q6513">
        <v>5</v>
      </c>
      <c r="R6513">
        <v>102</v>
      </c>
      <c r="S6513">
        <v>1088</v>
      </c>
      <c r="T6513">
        <v>-40</v>
      </c>
      <c r="U6513">
        <v>43</v>
      </c>
      <c r="V6513">
        <v>-23</v>
      </c>
      <c r="W6513">
        <v>28</v>
      </c>
      <c r="X6513">
        <v>28</v>
      </c>
      <c r="Y6513">
        <v>1</v>
      </c>
      <c r="Z6513">
        <v>7</v>
      </c>
      <c r="AA6513">
        <v>26</v>
      </c>
      <c r="AB6513">
        <v>2</v>
      </c>
      <c r="AC6513">
        <v>1</v>
      </c>
      <c r="AD6513">
        <v>3.27399993</v>
      </c>
      <c r="AE6513">
        <v>5</v>
      </c>
      <c r="AF6513">
        <v>38</v>
      </c>
      <c r="AG6513">
        <v>3.2550001100000001</v>
      </c>
      <c r="AH6513">
        <v>4</v>
      </c>
      <c r="AI6513">
        <v>17</v>
      </c>
      <c r="AJ6513">
        <v>1</v>
      </c>
      <c r="AK6513">
        <v>20</v>
      </c>
      <c r="AL6513">
        <v>35</v>
      </c>
      <c r="AM6513" t="s">
        <v>43</v>
      </c>
      <c r="AN6513" t="str">
        <f>HYPERLINK("https://www.google.com/maps?q=10.75837517,79.72225952","Open Location")</f>
        <v>Open Location</v>
      </c>
    </row>
    <row r="6514" spans="1:40" x14ac:dyDescent="0.3">
      <c r="A6514" s="1">
        <v>46210.245370370372</v>
      </c>
      <c r="B6514" t="s">
        <v>40</v>
      </c>
      <c r="C6514" t="s">
        <v>41</v>
      </c>
      <c r="D6514" s="1">
        <v>46210.248356481483</v>
      </c>
      <c r="E6514" t="s">
        <v>42</v>
      </c>
      <c r="F6514" t="s">
        <v>83</v>
      </c>
      <c r="G6514">
        <v>39</v>
      </c>
      <c r="H6514" t="s">
        <v>43</v>
      </c>
      <c r="I6514" t="s">
        <v>3766</v>
      </c>
      <c r="J6514">
        <v>70</v>
      </c>
      <c r="K6514">
        <v>53</v>
      </c>
      <c r="L6514">
        <v>98</v>
      </c>
      <c r="M6514">
        <v>631.70001220999995</v>
      </c>
      <c r="N6514" t="s">
        <v>87</v>
      </c>
      <c r="O6514" t="s">
        <v>86</v>
      </c>
      <c r="P6514">
        <v>130</v>
      </c>
      <c r="Q6514">
        <v>5</v>
      </c>
      <c r="R6514">
        <v>0</v>
      </c>
      <c r="S6514">
        <v>1275</v>
      </c>
      <c r="T6514">
        <v>-40</v>
      </c>
      <c r="U6514">
        <v>42</v>
      </c>
      <c r="V6514">
        <v>220</v>
      </c>
      <c r="W6514">
        <v>28</v>
      </c>
      <c r="X6514">
        <v>28</v>
      </c>
      <c r="Y6514">
        <v>1</v>
      </c>
      <c r="Z6514">
        <v>7</v>
      </c>
      <c r="AA6514">
        <v>26</v>
      </c>
      <c r="AB6514">
        <v>2</v>
      </c>
      <c r="AC6514">
        <v>1</v>
      </c>
      <c r="AD6514">
        <v>3.31500006</v>
      </c>
      <c r="AE6514">
        <v>1</v>
      </c>
      <c r="AF6514">
        <v>16</v>
      </c>
      <c r="AG6514">
        <v>3.30900002</v>
      </c>
      <c r="AH6514">
        <v>3</v>
      </c>
      <c r="AI6514">
        <v>10</v>
      </c>
      <c r="AJ6514">
        <v>1</v>
      </c>
      <c r="AK6514">
        <v>21</v>
      </c>
      <c r="AL6514">
        <v>35</v>
      </c>
      <c r="AM6514" t="s">
        <v>43</v>
      </c>
      <c r="AN6514" t="str">
        <f>HYPERLINK("https://www.google.com/maps?q=10.75845337,79.72131348","Open Location")</f>
        <v>Open Location</v>
      </c>
    </row>
    <row r="6515" spans="1:40" x14ac:dyDescent="0.3">
      <c r="A6515" s="1">
        <v>46210.245254629626</v>
      </c>
      <c r="B6515" t="s">
        <v>40</v>
      </c>
      <c r="C6515" t="s">
        <v>41</v>
      </c>
      <c r="D6515" s="1">
        <v>46210.248043981483</v>
      </c>
      <c r="E6515" t="s">
        <v>42</v>
      </c>
      <c r="F6515" t="s">
        <v>83</v>
      </c>
      <c r="G6515">
        <v>35</v>
      </c>
      <c r="H6515">
        <v>33061</v>
      </c>
      <c r="I6515" t="s">
        <v>3767</v>
      </c>
      <c r="J6515">
        <v>70</v>
      </c>
      <c r="K6515">
        <v>115</v>
      </c>
      <c r="L6515">
        <v>98</v>
      </c>
      <c r="M6515">
        <v>628.70001220999995</v>
      </c>
      <c r="N6515" t="s">
        <v>87</v>
      </c>
      <c r="O6515" t="s">
        <v>86</v>
      </c>
      <c r="P6515">
        <v>131</v>
      </c>
      <c r="Q6515">
        <v>6</v>
      </c>
      <c r="R6515">
        <v>-94</v>
      </c>
      <c r="S6515">
        <v>1747</v>
      </c>
      <c r="T6515">
        <v>-40</v>
      </c>
      <c r="U6515">
        <v>43</v>
      </c>
      <c r="V6515">
        <v>400</v>
      </c>
      <c r="W6515">
        <v>28</v>
      </c>
      <c r="X6515">
        <v>28</v>
      </c>
      <c r="Y6515">
        <v>1</v>
      </c>
      <c r="Z6515">
        <v>7</v>
      </c>
      <c r="AA6515">
        <v>26</v>
      </c>
      <c r="AB6515">
        <v>2</v>
      </c>
      <c r="AC6515">
        <v>1</v>
      </c>
      <c r="AD6515">
        <v>3.2730000000000001</v>
      </c>
      <c r="AE6515">
        <v>5</v>
      </c>
      <c r="AF6515">
        <v>38</v>
      </c>
      <c r="AG6515">
        <v>3.2539999499999999</v>
      </c>
      <c r="AH6515">
        <v>4</v>
      </c>
      <c r="AI6515">
        <v>24</v>
      </c>
      <c r="AJ6515">
        <v>1</v>
      </c>
      <c r="AK6515">
        <v>20</v>
      </c>
      <c r="AL6515">
        <v>35</v>
      </c>
      <c r="AM6515" t="s">
        <v>43</v>
      </c>
      <c r="AN6515" t="str">
        <f>HYPERLINK("https://www.google.com/maps?q=10.75855255,79.72020721","Open Location")</f>
        <v>Open Location</v>
      </c>
    </row>
    <row r="6516" spans="1:40" x14ac:dyDescent="0.3">
      <c r="A6516" s="1">
        <v>46210.245138888888</v>
      </c>
      <c r="B6516" t="s">
        <v>40</v>
      </c>
      <c r="C6516" t="s">
        <v>41</v>
      </c>
      <c r="D6516" s="1">
        <v>46210.248078703706</v>
      </c>
      <c r="E6516" t="s">
        <v>42</v>
      </c>
      <c r="F6516" t="s">
        <v>83</v>
      </c>
      <c r="G6516">
        <v>51</v>
      </c>
      <c r="H6516">
        <v>33061</v>
      </c>
      <c r="I6516" t="s">
        <v>3768</v>
      </c>
      <c r="J6516">
        <v>70</v>
      </c>
      <c r="K6516">
        <v>-160</v>
      </c>
      <c r="L6516">
        <v>98</v>
      </c>
      <c r="M6516">
        <v>637.90002441000001</v>
      </c>
      <c r="N6516" t="s">
        <v>87</v>
      </c>
      <c r="O6516" t="s">
        <v>86</v>
      </c>
      <c r="P6516">
        <v>131</v>
      </c>
      <c r="Q6516">
        <v>6</v>
      </c>
      <c r="R6516">
        <v>70</v>
      </c>
      <c r="S6516">
        <v>1144</v>
      </c>
      <c r="T6516">
        <v>-40</v>
      </c>
      <c r="U6516">
        <v>43</v>
      </c>
      <c r="V6516">
        <v>-960</v>
      </c>
      <c r="W6516">
        <v>28</v>
      </c>
      <c r="X6516">
        <v>28</v>
      </c>
      <c r="Y6516">
        <v>1</v>
      </c>
      <c r="Z6516">
        <v>7</v>
      </c>
      <c r="AA6516">
        <v>26</v>
      </c>
      <c r="AB6516">
        <v>2</v>
      </c>
      <c r="AC6516">
        <v>1</v>
      </c>
      <c r="AD6516">
        <v>3.3080000900000002</v>
      </c>
      <c r="AE6516">
        <v>5</v>
      </c>
      <c r="AF6516">
        <v>38</v>
      </c>
      <c r="AG6516">
        <v>3.2999999500000001</v>
      </c>
      <c r="AH6516">
        <v>7</v>
      </c>
      <c r="AI6516">
        <v>1</v>
      </c>
      <c r="AJ6516">
        <v>1</v>
      </c>
      <c r="AK6516">
        <v>20</v>
      </c>
      <c r="AL6516">
        <v>35</v>
      </c>
      <c r="AM6516" t="s">
        <v>43</v>
      </c>
      <c r="AN6516" t="str">
        <f>HYPERLINK("https://www.google.com/maps?q=10.75865173,79.71875763","Open Location")</f>
        <v>Open Location</v>
      </c>
    </row>
    <row r="6517" spans="1:40" x14ac:dyDescent="0.3">
      <c r="A6517" s="1">
        <v>46210.245023148149</v>
      </c>
      <c r="B6517" t="s">
        <v>40</v>
      </c>
      <c r="C6517" t="s">
        <v>41</v>
      </c>
      <c r="D6517" s="1">
        <v>46210.247662037036</v>
      </c>
      <c r="E6517" t="s">
        <v>42</v>
      </c>
      <c r="F6517" t="s">
        <v>83</v>
      </c>
      <c r="G6517">
        <v>50</v>
      </c>
      <c r="H6517">
        <v>33061</v>
      </c>
      <c r="I6517" t="s">
        <v>43</v>
      </c>
      <c r="J6517">
        <v>70</v>
      </c>
      <c r="K6517">
        <v>239</v>
      </c>
      <c r="L6517">
        <v>98</v>
      </c>
      <c r="M6517">
        <v>624.70001220999995</v>
      </c>
      <c r="N6517" t="s">
        <v>87</v>
      </c>
      <c r="O6517" t="s">
        <v>86</v>
      </c>
      <c r="P6517">
        <v>131</v>
      </c>
      <c r="Q6517">
        <v>6</v>
      </c>
      <c r="R6517">
        <v>37</v>
      </c>
      <c r="S6517">
        <v>1379</v>
      </c>
      <c r="T6517">
        <v>-40</v>
      </c>
      <c r="U6517">
        <v>42</v>
      </c>
      <c r="V6517">
        <v>1020</v>
      </c>
      <c r="W6517">
        <v>28</v>
      </c>
      <c r="X6517">
        <v>28</v>
      </c>
      <c r="Y6517">
        <v>1</v>
      </c>
      <c r="Z6517">
        <v>7</v>
      </c>
      <c r="AA6517">
        <v>25</v>
      </c>
      <c r="AB6517">
        <v>4</v>
      </c>
      <c r="AC6517">
        <v>2</v>
      </c>
      <c r="AD6517">
        <v>3.3020000500000002</v>
      </c>
      <c r="AE6517">
        <v>5</v>
      </c>
      <c r="AF6517">
        <v>38</v>
      </c>
      <c r="AG6517">
        <v>3.2929999799999998</v>
      </c>
      <c r="AH6517">
        <v>4</v>
      </c>
      <c r="AI6517">
        <v>17</v>
      </c>
      <c r="AJ6517">
        <v>1</v>
      </c>
      <c r="AK6517">
        <v>20</v>
      </c>
      <c r="AL6517">
        <v>35</v>
      </c>
      <c r="AM6517" t="s">
        <v>43</v>
      </c>
      <c r="AN6517" t="s">
        <v>43</v>
      </c>
    </row>
    <row r="6518" spans="1:40" x14ac:dyDescent="0.3">
      <c r="A6518" s="1">
        <v>46210.24490740741</v>
      </c>
      <c r="B6518" t="s">
        <v>40</v>
      </c>
      <c r="C6518" t="s">
        <v>41</v>
      </c>
      <c r="D6518" s="1">
        <v>46210.247708333336</v>
      </c>
      <c r="E6518" t="s">
        <v>42</v>
      </c>
      <c r="F6518" t="s">
        <v>83</v>
      </c>
      <c r="G6518">
        <v>45</v>
      </c>
      <c r="H6518">
        <v>33061</v>
      </c>
      <c r="I6518" t="s">
        <v>3769</v>
      </c>
      <c r="J6518">
        <v>70</v>
      </c>
      <c r="K6518">
        <v>88</v>
      </c>
      <c r="L6518">
        <v>98</v>
      </c>
      <c r="M6518">
        <v>629.79998779000005</v>
      </c>
      <c r="N6518" t="s">
        <v>87</v>
      </c>
      <c r="O6518" t="s">
        <v>86</v>
      </c>
      <c r="P6518">
        <v>131</v>
      </c>
      <c r="Q6518">
        <v>6</v>
      </c>
      <c r="R6518">
        <v>93</v>
      </c>
      <c r="S6518">
        <v>1355</v>
      </c>
      <c r="T6518">
        <v>-40</v>
      </c>
      <c r="U6518">
        <v>42</v>
      </c>
      <c r="V6518">
        <v>340</v>
      </c>
      <c r="W6518">
        <v>28</v>
      </c>
      <c r="X6518">
        <v>28</v>
      </c>
      <c r="Y6518">
        <v>1</v>
      </c>
      <c r="Z6518">
        <v>7</v>
      </c>
      <c r="AA6518">
        <v>25</v>
      </c>
      <c r="AB6518">
        <v>4</v>
      </c>
      <c r="AC6518">
        <v>2</v>
      </c>
      <c r="AD6518">
        <v>3.28500009</v>
      </c>
      <c r="AE6518">
        <v>5</v>
      </c>
      <c r="AF6518">
        <v>38</v>
      </c>
      <c r="AG6518">
        <v>3.2699999800000001</v>
      </c>
      <c r="AH6518">
        <v>8</v>
      </c>
      <c r="AI6518">
        <v>35</v>
      </c>
      <c r="AJ6518">
        <v>1</v>
      </c>
      <c r="AK6518">
        <v>20</v>
      </c>
      <c r="AL6518">
        <v>35</v>
      </c>
      <c r="AM6518" t="s">
        <v>43</v>
      </c>
      <c r="AN6518" t="str">
        <f>HYPERLINK("https://www.google.com/maps?q=10.75876522,79.7172699","Open Location")</f>
        <v>Open Location</v>
      </c>
    </row>
    <row r="6519" spans="1:40" x14ac:dyDescent="0.3">
      <c r="A6519" s="1">
        <v>46210.244791666664</v>
      </c>
      <c r="B6519" t="s">
        <v>40</v>
      </c>
      <c r="C6519" t="s">
        <v>41</v>
      </c>
      <c r="D6519" s="1">
        <v>46210.24763888889</v>
      </c>
      <c r="E6519" t="s">
        <v>42</v>
      </c>
      <c r="F6519" t="s">
        <v>83</v>
      </c>
      <c r="G6519">
        <v>51</v>
      </c>
      <c r="H6519">
        <v>33061</v>
      </c>
      <c r="I6519" t="s">
        <v>3770</v>
      </c>
      <c r="J6519">
        <v>70</v>
      </c>
      <c r="K6519">
        <v>67</v>
      </c>
      <c r="L6519">
        <v>98</v>
      </c>
      <c r="M6519">
        <v>633.20001220999995</v>
      </c>
      <c r="N6519" t="s">
        <v>87</v>
      </c>
      <c r="O6519" t="s">
        <v>86</v>
      </c>
      <c r="P6519">
        <v>131</v>
      </c>
      <c r="Q6519">
        <v>6</v>
      </c>
      <c r="R6519">
        <v>-45</v>
      </c>
      <c r="S6519">
        <v>1224</v>
      </c>
      <c r="T6519">
        <v>-40</v>
      </c>
      <c r="U6519">
        <v>41</v>
      </c>
      <c r="V6519">
        <v>128</v>
      </c>
      <c r="W6519">
        <v>28</v>
      </c>
      <c r="X6519">
        <v>28</v>
      </c>
      <c r="Y6519">
        <v>1</v>
      </c>
      <c r="Z6519">
        <v>7</v>
      </c>
      <c r="AA6519">
        <v>25</v>
      </c>
      <c r="AB6519">
        <v>4</v>
      </c>
      <c r="AC6519">
        <v>2</v>
      </c>
      <c r="AD6519">
        <v>3.3169999099999998</v>
      </c>
      <c r="AE6519">
        <v>1</v>
      </c>
      <c r="AF6519">
        <v>16</v>
      </c>
      <c r="AG6519">
        <v>3.3110001100000002</v>
      </c>
      <c r="AH6519">
        <v>3</v>
      </c>
      <c r="AI6519">
        <v>10</v>
      </c>
      <c r="AJ6519">
        <v>1</v>
      </c>
      <c r="AK6519">
        <v>21</v>
      </c>
      <c r="AL6519">
        <v>35</v>
      </c>
      <c r="AM6519" t="s">
        <v>43</v>
      </c>
      <c r="AN6519" t="str">
        <f>HYPERLINK("https://www.google.com/maps?q=10.75879097,79.71590424","Open Location")</f>
        <v>Open Location</v>
      </c>
    </row>
    <row r="6520" spans="1:40" x14ac:dyDescent="0.3">
      <c r="A6520" s="1">
        <v>46210.244675925926</v>
      </c>
      <c r="B6520" t="s">
        <v>40</v>
      </c>
      <c r="C6520" t="s">
        <v>41</v>
      </c>
      <c r="D6520" s="1">
        <v>46210.247569444444</v>
      </c>
      <c r="E6520" t="s">
        <v>42</v>
      </c>
      <c r="F6520" t="s">
        <v>83</v>
      </c>
      <c r="G6520">
        <v>62</v>
      </c>
      <c r="H6520" t="s">
        <v>43</v>
      </c>
      <c r="I6520" t="s">
        <v>3771</v>
      </c>
      <c r="J6520">
        <v>70</v>
      </c>
      <c r="K6520">
        <v>-59</v>
      </c>
      <c r="L6520">
        <v>98</v>
      </c>
      <c r="M6520">
        <v>635.70001220999995</v>
      </c>
      <c r="N6520" t="s">
        <v>87</v>
      </c>
      <c r="O6520" t="s">
        <v>86</v>
      </c>
      <c r="P6520">
        <v>131</v>
      </c>
      <c r="Q6520">
        <v>6</v>
      </c>
      <c r="R6520">
        <v>-3</v>
      </c>
      <c r="S6520">
        <v>1482</v>
      </c>
      <c r="T6520">
        <v>-40</v>
      </c>
      <c r="U6520">
        <v>41</v>
      </c>
      <c r="V6520">
        <v>-300</v>
      </c>
      <c r="W6520">
        <v>28</v>
      </c>
      <c r="X6520">
        <v>28</v>
      </c>
      <c r="Y6520">
        <v>1</v>
      </c>
      <c r="Z6520">
        <v>7</v>
      </c>
      <c r="AA6520">
        <v>25</v>
      </c>
      <c r="AB6520">
        <v>4</v>
      </c>
      <c r="AC6520">
        <v>2</v>
      </c>
      <c r="AD6520">
        <v>3.31299996</v>
      </c>
      <c r="AE6520">
        <v>1</v>
      </c>
      <c r="AF6520">
        <v>25</v>
      </c>
      <c r="AG6520">
        <v>3.30699992</v>
      </c>
      <c r="AH6520">
        <v>2</v>
      </c>
      <c r="AI6520">
        <v>6</v>
      </c>
      <c r="AJ6520">
        <v>1</v>
      </c>
      <c r="AK6520">
        <v>20</v>
      </c>
      <c r="AL6520">
        <v>35</v>
      </c>
      <c r="AM6520" t="s">
        <v>43</v>
      </c>
      <c r="AN6520" t="str">
        <f>HYPERLINK("https://www.google.com/maps?q=10.75870037,79.71429443","Open Location")</f>
        <v>Open Location</v>
      </c>
    </row>
    <row r="6521" spans="1:40" x14ac:dyDescent="0.3">
      <c r="A6521" s="1">
        <v>46210.244560185187</v>
      </c>
      <c r="B6521" t="s">
        <v>40</v>
      </c>
      <c r="C6521" t="s">
        <v>41</v>
      </c>
      <c r="D6521" s="1">
        <v>46210.247256944444</v>
      </c>
      <c r="E6521" t="s">
        <v>42</v>
      </c>
      <c r="F6521" t="s">
        <v>83</v>
      </c>
      <c r="G6521">
        <v>61</v>
      </c>
      <c r="H6521">
        <v>33060</v>
      </c>
      <c r="I6521" t="s">
        <v>3772</v>
      </c>
      <c r="J6521">
        <v>70</v>
      </c>
      <c r="K6521">
        <v>36</v>
      </c>
      <c r="L6521">
        <v>98</v>
      </c>
      <c r="M6521">
        <v>630.59997558999999</v>
      </c>
      <c r="N6521" t="s">
        <v>87</v>
      </c>
      <c r="O6521" t="s">
        <v>86</v>
      </c>
      <c r="P6521">
        <v>131</v>
      </c>
      <c r="Q6521">
        <v>6</v>
      </c>
      <c r="R6521">
        <v>56</v>
      </c>
      <c r="S6521">
        <v>1741</v>
      </c>
      <c r="T6521">
        <v>-40</v>
      </c>
      <c r="U6521">
        <v>42</v>
      </c>
      <c r="V6521">
        <v>100</v>
      </c>
      <c r="W6521">
        <v>28</v>
      </c>
      <c r="X6521">
        <v>28</v>
      </c>
      <c r="Y6521">
        <v>1</v>
      </c>
      <c r="Z6521">
        <v>7</v>
      </c>
      <c r="AA6521">
        <v>26</v>
      </c>
      <c r="AB6521">
        <v>2</v>
      </c>
      <c r="AC6521">
        <v>1</v>
      </c>
      <c r="AD6521">
        <v>3.2780001200000002</v>
      </c>
      <c r="AE6521">
        <v>5</v>
      </c>
      <c r="AF6521">
        <v>38</v>
      </c>
      <c r="AG6521">
        <v>3.2630000099999998</v>
      </c>
      <c r="AH6521">
        <v>8</v>
      </c>
      <c r="AI6521">
        <v>35</v>
      </c>
      <c r="AJ6521">
        <v>1</v>
      </c>
      <c r="AK6521">
        <v>20</v>
      </c>
      <c r="AL6521">
        <v>35</v>
      </c>
      <c r="AM6521" t="s">
        <v>43</v>
      </c>
      <c r="AN6521" t="str">
        <f>HYPERLINK("https://www.google.com/maps?q=10.7585392,79.7122345","Open Location")</f>
        <v>Open Location</v>
      </c>
    </row>
    <row r="6522" spans="1:40" x14ac:dyDescent="0.3">
      <c r="A6522" s="1">
        <v>46210.244444444441</v>
      </c>
      <c r="B6522" t="s">
        <v>40</v>
      </c>
      <c r="C6522" t="s">
        <v>41</v>
      </c>
      <c r="D6522" s="1">
        <v>46210.24732638889</v>
      </c>
      <c r="E6522" t="s">
        <v>42</v>
      </c>
      <c r="F6522" t="s">
        <v>83</v>
      </c>
      <c r="G6522">
        <v>60</v>
      </c>
      <c r="H6522">
        <v>33060</v>
      </c>
      <c r="I6522" t="s">
        <v>3773</v>
      </c>
      <c r="J6522">
        <v>70</v>
      </c>
      <c r="K6522">
        <v>132</v>
      </c>
      <c r="L6522">
        <v>98</v>
      </c>
      <c r="M6522">
        <v>627</v>
      </c>
      <c r="N6522" t="s">
        <v>87</v>
      </c>
      <c r="O6522" t="s">
        <v>86</v>
      </c>
      <c r="P6522">
        <v>131</v>
      </c>
      <c r="Q6522">
        <v>6</v>
      </c>
      <c r="R6522">
        <v>52</v>
      </c>
      <c r="S6522">
        <v>1700</v>
      </c>
      <c r="T6522">
        <v>-40</v>
      </c>
      <c r="U6522">
        <v>41</v>
      </c>
      <c r="V6522">
        <v>440</v>
      </c>
      <c r="W6522">
        <v>28</v>
      </c>
      <c r="X6522">
        <v>28</v>
      </c>
      <c r="Y6522">
        <v>1</v>
      </c>
      <c r="Z6522">
        <v>7</v>
      </c>
      <c r="AA6522">
        <v>26</v>
      </c>
      <c r="AB6522">
        <v>2</v>
      </c>
      <c r="AC6522">
        <v>1</v>
      </c>
      <c r="AD6522">
        <v>3.28600001</v>
      </c>
      <c r="AE6522">
        <v>5</v>
      </c>
      <c r="AF6522">
        <v>38</v>
      </c>
      <c r="AG6522">
        <v>3.27399993</v>
      </c>
      <c r="AH6522">
        <v>7</v>
      </c>
      <c r="AI6522">
        <v>1</v>
      </c>
      <c r="AJ6522">
        <v>1</v>
      </c>
      <c r="AK6522">
        <v>20</v>
      </c>
      <c r="AL6522">
        <v>35</v>
      </c>
      <c r="AM6522" t="s">
        <v>43</v>
      </c>
      <c r="AN6522" t="str">
        <f>HYPERLINK("https://www.google.com/maps?q=10.75838661,79.7103653","Open Location")</f>
        <v>Open Location</v>
      </c>
    </row>
    <row r="6523" spans="1:40" x14ac:dyDescent="0.3">
      <c r="A6523" s="1">
        <v>46210.244328703702</v>
      </c>
      <c r="B6523" t="s">
        <v>40</v>
      </c>
      <c r="C6523" t="s">
        <v>41</v>
      </c>
      <c r="D6523" s="1">
        <v>46210.247314814813</v>
      </c>
      <c r="E6523" t="s">
        <v>42</v>
      </c>
      <c r="F6523" t="s">
        <v>83</v>
      </c>
      <c r="G6523">
        <v>60</v>
      </c>
      <c r="H6523">
        <v>33060</v>
      </c>
      <c r="I6523" t="s">
        <v>43</v>
      </c>
      <c r="J6523">
        <v>70</v>
      </c>
      <c r="K6523">
        <v>93</v>
      </c>
      <c r="L6523">
        <v>98</v>
      </c>
      <c r="M6523">
        <v>628.70001220999995</v>
      </c>
      <c r="N6523" t="s">
        <v>87</v>
      </c>
      <c r="O6523" t="s">
        <v>86</v>
      </c>
      <c r="P6523">
        <v>131</v>
      </c>
      <c r="Q6523">
        <v>6</v>
      </c>
      <c r="R6523">
        <v>66</v>
      </c>
      <c r="S6523">
        <v>1671</v>
      </c>
      <c r="T6523">
        <v>-40</v>
      </c>
      <c r="U6523">
        <v>41</v>
      </c>
      <c r="V6523">
        <v>320</v>
      </c>
      <c r="W6523">
        <v>28</v>
      </c>
      <c r="X6523">
        <v>28</v>
      </c>
      <c r="Y6523">
        <v>1</v>
      </c>
      <c r="Z6523">
        <v>7</v>
      </c>
      <c r="AA6523">
        <v>26</v>
      </c>
      <c r="AB6523">
        <v>2</v>
      </c>
      <c r="AC6523">
        <v>1</v>
      </c>
      <c r="AD6523">
        <v>3.28800011</v>
      </c>
      <c r="AE6523">
        <v>5</v>
      </c>
      <c r="AF6523">
        <v>38</v>
      </c>
      <c r="AG6523">
        <v>3.2760000200000001</v>
      </c>
      <c r="AH6523">
        <v>7</v>
      </c>
      <c r="AI6523">
        <v>1</v>
      </c>
      <c r="AJ6523">
        <v>1</v>
      </c>
      <c r="AK6523">
        <v>21</v>
      </c>
      <c r="AL6523">
        <v>35</v>
      </c>
      <c r="AM6523" t="s">
        <v>43</v>
      </c>
      <c r="AN6523" t="s">
        <v>43</v>
      </c>
    </row>
    <row r="6524" spans="1:40" x14ac:dyDescent="0.3">
      <c r="A6524" s="1">
        <v>46210.244212962964</v>
      </c>
      <c r="B6524" t="s">
        <v>40</v>
      </c>
      <c r="C6524" t="s">
        <v>41</v>
      </c>
      <c r="D6524" s="1">
        <v>46210.247256944444</v>
      </c>
      <c r="E6524" t="s">
        <v>42</v>
      </c>
      <c r="F6524" t="s">
        <v>83</v>
      </c>
      <c r="G6524">
        <v>63</v>
      </c>
      <c r="H6524">
        <v>33060</v>
      </c>
      <c r="I6524" t="s">
        <v>3774</v>
      </c>
      <c r="J6524">
        <v>70</v>
      </c>
      <c r="K6524">
        <v>70</v>
      </c>
      <c r="L6524">
        <v>98</v>
      </c>
      <c r="M6524">
        <v>629.5</v>
      </c>
      <c r="N6524" t="s">
        <v>87</v>
      </c>
      <c r="O6524" t="s">
        <v>86</v>
      </c>
      <c r="P6524">
        <v>131</v>
      </c>
      <c r="Q6524">
        <v>6</v>
      </c>
      <c r="R6524">
        <v>39</v>
      </c>
      <c r="S6524">
        <v>1662</v>
      </c>
      <c r="T6524">
        <v>-40</v>
      </c>
      <c r="U6524">
        <v>42</v>
      </c>
      <c r="V6524">
        <v>240</v>
      </c>
      <c r="W6524">
        <v>28</v>
      </c>
      <c r="X6524">
        <v>28</v>
      </c>
      <c r="Y6524">
        <v>1</v>
      </c>
      <c r="Z6524">
        <v>7</v>
      </c>
      <c r="AA6524">
        <v>25</v>
      </c>
      <c r="AB6524">
        <v>4</v>
      </c>
      <c r="AC6524">
        <v>2</v>
      </c>
      <c r="AD6524">
        <v>3.3059999900000001</v>
      </c>
      <c r="AE6524">
        <v>1</v>
      </c>
      <c r="AF6524">
        <v>25</v>
      </c>
      <c r="AG6524">
        <v>3.2959999999999998</v>
      </c>
      <c r="AH6524">
        <v>3</v>
      </c>
      <c r="AI6524">
        <v>10</v>
      </c>
      <c r="AJ6524">
        <v>1</v>
      </c>
      <c r="AK6524">
        <v>20</v>
      </c>
      <c r="AL6524">
        <v>35</v>
      </c>
      <c r="AM6524" t="s">
        <v>43</v>
      </c>
      <c r="AN6524" t="str">
        <f>HYPERLINK("https://www.google.com/maps?q=10.75823879,79.70853424","Open Location")</f>
        <v>Open Location</v>
      </c>
    </row>
    <row r="6525" spans="1:40" x14ac:dyDescent="0.3">
      <c r="A6525" s="1">
        <v>46210.244097222225</v>
      </c>
      <c r="B6525" t="s">
        <v>40</v>
      </c>
      <c r="C6525" t="s">
        <v>41</v>
      </c>
      <c r="D6525" s="1">
        <v>46210.24695601852</v>
      </c>
      <c r="E6525" t="s">
        <v>42</v>
      </c>
      <c r="F6525" t="s">
        <v>83</v>
      </c>
      <c r="G6525">
        <v>59</v>
      </c>
      <c r="H6525">
        <v>33060</v>
      </c>
      <c r="I6525" t="s">
        <v>3775</v>
      </c>
      <c r="J6525">
        <v>70</v>
      </c>
      <c r="K6525">
        <v>123</v>
      </c>
      <c r="L6525">
        <v>98</v>
      </c>
      <c r="M6525">
        <v>626.5</v>
      </c>
      <c r="N6525" t="s">
        <v>87</v>
      </c>
      <c r="O6525" t="s">
        <v>86</v>
      </c>
      <c r="P6525">
        <v>131</v>
      </c>
      <c r="Q6525">
        <v>6</v>
      </c>
      <c r="R6525">
        <v>79</v>
      </c>
      <c r="S6525">
        <v>1742</v>
      </c>
      <c r="T6525">
        <v>-40</v>
      </c>
      <c r="U6525">
        <v>43</v>
      </c>
      <c r="V6525">
        <v>454</v>
      </c>
      <c r="W6525">
        <v>28</v>
      </c>
      <c r="X6525">
        <v>28</v>
      </c>
      <c r="Y6525">
        <v>1</v>
      </c>
      <c r="Z6525">
        <v>7</v>
      </c>
      <c r="AA6525">
        <v>25</v>
      </c>
      <c r="AB6525">
        <v>4</v>
      </c>
      <c r="AC6525">
        <v>2</v>
      </c>
      <c r="AD6525">
        <v>3.2760000200000001</v>
      </c>
      <c r="AE6525">
        <v>5</v>
      </c>
      <c r="AF6525">
        <v>38</v>
      </c>
      <c r="AG6525">
        <v>3.2579999000000002</v>
      </c>
      <c r="AH6525">
        <v>8</v>
      </c>
      <c r="AI6525">
        <v>35</v>
      </c>
      <c r="AJ6525">
        <v>1</v>
      </c>
      <c r="AK6525">
        <v>20</v>
      </c>
      <c r="AL6525">
        <v>35</v>
      </c>
      <c r="AM6525" t="s">
        <v>43</v>
      </c>
      <c r="AN6525" t="str">
        <f>HYPERLINK("https://www.google.com/maps?q=10.75816154,79.70662689","Open Location")</f>
        <v>Open Location</v>
      </c>
    </row>
    <row r="6526" spans="1:40" x14ac:dyDescent="0.3">
      <c r="A6526" s="1">
        <v>46210.243981481479</v>
      </c>
      <c r="B6526" t="s">
        <v>40</v>
      </c>
      <c r="C6526" t="s">
        <v>41</v>
      </c>
      <c r="D6526" s="1">
        <v>46210.246932870374</v>
      </c>
      <c r="E6526" t="s">
        <v>42</v>
      </c>
      <c r="F6526" t="s">
        <v>83</v>
      </c>
      <c r="G6526">
        <v>53</v>
      </c>
      <c r="H6526">
        <v>33060</v>
      </c>
      <c r="I6526" t="s">
        <v>3776</v>
      </c>
      <c r="J6526">
        <v>71</v>
      </c>
      <c r="K6526">
        <v>137</v>
      </c>
      <c r="L6526">
        <v>98</v>
      </c>
      <c r="M6526">
        <v>626.40002441000001</v>
      </c>
      <c r="N6526" t="s">
        <v>87</v>
      </c>
      <c r="O6526" t="s">
        <v>86</v>
      </c>
      <c r="P6526">
        <v>131</v>
      </c>
      <c r="Q6526">
        <v>6</v>
      </c>
      <c r="R6526">
        <v>69</v>
      </c>
      <c r="S6526">
        <v>1599</v>
      </c>
      <c r="T6526">
        <v>-40</v>
      </c>
      <c r="U6526">
        <v>41</v>
      </c>
      <c r="V6526">
        <v>480</v>
      </c>
      <c r="W6526">
        <v>28</v>
      </c>
      <c r="X6526">
        <v>28</v>
      </c>
      <c r="Y6526">
        <v>1</v>
      </c>
      <c r="Z6526">
        <v>7</v>
      </c>
      <c r="AA6526">
        <v>25</v>
      </c>
      <c r="AB6526">
        <v>4</v>
      </c>
      <c r="AC6526">
        <v>2</v>
      </c>
      <c r="AD6526">
        <v>3.2720000699999998</v>
      </c>
      <c r="AE6526">
        <v>1</v>
      </c>
      <c r="AF6526">
        <v>1</v>
      </c>
      <c r="AG6526">
        <v>3.25600004</v>
      </c>
      <c r="AH6526">
        <v>4</v>
      </c>
      <c r="AI6526">
        <v>24</v>
      </c>
      <c r="AJ6526">
        <v>1</v>
      </c>
      <c r="AK6526">
        <v>20</v>
      </c>
      <c r="AL6526">
        <v>35</v>
      </c>
      <c r="AM6526" t="s">
        <v>43</v>
      </c>
      <c r="AN6526" t="str">
        <f>HYPERLINK("https://www.google.com/maps?q=10.75877953,79.70498657","Open Location")</f>
        <v>Open Location</v>
      </c>
    </row>
    <row r="6527" spans="1:40" x14ac:dyDescent="0.3">
      <c r="A6527" s="1">
        <v>46210.24386574074</v>
      </c>
      <c r="B6527" t="s">
        <v>40</v>
      </c>
      <c r="C6527" t="s">
        <v>41</v>
      </c>
      <c r="D6527" s="1">
        <v>46210.24690972222</v>
      </c>
      <c r="E6527" t="s">
        <v>42</v>
      </c>
      <c r="F6527" t="s">
        <v>83</v>
      </c>
      <c r="G6527">
        <v>52</v>
      </c>
      <c r="H6527">
        <v>33060</v>
      </c>
      <c r="I6527" t="s">
        <v>3777</v>
      </c>
      <c r="J6527">
        <v>71</v>
      </c>
      <c r="K6527">
        <v>46</v>
      </c>
      <c r="L6527">
        <v>98</v>
      </c>
      <c r="M6527">
        <v>630.20001220999995</v>
      </c>
      <c r="N6527" t="s">
        <v>87</v>
      </c>
      <c r="O6527" t="s">
        <v>86</v>
      </c>
      <c r="P6527">
        <v>131</v>
      </c>
      <c r="Q6527">
        <v>6</v>
      </c>
      <c r="R6527">
        <v>-44</v>
      </c>
      <c r="S6527">
        <v>1440</v>
      </c>
      <c r="T6527">
        <v>-40</v>
      </c>
      <c r="U6527">
        <v>42</v>
      </c>
      <c r="V6527">
        <v>160</v>
      </c>
      <c r="W6527">
        <v>28</v>
      </c>
      <c r="X6527">
        <v>28</v>
      </c>
      <c r="Y6527">
        <v>1</v>
      </c>
      <c r="Z6527">
        <v>7</v>
      </c>
      <c r="AA6527">
        <v>25</v>
      </c>
      <c r="AB6527">
        <v>4</v>
      </c>
      <c r="AC6527">
        <v>2</v>
      </c>
      <c r="AD6527">
        <v>3.2920000599999999</v>
      </c>
      <c r="AE6527">
        <v>5</v>
      </c>
      <c r="AF6527">
        <v>38</v>
      </c>
      <c r="AG6527">
        <v>3.2809998999999999</v>
      </c>
      <c r="AH6527">
        <v>6</v>
      </c>
      <c r="AI6527">
        <v>24</v>
      </c>
      <c r="AJ6527">
        <v>1</v>
      </c>
      <c r="AK6527">
        <v>21</v>
      </c>
      <c r="AL6527">
        <v>35</v>
      </c>
      <c r="AM6527" t="s">
        <v>43</v>
      </c>
      <c r="AN6527" t="str">
        <f>HYPERLINK("https://www.google.com/maps?q=10.75989628,79.70385742","Open Location")</f>
        <v>Open Location</v>
      </c>
    </row>
    <row r="6528" spans="1:40" x14ac:dyDescent="0.3">
      <c r="A6528" s="1">
        <v>46210.243750000001</v>
      </c>
      <c r="B6528" t="s">
        <v>40</v>
      </c>
      <c r="C6528" t="s">
        <v>41</v>
      </c>
      <c r="D6528" s="1">
        <v>46210.24690972222</v>
      </c>
      <c r="E6528" t="s">
        <v>42</v>
      </c>
      <c r="F6528" t="s">
        <v>83</v>
      </c>
      <c r="G6528">
        <v>54</v>
      </c>
      <c r="H6528">
        <v>33059</v>
      </c>
      <c r="I6528" t="s">
        <v>43</v>
      </c>
      <c r="J6528">
        <v>71</v>
      </c>
      <c r="K6528">
        <v>-18</v>
      </c>
      <c r="L6528">
        <v>98</v>
      </c>
      <c r="M6528">
        <v>635</v>
      </c>
      <c r="N6528" t="s">
        <v>87</v>
      </c>
      <c r="O6528" t="s">
        <v>86</v>
      </c>
      <c r="P6528">
        <v>131</v>
      </c>
      <c r="Q6528">
        <v>6</v>
      </c>
      <c r="R6528">
        <v>47</v>
      </c>
      <c r="S6528">
        <v>1512</v>
      </c>
      <c r="T6528">
        <v>-40</v>
      </c>
      <c r="U6528">
        <v>42</v>
      </c>
      <c r="V6528">
        <v>-96</v>
      </c>
      <c r="W6528">
        <v>28</v>
      </c>
      <c r="X6528">
        <v>28</v>
      </c>
      <c r="Y6528">
        <v>1</v>
      </c>
      <c r="Z6528">
        <v>7</v>
      </c>
      <c r="AA6528">
        <v>25</v>
      </c>
      <c r="AB6528">
        <v>4</v>
      </c>
      <c r="AC6528">
        <v>2</v>
      </c>
      <c r="AD6528">
        <v>3.2809998999999999</v>
      </c>
      <c r="AE6528">
        <v>5</v>
      </c>
      <c r="AF6528">
        <v>38</v>
      </c>
      <c r="AG6528">
        <v>3.2660000299999998</v>
      </c>
      <c r="AH6528">
        <v>7</v>
      </c>
      <c r="AI6528">
        <v>1</v>
      </c>
      <c r="AJ6528">
        <v>1</v>
      </c>
      <c r="AK6528">
        <v>21</v>
      </c>
      <c r="AL6528">
        <v>35</v>
      </c>
      <c r="AM6528" t="s">
        <v>43</v>
      </c>
      <c r="AN6528" t="s">
        <v>43</v>
      </c>
    </row>
    <row r="6529" spans="1:40" x14ac:dyDescent="0.3">
      <c r="A6529" s="1">
        <v>46210.243634259263</v>
      </c>
      <c r="B6529" t="s">
        <v>40</v>
      </c>
      <c r="C6529" t="s">
        <v>41</v>
      </c>
      <c r="D6529" s="1">
        <v>46210.246446759258</v>
      </c>
      <c r="E6529" t="s">
        <v>42</v>
      </c>
      <c r="F6529" t="s">
        <v>83</v>
      </c>
      <c r="G6529">
        <v>53</v>
      </c>
      <c r="H6529">
        <v>33059</v>
      </c>
      <c r="I6529" t="s">
        <v>3778</v>
      </c>
      <c r="J6529">
        <v>71</v>
      </c>
      <c r="K6529">
        <v>131</v>
      </c>
      <c r="L6529">
        <v>98</v>
      </c>
      <c r="M6529">
        <v>627.79998779000005</v>
      </c>
      <c r="N6529" t="s">
        <v>87</v>
      </c>
      <c r="O6529" t="s">
        <v>86</v>
      </c>
      <c r="P6529">
        <v>131</v>
      </c>
      <c r="Q6529">
        <v>6</v>
      </c>
      <c r="R6529">
        <v>55</v>
      </c>
      <c r="S6529">
        <v>1507</v>
      </c>
      <c r="T6529">
        <v>-40</v>
      </c>
      <c r="U6529">
        <v>41</v>
      </c>
      <c r="V6529">
        <v>500</v>
      </c>
      <c r="W6529">
        <v>28</v>
      </c>
      <c r="X6529">
        <v>28</v>
      </c>
      <c r="Y6529">
        <v>1</v>
      </c>
      <c r="Z6529">
        <v>7</v>
      </c>
      <c r="AA6529">
        <v>25</v>
      </c>
      <c r="AB6529">
        <v>4</v>
      </c>
      <c r="AC6529">
        <v>2</v>
      </c>
      <c r="AD6529">
        <v>3.28600001</v>
      </c>
      <c r="AE6529">
        <v>5</v>
      </c>
      <c r="AF6529">
        <v>38</v>
      </c>
      <c r="AG6529">
        <v>3.2730000000000001</v>
      </c>
      <c r="AH6529">
        <v>8</v>
      </c>
      <c r="AI6529">
        <v>35</v>
      </c>
      <c r="AJ6529">
        <v>1</v>
      </c>
      <c r="AK6529">
        <v>20</v>
      </c>
      <c r="AL6529">
        <v>35</v>
      </c>
      <c r="AM6529" t="s">
        <v>43</v>
      </c>
      <c r="AN6529" t="str">
        <f>HYPERLINK("https://www.google.com/maps?q=10.76115704,79.70276642","Open Location")</f>
        <v>Open Location</v>
      </c>
    </row>
    <row r="6530" spans="1:40" x14ac:dyDescent="0.3">
      <c r="A6530" s="1">
        <v>46210.243518518517</v>
      </c>
      <c r="B6530" t="s">
        <v>40</v>
      </c>
      <c r="C6530" t="s">
        <v>41</v>
      </c>
      <c r="D6530" s="1">
        <v>46210.246562499997</v>
      </c>
      <c r="E6530" t="s">
        <v>42</v>
      </c>
      <c r="F6530" t="s">
        <v>83</v>
      </c>
      <c r="G6530">
        <v>54</v>
      </c>
      <c r="H6530">
        <v>33059</v>
      </c>
      <c r="I6530" t="s">
        <v>43</v>
      </c>
      <c r="J6530">
        <v>71</v>
      </c>
      <c r="K6530">
        <v>64</v>
      </c>
      <c r="L6530">
        <v>98</v>
      </c>
      <c r="M6530">
        <v>630</v>
      </c>
      <c r="N6530" t="s">
        <v>87</v>
      </c>
      <c r="O6530" t="s">
        <v>86</v>
      </c>
      <c r="P6530">
        <v>131</v>
      </c>
      <c r="Q6530">
        <v>6</v>
      </c>
      <c r="R6530">
        <v>25</v>
      </c>
      <c r="S6530">
        <v>1471</v>
      </c>
      <c r="T6530">
        <v>-40</v>
      </c>
      <c r="U6530">
        <v>41</v>
      </c>
      <c r="V6530">
        <v>260</v>
      </c>
      <c r="W6530" t="s">
        <v>43</v>
      </c>
      <c r="X6530" t="s">
        <v>43</v>
      </c>
      <c r="Y6530" t="s">
        <v>43</v>
      </c>
      <c r="Z6530" t="s">
        <v>43</v>
      </c>
      <c r="AA6530" t="s">
        <v>43</v>
      </c>
      <c r="AB6530" t="s">
        <v>43</v>
      </c>
      <c r="AC6530" t="s">
        <v>43</v>
      </c>
      <c r="AD6530" t="s">
        <v>43</v>
      </c>
      <c r="AE6530" t="s">
        <v>43</v>
      </c>
      <c r="AF6530" t="s">
        <v>43</v>
      </c>
      <c r="AG6530" t="s">
        <v>43</v>
      </c>
      <c r="AH6530" t="s">
        <v>43</v>
      </c>
      <c r="AI6530" t="s">
        <v>43</v>
      </c>
      <c r="AJ6530">
        <v>1</v>
      </c>
      <c r="AK6530">
        <v>20</v>
      </c>
      <c r="AL6530">
        <v>35</v>
      </c>
      <c r="AM6530" t="s">
        <v>43</v>
      </c>
      <c r="AN6530" t="s">
        <v>43</v>
      </c>
    </row>
    <row r="6531" spans="1:40" x14ac:dyDescent="0.3">
      <c r="A6531" s="1">
        <v>46210.243402777778</v>
      </c>
      <c r="B6531" t="s">
        <v>40</v>
      </c>
      <c r="C6531" t="s">
        <v>41</v>
      </c>
      <c r="D6531" s="1">
        <v>46210.246168981481</v>
      </c>
      <c r="E6531" t="s">
        <v>42</v>
      </c>
      <c r="F6531" t="s">
        <v>83</v>
      </c>
      <c r="G6531">
        <v>56</v>
      </c>
      <c r="H6531">
        <v>33059</v>
      </c>
      <c r="I6531" t="s">
        <v>3779</v>
      </c>
      <c r="J6531">
        <v>71</v>
      </c>
      <c r="K6531">
        <v>40</v>
      </c>
      <c r="L6531">
        <v>98</v>
      </c>
      <c r="M6531">
        <v>630.90002441000001</v>
      </c>
      <c r="N6531" t="s">
        <v>87</v>
      </c>
      <c r="O6531" t="s">
        <v>86</v>
      </c>
      <c r="P6531">
        <v>131</v>
      </c>
      <c r="Q6531">
        <v>6</v>
      </c>
      <c r="R6531">
        <v>22</v>
      </c>
      <c r="S6531">
        <v>1519</v>
      </c>
      <c r="T6531">
        <v>-40</v>
      </c>
      <c r="U6531">
        <v>44</v>
      </c>
      <c r="V6531">
        <v>160</v>
      </c>
      <c r="W6531">
        <v>28</v>
      </c>
      <c r="X6531">
        <v>28</v>
      </c>
      <c r="Y6531">
        <v>1</v>
      </c>
      <c r="Z6531">
        <v>7</v>
      </c>
      <c r="AA6531">
        <v>25</v>
      </c>
      <c r="AB6531">
        <v>4</v>
      </c>
      <c r="AC6531">
        <v>2</v>
      </c>
      <c r="AD6531">
        <v>3.2939999100000001</v>
      </c>
      <c r="AE6531">
        <v>1</v>
      </c>
      <c r="AF6531">
        <v>25</v>
      </c>
      <c r="AG6531">
        <v>3.28500009</v>
      </c>
      <c r="AH6531">
        <v>7</v>
      </c>
      <c r="AI6531">
        <v>1</v>
      </c>
      <c r="AJ6531">
        <v>1</v>
      </c>
      <c r="AK6531">
        <v>20</v>
      </c>
      <c r="AL6531">
        <v>35</v>
      </c>
      <c r="AM6531" t="s">
        <v>43</v>
      </c>
      <c r="AN6531" t="str">
        <f>HYPERLINK("https://www.google.com/maps?q=10.76249886,79.69962311","Open Location")</f>
        <v>Open Location</v>
      </c>
    </row>
    <row r="6532" spans="1:40" x14ac:dyDescent="0.3">
      <c r="A6532" s="1">
        <v>46210.243287037039</v>
      </c>
      <c r="B6532" t="s">
        <v>40</v>
      </c>
      <c r="C6532" t="s">
        <v>41</v>
      </c>
      <c r="D6532" s="1">
        <v>46210.246099537035</v>
      </c>
      <c r="E6532" t="s">
        <v>42</v>
      </c>
      <c r="F6532" t="s">
        <v>83</v>
      </c>
      <c r="G6532">
        <v>48</v>
      </c>
      <c r="H6532">
        <v>33059</v>
      </c>
      <c r="I6532" t="s">
        <v>43</v>
      </c>
      <c r="J6532">
        <v>71</v>
      </c>
      <c r="K6532">
        <v>60</v>
      </c>
      <c r="L6532">
        <v>98</v>
      </c>
      <c r="M6532">
        <v>629.20001220999995</v>
      </c>
      <c r="N6532" t="s">
        <v>87</v>
      </c>
      <c r="O6532" t="s">
        <v>86</v>
      </c>
      <c r="P6532">
        <v>131</v>
      </c>
      <c r="Q6532">
        <v>6</v>
      </c>
      <c r="R6532">
        <v>193</v>
      </c>
      <c r="S6532">
        <v>1569</v>
      </c>
      <c r="T6532">
        <v>-40</v>
      </c>
      <c r="U6532">
        <v>46</v>
      </c>
      <c r="V6532">
        <v>220</v>
      </c>
      <c r="W6532">
        <v>28</v>
      </c>
      <c r="X6532">
        <v>28</v>
      </c>
      <c r="Y6532">
        <v>1</v>
      </c>
      <c r="Z6532">
        <v>7</v>
      </c>
      <c r="AA6532">
        <v>25</v>
      </c>
      <c r="AB6532">
        <v>3</v>
      </c>
      <c r="AC6532">
        <v>2</v>
      </c>
      <c r="AD6532">
        <v>3.25600004</v>
      </c>
      <c r="AE6532">
        <v>5</v>
      </c>
      <c r="AF6532">
        <v>38</v>
      </c>
      <c r="AG6532">
        <v>3.23200011</v>
      </c>
      <c r="AH6532">
        <v>8</v>
      </c>
      <c r="AI6532">
        <v>35</v>
      </c>
      <c r="AJ6532">
        <v>1</v>
      </c>
      <c r="AK6532">
        <v>20</v>
      </c>
      <c r="AL6532">
        <v>35</v>
      </c>
      <c r="AM6532" t="s">
        <v>43</v>
      </c>
      <c r="AN6532" t="s">
        <v>43</v>
      </c>
    </row>
    <row r="6533" spans="1:40" x14ac:dyDescent="0.3">
      <c r="A6533" s="1">
        <v>46210.243171296293</v>
      </c>
      <c r="B6533" t="s">
        <v>40</v>
      </c>
      <c r="C6533" t="s">
        <v>41</v>
      </c>
      <c r="D6533" s="1">
        <v>46210.246180555558</v>
      </c>
      <c r="E6533" t="s">
        <v>42</v>
      </c>
      <c r="F6533" t="s">
        <v>83</v>
      </c>
      <c r="G6533">
        <v>40</v>
      </c>
      <c r="H6533">
        <v>33059</v>
      </c>
      <c r="I6533" t="s">
        <v>3780</v>
      </c>
      <c r="J6533">
        <v>71</v>
      </c>
      <c r="K6533">
        <v>299</v>
      </c>
      <c r="L6533">
        <v>98</v>
      </c>
      <c r="M6533">
        <v>621.09997558999999</v>
      </c>
      <c r="N6533" t="s">
        <v>87</v>
      </c>
      <c r="O6533" t="s">
        <v>86</v>
      </c>
      <c r="P6533">
        <v>131</v>
      </c>
      <c r="Q6533">
        <v>6</v>
      </c>
      <c r="R6533">
        <v>18</v>
      </c>
      <c r="S6533">
        <v>1150</v>
      </c>
      <c r="T6533">
        <v>-40</v>
      </c>
      <c r="U6533">
        <v>42</v>
      </c>
      <c r="V6533">
        <v>1588</v>
      </c>
      <c r="W6533">
        <v>28</v>
      </c>
      <c r="X6533">
        <v>28</v>
      </c>
      <c r="Y6533">
        <v>1</v>
      </c>
      <c r="Z6533">
        <v>7</v>
      </c>
      <c r="AA6533">
        <v>25</v>
      </c>
      <c r="AB6533">
        <v>3</v>
      </c>
      <c r="AC6533">
        <v>2</v>
      </c>
      <c r="AD6533">
        <v>3.31500006</v>
      </c>
      <c r="AE6533">
        <v>1</v>
      </c>
      <c r="AF6533">
        <v>25</v>
      </c>
      <c r="AG6533">
        <v>3.30999994</v>
      </c>
      <c r="AH6533">
        <v>2</v>
      </c>
      <c r="AI6533">
        <v>6</v>
      </c>
      <c r="AJ6533">
        <v>1</v>
      </c>
      <c r="AK6533">
        <v>21</v>
      </c>
      <c r="AL6533">
        <v>35</v>
      </c>
      <c r="AM6533" t="s">
        <v>43</v>
      </c>
      <c r="AN6533" t="str">
        <f>HYPERLINK("https://www.google.com/maps?q=10.76343155,79.69684601","Open Location")</f>
        <v>Open Location</v>
      </c>
    </row>
    <row r="6534" spans="1:40" x14ac:dyDescent="0.3">
      <c r="A6534" s="1">
        <v>46210.243055555555</v>
      </c>
      <c r="B6534" t="s">
        <v>40</v>
      </c>
      <c r="C6534" t="s">
        <v>41</v>
      </c>
      <c r="D6534" s="1">
        <v>46210.246180555558</v>
      </c>
      <c r="E6534" t="s">
        <v>42</v>
      </c>
      <c r="F6534" t="s">
        <v>83</v>
      </c>
      <c r="G6534">
        <v>35</v>
      </c>
      <c r="H6534">
        <v>33058</v>
      </c>
      <c r="I6534" t="s">
        <v>43</v>
      </c>
      <c r="J6534">
        <v>71</v>
      </c>
      <c r="K6534">
        <v>139</v>
      </c>
      <c r="L6534">
        <v>98</v>
      </c>
      <c r="M6534">
        <v>629.90002441000001</v>
      </c>
      <c r="N6534" t="s">
        <v>87</v>
      </c>
      <c r="O6534" t="s">
        <v>86</v>
      </c>
      <c r="P6534">
        <v>130</v>
      </c>
      <c r="Q6534">
        <v>5</v>
      </c>
      <c r="R6534">
        <v>70</v>
      </c>
      <c r="S6534">
        <v>1819</v>
      </c>
      <c r="T6534">
        <v>-40</v>
      </c>
      <c r="U6534">
        <v>42</v>
      </c>
      <c r="V6534">
        <v>396</v>
      </c>
      <c r="W6534">
        <v>28</v>
      </c>
      <c r="X6534">
        <v>28</v>
      </c>
      <c r="Y6534">
        <v>1</v>
      </c>
      <c r="Z6534">
        <v>7</v>
      </c>
      <c r="AA6534">
        <v>25</v>
      </c>
      <c r="AB6534">
        <v>3</v>
      </c>
      <c r="AC6534">
        <v>2</v>
      </c>
      <c r="AD6534">
        <v>3.2909998900000001</v>
      </c>
      <c r="AE6534">
        <v>5</v>
      </c>
      <c r="AF6534">
        <v>38</v>
      </c>
      <c r="AG6534">
        <v>3.2780001200000002</v>
      </c>
      <c r="AH6534">
        <v>4</v>
      </c>
      <c r="AI6534">
        <v>24</v>
      </c>
      <c r="AJ6534">
        <v>1</v>
      </c>
      <c r="AK6534">
        <v>21</v>
      </c>
      <c r="AL6534">
        <v>35</v>
      </c>
      <c r="AM6534" t="s">
        <v>43</v>
      </c>
      <c r="AN6534" t="s">
        <v>43</v>
      </c>
    </row>
    <row r="6535" spans="1:40" x14ac:dyDescent="0.3">
      <c r="A6535" s="1">
        <v>46210.242939814816</v>
      </c>
      <c r="B6535" t="s">
        <v>40</v>
      </c>
      <c r="C6535" t="s">
        <v>41</v>
      </c>
      <c r="D6535" s="1">
        <v>46210.245798611111</v>
      </c>
      <c r="E6535" t="s">
        <v>42</v>
      </c>
      <c r="F6535" t="s">
        <v>83</v>
      </c>
      <c r="G6535">
        <v>33</v>
      </c>
      <c r="H6535">
        <v>33058</v>
      </c>
      <c r="I6535" t="s">
        <v>3781</v>
      </c>
      <c r="J6535">
        <v>71</v>
      </c>
      <c r="K6535">
        <v>56</v>
      </c>
      <c r="L6535">
        <v>98</v>
      </c>
      <c r="M6535">
        <v>632.90002441000001</v>
      </c>
      <c r="N6535" t="s">
        <v>87</v>
      </c>
      <c r="O6535" t="s">
        <v>86</v>
      </c>
      <c r="P6535">
        <v>131</v>
      </c>
      <c r="Q6535">
        <v>6</v>
      </c>
      <c r="R6535">
        <v>-30</v>
      </c>
      <c r="S6535">
        <v>1523</v>
      </c>
      <c r="T6535">
        <v>-40</v>
      </c>
      <c r="U6535">
        <v>42</v>
      </c>
      <c r="V6535">
        <v>200</v>
      </c>
      <c r="W6535">
        <v>28</v>
      </c>
      <c r="X6535">
        <v>28</v>
      </c>
      <c r="Y6535">
        <v>1</v>
      </c>
      <c r="Z6535">
        <v>7</v>
      </c>
      <c r="AA6535">
        <v>25</v>
      </c>
      <c r="AB6535">
        <v>3</v>
      </c>
      <c r="AC6535">
        <v>2</v>
      </c>
      <c r="AD6535">
        <v>3.2820000600000001</v>
      </c>
      <c r="AE6535">
        <v>5</v>
      </c>
      <c r="AF6535">
        <v>38</v>
      </c>
      <c r="AG6535">
        <v>3.2650001</v>
      </c>
      <c r="AH6535">
        <v>6</v>
      </c>
      <c r="AI6535">
        <v>24</v>
      </c>
      <c r="AJ6535">
        <v>1</v>
      </c>
      <c r="AK6535">
        <v>21</v>
      </c>
      <c r="AL6535">
        <v>35</v>
      </c>
      <c r="AM6535" t="s">
        <v>43</v>
      </c>
      <c r="AN6535" t="str">
        <f>HYPERLINK("https://www.google.com/maps?q=10.76328754,79.69574738","Open Location")</f>
        <v>Open Location</v>
      </c>
    </row>
    <row r="6536" spans="1:40" x14ac:dyDescent="0.3">
      <c r="A6536" s="1">
        <v>46210.242824074077</v>
      </c>
      <c r="B6536" t="s">
        <v>40</v>
      </c>
      <c r="C6536" t="s">
        <v>41</v>
      </c>
      <c r="D6536" s="1">
        <v>46210.245810185188</v>
      </c>
      <c r="E6536" t="s">
        <v>42</v>
      </c>
      <c r="F6536" t="s">
        <v>83</v>
      </c>
      <c r="G6536">
        <v>39</v>
      </c>
      <c r="H6536">
        <v>33058</v>
      </c>
      <c r="I6536" t="s">
        <v>3782</v>
      </c>
      <c r="J6536">
        <v>71</v>
      </c>
      <c r="K6536">
        <v>-41</v>
      </c>
      <c r="L6536">
        <v>98</v>
      </c>
      <c r="M6536">
        <v>636</v>
      </c>
      <c r="N6536" t="s">
        <v>87</v>
      </c>
      <c r="O6536" t="s">
        <v>86</v>
      </c>
      <c r="P6536">
        <v>131</v>
      </c>
      <c r="Q6536">
        <v>6</v>
      </c>
      <c r="R6536">
        <v>2</v>
      </c>
      <c r="S6536">
        <v>999</v>
      </c>
      <c r="T6536">
        <v>-40</v>
      </c>
      <c r="U6536">
        <v>41</v>
      </c>
      <c r="V6536">
        <v>-300</v>
      </c>
      <c r="W6536">
        <v>28</v>
      </c>
      <c r="X6536">
        <v>28</v>
      </c>
      <c r="Y6536">
        <v>1</v>
      </c>
      <c r="Z6536">
        <v>7</v>
      </c>
      <c r="AA6536">
        <v>25</v>
      </c>
      <c r="AB6536">
        <v>3</v>
      </c>
      <c r="AC6536">
        <v>2</v>
      </c>
      <c r="AD6536">
        <v>3.30699992</v>
      </c>
      <c r="AE6536">
        <v>1</v>
      </c>
      <c r="AF6536">
        <v>16</v>
      </c>
      <c r="AG6536">
        <v>3.2999999500000001</v>
      </c>
      <c r="AH6536">
        <v>7</v>
      </c>
      <c r="AI6536">
        <v>1</v>
      </c>
      <c r="AJ6536">
        <v>1</v>
      </c>
      <c r="AK6536">
        <v>21</v>
      </c>
      <c r="AL6536">
        <v>35</v>
      </c>
      <c r="AM6536" t="s">
        <v>43</v>
      </c>
      <c r="AN6536" t="str">
        <f>HYPERLINK("https://www.google.com/maps?q=10.76318932,79.69470215","Open Location")</f>
        <v>Open Location</v>
      </c>
    </row>
    <row r="6537" spans="1:40" x14ac:dyDescent="0.3">
      <c r="A6537" s="1">
        <v>46210.242708333331</v>
      </c>
      <c r="B6537" t="s">
        <v>40</v>
      </c>
      <c r="C6537" t="s">
        <v>41</v>
      </c>
      <c r="D6537" s="1">
        <v>46210.245462962965</v>
      </c>
      <c r="E6537" t="s">
        <v>42</v>
      </c>
      <c r="F6537" t="s">
        <v>83</v>
      </c>
      <c r="G6537">
        <v>44</v>
      </c>
      <c r="H6537">
        <v>33058</v>
      </c>
      <c r="I6537" t="s">
        <v>3783</v>
      </c>
      <c r="J6537">
        <v>71</v>
      </c>
      <c r="K6537">
        <v>-50</v>
      </c>
      <c r="L6537">
        <v>98</v>
      </c>
      <c r="M6537">
        <v>635.5</v>
      </c>
      <c r="N6537" t="s">
        <v>87</v>
      </c>
      <c r="O6537" t="s">
        <v>86</v>
      </c>
      <c r="P6537">
        <v>131</v>
      </c>
      <c r="Q6537">
        <v>6</v>
      </c>
      <c r="R6537">
        <v>25</v>
      </c>
      <c r="S6537">
        <v>1154</v>
      </c>
      <c r="T6537">
        <v>-40</v>
      </c>
      <c r="U6537">
        <v>42</v>
      </c>
      <c r="V6537">
        <v>-300</v>
      </c>
      <c r="W6537">
        <v>28</v>
      </c>
      <c r="X6537">
        <v>28</v>
      </c>
      <c r="Y6537">
        <v>1</v>
      </c>
      <c r="Z6537">
        <v>7</v>
      </c>
      <c r="AA6537">
        <v>25</v>
      </c>
      <c r="AB6537">
        <v>3</v>
      </c>
      <c r="AC6537">
        <v>2</v>
      </c>
      <c r="AD6537">
        <v>3.3050000700000002</v>
      </c>
      <c r="AE6537">
        <v>1</v>
      </c>
      <c r="AF6537">
        <v>25</v>
      </c>
      <c r="AG6537">
        <v>3.2990000199999998</v>
      </c>
      <c r="AH6537">
        <v>2</v>
      </c>
      <c r="AI6537">
        <v>46</v>
      </c>
      <c r="AJ6537">
        <v>1</v>
      </c>
      <c r="AK6537">
        <v>26</v>
      </c>
      <c r="AL6537">
        <v>35</v>
      </c>
      <c r="AM6537" t="s">
        <v>43</v>
      </c>
      <c r="AN6537" t="str">
        <f>HYPERLINK("https://www.google.com/maps?q=10.76311588,79.69347382","Open Location")</f>
        <v>Open Location</v>
      </c>
    </row>
    <row r="6538" spans="1:40" x14ac:dyDescent="0.3">
      <c r="A6538" s="1">
        <v>46210.242592592593</v>
      </c>
      <c r="B6538" t="s">
        <v>40</v>
      </c>
      <c r="C6538" t="s">
        <v>41</v>
      </c>
      <c r="D6538" s="1">
        <v>46210.245462962965</v>
      </c>
      <c r="E6538" t="s">
        <v>42</v>
      </c>
      <c r="F6538" t="s">
        <v>83</v>
      </c>
      <c r="G6538">
        <v>41</v>
      </c>
      <c r="H6538" t="s">
        <v>43</v>
      </c>
      <c r="I6538" t="s">
        <v>3784</v>
      </c>
      <c r="J6538">
        <v>71</v>
      </c>
      <c r="K6538">
        <v>53</v>
      </c>
      <c r="L6538">
        <v>98</v>
      </c>
      <c r="M6538">
        <v>630.79998779000005</v>
      </c>
      <c r="N6538" t="s">
        <v>87</v>
      </c>
      <c r="O6538" t="s">
        <v>86</v>
      </c>
      <c r="P6538">
        <v>131</v>
      </c>
      <c r="Q6538">
        <v>6</v>
      </c>
      <c r="R6538">
        <v>62</v>
      </c>
      <c r="S6538">
        <v>1158</v>
      </c>
      <c r="T6538">
        <v>-40</v>
      </c>
      <c r="U6538">
        <v>43</v>
      </c>
      <c r="V6538">
        <v>240</v>
      </c>
      <c r="W6538" t="s">
        <v>43</v>
      </c>
      <c r="X6538" t="s">
        <v>43</v>
      </c>
      <c r="Y6538" t="s">
        <v>43</v>
      </c>
      <c r="Z6538" t="s">
        <v>43</v>
      </c>
      <c r="AA6538" t="s">
        <v>43</v>
      </c>
      <c r="AB6538" t="s">
        <v>43</v>
      </c>
      <c r="AC6538" t="s">
        <v>43</v>
      </c>
      <c r="AD6538" t="s">
        <v>43</v>
      </c>
      <c r="AE6538" t="s">
        <v>43</v>
      </c>
      <c r="AF6538" t="s">
        <v>43</v>
      </c>
      <c r="AG6538" t="s">
        <v>43</v>
      </c>
      <c r="AH6538" t="s">
        <v>43</v>
      </c>
      <c r="AI6538" t="s">
        <v>43</v>
      </c>
      <c r="AJ6538">
        <v>1</v>
      </c>
      <c r="AK6538">
        <v>26</v>
      </c>
      <c r="AL6538">
        <v>35</v>
      </c>
      <c r="AM6538" t="s">
        <v>43</v>
      </c>
      <c r="AN6538" t="str">
        <f>HYPERLINK("https://www.google.com/maps?q=10.76313305,79.69213104","Open Location")</f>
        <v>Open Location</v>
      </c>
    </row>
    <row r="6539" spans="1:40" x14ac:dyDescent="0.3">
      <c r="A6539" s="1">
        <v>46210.242476851854</v>
      </c>
      <c r="B6539" t="s">
        <v>40</v>
      </c>
      <c r="C6539" t="s">
        <v>41</v>
      </c>
      <c r="D6539" s="1">
        <v>46210.245243055557</v>
      </c>
      <c r="E6539" t="s">
        <v>42</v>
      </c>
      <c r="F6539" t="s">
        <v>83</v>
      </c>
      <c r="G6539">
        <v>33</v>
      </c>
      <c r="H6539">
        <v>33058</v>
      </c>
      <c r="I6539" t="s">
        <v>3785</v>
      </c>
      <c r="J6539">
        <v>71</v>
      </c>
      <c r="K6539">
        <v>135</v>
      </c>
      <c r="L6539">
        <v>98</v>
      </c>
      <c r="M6539">
        <v>629.09997558999999</v>
      </c>
      <c r="N6539" t="s">
        <v>87</v>
      </c>
      <c r="O6539" t="s">
        <v>86</v>
      </c>
      <c r="P6539">
        <v>130</v>
      </c>
      <c r="Q6539">
        <v>5</v>
      </c>
      <c r="R6539">
        <v>56</v>
      </c>
      <c r="S6539">
        <v>1124</v>
      </c>
      <c r="T6539">
        <v>-40</v>
      </c>
      <c r="U6539">
        <v>41</v>
      </c>
      <c r="V6539">
        <v>620</v>
      </c>
      <c r="W6539">
        <v>28</v>
      </c>
      <c r="X6539">
        <v>28</v>
      </c>
      <c r="Y6539">
        <v>5</v>
      </c>
      <c r="Z6539">
        <v>1</v>
      </c>
      <c r="AA6539">
        <v>25</v>
      </c>
      <c r="AB6539">
        <v>3</v>
      </c>
      <c r="AC6539">
        <v>2</v>
      </c>
      <c r="AD6539">
        <v>3.27699995</v>
      </c>
      <c r="AE6539">
        <v>5</v>
      </c>
      <c r="AF6539">
        <v>38</v>
      </c>
      <c r="AG6539">
        <v>3.25900006</v>
      </c>
      <c r="AH6539">
        <v>2</v>
      </c>
      <c r="AI6539">
        <v>46</v>
      </c>
      <c r="AJ6539">
        <v>1</v>
      </c>
      <c r="AK6539">
        <v>26</v>
      </c>
      <c r="AL6539">
        <v>35</v>
      </c>
      <c r="AM6539" t="s">
        <v>43</v>
      </c>
      <c r="AN6539" t="str">
        <f>HYPERLINK("https://www.google.com/maps?q=10.76318741,79.69088745","Open Location")</f>
        <v>Open Location</v>
      </c>
    </row>
    <row r="6540" spans="1:40" x14ac:dyDescent="0.3">
      <c r="A6540" s="1">
        <v>46210.242361111108</v>
      </c>
      <c r="B6540" t="s">
        <v>40</v>
      </c>
      <c r="C6540" t="s">
        <v>41</v>
      </c>
      <c r="D6540" s="1">
        <v>46210.245439814818</v>
      </c>
      <c r="E6540" t="s">
        <v>42</v>
      </c>
      <c r="F6540" t="s">
        <v>83</v>
      </c>
      <c r="G6540">
        <v>28</v>
      </c>
      <c r="H6540">
        <v>33058</v>
      </c>
      <c r="I6540" t="s">
        <v>43</v>
      </c>
      <c r="J6540">
        <v>71</v>
      </c>
      <c r="K6540">
        <v>65</v>
      </c>
      <c r="L6540">
        <v>98</v>
      </c>
      <c r="M6540">
        <v>633.59997558999999</v>
      </c>
      <c r="N6540" t="s">
        <v>87</v>
      </c>
      <c r="O6540" t="s">
        <v>86</v>
      </c>
      <c r="P6540">
        <v>130</v>
      </c>
      <c r="Q6540">
        <v>5</v>
      </c>
      <c r="R6540">
        <v>70</v>
      </c>
      <c r="S6540">
        <v>1467</v>
      </c>
      <c r="T6540">
        <v>-40</v>
      </c>
      <c r="U6540">
        <v>41</v>
      </c>
      <c r="V6540">
        <v>272</v>
      </c>
      <c r="W6540">
        <v>28</v>
      </c>
      <c r="X6540">
        <v>28</v>
      </c>
      <c r="Y6540">
        <v>5</v>
      </c>
      <c r="Z6540">
        <v>1</v>
      </c>
      <c r="AA6540">
        <v>25</v>
      </c>
      <c r="AB6540">
        <v>3</v>
      </c>
      <c r="AC6540">
        <v>2</v>
      </c>
      <c r="AD6540">
        <v>3.2969999300000001</v>
      </c>
      <c r="AE6540">
        <v>1</v>
      </c>
      <c r="AF6540">
        <v>25</v>
      </c>
      <c r="AG6540">
        <v>3.28600001</v>
      </c>
      <c r="AH6540">
        <v>7</v>
      </c>
      <c r="AI6540">
        <v>1</v>
      </c>
      <c r="AJ6540">
        <v>1</v>
      </c>
      <c r="AK6540">
        <v>26</v>
      </c>
      <c r="AL6540">
        <v>35</v>
      </c>
      <c r="AM6540" t="s">
        <v>43</v>
      </c>
      <c r="AN6540" t="s">
        <v>43</v>
      </c>
    </row>
    <row r="6541" spans="1:40" x14ac:dyDescent="0.3">
      <c r="A6541" s="1">
        <v>46210.242245370369</v>
      </c>
      <c r="B6541" t="s">
        <v>40</v>
      </c>
      <c r="C6541" t="s">
        <v>41</v>
      </c>
      <c r="D6541" s="1">
        <v>46210.244895833333</v>
      </c>
      <c r="E6541" t="s">
        <v>42</v>
      </c>
      <c r="F6541" t="s">
        <v>83</v>
      </c>
      <c r="G6541">
        <v>29</v>
      </c>
      <c r="H6541" t="s">
        <v>43</v>
      </c>
      <c r="I6541" t="s">
        <v>3786</v>
      </c>
      <c r="J6541">
        <v>71</v>
      </c>
      <c r="K6541">
        <v>-30</v>
      </c>
      <c r="L6541">
        <v>98</v>
      </c>
      <c r="M6541">
        <v>635.40002441000001</v>
      </c>
      <c r="N6541" t="s">
        <v>87</v>
      </c>
      <c r="O6541" t="s">
        <v>86</v>
      </c>
      <c r="P6541">
        <v>131</v>
      </c>
      <c r="Q6541">
        <v>6</v>
      </c>
      <c r="R6541">
        <v>-26</v>
      </c>
      <c r="S6541">
        <v>1245</v>
      </c>
      <c r="T6541">
        <v>-40</v>
      </c>
      <c r="U6541">
        <v>41</v>
      </c>
      <c r="V6541">
        <v>-184</v>
      </c>
      <c r="W6541">
        <v>28</v>
      </c>
      <c r="X6541">
        <v>28</v>
      </c>
      <c r="Y6541">
        <v>1</v>
      </c>
      <c r="Z6541">
        <v>7</v>
      </c>
      <c r="AA6541">
        <v>25</v>
      </c>
      <c r="AB6541">
        <v>3</v>
      </c>
      <c r="AC6541">
        <v>2</v>
      </c>
      <c r="AD6541">
        <v>3.3039999</v>
      </c>
      <c r="AE6541">
        <v>1</v>
      </c>
      <c r="AF6541">
        <v>25</v>
      </c>
      <c r="AG6541">
        <v>3.2959999999999998</v>
      </c>
      <c r="AH6541">
        <v>2</v>
      </c>
      <c r="AI6541">
        <v>46</v>
      </c>
      <c r="AJ6541">
        <v>1</v>
      </c>
      <c r="AK6541">
        <v>26</v>
      </c>
      <c r="AL6541">
        <v>35</v>
      </c>
      <c r="AM6541" t="s">
        <v>43</v>
      </c>
      <c r="AN6541" t="str">
        <f>HYPERLINK("https://www.google.com/maps?q=10.76324558,79.68996429","Open Location")</f>
        <v>Open Location</v>
      </c>
    </row>
    <row r="6542" spans="1:40" x14ac:dyDescent="0.3">
      <c r="A6542" s="1">
        <v>46210.242129629631</v>
      </c>
      <c r="B6542" t="s">
        <v>40</v>
      </c>
      <c r="C6542" t="s">
        <v>41</v>
      </c>
      <c r="D6542" s="1">
        <v>46210.244895833333</v>
      </c>
      <c r="E6542" t="s">
        <v>42</v>
      </c>
      <c r="F6542" t="s">
        <v>83</v>
      </c>
      <c r="G6542">
        <v>38</v>
      </c>
      <c r="H6542">
        <v>33058</v>
      </c>
      <c r="I6542" t="s">
        <v>43</v>
      </c>
      <c r="J6542">
        <v>71</v>
      </c>
      <c r="K6542">
        <v>-36</v>
      </c>
      <c r="L6542">
        <v>98</v>
      </c>
      <c r="M6542">
        <v>636.5</v>
      </c>
      <c r="N6542" t="s">
        <v>87</v>
      </c>
      <c r="O6542" t="s">
        <v>86</v>
      </c>
      <c r="P6542">
        <v>131</v>
      </c>
      <c r="Q6542">
        <v>6</v>
      </c>
      <c r="R6542">
        <v>-34</v>
      </c>
      <c r="S6542">
        <v>871</v>
      </c>
      <c r="T6542">
        <v>-40</v>
      </c>
      <c r="U6542">
        <v>41</v>
      </c>
      <c r="V6542">
        <v>-300</v>
      </c>
      <c r="W6542" t="s">
        <v>43</v>
      </c>
      <c r="X6542" t="s">
        <v>43</v>
      </c>
      <c r="Y6542" t="s">
        <v>43</v>
      </c>
      <c r="Z6542" t="s">
        <v>43</v>
      </c>
      <c r="AA6542" t="s">
        <v>43</v>
      </c>
      <c r="AB6542" t="s">
        <v>43</v>
      </c>
      <c r="AC6542" t="s">
        <v>43</v>
      </c>
      <c r="AD6542" t="s">
        <v>43</v>
      </c>
      <c r="AE6542" t="s">
        <v>43</v>
      </c>
      <c r="AF6542" t="s">
        <v>43</v>
      </c>
      <c r="AG6542" t="s">
        <v>43</v>
      </c>
      <c r="AH6542" t="s">
        <v>43</v>
      </c>
      <c r="AI6542" t="s">
        <v>43</v>
      </c>
      <c r="AJ6542">
        <v>1</v>
      </c>
      <c r="AK6542">
        <v>26</v>
      </c>
      <c r="AL6542">
        <v>35</v>
      </c>
      <c r="AM6542" t="s">
        <v>43</v>
      </c>
      <c r="AN6542" t="s">
        <v>43</v>
      </c>
    </row>
    <row r="6543" spans="1:40" x14ac:dyDescent="0.3">
      <c r="A6543" s="1">
        <v>46210.242013888892</v>
      </c>
      <c r="B6543" t="s">
        <v>40</v>
      </c>
      <c r="C6543" t="s">
        <v>41</v>
      </c>
      <c r="D6543" s="1">
        <v>46210.245034722226</v>
      </c>
      <c r="E6543" t="s">
        <v>42</v>
      </c>
      <c r="F6543" t="s">
        <v>83</v>
      </c>
      <c r="G6543">
        <v>41</v>
      </c>
      <c r="H6543">
        <v>33058</v>
      </c>
      <c r="I6543" t="s">
        <v>3787</v>
      </c>
      <c r="J6543">
        <v>71</v>
      </c>
      <c r="K6543">
        <v>-35</v>
      </c>
      <c r="L6543">
        <v>98</v>
      </c>
      <c r="M6543">
        <v>635.40002441000001</v>
      </c>
      <c r="N6543" t="s">
        <v>87</v>
      </c>
      <c r="O6543" t="s">
        <v>86</v>
      </c>
      <c r="P6543">
        <v>131</v>
      </c>
      <c r="Q6543">
        <v>6</v>
      </c>
      <c r="R6543">
        <v>24</v>
      </c>
      <c r="S6543">
        <v>1129</v>
      </c>
      <c r="T6543">
        <v>-40</v>
      </c>
      <c r="U6543">
        <v>41</v>
      </c>
      <c r="V6543">
        <v>-300</v>
      </c>
      <c r="W6543">
        <v>28</v>
      </c>
      <c r="X6543">
        <v>28</v>
      </c>
      <c r="Y6543">
        <v>1</v>
      </c>
      <c r="Z6543">
        <v>7</v>
      </c>
      <c r="AA6543">
        <v>25</v>
      </c>
      <c r="AB6543">
        <v>3</v>
      </c>
      <c r="AC6543">
        <v>2</v>
      </c>
      <c r="AD6543">
        <v>3.2999999500000001</v>
      </c>
      <c r="AE6543">
        <v>1</v>
      </c>
      <c r="AF6543">
        <v>25</v>
      </c>
      <c r="AG6543">
        <v>3.2920000599999999</v>
      </c>
      <c r="AH6543">
        <v>2</v>
      </c>
      <c r="AI6543">
        <v>46</v>
      </c>
      <c r="AJ6543">
        <v>1</v>
      </c>
      <c r="AK6543">
        <v>26</v>
      </c>
      <c r="AL6543">
        <v>35</v>
      </c>
      <c r="AM6543" t="s">
        <v>43</v>
      </c>
      <c r="AN6543" t="str">
        <f>HYPERLINK("https://www.google.com/maps?q=10.76340485,79.68783569","Open Location")</f>
        <v>Open Location</v>
      </c>
    </row>
    <row r="6544" spans="1:40" x14ac:dyDescent="0.3">
      <c r="A6544" s="1">
        <v>46210.241898148146</v>
      </c>
      <c r="B6544" t="s">
        <v>40</v>
      </c>
      <c r="C6544" t="s">
        <v>41</v>
      </c>
      <c r="D6544" s="1">
        <v>46210.245057870372</v>
      </c>
      <c r="E6544" t="s">
        <v>42</v>
      </c>
      <c r="F6544" t="s">
        <v>83</v>
      </c>
      <c r="G6544">
        <v>42</v>
      </c>
      <c r="H6544">
        <v>33057</v>
      </c>
      <c r="I6544" t="s">
        <v>3788</v>
      </c>
      <c r="J6544">
        <v>71</v>
      </c>
      <c r="K6544">
        <v>47</v>
      </c>
      <c r="L6544">
        <v>98</v>
      </c>
      <c r="M6544">
        <v>631.20001220999995</v>
      </c>
      <c r="N6544" t="s">
        <v>87</v>
      </c>
      <c r="O6544" t="s">
        <v>86</v>
      </c>
      <c r="P6544">
        <v>131</v>
      </c>
      <c r="Q6544">
        <v>6</v>
      </c>
      <c r="R6544">
        <v>19</v>
      </c>
      <c r="S6544">
        <v>1155</v>
      </c>
      <c r="T6544">
        <v>-40</v>
      </c>
      <c r="U6544">
        <v>41</v>
      </c>
      <c r="V6544">
        <v>200</v>
      </c>
      <c r="W6544">
        <v>28</v>
      </c>
      <c r="X6544">
        <v>28</v>
      </c>
      <c r="Y6544">
        <v>1</v>
      </c>
      <c r="Z6544">
        <v>7</v>
      </c>
      <c r="AA6544">
        <v>25</v>
      </c>
      <c r="AB6544">
        <v>3</v>
      </c>
      <c r="AC6544">
        <v>2</v>
      </c>
      <c r="AD6544">
        <v>3.2980000999999999</v>
      </c>
      <c r="AE6544">
        <v>1</v>
      </c>
      <c r="AF6544">
        <v>25</v>
      </c>
      <c r="AG6544">
        <v>3.28900003</v>
      </c>
      <c r="AH6544">
        <v>7</v>
      </c>
      <c r="AI6544">
        <v>1</v>
      </c>
      <c r="AJ6544">
        <v>1</v>
      </c>
      <c r="AK6544">
        <v>26</v>
      </c>
      <c r="AL6544">
        <v>35</v>
      </c>
      <c r="AM6544" t="s">
        <v>43</v>
      </c>
      <c r="AN6544" t="str">
        <f>HYPERLINK("https://www.google.com/maps?q=10.76351357,79.68656921","Open Location")</f>
        <v>Open Location</v>
      </c>
    </row>
    <row r="6545" spans="1:40" x14ac:dyDescent="0.3">
      <c r="A6545" s="1">
        <v>46210.241782407407</v>
      </c>
      <c r="B6545" t="s">
        <v>40</v>
      </c>
      <c r="C6545" t="s">
        <v>41</v>
      </c>
      <c r="D6545" s="1">
        <v>46210.244606481479</v>
      </c>
      <c r="E6545" t="s">
        <v>42</v>
      </c>
      <c r="F6545" t="s">
        <v>83</v>
      </c>
      <c r="G6545">
        <v>40</v>
      </c>
      <c r="H6545">
        <v>33057</v>
      </c>
      <c r="I6545" t="s">
        <v>43</v>
      </c>
      <c r="J6545">
        <v>71</v>
      </c>
      <c r="K6545">
        <v>53</v>
      </c>
      <c r="L6545">
        <v>98</v>
      </c>
      <c r="M6545">
        <v>631.09997558999999</v>
      </c>
      <c r="N6545" t="s">
        <v>87</v>
      </c>
      <c r="O6545" t="s">
        <v>86</v>
      </c>
      <c r="P6545">
        <v>131</v>
      </c>
      <c r="Q6545">
        <v>6</v>
      </c>
      <c r="R6545">
        <v>33</v>
      </c>
      <c r="S6545">
        <v>1158</v>
      </c>
      <c r="T6545">
        <v>-40</v>
      </c>
      <c r="U6545">
        <v>41</v>
      </c>
      <c r="V6545">
        <v>220</v>
      </c>
      <c r="W6545">
        <v>28</v>
      </c>
      <c r="X6545">
        <v>28</v>
      </c>
      <c r="Y6545">
        <v>1</v>
      </c>
      <c r="Z6545">
        <v>7</v>
      </c>
      <c r="AA6545">
        <v>25</v>
      </c>
      <c r="AB6545">
        <v>3</v>
      </c>
      <c r="AC6545">
        <v>2</v>
      </c>
      <c r="AD6545">
        <v>3.2939999100000001</v>
      </c>
      <c r="AE6545">
        <v>5</v>
      </c>
      <c r="AF6545">
        <v>38</v>
      </c>
      <c r="AG6545">
        <v>3.28299999</v>
      </c>
      <c r="AH6545">
        <v>7</v>
      </c>
      <c r="AI6545">
        <v>1</v>
      </c>
      <c r="AJ6545">
        <v>1</v>
      </c>
      <c r="AK6545">
        <v>26</v>
      </c>
      <c r="AL6545">
        <v>35</v>
      </c>
      <c r="AM6545" t="s">
        <v>43</v>
      </c>
      <c r="AN6545" t="s">
        <v>43</v>
      </c>
    </row>
    <row r="6546" spans="1:40" x14ac:dyDescent="0.3">
      <c r="A6546" s="1">
        <v>46210.241666666669</v>
      </c>
      <c r="B6546" t="s">
        <v>40</v>
      </c>
      <c r="C6546" t="s">
        <v>41</v>
      </c>
      <c r="D6546" s="1">
        <v>46210.244618055556</v>
      </c>
      <c r="E6546" t="s">
        <v>42</v>
      </c>
      <c r="F6546" t="s">
        <v>83</v>
      </c>
      <c r="G6546">
        <v>37</v>
      </c>
      <c r="H6546">
        <v>33057</v>
      </c>
      <c r="I6546" t="s">
        <v>3789</v>
      </c>
      <c r="J6546">
        <v>71</v>
      </c>
      <c r="K6546">
        <v>54</v>
      </c>
      <c r="L6546">
        <v>98</v>
      </c>
      <c r="M6546">
        <v>630.90002441000001</v>
      </c>
      <c r="N6546" t="s">
        <v>87</v>
      </c>
      <c r="O6546" t="s">
        <v>86</v>
      </c>
      <c r="P6546">
        <v>130</v>
      </c>
      <c r="Q6546">
        <v>5</v>
      </c>
      <c r="R6546">
        <v>49</v>
      </c>
      <c r="S6546">
        <v>1090</v>
      </c>
      <c r="T6546">
        <v>-40</v>
      </c>
      <c r="U6546">
        <v>42</v>
      </c>
      <c r="V6546">
        <v>240</v>
      </c>
      <c r="W6546">
        <v>28</v>
      </c>
      <c r="X6546">
        <v>28</v>
      </c>
      <c r="Y6546">
        <v>1</v>
      </c>
      <c r="Z6546">
        <v>7</v>
      </c>
      <c r="AA6546">
        <v>25</v>
      </c>
      <c r="AB6546">
        <v>3</v>
      </c>
      <c r="AC6546">
        <v>2</v>
      </c>
      <c r="AD6546">
        <v>3.3029999700000001</v>
      </c>
      <c r="AE6546">
        <v>1</v>
      </c>
      <c r="AF6546">
        <v>25</v>
      </c>
      <c r="AG6546">
        <v>3.2959999999999998</v>
      </c>
      <c r="AH6546">
        <v>4</v>
      </c>
      <c r="AI6546">
        <v>17</v>
      </c>
      <c r="AJ6546">
        <v>1</v>
      </c>
      <c r="AK6546">
        <v>26</v>
      </c>
      <c r="AL6546">
        <v>35</v>
      </c>
      <c r="AM6546" t="s">
        <v>43</v>
      </c>
      <c r="AN6546" t="str">
        <f>HYPERLINK("https://www.google.com/maps?q=10.76359177,79.68531799","Open Location")</f>
        <v>Open Location</v>
      </c>
    </row>
    <row r="6547" spans="1:40" x14ac:dyDescent="0.3">
      <c r="A6547" s="1">
        <v>46210.241550925923</v>
      </c>
      <c r="B6547" t="s">
        <v>40</v>
      </c>
      <c r="C6547" t="s">
        <v>41</v>
      </c>
      <c r="D6547" s="1">
        <v>46210.244212962964</v>
      </c>
      <c r="E6547" t="s">
        <v>42</v>
      </c>
      <c r="F6547" t="s">
        <v>83</v>
      </c>
      <c r="G6547">
        <v>29</v>
      </c>
      <c r="H6547">
        <v>33057</v>
      </c>
      <c r="I6547" t="s">
        <v>3790</v>
      </c>
      <c r="J6547">
        <v>71</v>
      </c>
      <c r="K6547">
        <v>114</v>
      </c>
      <c r="L6547">
        <v>98</v>
      </c>
      <c r="M6547">
        <v>629</v>
      </c>
      <c r="N6547" t="s">
        <v>87</v>
      </c>
      <c r="O6547" t="s">
        <v>86</v>
      </c>
      <c r="P6547">
        <v>130</v>
      </c>
      <c r="Q6547">
        <v>5</v>
      </c>
      <c r="R6547">
        <v>52</v>
      </c>
      <c r="S6547">
        <v>1616</v>
      </c>
      <c r="T6547">
        <v>-40</v>
      </c>
      <c r="U6547">
        <v>42</v>
      </c>
      <c r="V6547">
        <v>400</v>
      </c>
      <c r="W6547">
        <v>28</v>
      </c>
      <c r="X6547">
        <v>28</v>
      </c>
      <c r="Y6547">
        <v>1</v>
      </c>
      <c r="Z6547">
        <v>7</v>
      </c>
      <c r="AA6547">
        <v>25</v>
      </c>
      <c r="AB6547">
        <v>3</v>
      </c>
      <c r="AC6547">
        <v>2</v>
      </c>
      <c r="AD6547">
        <v>3.2939999100000001</v>
      </c>
      <c r="AE6547">
        <v>5</v>
      </c>
      <c r="AF6547">
        <v>38</v>
      </c>
      <c r="AG6547">
        <v>3.2820000600000001</v>
      </c>
      <c r="AH6547">
        <v>8</v>
      </c>
      <c r="AI6547">
        <v>35</v>
      </c>
      <c r="AJ6547">
        <v>1</v>
      </c>
      <c r="AK6547">
        <v>26</v>
      </c>
      <c r="AL6547">
        <v>35</v>
      </c>
      <c r="AM6547" t="s">
        <v>43</v>
      </c>
      <c r="AN6547" t="str">
        <f>HYPERLINK("https://www.google.com/maps?q=10.76350021,79.68410492","Open Location")</f>
        <v>Open Location</v>
      </c>
    </row>
    <row r="6548" spans="1:40" x14ac:dyDescent="0.3">
      <c r="A6548" s="1">
        <v>46210.241435185184</v>
      </c>
      <c r="B6548" t="s">
        <v>40</v>
      </c>
      <c r="C6548" t="s">
        <v>41</v>
      </c>
      <c r="D6548" s="1">
        <v>46210.244212962964</v>
      </c>
      <c r="E6548" t="s">
        <v>42</v>
      </c>
      <c r="F6548" t="s">
        <v>83</v>
      </c>
      <c r="G6548">
        <v>15</v>
      </c>
      <c r="H6548">
        <v>33057</v>
      </c>
      <c r="I6548" t="s">
        <v>3791</v>
      </c>
      <c r="J6548">
        <v>71</v>
      </c>
      <c r="K6548">
        <v>129</v>
      </c>
      <c r="L6548">
        <v>98</v>
      </c>
      <c r="M6548">
        <v>629.29998779000005</v>
      </c>
      <c r="N6548" t="s">
        <v>87</v>
      </c>
      <c r="O6548" t="s">
        <v>86</v>
      </c>
      <c r="P6548">
        <v>128</v>
      </c>
      <c r="Q6548">
        <v>4</v>
      </c>
      <c r="R6548">
        <v>0</v>
      </c>
      <c r="S6548">
        <v>1214</v>
      </c>
      <c r="T6548">
        <v>-40</v>
      </c>
      <c r="U6548">
        <v>41</v>
      </c>
      <c r="V6548">
        <v>560</v>
      </c>
      <c r="W6548">
        <v>28</v>
      </c>
      <c r="X6548">
        <v>28</v>
      </c>
      <c r="Y6548">
        <v>5</v>
      </c>
      <c r="Z6548">
        <v>1</v>
      </c>
      <c r="AA6548">
        <v>25</v>
      </c>
      <c r="AB6548">
        <v>3</v>
      </c>
      <c r="AC6548">
        <v>2</v>
      </c>
      <c r="AD6548">
        <v>3.2809998999999999</v>
      </c>
      <c r="AE6548">
        <v>5</v>
      </c>
      <c r="AF6548">
        <v>38</v>
      </c>
      <c r="AG6548">
        <v>3.2630000099999998</v>
      </c>
      <c r="AH6548">
        <v>8</v>
      </c>
      <c r="AI6548">
        <v>35</v>
      </c>
      <c r="AJ6548">
        <v>1</v>
      </c>
      <c r="AK6548">
        <v>27</v>
      </c>
      <c r="AL6548">
        <v>35</v>
      </c>
      <c r="AM6548" t="s">
        <v>43</v>
      </c>
      <c r="AN6548" t="str">
        <f>HYPERLINK("https://www.google.com/maps?q=10.76373959,79.68328094","Open Location")</f>
        <v>Open Location</v>
      </c>
    </row>
    <row r="6549" spans="1:40" x14ac:dyDescent="0.3">
      <c r="A6549" s="1">
        <v>46210.241319444445</v>
      </c>
      <c r="B6549" t="s">
        <v>40</v>
      </c>
      <c r="C6549" t="s">
        <v>41</v>
      </c>
      <c r="D6549" s="1">
        <v>46210.243969907409</v>
      </c>
      <c r="E6549" t="s">
        <v>42</v>
      </c>
      <c r="F6549" t="s">
        <v>83</v>
      </c>
      <c r="G6549">
        <v>35</v>
      </c>
      <c r="H6549" t="s">
        <v>43</v>
      </c>
      <c r="I6549" t="s">
        <v>3792</v>
      </c>
      <c r="J6549">
        <v>71</v>
      </c>
      <c r="K6549">
        <v>-5</v>
      </c>
      <c r="L6549">
        <v>98</v>
      </c>
      <c r="M6549">
        <v>634.09997558999999</v>
      </c>
      <c r="N6549" t="s">
        <v>87</v>
      </c>
      <c r="O6549" t="s">
        <v>86</v>
      </c>
      <c r="P6549">
        <v>131</v>
      </c>
      <c r="Q6549">
        <v>6</v>
      </c>
      <c r="R6549">
        <v>-95</v>
      </c>
      <c r="S6549">
        <v>1673</v>
      </c>
      <c r="T6549">
        <v>-40</v>
      </c>
      <c r="U6549">
        <v>41</v>
      </c>
      <c r="V6549">
        <v>-28</v>
      </c>
      <c r="W6549">
        <v>28</v>
      </c>
      <c r="X6549">
        <v>28</v>
      </c>
      <c r="Y6549">
        <v>5</v>
      </c>
      <c r="Z6549">
        <v>1</v>
      </c>
      <c r="AA6549">
        <v>25</v>
      </c>
      <c r="AB6549">
        <v>3</v>
      </c>
      <c r="AC6549">
        <v>2</v>
      </c>
      <c r="AD6549">
        <v>3.31299996</v>
      </c>
      <c r="AE6549">
        <v>1</v>
      </c>
      <c r="AF6549">
        <v>16</v>
      </c>
      <c r="AG6549">
        <v>3.3080000900000002</v>
      </c>
      <c r="AH6549">
        <v>2</v>
      </c>
      <c r="AI6549">
        <v>3</v>
      </c>
      <c r="AJ6549">
        <v>1</v>
      </c>
      <c r="AK6549">
        <v>27</v>
      </c>
      <c r="AL6549">
        <v>35</v>
      </c>
      <c r="AM6549" t="s">
        <v>43</v>
      </c>
      <c r="AN6549" t="str">
        <f>HYPERLINK("https://www.google.com/maps?q=10.76389027,79.68283081","Open Location")</f>
        <v>Open Location</v>
      </c>
    </row>
    <row r="6550" spans="1:40" x14ac:dyDescent="0.3">
      <c r="A6550" s="1">
        <v>46210.241203703707</v>
      </c>
      <c r="B6550" t="s">
        <v>40</v>
      </c>
      <c r="C6550" t="s">
        <v>41</v>
      </c>
      <c r="D6550" s="1">
        <v>46210.243969907409</v>
      </c>
      <c r="E6550" t="s">
        <v>42</v>
      </c>
      <c r="F6550" t="s">
        <v>83</v>
      </c>
      <c r="G6550">
        <v>42</v>
      </c>
      <c r="H6550">
        <v>33057</v>
      </c>
      <c r="I6550" t="s">
        <v>3793</v>
      </c>
      <c r="J6550">
        <v>71</v>
      </c>
      <c r="K6550">
        <v>-26</v>
      </c>
      <c r="L6550">
        <v>98</v>
      </c>
      <c r="M6550">
        <v>636.40002441000001</v>
      </c>
      <c r="N6550" t="s">
        <v>87</v>
      </c>
      <c r="O6550" t="s">
        <v>86</v>
      </c>
      <c r="P6550">
        <v>131</v>
      </c>
      <c r="Q6550">
        <v>6</v>
      </c>
      <c r="R6550">
        <v>21</v>
      </c>
      <c r="S6550">
        <v>1159</v>
      </c>
      <c r="T6550">
        <v>-40</v>
      </c>
      <c r="U6550">
        <v>40</v>
      </c>
      <c r="V6550">
        <v>-300</v>
      </c>
      <c r="W6550" t="s">
        <v>43</v>
      </c>
      <c r="X6550" t="s">
        <v>43</v>
      </c>
      <c r="Y6550" t="s">
        <v>43</v>
      </c>
      <c r="Z6550" t="s">
        <v>43</v>
      </c>
      <c r="AA6550" t="s">
        <v>43</v>
      </c>
      <c r="AB6550" t="s">
        <v>43</v>
      </c>
      <c r="AC6550" t="s">
        <v>43</v>
      </c>
      <c r="AD6550" t="s">
        <v>43</v>
      </c>
      <c r="AE6550" t="s">
        <v>43</v>
      </c>
      <c r="AF6550" t="s">
        <v>43</v>
      </c>
      <c r="AG6550" t="s">
        <v>43</v>
      </c>
      <c r="AH6550" t="s">
        <v>43</v>
      </c>
      <c r="AI6550" t="s">
        <v>43</v>
      </c>
      <c r="AJ6550">
        <v>1</v>
      </c>
      <c r="AK6550">
        <v>26</v>
      </c>
      <c r="AL6550">
        <v>35</v>
      </c>
      <c r="AM6550" t="s">
        <v>43</v>
      </c>
      <c r="AN6550" t="str">
        <f>HYPERLINK("https://www.google.com/maps?q=10.76425743,79.68161774","Open Location")</f>
        <v>Open Location</v>
      </c>
    </row>
    <row r="6551" spans="1:40" x14ac:dyDescent="0.3">
      <c r="A6551" s="1">
        <v>46210.241087962961</v>
      </c>
      <c r="B6551" t="s">
        <v>40</v>
      </c>
      <c r="C6551" t="s">
        <v>41</v>
      </c>
      <c r="D6551" s="1">
        <v>46210.243784722225</v>
      </c>
      <c r="E6551" t="s">
        <v>42</v>
      </c>
      <c r="F6551" t="s">
        <v>83</v>
      </c>
      <c r="G6551">
        <v>44</v>
      </c>
      <c r="H6551">
        <v>33057</v>
      </c>
      <c r="I6551" t="s">
        <v>43</v>
      </c>
      <c r="J6551">
        <v>71</v>
      </c>
      <c r="K6551">
        <v>28</v>
      </c>
      <c r="L6551">
        <v>98</v>
      </c>
      <c r="M6551">
        <v>632.70001220999995</v>
      </c>
      <c r="N6551" t="s">
        <v>87</v>
      </c>
      <c r="O6551" t="s">
        <v>86</v>
      </c>
      <c r="P6551">
        <v>131</v>
      </c>
      <c r="Q6551">
        <v>6</v>
      </c>
      <c r="R6551">
        <v>37</v>
      </c>
      <c r="S6551">
        <v>1167</v>
      </c>
      <c r="T6551">
        <v>-40</v>
      </c>
      <c r="U6551">
        <v>41</v>
      </c>
      <c r="V6551">
        <v>149</v>
      </c>
      <c r="W6551">
        <v>28</v>
      </c>
      <c r="X6551">
        <v>28</v>
      </c>
      <c r="Y6551">
        <v>1</v>
      </c>
      <c r="Z6551">
        <v>7</v>
      </c>
      <c r="AA6551">
        <v>25</v>
      </c>
      <c r="AB6551">
        <v>3</v>
      </c>
      <c r="AC6551">
        <v>2</v>
      </c>
      <c r="AD6551">
        <v>3.3020000500000002</v>
      </c>
      <c r="AE6551">
        <v>1</v>
      </c>
      <c r="AF6551">
        <v>16</v>
      </c>
      <c r="AG6551">
        <v>3.2939999100000001</v>
      </c>
      <c r="AH6551">
        <v>8</v>
      </c>
      <c r="AI6551">
        <v>35</v>
      </c>
      <c r="AJ6551">
        <v>1</v>
      </c>
      <c r="AK6551">
        <v>26</v>
      </c>
      <c r="AL6551">
        <v>35</v>
      </c>
      <c r="AM6551" t="s">
        <v>43</v>
      </c>
      <c r="AN6551" t="s">
        <v>43</v>
      </c>
    </row>
    <row r="6552" spans="1:40" x14ac:dyDescent="0.3">
      <c r="A6552" s="1">
        <v>46210.240972222222</v>
      </c>
      <c r="B6552" t="s">
        <v>40</v>
      </c>
      <c r="C6552" t="s">
        <v>41</v>
      </c>
      <c r="D6552" s="1">
        <v>46210.244027777779</v>
      </c>
      <c r="E6552" t="s">
        <v>42</v>
      </c>
      <c r="F6552" t="s">
        <v>83</v>
      </c>
      <c r="G6552">
        <v>45</v>
      </c>
      <c r="H6552">
        <v>33057</v>
      </c>
      <c r="I6552" t="s">
        <v>3794</v>
      </c>
      <c r="J6552">
        <v>71</v>
      </c>
      <c r="K6552">
        <v>86</v>
      </c>
      <c r="L6552">
        <v>98</v>
      </c>
      <c r="M6552">
        <v>630.59997558999999</v>
      </c>
      <c r="N6552" t="s">
        <v>87</v>
      </c>
      <c r="O6552" t="s">
        <v>86</v>
      </c>
      <c r="P6552">
        <v>131</v>
      </c>
      <c r="Q6552">
        <v>6</v>
      </c>
      <c r="R6552">
        <v>-40</v>
      </c>
      <c r="S6552">
        <v>1246</v>
      </c>
      <c r="T6552">
        <v>-40</v>
      </c>
      <c r="U6552">
        <v>41</v>
      </c>
      <c r="V6552">
        <v>380</v>
      </c>
      <c r="W6552">
        <v>28</v>
      </c>
      <c r="X6552">
        <v>28</v>
      </c>
      <c r="Y6552">
        <v>1</v>
      </c>
      <c r="Z6552">
        <v>7</v>
      </c>
      <c r="AA6552">
        <v>25</v>
      </c>
      <c r="AB6552">
        <v>3</v>
      </c>
      <c r="AC6552">
        <v>2</v>
      </c>
      <c r="AD6552">
        <v>3.2929999799999998</v>
      </c>
      <c r="AE6552">
        <v>5</v>
      </c>
      <c r="AF6552">
        <v>38</v>
      </c>
      <c r="AG6552">
        <v>3.2809998999999999</v>
      </c>
      <c r="AH6552">
        <v>8</v>
      </c>
      <c r="AI6552">
        <v>35</v>
      </c>
      <c r="AJ6552">
        <v>1</v>
      </c>
      <c r="AK6552">
        <v>26</v>
      </c>
      <c r="AL6552">
        <v>35</v>
      </c>
      <c r="AM6552" t="s">
        <v>43</v>
      </c>
      <c r="AN6552" t="str">
        <f>HYPERLINK("https://www.google.com/maps?q=10.76457024,79.68029785","Open Location")</f>
        <v>Open Location</v>
      </c>
    </row>
    <row r="6553" spans="1:40" x14ac:dyDescent="0.3">
      <c r="A6553" s="1">
        <v>46210.240856481483</v>
      </c>
      <c r="B6553" t="s">
        <v>40</v>
      </c>
      <c r="C6553" t="s">
        <v>41</v>
      </c>
      <c r="D6553" s="1">
        <v>46210.243668981479</v>
      </c>
      <c r="E6553" t="s">
        <v>42</v>
      </c>
      <c r="F6553" t="s">
        <v>83</v>
      </c>
      <c r="G6553">
        <v>46</v>
      </c>
      <c r="H6553">
        <v>33057</v>
      </c>
      <c r="I6553" t="s">
        <v>3795</v>
      </c>
      <c r="J6553">
        <v>71</v>
      </c>
      <c r="K6553">
        <v>-50</v>
      </c>
      <c r="L6553">
        <v>98</v>
      </c>
      <c r="M6553">
        <v>636.20001220999995</v>
      </c>
      <c r="N6553" t="s">
        <v>87</v>
      </c>
      <c r="O6553" t="s">
        <v>86</v>
      </c>
      <c r="P6553">
        <v>131</v>
      </c>
      <c r="Q6553">
        <v>6</v>
      </c>
      <c r="R6553">
        <v>56</v>
      </c>
      <c r="S6553">
        <v>1301</v>
      </c>
      <c r="T6553">
        <v>-40</v>
      </c>
      <c r="U6553">
        <v>42</v>
      </c>
      <c r="V6553">
        <v>-300</v>
      </c>
      <c r="W6553">
        <v>28</v>
      </c>
      <c r="X6553">
        <v>28</v>
      </c>
      <c r="Y6553">
        <v>1</v>
      </c>
      <c r="Z6553">
        <v>7</v>
      </c>
      <c r="AA6553">
        <v>25</v>
      </c>
      <c r="AB6553">
        <v>3</v>
      </c>
      <c r="AC6553">
        <v>2</v>
      </c>
      <c r="AD6553">
        <v>3.2939999100000001</v>
      </c>
      <c r="AE6553">
        <v>5</v>
      </c>
      <c r="AF6553">
        <v>38</v>
      </c>
      <c r="AG6553">
        <v>3.28299999</v>
      </c>
      <c r="AH6553">
        <v>7</v>
      </c>
      <c r="AI6553">
        <v>1</v>
      </c>
      <c r="AJ6553">
        <v>1</v>
      </c>
      <c r="AK6553">
        <v>26</v>
      </c>
      <c r="AL6553">
        <v>35</v>
      </c>
      <c r="AM6553" t="s">
        <v>43</v>
      </c>
      <c r="AN6553" t="str">
        <f>HYPERLINK("https://www.google.com/maps?q=10.76492023,79.67894745","Open Location")</f>
        <v>Open Location</v>
      </c>
    </row>
    <row r="6554" spans="1:40" x14ac:dyDescent="0.3">
      <c r="A6554" s="1">
        <v>46210.240740740737</v>
      </c>
      <c r="B6554" t="s">
        <v>40</v>
      </c>
      <c r="C6554" t="s">
        <v>41</v>
      </c>
      <c r="D6554" s="1">
        <v>46210.243807870371</v>
      </c>
      <c r="E6554" t="s">
        <v>42</v>
      </c>
      <c r="F6554" t="s">
        <v>83</v>
      </c>
      <c r="G6554">
        <v>44</v>
      </c>
      <c r="H6554">
        <v>33056</v>
      </c>
      <c r="I6554" t="s">
        <v>3796</v>
      </c>
      <c r="J6554">
        <v>72</v>
      </c>
      <c r="K6554">
        <v>73</v>
      </c>
      <c r="L6554">
        <v>98</v>
      </c>
      <c r="M6554">
        <v>630.90002441000001</v>
      </c>
      <c r="N6554" t="s">
        <v>87</v>
      </c>
      <c r="O6554" t="s">
        <v>86</v>
      </c>
      <c r="P6554">
        <v>131</v>
      </c>
      <c r="Q6554">
        <v>6</v>
      </c>
      <c r="R6554">
        <v>28</v>
      </c>
      <c r="S6554">
        <v>1269</v>
      </c>
      <c r="T6554">
        <v>-40</v>
      </c>
      <c r="U6554">
        <v>42</v>
      </c>
      <c r="V6554">
        <v>340</v>
      </c>
      <c r="W6554">
        <v>28</v>
      </c>
      <c r="X6554">
        <v>28</v>
      </c>
      <c r="Y6554">
        <v>1</v>
      </c>
      <c r="Z6554">
        <v>7</v>
      </c>
      <c r="AA6554">
        <v>25</v>
      </c>
      <c r="AB6554">
        <v>3</v>
      </c>
      <c r="AC6554">
        <v>2</v>
      </c>
      <c r="AD6554">
        <v>3.2929999799999998</v>
      </c>
      <c r="AE6554">
        <v>5</v>
      </c>
      <c r="AF6554">
        <v>38</v>
      </c>
      <c r="AG6554">
        <v>3.2809998999999999</v>
      </c>
      <c r="AH6554">
        <v>6</v>
      </c>
      <c r="AI6554">
        <v>24</v>
      </c>
      <c r="AJ6554">
        <v>1</v>
      </c>
      <c r="AK6554">
        <v>26</v>
      </c>
      <c r="AL6554">
        <v>35</v>
      </c>
      <c r="AM6554" t="s">
        <v>43</v>
      </c>
      <c r="AN6554" t="str">
        <f>HYPERLINK("https://www.google.com/maps?q=10.76514339,79.67753601","Open Location")</f>
        <v>Open Location</v>
      </c>
    </row>
    <row r="6555" spans="1:40" x14ac:dyDescent="0.3">
      <c r="A6555" s="1">
        <v>46210.240624999999</v>
      </c>
      <c r="B6555" t="s">
        <v>40</v>
      </c>
      <c r="C6555" t="s">
        <v>41</v>
      </c>
      <c r="D6555" s="1">
        <v>46210.243483796294</v>
      </c>
      <c r="E6555" t="s">
        <v>42</v>
      </c>
      <c r="F6555" t="s">
        <v>83</v>
      </c>
      <c r="G6555">
        <v>39</v>
      </c>
      <c r="H6555">
        <v>33056</v>
      </c>
      <c r="I6555" t="s">
        <v>3797</v>
      </c>
      <c r="J6555">
        <v>72</v>
      </c>
      <c r="K6555">
        <v>83</v>
      </c>
      <c r="L6555">
        <v>98</v>
      </c>
      <c r="M6555">
        <v>630.20001220999995</v>
      </c>
      <c r="N6555" t="s">
        <v>87</v>
      </c>
      <c r="O6555" t="s">
        <v>86</v>
      </c>
      <c r="P6555">
        <v>131</v>
      </c>
      <c r="Q6555">
        <v>6</v>
      </c>
      <c r="R6555">
        <v>57</v>
      </c>
      <c r="S6555">
        <v>1207</v>
      </c>
      <c r="T6555">
        <v>-40</v>
      </c>
      <c r="U6555">
        <v>43</v>
      </c>
      <c r="V6555">
        <v>360</v>
      </c>
      <c r="W6555">
        <v>28</v>
      </c>
      <c r="X6555">
        <v>28</v>
      </c>
      <c r="Y6555">
        <v>1</v>
      </c>
      <c r="Z6555">
        <v>7</v>
      </c>
      <c r="AA6555">
        <v>25</v>
      </c>
      <c r="AB6555">
        <v>3</v>
      </c>
      <c r="AC6555">
        <v>2</v>
      </c>
      <c r="AD6555">
        <v>3.2920000599999999</v>
      </c>
      <c r="AE6555">
        <v>5</v>
      </c>
      <c r="AF6555">
        <v>38</v>
      </c>
      <c r="AG6555">
        <v>3.27999997</v>
      </c>
      <c r="AH6555">
        <v>4</v>
      </c>
      <c r="AI6555">
        <v>24</v>
      </c>
      <c r="AJ6555">
        <v>1</v>
      </c>
      <c r="AK6555">
        <v>26</v>
      </c>
      <c r="AL6555">
        <v>35</v>
      </c>
      <c r="AM6555" t="s">
        <v>43</v>
      </c>
      <c r="AN6555" t="str">
        <f>HYPERLINK("https://www.google.com/maps?q=10.76521969,79.67622375","Open Location")</f>
        <v>Open Location</v>
      </c>
    </row>
    <row r="6556" spans="1:40" x14ac:dyDescent="0.3">
      <c r="A6556" s="1">
        <v>46210.24050925926</v>
      </c>
      <c r="B6556" t="s">
        <v>40</v>
      </c>
      <c r="C6556" t="s">
        <v>41</v>
      </c>
      <c r="D6556" s="1">
        <v>46210.243668981479</v>
      </c>
      <c r="E6556" t="s">
        <v>42</v>
      </c>
      <c r="F6556" t="s">
        <v>83</v>
      </c>
      <c r="G6556">
        <v>40</v>
      </c>
      <c r="H6556">
        <v>33056</v>
      </c>
      <c r="I6556" t="s">
        <v>3798</v>
      </c>
      <c r="J6556">
        <v>72</v>
      </c>
      <c r="K6556">
        <v>112</v>
      </c>
      <c r="L6556">
        <v>98</v>
      </c>
      <c r="M6556">
        <v>630.20001220999995</v>
      </c>
      <c r="N6556" t="s">
        <v>87</v>
      </c>
      <c r="O6556" t="s">
        <v>86</v>
      </c>
      <c r="P6556">
        <v>131</v>
      </c>
      <c r="Q6556">
        <v>6</v>
      </c>
      <c r="R6556">
        <v>-35</v>
      </c>
      <c r="S6556">
        <v>1041</v>
      </c>
      <c r="T6556">
        <v>-40</v>
      </c>
      <c r="U6556">
        <v>41</v>
      </c>
      <c r="V6556">
        <v>600</v>
      </c>
      <c r="W6556">
        <v>28</v>
      </c>
      <c r="X6556">
        <v>28</v>
      </c>
      <c r="Y6556">
        <v>1</v>
      </c>
      <c r="Z6556">
        <v>7</v>
      </c>
      <c r="AA6556">
        <v>25</v>
      </c>
      <c r="AB6556">
        <v>3</v>
      </c>
      <c r="AC6556">
        <v>2</v>
      </c>
      <c r="AD6556">
        <v>3.30999994</v>
      </c>
      <c r="AE6556">
        <v>1</v>
      </c>
      <c r="AF6556">
        <v>16</v>
      </c>
      <c r="AG6556">
        <v>3.3039999</v>
      </c>
      <c r="AH6556">
        <v>3</v>
      </c>
      <c r="AI6556">
        <v>7</v>
      </c>
      <c r="AJ6556">
        <v>1</v>
      </c>
      <c r="AK6556">
        <v>26</v>
      </c>
      <c r="AL6556">
        <v>35</v>
      </c>
      <c r="AM6556" t="s">
        <v>43</v>
      </c>
      <c r="AN6556" t="str">
        <f>HYPERLINK("https://www.google.com/maps?q=10.76520634,79.67497253","Open Location")</f>
        <v>Open Location</v>
      </c>
    </row>
    <row r="6557" spans="1:40" x14ac:dyDescent="0.3">
      <c r="A6557" s="1">
        <v>46210.240393518521</v>
      </c>
      <c r="B6557" t="s">
        <v>40</v>
      </c>
      <c r="C6557" t="s">
        <v>41</v>
      </c>
      <c r="D6557" s="1">
        <v>46210.24318287037</v>
      </c>
      <c r="E6557" t="s">
        <v>42</v>
      </c>
      <c r="F6557" t="s">
        <v>83</v>
      </c>
      <c r="G6557">
        <v>46</v>
      </c>
      <c r="H6557">
        <v>33056</v>
      </c>
      <c r="I6557" t="s">
        <v>43</v>
      </c>
      <c r="J6557">
        <v>72</v>
      </c>
      <c r="K6557">
        <v>-49</v>
      </c>
      <c r="L6557">
        <v>98</v>
      </c>
      <c r="M6557">
        <v>636.20001220999995</v>
      </c>
      <c r="N6557" t="s">
        <v>87</v>
      </c>
      <c r="O6557" t="s">
        <v>86</v>
      </c>
      <c r="P6557">
        <v>131</v>
      </c>
      <c r="Q6557">
        <v>6</v>
      </c>
      <c r="R6557">
        <v>27</v>
      </c>
      <c r="S6557">
        <v>1181</v>
      </c>
      <c r="T6557">
        <v>-40</v>
      </c>
      <c r="U6557">
        <v>41</v>
      </c>
      <c r="V6557">
        <v>-300</v>
      </c>
      <c r="W6557">
        <v>28</v>
      </c>
      <c r="X6557">
        <v>28</v>
      </c>
      <c r="Y6557">
        <v>1</v>
      </c>
      <c r="Z6557">
        <v>7</v>
      </c>
      <c r="AA6557">
        <v>25</v>
      </c>
      <c r="AB6557">
        <v>3</v>
      </c>
      <c r="AC6557">
        <v>2</v>
      </c>
      <c r="AD6557">
        <v>3.2980000999999999</v>
      </c>
      <c r="AE6557">
        <v>1</v>
      </c>
      <c r="AF6557">
        <v>25</v>
      </c>
      <c r="AG6557">
        <v>3.28900003</v>
      </c>
      <c r="AH6557">
        <v>4</v>
      </c>
      <c r="AI6557">
        <v>17</v>
      </c>
      <c r="AJ6557">
        <v>1</v>
      </c>
      <c r="AK6557">
        <v>26</v>
      </c>
      <c r="AL6557">
        <v>35</v>
      </c>
      <c r="AM6557" t="s">
        <v>43</v>
      </c>
      <c r="AN6557" t="s">
        <v>43</v>
      </c>
    </row>
    <row r="6558" spans="1:40" x14ac:dyDescent="0.3">
      <c r="A6558" s="1">
        <v>46210.240277777775</v>
      </c>
      <c r="B6558" t="s">
        <v>40</v>
      </c>
      <c r="C6558" t="s">
        <v>41</v>
      </c>
      <c r="D6558" s="1">
        <v>46210.243101851855</v>
      </c>
      <c r="E6558" t="s">
        <v>42</v>
      </c>
      <c r="F6558" t="s">
        <v>83</v>
      </c>
      <c r="G6558">
        <v>47</v>
      </c>
      <c r="H6558">
        <v>33056</v>
      </c>
      <c r="I6558" t="s">
        <v>43</v>
      </c>
      <c r="J6558">
        <v>72</v>
      </c>
      <c r="K6558">
        <v>54</v>
      </c>
      <c r="L6558">
        <v>98</v>
      </c>
      <c r="M6558">
        <v>631.5</v>
      </c>
      <c r="N6558" t="s">
        <v>87</v>
      </c>
      <c r="O6558" t="s">
        <v>86</v>
      </c>
      <c r="P6558">
        <v>131</v>
      </c>
      <c r="Q6558">
        <v>6</v>
      </c>
      <c r="R6558">
        <v>40</v>
      </c>
      <c r="S6558">
        <v>1290</v>
      </c>
      <c r="T6558">
        <v>-40</v>
      </c>
      <c r="U6558">
        <v>41</v>
      </c>
      <c r="V6558">
        <v>200</v>
      </c>
      <c r="W6558" t="s">
        <v>43</v>
      </c>
      <c r="X6558" t="s">
        <v>43</v>
      </c>
      <c r="Y6558" t="s">
        <v>43</v>
      </c>
      <c r="Z6558" t="s">
        <v>43</v>
      </c>
      <c r="AA6558" t="s">
        <v>43</v>
      </c>
      <c r="AB6558" t="s">
        <v>43</v>
      </c>
      <c r="AC6558" t="s">
        <v>43</v>
      </c>
      <c r="AD6558" t="s">
        <v>43</v>
      </c>
      <c r="AE6558" t="s">
        <v>43</v>
      </c>
      <c r="AF6558" t="s">
        <v>43</v>
      </c>
      <c r="AG6558" t="s">
        <v>43</v>
      </c>
      <c r="AH6558" t="s">
        <v>43</v>
      </c>
      <c r="AI6558" t="s">
        <v>43</v>
      </c>
      <c r="AJ6558">
        <v>1</v>
      </c>
      <c r="AK6558">
        <v>26</v>
      </c>
      <c r="AL6558">
        <v>35</v>
      </c>
      <c r="AM6558" t="s">
        <v>43</v>
      </c>
      <c r="AN6558" t="s">
        <v>43</v>
      </c>
    </row>
    <row r="6559" spans="1:40" x14ac:dyDescent="0.3">
      <c r="A6559" s="1">
        <v>46210.240162037036</v>
      </c>
      <c r="B6559" t="s">
        <v>40</v>
      </c>
      <c r="C6559" t="s">
        <v>41</v>
      </c>
      <c r="D6559" s="1">
        <v>46210.242812500001</v>
      </c>
      <c r="E6559" t="s">
        <v>42</v>
      </c>
      <c r="F6559" t="s">
        <v>83</v>
      </c>
      <c r="G6559">
        <v>47</v>
      </c>
      <c r="H6559">
        <v>33056</v>
      </c>
      <c r="I6559" t="s">
        <v>3799</v>
      </c>
      <c r="J6559">
        <v>72</v>
      </c>
      <c r="K6559">
        <v>128</v>
      </c>
      <c r="L6559">
        <v>98</v>
      </c>
      <c r="M6559">
        <v>628.70001220999995</v>
      </c>
      <c r="N6559" t="s">
        <v>87</v>
      </c>
      <c r="O6559" t="s">
        <v>86</v>
      </c>
      <c r="P6559">
        <v>131</v>
      </c>
      <c r="Q6559">
        <v>6</v>
      </c>
      <c r="R6559">
        <v>36</v>
      </c>
      <c r="S6559">
        <v>1307</v>
      </c>
      <c r="T6559">
        <v>-40</v>
      </c>
      <c r="U6559">
        <v>41</v>
      </c>
      <c r="V6559">
        <v>540</v>
      </c>
      <c r="W6559">
        <v>28</v>
      </c>
      <c r="X6559">
        <v>28</v>
      </c>
      <c r="Y6559">
        <v>1</v>
      </c>
      <c r="Z6559">
        <v>7</v>
      </c>
      <c r="AA6559">
        <v>25</v>
      </c>
      <c r="AB6559">
        <v>3</v>
      </c>
      <c r="AC6559">
        <v>2</v>
      </c>
      <c r="AD6559">
        <v>3.2990000199999998</v>
      </c>
      <c r="AE6559">
        <v>1</v>
      </c>
      <c r="AF6559">
        <v>25</v>
      </c>
      <c r="AG6559">
        <v>3.2899999599999998</v>
      </c>
      <c r="AH6559">
        <v>4</v>
      </c>
      <c r="AI6559">
        <v>17</v>
      </c>
      <c r="AJ6559">
        <v>1</v>
      </c>
      <c r="AK6559">
        <v>26</v>
      </c>
      <c r="AL6559">
        <v>35</v>
      </c>
      <c r="AM6559" t="s">
        <v>43</v>
      </c>
      <c r="AN6559" t="str">
        <f>HYPERLINK("https://www.google.com/maps?q=10.76495934,79.67215729","Open Location")</f>
        <v>Open Location</v>
      </c>
    </row>
    <row r="6560" spans="1:40" x14ac:dyDescent="0.3">
      <c r="A6560" s="1">
        <v>46210.240046296298</v>
      </c>
      <c r="B6560" t="s">
        <v>40</v>
      </c>
      <c r="C6560" t="s">
        <v>41</v>
      </c>
      <c r="D6560" s="1">
        <v>46210.242928240739</v>
      </c>
      <c r="E6560" t="s">
        <v>42</v>
      </c>
      <c r="F6560" t="s">
        <v>83</v>
      </c>
      <c r="G6560">
        <v>49</v>
      </c>
      <c r="H6560">
        <v>33056</v>
      </c>
      <c r="I6560" t="s">
        <v>3800</v>
      </c>
      <c r="J6560">
        <v>72</v>
      </c>
      <c r="K6560">
        <v>61</v>
      </c>
      <c r="L6560">
        <v>98</v>
      </c>
      <c r="M6560">
        <v>631.79998779000005</v>
      </c>
      <c r="N6560" t="s">
        <v>87</v>
      </c>
      <c r="O6560" t="s">
        <v>86</v>
      </c>
      <c r="P6560">
        <v>131</v>
      </c>
      <c r="Q6560">
        <v>6</v>
      </c>
      <c r="R6560">
        <v>-43</v>
      </c>
      <c r="S6560">
        <v>1304</v>
      </c>
      <c r="T6560">
        <v>-40</v>
      </c>
      <c r="U6560">
        <v>42</v>
      </c>
      <c r="V6560">
        <v>260</v>
      </c>
      <c r="W6560">
        <v>28</v>
      </c>
      <c r="X6560">
        <v>28</v>
      </c>
      <c r="Y6560">
        <v>1</v>
      </c>
      <c r="Z6560">
        <v>7</v>
      </c>
      <c r="AA6560">
        <v>25</v>
      </c>
      <c r="AB6560">
        <v>3</v>
      </c>
      <c r="AC6560">
        <v>2</v>
      </c>
      <c r="AD6560">
        <v>3.2950000799999999</v>
      </c>
      <c r="AE6560">
        <v>5</v>
      </c>
      <c r="AF6560">
        <v>38</v>
      </c>
      <c r="AG6560">
        <v>3.2839999199999999</v>
      </c>
      <c r="AH6560">
        <v>7</v>
      </c>
      <c r="AI6560">
        <v>1</v>
      </c>
      <c r="AJ6560">
        <v>1</v>
      </c>
      <c r="AK6560">
        <v>26</v>
      </c>
      <c r="AL6560">
        <v>35</v>
      </c>
      <c r="AM6560" t="s">
        <v>43</v>
      </c>
      <c r="AN6560" t="str">
        <f>HYPERLINK("https://www.google.com/maps?q=10.76473808,79.67073822","Open Location")</f>
        <v>Open Location</v>
      </c>
    </row>
    <row r="6561" spans="1:40" x14ac:dyDescent="0.3">
      <c r="A6561" s="1">
        <v>46210.239930555559</v>
      </c>
      <c r="B6561" t="s">
        <v>40</v>
      </c>
      <c r="C6561" t="s">
        <v>41</v>
      </c>
      <c r="D6561" s="1">
        <v>46210.242696759262</v>
      </c>
      <c r="E6561" t="s">
        <v>42</v>
      </c>
      <c r="F6561" t="s">
        <v>83</v>
      </c>
      <c r="G6561">
        <v>50</v>
      </c>
      <c r="H6561">
        <v>33056</v>
      </c>
      <c r="I6561" t="s">
        <v>3801</v>
      </c>
      <c r="J6561">
        <v>72</v>
      </c>
      <c r="K6561">
        <v>-63</v>
      </c>
      <c r="L6561">
        <v>98</v>
      </c>
      <c r="M6561">
        <v>635.70001220999995</v>
      </c>
      <c r="N6561" t="s">
        <v>87</v>
      </c>
      <c r="O6561" t="s">
        <v>86</v>
      </c>
      <c r="P6561">
        <v>131</v>
      </c>
      <c r="Q6561">
        <v>6</v>
      </c>
      <c r="R6561">
        <v>142</v>
      </c>
      <c r="S6561">
        <v>1417</v>
      </c>
      <c r="T6561">
        <v>-40</v>
      </c>
      <c r="U6561">
        <v>41</v>
      </c>
      <c r="V6561">
        <v>-300</v>
      </c>
      <c r="W6561">
        <v>28</v>
      </c>
      <c r="X6561">
        <v>28</v>
      </c>
      <c r="Y6561">
        <v>1</v>
      </c>
      <c r="Z6561">
        <v>7</v>
      </c>
      <c r="AA6561">
        <v>25</v>
      </c>
      <c r="AB6561">
        <v>3</v>
      </c>
      <c r="AC6561">
        <v>2</v>
      </c>
      <c r="AD6561">
        <v>3.28600001</v>
      </c>
      <c r="AE6561">
        <v>5</v>
      </c>
      <c r="AF6561">
        <v>38</v>
      </c>
      <c r="AG6561">
        <v>3.2720000699999998</v>
      </c>
      <c r="AH6561">
        <v>8</v>
      </c>
      <c r="AI6561">
        <v>35</v>
      </c>
      <c r="AJ6561">
        <v>1</v>
      </c>
      <c r="AK6561">
        <v>26</v>
      </c>
      <c r="AL6561">
        <v>35</v>
      </c>
      <c r="AM6561" t="s">
        <v>43</v>
      </c>
      <c r="AN6561" t="str">
        <f>HYPERLINK("https://www.google.com/maps?q=10.76443768,79.66918182","Open Location")</f>
        <v>Open Location</v>
      </c>
    </row>
    <row r="6562" spans="1:40" x14ac:dyDescent="0.3">
      <c r="A6562" s="1">
        <v>46210.239814814813</v>
      </c>
      <c r="B6562" t="s">
        <v>40</v>
      </c>
      <c r="C6562" t="s">
        <v>41</v>
      </c>
      <c r="D6562" s="1">
        <v>46210.242696759262</v>
      </c>
      <c r="E6562" t="s">
        <v>42</v>
      </c>
      <c r="F6562" t="s">
        <v>83</v>
      </c>
      <c r="G6562">
        <v>51</v>
      </c>
      <c r="H6562" t="s">
        <v>43</v>
      </c>
      <c r="I6562" t="s">
        <v>43</v>
      </c>
      <c r="J6562">
        <v>72</v>
      </c>
      <c r="K6562">
        <v>27</v>
      </c>
      <c r="L6562">
        <v>98</v>
      </c>
      <c r="M6562">
        <v>632.70001220999995</v>
      </c>
      <c r="N6562" t="s">
        <v>87</v>
      </c>
      <c r="O6562" t="s">
        <v>86</v>
      </c>
      <c r="P6562">
        <v>131</v>
      </c>
      <c r="Q6562">
        <v>6</v>
      </c>
      <c r="R6562">
        <v>47</v>
      </c>
      <c r="S6562">
        <v>1369</v>
      </c>
      <c r="T6562">
        <v>-40</v>
      </c>
      <c r="U6562">
        <v>42</v>
      </c>
      <c r="V6562">
        <v>120</v>
      </c>
      <c r="W6562">
        <v>28</v>
      </c>
      <c r="X6562">
        <v>28</v>
      </c>
      <c r="Y6562">
        <v>1</v>
      </c>
      <c r="Z6562">
        <v>7</v>
      </c>
      <c r="AA6562">
        <v>25</v>
      </c>
      <c r="AB6562">
        <v>3</v>
      </c>
      <c r="AC6562">
        <v>2</v>
      </c>
      <c r="AD6562">
        <v>3.2990000199999998</v>
      </c>
      <c r="AE6562">
        <v>5</v>
      </c>
      <c r="AF6562">
        <v>38</v>
      </c>
      <c r="AG6562">
        <v>3.2899999599999998</v>
      </c>
      <c r="AH6562">
        <v>7</v>
      </c>
      <c r="AI6562">
        <v>1</v>
      </c>
      <c r="AJ6562">
        <v>1</v>
      </c>
      <c r="AK6562">
        <v>26</v>
      </c>
      <c r="AL6562">
        <v>35</v>
      </c>
      <c r="AM6562" t="s">
        <v>43</v>
      </c>
      <c r="AN6562" t="s">
        <v>43</v>
      </c>
    </row>
    <row r="6563" spans="1:40" x14ac:dyDescent="0.3">
      <c r="A6563" s="1">
        <v>46210.239699074074</v>
      </c>
      <c r="B6563" t="s">
        <v>40</v>
      </c>
      <c r="C6563" t="s">
        <v>41</v>
      </c>
      <c r="D6563" s="1">
        <v>46210.242546296293</v>
      </c>
      <c r="E6563" t="s">
        <v>42</v>
      </c>
      <c r="F6563" t="s">
        <v>83</v>
      </c>
      <c r="G6563">
        <v>48</v>
      </c>
      <c r="H6563">
        <v>33055</v>
      </c>
      <c r="I6563" t="s">
        <v>3802</v>
      </c>
      <c r="J6563">
        <v>72</v>
      </c>
      <c r="K6563">
        <v>99</v>
      </c>
      <c r="L6563">
        <v>98</v>
      </c>
      <c r="M6563">
        <v>628.70001220999995</v>
      </c>
      <c r="N6563" t="s">
        <v>87</v>
      </c>
      <c r="O6563" t="s">
        <v>86</v>
      </c>
      <c r="P6563">
        <v>131</v>
      </c>
      <c r="Q6563">
        <v>6</v>
      </c>
      <c r="R6563">
        <v>33</v>
      </c>
      <c r="S6563">
        <v>1403</v>
      </c>
      <c r="T6563">
        <v>-40</v>
      </c>
      <c r="U6563">
        <v>42</v>
      </c>
      <c r="V6563">
        <v>400</v>
      </c>
      <c r="W6563">
        <v>28</v>
      </c>
      <c r="X6563">
        <v>28</v>
      </c>
      <c r="Y6563">
        <v>1</v>
      </c>
      <c r="Z6563">
        <v>7</v>
      </c>
      <c r="AA6563">
        <v>25</v>
      </c>
      <c r="AB6563">
        <v>3</v>
      </c>
      <c r="AC6563">
        <v>2</v>
      </c>
      <c r="AD6563">
        <v>3.2909998900000001</v>
      </c>
      <c r="AE6563">
        <v>5</v>
      </c>
      <c r="AF6563">
        <v>38</v>
      </c>
      <c r="AG6563">
        <v>3.27999997</v>
      </c>
      <c r="AH6563">
        <v>7</v>
      </c>
      <c r="AI6563">
        <v>1</v>
      </c>
      <c r="AJ6563">
        <v>1</v>
      </c>
      <c r="AK6563">
        <v>26</v>
      </c>
      <c r="AL6563">
        <v>35</v>
      </c>
      <c r="AM6563" t="s">
        <v>43</v>
      </c>
      <c r="AN6563" t="str">
        <f>HYPERLINK("https://www.google.com/maps?q=10.76433182,79.6676712","Open Location")</f>
        <v>Open Location</v>
      </c>
    </row>
    <row r="6564" spans="1:40" x14ac:dyDescent="0.3">
      <c r="A6564" s="1">
        <v>46210.239583333336</v>
      </c>
      <c r="B6564" t="s">
        <v>40</v>
      </c>
      <c r="C6564" t="s">
        <v>41</v>
      </c>
      <c r="D6564" s="1">
        <v>46210.242546296293</v>
      </c>
      <c r="E6564" t="s">
        <v>42</v>
      </c>
      <c r="F6564" t="s">
        <v>83</v>
      </c>
      <c r="G6564">
        <v>46</v>
      </c>
      <c r="H6564" t="s">
        <v>43</v>
      </c>
      <c r="I6564" t="s">
        <v>43</v>
      </c>
      <c r="J6564">
        <v>72</v>
      </c>
      <c r="K6564">
        <v>61</v>
      </c>
      <c r="L6564">
        <v>98</v>
      </c>
      <c r="M6564">
        <v>630.70001220999995</v>
      </c>
      <c r="N6564" t="s">
        <v>87</v>
      </c>
      <c r="O6564" t="s">
        <v>86</v>
      </c>
      <c r="P6564">
        <v>131</v>
      </c>
      <c r="Q6564">
        <v>6</v>
      </c>
      <c r="R6564">
        <v>34</v>
      </c>
      <c r="S6564">
        <v>1320</v>
      </c>
      <c r="T6564">
        <v>-40</v>
      </c>
      <c r="U6564">
        <v>42</v>
      </c>
      <c r="V6564">
        <v>260</v>
      </c>
      <c r="W6564" t="s">
        <v>43</v>
      </c>
      <c r="X6564" t="s">
        <v>43</v>
      </c>
      <c r="Y6564" t="s">
        <v>43</v>
      </c>
      <c r="Z6564" t="s">
        <v>43</v>
      </c>
      <c r="AA6564" t="s">
        <v>43</v>
      </c>
      <c r="AB6564" t="s">
        <v>43</v>
      </c>
      <c r="AC6564" t="s">
        <v>43</v>
      </c>
      <c r="AD6564" t="s">
        <v>43</v>
      </c>
      <c r="AE6564" t="s">
        <v>43</v>
      </c>
      <c r="AF6564" t="s">
        <v>43</v>
      </c>
      <c r="AG6564" t="s">
        <v>43</v>
      </c>
      <c r="AH6564" t="s">
        <v>43</v>
      </c>
      <c r="AI6564" t="s">
        <v>43</v>
      </c>
      <c r="AJ6564">
        <v>1</v>
      </c>
      <c r="AK6564">
        <v>26</v>
      </c>
      <c r="AL6564">
        <v>35</v>
      </c>
      <c r="AM6564" t="s">
        <v>43</v>
      </c>
      <c r="AN6564" t="s">
        <v>43</v>
      </c>
    </row>
    <row r="6565" spans="1:40" x14ac:dyDescent="0.3">
      <c r="A6565" s="1">
        <v>46210.23946759259</v>
      </c>
      <c r="B6565" t="s">
        <v>40</v>
      </c>
      <c r="C6565" t="s">
        <v>41</v>
      </c>
      <c r="D6565" s="1">
        <v>46210.242337962962</v>
      </c>
      <c r="E6565" t="s">
        <v>42</v>
      </c>
      <c r="F6565" t="s">
        <v>83</v>
      </c>
      <c r="G6565">
        <v>44</v>
      </c>
      <c r="H6565">
        <v>33055</v>
      </c>
      <c r="I6565" t="s">
        <v>3803</v>
      </c>
      <c r="J6565">
        <v>72</v>
      </c>
      <c r="K6565">
        <v>50</v>
      </c>
      <c r="L6565">
        <v>98</v>
      </c>
      <c r="M6565">
        <v>631.20001220999995</v>
      </c>
      <c r="N6565" t="s">
        <v>87</v>
      </c>
      <c r="O6565" t="s">
        <v>86</v>
      </c>
      <c r="P6565">
        <v>131</v>
      </c>
      <c r="Q6565">
        <v>6</v>
      </c>
      <c r="R6565">
        <v>67</v>
      </c>
      <c r="S6565">
        <v>1269</v>
      </c>
      <c r="T6565">
        <v>-40</v>
      </c>
      <c r="U6565">
        <v>43</v>
      </c>
      <c r="V6565">
        <v>220</v>
      </c>
      <c r="W6565">
        <v>28</v>
      </c>
      <c r="X6565">
        <v>28</v>
      </c>
      <c r="Y6565">
        <v>1</v>
      </c>
      <c r="Z6565">
        <v>7</v>
      </c>
      <c r="AA6565">
        <v>25</v>
      </c>
      <c r="AB6565">
        <v>3</v>
      </c>
      <c r="AC6565">
        <v>2</v>
      </c>
      <c r="AD6565">
        <v>3.28299999</v>
      </c>
      <c r="AE6565">
        <v>5</v>
      </c>
      <c r="AF6565">
        <v>38</v>
      </c>
      <c r="AG6565">
        <v>3.2690000499999998</v>
      </c>
      <c r="AH6565">
        <v>6</v>
      </c>
      <c r="AI6565">
        <v>24</v>
      </c>
      <c r="AJ6565">
        <v>1</v>
      </c>
      <c r="AK6565">
        <v>27</v>
      </c>
      <c r="AL6565">
        <v>35</v>
      </c>
      <c r="AM6565" t="s">
        <v>43</v>
      </c>
      <c r="AN6565" t="str">
        <f>HYPERLINK("https://www.google.com/maps?q=10.76495075,79.66471863","Open Location")</f>
        <v>Open Location</v>
      </c>
    </row>
    <row r="6566" spans="1:40" x14ac:dyDescent="0.3">
      <c r="A6566" s="1">
        <v>46210.239351851851</v>
      </c>
      <c r="B6566" t="s">
        <v>40</v>
      </c>
      <c r="C6566" t="s">
        <v>41</v>
      </c>
      <c r="D6566" s="1">
        <v>46210.242361111108</v>
      </c>
      <c r="E6566" t="s">
        <v>42</v>
      </c>
      <c r="F6566" t="s">
        <v>83</v>
      </c>
      <c r="G6566">
        <v>38</v>
      </c>
      <c r="H6566">
        <v>33055</v>
      </c>
      <c r="I6566" t="s">
        <v>43</v>
      </c>
      <c r="J6566">
        <v>72</v>
      </c>
      <c r="K6566">
        <v>79</v>
      </c>
      <c r="L6566">
        <v>98</v>
      </c>
      <c r="M6566">
        <v>630.20001220999995</v>
      </c>
      <c r="N6566" t="s">
        <v>87</v>
      </c>
      <c r="O6566" t="s">
        <v>86</v>
      </c>
      <c r="P6566">
        <v>131</v>
      </c>
      <c r="Q6566">
        <v>6</v>
      </c>
      <c r="R6566">
        <v>35</v>
      </c>
      <c r="S6566">
        <v>1180</v>
      </c>
      <c r="T6566">
        <v>-40</v>
      </c>
      <c r="U6566">
        <v>42</v>
      </c>
      <c r="V6566">
        <v>372</v>
      </c>
      <c r="W6566">
        <v>28</v>
      </c>
      <c r="X6566">
        <v>28</v>
      </c>
      <c r="Y6566">
        <v>1</v>
      </c>
      <c r="Z6566">
        <v>7</v>
      </c>
      <c r="AA6566">
        <v>25</v>
      </c>
      <c r="AB6566">
        <v>3</v>
      </c>
      <c r="AC6566">
        <v>2</v>
      </c>
      <c r="AD6566">
        <v>3.28600001</v>
      </c>
      <c r="AE6566">
        <v>5</v>
      </c>
      <c r="AF6566">
        <v>38</v>
      </c>
      <c r="AG6566">
        <v>3.2730000000000001</v>
      </c>
      <c r="AH6566">
        <v>8</v>
      </c>
      <c r="AI6566">
        <v>35</v>
      </c>
      <c r="AJ6566">
        <v>1</v>
      </c>
      <c r="AK6566">
        <v>27</v>
      </c>
      <c r="AL6566">
        <v>35</v>
      </c>
      <c r="AM6566" t="s">
        <v>43</v>
      </c>
      <c r="AN6566" t="s">
        <v>43</v>
      </c>
    </row>
    <row r="6567" spans="1:40" x14ac:dyDescent="0.3">
      <c r="A6567" s="1">
        <v>46210.239236111112</v>
      </c>
      <c r="B6567" t="s">
        <v>40</v>
      </c>
      <c r="C6567" t="s">
        <v>41</v>
      </c>
      <c r="D6567" s="1">
        <v>46210.241979166669</v>
      </c>
      <c r="E6567" t="s">
        <v>42</v>
      </c>
      <c r="F6567" t="s">
        <v>83</v>
      </c>
      <c r="G6567">
        <v>40</v>
      </c>
      <c r="H6567">
        <v>33055</v>
      </c>
      <c r="I6567" t="s">
        <v>3804</v>
      </c>
      <c r="J6567">
        <v>72</v>
      </c>
      <c r="K6567">
        <v>-48</v>
      </c>
      <c r="L6567">
        <v>98</v>
      </c>
      <c r="M6567">
        <v>635.5</v>
      </c>
      <c r="N6567" t="s">
        <v>87</v>
      </c>
      <c r="O6567" t="s">
        <v>86</v>
      </c>
      <c r="P6567">
        <v>131</v>
      </c>
      <c r="Q6567">
        <v>6</v>
      </c>
      <c r="R6567">
        <v>64</v>
      </c>
      <c r="S6567">
        <v>1104</v>
      </c>
      <c r="T6567">
        <v>-40</v>
      </c>
      <c r="U6567">
        <v>44</v>
      </c>
      <c r="V6567">
        <v>-300</v>
      </c>
      <c r="W6567">
        <v>28</v>
      </c>
      <c r="X6567">
        <v>28</v>
      </c>
      <c r="Y6567">
        <v>5</v>
      </c>
      <c r="Z6567">
        <v>1</v>
      </c>
      <c r="AA6567">
        <v>25</v>
      </c>
      <c r="AB6567">
        <v>3</v>
      </c>
      <c r="AC6567">
        <v>2</v>
      </c>
      <c r="AD6567">
        <v>3.2959999999999998</v>
      </c>
      <c r="AE6567">
        <v>5</v>
      </c>
      <c r="AF6567">
        <v>38</v>
      </c>
      <c r="AG6567">
        <v>3.2869999399999998</v>
      </c>
      <c r="AH6567">
        <v>6</v>
      </c>
      <c r="AI6567">
        <v>24</v>
      </c>
      <c r="AJ6567">
        <v>1</v>
      </c>
      <c r="AK6567">
        <v>27</v>
      </c>
      <c r="AL6567">
        <v>35</v>
      </c>
      <c r="AM6567" t="s">
        <v>43</v>
      </c>
      <c r="AN6567" t="str">
        <f>HYPERLINK("https://www.google.com/maps?q=10.7652607,79.6621933","Open Location")</f>
        <v>Open Location</v>
      </c>
    </row>
    <row r="6568" spans="1:40" x14ac:dyDescent="0.3">
      <c r="A6568" s="1">
        <v>46210.239120370374</v>
      </c>
      <c r="B6568" t="s">
        <v>40</v>
      </c>
      <c r="C6568" t="s">
        <v>41</v>
      </c>
      <c r="D6568" s="1">
        <v>46210.241944444446</v>
      </c>
      <c r="E6568" t="s">
        <v>42</v>
      </c>
      <c r="F6568" t="s">
        <v>83</v>
      </c>
      <c r="G6568">
        <v>26</v>
      </c>
      <c r="H6568">
        <v>33055</v>
      </c>
      <c r="I6568" t="s">
        <v>43</v>
      </c>
      <c r="J6568">
        <v>72</v>
      </c>
      <c r="K6568">
        <v>195</v>
      </c>
      <c r="L6568">
        <v>98</v>
      </c>
      <c r="M6568">
        <v>627.59997558999999</v>
      </c>
      <c r="N6568" t="s">
        <v>87</v>
      </c>
      <c r="O6568" t="s">
        <v>86</v>
      </c>
      <c r="P6568">
        <v>130</v>
      </c>
      <c r="Q6568">
        <v>5</v>
      </c>
      <c r="R6568">
        <v>106</v>
      </c>
      <c r="S6568">
        <v>1827</v>
      </c>
      <c r="T6568">
        <v>-40</v>
      </c>
      <c r="U6568">
        <v>43</v>
      </c>
      <c r="V6568">
        <v>620</v>
      </c>
      <c r="W6568">
        <v>28</v>
      </c>
      <c r="X6568">
        <v>28</v>
      </c>
      <c r="Y6568">
        <v>5</v>
      </c>
      <c r="Z6568">
        <v>1</v>
      </c>
      <c r="AA6568">
        <v>25</v>
      </c>
      <c r="AB6568">
        <v>2</v>
      </c>
      <c r="AC6568">
        <v>2</v>
      </c>
      <c r="AD6568">
        <v>3.2730000000000001</v>
      </c>
      <c r="AE6568">
        <v>5</v>
      </c>
      <c r="AF6568">
        <v>38</v>
      </c>
      <c r="AG6568">
        <v>3.2550001100000001</v>
      </c>
      <c r="AH6568">
        <v>8</v>
      </c>
      <c r="AI6568">
        <v>35</v>
      </c>
      <c r="AJ6568">
        <v>1</v>
      </c>
      <c r="AK6568">
        <v>27</v>
      </c>
      <c r="AL6568">
        <v>35</v>
      </c>
      <c r="AM6568" t="s">
        <v>43</v>
      </c>
      <c r="AN6568" t="s">
        <v>43</v>
      </c>
    </row>
    <row r="6569" spans="1:40" x14ac:dyDescent="0.3">
      <c r="A6569" s="1">
        <v>46210.239004629628</v>
      </c>
      <c r="B6569" t="s">
        <v>40</v>
      </c>
      <c r="C6569" t="s">
        <v>41</v>
      </c>
      <c r="D6569" s="1">
        <v>46210.241932870369</v>
      </c>
      <c r="E6569" t="s">
        <v>42</v>
      </c>
      <c r="F6569" t="s">
        <v>83</v>
      </c>
      <c r="G6569">
        <v>11</v>
      </c>
      <c r="H6569">
        <v>33055</v>
      </c>
      <c r="I6569" t="s">
        <v>3805</v>
      </c>
      <c r="J6569">
        <v>72</v>
      </c>
      <c r="K6569">
        <v>208</v>
      </c>
      <c r="L6569">
        <v>98</v>
      </c>
      <c r="M6569">
        <v>629.20001220999995</v>
      </c>
      <c r="N6569" t="s">
        <v>87</v>
      </c>
      <c r="O6569" t="s">
        <v>86</v>
      </c>
      <c r="P6569">
        <v>130</v>
      </c>
      <c r="Q6569">
        <v>3</v>
      </c>
      <c r="R6569">
        <v>3</v>
      </c>
      <c r="S6569">
        <v>1876</v>
      </c>
      <c r="T6569">
        <v>-40</v>
      </c>
      <c r="U6569">
        <v>43</v>
      </c>
      <c r="V6569">
        <v>700</v>
      </c>
      <c r="W6569">
        <v>27</v>
      </c>
      <c r="X6569">
        <v>27</v>
      </c>
      <c r="Y6569">
        <v>1</v>
      </c>
      <c r="Z6569">
        <v>1</v>
      </c>
      <c r="AA6569">
        <v>25</v>
      </c>
      <c r="AB6569">
        <v>2</v>
      </c>
      <c r="AC6569">
        <v>2</v>
      </c>
      <c r="AD6569">
        <v>3.3110001100000002</v>
      </c>
      <c r="AE6569">
        <v>1</v>
      </c>
      <c r="AF6569">
        <v>25</v>
      </c>
      <c r="AG6569">
        <v>3.3050000700000002</v>
      </c>
      <c r="AH6569">
        <v>2</v>
      </c>
      <c r="AI6569">
        <v>46</v>
      </c>
      <c r="AJ6569">
        <v>1</v>
      </c>
      <c r="AK6569">
        <v>28</v>
      </c>
      <c r="AL6569">
        <v>35</v>
      </c>
      <c r="AM6569" t="s">
        <v>43</v>
      </c>
      <c r="AN6569" t="str">
        <f>HYPERLINK("https://www.google.com/maps?q=10.76535797,79.66120911","Open Location")</f>
        <v>Open Location</v>
      </c>
    </row>
    <row r="6570" spans="1:40" x14ac:dyDescent="0.3">
      <c r="A6570" s="1">
        <v>46210.238888888889</v>
      </c>
      <c r="B6570" t="s">
        <v>40</v>
      </c>
      <c r="C6570" t="s">
        <v>41</v>
      </c>
      <c r="D6570" s="1">
        <v>46210.241712962961</v>
      </c>
      <c r="E6570" t="s">
        <v>42</v>
      </c>
      <c r="F6570" t="s">
        <v>83</v>
      </c>
      <c r="G6570">
        <v>32</v>
      </c>
      <c r="H6570">
        <v>33055</v>
      </c>
      <c r="I6570" t="s">
        <v>3806</v>
      </c>
      <c r="J6570">
        <v>72</v>
      </c>
      <c r="K6570">
        <v>-71</v>
      </c>
      <c r="L6570">
        <v>98</v>
      </c>
      <c r="M6570">
        <v>637.40002441000001</v>
      </c>
      <c r="N6570" t="s">
        <v>87</v>
      </c>
      <c r="O6570" t="s">
        <v>86</v>
      </c>
      <c r="P6570">
        <v>130</v>
      </c>
      <c r="Q6570">
        <v>5</v>
      </c>
      <c r="R6570">
        <v>81</v>
      </c>
      <c r="S6570">
        <v>643</v>
      </c>
      <c r="T6570">
        <v>-40</v>
      </c>
      <c r="U6570">
        <v>43</v>
      </c>
      <c r="V6570">
        <v>-750</v>
      </c>
      <c r="W6570">
        <v>27</v>
      </c>
      <c r="X6570">
        <v>27</v>
      </c>
      <c r="Y6570">
        <v>1</v>
      </c>
      <c r="Z6570">
        <v>1</v>
      </c>
      <c r="AA6570">
        <v>25</v>
      </c>
      <c r="AB6570">
        <v>2</v>
      </c>
      <c r="AC6570">
        <v>2</v>
      </c>
      <c r="AD6570">
        <v>3.3139998899999998</v>
      </c>
      <c r="AE6570">
        <v>1</v>
      </c>
      <c r="AF6570">
        <v>25</v>
      </c>
      <c r="AG6570">
        <v>3.30900002</v>
      </c>
      <c r="AH6570">
        <v>2</v>
      </c>
      <c r="AI6570">
        <v>6</v>
      </c>
      <c r="AJ6570">
        <v>1</v>
      </c>
      <c r="AK6570">
        <v>27</v>
      </c>
      <c r="AL6570">
        <v>35</v>
      </c>
      <c r="AM6570" t="s">
        <v>43</v>
      </c>
      <c r="AN6570" t="str">
        <f>HYPERLINK("https://www.google.com/maps?q=10.76541424,79.6607132","Open Location")</f>
        <v>Open Location</v>
      </c>
    </row>
    <row r="6571" spans="1:40" x14ac:dyDescent="0.3">
      <c r="A6571" s="1">
        <v>46210.23877314815</v>
      </c>
      <c r="B6571" t="s">
        <v>40</v>
      </c>
      <c r="C6571" t="s">
        <v>41</v>
      </c>
      <c r="D6571" s="1">
        <v>46210.241620370369</v>
      </c>
      <c r="E6571" t="s">
        <v>42</v>
      </c>
      <c r="F6571" t="s">
        <v>83</v>
      </c>
      <c r="G6571">
        <v>17</v>
      </c>
      <c r="H6571">
        <v>33055</v>
      </c>
      <c r="I6571" t="s">
        <v>3807</v>
      </c>
      <c r="J6571">
        <v>72</v>
      </c>
      <c r="K6571">
        <v>159</v>
      </c>
      <c r="L6571">
        <v>98</v>
      </c>
      <c r="M6571">
        <v>627.79998779000005</v>
      </c>
      <c r="N6571" t="s">
        <v>87</v>
      </c>
      <c r="O6571" t="s">
        <v>86</v>
      </c>
      <c r="P6571">
        <v>129</v>
      </c>
      <c r="Q6571">
        <v>4</v>
      </c>
      <c r="R6571">
        <v>93</v>
      </c>
      <c r="S6571">
        <v>1346</v>
      </c>
      <c r="T6571">
        <v>-40</v>
      </c>
      <c r="U6571">
        <v>41</v>
      </c>
      <c r="V6571">
        <v>640</v>
      </c>
      <c r="W6571">
        <v>27</v>
      </c>
      <c r="X6571">
        <v>27</v>
      </c>
      <c r="Y6571">
        <v>1</v>
      </c>
      <c r="Z6571">
        <v>1</v>
      </c>
      <c r="AA6571">
        <v>25</v>
      </c>
      <c r="AB6571">
        <v>2</v>
      </c>
      <c r="AC6571">
        <v>2</v>
      </c>
      <c r="AD6571">
        <v>3.30699992</v>
      </c>
      <c r="AE6571">
        <v>5</v>
      </c>
      <c r="AF6571">
        <v>38</v>
      </c>
      <c r="AG6571">
        <v>3.2999999500000001</v>
      </c>
      <c r="AH6571">
        <v>2</v>
      </c>
      <c r="AI6571">
        <v>46</v>
      </c>
      <c r="AJ6571">
        <v>1</v>
      </c>
      <c r="AK6571">
        <v>27</v>
      </c>
      <c r="AL6571">
        <v>35</v>
      </c>
      <c r="AM6571" t="s">
        <v>43</v>
      </c>
      <c r="AN6571" t="str">
        <f>HYPERLINK("https://www.google.com/maps?q=10.76549721,79.65979004","Open Location")</f>
        <v>Open Location</v>
      </c>
    </row>
    <row r="6572" spans="1:40" x14ac:dyDescent="0.3">
      <c r="A6572" s="1">
        <v>46210.238657407404</v>
      </c>
      <c r="B6572" t="s">
        <v>40</v>
      </c>
      <c r="C6572" t="s">
        <v>41</v>
      </c>
      <c r="D6572" s="1">
        <v>46210.241805555554</v>
      </c>
      <c r="E6572" t="s">
        <v>42</v>
      </c>
      <c r="F6572" t="s">
        <v>83</v>
      </c>
      <c r="G6572">
        <v>12</v>
      </c>
      <c r="H6572" t="s">
        <v>43</v>
      </c>
      <c r="I6572" t="s">
        <v>3808</v>
      </c>
      <c r="J6572">
        <v>72</v>
      </c>
      <c r="K6572">
        <v>5</v>
      </c>
      <c r="L6572">
        <v>98</v>
      </c>
      <c r="M6572">
        <v>634.5</v>
      </c>
      <c r="N6572" t="s">
        <v>87</v>
      </c>
      <c r="O6572" t="s">
        <v>86</v>
      </c>
      <c r="P6572">
        <v>131</v>
      </c>
      <c r="Q6572">
        <v>2</v>
      </c>
      <c r="R6572">
        <v>-26</v>
      </c>
      <c r="S6572">
        <v>1376</v>
      </c>
      <c r="T6572">
        <v>-40</v>
      </c>
      <c r="U6572">
        <v>43</v>
      </c>
      <c r="V6572">
        <v>-315</v>
      </c>
      <c r="W6572">
        <v>27</v>
      </c>
      <c r="X6572">
        <v>27</v>
      </c>
      <c r="Y6572">
        <v>1</v>
      </c>
      <c r="Z6572">
        <v>1</v>
      </c>
      <c r="AA6572">
        <v>25</v>
      </c>
      <c r="AB6572">
        <v>2</v>
      </c>
      <c r="AC6572">
        <v>2</v>
      </c>
      <c r="AD6572">
        <v>3.3080000900000002</v>
      </c>
      <c r="AE6572">
        <v>1</v>
      </c>
      <c r="AF6572">
        <v>16</v>
      </c>
      <c r="AG6572">
        <v>3.3010001199999999</v>
      </c>
      <c r="AH6572">
        <v>8</v>
      </c>
      <c r="AI6572">
        <v>35</v>
      </c>
      <c r="AJ6572">
        <v>1</v>
      </c>
      <c r="AK6572">
        <v>28</v>
      </c>
      <c r="AL6572">
        <v>35</v>
      </c>
      <c r="AM6572" t="s">
        <v>43</v>
      </c>
      <c r="AN6572" t="str">
        <f>HYPERLINK("https://www.google.com/maps?q=10.76553726,79.65936279","Open Location")</f>
        <v>Open Location</v>
      </c>
    </row>
    <row r="6573" spans="1:40" x14ac:dyDescent="0.3">
      <c r="A6573" s="1">
        <v>46210.238541666666</v>
      </c>
      <c r="B6573" t="s">
        <v>40</v>
      </c>
      <c r="C6573" t="s">
        <v>41</v>
      </c>
      <c r="D6573" s="1">
        <v>46210.241261574076</v>
      </c>
      <c r="E6573" t="s">
        <v>42</v>
      </c>
      <c r="F6573" t="s">
        <v>83</v>
      </c>
      <c r="G6573">
        <v>44</v>
      </c>
      <c r="H6573">
        <v>33054</v>
      </c>
      <c r="I6573" t="s">
        <v>3809</v>
      </c>
      <c r="J6573">
        <v>72</v>
      </c>
      <c r="K6573">
        <v>-87</v>
      </c>
      <c r="L6573">
        <v>98</v>
      </c>
      <c r="M6573">
        <v>639.29998779000005</v>
      </c>
      <c r="N6573" t="s">
        <v>87</v>
      </c>
      <c r="O6573" t="s">
        <v>86</v>
      </c>
      <c r="P6573">
        <v>131</v>
      </c>
      <c r="Q6573">
        <v>6</v>
      </c>
      <c r="R6573">
        <v>-38</v>
      </c>
      <c r="S6573">
        <v>715</v>
      </c>
      <c r="T6573">
        <v>-40</v>
      </c>
      <c r="U6573">
        <v>40</v>
      </c>
      <c r="V6573">
        <v>-860</v>
      </c>
      <c r="W6573">
        <v>27</v>
      </c>
      <c r="X6573">
        <v>27</v>
      </c>
      <c r="Y6573">
        <v>1</v>
      </c>
      <c r="Z6573">
        <v>1</v>
      </c>
      <c r="AA6573">
        <v>25</v>
      </c>
      <c r="AB6573">
        <v>2</v>
      </c>
      <c r="AC6573">
        <v>2</v>
      </c>
      <c r="AD6573">
        <v>3.3210001</v>
      </c>
      <c r="AE6573">
        <v>1</v>
      </c>
      <c r="AF6573">
        <v>16</v>
      </c>
      <c r="AG6573">
        <v>3.31599998</v>
      </c>
      <c r="AH6573">
        <v>2</v>
      </c>
      <c r="AI6573">
        <v>6</v>
      </c>
      <c r="AJ6573">
        <v>1</v>
      </c>
      <c r="AK6573">
        <v>27</v>
      </c>
      <c r="AL6573">
        <v>35</v>
      </c>
      <c r="AM6573" t="s">
        <v>43</v>
      </c>
      <c r="AN6573" t="str">
        <f>HYPERLINK("https://www.google.com/maps?q=10.76584816,79.6582489","Open Location")</f>
        <v>Open Location</v>
      </c>
    </row>
    <row r="6574" spans="1:40" x14ac:dyDescent="0.3">
      <c r="A6574" s="1">
        <v>46210.238425925927</v>
      </c>
      <c r="B6574" t="s">
        <v>40</v>
      </c>
      <c r="C6574" t="s">
        <v>41</v>
      </c>
      <c r="D6574" s="1">
        <v>46210.241365740738</v>
      </c>
      <c r="E6574" t="s">
        <v>42</v>
      </c>
      <c r="F6574" t="s">
        <v>83</v>
      </c>
      <c r="G6574">
        <v>47</v>
      </c>
      <c r="H6574">
        <v>33054</v>
      </c>
      <c r="I6574" t="s">
        <v>43</v>
      </c>
      <c r="J6574">
        <v>72</v>
      </c>
      <c r="K6574">
        <v>24</v>
      </c>
      <c r="L6574">
        <v>98</v>
      </c>
      <c r="M6574">
        <v>634.40002441000001</v>
      </c>
      <c r="N6574" t="s">
        <v>87</v>
      </c>
      <c r="O6574" t="s">
        <v>86</v>
      </c>
      <c r="P6574">
        <v>131</v>
      </c>
      <c r="Q6574">
        <v>6</v>
      </c>
      <c r="R6574">
        <v>-41</v>
      </c>
      <c r="S6574">
        <v>1270</v>
      </c>
      <c r="T6574">
        <v>-40</v>
      </c>
      <c r="U6574">
        <v>41</v>
      </c>
      <c r="V6574">
        <v>100</v>
      </c>
      <c r="W6574">
        <v>27</v>
      </c>
      <c r="X6574">
        <v>27</v>
      </c>
      <c r="Y6574">
        <v>1</v>
      </c>
      <c r="Z6574">
        <v>1</v>
      </c>
      <c r="AA6574">
        <v>25</v>
      </c>
      <c r="AB6574">
        <v>2</v>
      </c>
      <c r="AC6574">
        <v>2</v>
      </c>
      <c r="AD6574">
        <v>3.3020000500000002</v>
      </c>
      <c r="AE6574">
        <v>5</v>
      </c>
      <c r="AF6574">
        <v>38</v>
      </c>
      <c r="AG6574">
        <v>3.2929999799999998</v>
      </c>
      <c r="AH6574">
        <v>8</v>
      </c>
      <c r="AI6574">
        <v>35</v>
      </c>
      <c r="AJ6574">
        <v>1</v>
      </c>
      <c r="AK6574">
        <v>27</v>
      </c>
      <c r="AL6574">
        <v>35</v>
      </c>
      <c r="AM6574" t="s">
        <v>43</v>
      </c>
      <c r="AN6574" t="s">
        <v>43</v>
      </c>
    </row>
    <row r="6575" spans="1:40" x14ac:dyDescent="0.3">
      <c r="A6575" s="1">
        <v>46210.238310185188</v>
      </c>
      <c r="B6575" t="s">
        <v>40</v>
      </c>
      <c r="C6575" t="s">
        <v>41</v>
      </c>
      <c r="D6575" s="1">
        <v>46210.240995370368</v>
      </c>
      <c r="E6575" t="s">
        <v>42</v>
      </c>
      <c r="F6575" t="s">
        <v>83</v>
      </c>
      <c r="G6575">
        <v>51</v>
      </c>
      <c r="H6575">
        <v>33054</v>
      </c>
      <c r="I6575" t="s">
        <v>3810</v>
      </c>
      <c r="J6575">
        <v>72</v>
      </c>
      <c r="K6575">
        <v>-60</v>
      </c>
      <c r="L6575">
        <v>98</v>
      </c>
      <c r="M6575">
        <v>636</v>
      </c>
      <c r="N6575" t="s">
        <v>87</v>
      </c>
      <c r="O6575" t="s">
        <v>86</v>
      </c>
      <c r="P6575">
        <v>131</v>
      </c>
      <c r="Q6575">
        <v>6</v>
      </c>
      <c r="R6575">
        <v>44</v>
      </c>
      <c r="S6575">
        <v>1349</v>
      </c>
      <c r="T6575">
        <v>-40</v>
      </c>
      <c r="U6575">
        <v>42</v>
      </c>
      <c r="V6575">
        <v>-300</v>
      </c>
      <c r="W6575">
        <v>27</v>
      </c>
      <c r="X6575">
        <v>27</v>
      </c>
      <c r="Y6575">
        <v>1</v>
      </c>
      <c r="Z6575">
        <v>1</v>
      </c>
      <c r="AA6575">
        <v>25</v>
      </c>
      <c r="AB6575">
        <v>2</v>
      </c>
      <c r="AC6575">
        <v>2</v>
      </c>
      <c r="AD6575">
        <v>3.2999999500000001</v>
      </c>
      <c r="AE6575">
        <v>1</v>
      </c>
      <c r="AF6575">
        <v>25</v>
      </c>
      <c r="AG6575">
        <v>3.2920000599999999</v>
      </c>
      <c r="AH6575">
        <v>7</v>
      </c>
      <c r="AI6575">
        <v>1</v>
      </c>
      <c r="AJ6575">
        <v>1</v>
      </c>
      <c r="AK6575">
        <v>27</v>
      </c>
      <c r="AL6575">
        <v>35</v>
      </c>
      <c r="AM6575" t="s">
        <v>43</v>
      </c>
      <c r="AN6575" t="str">
        <f>HYPERLINK("https://www.google.com/maps?q=10.76636219,79.65688324","Open Location")</f>
        <v>Open Location</v>
      </c>
    </row>
    <row r="6576" spans="1:40" x14ac:dyDescent="0.3">
      <c r="A6576" s="1">
        <v>46210.238194444442</v>
      </c>
      <c r="B6576" t="s">
        <v>40</v>
      </c>
      <c r="C6576" t="s">
        <v>41</v>
      </c>
      <c r="D6576" s="1">
        <v>46210.240995370368</v>
      </c>
      <c r="E6576" t="s">
        <v>42</v>
      </c>
      <c r="F6576" t="s">
        <v>83</v>
      </c>
      <c r="G6576">
        <v>50</v>
      </c>
      <c r="H6576">
        <v>33054</v>
      </c>
      <c r="I6576" t="s">
        <v>3811</v>
      </c>
      <c r="J6576">
        <v>72</v>
      </c>
      <c r="K6576">
        <v>75</v>
      </c>
      <c r="L6576">
        <v>98</v>
      </c>
      <c r="M6576">
        <v>630.59997558999999</v>
      </c>
      <c r="N6576" t="s">
        <v>87</v>
      </c>
      <c r="O6576" t="s">
        <v>86</v>
      </c>
      <c r="P6576">
        <v>131</v>
      </c>
      <c r="Q6576">
        <v>6</v>
      </c>
      <c r="R6576">
        <v>49</v>
      </c>
      <c r="S6576">
        <v>1410</v>
      </c>
      <c r="T6576">
        <v>-40</v>
      </c>
      <c r="U6576">
        <v>43</v>
      </c>
      <c r="V6576">
        <v>300</v>
      </c>
      <c r="W6576">
        <v>27</v>
      </c>
      <c r="X6576">
        <v>27</v>
      </c>
      <c r="Y6576">
        <v>1</v>
      </c>
      <c r="Z6576">
        <v>1</v>
      </c>
      <c r="AA6576">
        <v>25</v>
      </c>
      <c r="AB6576">
        <v>2</v>
      </c>
      <c r="AC6576">
        <v>2</v>
      </c>
      <c r="AD6576">
        <v>3.2929999799999998</v>
      </c>
      <c r="AE6576">
        <v>5</v>
      </c>
      <c r="AF6576">
        <v>38</v>
      </c>
      <c r="AG6576">
        <v>3.2820000600000001</v>
      </c>
      <c r="AH6576">
        <v>8</v>
      </c>
      <c r="AI6576">
        <v>35</v>
      </c>
      <c r="AJ6576">
        <v>1</v>
      </c>
      <c r="AK6576">
        <v>27</v>
      </c>
      <c r="AL6576">
        <v>35</v>
      </c>
      <c r="AM6576" t="s">
        <v>43</v>
      </c>
      <c r="AN6576" t="str">
        <f>HYPERLINK("https://www.google.com/maps?q=10.76678944,79.65537262","Open Location")</f>
        <v>Open Location</v>
      </c>
    </row>
    <row r="6577" spans="1:40" x14ac:dyDescent="0.3">
      <c r="A6577" s="1">
        <v>46210.238078703704</v>
      </c>
      <c r="B6577" t="s">
        <v>40</v>
      </c>
      <c r="C6577" t="s">
        <v>41</v>
      </c>
      <c r="D6577" s="1">
        <v>46210.240891203706</v>
      </c>
      <c r="E6577" t="s">
        <v>42</v>
      </c>
      <c r="F6577" t="s">
        <v>83</v>
      </c>
      <c r="G6577">
        <v>45</v>
      </c>
      <c r="H6577" t="s">
        <v>43</v>
      </c>
      <c r="I6577" t="s">
        <v>3812</v>
      </c>
      <c r="J6577">
        <v>72</v>
      </c>
      <c r="K6577">
        <v>153</v>
      </c>
      <c r="L6577">
        <v>98</v>
      </c>
      <c r="M6577">
        <v>627.59997558999999</v>
      </c>
      <c r="N6577" t="s">
        <v>87</v>
      </c>
      <c r="O6577" t="s">
        <v>86</v>
      </c>
      <c r="P6577">
        <v>131</v>
      </c>
      <c r="Q6577">
        <v>6</v>
      </c>
      <c r="R6577">
        <v>-4</v>
      </c>
      <c r="S6577">
        <v>1378</v>
      </c>
      <c r="T6577">
        <v>-40</v>
      </c>
      <c r="U6577">
        <v>42</v>
      </c>
      <c r="V6577">
        <v>600</v>
      </c>
      <c r="W6577">
        <v>27</v>
      </c>
      <c r="X6577">
        <v>27</v>
      </c>
      <c r="Y6577">
        <v>1</v>
      </c>
      <c r="Z6577">
        <v>1</v>
      </c>
      <c r="AA6577">
        <v>25</v>
      </c>
      <c r="AB6577">
        <v>2</v>
      </c>
      <c r="AC6577">
        <v>2</v>
      </c>
      <c r="AD6577">
        <v>3.28900003</v>
      </c>
      <c r="AE6577">
        <v>5</v>
      </c>
      <c r="AF6577">
        <v>38</v>
      </c>
      <c r="AG6577">
        <v>3.2750001000000002</v>
      </c>
      <c r="AH6577">
        <v>8</v>
      </c>
      <c r="AI6577">
        <v>35</v>
      </c>
      <c r="AJ6577">
        <v>1</v>
      </c>
      <c r="AK6577">
        <v>27</v>
      </c>
      <c r="AL6577">
        <v>35</v>
      </c>
      <c r="AM6577" t="s">
        <v>43</v>
      </c>
      <c r="AN6577" t="str">
        <f>HYPERLINK("https://www.google.com/maps?q=10.76691723,79.65389252","Open Location")</f>
        <v>Open Location</v>
      </c>
    </row>
    <row r="6578" spans="1:40" x14ac:dyDescent="0.3">
      <c r="A6578" s="1">
        <v>46210.237962962965</v>
      </c>
      <c r="B6578" t="s">
        <v>40</v>
      </c>
      <c r="C6578" t="s">
        <v>41</v>
      </c>
      <c r="D6578" s="1">
        <v>46210.241030092591</v>
      </c>
      <c r="E6578" t="s">
        <v>42</v>
      </c>
      <c r="F6578" t="s">
        <v>83</v>
      </c>
      <c r="G6578">
        <v>52</v>
      </c>
      <c r="H6578">
        <v>33054</v>
      </c>
      <c r="I6578" t="s">
        <v>3813</v>
      </c>
      <c r="J6578">
        <v>72</v>
      </c>
      <c r="K6578">
        <v>-57</v>
      </c>
      <c r="L6578">
        <v>98</v>
      </c>
      <c r="M6578">
        <v>637.09997558999999</v>
      </c>
      <c r="N6578" t="s">
        <v>87</v>
      </c>
      <c r="O6578" t="s">
        <v>86</v>
      </c>
      <c r="P6578">
        <v>131</v>
      </c>
      <c r="Q6578">
        <v>6</v>
      </c>
      <c r="R6578">
        <v>51</v>
      </c>
      <c r="S6578">
        <v>1299</v>
      </c>
      <c r="T6578">
        <v>-40</v>
      </c>
      <c r="U6578">
        <v>42</v>
      </c>
      <c r="V6578">
        <v>-300</v>
      </c>
      <c r="W6578">
        <v>27</v>
      </c>
      <c r="X6578">
        <v>27</v>
      </c>
      <c r="Y6578">
        <v>1</v>
      </c>
      <c r="Z6578">
        <v>1</v>
      </c>
      <c r="AA6578">
        <v>25</v>
      </c>
      <c r="AB6578">
        <v>2</v>
      </c>
      <c r="AC6578">
        <v>2</v>
      </c>
      <c r="AD6578">
        <v>3.31599998</v>
      </c>
      <c r="AE6578">
        <v>1</v>
      </c>
      <c r="AF6578">
        <v>16</v>
      </c>
      <c r="AG6578">
        <v>3.3110001100000002</v>
      </c>
      <c r="AH6578">
        <v>2</v>
      </c>
      <c r="AI6578">
        <v>6</v>
      </c>
      <c r="AJ6578">
        <v>1</v>
      </c>
      <c r="AK6578">
        <v>27</v>
      </c>
      <c r="AL6578">
        <v>35</v>
      </c>
      <c r="AM6578" t="s">
        <v>43</v>
      </c>
      <c r="AN6578" t="str">
        <f>HYPERLINK("https://www.google.com/maps?q=10.76717472,79.65242767","Open Location")</f>
        <v>Open Location</v>
      </c>
    </row>
    <row r="6579" spans="1:40" x14ac:dyDescent="0.3">
      <c r="A6579" s="1">
        <v>46210.237847222219</v>
      </c>
      <c r="B6579" t="s">
        <v>40</v>
      </c>
      <c r="C6579" t="s">
        <v>41</v>
      </c>
      <c r="D6579" s="1">
        <v>46210.240601851852</v>
      </c>
      <c r="E6579" t="s">
        <v>42</v>
      </c>
      <c r="F6579" t="s">
        <v>83</v>
      </c>
      <c r="G6579">
        <v>49</v>
      </c>
      <c r="H6579">
        <v>33054</v>
      </c>
      <c r="I6579" t="s">
        <v>43</v>
      </c>
      <c r="J6579">
        <v>72</v>
      </c>
      <c r="K6579">
        <v>82</v>
      </c>
      <c r="L6579">
        <v>98</v>
      </c>
      <c r="M6579">
        <v>630.20001220999995</v>
      </c>
      <c r="N6579" t="s">
        <v>87</v>
      </c>
      <c r="O6579" t="s">
        <v>86</v>
      </c>
      <c r="P6579">
        <v>131</v>
      </c>
      <c r="Q6579">
        <v>6</v>
      </c>
      <c r="R6579">
        <v>54</v>
      </c>
      <c r="S6579">
        <v>1440</v>
      </c>
      <c r="T6579">
        <v>-40</v>
      </c>
      <c r="U6579">
        <v>42</v>
      </c>
      <c r="V6579">
        <v>300</v>
      </c>
      <c r="W6579">
        <v>27</v>
      </c>
      <c r="X6579">
        <v>27</v>
      </c>
      <c r="Y6579">
        <v>1</v>
      </c>
      <c r="Z6579">
        <v>1</v>
      </c>
      <c r="AA6579">
        <v>25</v>
      </c>
      <c r="AB6579">
        <v>2</v>
      </c>
      <c r="AC6579">
        <v>2</v>
      </c>
      <c r="AD6579">
        <v>3.28500009</v>
      </c>
      <c r="AE6579">
        <v>5</v>
      </c>
      <c r="AF6579">
        <v>38</v>
      </c>
      <c r="AG6579">
        <v>3.27099991</v>
      </c>
      <c r="AH6579">
        <v>8</v>
      </c>
      <c r="AI6579">
        <v>35</v>
      </c>
      <c r="AJ6579">
        <v>1</v>
      </c>
      <c r="AK6579">
        <v>27</v>
      </c>
      <c r="AL6579">
        <v>35</v>
      </c>
      <c r="AM6579" t="s">
        <v>43</v>
      </c>
      <c r="AN6579" t="s">
        <v>43</v>
      </c>
    </row>
    <row r="6580" spans="1:40" x14ac:dyDescent="0.3">
      <c r="A6580" s="1">
        <v>46210.23773148148</v>
      </c>
      <c r="B6580" t="s">
        <v>40</v>
      </c>
      <c r="C6580" t="s">
        <v>41</v>
      </c>
      <c r="D6580" s="1">
        <v>46210.240659722222</v>
      </c>
      <c r="E6580" t="s">
        <v>42</v>
      </c>
      <c r="F6580" t="s">
        <v>83</v>
      </c>
      <c r="G6580">
        <v>48</v>
      </c>
      <c r="H6580">
        <v>33054</v>
      </c>
      <c r="I6580" t="s">
        <v>3814</v>
      </c>
      <c r="J6580">
        <v>72</v>
      </c>
      <c r="K6580">
        <v>73</v>
      </c>
      <c r="L6580">
        <v>98</v>
      </c>
      <c r="M6580">
        <v>630.59997558999999</v>
      </c>
      <c r="N6580" t="s">
        <v>87</v>
      </c>
      <c r="O6580" t="s">
        <v>86</v>
      </c>
      <c r="P6580">
        <v>131</v>
      </c>
      <c r="Q6580">
        <v>6</v>
      </c>
      <c r="R6580">
        <v>42</v>
      </c>
      <c r="S6580">
        <v>1362</v>
      </c>
      <c r="T6580">
        <v>-40</v>
      </c>
      <c r="U6580">
        <v>42</v>
      </c>
      <c r="V6580">
        <v>300</v>
      </c>
      <c r="W6580">
        <v>27</v>
      </c>
      <c r="X6580">
        <v>27</v>
      </c>
      <c r="Y6580">
        <v>1</v>
      </c>
      <c r="Z6580">
        <v>1</v>
      </c>
      <c r="AA6580">
        <v>25</v>
      </c>
      <c r="AB6580">
        <v>2</v>
      </c>
      <c r="AC6580">
        <v>2</v>
      </c>
      <c r="AD6580">
        <v>3.2959999999999998</v>
      </c>
      <c r="AE6580">
        <v>5</v>
      </c>
      <c r="AF6580">
        <v>38</v>
      </c>
      <c r="AG6580">
        <v>3.28600001</v>
      </c>
      <c r="AH6580">
        <v>6</v>
      </c>
      <c r="AI6580">
        <v>24</v>
      </c>
      <c r="AJ6580">
        <v>1</v>
      </c>
      <c r="AK6580">
        <v>27</v>
      </c>
      <c r="AL6580">
        <v>35</v>
      </c>
      <c r="AM6580" t="s">
        <v>43</v>
      </c>
      <c r="AN6580" t="str">
        <f>HYPERLINK("https://www.google.com/maps?q=10.76750755,79.65090179","Open Location")</f>
        <v>Open Location</v>
      </c>
    </row>
    <row r="6581" spans="1:40" x14ac:dyDescent="0.3">
      <c r="A6581" s="1">
        <v>46210.237615740742</v>
      </c>
      <c r="B6581" t="s">
        <v>40</v>
      </c>
      <c r="C6581" t="s">
        <v>41</v>
      </c>
      <c r="D6581" s="1">
        <v>46210.240393518521</v>
      </c>
      <c r="E6581" t="s">
        <v>42</v>
      </c>
      <c r="F6581" t="s">
        <v>83</v>
      </c>
      <c r="G6581">
        <v>48</v>
      </c>
      <c r="H6581">
        <v>33053</v>
      </c>
      <c r="I6581" t="s">
        <v>3815</v>
      </c>
      <c r="J6581">
        <v>72</v>
      </c>
      <c r="K6581">
        <v>96</v>
      </c>
      <c r="L6581">
        <v>98</v>
      </c>
      <c r="M6581">
        <v>630</v>
      </c>
      <c r="N6581" t="s">
        <v>87</v>
      </c>
      <c r="O6581" t="s">
        <v>86</v>
      </c>
      <c r="P6581">
        <v>131</v>
      </c>
      <c r="Q6581">
        <v>6</v>
      </c>
      <c r="R6581">
        <v>24</v>
      </c>
      <c r="S6581">
        <v>1346</v>
      </c>
      <c r="T6581">
        <v>-40</v>
      </c>
      <c r="U6581">
        <v>42</v>
      </c>
      <c r="V6581">
        <v>420</v>
      </c>
      <c r="W6581">
        <v>27</v>
      </c>
      <c r="X6581">
        <v>27</v>
      </c>
      <c r="Y6581">
        <v>1</v>
      </c>
      <c r="Z6581">
        <v>1</v>
      </c>
      <c r="AA6581">
        <v>25</v>
      </c>
      <c r="AB6581">
        <v>2</v>
      </c>
      <c r="AC6581">
        <v>2</v>
      </c>
      <c r="AD6581">
        <v>3.2929999799999998</v>
      </c>
      <c r="AE6581">
        <v>5</v>
      </c>
      <c r="AF6581">
        <v>38</v>
      </c>
      <c r="AG6581">
        <v>3.2820000600000001</v>
      </c>
      <c r="AH6581">
        <v>2</v>
      </c>
      <c r="AI6581">
        <v>46</v>
      </c>
      <c r="AJ6581">
        <v>1</v>
      </c>
      <c r="AK6581">
        <v>27</v>
      </c>
      <c r="AL6581">
        <v>35</v>
      </c>
      <c r="AM6581" t="s">
        <v>43</v>
      </c>
      <c r="AN6581" t="str">
        <f>HYPERLINK("https://www.google.com/maps?q=10.76780701,79.64943695","Open Location")</f>
        <v>Open Location</v>
      </c>
    </row>
    <row r="6582" spans="1:40" x14ac:dyDescent="0.3">
      <c r="A6582" s="1">
        <v>46210.237500000003</v>
      </c>
      <c r="B6582" t="s">
        <v>40</v>
      </c>
      <c r="C6582" t="s">
        <v>41</v>
      </c>
      <c r="D6582" s="1">
        <v>46210.240393518521</v>
      </c>
      <c r="E6582" t="s">
        <v>42</v>
      </c>
      <c r="F6582" t="s">
        <v>83</v>
      </c>
      <c r="G6582">
        <v>46</v>
      </c>
      <c r="H6582">
        <v>33053</v>
      </c>
      <c r="I6582" t="s">
        <v>3816</v>
      </c>
      <c r="J6582">
        <v>72</v>
      </c>
      <c r="K6582">
        <v>47</v>
      </c>
      <c r="L6582">
        <v>98</v>
      </c>
      <c r="M6582">
        <v>631.79998779000005</v>
      </c>
      <c r="N6582" t="s">
        <v>87</v>
      </c>
      <c r="O6582" t="s">
        <v>86</v>
      </c>
      <c r="P6582">
        <v>131</v>
      </c>
      <c r="Q6582">
        <v>6</v>
      </c>
      <c r="R6582">
        <v>45</v>
      </c>
      <c r="S6582">
        <v>1328</v>
      </c>
      <c r="T6582">
        <v>-40</v>
      </c>
      <c r="U6582">
        <v>43</v>
      </c>
      <c r="V6582">
        <v>180</v>
      </c>
      <c r="W6582">
        <v>27</v>
      </c>
      <c r="X6582">
        <v>27</v>
      </c>
      <c r="Y6582">
        <v>1</v>
      </c>
      <c r="Z6582">
        <v>1</v>
      </c>
      <c r="AA6582">
        <v>25</v>
      </c>
      <c r="AB6582">
        <v>2</v>
      </c>
      <c r="AC6582">
        <v>2</v>
      </c>
      <c r="AD6582">
        <v>3.2909998900000001</v>
      </c>
      <c r="AE6582">
        <v>5</v>
      </c>
      <c r="AF6582">
        <v>38</v>
      </c>
      <c r="AG6582">
        <v>3.2780001200000002</v>
      </c>
      <c r="AH6582">
        <v>8</v>
      </c>
      <c r="AI6582">
        <v>35</v>
      </c>
      <c r="AJ6582">
        <v>1</v>
      </c>
      <c r="AK6582">
        <v>27</v>
      </c>
      <c r="AL6582">
        <v>35</v>
      </c>
      <c r="AM6582" t="s">
        <v>43</v>
      </c>
      <c r="AN6582" t="str">
        <f>HYPERLINK("https://www.google.com/maps?q=10.76741409,79.64791107","Open Location")</f>
        <v>Open Location</v>
      </c>
    </row>
    <row r="6583" spans="1:40" x14ac:dyDescent="0.3">
      <c r="A6583" s="1">
        <v>46210.237384259257</v>
      </c>
      <c r="B6583" t="s">
        <v>40</v>
      </c>
      <c r="C6583" t="s">
        <v>41</v>
      </c>
      <c r="D6583" s="1">
        <v>46210.24015046296</v>
      </c>
      <c r="E6583" t="s">
        <v>42</v>
      </c>
      <c r="F6583" t="s">
        <v>83</v>
      </c>
      <c r="G6583">
        <v>43</v>
      </c>
      <c r="H6583">
        <v>33053</v>
      </c>
      <c r="I6583" t="s">
        <v>3817</v>
      </c>
      <c r="J6583">
        <v>73</v>
      </c>
      <c r="K6583">
        <v>82</v>
      </c>
      <c r="L6583">
        <v>98</v>
      </c>
      <c r="M6583">
        <v>631.09997558999999</v>
      </c>
      <c r="N6583" t="s">
        <v>87</v>
      </c>
      <c r="O6583" t="s">
        <v>86</v>
      </c>
      <c r="P6583">
        <v>131</v>
      </c>
      <c r="Q6583">
        <v>6</v>
      </c>
      <c r="R6583">
        <v>36</v>
      </c>
      <c r="S6583">
        <v>1241</v>
      </c>
      <c r="T6583">
        <v>-40</v>
      </c>
      <c r="U6583">
        <v>41</v>
      </c>
      <c r="V6583">
        <v>360</v>
      </c>
      <c r="W6583">
        <v>27</v>
      </c>
      <c r="X6583">
        <v>27</v>
      </c>
      <c r="Y6583">
        <v>1</v>
      </c>
      <c r="Z6583">
        <v>1</v>
      </c>
      <c r="AA6583">
        <v>25</v>
      </c>
      <c r="AB6583">
        <v>2</v>
      </c>
      <c r="AC6583">
        <v>2</v>
      </c>
      <c r="AD6583">
        <v>3.2939999100000001</v>
      </c>
      <c r="AE6583">
        <v>5</v>
      </c>
      <c r="AF6583">
        <v>38</v>
      </c>
      <c r="AG6583">
        <v>3.28299999</v>
      </c>
      <c r="AH6583">
        <v>4</v>
      </c>
      <c r="AI6583">
        <v>17</v>
      </c>
      <c r="AJ6583">
        <v>1</v>
      </c>
      <c r="AK6583">
        <v>27</v>
      </c>
      <c r="AL6583">
        <v>35</v>
      </c>
      <c r="AM6583" t="s">
        <v>43</v>
      </c>
      <c r="AN6583" t="str">
        <f>HYPERLINK("https://www.google.com/maps?q=10.76669312,79.64678192","Open Location")</f>
        <v>Open Location</v>
      </c>
    </row>
    <row r="6584" spans="1:40" x14ac:dyDescent="0.3">
      <c r="A6584" s="1">
        <v>46210.237268518518</v>
      </c>
      <c r="B6584" t="s">
        <v>40</v>
      </c>
      <c r="C6584" t="s">
        <v>41</v>
      </c>
      <c r="D6584" s="1">
        <v>46210.240115740744</v>
      </c>
      <c r="E6584" t="s">
        <v>42</v>
      </c>
      <c r="F6584" t="s">
        <v>83</v>
      </c>
      <c r="G6584">
        <v>44</v>
      </c>
      <c r="H6584" t="s">
        <v>43</v>
      </c>
      <c r="I6584" t="s">
        <v>3818</v>
      </c>
      <c r="J6584">
        <v>73</v>
      </c>
      <c r="K6584">
        <v>36</v>
      </c>
      <c r="L6584">
        <v>98</v>
      </c>
      <c r="M6584">
        <v>633.40002441000001</v>
      </c>
      <c r="N6584" t="s">
        <v>87</v>
      </c>
      <c r="O6584" t="s">
        <v>86</v>
      </c>
      <c r="P6584">
        <v>131</v>
      </c>
      <c r="Q6584">
        <v>6</v>
      </c>
      <c r="R6584">
        <v>25</v>
      </c>
      <c r="S6584">
        <v>1198</v>
      </c>
      <c r="T6584">
        <v>-40</v>
      </c>
      <c r="U6584">
        <v>42</v>
      </c>
      <c r="V6584">
        <v>160</v>
      </c>
      <c r="W6584">
        <v>27</v>
      </c>
      <c r="X6584">
        <v>27</v>
      </c>
      <c r="Y6584">
        <v>1</v>
      </c>
      <c r="Z6584">
        <v>1</v>
      </c>
      <c r="AA6584">
        <v>25</v>
      </c>
      <c r="AB6584">
        <v>2</v>
      </c>
      <c r="AC6584">
        <v>2</v>
      </c>
      <c r="AD6584">
        <v>3.3029999700000001</v>
      </c>
      <c r="AE6584">
        <v>5</v>
      </c>
      <c r="AF6584">
        <v>38</v>
      </c>
      <c r="AG6584">
        <v>3.2950000799999999</v>
      </c>
      <c r="AH6584">
        <v>6</v>
      </c>
      <c r="AI6584">
        <v>24</v>
      </c>
      <c r="AJ6584">
        <v>1</v>
      </c>
      <c r="AK6584">
        <v>27</v>
      </c>
      <c r="AL6584">
        <v>35</v>
      </c>
      <c r="AM6584" t="s">
        <v>43</v>
      </c>
      <c r="AN6584" t="str">
        <f>HYPERLINK("https://www.google.com/maps?q=10.76543331,79.64640045","Open Location")</f>
        <v>Open Location</v>
      </c>
    </row>
    <row r="6585" spans="1:40" x14ac:dyDescent="0.3">
      <c r="A6585" s="1">
        <v>46210.23715277778</v>
      </c>
      <c r="B6585" t="s">
        <v>40</v>
      </c>
      <c r="C6585" t="s">
        <v>41</v>
      </c>
      <c r="D6585" s="1">
        <v>46210.24015046296</v>
      </c>
      <c r="E6585" t="s">
        <v>42</v>
      </c>
      <c r="F6585" t="s">
        <v>83</v>
      </c>
      <c r="G6585">
        <v>40</v>
      </c>
      <c r="H6585">
        <v>33053</v>
      </c>
      <c r="I6585" t="s">
        <v>43</v>
      </c>
      <c r="J6585">
        <v>73</v>
      </c>
      <c r="K6585">
        <v>46</v>
      </c>
      <c r="L6585">
        <v>98</v>
      </c>
      <c r="M6585">
        <v>632</v>
      </c>
      <c r="N6585" t="s">
        <v>87</v>
      </c>
      <c r="O6585" t="s">
        <v>86</v>
      </c>
      <c r="P6585">
        <v>130</v>
      </c>
      <c r="Q6585">
        <v>6</v>
      </c>
      <c r="R6585">
        <v>0</v>
      </c>
      <c r="S6585">
        <v>1226</v>
      </c>
      <c r="T6585">
        <v>-40</v>
      </c>
      <c r="U6585">
        <v>42</v>
      </c>
      <c r="V6585">
        <v>200</v>
      </c>
      <c r="W6585">
        <v>27</v>
      </c>
      <c r="X6585">
        <v>27</v>
      </c>
      <c r="Y6585">
        <v>1</v>
      </c>
      <c r="Z6585">
        <v>1</v>
      </c>
      <c r="AA6585">
        <v>25</v>
      </c>
      <c r="AB6585">
        <v>2</v>
      </c>
      <c r="AC6585">
        <v>2</v>
      </c>
      <c r="AD6585">
        <v>3.2980000999999999</v>
      </c>
      <c r="AE6585">
        <v>5</v>
      </c>
      <c r="AF6585">
        <v>38</v>
      </c>
      <c r="AG6585">
        <v>3.28900003</v>
      </c>
      <c r="AH6585">
        <v>4</v>
      </c>
      <c r="AI6585">
        <v>17</v>
      </c>
      <c r="AJ6585">
        <v>1</v>
      </c>
      <c r="AK6585">
        <v>27</v>
      </c>
      <c r="AL6585">
        <v>35</v>
      </c>
      <c r="AM6585" t="s">
        <v>43</v>
      </c>
      <c r="AN6585" t="s">
        <v>43</v>
      </c>
    </row>
    <row r="6586" spans="1:40" x14ac:dyDescent="0.3">
      <c r="A6586" s="1">
        <v>46210.237037037034</v>
      </c>
      <c r="B6586" t="s">
        <v>40</v>
      </c>
      <c r="C6586" t="s">
        <v>41</v>
      </c>
      <c r="D6586" s="1">
        <v>46210.239872685182</v>
      </c>
      <c r="E6586" t="s">
        <v>42</v>
      </c>
      <c r="F6586" t="s">
        <v>83</v>
      </c>
      <c r="G6586">
        <v>27</v>
      </c>
      <c r="H6586">
        <v>33053</v>
      </c>
      <c r="I6586" t="s">
        <v>3819</v>
      </c>
      <c r="J6586">
        <v>73</v>
      </c>
      <c r="K6586">
        <v>60</v>
      </c>
      <c r="L6586">
        <v>98</v>
      </c>
      <c r="M6586">
        <v>631.09997558999999</v>
      </c>
      <c r="N6586" t="s">
        <v>87</v>
      </c>
      <c r="O6586" t="s">
        <v>86</v>
      </c>
      <c r="P6586">
        <v>130</v>
      </c>
      <c r="Q6586">
        <v>5</v>
      </c>
      <c r="R6586">
        <v>57</v>
      </c>
      <c r="S6586">
        <v>1761</v>
      </c>
      <c r="T6586">
        <v>-40</v>
      </c>
      <c r="U6586">
        <v>43</v>
      </c>
      <c r="V6586">
        <v>180</v>
      </c>
      <c r="W6586">
        <v>27</v>
      </c>
      <c r="X6586">
        <v>27</v>
      </c>
      <c r="Y6586">
        <v>1</v>
      </c>
      <c r="Z6586">
        <v>1</v>
      </c>
      <c r="AA6586">
        <v>25</v>
      </c>
      <c r="AB6586">
        <v>2</v>
      </c>
      <c r="AC6586">
        <v>2</v>
      </c>
      <c r="AD6586">
        <v>3.2999999500000001</v>
      </c>
      <c r="AE6586">
        <v>5</v>
      </c>
      <c r="AF6586">
        <v>38</v>
      </c>
      <c r="AG6586">
        <v>3.2909998900000001</v>
      </c>
      <c r="AH6586">
        <v>2</v>
      </c>
      <c r="AI6586">
        <v>46</v>
      </c>
      <c r="AJ6586">
        <v>1</v>
      </c>
      <c r="AK6586">
        <v>27</v>
      </c>
      <c r="AL6586">
        <v>35</v>
      </c>
      <c r="AM6586" t="s">
        <v>43</v>
      </c>
      <c r="AN6586" t="str">
        <f>HYPERLINK("https://www.google.com/maps?q=10.7641716,79.64619446","Open Location")</f>
        <v>Open Location</v>
      </c>
    </row>
    <row r="6587" spans="1:40" x14ac:dyDescent="0.3">
      <c r="A6587" s="1">
        <v>46210.236921296295</v>
      </c>
      <c r="B6587" t="s">
        <v>40</v>
      </c>
      <c r="C6587" t="s">
        <v>41</v>
      </c>
      <c r="D6587" s="1">
        <v>46210.239583333336</v>
      </c>
      <c r="E6587" t="s">
        <v>42</v>
      </c>
      <c r="F6587" t="s">
        <v>83</v>
      </c>
      <c r="G6587">
        <v>8</v>
      </c>
      <c r="H6587" t="s">
        <v>43</v>
      </c>
      <c r="I6587" t="s">
        <v>3820</v>
      </c>
      <c r="J6587">
        <v>73</v>
      </c>
      <c r="K6587">
        <v>22</v>
      </c>
      <c r="L6587">
        <v>98</v>
      </c>
      <c r="M6587">
        <v>634.29998779000005</v>
      </c>
      <c r="N6587" t="s">
        <v>87</v>
      </c>
      <c r="O6587" t="s">
        <v>86</v>
      </c>
      <c r="P6587">
        <v>127</v>
      </c>
      <c r="Q6587">
        <v>3</v>
      </c>
      <c r="R6587">
        <v>12</v>
      </c>
      <c r="S6587">
        <v>1827</v>
      </c>
      <c r="T6587">
        <v>-40</v>
      </c>
      <c r="U6587">
        <v>41</v>
      </c>
      <c r="V6587">
        <v>0</v>
      </c>
      <c r="W6587">
        <v>27</v>
      </c>
      <c r="X6587">
        <v>27</v>
      </c>
      <c r="Y6587">
        <v>1</v>
      </c>
      <c r="Z6587">
        <v>1</v>
      </c>
      <c r="AA6587">
        <v>25</v>
      </c>
      <c r="AB6587">
        <v>2</v>
      </c>
      <c r="AC6587">
        <v>2</v>
      </c>
      <c r="AD6587">
        <v>3.3080000900000002</v>
      </c>
      <c r="AE6587">
        <v>1</v>
      </c>
      <c r="AF6587">
        <v>25</v>
      </c>
      <c r="AG6587">
        <v>3.2999999500000001</v>
      </c>
      <c r="AH6587">
        <v>8</v>
      </c>
      <c r="AI6587">
        <v>35</v>
      </c>
      <c r="AJ6587">
        <v>1</v>
      </c>
      <c r="AK6587">
        <v>28</v>
      </c>
      <c r="AL6587">
        <v>35</v>
      </c>
      <c r="AM6587" t="s">
        <v>43</v>
      </c>
      <c r="AN6587" t="str">
        <f>HYPERLINK("https://www.google.com/maps?q=10.76327419,79.64604187","Open Location")</f>
        <v>Open Location</v>
      </c>
    </row>
    <row r="6588" spans="1:40" x14ac:dyDescent="0.3">
      <c r="A6588" s="1">
        <v>46210.236805555556</v>
      </c>
      <c r="B6588" t="s">
        <v>40</v>
      </c>
      <c r="C6588" t="s">
        <v>41</v>
      </c>
      <c r="D6588" s="1">
        <v>46210.239583333336</v>
      </c>
      <c r="E6588" t="s">
        <v>42</v>
      </c>
      <c r="F6588" t="s">
        <v>83</v>
      </c>
      <c r="G6588">
        <v>14</v>
      </c>
      <c r="H6588">
        <v>33053</v>
      </c>
      <c r="I6588" t="s">
        <v>3821</v>
      </c>
      <c r="J6588">
        <v>73</v>
      </c>
      <c r="K6588">
        <v>4</v>
      </c>
      <c r="L6588">
        <v>98</v>
      </c>
      <c r="M6588">
        <v>635</v>
      </c>
      <c r="N6588" t="s">
        <v>87</v>
      </c>
      <c r="O6588" t="s">
        <v>86</v>
      </c>
      <c r="P6588">
        <v>129</v>
      </c>
      <c r="Q6588">
        <v>4</v>
      </c>
      <c r="R6588">
        <v>-13</v>
      </c>
      <c r="S6588">
        <v>1474</v>
      </c>
      <c r="T6588">
        <v>-40</v>
      </c>
      <c r="U6588">
        <v>41</v>
      </c>
      <c r="V6588">
        <v>5</v>
      </c>
      <c r="W6588">
        <v>27</v>
      </c>
      <c r="X6588">
        <v>27</v>
      </c>
      <c r="Y6588">
        <v>1</v>
      </c>
      <c r="Z6588">
        <v>1</v>
      </c>
      <c r="AA6588">
        <v>25</v>
      </c>
      <c r="AB6588">
        <v>2</v>
      </c>
      <c r="AC6588">
        <v>2</v>
      </c>
      <c r="AD6588">
        <v>3.3139998899999998</v>
      </c>
      <c r="AE6588">
        <v>1</v>
      </c>
      <c r="AF6588">
        <v>29</v>
      </c>
      <c r="AG6588">
        <v>3.30900002</v>
      </c>
      <c r="AH6588">
        <v>2</v>
      </c>
      <c r="AI6588">
        <v>3</v>
      </c>
      <c r="AJ6588">
        <v>1</v>
      </c>
      <c r="AK6588">
        <v>27</v>
      </c>
      <c r="AL6588">
        <v>35</v>
      </c>
      <c r="AM6588" t="s">
        <v>43</v>
      </c>
      <c r="AN6588" t="str">
        <f>HYPERLINK("https://www.google.com/maps?q=10.7629776,79.64598846","Open Location")</f>
        <v>Open Location</v>
      </c>
    </row>
    <row r="6589" spans="1:40" x14ac:dyDescent="0.3">
      <c r="A6589" s="1">
        <v>46210.236689814818</v>
      </c>
      <c r="B6589" t="s">
        <v>40</v>
      </c>
      <c r="C6589" t="s">
        <v>41</v>
      </c>
      <c r="D6589" s="1">
        <v>46210.23940972222</v>
      </c>
      <c r="E6589" t="s">
        <v>42</v>
      </c>
      <c r="F6589" t="s">
        <v>83</v>
      </c>
      <c r="G6589">
        <v>7</v>
      </c>
      <c r="H6589">
        <v>33053</v>
      </c>
      <c r="I6589" t="s">
        <v>3822</v>
      </c>
      <c r="J6589">
        <v>73</v>
      </c>
      <c r="K6589">
        <v>23</v>
      </c>
      <c r="L6589">
        <v>98</v>
      </c>
      <c r="M6589">
        <v>634.29998779000005</v>
      </c>
      <c r="N6589" t="s">
        <v>87</v>
      </c>
      <c r="O6589" t="s">
        <v>86</v>
      </c>
      <c r="P6589">
        <v>127</v>
      </c>
      <c r="Q6589">
        <v>2</v>
      </c>
      <c r="R6589">
        <v>63</v>
      </c>
      <c r="S6589">
        <v>1161</v>
      </c>
      <c r="T6589">
        <v>-40</v>
      </c>
      <c r="U6589">
        <v>41</v>
      </c>
      <c r="V6589">
        <v>100</v>
      </c>
      <c r="W6589">
        <v>27</v>
      </c>
      <c r="X6589">
        <v>27</v>
      </c>
      <c r="Y6589">
        <v>1</v>
      </c>
      <c r="Z6589">
        <v>1</v>
      </c>
      <c r="AA6589">
        <v>25</v>
      </c>
      <c r="AB6589">
        <v>2</v>
      </c>
      <c r="AC6589">
        <v>2</v>
      </c>
      <c r="AD6589">
        <v>3.2990000199999998</v>
      </c>
      <c r="AE6589">
        <v>1</v>
      </c>
      <c r="AF6589">
        <v>25</v>
      </c>
      <c r="AG6589">
        <v>3.28900003</v>
      </c>
      <c r="AH6589">
        <v>8</v>
      </c>
      <c r="AI6589">
        <v>35</v>
      </c>
      <c r="AJ6589">
        <v>1</v>
      </c>
      <c r="AK6589">
        <v>27</v>
      </c>
      <c r="AL6589">
        <v>34</v>
      </c>
      <c r="AM6589" t="s">
        <v>43</v>
      </c>
      <c r="AN6589" t="str">
        <f>HYPERLINK("https://www.google.com/maps?q=10.76257038,79.6459198","Open Location")</f>
        <v>Open Location</v>
      </c>
    </row>
    <row r="6590" spans="1:40" x14ac:dyDescent="0.3">
      <c r="A6590" s="1">
        <v>46210.236574074072</v>
      </c>
      <c r="B6590" t="s">
        <v>40</v>
      </c>
      <c r="C6590" t="s">
        <v>41</v>
      </c>
      <c r="D6590" s="1">
        <v>46210.239583333336</v>
      </c>
      <c r="E6590" t="s">
        <v>42</v>
      </c>
      <c r="F6590" t="s">
        <v>83</v>
      </c>
      <c r="G6590">
        <v>20</v>
      </c>
      <c r="H6590" t="s">
        <v>43</v>
      </c>
      <c r="I6590" t="s">
        <v>3823</v>
      </c>
      <c r="J6590">
        <v>73</v>
      </c>
      <c r="K6590">
        <v>2</v>
      </c>
      <c r="L6590">
        <v>98</v>
      </c>
      <c r="M6590">
        <v>635.20001220999995</v>
      </c>
      <c r="N6590" t="s">
        <v>87</v>
      </c>
      <c r="O6590" t="s">
        <v>86</v>
      </c>
      <c r="P6590">
        <v>129</v>
      </c>
      <c r="Q6590">
        <v>4</v>
      </c>
      <c r="R6590">
        <v>-23</v>
      </c>
      <c r="S6590">
        <v>1606</v>
      </c>
      <c r="T6590">
        <v>-40</v>
      </c>
      <c r="U6590">
        <v>42</v>
      </c>
      <c r="V6590">
        <v>-5</v>
      </c>
      <c r="W6590">
        <v>27</v>
      </c>
      <c r="X6590">
        <v>27</v>
      </c>
      <c r="Y6590">
        <v>1</v>
      </c>
      <c r="Z6590">
        <v>1</v>
      </c>
      <c r="AA6590">
        <v>25</v>
      </c>
      <c r="AB6590">
        <v>2</v>
      </c>
      <c r="AC6590">
        <v>2</v>
      </c>
      <c r="AD6590">
        <v>3.31299996</v>
      </c>
      <c r="AE6590">
        <v>1</v>
      </c>
      <c r="AF6590">
        <v>16</v>
      </c>
      <c r="AG6590">
        <v>3.3080000900000002</v>
      </c>
      <c r="AH6590">
        <v>2</v>
      </c>
      <c r="AI6590">
        <v>12</v>
      </c>
      <c r="AJ6590">
        <v>1</v>
      </c>
      <c r="AK6590">
        <v>29</v>
      </c>
      <c r="AL6590">
        <v>34</v>
      </c>
      <c r="AM6590" t="s">
        <v>43</v>
      </c>
      <c r="AN6590" t="str">
        <f>HYPERLINK("https://www.google.com/maps?q=10.76220703,79.64585114","Open Location")</f>
        <v>Open Location</v>
      </c>
    </row>
    <row r="6591" spans="1:40" x14ac:dyDescent="0.3">
      <c r="A6591" s="1">
        <v>46210.236458333333</v>
      </c>
      <c r="B6591" t="s">
        <v>40</v>
      </c>
      <c r="C6591" t="s">
        <v>41</v>
      </c>
      <c r="D6591" s="1">
        <v>46210.239490740743</v>
      </c>
      <c r="E6591" t="s">
        <v>42</v>
      </c>
      <c r="F6591" t="s">
        <v>83</v>
      </c>
      <c r="G6591">
        <v>27</v>
      </c>
      <c r="H6591">
        <v>33053</v>
      </c>
      <c r="I6591" t="s">
        <v>43</v>
      </c>
      <c r="J6591">
        <v>73</v>
      </c>
      <c r="K6591">
        <v>45</v>
      </c>
      <c r="L6591">
        <v>98</v>
      </c>
      <c r="M6591">
        <v>633.59997558999999</v>
      </c>
      <c r="N6591" t="s">
        <v>87</v>
      </c>
      <c r="O6591" t="s">
        <v>86</v>
      </c>
      <c r="P6591">
        <v>131</v>
      </c>
      <c r="Q6591">
        <v>4</v>
      </c>
      <c r="R6591">
        <v>-31</v>
      </c>
      <c r="S6591">
        <v>1609</v>
      </c>
      <c r="T6591">
        <v>-40</v>
      </c>
      <c r="U6591">
        <v>44</v>
      </c>
      <c r="V6591">
        <v>140</v>
      </c>
      <c r="W6591">
        <v>27</v>
      </c>
      <c r="X6591">
        <v>27</v>
      </c>
      <c r="Y6591">
        <v>1</v>
      </c>
      <c r="Z6591">
        <v>1</v>
      </c>
      <c r="AA6591">
        <v>25</v>
      </c>
      <c r="AB6591">
        <v>2</v>
      </c>
      <c r="AC6591">
        <v>2</v>
      </c>
      <c r="AD6591">
        <v>3.31200004</v>
      </c>
      <c r="AE6591">
        <v>1</v>
      </c>
      <c r="AF6591">
        <v>16</v>
      </c>
      <c r="AG6591">
        <v>3.30699992</v>
      </c>
      <c r="AH6591">
        <v>2</v>
      </c>
      <c r="AI6591">
        <v>6</v>
      </c>
      <c r="AJ6591">
        <v>1</v>
      </c>
      <c r="AK6591">
        <v>27</v>
      </c>
      <c r="AL6591">
        <v>34</v>
      </c>
      <c r="AM6591" t="s">
        <v>43</v>
      </c>
      <c r="AN6591" t="s">
        <v>43</v>
      </c>
    </row>
    <row r="6592" spans="1:40" x14ac:dyDescent="0.3">
      <c r="A6592" s="1">
        <v>46210.236342592594</v>
      </c>
      <c r="B6592" t="s">
        <v>40</v>
      </c>
      <c r="C6592" t="s">
        <v>41</v>
      </c>
      <c r="D6592" s="1">
        <v>46210.239259259259</v>
      </c>
      <c r="E6592" t="s">
        <v>42</v>
      </c>
      <c r="F6592" t="s">
        <v>83</v>
      </c>
      <c r="G6592">
        <v>45</v>
      </c>
      <c r="H6592">
        <v>33053</v>
      </c>
      <c r="I6592" t="s">
        <v>43</v>
      </c>
      <c r="J6592">
        <v>73</v>
      </c>
      <c r="K6592">
        <v>-128</v>
      </c>
      <c r="L6592">
        <v>98</v>
      </c>
      <c r="M6592">
        <v>638.29998779000005</v>
      </c>
      <c r="N6592" t="s">
        <v>87</v>
      </c>
      <c r="O6592" t="s">
        <v>86</v>
      </c>
      <c r="P6592">
        <v>131</v>
      </c>
      <c r="Q6592">
        <v>6</v>
      </c>
      <c r="R6592">
        <v>82</v>
      </c>
      <c r="S6592">
        <v>932</v>
      </c>
      <c r="T6592">
        <v>-40</v>
      </c>
      <c r="U6592">
        <v>44</v>
      </c>
      <c r="V6592">
        <v>-940</v>
      </c>
      <c r="W6592" t="s">
        <v>43</v>
      </c>
      <c r="X6592" t="s">
        <v>43</v>
      </c>
      <c r="Y6592" t="s">
        <v>43</v>
      </c>
      <c r="Z6592" t="s">
        <v>43</v>
      </c>
      <c r="AA6592" t="s">
        <v>43</v>
      </c>
      <c r="AB6592" t="s">
        <v>43</v>
      </c>
      <c r="AC6592" t="s">
        <v>43</v>
      </c>
      <c r="AD6592" t="s">
        <v>43</v>
      </c>
      <c r="AE6592" t="s">
        <v>43</v>
      </c>
      <c r="AF6592" t="s">
        <v>43</v>
      </c>
      <c r="AG6592" t="s">
        <v>43</v>
      </c>
      <c r="AH6592" t="s">
        <v>43</v>
      </c>
      <c r="AI6592" t="s">
        <v>43</v>
      </c>
      <c r="AJ6592">
        <v>1</v>
      </c>
      <c r="AK6592">
        <v>27</v>
      </c>
      <c r="AL6592">
        <v>34</v>
      </c>
      <c r="AM6592" t="s">
        <v>43</v>
      </c>
      <c r="AN6592" t="s">
        <v>43</v>
      </c>
    </row>
    <row r="6593" spans="1:40" x14ac:dyDescent="0.3">
      <c r="A6593" s="1">
        <v>46210.236226851855</v>
      </c>
      <c r="B6593" t="s">
        <v>40</v>
      </c>
      <c r="C6593" t="s">
        <v>41</v>
      </c>
      <c r="D6593" s="1">
        <v>46210.239189814813</v>
      </c>
      <c r="E6593" t="s">
        <v>42</v>
      </c>
      <c r="F6593" t="s">
        <v>83</v>
      </c>
      <c r="G6593">
        <v>48</v>
      </c>
      <c r="H6593">
        <v>33052</v>
      </c>
      <c r="I6593" t="s">
        <v>3824</v>
      </c>
      <c r="J6593">
        <v>73</v>
      </c>
      <c r="K6593">
        <v>166</v>
      </c>
      <c r="L6593">
        <v>98</v>
      </c>
      <c r="M6593">
        <v>626.70001220999995</v>
      </c>
      <c r="N6593" t="s">
        <v>87</v>
      </c>
      <c r="O6593" t="s">
        <v>86</v>
      </c>
      <c r="P6593">
        <v>131</v>
      </c>
      <c r="Q6593">
        <v>6</v>
      </c>
      <c r="R6593">
        <v>87</v>
      </c>
      <c r="S6593">
        <v>1266</v>
      </c>
      <c r="T6593">
        <v>-40</v>
      </c>
      <c r="U6593">
        <v>42</v>
      </c>
      <c r="V6593">
        <v>724</v>
      </c>
      <c r="W6593">
        <v>27</v>
      </c>
      <c r="X6593">
        <v>27</v>
      </c>
      <c r="Y6593">
        <v>1</v>
      </c>
      <c r="Z6593">
        <v>1</v>
      </c>
      <c r="AA6593">
        <v>25</v>
      </c>
      <c r="AB6593">
        <v>2</v>
      </c>
      <c r="AC6593">
        <v>2</v>
      </c>
      <c r="AD6593">
        <v>3.28600001</v>
      </c>
      <c r="AE6593">
        <v>5</v>
      </c>
      <c r="AF6593">
        <v>38</v>
      </c>
      <c r="AG6593">
        <v>3.2730000000000001</v>
      </c>
      <c r="AH6593">
        <v>4</v>
      </c>
      <c r="AI6593">
        <v>17</v>
      </c>
      <c r="AJ6593">
        <v>1</v>
      </c>
      <c r="AK6593">
        <v>27</v>
      </c>
      <c r="AL6593">
        <v>34</v>
      </c>
      <c r="AM6593" t="s">
        <v>43</v>
      </c>
      <c r="AN6593" t="str">
        <f>HYPERLINK("https://www.google.com/maps?q=10.76059818,79.64469147","Open Location")</f>
        <v>Open Location</v>
      </c>
    </row>
    <row r="6594" spans="1:40" x14ac:dyDescent="0.3">
      <c r="A6594" s="1">
        <v>46210.236111111109</v>
      </c>
      <c r="B6594" t="s">
        <v>40</v>
      </c>
      <c r="C6594" t="s">
        <v>41</v>
      </c>
      <c r="D6594" s="1">
        <v>46210.239189814813</v>
      </c>
      <c r="E6594" t="s">
        <v>42</v>
      </c>
      <c r="F6594" t="s">
        <v>83</v>
      </c>
      <c r="G6594">
        <v>48</v>
      </c>
      <c r="H6594">
        <v>33052</v>
      </c>
      <c r="I6594" t="s">
        <v>3825</v>
      </c>
      <c r="J6594">
        <v>73</v>
      </c>
      <c r="K6594">
        <v>59</v>
      </c>
      <c r="L6594">
        <v>98</v>
      </c>
      <c r="M6594">
        <v>630.59997558999999</v>
      </c>
      <c r="N6594" t="s">
        <v>87</v>
      </c>
      <c r="O6594" t="s">
        <v>86</v>
      </c>
      <c r="P6594">
        <v>131</v>
      </c>
      <c r="Q6594">
        <v>6</v>
      </c>
      <c r="R6594">
        <v>40</v>
      </c>
      <c r="S6594">
        <v>1318</v>
      </c>
      <c r="T6594">
        <v>-40</v>
      </c>
      <c r="U6594">
        <v>44</v>
      </c>
      <c r="V6594">
        <v>260</v>
      </c>
      <c r="W6594">
        <v>27</v>
      </c>
      <c r="X6594">
        <v>27</v>
      </c>
      <c r="Y6594">
        <v>1</v>
      </c>
      <c r="Z6594">
        <v>1</v>
      </c>
      <c r="AA6594">
        <v>25</v>
      </c>
      <c r="AB6594">
        <v>2</v>
      </c>
      <c r="AC6594">
        <v>2</v>
      </c>
      <c r="AD6594">
        <v>3.2980000999999999</v>
      </c>
      <c r="AE6594">
        <v>5</v>
      </c>
      <c r="AF6594">
        <v>38</v>
      </c>
      <c r="AG6594">
        <v>3.28900003</v>
      </c>
      <c r="AH6594">
        <v>2</v>
      </c>
      <c r="AI6594">
        <v>46</v>
      </c>
      <c r="AJ6594">
        <v>1</v>
      </c>
      <c r="AK6594">
        <v>27</v>
      </c>
      <c r="AL6594">
        <v>34</v>
      </c>
      <c r="AM6594" t="s">
        <v>43</v>
      </c>
      <c r="AN6594" t="str">
        <f>HYPERLINK("https://www.google.com/maps?q=10.76020908,79.6432724","Open Location")</f>
        <v>Open Location</v>
      </c>
    </row>
    <row r="6595" spans="1:40" x14ac:dyDescent="0.3">
      <c r="A6595" s="1">
        <v>46210.235995370371</v>
      </c>
      <c r="B6595" t="s">
        <v>40</v>
      </c>
      <c r="C6595" t="s">
        <v>41</v>
      </c>
      <c r="D6595" s="1">
        <v>46210.238854166666</v>
      </c>
      <c r="E6595" t="s">
        <v>42</v>
      </c>
      <c r="F6595" t="s">
        <v>83</v>
      </c>
      <c r="G6595">
        <v>45</v>
      </c>
      <c r="H6595">
        <v>33052</v>
      </c>
      <c r="I6595" t="s">
        <v>3826</v>
      </c>
      <c r="J6595">
        <v>73</v>
      </c>
      <c r="K6595">
        <v>129</v>
      </c>
      <c r="L6595">
        <v>98</v>
      </c>
      <c r="M6595">
        <v>628.09997558999999</v>
      </c>
      <c r="N6595" t="s">
        <v>87</v>
      </c>
      <c r="O6595" t="s">
        <v>86</v>
      </c>
      <c r="P6595">
        <v>131</v>
      </c>
      <c r="Q6595">
        <v>6</v>
      </c>
      <c r="R6595">
        <v>60</v>
      </c>
      <c r="S6595">
        <v>1324</v>
      </c>
      <c r="T6595">
        <v>-40</v>
      </c>
      <c r="U6595">
        <v>44</v>
      </c>
      <c r="V6595">
        <v>560</v>
      </c>
      <c r="W6595">
        <v>27</v>
      </c>
      <c r="X6595">
        <v>27</v>
      </c>
      <c r="Y6595">
        <v>1</v>
      </c>
      <c r="Z6595">
        <v>1</v>
      </c>
      <c r="AA6595">
        <v>25</v>
      </c>
      <c r="AB6595">
        <v>2</v>
      </c>
      <c r="AC6595">
        <v>2</v>
      </c>
      <c r="AD6595">
        <v>3.2920000599999999</v>
      </c>
      <c r="AE6595">
        <v>5</v>
      </c>
      <c r="AF6595">
        <v>38</v>
      </c>
      <c r="AG6595">
        <v>3.27999997</v>
      </c>
      <c r="AH6595">
        <v>8</v>
      </c>
      <c r="AI6595">
        <v>35</v>
      </c>
      <c r="AJ6595">
        <v>1</v>
      </c>
      <c r="AK6595">
        <v>27</v>
      </c>
      <c r="AL6595">
        <v>34</v>
      </c>
      <c r="AM6595" t="s">
        <v>43</v>
      </c>
      <c r="AN6595" t="str">
        <f>HYPERLINK("https://www.google.com/maps?q=10.75983334,79.64189911","Open Location")</f>
        <v>Open Location</v>
      </c>
    </row>
    <row r="6596" spans="1:40" x14ac:dyDescent="0.3">
      <c r="A6596" s="1">
        <v>46210.235879629632</v>
      </c>
      <c r="B6596" t="s">
        <v>40</v>
      </c>
      <c r="C6596" t="s">
        <v>41</v>
      </c>
      <c r="D6596" s="1">
        <v>46210.238923611112</v>
      </c>
      <c r="E6596" t="s">
        <v>42</v>
      </c>
      <c r="F6596" t="s">
        <v>83</v>
      </c>
      <c r="G6596">
        <v>39</v>
      </c>
      <c r="H6596">
        <v>33052</v>
      </c>
      <c r="I6596" t="s">
        <v>43</v>
      </c>
      <c r="J6596">
        <v>73</v>
      </c>
      <c r="K6596">
        <v>154</v>
      </c>
      <c r="L6596">
        <v>98</v>
      </c>
      <c r="M6596">
        <v>627.90002441000001</v>
      </c>
      <c r="N6596" t="s">
        <v>87</v>
      </c>
      <c r="O6596" t="s">
        <v>86</v>
      </c>
      <c r="P6596">
        <v>131</v>
      </c>
      <c r="Q6596">
        <v>6</v>
      </c>
      <c r="R6596">
        <v>27</v>
      </c>
      <c r="S6596">
        <v>1210</v>
      </c>
      <c r="T6596">
        <v>-40</v>
      </c>
      <c r="U6596">
        <v>43</v>
      </c>
      <c r="V6596">
        <v>660</v>
      </c>
      <c r="W6596" t="s">
        <v>43</v>
      </c>
      <c r="X6596" t="s">
        <v>43</v>
      </c>
      <c r="Y6596" t="s">
        <v>43</v>
      </c>
      <c r="Z6596" t="s">
        <v>43</v>
      </c>
      <c r="AA6596" t="s">
        <v>43</v>
      </c>
      <c r="AB6596" t="s">
        <v>43</v>
      </c>
      <c r="AC6596" t="s">
        <v>43</v>
      </c>
      <c r="AD6596">
        <v>3.2939999100000001</v>
      </c>
      <c r="AE6596">
        <v>5</v>
      </c>
      <c r="AF6596">
        <v>38</v>
      </c>
      <c r="AG6596">
        <v>3.28299999</v>
      </c>
      <c r="AH6596">
        <v>8</v>
      </c>
      <c r="AI6596">
        <v>35</v>
      </c>
      <c r="AJ6596">
        <v>1</v>
      </c>
      <c r="AK6596">
        <v>28</v>
      </c>
      <c r="AL6596">
        <v>34</v>
      </c>
      <c r="AM6596" t="s">
        <v>43</v>
      </c>
      <c r="AN6596" t="s">
        <v>43</v>
      </c>
    </row>
    <row r="6597" spans="1:40" x14ac:dyDescent="0.3">
      <c r="A6597" s="1">
        <v>46210.235763888886</v>
      </c>
      <c r="B6597" t="s">
        <v>40</v>
      </c>
      <c r="C6597" t="s">
        <v>41</v>
      </c>
      <c r="D6597" s="1">
        <v>46210.238842592589</v>
      </c>
      <c r="E6597" t="s">
        <v>42</v>
      </c>
      <c r="F6597" t="s">
        <v>83</v>
      </c>
      <c r="G6597">
        <v>36</v>
      </c>
      <c r="H6597">
        <v>33052</v>
      </c>
      <c r="I6597" t="s">
        <v>3827</v>
      </c>
      <c r="J6597">
        <v>73</v>
      </c>
      <c r="K6597">
        <v>64</v>
      </c>
      <c r="L6597">
        <v>98</v>
      </c>
      <c r="M6597">
        <v>631.70001220999995</v>
      </c>
      <c r="N6597" t="s">
        <v>87</v>
      </c>
      <c r="O6597" t="s">
        <v>86</v>
      </c>
      <c r="P6597">
        <v>130</v>
      </c>
      <c r="Q6597">
        <v>5</v>
      </c>
      <c r="R6597">
        <v>37</v>
      </c>
      <c r="S6597">
        <v>1079</v>
      </c>
      <c r="T6597">
        <v>-40</v>
      </c>
      <c r="U6597">
        <v>43</v>
      </c>
      <c r="V6597">
        <v>320</v>
      </c>
      <c r="W6597">
        <v>27</v>
      </c>
      <c r="X6597">
        <v>27</v>
      </c>
      <c r="Y6597">
        <v>1</v>
      </c>
      <c r="Z6597">
        <v>1</v>
      </c>
      <c r="AA6597">
        <v>25</v>
      </c>
      <c r="AB6597">
        <v>2</v>
      </c>
      <c r="AC6597">
        <v>2</v>
      </c>
      <c r="AD6597">
        <v>3.3139998899999998</v>
      </c>
      <c r="AE6597">
        <v>1</v>
      </c>
      <c r="AF6597">
        <v>16</v>
      </c>
      <c r="AG6597">
        <v>3.3080000900000002</v>
      </c>
      <c r="AH6597">
        <v>4</v>
      </c>
      <c r="AI6597">
        <v>17</v>
      </c>
      <c r="AJ6597">
        <v>1</v>
      </c>
      <c r="AK6597">
        <v>28</v>
      </c>
      <c r="AL6597">
        <v>34</v>
      </c>
      <c r="AM6597" t="s">
        <v>43</v>
      </c>
      <c r="AN6597" t="str">
        <f>HYPERLINK("https://www.google.com/maps?q=10.75951004,79.64067078","Open Location")</f>
        <v>Open Location</v>
      </c>
    </row>
    <row r="6598" spans="1:40" x14ac:dyDescent="0.3">
      <c r="A6598" s="1">
        <v>46210.235648148147</v>
      </c>
      <c r="B6598" t="s">
        <v>40</v>
      </c>
      <c r="C6598" t="s">
        <v>41</v>
      </c>
      <c r="D6598" s="1">
        <v>46210.238518518519</v>
      </c>
      <c r="E6598" t="s">
        <v>42</v>
      </c>
      <c r="F6598" t="s">
        <v>83</v>
      </c>
      <c r="G6598">
        <v>26</v>
      </c>
      <c r="H6598">
        <v>33052</v>
      </c>
      <c r="I6598" t="s">
        <v>3828</v>
      </c>
      <c r="J6598">
        <v>73</v>
      </c>
      <c r="K6598">
        <v>126</v>
      </c>
      <c r="L6598">
        <v>98</v>
      </c>
      <c r="M6598">
        <v>629.29998779000005</v>
      </c>
      <c r="N6598" t="s">
        <v>87</v>
      </c>
      <c r="O6598" t="s">
        <v>86</v>
      </c>
      <c r="P6598">
        <v>130</v>
      </c>
      <c r="Q6598">
        <v>5</v>
      </c>
      <c r="R6598">
        <v>55</v>
      </c>
      <c r="S6598">
        <v>1614</v>
      </c>
      <c r="T6598">
        <v>-40</v>
      </c>
      <c r="U6598">
        <v>42</v>
      </c>
      <c r="V6598">
        <v>440</v>
      </c>
      <c r="W6598">
        <v>27</v>
      </c>
      <c r="X6598">
        <v>27</v>
      </c>
      <c r="Y6598">
        <v>1</v>
      </c>
      <c r="Z6598">
        <v>1</v>
      </c>
      <c r="AA6598">
        <v>25</v>
      </c>
      <c r="AB6598">
        <v>2</v>
      </c>
      <c r="AC6598">
        <v>2</v>
      </c>
      <c r="AD6598">
        <v>3.2869999399999998</v>
      </c>
      <c r="AE6598">
        <v>5</v>
      </c>
      <c r="AF6598">
        <v>38</v>
      </c>
      <c r="AG6598">
        <v>3.2730000000000001</v>
      </c>
      <c r="AH6598">
        <v>4</v>
      </c>
      <c r="AI6598">
        <v>24</v>
      </c>
      <c r="AJ6598">
        <v>1</v>
      </c>
      <c r="AK6598">
        <v>28</v>
      </c>
      <c r="AL6598">
        <v>34</v>
      </c>
      <c r="AM6598" t="s">
        <v>43</v>
      </c>
      <c r="AN6598" t="str">
        <f>HYPERLINK("https://www.google.com/maps?q=10.75919914,79.63959503","Open Location")</f>
        <v>Open Location</v>
      </c>
    </row>
    <row r="6599" spans="1:40" x14ac:dyDescent="0.3">
      <c r="A6599" s="1">
        <v>46210.235532407409</v>
      </c>
      <c r="B6599" t="s">
        <v>40</v>
      </c>
      <c r="C6599" t="s">
        <v>41</v>
      </c>
      <c r="D6599" s="1">
        <v>46210.238159722219</v>
      </c>
      <c r="E6599" t="s">
        <v>42</v>
      </c>
      <c r="F6599" t="s">
        <v>83</v>
      </c>
      <c r="G6599">
        <v>20</v>
      </c>
      <c r="H6599">
        <v>33052</v>
      </c>
      <c r="I6599" t="s">
        <v>3829</v>
      </c>
      <c r="J6599">
        <v>73</v>
      </c>
      <c r="K6599">
        <v>20</v>
      </c>
      <c r="L6599">
        <v>98</v>
      </c>
      <c r="M6599">
        <v>633.09997558999999</v>
      </c>
      <c r="N6599" t="s">
        <v>87</v>
      </c>
      <c r="O6599" t="s">
        <v>86</v>
      </c>
      <c r="P6599">
        <v>129</v>
      </c>
      <c r="Q6599">
        <v>4</v>
      </c>
      <c r="R6599">
        <v>35</v>
      </c>
      <c r="S6599">
        <v>1155</v>
      </c>
      <c r="T6599">
        <v>-40</v>
      </c>
      <c r="U6599">
        <v>42</v>
      </c>
      <c r="V6599">
        <v>107</v>
      </c>
      <c r="W6599">
        <v>27</v>
      </c>
      <c r="X6599">
        <v>27</v>
      </c>
      <c r="Y6599">
        <v>1</v>
      </c>
      <c r="Z6599">
        <v>1</v>
      </c>
      <c r="AA6599">
        <v>25</v>
      </c>
      <c r="AB6599">
        <v>2</v>
      </c>
      <c r="AC6599">
        <v>2</v>
      </c>
      <c r="AD6599">
        <v>3.3029999700000001</v>
      </c>
      <c r="AE6599">
        <v>5</v>
      </c>
      <c r="AF6599">
        <v>38</v>
      </c>
      <c r="AG6599">
        <v>3.2950000799999999</v>
      </c>
      <c r="AH6599">
        <v>2</v>
      </c>
      <c r="AI6599">
        <v>46</v>
      </c>
      <c r="AJ6599">
        <v>1</v>
      </c>
      <c r="AK6599">
        <v>28</v>
      </c>
      <c r="AL6599">
        <v>34</v>
      </c>
      <c r="AM6599" t="s">
        <v>43</v>
      </c>
      <c r="AN6599" t="str">
        <f>HYPERLINK("https://www.google.com/maps?q=10.75906086,79.63870239","Open Location")</f>
        <v>Open Location</v>
      </c>
    </row>
    <row r="6600" spans="1:40" x14ac:dyDescent="0.3">
      <c r="A6600" s="1">
        <v>46210.23541666667</v>
      </c>
      <c r="B6600" t="s">
        <v>40</v>
      </c>
      <c r="C6600" t="s">
        <v>41</v>
      </c>
      <c r="D6600" s="1">
        <v>46210.238159722219</v>
      </c>
      <c r="E6600" t="s">
        <v>42</v>
      </c>
      <c r="F6600" t="s">
        <v>83</v>
      </c>
      <c r="G6600">
        <v>23</v>
      </c>
      <c r="H6600">
        <v>33052</v>
      </c>
      <c r="I6600" t="s">
        <v>3830</v>
      </c>
      <c r="J6600">
        <v>73</v>
      </c>
      <c r="K6600">
        <v>56</v>
      </c>
      <c r="L6600">
        <v>98</v>
      </c>
      <c r="M6600">
        <v>633.40002441000001</v>
      </c>
      <c r="N6600" t="s">
        <v>87</v>
      </c>
      <c r="O6600" t="s">
        <v>86</v>
      </c>
      <c r="P6600">
        <v>130</v>
      </c>
      <c r="Q6600">
        <v>5</v>
      </c>
      <c r="R6600">
        <v>-20</v>
      </c>
      <c r="S6600">
        <v>1443</v>
      </c>
      <c r="T6600">
        <v>-40</v>
      </c>
      <c r="U6600">
        <v>43</v>
      </c>
      <c r="V6600">
        <v>220</v>
      </c>
      <c r="W6600">
        <v>27</v>
      </c>
      <c r="X6600">
        <v>27</v>
      </c>
      <c r="Y6600">
        <v>1</v>
      </c>
      <c r="Z6600">
        <v>1</v>
      </c>
      <c r="AA6600">
        <v>25</v>
      </c>
      <c r="AB6600">
        <v>2</v>
      </c>
      <c r="AC6600">
        <v>2</v>
      </c>
      <c r="AD6600">
        <v>3.3190000099999999</v>
      </c>
      <c r="AE6600">
        <v>1</v>
      </c>
      <c r="AF6600">
        <v>29</v>
      </c>
      <c r="AG6600">
        <v>3.3139998899999998</v>
      </c>
      <c r="AH6600">
        <v>2</v>
      </c>
      <c r="AI6600">
        <v>6</v>
      </c>
      <c r="AJ6600">
        <v>1</v>
      </c>
      <c r="AK6600">
        <v>28</v>
      </c>
      <c r="AL6600">
        <v>34</v>
      </c>
      <c r="AM6600" t="s">
        <v>43</v>
      </c>
      <c r="AN6600" t="str">
        <f>HYPERLINK("https://www.google.com/maps?q=10.75898838,79.6381073","Open Location")</f>
        <v>Open Location</v>
      </c>
    </row>
    <row r="6601" spans="1:40" x14ac:dyDescent="0.3">
      <c r="A6601" s="1">
        <v>46210.235300925924</v>
      </c>
      <c r="B6601" t="s">
        <v>40</v>
      </c>
      <c r="C6601" t="s">
        <v>41</v>
      </c>
      <c r="D6601" s="1">
        <v>46210.238298611112</v>
      </c>
      <c r="E6601" t="s">
        <v>42</v>
      </c>
      <c r="F6601" t="s">
        <v>83</v>
      </c>
      <c r="G6601">
        <v>36</v>
      </c>
      <c r="H6601">
        <v>33052</v>
      </c>
      <c r="I6601" t="s">
        <v>3831</v>
      </c>
      <c r="J6601">
        <v>73</v>
      </c>
      <c r="K6601">
        <v>-179</v>
      </c>
      <c r="L6601">
        <v>98</v>
      </c>
      <c r="M6601">
        <v>641.5</v>
      </c>
      <c r="N6601" t="s">
        <v>87</v>
      </c>
      <c r="O6601" t="s">
        <v>86</v>
      </c>
      <c r="P6601">
        <v>130</v>
      </c>
      <c r="Q6601">
        <v>5</v>
      </c>
      <c r="R6601">
        <v>10</v>
      </c>
      <c r="S6601">
        <v>1281</v>
      </c>
      <c r="T6601">
        <v>-40</v>
      </c>
      <c r="U6601">
        <v>42</v>
      </c>
      <c r="V6601">
        <v>-890</v>
      </c>
      <c r="W6601">
        <v>27</v>
      </c>
      <c r="X6601">
        <v>27</v>
      </c>
      <c r="Y6601">
        <v>1</v>
      </c>
      <c r="Z6601">
        <v>1</v>
      </c>
      <c r="AA6601">
        <v>25</v>
      </c>
      <c r="AB6601">
        <v>2</v>
      </c>
      <c r="AC6601">
        <v>2</v>
      </c>
      <c r="AD6601">
        <v>3.3039999</v>
      </c>
      <c r="AE6601">
        <v>1</v>
      </c>
      <c r="AF6601">
        <v>16</v>
      </c>
      <c r="AG6601">
        <v>3.2969999300000001</v>
      </c>
      <c r="AH6601">
        <v>4</v>
      </c>
      <c r="AI6601">
        <v>17</v>
      </c>
      <c r="AJ6601">
        <v>1</v>
      </c>
      <c r="AK6601">
        <v>28</v>
      </c>
      <c r="AL6601">
        <v>34</v>
      </c>
      <c r="AM6601" t="s">
        <v>43</v>
      </c>
      <c r="AN6601" t="str">
        <f>HYPERLINK("https://www.google.com/maps?q=10.7588644,79.63710022","Open Location")</f>
        <v>Open Location</v>
      </c>
    </row>
    <row r="6602" spans="1:40" x14ac:dyDescent="0.3">
      <c r="A6602" s="1">
        <v>46210.235185185185</v>
      </c>
      <c r="B6602" t="s">
        <v>40</v>
      </c>
      <c r="C6602" t="s">
        <v>41</v>
      </c>
      <c r="D6602" s="1">
        <v>46210.238136574073</v>
      </c>
      <c r="E6602" t="s">
        <v>42</v>
      </c>
      <c r="F6602" t="s">
        <v>83</v>
      </c>
      <c r="G6602">
        <v>35</v>
      </c>
      <c r="H6602">
        <v>33052</v>
      </c>
      <c r="I6602" t="s">
        <v>43</v>
      </c>
      <c r="J6602">
        <v>73</v>
      </c>
      <c r="K6602">
        <v>47</v>
      </c>
      <c r="L6602">
        <v>98</v>
      </c>
      <c r="M6602">
        <v>633</v>
      </c>
      <c r="N6602" t="s">
        <v>87</v>
      </c>
      <c r="O6602" t="s">
        <v>86</v>
      </c>
      <c r="P6602">
        <v>130</v>
      </c>
      <c r="Q6602">
        <v>5</v>
      </c>
      <c r="R6602">
        <v>43</v>
      </c>
      <c r="S6602">
        <v>1674</v>
      </c>
      <c r="T6602">
        <v>-40</v>
      </c>
      <c r="U6602">
        <v>44</v>
      </c>
      <c r="V6602">
        <v>140</v>
      </c>
      <c r="W6602" t="s">
        <v>43</v>
      </c>
      <c r="X6602" t="s">
        <v>43</v>
      </c>
      <c r="Y6602" t="s">
        <v>43</v>
      </c>
      <c r="Z6602" t="s">
        <v>43</v>
      </c>
      <c r="AA6602" t="s">
        <v>43</v>
      </c>
      <c r="AB6602" t="s">
        <v>43</v>
      </c>
      <c r="AC6602" t="s">
        <v>43</v>
      </c>
      <c r="AD6602">
        <v>3.3039999</v>
      </c>
      <c r="AE6602">
        <v>5</v>
      </c>
      <c r="AF6602">
        <v>38</v>
      </c>
      <c r="AG6602">
        <v>3.2959999999999998</v>
      </c>
      <c r="AH6602">
        <v>8</v>
      </c>
      <c r="AI6602">
        <v>35</v>
      </c>
      <c r="AJ6602">
        <v>1</v>
      </c>
      <c r="AK6602">
        <v>28</v>
      </c>
      <c r="AL6602">
        <v>34</v>
      </c>
      <c r="AM6602" t="s">
        <v>43</v>
      </c>
      <c r="AN6602" t="s">
        <v>43</v>
      </c>
    </row>
    <row r="6603" spans="1:40" x14ac:dyDescent="0.3">
      <c r="A6603" s="1">
        <v>46210.235069444447</v>
      </c>
      <c r="B6603" t="s">
        <v>40</v>
      </c>
      <c r="C6603" t="s">
        <v>41</v>
      </c>
      <c r="D6603" s="1">
        <v>46210.23777777778</v>
      </c>
      <c r="E6603" t="s">
        <v>42</v>
      </c>
      <c r="F6603" t="s">
        <v>83</v>
      </c>
      <c r="G6603">
        <v>21</v>
      </c>
      <c r="H6603">
        <v>33051</v>
      </c>
      <c r="I6603" t="s">
        <v>3832</v>
      </c>
      <c r="J6603">
        <v>73</v>
      </c>
      <c r="K6603">
        <v>88</v>
      </c>
      <c r="L6603">
        <v>98</v>
      </c>
      <c r="M6603">
        <v>631.09997558999999</v>
      </c>
      <c r="N6603" t="s">
        <v>87</v>
      </c>
      <c r="O6603" t="s">
        <v>86</v>
      </c>
      <c r="P6603">
        <v>129</v>
      </c>
      <c r="Q6603">
        <v>4</v>
      </c>
      <c r="R6603">
        <v>77</v>
      </c>
      <c r="S6603">
        <v>1572</v>
      </c>
      <c r="T6603">
        <v>-40</v>
      </c>
      <c r="U6603">
        <v>43</v>
      </c>
      <c r="V6603">
        <v>280</v>
      </c>
      <c r="W6603">
        <v>27</v>
      </c>
      <c r="X6603">
        <v>27</v>
      </c>
      <c r="Y6603">
        <v>1</v>
      </c>
      <c r="Z6603">
        <v>1</v>
      </c>
      <c r="AA6603">
        <v>25</v>
      </c>
      <c r="AB6603">
        <v>2</v>
      </c>
      <c r="AC6603">
        <v>2</v>
      </c>
      <c r="AD6603">
        <v>3.2780001200000002</v>
      </c>
      <c r="AE6603">
        <v>5</v>
      </c>
      <c r="AF6603">
        <v>38</v>
      </c>
      <c r="AG6603">
        <v>3.2599999899999998</v>
      </c>
      <c r="AH6603">
        <v>8</v>
      </c>
      <c r="AI6603">
        <v>35</v>
      </c>
      <c r="AJ6603">
        <v>1</v>
      </c>
      <c r="AK6603">
        <v>28</v>
      </c>
      <c r="AL6603">
        <v>34</v>
      </c>
      <c r="AM6603" t="s">
        <v>43</v>
      </c>
      <c r="AN6603" t="str">
        <f>HYPERLINK("https://www.google.com/maps?q=10.75872326,79.63602448","Open Location")</f>
        <v>Open Location</v>
      </c>
    </row>
    <row r="6604" spans="1:40" x14ac:dyDescent="0.3">
      <c r="A6604" s="1">
        <v>46210.234953703701</v>
      </c>
      <c r="B6604" t="s">
        <v>40</v>
      </c>
      <c r="C6604" t="s">
        <v>41</v>
      </c>
      <c r="D6604" s="1">
        <v>46210.23778935185</v>
      </c>
      <c r="E6604" t="s">
        <v>42</v>
      </c>
      <c r="F6604" t="s">
        <v>83</v>
      </c>
      <c r="G6604">
        <v>42</v>
      </c>
      <c r="H6604">
        <v>33051</v>
      </c>
      <c r="I6604" t="s">
        <v>3833</v>
      </c>
      <c r="J6604">
        <v>73</v>
      </c>
      <c r="K6604">
        <v>83</v>
      </c>
      <c r="L6604">
        <v>98</v>
      </c>
      <c r="M6604">
        <v>630.70001220999995</v>
      </c>
      <c r="N6604" t="s">
        <v>87</v>
      </c>
      <c r="O6604" t="s">
        <v>86</v>
      </c>
      <c r="P6604">
        <v>131</v>
      </c>
      <c r="Q6604">
        <v>6</v>
      </c>
      <c r="R6604">
        <v>-37</v>
      </c>
      <c r="S6604">
        <v>1364</v>
      </c>
      <c r="T6604">
        <v>-40</v>
      </c>
      <c r="U6604">
        <v>42</v>
      </c>
      <c r="V6604">
        <v>500</v>
      </c>
      <c r="W6604" t="s">
        <v>43</v>
      </c>
      <c r="X6604" t="s">
        <v>43</v>
      </c>
      <c r="Y6604" t="s">
        <v>43</v>
      </c>
      <c r="Z6604" t="s">
        <v>43</v>
      </c>
      <c r="AA6604" t="s">
        <v>43</v>
      </c>
      <c r="AB6604" t="s">
        <v>43</v>
      </c>
      <c r="AC6604" t="s">
        <v>43</v>
      </c>
      <c r="AD6604">
        <v>3.3320000200000002</v>
      </c>
      <c r="AE6604">
        <v>1</v>
      </c>
      <c r="AF6604">
        <v>26</v>
      </c>
      <c r="AG6604">
        <v>3.3259999800000002</v>
      </c>
      <c r="AH6604">
        <v>5</v>
      </c>
      <c r="AI6604">
        <v>10</v>
      </c>
      <c r="AJ6604">
        <v>1</v>
      </c>
      <c r="AK6604">
        <v>28</v>
      </c>
      <c r="AL6604">
        <v>34</v>
      </c>
      <c r="AM6604" t="s">
        <v>43</v>
      </c>
      <c r="AN6604" t="str">
        <f>HYPERLINK("https://www.google.com/maps?q=10.75865078,79.63528442","Open Location")</f>
        <v>Open Location</v>
      </c>
    </row>
    <row r="6605" spans="1:40" x14ac:dyDescent="0.3">
      <c r="A6605" s="1">
        <v>46210.234837962962</v>
      </c>
      <c r="B6605" t="s">
        <v>40</v>
      </c>
      <c r="C6605" t="s">
        <v>41</v>
      </c>
      <c r="D6605" s="1">
        <v>46210.237881944442</v>
      </c>
      <c r="E6605" t="s">
        <v>42</v>
      </c>
      <c r="F6605" t="s">
        <v>83</v>
      </c>
      <c r="G6605">
        <v>43</v>
      </c>
      <c r="H6605">
        <v>33051</v>
      </c>
      <c r="I6605" t="s">
        <v>3834</v>
      </c>
      <c r="J6605">
        <v>73</v>
      </c>
      <c r="K6605">
        <v>51</v>
      </c>
      <c r="L6605">
        <v>98</v>
      </c>
      <c r="M6605">
        <v>633.29998779000005</v>
      </c>
      <c r="N6605" t="s">
        <v>87</v>
      </c>
      <c r="O6605" t="s">
        <v>86</v>
      </c>
      <c r="P6605">
        <v>131</v>
      </c>
      <c r="Q6605">
        <v>6</v>
      </c>
      <c r="R6605">
        <v>-38</v>
      </c>
      <c r="S6605">
        <v>1184</v>
      </c>
      <c r="T6605">
        <v>-40</v>
      </c>
      <c r="U6605">
        <v>42</v>
      </c>
      <c r="V6605">
        <v>240</v>
      </c>
      <c r="W6605">
        <v>27</v>
      </c>
      <c r="X6605">
        <v>27</v>
      </c>
      <c r="Y6605">
        <v>1</v>
      </c>
      <c r="Z6605">
        <v>1</v>
      </c>
      <c r="AA6605">
        <v>25</v>
      </c>
      <c r="AB6605">
        <v>2</v>
      </c>
      <c r="AC6605">
        <v>2</v>
      </c>
      <c r="AD6605">
        <v>3.3110001100000002</v>
      </c>
      <c r="AE6605">
        <v>1</v>
      </c>
      <c r="AF6605">
        <v>16</v>
      </c>
      <c r="AG6605">
        <v>3.3059999900000001</v>
      </c>
      <c r="AH6605">
        <v>2</v>
      </c>
      <c r="AI6605">
        <v>12</v>
      </c>
      <c r="AJ6605">
        <v>1</v>
      </c>
      <c r="AK6605">
        <v>28</v>
      </c>
      <c r="AL6605">
        <v>34</v>
      </c>
      <c r="AM6605" t="s">
        <v>43</v>
      </c>
      <c r="AN6605" t="str">
        <f>HYPERLINK("https://www.google.com/maps?q=10.75894928,79.63419342","Open Location")</f>
        <v>Open Location</v>
      </c>
    </row>
    <row r="6606" spans="1:40" x14ac:dyDescent="0.3">
      <c r="A6606" s="1">
        <v>46210.234722222223</v>
      </c>
      <c r="B6606" t="s">
        <v>40</v>
      </c>
      <c r="C6606" t="s">
        <v>41</v>
      </c>
      <c r="D6606" s="1">
        <v>46210.237650462965</v>
      </c>
      <c r="E6606" t="s">
        <v>42</v>
      </c>
      <c r="F6606" t="s">
        <v>83</v>
      </c>
      <c r="G6606">
        <v>48</v>
      </c>
      <c r="H6606">
        <v>33051</v>
      </c>
      <c r="I6606" t="s">
        <v>3835</v>
      </c>
      <c r="J6606">
        <v>73</v>
      </c>
      <c r="K6606">
        <v>-54</v>
      </c>
      <c r="L6606">
        <v>98</v>
      </c>
      <c r="M6606">
        <v>636.90002441000001</v>
      </c>
      <c r="N6606" t="s">
        <v>87</v>
      </c>
      <c r="O6606" t="s">
        <v>86</v>
      </c>
      <c r="P6606">
        <v>131</v>
      </c>
      <c r="Q6606">
        <v>6</v>
      </c>
      <c r="R6606">
        <v>16</v>
      </c>
      <c r="S6606">
        <v>1230</v>
      </c>
      <c r="T6606">
        <v>-40</v>
      </c>
      <c r="U6606">
        <v>43</v>
      </c>
      <c r="V6606">
        <v>-300</v>
      </c>
      <c r="W6606">
        <v>27</v>
      </c>
      <c r="X6606">
        <v>27</v>
      </c>
      <c r="Y6606">
        <v>1</v>
      </c>
      <c r="Z6606">
        <v>1</v>
      </c>
      <c r="AA6606">
        <v>25</v>
      </c>
      <c r="AB6606">
        <v>2</v>
      </c>
      <c r="AC6606">
        <v>2</v>
      </c>
      <c r="AD6606">
        <v>3.3050000700000002</v>
      </c>
      <c r="AE6606">
        <v>1</v>
      </c>
      <c r="AF6606">
        <v>25</v>
      </c>
      <c r="AG6606">
        <v>3.2980000999999999</v>
      </c>
      <c r="AH6606">
        <v>8</v>
      </c>
      <c r="AI6606">
        <v>35</v>
      </c>
      <c r="AJ6606">
        <v>1</v>
      </c>
      <c r="AK6606">
        <v>28</v>
      </c>
      <c r="AL6606">
        <v>34</v>
      </c>
      <c r="AM6606" t="s">
        <v>43</v>
      </c>
      <c r="AN6606" t="str">
        <f>HYPERLINK("https://www.google.com/maps?q=10.75983715,79.63312531","Open Location")</f>
        <v>Open Location</v>
      </c>
    </row>
    <row r="6607" spans="1:40" x14ac:dyDescent="0.3">
      <c r="A6607" s="1">
        <v>46210.234606481485</v>
      </c>
      <c r="B6607" t="s">
        <v>40</v>
      </c>
      <c r="C6607" t="s">
        <v>41</v>
      </c>
      <c r="D6607" s="1">
        <v>46210.237407407411</v>
      </c>
      <c r="E6607" t="s">
        <v>42</v>
      </c>
      <c r="F6607" t="s">
        <v>83</v>
      </c>
      <c r="G6607">
        <v>45</v>
      </c>
      <c r="H6607">
        <v>33051</v>
      </c>
      <c r="I6607" t="s">
        <v>3836</v>
      </c>
      <c r="J6607">
        <v>73</v>
      </c>
      <c r="K6607">
        <v>71</v>
      </c>
      <c r="L6607">
        <v>98</v>
      </c>
      <c r="M6607">
        <v>631.79998779000005</v>
      </c>
      <c r="N6607" t="s">
        <v>87</v>
      </c>
      <c r="O6607" t="s">
        <v>86</v>
      </c>
      <c r="P6607">
        <v>131</v>
      </c>
      <c r="Q6607">
        <v>6</v>
      </c>
      <c r="R6607">
        <v>39</v>
      </c>
      <c r="S6607">
        <v>1350</v>
      </c>
      <c r="T6607">
        <v>-40</v>
      </c>
      <c r="U6607">
        <v>42</v>
      </c>
      <c r="V6607">
        <v>280</v>
      </c>
      <c r="W6607">
        <v>27</v>
      </c>
      <c r="X6607">
        <v>27</v>
      </c>
      <c r="Y6607">
        <v>1</v>
      </c>
      <c r="Z6607">
        <v>1</v>
      </c>
      <c r="AA6607">
        <v>25</v>
      </c>
      <c r="AB6607">
        <v>2</v>
      </c>
      <c r="AC6607">
        <v>2</v>
      </c>
      <c r="AD6607">
        <v>3.28900003</v>
      </c>
      <c r="AE6607">
        <v>5</v>
      </c>
      <c r="AF6607">
        <v>38</v>
      </c>
      <c r="AG6607">
        <v>3.2760000200000001</v>
      </c>
      <c r="AH6607">
        <v>8</v>
      </c>
      <c r="AI6607">
        <v>35</v>
      </c>
      <c r="AJ6607">
        <v>2</v>
      </c>
      <c r="AK6607">
        <v>33</v>
      </c>
      <c r="AL6607">
        <v>34</v>
      </c>
      <c r="AM6607" t="s">
        <v>43</v>
      </c>
      <c r="AN6607" t="str">
        <f>HYPERLINK("https://www.google.com/maps?q=10.76084042,79.63192749","Open Location")</f>
        <v>Open Location</v>
      </c>
    </row>
    <row r="6608" spans="1:40" x14ac:dyDescent="0.3">
      <c r="A6608" s="1">
        <v>46210.234490740739</v>
      </c>
      <c r="B6608" t="s">
        <v>40</v>
      </c>
      <c r="C6608" t="s">
        <v>41</v>
      </c>
      <c r="D6608" s="1">
        <v>46210.237453703703</v>
      </c>
      <c r="E6608" t="s">
        <v>42</v>
      </c>
      <c r="F6608" t="s">
        <v>83</v>
      </c>
      <c r="G6608">
        <v>44</v>
      </c>
      <c r="H6608">
        <v>33051</v>
      </c>
      <c r="I6608" t="s">
        <v>43</v>
      </c>
      <c r="J6608">
        <v>73</v>
      </c>
      <c r="K6608">
        <v>74</v>
      </c>
      <c r="L6608">
        <v>98</v>
      </c>
      <c r="M6608">
        <v>631.09997558999999</v>
      </c>
      <c r="N6608" t="s">
        <v>87</v>
      </c>
      <c r="O6608" t="s">
        <v>86</v>
      </c>
      <c r="P6608">
        <v>131</v>
      </c>
      <c r="Q6608">
        <v>6</v>
      </c>
      <c r="R6608">
        <v>33</v>
      </c>
      <c r="S6608">
        <v>1237</v>
      </c>
      <c r="T6608">
        <v>-40</v>
      </c>
      <c r="U6608">
        <v>43</v>
      </c>
      <c r="V6608">
        <v>398</v>
      </c>
      <c r="W6608">
        <v>27</v>
      </c>
      <c r="X6608">
        <v>27</v>
      </c>
      <c r="Y6608">
        <v>1</v>
      </c>
      <c r="Z6608">
        <v>1</v>
      </c>
      <c r="AA6608">
        <v>25</v>
      </c>
      <c r="AB6608">
        <v>2</v>
      </c>
      <c r="AC6608">
        <v>2</v>
      </c>
      <c r="AD6608">
        <v>3.3010001199999999</v>
      </c>
      <c r="AE6608">
        <v>5</v>
      </c>
      <c r="AF6608">
        <v>38</v>
      </c>
      <c r="AG6608">
        <v>3.2929999799999998</v>
      </c>
      <c r="AH6608">
        <v>2</v>
      </c>
      <c r="AI6608">
        <v>46</v>
      </c>
      <c r="AJ6608">
        <v>2</v>
      </c>
      <c r="AK6608">
        <v>33</v>
      </c>
      <c r="AL6608">
        <v>34</v>
      </c>
      <c r="AM6608" t="s">
        <v>43</v>
      </c>
      <c r="AN6608" t="s">
        <v>43</v>
      </c>
    </row>
    <row r="6609" spans="1:40" x14ac:dyDescent="0.3">
      <c r="A6609" s="1">
        <v>46210.234375</v>
      </c>
      <c r="B6609" t="s">
        <v>40</v>
      </c>
      <c r="C6609" t="s">
        <v>41</v>
      </c>
      <c r="D6609" s="1">
        <v>46210.23715277778</v>
      </c>
      <c r="E6609" t="s">
        <v>42</v>
      </c>
      <c r="F6609" t="s">
        <v>83</v>
      </c>
      <c r="G6609">
        <v>41</v>
      </c>
      <c r="H6609">
        <v>33051</v>
      </c>
      <c r="I6609" t="s">
        <v>3837</v>
      </c>
      <c r="J6609">
        <v>73</v>
      </c>
      <c r="K6609">
        <v>84</v>
      </c>
      <c r="L6609">
        <v>98</v>
      </c>
      <c r="M6609">
        <v>631.20001220999995</v>
      </c>
      <c r="N6609" t="s">
        <v>87</v>
      </c>
      <c r="O6609" t="s">
        <v>86</v>
      </c>
      <c r="P6609">
        <v>131</v>
      </c>
      <c r="Q6609">
        <v>6</v>
      </c>
      <c r="R6609">
        <v>24</v>
      </c>
      <c r="S6609">
        <v>1218</v>
      </c>
      <c r="T6609">
        <v>-40</v>
      </c>
      <c r="U6609">
        <v>42</v>
      </c>
      <c r="V6609">
        <v>380</v>
      </c>
      <c r="W6609">
        <v>27</v>
      </c>
      <c r="X6609">
        <v>27</v>
      </c>
      <c r="Y6609">
        <v>1</v>
      </c>
      <c r="Z6609">
        <v>1</v>
      </c>
      <c r="AA6609">
        <v>25</v>
      </c>
      <c r="AB6609">
        <v>2</v>
      </c>
      <c r="AC6609">
        <v>2</v>
      </c>
      <c r="AD6609">
        <v>3.3020000500000002</v>
      </c>
      <c r="AE6609">
        <v>1</v>
      </c>
      <c r="AF6609">
        <v>25</v>
      </c>
      <c r="AG6609">
        <v>3.2939999100000001</v>
      </c>
      <c r="AH6609">
        <v>6</v>
      </c>
      <c r="AI6609">
        <v>24</v>
      </c>
      <c r="AJ6609">
        <v>2</v>
      </c>
      <c r="AK6609">
        <v>33</v>
      </c>
      <c r="AL6609">
        <v>34</v>
      </c>
      <c r="AM6609" t="s">
        <v>43</v>
      </c>
      <c r="AN6609" t="str">
        <f>HYPERLINK("https://www.google.com/maps?q=10.76173115,79.63092041","Open Location")</f>
        <v>Open Location</v>
      </c>
    </row>
    <row r="6610" spans="1:40" x14ac:dyDescent="0.3">
      <c r="A6610" s="1">
        <v>46210.234259259261</v>
      </c>
      <c r="B6610" t="s">
        <v>40</v>
      </c>
      <c r="C6610" t="s">
        <v>41</v>
      </c>
      <c r="D6610" s="1">
        <v>46210.237071759257</v>
      </c>
      <c r="E6610" t="s">
        <v>42</v>
      </c>
      <c r="F6610" t="s">
        <v>83</v>
      </c>
      <c r="G6610">
        <v>31</v>
      </c>
      <c r="H6610">
        <v>33051</v>
      </c>
      <c r="I6610" t="s">
        <v>3838</v>
      </c>
      <c r="J6610">
        <v>73</v>
      </c>
      <c r="K6610">
        <v>89</v>
      </c>
      <c r="L6610">
        <v>98</v>
      </c>
      <c r="M6610">
        <v>632.90002441000001</v>
      </c>
      <c r="N6610" t="s">
        <v>87</v>
      </c>
      <c r="O6610" t="s">
        <v>86</v>
      </c>
      <c r="P6610">
        <v>130</v>
      </c>
      <c r="Q6610">
        <v>5</v>
      </c>
      <c r="R6610">
        <v>90</v>
      </c>
      <c r="S6610">
        <v>1148</v>
      </c>
      <c r="T6610">
        <v>-40</v>
      </c>
      <c r="U6610">
        <v>43</v>
      </c>
      <c r="V6610">
        <v>400</v>
      </c>
      <c r="W6610">
        <v>27</v>
      </c>
      <c r="X6610">
        <v>27</v>
      </c>
      <c r="Y6610">
        <v>1</v>
      </c>
      <c r="Z6610">
        <v>1</v>
      </c>
      <c r="AA6610">
        <v>25</v>
      </c>
      <c r="AB6610">
        <v>2</v>
      </c>
      <c r="AC6610">
        <v>2</v>
      </c>
      <c r="AD6610">
        <v>3.3010001199999999</v>
      </c>
      <c r="AE6610">
        <v>1</v>
      </c>
      <c r="AF6610">
        <v>1</v>
      </c>
      <c r="AG6610">
        <v>3.2920000599999999</v>
      </c>
      <c r="AH6610">
        <v>8</v>
      </c>
      <c r="AI6610">
        <v>35</v>
      </c>
      <c r="AJ6610">
        <v>2</v>
      </c>
      <c r="AK6610">
        <v>33</v>
      </c>
      <c r="AL6610">
        <v>34</v>
      </c>
      <c r="AM6610" t="s">
        <v>43</v>
      </c>
      <c r="AN6610" t="str">
        <f>HYPERLINK("https://www.google.com/maps?q=10.76291656,79.63063049","Open Location")</f>
        <v>Open Location</v>
      </c>
    </row>
    <row r="6611" spans="1:40" x14ac:dyDescent="0.3">
      <c r="A6611" s="1">
        <v>46210.234143518515</v>
      </c>
      <c r="B6611" t="s">
        <v>40</v>
      </c>
      <c r="C6611" t="s">
        <v>41</v>
      </c>
      <c r="D6611" s="1">
        <v>46210.236793981479</v>
      </c>
      <c r="E6611" t="s">
        <v>42</v>
      </c>
      <c r="F6611" t="s">
        <v>83</v>
      </c>
      <c r="G6611">
        <v>10</v>
      </c>
      <c r="H6611" t="s">
        <v>43</v>
      </c>
      <c r="I6611" t="s">
        <v>3839</v>
      </c>
      <c r="J6611">
        <v>73</v>
      </c>
      <c r="K6611">
        <v>49</v>
      </c>
      <c r="L6611">
        <v>98</v>
      </c>
      <c r="M6611">
        <v>629.59997558999999</v>
      </c>
      <c r="N6611" t="s">
        <v>87</v>
      </c>
      <c r="O6611" t="s">
        <v>86</v>
      </c>
      <c r="P6611">
        <v>127</v>
      </c>
      <c r="Q6611">
        <v>2</v>
      </c>
      <c r="R6611">
        <v>32</v>
      </c>
      <c r="S6611">
        <v>1304</v>
      </c>
      <c r="T6611">
        <v>-40</v>
      </c>
      <c r="U6611">
        <v>41</v>
      </c>
      <c r="V6611">
        <v>226</v>
      </c>
      <c r="W6611">
        <v>27</v>
      </c>
      <c r="X6611">
        <v>27</v>
      </c>
      <c r="Y6611">
        <v>1</v>
      </c>
      <c r="Z6611">
        <v>1</v>
      </c>
      <c r="AA6611">
        <v>25</v>
      </c>
      <c r="AB6611">
        <v>2</v>
      </c>
      <c r="AC6611">
        <v>2</v>
      </c>
      <c r="AD6611">
        <v>3.31500006</v>
      </c>
      <c r="AE6611">
        <v>1</v>
      </c>
      <c r="AF6611">
        <v>16</v>
      </c>
      <c r="AG6611">
        <v>3.3110001100000002</v>
      </c>
      <c r="AH6611">
        <v>2</v>
      </c>
      <c r="AI6611">
        <v>12</v>
      </c>
      <c r="AJ6611">
        <v>2</v>
      </c>
      <c r="AK6611">
        <v>34</v>
      </c>
      <c r="AL6611">
        <v>34</v>
      </c>
      <c r="AM6611" t="s">
        <v>43</v>
      </c>
      <c r="AN6611" t="str">
        <f>HYPERLINK("https://www.google.com/maps?q=10.76374912,79.63063812","Open Location")</f>
        <v>Open Location</v>
      </c>
    </row>
    <row r="6612" spans="1:40" x14ac:dyDescent="0.3">
      <c r="A6612" s="1">
        <v>46210.234027777777</v>
      </c>
      <c r="B6612" t="s">
        <v>40</v>
      </c>
      <c r="C6612" t="s">
        <v>41</v>
      </c>
      <c r="D6612" s="1">
        <v>46210.237025462964</v>
      </c>
      <c r="E6612" t="s">
        <v>42</v>
      </c>
      <c r="F6612" t="s">
        <v>83</v>
      </c>
      <c r="G6612">
        <v>17</v>
      </c>
      <c r="H6612">
        <v>33051</v>
      </c>
      <c r="I6612" t="s">
        <v>3840</v>
      </c>
      <c r="J6612">
        <v>73</v>
      </c>
      <c r="K6612">
        <v>-4</v>
      </c>
      <c r="L6612">
        <v>98</v>
      </c>
      <c r="M6612">
        <v>636</v>
      </c>
      <c r="N6612" t="s">
        <v>87</v>
      </c>
      <c r="O6612" t="s">
        <v>86</v>
      </c>
      <c r="P6612">
        <v>129</v>
      </c>
      <c r="Q6612">
        <v>4</v>
      </c>
      <c r="R6612">
        <v>-100</v>
      </c>
      <c r="S6612">
        <v>1947</v>
      </c>
      <c r="T6612">
        <v>-40</v>
      </c>
      <c r="U6612">
        <v>41</v>
      </c>
      <c r="V6612">
        <v>-41</v>
      </c>
      <c r="W6612">
        <v>27</v>
      </c>
      <c r="X6612">
        <v>27</v>
      </c>
      <c r="Y6612">
        <v>1</v>
      </c>
      <c r="Z6612">
        <v>1</v>
      </c>
      <c r="AA6612">
        <v>25</v>
      </c>
      <c r="AB6612">
        <v>2</v>
      </c>
      <c r="AC6612">
        <v>2</v>
      </c>
      <c r="AD6612">
        <v>3.3169999099999998</v>
      </c>
      <c r="AE6612">
        <v>1</v>
      </c>
      <c r="AF6612">
        <v>16</v>
      </c>
      <c r="AG6612">
        <v>3.31200004</v>
      </c>
      <c r="AH6612">
        <v>4</v>
      </c>
      <c r="AI6612">
        <v>17</v>
      </c>
      <c r="AJ6612">
        <v>2</v>
      </c>
      <c r="AK6612">
        <v>35</v>
      </c>
      <c r="AL6612">
        <v>34</v>
      </c>
      <c r="AM6612" t="s">
        <v>43</v>
      </c>
      <c r="AN6612" t="str">
        <f>HYPERLINK("https://www.google.com/maps?q=10.76405334,79.63063812","Open Location")</f>
        <v>Open Location</v>
      </c>
    </row>
    <row r="6613" spans="1:40" x14ac:dyDescent="0.3">
      <c r="A6613" s="1">
        <v>46210.233912037038</v>
      </c>
      <c r="B6613" t="s">
        <v>40</v>
      </c>
      <c r="C6613" t="s">
        <v>41</v>
      </c>
      <c r="D6613" s="1">
        <v>46210.236666666664</v>
      </c>
      <c r="E6613" t="s">
        <v>42</v>
      </c>
      <c r="F6613" t="s">
        <v>83</v>
      </c>
      <c r="G6613">
        <v>20</v>
      </c>
      <c r="H6613">
        <v>33051</v>
      </c>
      <c r="I6613" t="s">
        <v>43</v>
      </c>
      <c r="J6613">
        <v>73</v>
      </c>
      <c r="K6613">
        <v>-121</v>
      </c>
      <c r="L6613">
        <v>98</v>
      </c>
      <c r="M6613">
        <v>638.29998779000005</v>
      </c>
      <c r="N6613" t="s">
        <v>87</v>
      </c>
      <c r="O6613" t="s">
        <v>86</v>
      </c>
      <c r="P6613">
        <v>129</v>
      </c>
      <c r="Q6613">
        <v>4</v>
      </c>
      <c r="R6613">
        <v>25</v>
      </c>
      <c r="S6613">
        <v>1348</v>
      </c>
      <c r="T6613">
        <v>-40</v>
      </c>
      <c r="U6613">
        <v>41</v>
      </c>
      <c r="V6613">
        <v>-700</v>
      </c>
      <c r="W6613">
        <v>27</v>
      </c>
      <c r="X6613">
        <v>27</v>
      </c>
      <c r="Y6613">
        <v>1</v>
      </c>
      <c r="Z6613">
        <v>1</v>
      </c>
      <c r="AA6613">
        <v>25</v>
      </c>
      <c r="AB6613">
        <v>2</v>
      </c>
      <c r="AC6613">
        <v>2</v>
      </c>
      <c r="AD6613">
        <v>3.3169999099999998</v>
      </c>
      <c r="AE6613">
        <v>1</v>
      </c>
      <c r="AF6613">
        <v>31</v>
      </c>
      <c r="AG6613">
        <v>3.31200004</v>
      </c>
      <c r="AH6613">
        <v>4</v>
      </c>
      <c r="AI6613">
        <v>17</v>
      </c>
      <c r="AJ6613">
        <v>2</v>
      </c>
      <c r="AK6613">
        <v>34</v>
      </c>
      <c r="AL6613">
        <v>34</v>
      </c>
      <c r="AM6613" t="s">
        <v>43</v>
      </c>
      <c r="AN6613" t="s">
        <v>43</v>
      </c>
    </row>
    <row r="6614" spans="1:40" x14ac:dyDescent="0.3">
      <c r="A6614" s="1">
        <v>46210.233796296299</v>
      </c>
      <c r="B6614" t="s">
        <v>40</v>
      </c>
      <c r="C6614" t="s">
        <v>41</v>
      </c>
      <c r="D6614" s="1">
        <v>46210.23673611111</v>
      </c>
      <c r="E6614" t="s">
        <v>42</v>
      </c>
      <c r="F6614" t="s">
        <v>83</v>
      </c>
      <c r="G6614">
        <v>15</v>
      </c>
      <c r="H6614">
        <v>33050</v>
      </c>
      <c r="I6614" t="s">
        <v>3841</v>
      </c>
      <c r="J6614">
        <v>73</v>
      </c>
      <c r="K6614">
        <v>50</v>
      </c>
      <c r="L6614">
        <v>98</v>
      </c>
      <c r="M6614">
        <v>633.5</v>
      </c>
      <c r="N6614" t="s">
        <v>87</v>
      </c>
      <c r="O6614" t="s">
        <v>86</v>
      </c>
      <c r="P6614">
        <v>129</v>
      </c>
      <c r="Q6614">
        <v>4</v>
      </c>
      <c r="R6614">
        <v>23</v>
      </c>
      <c r="S6614">
        <v>1471</v>
      </c>
      <c r="T6614">
        <v>-40</v>
      </c>
      <c r="U6614">
        <v>41</v>
      </c>
      <c r="V6614">
        <v>160</v>
      </c>
      <c r="W6614">
        <v>27</v>
      </c>
      <c r="X6614">
        <v>27</v>
      </c>
      <c r="Y6614">
        <v>1</v>
      </c>
      <c r="Z6614">
        <v>1</v>
      </c>
      <c r="AA6614">
        <v>25</v>
      </c>
      <c r="AB6614">
        <v>2</v>
      </c>
      <c r="AC6614">
        <v>2</v>
      </c>
      <c r="AD6614" t="s">
        <v>43</v>
      </c>
      <c r="AE6614" t="s">
        <v>43</v>
      </c>
      <c r="AF6614" t="s">
        <v>43</v>
      </c>
      <c r="AG6614" t="s">
        <v>43</v>
      </c>
      <c r="AH6614" t="s">
        <v>43</v>
      </c>
      <c r="AI6614" t="s">
        <v>43</v>
      </c>
      <c r="AJ6614">
        <v>2</v>
      </c>
      <c r="AK6614">
        <v>33</v>
      </c>
      <c r="AL6614">
        <v>34</v>
      </c>
      <c r="AM6614" t="s">
        <v>43</v>
      </c>
      <c r="AN6614" t="str">
        <f>HYPERLINK("https://www.google.com/maps?q=10.76468182,79.63063812","Open Location")</f>
        <v>Open Location</v>
      </c>
    </row>
    <row r="6615" spans="1:40" x14ac:dyDescent="0.3">
      <c r="A6615" s="1">
        <v>46210.233680555553</v>
      </c>
      <c r="B6615" t="s">
        <v>40</v>
      </c>
      <c r="C6615" t="s">
        <v>41</v>
      </c>
      <c r="D6615" s="1">
        <v>46210.236435185187</v>
      </c>
      <c r="E6615" t="s">
        <v>42</v>
      </c>
      <c r="F6615" t="s">
        <v>83</v>
      </c>
      <c r="G6615">
        <v>8</v>
      </c>
      <c r="H6615">
        <v>33050</v>
      </c>
      <c r="I6615" t="s">
        <v>3842</v>
      </c>
      <c r="J6615">
        <v>73</v>
      </c>
      <c r="K6615">
        <v>7</v>
      </c>
      <c r="L6615">
        <v>98</v>
      </c>
      <c r="M6615">
        <v>634.79998779000005</v>
      </c>
      <c r="N6615" t="s">
        <v>87</v>
      </c>
      <c r="O6615" t="s">
        <v>86</v>
      </c>
      <c r="P6615">
        <v>127</v>
      </c>
      <c r="Q6615">
        <v>3</v>
      </c>
      <c r="R6615">
        <v>-2</v>
      </c>
      <c r="S6615">
        <v>1764</v>
      </c>
      <c r="T6615">
        <v>-40</v>
      </c>
      <c r="U6615">
        <v>40</v>
      </c>
      <c r="V6615">
        <v>0</v>
      </c>
      <c r="W6615">
        <v>27</v>
      </c>
      <c r="X6615">
        <v>27</v>
      </c>
      <c r="Y6615">
        <v>1</v>
      </c>
      <c r="Z6615">
        <v>1</v>
      </c>
      <c r="AA6615">
        <v>25</v>
      </c>
      <c r="AB6615">
        <v>2</v>
      </c>
      <c r="AC6615">
        <v>2</v>
      </c>
      <c r="AD6615">
        <v>3.3059999900000001</v>
      </c>
      <c r="AE6615">
        <v>5</v>
      </c>
      <c r="AF6615">
        <v>38</v>
      </c>
      <c r="AG6615">
        <v>3.2980000999999999</v>
      </c>
      <c r="AH6615">
        <v>2</v>
      </c>
      <c r="AI6615">
        <v>46</v>
      </c>
      <c r="AJ6615">
        <v>2</v>
      </c>
      <c r="AK6615">
        <v>34</v>
      </c>
      <c r="AL6615">
        <v>34</v>
      </c>
      <c r="AM6615" t="s">
        <v>43</v>
      </c>
      <c r="AN6615" t="str">
        <f>HYPERLINK("https://www.google.com/maps?q=10.76523209,79.63064575","Open Location")</f>
        <v>Open Location</v>
      </c>
    </row>
    <row r="6616" spans="1:40" x14ac:dyDescent="0.3">
      <c r="A6616" s="1">
        <v>46210.233564814815</v>
      </c>
      <c r="B6616" t="s">
        <v>40</v>
      </c>
      <c r="C6616" t="s">
        <v>41</v>
      </c>
      <c r="D6616" s="1">
        <v>46210.236597222225</v>
      </c>
      <c r="E6616" t="s">
        <v>42</v>
      </c>
      <c r="F6616" t="s">
        <v>83</v>
      </c>
      <c r="G6616">
        <v>7</v>
      </c>
      <c r="H6616">
        <v>33050</v>
      </c>
      <c r="I6616" t="s">
        <v>3843</v>
      </c>
      <c r="J6616">
        <v>73</v>
      </c>
      <c r="K6616">
        <v>9</v>
      </c>
      <c r="L6616">
        <v>98</v>
      </c>
      <c r="M6616">
        <v>634.40002441000001</v>
      </c>
      <c r="N6616" t="s">
        <v>87</v>
      </c>
      <c r="O6616" t="s">
        <v>86</v>
      </c>
      <c r="P6616">
        <v>127</v>
      </c>
      <c r="Q6616">
        <v>2</v>
      </c>
      <c r="R6616">
        <v>12</v>
      </c>
      <c r="S6616">
        <v>1815</v>
      </c>
      <c r="T6616">
        <v>-40</v>
      </c>
      <c r="U6616">
        <v>41</v>
      </c>
      <c r="V6616">
        <v>9</v>
      </c>
      <c r="W6616">
        <v>27</v>
      </c>
      <c r="X6616">
        <v>27</v>
      </c>
      <c r="Y6616">
        <v>1</v>
      </c>
      <c r="Z6616">
        <v>1</v>
      </c>
      <c r="AA6616">
        <v>25</v>
      </c>
      <c r="AB6616">
        <v>2</v>
      </c>
      <c r="AC6616">
        <v>2</v>
      </c>
      <c r="AD6616">
        <v>3.31200004</v>
      </c>
      <c r="AE6616">
        <v>1</v>
      </c>
      <c r="AF6616">
        <v>16</v>
      </c>
      <c r="AG6616">
        <v>3.30699992</v>
      </c>
      <c r="AH6616">
        <v>2</v>
      </c>
      <c r="AI6616">
        <v>46</v>
      </c>
      <c r="AJ6616">
        <v>2</v>
      </c>
      <c r="AK6616">
        <v>34</v>
      </c>
      <c r="AL6616">
        <v>33</v>
      </c>
      <c r="AM6616" t="s">
        <v>43</v>
      </c>
      <c r="AN6616" t="str">
        <f>HYPERLINK("https://www.google.com/maps?q=10.76550865,79.63065338","Open Location")</f>
        <v>Open Location</v>
      </c>
    </row>
    <row r="6617" spans="1:40" x14ac:dyDescent="0.3">
      <c r="A6617" s="1">
        <v>46210.233449074076</v>
      </c>
      <c r="B6617" t="s">
        <v>40</v>
      </c>
      <c r="C6617" t="s">
        <v>41</v>
      </c>
      <c r="D6617" s="1">
        <v>46210.236307870371</v>
      </c>
      <c r="E6617" t="s">
        <v>42</v>
      </c>
      <c r="F6617" t="s">
        <v>83</v>
      </c>
      <c r="G6617" t="s">
        <v>43</v>
      </c>
      <c r="H6617" t="s">
        <v>43</v>
      </c>
      <c r="I6617" t="s">
        <v>3844</v>
      </c>
      <c r="J6617">
        <v>73</v>
      </c>
      <c r="K6617">
        <v>18</v>
      </c>
      <c r="L6617">
        <v>98</v>
      </c>
      <c r="M6617">
        <v>633.79998779000005</v>
      </c>
      <c r="N6617" t="s">
        <v>45</v>
      </c>
      <c r="O6617" t="s">
        <v>86</v>
      </c>
      <c r="P6617" t="s">
        <v>43</v>
      </c>
      <c r="Q6617">
        <v>3</v>
      </c>
      <c r="R6617" t="s">
        <v>43</v>
      </c>
      <c r="S6617">
        <v>977</v>
      </c>
      <c r="T6617">
        <v>-40</v>
      </c>
      <c r="U6617">
        <v>41</v>
      </c>
      <c r="V6617">
        <v>92</v>
      </c>
      <c r="W6617">
        <v>27</v>
      </c>
      <c r="X6617">
        <v>27</v>
      </c>
      <c r="Y6617">
        <v>1</v>
      </c>
      <c r="Z6617">
        <v>1</v>
      </c>
      <c r="AA6617">
        <v>25</v>
      </c>
      <c r="AB6617">
        <v>2</v>
      </c>
      <c r="AC6617">
        <v>2</v>
      </c>
      <c r="AD6617">
        <v>3.31599998</v>
      </c>
      <c r="AE6617">
        <v>8</v>
      </c>
      <c r="AF6617">
        <v>14</v>
      </c>
      <c r="AG6617">
        <v>3.3059999900000001</v>
      </c>
      <c r="AH6617">
        <v>7</v>
      </c>
      <c r="AI6617">
        <v>1</v>
      </c>
      <c r="AJ6617">
        <v>2</v>
      </c>
      <c r="AK6617">
        <v>34</v>
      </c>
      <c r="AL6617">
        <v>33</v>
      </c>
      <c r="AM6617" t="s">
        <v>43</v>
      </c>
      <c r="AN6617" t="str">
        <f>HYPERLINK("https://www.google.com/maps?q=10.76578236,79.63070679","Open Location")</f>
        <v>Open Location</v>
      </c>
    </row>
    <row r="6618" spans="1:40" x14ac:dyDescent="0.3">
      <c r="A6618" s="1">
        <v>46210.23333333333</v>
      </c>
      <c r="B6618" t="s">
        <v>40</v>
      </c>
      <c r="C6618" t="s">
        <v>41</v>
      </c>
      <c r="D6618" s="1">
        <v>46210.236226851855</v>
      </c>
      <c r="E6618" t="s">
        <v>42</v>
      </c>
      <c r="F6618" t="s">
        <v>83</v>
      </c>
      <c r="G6618">
        <v>12</v>
      </c>
      <c r="H6618">
        <v>33050</v>
      </c>
      <c r="I6618" t="s">
        <v>3845</v>
      </c>
      <c r="J6618">
        <v>74</v>
      </c>
      <c r="K6618">
        <v>12</v>
      </c>
      <c r="L6618">
        <v>98</v>
      </c>
      <c r="M6618">
        <v>635.29998779000005</v>
      </c>
      <c r="N6618" t="s">
        <v>87</v>
      </c>
      <c r="O6618" t="s">
        <v>86</v>
      </c>
      <c r="P6618">
        <v>128</v>
      </c>
      <c r="Q6618">
        <v>4</v>
      </c>
      <c r="R6618">
        <v>66</v>
      </c>
      <c r="S6618">
        <v>1240</v>
      </c>
      <c r="T6618">
        <v>-40</v>
      </c>
      <c r="U6618">
        <v>41</v>
      </c>
      <c r="V6618">
        <v>-14</v>
      </c>
      <c r="W6618">
        <v>27</v>
      </c>
      <c r="X6618">
        <v>27</v>
      </c>
      <c r="Y6618">
        <v>1</v>
      </c>
      <c r="Z6618">
        <v>1</v>
      </c>
      <c r="AA6618">
        <v>25</v>
      </c>
      <c r="AB6618">
        <v>2</v>
      </c>
      <c r="AC6618">
        <v>2</v>
      </c>
      <c r="AD6618">
        <v>3.31500006</v>
      </c>
      <c r="AE6618">
        <v>1</v>
      </c>
      <c r="AF6618">
        <v>16</v>
      </c>
      <c r="AG6618">
        <v>3.3110001100000002</v>
      </c>
      <c r="AH6618">
        <v>2</v>
      </c>
      <c r="AI6618">
        <v>6</v>
      </c>
      <c r="AJ6618">
        <v>2</v>
      </c>
      <c r="AK6618">
        <v>35</v>
      </c>
      <c r="AL6618">
        <v>33</v>
      </c>
      <c r="AM6618" t="s">
        <v>43</v>
      </c>
      <c r="AN6618" t="str">
        <f>HYPERLINK("https://www.google.com/maps?q=10.76604557,79.63049316","Open Location")</f>
        <v>Open Location</v>
      </c>
    </row>
    <row r="6619" spans="1:40" x14ac:dyDescent="0.3">
      <c r="A6619" s="1">
        <v>46210.233217592591</v>
      </c>
      <c r="B6619" t="s">
        <v>40</v>
      </c>
      <c r="C6619" t="s">
        <v>41</v>
      </c>
      <c r="D6619" s="1">
        <v>46210.236076388886</v>
      </c>
      <c r="E6619" t="s">
        <v>42</v>
      </c>
      <c r="F6619" t="s">
        <v>83</v>
      </c>
      <c r="G6619">
        <v>15</v>
      </c>
      <c r="H6619">
        <v>33050</v>
      </c>
      <c r="I6619" t="s">
        <v>43</v>
      </c>
      <c r="J6619">
        <v>74</v>
      </c>
      <c r="K6619">
        <v>72</v>
      </c>
      <c r="L6619">
        <v>98</v>
      </c>
      <c r="M6619">
        <v>634.90002441000001</v>
      </c>
      <c r="N6619" t="s">
        <v>87</v>
      </c>
      <c r="O6619" t="s">
        <v>86</v>
      </c>
      <c r="P6619">
        <v>129</v>
      </c>
      <c r="Q6619">
        <v>2</v>
      </c>
      <c r="R6619">
        <v>24</v>
      </c>
      <c r="S6619">
        <v>1903</v>
      </c>
      <c r="T6619">
        <v>-40</v>
      </c>
      <c r="U6619">
        <v>41</v>
      </c>
      <c r="V6619">
        <v>260</v>
      </c>
      <c r="W6619">
        <v>27</v>
      </c>
      <c r="X6619">
        <v>27</v>
      </c>
      <c r="Y6619">
        <v>1</v>
      </c>
      <c r="Z6619">
        <v>1</v>
      </c>
      <c r="AA6619">
        <v>25</v>
      </c>
      <c r="AB6619">
        <v>2</v>
      </c>
      <c r="AC6619">
        <v>2</v>
      </c>
      <c r="AD6619">
        <v>3.31200004</v>
      </c>
      <c r="AE6619">
        <v>1</v>
      </c>
      <c r="AF6619">
        <v>16</v>
      </c>
      <c r="AG6619">
        <v>3.3080000900000002</v>
      </c>
      <c r="AH6619">
        <v>2</v>
      </c>
      <c r="AI6619">
        <v>12</v>
      </c>
      <c r="AJ6619">
        <v>2</v>
      </c>
      <c r="AK6619">
        <v>34</v>
      </c>
      <c r="AL6619">
        <v>33</v>
      </c>
      <c r="AM6619" t="s">
        <v>43</v>
      </c>
      <c r="AN6619" t="s">
        <v>43</v>
      </c>
    </row>
    <row r="6620" spans="1:40" x14ac:dyDescent="0.3">
      <c r="A6620" s="1">
        <v>46210.233101851853</v>
      </c>
      <c r="B6620" t="s">
        <v>40</v>
      </c>
      <c r="C6620" t="s">
        <v>41</v>
      </c>
      <c r="D6620" s="1">
        <v>46210.235949074071</v>
      </c>
      <c r="E6620" t="s">
        <v>42</v>
      </c>
      <c r="F6620" t="s">
        <v>83</v>
      </c>
      <c r="G6620">
        <v>4</v>
      </c>
      <c r="H6620">
        <v>33050</v>
      </c>
      <c r="I6620" t="s">
        <v>3846</v>
      </c>
      <c r="J6620">
        <v>74</v>
      </c>
      <c r="K6620">
        <v>-2</v>
      </c>
      <c r="L6620">
        <v>98</v>
      </c>
      <c r="M6620">
        <v>635.20001220999995</v>
      </c>
      <c r="N6620" t="s">
        <v>87</v>
      </c>
      <c r="O6620" t="s">
        <v>86</v>
      </c>
      <c r="P6620">
        <v>127</v>
      </c>
      <c r="Q6620">
        <v>5</v>
      </c>
      <c r="R6620">
        <v>8</v>
      </c>
      <c r="S6620">
        <v>468</v>
      </c>
      <c r="T6620">
        <v>-40</v>
      </c>
      <c r="U6620">
        <v>41</v>
      </c>
      <c r="V6620">
        <v>-30</v>
      </c>
      <c r="W6620">
        <v>27</v>
      </c>
      <c r="X6620">
        <v>27</v>
      </c>
      <c r="Y6620">
        <v>1</v>
      </c>
      <c r="Z6620">
        <v>1</v>
      </c>
      <c r="AA6620">
        <v>25</v>
      </c>
      <c r="AB6620">
        <v>2</v>
      </c>
      <c r="AC6620">
        <v>2</v>
      </c>
      <c r="AD6620">
        <v>3.3050000700000002</v>
      </c>
      <c r="AE6620">
        <v>5</v>
      </c>
      <c r="AF6620">
        <v>38</v>
      </c>
      <c r="AG6620">
        <v>3.2980000999999999</v>
      </c>
      <c r="AH6620">
        <v>2</v>
      </c>
      <c r="AI6620">
        <v>46</v>
      </c>
      <c r="AJ6620">
        <v>2</v>
      </c>
      <c r="AK6620">
        <v>34</v>
      </c>
      <c r="AL6620">
        <v>33</v>
      </c>
      <c r="AM6620" t="s">
        <v>43</v>
      </c>
      <c r="AN6620" t="str">
        <f>HYPERLINK("https://www.google.com/maps?q=10.76615524,79.63022614","Open Location")</f>
        <v>Open Location</v>
      </c>
    </row>
    <row r="6621" spans="1:40" x14ac:dyDescent="0.3">
      <c r="A6621" s="1">
        <v>46210.232986111114</v>
      </c>
      <c r="B6621" t="s">
        <v>40</v>
      </c>
      <c r="C6621" t="s">
        <v>41</v>
      </c>
      <c r="D6621" s="1">
        <v>46210.235891203702</v>
      </c>
      <c r="E6621" t="s">
        <v>42</v>
      </c>
      <c r="F6621" t="s">
        <v>83</v>
      </c>
      <c r="G6621">
        <v>21</v>
      </c>
      <c r="H6621">
        <v>33050</v>
      </c>
      <c r="I6621" t="s">
        <v>3847</v>
      </c>
      <c r="J6621">
        <v>74</v>
      </c>
      <c r="K6621">
        <v>74</v>
      </c>
      <c r="L6621">
        <v>98</v>
      </c>
      <c r="M6621">
        <v>631.79998779000005</v>
      </c>
      <c r="N6621" t="s">
        <v>87</v>
      </c>
      <c r="O6621" t="s">
        <v>86</v>
      </c>
      <c r="P6621">
        <v>130</v>
      </c>
      <c r="Q6621">
        <v>5</v>
      </c>
      <c r="R6621">
        <v>17</v>
      </c>
      <c r="S6621">
        <v>985</v>
      </c>
      <c r="T6621">
        <v>-40</v>
      </c>
      <c r="U6621">
        <v>41</v>
      </c>
      <c r="V6621">
        <v>440</v>
      </c>
      <c r="W6621">
        <v>27</v>
      </c>
      <c r="X6621">
        <v>27</v>
      </c>
      <c r="Y6621">
        <v>1</v>
      </c>
      <c r="Z6621">
        <v>1</v>
      </c>
      <c r="AA6621">
        <v>25</v>
      </c>
      <c r="AB6621">
        <v>2</v>
      </c>
      <c r="AC6621">
        <v>2</v>
      </c>
      <c r="AD6621">
        <v>3.3169999099999998</v>
      </c>
      <c r="AE6621">
        <v>1</v>
      </c>
      <c r="AF6621">
        <v>29</v>
      </c>
      <c r="AG6621">
        <v>3.31200004</v>
      </c>
      <c r="AH6621">
        <v>4</v>
      </c>
      <c r="AI6621">
        <v>17</v>
      </c>
      <c r="AJ6621">
        <v>2</v>
      </c>
      <c r="AK6621">
        <v>34</v>
      </c>
      <c r="AL6621">
        <v>33</v>
      </c>
      <c r="AM6621" t="s">
        <v>43</v>
      </c>
      <c r="AN6621" t="str">
        <f>HYPERLINK("https://www.google.com/maps?q=10.76638985,79.62967682","Open Location")</f>
        <v>Open Location</v>
      </c>
    </row>
    <row r="6622" spans="1:40" x14ac:dyDescent="0.3">
      <c r="A6622" s="1">
        <v>46210.232870370368</v>
      </c>
      <c r="B6622" t="s">
        <v>40</v>
      </c>
      <c r="C6622" t="s">
        <v>41</v>
      </c>
      <c r="D6622" s="1">
        <v>46210.235972222225</v>
      </c>
      <c r="E6622" t="s">
        <v>42</v>
      </c>
      <c r="F6622" t="s">
        <v>83</v>
      </c>
      <c r="G6622">
        <v>28</v>
      </c>
      <c r="H6622">
        <v>33050</v>
      </c>
      <c r="I6622" t="s">
        <v>3848</v>
      </c>
      <c r="J6622">
        <v>74</v>
      </c>
      <c r="K6622">
        <v>-17</v>
      </c>
      <c r="L6622">
        <v>98</v>
      </c>
      <c r="M6622">
        <v>635</v>
      </c>
      <c r="N6622" t="s">
        <v>87</v>
      </c>
      <c r="O6622" t="s">
        <v>86</v>
      </c>
      <c r="P6622">
        <v>130</v>
      </c>
      <c r="Q6622">
        <v>6</v>
      </c>
      <c r="R6622">
        <v>61</v>
      </c>
      <c r="S6622">
        <v>821</v>
      </c>
      <c r="T6622">
        <v>-40</v>
      </c>
      <c r="U6622">
        <v>43</v>
      </c>
      <c r="V6622">
        <v>-250</v>
      </c>
      <c r="W6622">
        <v>27</v>
      </c>
      <c r="X6622">
        <v>27</v>
      </c>
      <c r="Y6622">
        <v>1</v>
      </c>
      <c r="Z6622">
        <v>1</v>
      </c>
      <c r="AA6622">
        <v>25</v>
      </c>
      <c r="AB6622">
        <v>2</v>
      </c>
      <c r="AC6622">
        <v>2</v>
      </c>
      <c r="AD6622">
        <v>3.3280000699999999</v>
      </c>
      <c r="AE6622">
        <v>6</v>
      </c>
      <c r="AF6622">
        <v>15</v>
      </c>
      <c r="AG6622">
        <v>3.3190000099999999</v>
      </c>
      <c r="AH6622">
        <v>3</v>
      </c>
      <c r="AI6622">
        <v>4</v>
      </c>
      <c r="AJ6622">
        <v>2</v>
      </c>
      <c r="AK6622">
        <v>35</v>
      </c>
      <c r="AL6622">
        <v>33</v>
      </c>
      <c r="AM6622" t="s">
        <v>43</v>
      </c>
      <c r="AN6622" t="str">
        <f>HYPERLINK("https://www.google.com/maps?q=10.76686954,79.62875366","Open Location")</f>
        <v>Open Location</v>
      </c>
    </row>
    <row r="6623" spans="1:40" x14ac:dyDescent="0.3">
      <c r="A6623" s="1">
        <v>46210.232754629629</v>
      </c>
      <c r="B6623" t="s">
        <v>40</v>
      </c>
      <c r="C6623" t="s">
        <v>41</v>
      </c>
      <c r="D6623" s="1">
        <v>46210.235578703701</v>
      </c>
      <c r="E6623" t="s">
        <v>42</v>
      </c>
      <c r="F6623" t="s">
        <v>83</v>
      </c>
      <c r="G6623">
        <v>45</v>
      </c>
      <c r="H6623">
        <v>33050</v>
      </c>
      <c r="I6623" t="s">
        <v>3849</v>
      </c>
      <c r="J6623">
        <v>74</v>
      </c>
      <c r="K6623">
        <v>81</v>
      </c>
      <c r="L6623">
        <v>98</v>
      </c>
      <c r="M6623">
        <v>625.59997558999999</v>
      </c>
      <c r="N6623" t="s">
        <v>87</v>
      </c>
      <c r="O6623" t="s">
        <v>86</v>
      </c>
      <c r="P6623">
        <v>131</v>
      </c>
      <c r="Q6623">
        <v>5</v>
      </c>
      <c r="R6623">
        <v>148</v>
      </c>
      <c r="S6623">
        <v>1170</v>
      </c>
      <c r="T6623">
        <v>-40</v>
      </c>
      <c r="U6623">
        <v>44</v>
      </c>
      <c r="V6623">
        <v>471</v>
      </c>
      <c r="W6623">
        <v>27</v>
      </c>
      <c r="X6623">
        <v>27</v>
      </c>
      <c r="Y6623">
        <v>1</v>
      </c>
      <c r="Z6623">
        <v>1</v>
      </c>
      <c r="AA6623">
        <v>25</v>
      </c>
      <c r="AB6623">
        <v>2</v>
      </c>
      <c r="AC6623">
        <v>2</v>
      </c>
      <c r="AD6623">
        <v>3.2699999800000001</v>
      </c>
      <c r="AE6623">
        <v>5</v>
      </c>
      <c r="AF6623">
        <v>38</v>
      </c>
      <c r="AG6623">
        <v>3.2490000700000001</v>
      </c>
      <c r="AH6623">
        <v>7</v>
      </c>
      <c r="AI6623">
        <v>19</v>
      </c>
      <c r="AJ6623">
        <v>2</v>
      </c>
      <c r="AK6623">
        <v>34</v>
      </c>
      <c r="AL6623">
        <v>33</v>
      </c>
      <c r="AM6623" t="s">
        <v>43</v>
      </c>
      <c r="AN6623" t="str">
        <f>HYPERLINK("https://www.google.com/maps?q=10.76763725,79.62784576","Open Location")</f>
        <v>Open Location</v>
      </c>
    </row>
    <row r="6624" spans="1:40" x14ac:dyDescent="0.3">
      <c r="A6624" s="1">
        <v>46210.232638888891</v>
      </c>
      <c r="B6624" t="s">
        <v>40</v>
      </c>
      <c r="C6624" t="s">
        <v>41</v>
      </c>
      <c r="D6624" s="1">
        <v>46210.235578703701</v>
      </c>
      <c r="E6624" t="s">
        <v>42</v>
      </c>
      <c r="F6624" t="s">
        <v>83</v>
      </c>
      <c r="G6624">
        <v>30</v>
      </c>
      <c r="H6624">
        <v>33050</v>
      </c>
      <c r="I6624" t="s">
        <v>3850</v>
      </c>
      <c r="J6624">
        <v>74</v>
      </c>
      <c r="K6624">
        <v>87</v>
      </c>
      <c r="L6624">
        <v>98</v>
      </c>
      <c r="M6624">
        <v>632.20001220999995</v>
      </c>
      <c r="N6624" t="s">
        <v>87</v>
      </c>
      <c r="O6624" t="s">
        <v>86</v>
      </c>
      <c r="P6624">
        <v>130</v>
      </c>
      <c r="Q6624">
        <v>5</v>
      </c>
      <c r="R6624">
        <v>74</v>
      </c>
      <c r="S6624">
        <v>1280</v>
      </c>
      <c r="T6624">
        <v>-40</v>
      </c>
      <c r="U6624">
        <v>41</v>
      </c>
      <c r="V6624">
        <v>360</v>
      </c>
      <c r="W6624">
        <v>27</v>
      </c>
      <c r="X6624">
        <v>27</v>
      </c>
      <c r="Y6624">
        <v>1</v>
      </c>
      <c r="Z6624">
        <v>1</v>
      </c>
      <c r="AA6624">
        <v>25</v>
      </c>
      <c r="AB6624">
        <v>2</v>
      </c>
      <c r="AC6624">
        <v>2</v>
      </c>
      <c r="AD6624">
        <v>3.3250000499999999</v>
      </c>
      <c r="AE6624">
        <v>1</v>
      </c>
      <c r="AF6624">
        <v>29</v>
      </c>
      <c r="AG6624">
        <v>3.3199999299999998</v>
      </c>
      <c r="AH6624">
        <v>6</v>
      </c>
      <c r="AI6624">
        <v>12</v>
      </c>
      <c r="AJ6624">
        <v>2</v>
      </c>
      <c r="AK6624">
        <v>35</v>
      </c>
      <c r="AL6624">
        <v>33</v>
      </c>
      <c r="AM6624" t="s">
        <v>43</v>
      </c>
      <c r="AN6624" t="str">
        <f>HYPERLINK("https://www.google.com/maps?q=10.76813793,79.62714386","Open Location")</f>
        <v>Open Location</v>
      </c>
    </row>
    <row r="6625" spans="1:40" x14ac:dyDescent="0.3">
      <c r="A6625" s="1">
        <v>46210.232523148145</v>
      </c>
      <c r="B6625" t="s">
        <v>40</v>
      </c>
      <c r="C6625" t="s">
        <v>41</v>
      </c>
      <c r="D6625" s="1">
        <v>46210.235358796293</v>
      </c>
      <c r="E6625" t="s">
        <v>42</v>
      </c>
      <c r="F6625" t="s">
        <v>83</v>
      </c>
      <c r="G6625">
        <v>30</v>
      </c>
      <c r="H6625">
        <v>33050</v>
      </c>
      <c r="I6625" t="s">
        <v>43</v>
      </c>
      <c r="J6625">
        <v>74</v>
      </c>
      <c r="K6625">
        <v>-33</v>
      </c>
      <c r="L6625">
        <v>98</v>
      </c>
      <c r="M6625">
        <v>637.40002441000001</v>
      </c>
      <c r="N6625" t="s">
        <v>87</v>
      </c>
      <c r="O6625" t="s">
        <v>86</v>
      </c>
      <c r="P6625">
        <v>130</v>
      </c>
      <c r="Q6625">
        <v>5</v>
      </c>
      <c r="R6625">
        <v>-27</v>
      </c>
      <c r="S6625">
        <v>1407</v>
      </c>
      <c r="T6625">
        <v>-40</v>
      </c>
      <c r="U6625">
        <v>40</v>
      </c>
      <c r="V6625">
        <v>-184</v>
      </c>
      <c r="W6625">
        <v>27</v>
      </c>
      <c r="X6625">
        <v>27</v>
      </c>
      <c r="Y6625">
        <v>1</v>
      </c>
      <c r="Z6625">
        <v>1</v>
      </c>
      <c r="AA6625">
        <v>25</v>
      </c>
      <c r="AB6625">
        <v>2</v>
      </c>
      <c r="AC6625">
        <v>2</v>
      </c>
      <c r="AD6625">
        <v>3.3220000299999999</v>
      </c>
      <c r="AE6625">
        <v>1</v>
      </c>
      <c r="AF6625">
        <v>7</v>
      </c>
      <c r="AG6625">
        <v>3.31800008</v>
      </c>
      <c r="AH6625">
        <v>6</v>
      </c>
      <c r="AI6625">
        <v>12</v>
      </c>
      <c r="AJ6625">
        <v>2</v>
      </c>
      <c r="AK6625">
        <v>34</v>
      </c>
      <c r="AL6625">
        <v>33</v>
      </c>
      <c r="AM6625" t="s">
        <v>43</v>
      </c>
      <c r="AN6625" t="s">
        <v>43</v>
      </c>
    </row>
    <row r="6626" spans="1:40" x14ac:dyDescent="0.3">
      <c r="A6626" s="1">
        <v>46210.232407407406</v>
      </c>
      <c r="B6626" t="s">
        <v>40</v>
      </c>
      <c r="C6626" t="s">
        <v>41</v>
      </c>
      <c r="D6626" s="1">
        <v>46210.235219907408</v>
      </c>
      <c r="E6626" t="s">
        <v>42</v>
      </c>
      <c r="F6626" t="s">
        <v>83</v>
      </c>
      <c r="G6626">
        <v>35</v>
      </c>
      <c r="H6626">
        <v>33050</v>
      </c>
      <c r="I6626" t="s">
        <v>3851</v>
      </c>
      <c r="J6626">
        <v>74</v>
      </c>
      <c r="K6626">
        <v>68</v>
      </c>
      <c r="L6626">
        <v>98</v>
      </c>
      <c r="M6626">
        <v>632.90002441000001</v>
      </c>
      <c r="N6626" t="s">
        <v>87</v>
      </c>
      <c r="O6626" t="s">
        <v>86</v>
      </c>
      <c r="P6626">
        <v>130</v>
      </c>
      <c r="Q6626">
        <v>5</v>
      </c>
      <c r="R6626">
        <v>33</v>
      </c>
      <c r="S6626">
        <v>1604</v>
      </c>
      <c r="T6626">
        <v>-40</v>
      </c>
      <c r="U6626">
        <v>41</v>
      </c>
      <c r="V6626">
        <v>240</v>
      </c>
      <c r="W6626">
        <v>27</v>
      </c>
      <c r="X6626">
        <v>27</v>
      </c>
      <c r="Y6626">
        <v>1</v>
      </c>
      <c r="Z6626">
        <v>1</v>
      </c>
      <c r="AA6626">
        <v>25</v>
      </c>
      <c r="AB6626">
        <v>2</v>
      </c>
      <c r="AC6626">
        <v>2</v>
      </c>
      <c r="AD6626">
        <v>3.3039999</v>
      </c>
      <c r="AE6626">
        <v>1</v>
      </c>
      <c r="AF6626">
        <v>1</v>
      </c>
      <c r="AG6626">
        <v>3.2959999999999998</v>
      </c>
      <c r="AH6626">
        <v>8</v>
      </c>
      <c r="AI6626">
        <v>35</v>
      </c>
      <c r="AJ6626">
        <v>2</v>
      </c>
      <c r="AK6626">
        <v>34</v>
      </c>
      <c r="AL6626">
        <v>33</v>
      </c>
      <c r="AM6626" t="s">
        <v>43</v>
      </c>
      <c r="AN6626" t="str">
        <f>HYPERLINK("https://www.google.com/maps?q=10.76885509,79.62641144","Open Location")</f>
        <v>Open Location</v>
      </c>
    </row>
    <row r="6627" spans="1:40" x14ac:dyDescent="0.3">
      <c r="A6627" s="1">
        <v>46210.232291666667</v>
      </c>
      <c r="B6627" t="s">
        <v>40</v>
      </c>
      <c r="C6627" t="s">
        <v>41</v>
      </c>
      <c r="D6627" s="1">
        <v>46210.235046296293</v>
      </c>
      <c r="E6627" t="s">
        <v>42</v>
      </c>
      <c r="F6627" t="s">
        <v>83</v>
      </c>
      <c r="G6627">
        <v>31</v>
      </c>
      <c r="H6627">
        <v>33050</v>
      </c>
      <c r="I6627" t="s">
        <v>3852</v>
      </c>
      <c r="J6627">
        <v>74</v>
      </c>
      <c r="K6627">
        <v>59</v>
      </c>
      <c r="L6627">
        <v>98</v>
      </c>
      <c r="M6627">
        <v>633.59997558999999</v>
      </c>
      <c r="N6627" t="s">
        <v>87</v>
      </c>
      <c r="O6627" t="s">
        <v>86</v>
      </c>
      <c r="P6627">
        <v>130</v>
      </c>
      <c r="Q6627">
        <v>5</v>
      </c>
      <c r="R6627">
        <v>35</v>
      </c>
      <c r="S6627">
        <v>1369</v>
      </c>
      <c r="T6627">
        <v>-40</v>
      </c>
      <c r="U6627">
        <v>40</v>
      </c>
      <c r="V6627">
        <v>240</v>
      </c>
      <c r="W6627">
        <v>27</v>
      </c>
      <c r="X6627">
        <v>27</v>
      </c>
      <c r="Y6627">
        <v>1</v>
      </c>
      <c r="Z6627">
        <v>1</v>
      </c>
      <c r="AA6627">
        <v>25</v>
      </c>
      <c r="AB6627">
        <v>2</v>
      </c>
      <c r="AC6627">
        <v>2</v>
      </c>
      <c r="AD6627">
        <v>3.3229999499999998</v>
      </c>
      <c r="AE6627">
        <v>1</v>
      </c>
      <c r="AF6627">
        <v>13</v>
      </c>
      <c r="AG6627">
        <v>3.3190000099999999</v>
      </c>
      <c r="AH6627">
        <v>6</v>
      </c>
      <c r="AI6627">
        <v>12</v>
      </c>
      <c r="AJ6627">
        <v>2</v>
      </c>
      <c r="AK6627">
        <v>35</v>
      </c>
      <c r="AL6627">
        <v>33</v>
      </c>
      <c r="AM6627" t="s">
        <v>43</v>
      </c>
      <c r="AN6627" t="str">
        <f>HYPERLINK("https://www.google.com/maps?q=10.76961613,79.62582397","Open Location")</f>
        <v>Open Location</v>
      </c>
    </row>
    <row r="6628" spans="1:40" x14ac:dyDescent="0.3">
      <c r="A6628" s="1">
        <v>46210.232175925928</v>
      </c>
      <c r="B6628" t="s">
        <v>40</v>
      </c>
      <c r="C6628" t="s">
        <v>41</v>
      </c>
      <c r="D6628" s="1">
        <v>46210.234988425924</v>
      </c>
      <c r="E6628" t="s">
        <v>42</v>
      </c>
      <c r="F6628" t="s">
        <v>83</v>
      </c>
      <c r="G6628">
        <v>33</v>
      </c>
      <c r="H6628">
        <v>33050</v>
      </c>
      <c r="I6628" t="s">
        <v>3853</v>
      </c>
      <c r="J6628">
        <v>74</v>
      </c>
      <c r="K6628">
        <v>2</v>
      </c>
      <c r="L6628">
        <v>98</v>
      </c>
      <c r="M6628">
        <v>637.5</v>
      </c>
      <c r="N6628" t="s">
        <v>87</v>
      </c>
      <c r="O6628" t="s">
        <v>86</v>
      </c>
      <c r="P6628">
        <v>130</v>
      </c>
      <c r="Q6628">
        <v>5</v>
      </c>
      <c r="R6628">
        <v>-29</v>
      </c>
      <c r="S6628">
        <v>1531</v>
      </c>
      <c r="T6628">
        <v>-40</v>
      </c>
      <c r="U6628">
        <v>40</v>
      </c>
      <c r="V6628">
        <v>-24</v>
      </c>
      <c r="W6628">
        <v>27</v>
      </c>
      <c r="X6628">
        <v>27</v>
      </c>
      <c r="Y6628">
        <v>1</v>
      </c>
      <c r="Z6628">
        <v>1</v>
      </c>
      <c r="AA6628">
        <v>25</v>
      </c>
      <c r="AB6628">
        <v>2</v>
      </c>
      <c r="AC6628">
        <v>2</v>
      </c>
      <c r="AD6628">
        <v>3.2980000999999999</v>
      </c>
      <c r="AE6628">
        <v>5</v>
      </c>
      <c r="AF6628">
        <v>38</v>
      </c>
      <c r="AG6628">
        <v>3.2869999399999998</v>
      </c>
      <c r="AH6628">
        <v>4</v>
      </c>
      <c r="AI6628">
        <v>24</v>
      </c>
      <c r="AJ6628">
        <v>2</v>
      </c>
      <c r="AK6628">
        <v>34</v>
      </c>
      <c r="AL6628">
        <v>33</v>
      </c>
      <c r="AM6628" t="s">
        <v>43</v>
      </c>
      <c r="AN6628" t="str">
        <f>HYPERLINK("https://www.google.com/maps?q=10.77036095,79.62515259","Open Location")</f>
        <v>Open Location</v>
      </c>
    </row>
    <row r="6629" spans="1:40" x14ac:dyDescent="0.3">
      <c r="A6629" s="1">
        <v>46210.232060185182</v>
      </c>
      <c r="B6629" t="s">
        <v>40</v>
      </c>
      <c r="C6629" t="s">
        <v>41</v>
      </c>
      <c r="D6629" s="1">
        <v>46210.234861111108</v>
      </c>
      <c r="E6629" t="s">
        <v>42</v>
      </c>
      <c r="F6629" t="s">
        <v>83</v>
      </c>
      <c r="G6629">
        <v>31</v>
      </c>
      <c r="H6629">
        <v>33050</v>
      </c>
      <c r="I6629" t="s">
        <v>3854</v>
      </c>
      <c r="J6629">
        <v>74</v>
      </c>
      <c r="K6629">
        <v>64</v>
      </c>
      <c r="L6629">
        <v>98</v>
      </c>
      <c r="M6629">
        <v>633.29998779000005</v>
      </c>
      <c r="N6629" t="s">
        <v>87</v>
      </c>
      <c r="O6629" t="s">
        <v>86</v>
      </c>
      <c r="P6629">
        <v>130</v>
      </c>
      <c r="Q6629">
        <v>5</v>
      </c>
      <c r="R6629">
        <v>38</v>
      </c>
      <c r="S6629">
        <v>1361</v>
      </c>
      <c r="T6629">
        <v>-40</v>
      </c>
      <c r="U6629">
        <v>40</v>
      </c>
      <c r="V6629">
        <v>260</v>
      </c>
      <c r="W6629">
        <v>27</v>
      </c>
      <c r="X6629">
        <v>27</v>
      </c>
      <c r="Y6629">
        <v>1</v>
      </c>
      <c r="Z6629">
        <v>1</v>
      </c>
      <c r="AA6629">
        <v>25</v>
      </c>
      <c r="AB6629">
        <v>2</v>
      </c>
      <c r="AC6629">
        <v>2</v>
      </c>
      <c r="AD6629">
        <v>3.31200004</v>
      </c>
      <c r="AE6629">
        <v>1</v>
      </c>
      <c r="AF6629">
        <v>1</v>
      </c>
      <c r="AG6629">
        <v>3.30699992</v>
      </c>
      <c r="AH6629">
        <v>2</v>
      </c>
      <c r="AI6629">
        <v>46</v>
      </c>
      <c r="AJ6629">
        <v>2</v>
      </c>
      <c r="AK6629">
        <v>35</v>
      </c>
      <c r="AL6629">
        <v>33</v>
      </c>
      <c r="AM6629" t="s">
        <v>43</v>
      </c>
      <c r="AN6629" t="str">
        <f>HYPERLINK("https://www.google.com/maps?q=10.77128029,79.62483215","Open Location")</f>
        <v>Open Location</v>
      </c>
    </row>
    <row r="6630" spans="1:40" x14ac:dyDescent="0.3">
      <c r="A6630" s="1">
        <v>46210.231944444444</v>
      </c>
      <c r="B6630" t="s">
        <v>40</v>
      </c>
      <c r="C6630" t="s">
        <v>41</v>
      </c>
      <c r="D6630" s="1">
        <v>46210.234849537039</v>
      </c>
      <c r="E6630" t="s">
        <v>42</v>
      </c>
      <c r="F6630" t="s">
        <v>83</v>
      </c>
      <c r="G6630">
        <v>29</v>
      </c>
      <c r="H6630">
        <v>33049</v>
      </c>
      <c r="I6630" t="s">
        <v>43</v>
      </c>
      <c r="J6630">
        <v>74</v>
      </c>
      <c r="K6630">
        <v>26</v>
      </c>
      <c r="L6630">
        <v>98</v>
      </c>
      <c r="M6630">
        <v>635.29998779000005</v>
      </c>
      <c r="N6630" t="s">
        <v>87</v>
      </c>
      <c r="O6630" t="s">
        <v>86</v>
      </c>
      <c r="P6630">
        <v>130</v>
      </c>
      <c r="Q6630">
        <v>5</v>
      </c>
      <c r="R6630">
        <v>13</v>
      </c>
      <c r="S6630">
        <v>1357</v>
      </c>
      <c r="T6630">
        <v>-40</v>
      </c>
      <c r="U6630">
        <v>40</v>
      </c>
      <c r="V6630">
        <v>100</v>
      </c>
      <c r="W6630">
        <v>27</v>
      </c>
      <c r="X6630">
        <v>27</v>
      </c>
      <c r="Y6630">
        <v>1</v>
      </c>
      <c r="Z6630">
        <v>1</v>
      </c>
      <c r="AA6630">
        <v>25</v>
      </c>
      <c r="AB6630">
        <v>2</v>
      </c>
      <c r="AC6630">
        <v>2</v>
      </c>
      <c r="AD6630">
        <v>3.30999994</v>
      </c>
      <c r="AE6630">
        <v>1</v>
      </c>
      <c r="AF6630">
        <v>16</v>
      </c>
      <c r="AG6630">
        <v>3.3039999</v>
      </c>
      <c r="AH6630">
        <v>7</v>
      </c>
      <c r="AI6630">
        <v>1</v>
      </c>
      <c r="AJ6630">
        <v>2</v>
      </c>
      <c r="AK6630">
        <v>35</v>
      </c>
      <c r="AL6630">
        <v>33</v>
      </c>
      <c r="AM6630" t="s">
        <v>43</v>
      </c>
      <c r="AN6630" t="s">
        <v>43</v>
      </c>
    </row>
    <row r="6631" spans="1:40" x14ac:dyDescent="0.3">
      <c r="A6631" s="1">
        <v>46210.231828703705</v>
      </c>
      <c r="B6631" t="s">
        <v>40</v>
      </c>
      <c r="C6631" t="s">
        <v>41</v>
      </c>
      <c r="D6631" s="1">
        <v>46210.234722222223</v>
      </c>
      <c r="E6631" t="s">
        <v>42</v>
      </c>
      <c r="F6631" t="s">
        <v>83</v>
      </c>
      <c r="G6631">
        <v>30</v>
      </c>
      <c r="H6631">
        <v>33049</v>
      </c>
      <c r="I6631" t="s">
        <v>3855</v>
      </c>
      <c r="J6631">
        <v>74</v>
      </c>
      <c r="K6631">
        <v>70</v>
      </c>
      <c r="L6631">
        <v>98</v>
      </c>
      <c r="M6631">
        <v>632.90002441000001</v>
      </c>
      <c r="N6631" t="s">
        <v>87</v>
      </c>
      <c r="O6631" t="s">
        <v>86</v>
      </c>
      <c r="P6631">
        <v>130</v>
      </c>
      <c r="Q6631">
        <v>5</v>
      </c>
      <c r="R6631">
        <v>54</v>
      </c>
      <c r="S6631">
        <v>1302</v>
      </c>
      <c r="T6631">
        <v>-40</v>
      </c>
      <c r="U6631">
        <v>40</v>
      </c>
      <c r="V6631">
        <v>300</v>
      </c>
      <c r="W6631">
        <v>27</v>
      </c>
      <c r="X6631">
        <v>27</v>
      </c>
      <c r="Y6631">
        <v>1</v>
      </c>
      <c r="Z6631">
        <v>1</v>
      </c>
      <c r="AA6631">
        <v>25</v>
      </c>
      <c r="AB6631">
        <v>2</v>
      </c>
      <c r="AC6631">
        <v>2</v>
      </c>
      <c r="AD6631">
        <v>3.3229999499999998</v>
      </c>
      <c r="AE6631">
        <v>1</v>
      </c>
      <c r="AF6631">
        <v>16</v>
      </c>
      <c r="AG6631">
        <v>3.3190000099999999</v>
      </c>
      <c r="AH6631">
        <v>2</v>
      </c>
      <c r="AI6631">
        <v>12</v>
      </c>
      <c r="AJ6631">
        <v>2</v>
      </c>
      <c r="AK6631">
        <v>35</v>
      </c>
      <c r="AL6631">
        <v>33</v>
      </c>
      <c r="AM6631" t="s">
        <v>43</v>
      </c>
      <c r="AN6631" t="str">
        <f>HYPERLINK("https://www.google.com/maps?q=10.77199936,79.62426758","Open Location")</f>
        <v>Open Location</v>
      </c>
    </row>
    <row r="6632" spans="1:40" x14ac:dyDescent="0.3">
      <c r="A6632" s="1">
        <v>46210.231712962966</v>
      </c>
      <c r="B6632" t="s">
        <v>40</v>
      </c>
      <c r="C6632" t="s">
        <v>41</v>
      </c>
      <c r="D6632" s="1">
        <v>46210.234722222223</v>
      </c>
      <c r="E6632" t="s">
        <v>42</v>
      </c>
      <c r="F6632" t="s">
        <v>83</v>
      </c>
      <c r="G6632">
        <v>28</v>
      </c>
      <c r="H6632">
        <v>33049</v>
      </c>
      <c r="I6632" t="s">
        <v>3856</v>
      </c>
      <c r="J6632">
        <v>74</v>
      </c>
      <c r="K6632">
        <v>21</v>
      </c>
      <c r="L6632">
        <v>98</v>
      </c>
      <c r="M6632">
        <v>635</v>
      </c>
      <c r="N6632" t="s">
        <v>87</v>
      </c>
      <c r="O6632" t="s">
        <v>86</v>
      </c>
      <c r="P6632">
        <v>130</v>
      </c>
      <c r="Q6632">
        <v>5</v>
      </c>
      <c r="R6632">
        <v>10</v>
      </c>
      <c r="S6632">
        <v>1266</v>
      </c>
      <c r="T6632">
        <v>-40</v>
      </c>
      <c r="U6632">
        <v>39</v>
      </c>
      <c r="V6632">
        <v>80</v>
      </c>
      <c r="W6632">
        <v>27</v>
      </c>
      <c r="X6632">
        <v>27</v>
      </c>
      <c r="Y6632">
        <v>1</v>
      </c>
      <c r="Z6632">
        <v>1</v>
      </c>
      <c r="AA6632">
        <v>25</v>
      </c>
      <c r="AB6632">
        <v>2</v>
      </c>
      <c r="AC6632">
        <v>2</v>
      </c>
      <c r="AD6632">
        <v>3.3239998800000001</v>
      </c>
      <c r="AE6632">
        <v>1</v>
      </c>
      <c r="AF6632">
        <v>16</v>
      </c>
      <c r="AG6632">
        <v>3.3199999299999998</v>
      </c>
      <c r="AH6632">
        <v>2</v>
      </c>
      <c r="AI6632">
        <v>12</v>
      </c>
      <c r="AJ6632">
        <v>2</v>
      </c>
      <c r="AK6632">
        <v>35</v>
      </c>
      <c r="AL6632">
        <v>33</v>
      </c>
      <c r="AM6632" t="s">
        <v>43</v>
      </c>
      <c r="AN6632" t="str">
        <f>HYPERLINK("https://www.google.com/maps?q=10.77256298,79.62361908","Open Location")</f>
        <v>Open Location</v>
      </c>
    </row>
    <row r="6633" spans="1:40" x14ac:dyDescent="0.3">
      <c r="A6633" s="1">
        <v>46210.23159722222</v>
      </c>
      <c r="B6633" t="s">
        <v>40</v>
      </c>
      <c r="C6633" t="s">
        <v>41</v>
      </c>
      <c r="D6633" s="1">
        <v>46210.234340277777</v>
      </c>
      <c r="E6633" t="s">
        <v>42</v>
      </c>
      <c r="F6633" t="s">
        <v>83</v>
      </c>
      <c r="G6633">
        <v>32</v>
      </c>
      <c r="H6633">
        <v>33049</v>
      </c>
      <c r="I6633" t="s">
        <v>3857</v>
      </c>
      <c r="J6633">
        <v>74</v>
      </c>
      <c r="K6633">
        <v>28</v>
      </c>
      <c r="L6633">
        <v>98</v>
      </c>
      <c r="M6633">
        <v>635</v>
      </c>
      <c r="N6633" t="s">
        <v>87</v>
      </c>
      <c r="O6633" t="s">
        <v>86</v>
      </c>
      <c r="P6633">
        <v>130</v>
      </c>
      <c r="Q6633">
        <v>5</v>
      </c>
      <c r="R6633">
        <v>12</v>
      </c>
      <c r="S6633">
        <v>1453</v>
      </c>
      <c r="T6633">
        <v>-40</v>
      </c>
      <c r="U6633">
        <v>40</v>
      </c>
      <c r="V6633">
        <v>100</v>
      </c>
      <c r="W6633">
        <v>27</v>
      </c>
      <c r="X6633">
        <v>27</v>
      </c>
      <c r="Y6633">
        <v>1</v>
      </c>
      <c r="Z6633">
        <v>1</v>
      </c>
      <c r="AA6633">
        <v>25</v>
      </c>
      <c r="AB6633">
        <v>2</v>
      </c>
      <c r="AC6633">
        <v>2</v>
      </c>
      <c r="AD6633">
        <v>3.30999994</v>
      </c>
      <c r="AE6633">
        <v>1</v>
      </c>
      <c r="AF6633">
        <v>25</v>
      </c>
      <c r="AG6633">
        <v>3.3039999</v>
      </c>
      <c r="AH6633">
        <v>7</v>
      </c>
      <c r="AI6633">
        <v>1</v>
      </c>
      <c r="AJ6633">
        <v>2</v>
      </c>
      <c r="AK6633">
        <v>35</v>
      </c>
      <c r="AL6633">
        <v>33</v>
      </c>
      <c r="AM6633" t="s">
        <v>43</v>
      </c>
      <c r="AN6633" t="str">
        <f>HYPERLINK("https://www.google.com/maps?q=10.77325726,79.62293243","Open Location")</f>
        <v>Open Location</v>
      </c>
    </row>
    <row r="6634" spans="1:40" x14ac:dyDescent="0.3">
      <c r="A6634" s="1">
        <v>46210.231481481482</v>
      </c>
      <c r="B6634" t="s">
        <v>40</v>
      </c>
      <c r="C6634" t="s">
        <v>41</v>
      </c>
      <c r="D6634" s="1">
        <v>46210.234293981484</v>
      </c>
      <c r="E6634" t="s">
        <v>42</v>
      </c>
      <c r="F6634" t="s">
        <v>83</v>
      </c>
      <c r="G6634">
        <v>34</v>
      </c>
      <c r="H6634">
        <v>33049</v>
      </c>
      <c r="I6634" t="s">
        <v>3858</v>
      </c>
      <c r="J6634">
        <v>74</v>
      </c>
      <c r="K6634">
        <v>54</v>
      </c>
      <c r="L6634">
        <v>98</v>
      </c>
      <c r="M6634">
        <v>633.59997558999999</v>
      </c>
      <c r="N6634" t="s">
        <v>87</v>
      </c>
      <c r="O6634" t="s">
        <v>86</v>
      </c>
      <c r="P6634">
        <v>130</v>
      </c>
      <c r="Q6634">
        <v>5</v>
      </c>
      <c r="R6634">
        <v>25</v>
      </c>
      <c r="S6634">
        <v>1503</v>
      </c>
      <c r="T6634">
        <v>-40</v>
      </c>
      <c r="U6634">
        <v>40</v>
      </c>
      <c r="V6634">
        <v>180</v>
      </c>
      <c r="W6634">
        <v>27</v>
      </c>
      <c r="X6634">
        <v>27</v>
      </c>
      <c r="Y6634">
        <v>1</v>
      </c>
      <c r="Z6634">
        <v>1</v>
      </c>
      <c r="AA6634">
        <v>25</v>
      </c>
      <c r="AB6634">
        <v>2</v>
      </c>
      <c r="AC6634">
        <v>2</v>
      </c>
      <c r="AD6634">
        <v>3.3059999900000001</v>
      </c>
      <c r="AE6634">
        <v>5</v>
      </c>
      <c r="AF6634">
        <v>38</v>
      </c>
      <c r="AG6634">
        <v>3.2980000999999999</v>
      </c>
      <c r="AH6634">
        <v>6</v>
      </c>
      <c r="AI6634">
        <v>24</v>
      </c>
      <c r="AJ6634">
        <v>2</v>
      </c>
      <c r="AK6634">
        <v>35</v>
      </c>
      <c r="AL6634">
        <v>33</v>
      </c>
      <c r="AM6634" t="s">
        <v>43</v>
      </c>
      <c r="AN6634" t="str">
        <f>HYPERLINK("https://www.google.com/maps?q=10.77398491,79.62230682","Open Location")</f>
        <v>Open Location</v>
      </c>
    </row>
    <row r="6635" spans="1:40" x14ac:dyDescent="0.3">
      <c r="A6635" s="1">
        <v>46210.231365740743</v>
      </c>
      <c r="B6635" t="s">
        <v>40</v>
      </c>
      <c r="C6635" t="s">
        <v>41</v>
      </c>
      <c r="D6635" s="1">
        <v>46210.234236111108</v>
      </c>
      <c r="E6635" t="s">
        <v>42</v>
      </c>
      <c r="F6635" t="s">
        <v>83</v>
      </c>
      <c r="G6635">
        <v>27</v>
      </c>
      <c r="H6635">
        <v>33049</v>
      </c>
      <c r="I6635" t="s">
        <v>3859</v>
      </c>
      <c r="J6635">
        <v>74</v>
      </c>
      <c r="K6635">
        <v>35</v>
      </c>
      <c r="L6635">
        <v>98</v>
      </c>
      <c r="M6635">
        <v>634.5</v>
      </c>
      <c r="N6635" t="s">
        <v>87</v>
      </c>
      <c r="O6635" t="s">
        <v>86</v>
      </c>
      <c r="P6635">
        <v>130</v>
      </c>
      <c r="Q6635">
        <v>5</v>
      </c>
      <c r="R6635">
        <v>33</v>
      </c>
      <c r="S6635">
        <v>1201</v>
      </c>
      <c r="T6635">
        <v>-40</v>
      </c>
      <c r="U6635">
        <v>40</v>
      </c>
      <c r="V6635">
        <v>182</v>
      </c>
      <c r="W6635">
        <v>27</v>
      </c>
      <c r="X6635">
        <v>27</v>
      </c>
      <c r="Y6635">
        <v>1</v>
      </c>
      <c r="Z6635">
        <v>1</v>
      </c>
      <c r="AA6635">
        <v>25</v>
      </c>
      <c r="AB6635">
        <v>2</v>
      </c>
      <c r="AC6635">
        <v>2</v>
      </c>
      <c r="AD6635">
        <v>3.3210001</v>
      </c>
      <c r="AE6635">
        <v>1</v>
      </c>
      <c r="AF6635">
        <v>16</v>
      </c>
      <c r="AG6635">
        <v>3.3169999099999998</v>
      </c>
      <c r="AH6635">
        <v>6</v>
      </c>
      <c r="AI6635">
        <v>12</v>
      </c>
      <c r="AJ6635">
        <v>2</v>
      </c>
      <c r="AK6635">
        <v>35</v>
      </c>
      <c r="AL6635">
        <v>33</v>
      </c>
      <c r="AM6635" t="s">
        <v>43</v>
      </c>
      <c r="AN6635" t="str">
        <f>HYPERLINK("https://www.google.com/maps?q=10.77452469,79.62164307","Open Location")</f>
        <v>Open Location</v>
      </c>
    </row>
    <row r="6636" spans="1:40" x14ac:dyDescent="0.3">
      <c r="A6636" s="1">
        <v>46210.231249999997</v>
      </c>
      <c r="B6636" t="s">
        <v>40</v>
      </c>
      <c r="C6636" t="s">
        <v>41</v>
      </c>
      <c r="D6636" s="1">
        <v>46210.233969907407</v>
      </c>
      <c r="E6636" t="s">
        <v>42</v>
      </c>
      <c r="F6636" t="s">
        <v>83</v>
      </c>
      <c r="G6636">
        <v>29</v>
      </c>
      <c r="H6636">
        <v>33049</v>
      </c>
      <c r="I6636" t="s">
        <v>43</v>
      </c>
      <c r="J6636">
        <v>74</v>
      </c>
      <c r="K6636">
        <v>35</v>
      </c>
      <c r="L6636">
        <v>98</v>
      </c>
      <c r="M6636">
        <v>633.90002441000001</v>
      </c>
      <c r="N6636" t="s">
        <v>87</v>
      </c>
      <c r="O6636" t="s">
        <v>86</v>
      </c>
      <c r="P6636">
        <v>130</v>
      </c>
      <c r="Q6636">
        <v>5</v>
      </c>
      <c r="R6636">
        <v>30</v>
      </c>
      <c r="S6636">
        <v>1306</v>
      </c>
      <c r="T6636">
        <v>-40</v>
      </c>
      <c r="U6636">
        <v>40</v>
      </c>
      <c r="V6636">
        <v>167</v>
      </c>
      <c r="W6636">
        <v>27</v>
      </c>
      <c r="X6636">
        <v>27</v>
      </c>
      <c r="Y6636">
        <v>1</v>
      </c>
      <c r="Z6636">
        <v>1</v>
      </c>
      <c r="AA6636">
        <v>25</v>
      </c>
      <c r="AB6636">
        <v>2</v>
      </c>
      <c r="AC6636">
        <v>2</v>
      </c>
      <c r="AD6636">
        <v>3.3139998899999998</v>
      </c>
      <c r="AE6636">
        <v>1</v>
      </c>
      <c r="AF6636">
        <v>1</v>
      </c>
      <c r="AG6636">
        <v>3.30999994</v>
      </c>
      <c r="AH6636">
        <v>2</v>
      </c>
      <c r="AI6636">
        <v>46</v>
      </c>
      <c r="AJ6636">
        <v>2</v>
      </c>
      <c r="AK6636">
        <v>35</v>
      </c>
      <c r="AL6636">
        <v>32</v>
      </c>
      <c r="AM6636" t="s">
        <v>43</v>
      </c>
      <c r="AN6636" t="s">
        <v>43</v>
      </c>
    </row>
    <row r="6637" spans="1:40" x14ac:dyDescent="0.3">
      <c r="A6637" s="1">
        <v>46210.231134259258</v>
      </c>
      <c r="B6637" t="s">
        <v>40</v>
      </c>
      <c r="C6637" t="s">
        <v>41</v>
      </c>
      <c r="D6637" s="1">
        <v>46210.234097222223</v>
      </c>
      <c r="E6637" t="s">
        <v>42</v>
      </c>
      <c r="F6637" t="s">
        <v>83</v>
      </c>
      <c r="G6637">
        <v>31</v>
      </c>
      <c r="H6637">
        <v>33049</v>
      </c>
      <c r="I6637" t="s">
        <v>3860</v>
      </c>
      <c r="J6637">
        <v>74</v>
      </c>
      <c r="K6637">
        <v>93</v>
      </c>
      <c r="L6637">
        <v>98</v>
      </c>
      <c r="M6637">
        <v>632.09997558999999</v>
      </c>
      <c r="N6637" t="s">
        <v>87</v>
      </c>
      <c r="O6637" t="s">
        <v>86</v>
      </c>
      <c r="P6637">
        <v>130</v>
      </c>
      <c r="Q6637">
        <v>5</v>
      </c>
      <c r="R6637">
        <v>59</v>
      </c>
      <c r="S6637">
        <v>1364</v>
      </c>
      <c r="T6637">
        <v>-40</v>
      </c>
      <c r="U6637">
        <v>41</v>
      </c>
      <c r="V6637">
        <v>386</v>
      </c>
      <c r="W6637">
        <v>27</v>
      </c>
      <c r="X6637">
        <v>27</v>
      </c>
      <c r="Y6637">
        <v>1</v>
      </c>
      <c r="Z6637">
        <v>1</v>
      </c>
      <c r="AA6637">
        <v>25</v>
      </c>
      <c r="AB6637">
        <v>2</v>
      </c>
      <c r="AC6637">
        <v>2</v>
      </c>
      <c r="AD6637">
        <v>3.3110001100000002</v>
      </c>
      <c r="AE6637">
        <v>5</v>
      </c>
      <c r="AF6637">
        <v>38</v>
      </c>
      <c r="AG6637">
        <v>3.3050000700000002</v>
      </c>
      <c r="AH6637">
        <v>2</v>
      </c>
      <c r="AI6637">
        <v>46</v>
      </c>
      <c r="AJ6637">
        <v>2</v>
      </c>
      <c r="AK6637">
        <v>35</v>
      </c>
      <c r="AL6637">
        <v>32</v>
      </c>
      <c r="AM6637" t="s">
        <v>43</v>
      </c>
      <c r="AN6637" t="str">
        <f>HYPERLINK("https://www.google.com/maps?q=10.77513885,79.62094116","Open Location")</f>
        <v>Open Location</v>
      </c>
    </row>
    <row r="6638" spans="1:40" x14ac:dyDescent="0.3">
      <c r="A6638" s="1">
        <v>46210.23101851852</v>
      </c>
      <c r="B6638" t="s">
        <v>40</v>
      </c>
      <c r="C6638" t="s">
        <v>41</v>
      </c>
      <c r="D6638" s="1">
        <v>46210.234097222223</v>
      </c>
      <c r="E6638" t="s">
        <v>42</v>
      </c>
      <c r="F6638" t="s">
        <v>83</v>
      </c>
      <c r="G6638">
        <v>24</v>
      </c>
      <c r="H6638">
        <v>33049</v>
      </c>
      <c r="I6638" t="s">
        <v>43</v>
      </c>
      <c r="J6638">
        <v>74</v>
      </c>
      <c r="K6638">
        <v>-30</v>
      </c>
      <c r="L6638">
        <v>98</v>
      </c>
      <c r="M6638">
        <v>637.29998779000005</v>
      </c>
      <c r="N6638" t="s">
        <v>87</v>
      </c>
      <c r="O6638" t="s">
        <v>86</v>
      </c>
      <c r="P6638">
        <v>130</v>
      </c>
      <c r="Q6638">
        <v>5</v>
      </c>
      <c r="R6638">
        <v>3</v>
      </c>
      <c r="S6638">
        <v>1152</v>
      </c>
      <c r="T6638">
        <v>-40</v>
      </c>
      <c r="U6638">
        <v>40</v>
      </c>
      <c r="V6638">
        <v>-184</v>
      </c>
      <c r="W6638">
        <v>27</v>
      </c>
      <c r="X6638">
        <v>27</v>
      </c>
      <c r="Y6638">
        <v>1</v>
      </c>
      <c r="Z6638">
        <v>1</v>
      </c>
      <c r="AA6638">
        <v>25</v>
      </c>
      <c r="AB6638">
        <v>2</v>
      </c>
      <c r="AC6638">
        <v>2</v>
      </c>
      <c r="AD6638" t="s">
        <v>43</v>
      </c>
      <c r="AE6638" t="s">
        <v>43</v>
      </c>
      <c r="AF6638" t="s">
        <v>43</v>
      </c>
      <c r="AG6638" t="s">
        <v>43</v>
      </c>
      <c r="AH6638" t="s">
        <v>43</v>
      </c>
      <c r="AI6638" t="s">
        <v>43</v>
      </c>
      <c r="AJ6638">
        <v>2</v>
      </c>
      <c r="AK6638">
        <v>36</v>
      </c>
      <c r="AL6638">
        <v>32</v>
      </c>
      <c r="AM6638" t="s">
        <v>43</v>
      </c>
      <c r="AN6638" t="s">
        <v>43</v>
      </c>
    </row>
    <row r="6639" spans="1:40" x14ac:dyDescent="0.3">
      <c r="A6639" s="1">
        <v>46210.230902777781</v>
      </c>
      <c r="B6639" t="s">
        <v>40</v>
      </c>
      <c r="C6639" t="s">
        <v>41</v>
      </c>
      <c r="D6639" s="1">
        <v>46210.233703703707</v>
      </c>
      <c r="E6639" t="s">
        <v>42</v>
      </c>
      <c r="F6639" t="s">
        <v>83</v>
      </c>
      <c r="G6639">
        <v>28</v>
      </c>
      <c r="H6639">
        <v>33049</v>
      </c>
      <c r="I6639" t="s">
        <v>3861</v>
      </c>
      <c r="J6639">
        <v>74</v>
      </c>
      <c r="K6639">
        <v>63</v>
      </c>
      <c r="L6639">
        <v>98</v>
      </c>
      <c r="M6639">
        <v>633.20001220999995</v>
      </c>
      <c r="N6639" t="s">
        <v>87</v>
      </c>
      <c r="O6639" t="s">
        <v>86</v>
      </c>
      <c r="P6639">
        <v>130</v>
      </c>
      <c r="Q6639">
        <v>5</v>
      </c>
      <c r="R6639">
        <v>47</v>
      </c>
      <c r="S6639">
        <v>1215</v>
      </c>
      <c r="T6639">
        <v>-40</v>
      </c>
      <c r="U6639">
        <v>40</v>
      </c>
      <c r="V6639">
        <v>312</v>
      </c>
      <c r="W6639">
        <v>27</v>
      </c>
      <c r="X6639">
        <v>27</v>
      </c>
      <c r="Y6639">
        <v>1</v>
      </c>
      <c r="Z6639">
        <v>1</v>
      </c>
      <c r="AA6639">
        <v>25</v>
      </c>
      <c r="AB6639">
        <v>2</v>
      </c>
      <c r="AC6639">
        <v>2</v>
      </c>
      <c r="AD6639">
        <v>3.3110001100000002</v>
      </c>
      <c r="AE6639">
        <v>1</v>
      </c>
      <c r="AF6639">
        <v>29</v>
      </c>
      <c r="AG6639">
        <v>3.3050000700000002</v>
      </c>
      <c r="AH6639">
        <v>2</v>
      </c>
      <c r="AI6639">
        <v>46</v>
      </c>
      <c r="AJ6639">
        <v>2</v>
      </c>
      <c r="AK6639">
        <v>35</v>
      </c>
      <c r="AL6639">
        <v>32</v>
      </c>
      <c r="AM6639" t="s">
        <v>43</v>
      </c>
      <c r="AN6639" t="str">
        <f>HYPERLINK("https://www.google.com/maps?q=10.77599907,79.61947632","Open Location")</f>
        <v>Open Location</v>
      </c>
    </row>
    <row r="6640" spans="1:40" x14ac:dyDescent="0.3">
      <c r="A6640" s="1">
        <v>46210.230787037035</v>
      </c>
      <c r="B6640" t="s">
        <v>40</v>
      </c>
      <c r="C6640" t="s">
        <v>41</v>
      </c>
      <c r="D6640" s="1">
        <v>46210.233865740738</v>
      </c>
      <c r="E6640" t="s">
        <v>42</v>
      </c>
      <c r="F6640" t="s">
        <v>83</v>
      </c>
      <c r="G6640">
        <v>26</v>
      </c>
      <c r="H6640">
        <v>33049</v>
      </c>
      <c r="I6640" t="s">
        <v>3862</v>
      </c>
      <c r="J6640">
        <v>74</v>
      </c>
      <c r="K6640">
        <v>48</v>
      </c>
      <c r="L6640">
        <v>98</v>
      </c>
      <c r="M6640">
        <v>634.29998779000005</v>
      </c>
      <c r="N6640" t="s">
        <v>87</v>
      </c>
      <c r="O6640" t="s">
        <v>86</v>
      </c>
      <c r="P6640">
        <v>130</v>
      </c>
      <c r="Q6640">
        <v>5</v>
      </c>
      <c r="R6640">
        <v>17</v>
      </c>
      <c r="S6640">
        <v>1205</v>
      </c>
      <c r="T6640">
        <v>-40</v>
      </c>
      <c r="U6640">
        <v>40</v>
      </c>
      <c r="V6640">
        <v>140</v>
      </c>
      <c r="W6640">
        <v>27</v>
      </c>
      <c r="X6640">
        <v>27</v>
      </c>
      <c r="Y6640">
        <v>1</v>
      </c>
      <c r="Z6640">
        <v>1</v>
      </c>
      <c r="AA6640">
        <v>25</v>
      </c>
      <c r="AB6640">
        <v>2</v>
      </c>
      <c r="AC6640">
        <v>2</v>
      </c>
      <c r="AD6640" t="s">
        <v>43</v>
      </c>
      <c r="AE6640" t="s">
        <v>43</v>
      </c>
      <c r="AF6640" t="s">
        <v>43</v>
      </c>
      <c r="AG6640" t="s">
        <v>43</v>
      </c>
      <c r="AH6640" t="s">
        <v>43</v>
      </c>
      <c r="AI6640" t="s">
        <v>43</v>
      </c>
      <c r="AJ6640">
        <v>2</v>
      </c>
      <c r="AK6640">
        <v>36</v>
      </c>
      <c r="AL6640">
        <v>32</v>
      </c>
      <c r="AM6640" t="s">
        <v>43</v>
      </c>
      <c r="AN6640" t="str">
        <f>HYPERLINK("https://www.google.com/maps?q=10.77623177,79.61869049","Open Location")</f>
        <v>Open Location</v>
      </c>
    </row>
    <row r="6641" spans="1:40" x14ac:dyDescent="0.3">
      <c r="A6641" s="1">
        <v>46210.230671296296</v>
      </c>
      <c r="B6641" t="s">
        <v>40</v>
      </c>
      <c r="C6641" t="s">
        <v>41</v>
      </c>
      <c r="D6641" s="1">
        <v>46210.233715277776</v>
      </c>
      <c r="E6641" t="s">
        <v>42</v>
      </c>
      <c r="F6641" t="s">
        <v>83</v>
      </c>
      <c r="G6641">
        <v>28</v>
      </c>
      <c r="H6641">
        <v>33049</v>
      </c>
      <c r="I6641" t="s">
        <v>3863</v>
      </c>
      <c r="J6641">
        <v>74</v>
      </c>
      <c r="K6641">
        <v>-35</v>
      </c>
      <c r="L6641">
        <v>98</v>
      </c>
      <c r="M6641">
        <v>637.20001220999995</v>
      </c>
      <c r="N6641" t="s">
        <v>87</v>
      </c>
      <c r="O6641" t="s">
        <v>86</v>
      </c>
      <c r="P6641">
        <v>130</v>
      </c>
      <c r="Q6641">
        <v>5</v>
      </c>
      <c r="R6641">
        <v>-25</v>
      </c>
      <c r="S6641">
        <v>1303</v>
      </c>
      <c r="T6641">
        <v>-40</v>
      </c>
      <c r="U6641">
        <v>40</v>
      </c>
      <c r="V6641">
        <v>-184</v>
      </c>
      <c r="W6641">
        <v>27</v>
      </c>
      <c r="X6641">
        <v>27</v>
      </c>
      <c r="Y6641">
        <v>1</v>
      </c>
      <c r="Z6641">
        <v>1</v>
      </c>
      <c r="AA6641">
        <v>25</v>
      </c>
      <c r="AB6641">
        <v>2</v>
      </c>
      <c r="AC6641">
        <v>2</v>
      </c>
      <c r="AD6641">
        <v>3.31599998</v>
      </c>
      <c r="AE6641">
        <v>1</v>
      </c>
      <c r="AF6641">
        <v>7</v>
      </c>
      <c r="AG6641">
        <v>3.31200004</v>
      </c>
      <c r="AH6641">
        <v>4</v>
      </c>
      <c r="AI6641">
        <v>17</v>
      </c>
      <c r="AJ6641">
        <v>2</v>
      </c>
      <c r="AK6641">
        <v>36</v>
      </c>
      <c r="AL6641">
        <v>32</v>
      </c>
      <c r="AM6641" t="s">
        <v>43</v>
      </c>
      <c r="AN6641" t="str">
        <f>HYPERLINK("https://www.google.com/maps?q=10.77630711,79.61769867","Open Location")</f>
        <v>Open Location</v>
      </c>
    </row>
    <row r="6642" spans="1:40" x14ac:dyDescent="0.3">
      <c r="A6642" s="1">
        <v>46210.230555555558</v>
      </c>
      <c r="B6642" t="s">
        <v>40</v>
      </c>
      <c r="C6642" t="s">
        <v>41</v>
      </c>
      <c r="D6642" s="1">
        <v>46210.233622685184</v>
      </c>
      <c r="E6642" t="s">
        <v>42</v>
      </c>
      <c r="F6642" t="s">
        <v>83</v>
      </c>
      <c r="G6642">
        <v>33</v>
      </c>
      <c r="H6642">
        <v>33048</v>
      </c>
      <c r="I6642" t="s">
        <v>43</v>
      </c>
      <c r="J6642">
        <v>74</v>
      </c>
      <c r="K6642">
        <v>58</v>
      </c>
      <c r="L6642">
        <v>98</v>
      </c>
      <c r="M6642">
        <v>632.90002441000001</v>
      </c>
      <c r="N6642" t="s">
        <v>87</v>
      </c>
      <c r="O6642" t="s">
        <v>86</v>
      </c>
      <c r="P6642">
        <v>130</v>
      </c>
      <c r="Q6642">
        <v>5</v>
      </c>
      <c r="R6642">
        <v>34</v>
      </c>
      <c r="S6642">
        <v>1476</v>
      </c>
      <c r="T6642">
        <v>-40</v>
      </c>
      <c r="U6642">
        <v>40</v>
      </c>
      <c r="V6642">
        <v>220</v>
      </c>
      <c r="W6642">
        <v>27</v>
      </c>
      <c r="X6642">
        <v>27</v>
      </c>
      <c r="Y6642">
        <v>1</v>
      </c>
      <c r="Z6642">
        <v>1</v>
      </c>
      <c r="AA6642">
        <v>25</v>
      </c>
      <c r="AB6642">
        <v>2</v>
      </c>
      <c r="AC6642">
        <v>2</v>
      </c>
      <c r="AD6642">
        <v>3.3010001199999999</v>
      </c>
      <c r="AE6642">
        <v>5</v>
      </c>
      <c r="AF6642">
        <v>38</v>
      </c>
      <c r="AG6642">
        <v>3.2909998900000001</v>
      </c>
      <c r="AH6642">
        <v>6</v>
      </c>
      <c r="AI6642">
        <v>24</v>
      </c>
      <c r="AJ6642">
        <v>2</v>
      </c>
      <c r="AK6642">
        <v>36</v>
      </c>
      <c r="AL6642">
        <v>32</v>
      </c>
      <c r="AM6642" t="s">
        <v>43</v>
      </c>
      <c r="AN6642" t="s">
        <v>43</v>
      </c>
    </row>
    <row r="6643" spans="1:40" x14ac:dyDescent="0.3">
      <c r="A6643" s="1">
        <v>46210.230439814812</v>
      </c>
      <c r="B6643" t="s">
        <v>40</v>
      </c>
      <c r="C6643" t="s">
        <v>41</v>
      </c>
      <c r="D6643" s="1">
        <v>46210.233506944445</v>
      </c>
      <c r="E6643" t="s">
        <v>42</v>
      </c>
      <c r="F6643" t="s">
        <v>83</v>
      </c>
      <c r="G6643">
        <v>27</v>
      </c>
      <c r="H6643">
        <v>33048</v>
      </c>
      <c r="I6643" t="s">
        <v>3864</v>
      </c>
      <c r="J6643">
        <v>74</v>
      </c>
      <c r="K6643">
        <v>37</v>
      </c>
      <c r="L6643">
        <v>98</v>
      </c>
      <c r="M6643">
        <v>634.79998779000005</v>
      </c>
      <c r="N6643" t="s">
        <v>87</v>
      </c>
      <c r="O6643" t="s">
        <v>86</v>
      </c>
      <c r="P6643">
        <v>130</v>
      </c>
      <c r="Q6643">
        <v>5</v>
      </c>
      <c r="R6643">
        <v>44</v>
      </c>
      <c r="S6643">
        <v>1224</v>
      </c>
      <c r="T6643">
        <v>-40</v>
      </c>
      <c r="U6643">
        <v>39</v>
      </c>
      <c r="V6643">
        <v>160</v>
      </c>
      <c r="W6643">
        <v>27</v>
      </c>
      <c r="X6643">
        <v>27</v>
      </c>
      <c r="Y6643">
        <v>1</v>
      </c>
      <c r="Z6643">
        <v>1</v>
      </c>
      <c r="AA6643">
        <v>25</v>
      </c>
      <c r="AB6643">
        <v>2</v>
      </c>
      <c r="AC6643">
        <v>2</v>
      </c>
      <c r="AD6643">
        <v>3.3239998800000001</v>
      </c>
      <c r="AE6643">
        <v>1</v>
      </c>
      <c r="AF6643">
        <v>26</v>
      </c>
      <c r="AG6643">
        <v>3.3199999299999998</v>
      </c>
      <c r="AH6643">
        <v>2</v>
      </c>
      <c r="AI6643">
        <v>6</v>
      </c>
      <c r="AJ6643">
        <v>2</v>
      </c>
      <c r="AK6643">
        <v>36</v>
      </c>
      <c r="AL6643">
        <v>32</v>
      </c>
      <c r="AM6643" t="s">
        <v>43</v>
      </c>
      <c r="AN6643" t="str">
        <f>HYPERLINK("https://www.google.com/maps?q=10.77630138,79.6167984","Open Location")</f>
        <v>Open Location</v>
      </c>
    </row>
    <row r="6644" spans="1:40" x14ac:dyDescent="0.3">
      <c r="A6644" s="1">
        <v>46210.230324074073</v>
      </c>
      <c r="B6644" t="s">
        <v>40</v>
      </c>
      <c r="C6644" t="s">
        <v>41</v>
      </c>
      <c r="D6644" s="1">
        <v>46210.233263888891</v>
      </c>
      <c r="E6644" t="s">
        <v>42</v>
      </c>
      <c r="F6644" t="s">
        <v>83</v>
      </c>
      <c r="G6644">
        <v>27</v>
      </c>
      <c r="H6644" t="s">
        <v>43</v>
      </c>
      <c r="I6644" t="s">
        <v>43</v>
      </c>
      <c r="J6644">
        <v>74</v>
      </c>
      <c r="K6644">
        <v>-15</v>
      </c>
      <c r="L6644">
        <v>98</v>
      </c>
      <c r="M6644">
        <v>635.79998779000005</v>
      </c>
      <c r="N6644" t="s">
        <v>87</v>
      </c>
      <c r="O6644" t="s">
        <v>86</v>
      </c>
      <c r="P6644">
        <v>130</v>
      </c>
      <c r="Q6644">
        <v>5</v>
      </c>
      <c r="R6644">
        <v>10</v>
      </c>
      <c r="S6644">
        <v>1247</v>
      </c>
      <c r="T6644">
        <v>-40</v>
      </c>
      <c r="U6644">
        <v>39</v>
      </c>
      <c r="V6644">
        <v>-39</v>
      </c>
      <c r="W6644">
        <v>27</v>
      </c>
      <c r="X6644">
        <v>27</v>
      </c>
      <c r="Y6644">
        <v>1</v>
      </c>
      <c r="Z6644">
        <v>1</v>
      </c>
      <c r="AA6644">
        <v>25</v>
      </c>
      <c r="AB6644">
        <v>2</v>
      </c>
      <c r="AC6644">
        <v>2</v>
      </c>
      <c r="AD6644">
        <v>3.31200004</v>
      </c>
      <c r="AE6644">
        <v>1</v>
      </c>
      <c r="AF6644">
        <v>16</v>
      </c>
      <c r="AG6644">
        <v>3.3059999900000001</v>
      </c>
      <c r="AH6644">
        <v>8</v>
      </c>
      <c r="AI6644">
        <v>35</v>
      </c>
      <c r="AJ6644">
        <v>2</v>
      </c>
      <c r="AK6644">
        <v>36</v>
      </c>
      <c r="AL6644">
        <v>32</v>
      </c>
      <c r="AM6644" t="s">
        <v>43</v>
      </c>
      <c r="AN6644" t="s">
        <v>43</v>
      </c>
    </row>
    <row r="6645" spans="1:40" x14ac:dyDescent="0.3">
      <c r="A6645" s="1">
        <v>46210.230208333334</v>
      </c>
      <c r="B6645" t="s">
        <v>40</v>
      </c>
      <c r="C6645" t="s">
        <v>41</v>
      </c>
      <c r="D6645" s="1">
        <v>46210.233252314814</v>
      </c>
      <c r="E6645" t="s">
        <v>42</v>
      </c>
      <c r="F6645" t="s">
        <v>83</v>
      </c>
      <c r="G6645">
        <v>25</v>
      </c>
      <c r="H6645">
        <v>33048</v>
      </c>
      <c r="I6645" t="s">
        <v>3865</v>
      </c>
      <c r="J6645">
        <v>74</v>
      </c>
      <c r="K6645">
        <v>-132</v>
      </c>
      <c r="L6645">
        <v>98</v>
      </c>
      <c r="M6645">
        <v>640.90002441000001</v>
      </c>
      <c r="N6645" t="s">
        <v>87</v>
      </c>
      <c r="O6645" t="s">
        <v>86</v>
      </c>
      <c r="P6645">
        <v>130</v>
      </c>
      <c r="Q6645">
        <v>5</v>
      </c>
      <c r="R6645">
        <v>-23</v>
      </c>
      <c r="S6645">
        <v>1249</v>
      </c>
      <c r="T6645">
        <v>-40</v>
      </c>
      <c r="U6645">
        <v>40</v>
      </c>
      <c r="V6645">
        <v>-880</v>
      </c>
      <c r="W6645">
        <v>27</v>
      </c>
      <c r="X6645">
        <v>27</v>
      </c>
      <c r="Y6645">
        <v>1</v>
      </c>
      <c r="Z6645">
        <v>1</v>
      </c>
      <c r="AA6645">
        <v>25</v>
      </c>
      <c r="AB6645">
        <v>2</v>
      </c>
      <c r="AC6645">
        <v>2</v>
      </c>
      <c r="AD6645">
        <v>3.30699992</v>
      </c>
      <c r="AE6645">
        <v>1</v>
      </c>
      <c r="AF6645">
        <v>1</v>
      </c>
      <c r="AG6645">
        <v>3.3010001199999999</v>
      </c>
      <c r="AH6645">
        <v>2</v>
      </c>
      <c r="AI6645">
        <v>46</v>
      </c>
      <c r="AJ6645">
        <v>2</v>
      </c>
      <c r="AK6645">
        <v>36</v>
      </c>
      <c r="AL6645">
        <v>32</v>
      </c>
      <c r="AM6645" t="s">
        <v>43</v>
      </c>
      <c r="AN6645" t="str">
        <f>HYPERLINK("https://www.google.com/maps?q=10.77685833,79.61522675","Open Location")</f>
        <v>Open Location</v>
      </c>
    </row>
    <row r="6646" spans="1:40" x14ac:dyDescent="0.3">
      <c r="A6646" s="1">
        <v>46210.230092592596</v>
      </c>
      <c r="B6646" t="s">
        <v>40</v>
      </c>
      <c r="C6646" t="s">
        <v>41</v>
      </c>
      <c r="D6646" s="1">
        <v>46210.23296296296</v>
      </c>
      <c r="E6646" t="s">
        <v>42</v>
      </c>
      <c r="F6646" t="s">
        <v>83</v>
      </c>
      <c r="G6646">
        <v>33</v>
      </c>
      <c r="H6646" t="s">
        <v>43</v>
      </c>
      <c r="I6646" t="s">
        <v>3866</v>
      </c>
      <c r="J6646">
        <v>74</v>
      </c>
      <c r="K6646">
        <v>39</v>
      </c>
      <c r="L6646">
        <v>98</v>
      </c>
      <c r="M6646">
        <v>634.20001220999995</v>
      </c>
      <c r="N6646" t="s">
        <v>87</v>
      </c>
      <c r="O6646" t="s">
        <v>86</v>
      </c>
      <c r="P6646">
        <v>130</v>
      </c>
      <c r="Q6646" t="s">
        <v>43</v>
      </c>
      <c r="R6646">
        <v>18</v>
      </c>
      <c r="S6646">
        <v>1505</v>
      </c>
      <c r="T6646">
        <v>-40</v>
      </c>
      <c r="U6646">
        <v>39</v>
      </c>
      <c r="V6646">
        <v>140</v>
      </c>
      <c r="W6646">
        <v>27</v>
      </c>
      <c r="X6646">
        <v>27</v>
      </c>
      <c r="Y6646">
        <v>1</v>
      </c>
      <c r="Z6646">
        <v>1</v>
      </c>
      <c r="AA6646">
        <v>25</v>
      </c>
      <c r="AB6646">
        <v>2</v>
      </c>
      <c r="AC6646">
        <v>2</v>
      </c>
      <c r="AD6646">
        <v>3.3029999700000001</v>
      </c>
      <c r="AE6646">
        <v>5</v>
      </c>
      <c r="AF6646">
        <v>38</v>
      </c>
      <c r="AG6646">
        <v>3.2939999100000001</v>
      </c>
      <c r="AH6646">
        <v>8</v>
      </c>
      <c r="AI6646">
        <v>35</v>
      </c>
      <c r="AJ6646">
        <v>2</v>
      </c>
      <c r="AK6646">
        <v>36</v>
      </c>
      <c r="AL6646">
        <v>32</v>
      </c>
      <c r="AM6646" t="s">
        <v>43</v>
      </c>
      <c r="AN6646" t="str">
        <f>HYPERLINK("https://www.google.com/maps?q=10.7774868,79.61439514","Open Location")</f>
        <v>Open Location</v>
      </c>
    </row>
    <row r="6647" spans="1:40" x14ac:dyDescent="0.3">
      <c r="A6647" s="1">
        <v>46210.22997685185</v>
      </c>
      <c r="B6647" t="s">
        <v>40</v>
      </c>
      <c r="C6647" t="s">
        <v>41</v>
      </c>
      <c r="D6647" s="1">
        <v>46210.232870370368</v>
      </c>
      <c r="E6647" t="s">
        <v>42</v>
      </c>
      <c r="F6647" t="s">
        <v>83</v>
      </c>
      <c r="G6647">
        <v>29</v>
      </c>
      <c r="H6647">
        <v>33048</v>
      </c>
      <c r="I6647" t="s">
        <v>43</v>
      </c>
      <c r="J6647">
        <v>74</v>
      </c>
      <c r="K6647">
        <v>53</v>
      </c>
      <c r="L6647">
        <v>98</v>
      </c>
      <c r="M6647">
        <v>634.09997558999999</v>
      </c>
      <c r="N6647" t="s">
        <v>87</v>
      </c>
      <c r="O6647" t="s">
        <v>86</v>
      </c>
      <c r="P6647">
        <v>130</v>
      </c>
      <c r="Q6647">
        <v>5</v>
      </c>
      <c r="R6647">
        <v>36</v>
      </c>
      <c r="S6647">
        <v>1311</v>
      </c>
      <c r="T6647">
        <v>-40</v>
      </c>
      <c r="U6647">
        <v>39</v>
      </c>
      <c r="V6647">
        <v>220</v>
      </c>
      <c r="W6647">
        <v>27</v>
      </c>
      <c r="X6647">
        <v>27</v>
      </c>
      <c r="Y6647">
        <v>1</v>
      </c>
      <c r="Z6647">
        <v>1</v>
      </c>
      <c r="AA6647">
        <v>25</v>
      </c>
      <c r="AB6647">
        <v>2</v>
      </c>
      <c r="AC6647">
        <v>2</v>
      </c>
      <c r="AD6647">
        <v>3.3210001</v>
      </c>
      <c r="AE6647">
        <v>1</v>
      </c>
      <c r="AF6647">
        <v>16</v>
      </c>
      <c r="AG6647">
        <v>3.31500006</v>
      </c>
      <c r="AH6647">
        <v>2</v>
      </c>
      <c r="AI6647">
        <v>12</v>
      </c>
      <c r="AJ6647">
        <v>2</v>
      </c>
      <c r="AK6647">
        <v>37</v>
      </c>
      <c r="AL6647">
        <v>32</v>
      </c>
      <c r="AM6647" t="s">
        <v>43</v>
      </c>
      <c r="AN6647" t="s">
        <v>43</v>
      </c>
    </row>
    <row r="6648" spans="1:40" x14ac:dyDescent="0.3">
      <c r="A6648" s="1">
        <v>46210.229861111111</v>
      </c>
      <c r="B6648" t="s">
        <v>40</v>
      </c>
      <c r="C6648" t="s">
        <v>41</v>
      </c>
      <c r="D6648" s="1">
        <v>46210.232974537037</v>
      </c>
      <c r="E6648" t="s">
        <v>42</v>
      </c>
      <c r="F6648" t="s">
        <v>83</v>
      </c>
      <c r="G6648">
        <v>30</v>
      </c>
      <c r="H6648">
        <v>33048</v>
      </c>
      <c r="I6648" t="s">
        <v>3867</v>
      </c>
      <c r="J6648">
        <v>74</v>
      </c>
      <c r="K6648">
        <v>-37</v>
      </c>
      <c r="L6648">
        <v>98</v>
      </c>
      <c r="M6648">
        <v>637.40002441000001</v>
      </c>
      <c r="N6648" t="s">
        <v>87</v>
      </c>
      <c r="O6648" t="s">
        <v>86</v>
      </c>
      <c r="P6648">
        <v>130</v>
      </c>
      <c r="Q6648">
        <v>5</v>
      </c>
      <c r="R6648">
        <v>-27</v>
      </c>
      <c r="S6648">
        <v>1396</v>
      </c>
      <c r="T6648">
        <v>-40</v>
      </c>
      <c r="U6648">
        <v>39</v>
      </c>
      <c r="V6648">
        <v>-184</v>
      </c>
      <c r="W6648">
        <v>27</v>
      </c>
      <c r="X6648">
        <v>27</v>
      </c>
      <c r="Y6648">
        <v>1</v>
      </c>
      <c r="Z6648">
        <v>1</v>
      </c>
      <c r="AA6648">
        <v>25</v>
      </c>
      <c r="AB6648">
        <v>2</v>
      </c>
      <c r="AC6648">
        <v>2</v>
      </c>
      <c r="AD6648">
        <v>3.3050000700000002</v>
      </c>
      <c r="AE6648">
        <v>5</v>
      </c>
      <c r="AF6648">
        <v>38</v>
      </c>
      <c r="AG6648">
        <v>3.2939999100000001</v>
      </c>
      <c r="AH6648">
        <v>4</v>
      </c>
      <c r="AI6648">
        <v>24</v>
      </c>
      <c r="AJ6648">
        <v>2</v>
      </c>
      <c r="AK6648">
        <v>37</v>
      </c>
      <c r="AL6648">
        <v>32</v>
      </c>
      <c r="AM6648" t="s">
        <v>43</v>
      </c>
      <c r="AN6648" t="str">
        <f>HYPERLINK("https://www.google.com/maps?q=10.77809429,79.61373138","Open Location")</f>
        <v>Open Location</v>
      </c>
    </row>
    <row r="6649" spans="1:40" x14ac:dyDescent="0.3">
      <c r="A6649" s="1">
        <v>46210.229745370372</v>
      </c>
      <c r="B6649" t="s">
        <v>40</v>
      </c>
      <c r="C6649" t="s">
        <v>41</v>
      </c>
      <c r="D6649" s="1">
        <v>46210.232592592591</v>
      </c>
      <c r="E6649" t="s">
        <v>42</v>
      </c>
      <c r="F6649" t="s">
        <v>83</v>
      </c>
      <c r="G6649">
        <v>33</v>
      </c>
      <c r="H6649">
        <v>33048</v>
      </c>
      <c r="I6649" t="s">
        <v>3868</v>
      </c>
      <c r="J6649">
        <v>74</v>
      </c>
      <c r="K6649">
        <v>50</v>
      </c>
      <c r="L6649">
        <v>98</v>
      </c>
      <c r="M6649">
        <v>634</v>
      </c>
      <c r="N6649" t="s">
        <v>87</v>
      </c>
      <c r="O6649" t="s">
        <v>86</v>
      </c>
      <c r="P6649">
        <v>130</v>
      </c>
      <c r="Q6649">
        <v>5</v>
      </c>
      <c r="R6649">
        <v>28</v>
      </c>
      <c r="S6649">
        <v>1496</v>
      </c>
      <c r="T6649">
        <v>-40</v>
      </c>
      <c r="U6649">
        <v>39</v>
      </c>
      <c r="V6649">
        <v>180</v>
      </c>
      <c r="W6649">
        <v>27</v>
      </c>
      <c r="X6649">
        <v>27</v>
      </c>
      <c r="Y6649">
        <v>1</v>
      </c>
      <c r="Z6649">
        <v>1</v>
      </c>
      <c r="AA6649">
        <v>25</v>
      </c>
      <c r="AB6649">
        <v>2</v>
      </c>
      <c r="AC6649">
        <v>2</v>
      </c>
      <c r="AD6649">
        <v>3.3110001100000002</v>
      </c>
      <c r="AE6649">
        <v>1</v>
      </c>
      <c r="AF6649">
        <v>25</v>
      </c>
      <c r="AG6649">
        <v>3.3050000700000002</v>
      </c>
      <c r="AH6649">
        <v>2</v>
      </c>
      <c r="AI6649">
        <v>46</v>
      </c>
      <c r="AJ6649">
        <v>2</v>
      </c>
      <c r="AK6649">
        <v>37</v>
      </c>
      <c r="AL6649">
        <v>32</v>
      </c>
      <c r="AM6649" t="s">
        <v>43</v>
      </c>
      <c r="AN6649" t="str">
        <f>HYPERLINK("https://www.google.com/maps?q=10.77866173,79.612854","Open Location")</f>
        <v>Open Location</v>
      </c>
    </row>
    <row r="6650" spans="1:40" x14ac:dyDescent="0.3">
      <c r="A6650" s="1">
        <v>46210.229629629626</v>
      </c>
      <c r="B6650" t="s">
        <v>40</v>
      </c>
      <c r="C6650" t="s">
        <v>41</v>
      </c>
      <c r="D6650" s="1">
        <v>46210.232604166667</v>
      </c>
      <c r="E6650" t="s">
        <v>42</v>
      </c>
      <c r="F6650" t="s">
        <v>83</v>
      </c>
      <c r="G6650">
        <v>33</v>
      </c>
      <c r="H6650" t="s">
        <v>43</v>
      </c>
      <c r="I6650" t="s">
        <v>43</v>
      </c>
      <c r="J6650">
        <v>74</v>
      </c>
      <c r="K6650">
        <v>19</v>
      </c>
      <c r="L6650">
        <v>98</v>
      </c>
      <c r="M6650">
        <v>635.29998779000005</v>
      </c>
      <c r="N6650" t="s">
        <v>87</v>
      </c>
      <c r="O6650" t="s">
        <v>86</v>
      </c>
      <c r="P6650">
        <v>130</v>
      </c>
      <c r="Q6650">
        <v>5</v>
      </c>
      <c r="R6650">
        <v>15</v>
      </c>
      <c r="S6650">
        <v>1504</v>
      </c>
      <c r="T6650">
        <v>-40</v>
      </c>
      <c r="U6650">
        <v>39</v>
      </c>
      <c r="V6650">
        <v>60</v>
      </c>
      <c r="W6650">
        <v>27</v>
      </c>
      <c r="X6650">
        <v>27</v>
      </c>
      <c r="Y6650">
        <v>1</v>
      </c>
      <c r="Z6650">
        <v>1</v>
      </c>
      <c r="AA6650">
        <v>25</v>
      </c>
      <c r="AB6650">
        <v>2</v>
      </c>
      <c r="AC6650">
        <v>2</v>
      </c>
      <c r="AD6650">
        <v>3.3220000299999999</v>
      </c>
      <c r="AE6650">
        <v>1</v>
      </c>
      <c r="AF6650">
        <v>16</v>
      </c>
      <c r="AG6650">
        <v>3.31800008</v>
      </c>
      <c r="AH6650">
        <v>6</v>
      </c>
      <c r="AI6650">
        <v>12</v>
      </c>
      <c r="AJ6650">
        <v>2</v>
      </c>
      <c r="AK6650">
        <v>37</v>
      </c>
      <c r="AL6650">
        <v>32</v>
      </c>
      <c r="AM6650" t="s">
        <v>43</v>
      </c>
      <c r="AN6650" t="s">
        <v>43</v>
      </c>
    </row>
    <row r="6651" spans="1:40" x14ac:dyDescent="0.3">
      <c r="A6651" s="1">
        <v>46210.229513888888</v>
      </c>
      <c r="B6651" t="s">
        <v>40</v>
      </c>
      <c r="C6651" t="s">
        <v>41</v>
      </c>
      <c r="D6651" s="1">
        <v>46210.232546296298</v>
      </c>
      <c r="E6651" t="s">
        <v>42</v>
      </c>
      <c r="F6651" t="s">
        <v>83</v>
      </c>
      <c r="G6651">
        <v>33</v>
      </c>
      <c r="H6651">
        <v>33048</v>
      </c>
      <c r="I6651" t="s">
        <v>3869</v>
      </c>
      <c r="J6651">
        <v>74</v>
      </c>
      <c r="K6651">
        <v>-22</v>
      </c>
      <c r="L6651">
        <v>98</v>
      </c>
      <c r="M6651">
        <v>637.20001220999995</v>
      </c>
      <c r="N6651" t="s">
        <v>87</v>
      </c>
      <c r="O6651" t="s">
        <v>86</v>
      </c>
      <c r="P6651">
        <v>130</v>
      </c>
      <c r="Q6651">
        <v>5</v>
      </c>
      <c r="R6651">
        <v>19</v>
      </c>
      <c r="S6651">
        <v>1538</v>
      </c>
      <c r="T6651">
        <v>-40</v>
      </c>
      <c r="U6651">
        <v>39</v>
      </c>
      <c r="V6651">
        <v>-184</v>
      </c>
      <c r="W6651">
        <v>27</v>
      </c>
      <c r="X6651">
        <v>27</v>
      </c>
      <c r="Y6651">
        <v>1</v>
      </c>
      <c r="Z6651">
        <v>1</v>
      </c>
      <c r="AA6651">
        <v>25</v>
      </c>
      <c r="AB6651">
        <v>2</v>
      </c>
      <c r="AC6651">
        <v>2</v>
      </c>
      <c r="AD6651">
        <v>3.31299996</v>
      </c>
      <c r="AE6651">
        <v>1</v>
      </c>
      <c r="AF6651">
        <v>25</v>
      </c>
      <c r="AG6651">
        <v>3.3080000900000002</v>
      </c>
      <c r="AH6651">
        <v>2</v>
      </c>
      <c r="AI6651">
        <v>46</v>
      </c>
      <c r="AJ6651">
        <v>2</v>
      </c>
      <c r="AK6651">
        <v>37</v>
      </c>
      <c r="AL6651">
        <v>32</v>
      </c>
      <c r="AM6651" t="s">
        <v>43</v>
      </c>
      <c r="AN6651" t="str">
        <f>HYPERLINK("https://www.google.com/maps?q=10.77955818,79.61106873","Open Location")</f>
        <v>Open Location</v>
      </c>
    </row>
    <row r="6652" spans="1:40" x14ac:dyDescent="0.3">
      <c r="A6652" s="1">
        <v>46210.229398148149</v>
      </c>
      <c r="B6652" t="s">
        <v>40</v>
      </c>
      <c r="C6652" t="s">
        <v>41</v>
      </c>
      <c r="D6652" s="1">
        <v>46210.232395833336</v>
      </c>
      <c r="E6652" t="s">
        <v>42</v>
      </c>
      <c r="F6652" t="s">
        <v>83</v>
      </c>
      <c r="G6652">
        <v>31</v>
      </c>
      <c r="H6652">
        <v>33048</v>
      </c>
      <c r="I6652" t="s">
        <v>3870</v>
      </c>
      <c r="J6652">
        <v>74</v>
      </c>
      <c r="K6652">
        <v>107</v>
      </c>
      <c r="L6652">
        <v>98</v>
      </c>
      <c r="M6652">
        <v>630.90002441000001</v>
      </c>
      <c r="N6652" t="s">
        <v>87</v>
      </c>
      <c r="O6652" t="s">
        <v>86</v>
      </c>
      <c r="P6652">
        <v>130</v>
      </c>
      <c r="Q6652">
        <v>5</v>
      </c>
      <c r="R6652">
        <v>34</v>
      </c>
      <c r="S6652">
        <v>1349</v>
      </c>
      <c r="T6652">
        <v>-40</v>
      </c>
      <c r="U6652">
        <v>39</v>
      </c>
      <c r="V6652">
        <v>520</v>
      </c>
      <c r="W6652">
        <v>27</v>
      </c>
      <c r="X6652">
        <v>27</v>
      </c>
      <c r="Y6652">
        <v>1</v>
      </c>
      <c r="Z6652">
        <v>1</v>
      </c>
      <c r="AA6652">
        <v>25</v>
      </c>
      <c r="AB6652">
        <v>2</v>
      </c>
      <c r="AC6652">
        <v>2</v>
      </c>
      <c r="AD6652">
        <v>3.30999994</v>
      </c>
      <c r="AE6652">
        <v>1</v>
      </c>
      <c r="AF6652">
        <v>25</v>
      </c>
      <c r="AG6652">
        <v>3.3039999</v>
      </c>
      <c r="AH6652">
        <v>2</v>
      </c>
      <c r="AI6652">
        <v>46</v>
      </c>
      <c r="AJ6652">
        <v>2</v>
      </c>
      <c r="AK6652">
        <v>37</v>
      </c>
      <c r="AL6652">
        <v>32</v>
      </c>
      <c r="AM6652" t="s">
        <v>43</v>
      </c>
      <c r="AN6652" t="str">
        <f>HYPERLINK("https://www.google.com/maps?q=10.78011322,79.61038208","Open Location")</f>
        <v>Open Location</v>
      </c>
    </row>
    <row r="6653" spans="1:40" x14ac:dyDescent="0.3">
      <c r="A6653" s="1">
        <v>46210.22928240741</v>
      </c>
      <c r="B6653" t="s">
        <v>40</v>
      </c>
      <c r="C6653" t="s">
        <v>41</v>
      </c>
      <c r="D6653" s="1">
        <v>46210.232210648152</v>
      </c>
      <c r="E6653" t="s">
        <v>42</v>
      </c>
      <c r="F6653" t="s">
        <v>83</v>
      </c>
      <c r="G6653">
        <v>28</v>
      </c>
      <c r="H6653">
        <v>33048</v>
      </c>
      <c r="I6653" t="s">
        <v>43</v>
      </c>
      <c r="J6653">
        <v>74</v>
      </c>
      <c r="K6653">
        <v>35</v>
      </c>
      <c r="L6653">
        <v>98</v>
      </c>
      <c r="M6653">
        <v>634.79998779000005</v>
      </c>
      <c r="N6653" t="s">
        <v>87</v>
      </c>
      <c r="O6653" t="s">
        <v>86</v>
      </c>
      <c r="P6653">
        <v>130</v>
      </c>
      <c r="Q6653">
        <v>5</v>
      </c>
      <c r="R6653">
        <v>29</v>
      </c>
      <c r="S6653">
        <v>1244</v>
      </c>
      <c r="T6653">
        <v>-40</v>
      </c>
      <c r="U6653">
        <v>39</v>
      </c>
      <c r="V6653">
        <v>178</v>
      </c>
      <c r="W6653">
        <v>27</v>
      </c>
      <c r="X6653">
        <v>27</v>
      </c>
      <c r="Y6653">
        <v>1</v>
      </c>
      <c r="Z6653">
        <v>1</v>
      </c>
      <c r="AA6653">
        <v>25</v>
      </c>
      <c r="AB6653">
        <v>2</v>
      </c>
      <c r="AC6653">
        <v>2</v>
      </c>
      <c r="AD6653">
        <v>3.3059999900000001</v>
      </c>
      <c r="AE6653">
        <v>1</v>
      </c>
      <c r="AF6653">
        <v>1</v>
      </c>
      <c r="AG6653">
        <v>3.2990000199999998</v>
      </c>
      <c r="AH6653">
        <v>2</v>
      </c>
      <c r="AI6653">
        <v>46</v>
      </c>
      <c r="AJ6653">
        <v>2</v>
      </c>
      <c r="AK6653">
        <v>37</v>
      </c>
      <c r="AL6653">
        <v>31</v>
      </c>
      <c r="AM6653" t="s">
        <v>43</v>
      </c>
      <c r="AN6653" t="s">
        <v>43</v>
      </c>
    </row>
    <row r="6654" spans="1:40" x14ac:dyDescent="0.3">
      <c r="A6654" s="1">
        <v>46210.229166666664</v>
      </c>
      <c r="B6654" t="s">
        <v>40</v>
      </c>
      <c r="C6654" t="s">
        <v>41</v>
      </c>
      <c r="D6654" s="1">
        <v>46210.23238425926</v>
      </c>
      <c r="E6654" t="s">
        <v>42</v>
      </c>
      <c r="F6654" t="s">
        <v>83</v>
      </c>
      <c r="G6654">
        <v>30</v>
      </c>
      <c r="H6654">
        <v>33047</v>
      </c>
      <c r="I6654" t="s">
        <v>3871</v>
      </c>
      <c r="J6654">
        <v>74</v>
      </c>
      <c r="K6654">
        <v>48</v>
      </c>
      <c r="L6654">
        <v>98</v>
      </c>
      <c r="M6654">
        <v>634.70001220999995</v>
      </c>
      <c r="N6654" t="s">
        <v>87</v>
      </c>
      <c r="O6654" t="s">
        <v>86</v>
      </c>
      <c r="P6654">
        <v>130</v>
      </c>
      <c r="Q6654">
        <v>5</v>
      </c>
      <c r="R6654">
        <v>-26</v>
      </c>
      <c r="S6654">
        <v>1394</v>
      </c>
      <c r="T6654">
        <v>-40</v>
      </c>
      <c r="U6654">
        <v>39</v>
      </c>
      <c r="V6654">
        <v>120</v>
      </c>
      <c r="W6654">
        <v>27</v>
      </c>
      <c r="X6654">
        <v>27</v>
      </c>
      <c r="Y6654">
        <v>1</v>
      </c>
      <c r="Z6654">
        <v>1</v>
      </c>
      <c r="AA6654">
        <v>25</v>
      </c>
      <c r="AB6654">
        <v>2</v>
      </c>
      <c r="AC6654">
        <v>2</v>
      </c>
      <c r="AD6654">
        <v>3.31299996</v>
      </c>
      <c r="AE6654">
        <v>1</v>
      </c>
      <c r="AF6654">
        <v>16</v>
      </c>
      <c r="AG6654">
        <v>3.3080000900000002</v>
      </c>
      <c r="AH6654">
        <v>2</v>
      </c>
      <c r="AI6654">
        <v>46</v>
      </c>
      <c r="AJ6654">
        <v>2</v>
      </c>
      <c r="AK6654">
        <v>38</v>
      </c>
      <c r="AL6654">
        <v>31</v>
      </c>
      <c r="AM6654" t="s">
        <v>43</v>
      </c>
      <c r="AN6654" t="str">
        <f>HYPERLINK("https://www.google.com/maps?q=10.78069115,79.60969543","Open Location")</f>
        <v>Open Location</v>
      </c>
    </row>
    <row r="6655" spans="1:40" x14ac:dyDescent="0.3">
      <c r="A6655" s="1">
        <v>46210.229050925926</v>
      </c>
      <c r="B6655" t="s">
        <v>40</v>
      </c>
      <c r="C6655" t="s">
        <v>41</v>
      </c>
      <c r="D6655" s="1">
        <v>46210.232233796298</v>
      </c>
      <c r="E6655" t="s">
        <v>42</v>
      </c>
      <c r="F6655" t="s">
        <v>83</v>
      </c>
      <c r="G6655">
        <v>28</v>
      </c>
      <c r="H6655">
        <v>33047</v>
      </c>
      <c r="I6655" t="s">
        <v>3872</v>
      </c>
      <c r="J6655">
        <v>74</v>
      </c>
      <c r="K6655">
        <v>17</v>
      </c>
      <c r="L6655">
        <v>98</v>
      </c>
      <c r="M6655">
        <v>635.70001220999995</v>
      </c>
      <c r="N6655" t="s">
        <v>87</v>
      </c>
      <c r="O6655" t="s">
        <v>86</v>
      </c>
      <c r="P6655">
        <v>130</v>
      </c>
      <c r="Q6655">
        <v>5</v>
      </c>
      <c r="R6655">
        <v>16</v>
      </c>
      <c r="S6655">
        <v>1280</v>
      </c>
      <c r="T6655">
        <v>-40</v>
      </c>
      <c r="U6655">
        <v>38</v>
      </c>
      <c r="V6655">
        <v>60</v>
      </c>
      <c r="W6655">
        <v>27</v>
      </c>
      <c r="X6655">
        <v>27</v>
      </c>
      <c r="Y6655">
        <v>1</v>
      </c>
      <c r="Z6655">
        <v>1</v>
      </c>
      <c r="AA6655">
        <v>25</v>
      </c>
      <c r="AB6655">
        <v>2</v>
      </c>
      <c r="AC6655">
        <v>2</v>
      </c>
      <c r="AD6655">
        <v>3.3250000499999999</v>
      </c>
      <c r="AE6655">
        <v>1</v>
      </c>
      <c r="AF6655">
        <v>17</v>
      </c>
      <c r="AG6655">
        <v>3.3210001</v>
      </c>
      <c r="AH6655">
        <v>2</v>
      </c>
      <c r="AI6655">
        <v>6</v>
      </c>
      <c r="AJ6655">
        <v>2</v>
      </c>
      <c r="AK6655">
        <v>39</v>
      </c>
      <c r="AL6655">
        <v>31</v>
      </c>
      <c r="AM6655" t="s">
        <v>43</v>
      </c>
      <c r="AN6655" t="str">
        <f>HYPERLINK("https://www.google.com/maps?q=10.78120136,79.60890961","Open Location")</f>
        <v>Open Location</v>
      </c>
    </row>
    <row r="6656" spans="1:40" x14ac:dyDescent="0.3">
      <c r="A6656" s="1">
        <v>46210.228935185187</v>
      </c>
      <c r="B6656" t="s">
        <v>40</v>
      </c>
      <c r="C6656" t="s">
        <v>41</v>
      </c>
      <c r="D6656" s="1">
        <v>46210.232002314813</v>
      </c>
      <c r="E6656" t="s">
        <v>42</v>
      </c>
      <c r="F6656" t="s">
        <v>83</v>
      </c>
      <c r="G6656">
        <v>33</v>
      </c>
      <c r="H6656" t="s">
        <v>43</v>
      </c>
      <c r="I6656" t="s">
        <v>43</v>
      </c>
      <c r="J6656">
        <v>74</v>
      </c>
      <c r="K6656">
        <v>-32</v>
      </c>
      <c r="L6656">
        <v>98</v>
      </c>
      <c r="M6656">
        <v>637.90002441000001</v>
      </c>
      <c r="N6656" t="s">
        <v>87</v>
      </c>
      <c r="O6656" t="s">
        <v>86</v>
      </c>
      <c r="P6656">
        <v>131</v>
      </c>
      <c r="Q6656">
        <v>6</v>
      </c>
      <c r="R6656">
        <v>-91</v>
      </c>
      <c r="S6656">
        <v>1028</v>
      </c>
      <c r="T6656">
        <v>-40</v>
      </c>
      <c r="U6656">
        <v>39</v>
      </c>
      <c r="V6656">
        <v>-300</v>
      </c>
      <c r="W6656">
        <v>27</v>
      </c>
      <c r="X6656">
        <v>27</v>
      </c>
      <c r="Y6656">
        <v>1</v>
      </c>
      <c r="Z6656">
        <v>1</v>
      </c>
      <c r="AA6656">
        <v>25</v>
      </c>
      <c r="AB6656">
        <v>2</v>
      </c>
      <c r="AC6656">
        <v>2</v>
      </c>
      <c r="AD6656">
        <v>3.3080000900000002</v>
      </c>
      <c r="AE6656">
        <v>1</v>
      </c>
      <c r="AF6656">
        <v>25</v>
      </c>
      <c r="AG6656">
        <v>3.3010001199999999</v>
      </c>
      <c r="AH6656">
        <v>8</v>
      </c>
      <c r="AI6656">
        <v>35</v>
      </c>
      <c r="AJ6656">
        <v>2</v>
      </c>
      <c r="AK6656">
        <v>38</v>
      </c>
      <c r="AL6656">
        <v>31</v>
      </c>
      <c r="AM6656" t="s">
        <v>43</v>
      </c>
      <c r="AN6656" t="s">
        <v>43</v>
      </c>
    </row>
    <row r="6657" spans="1:40" x14ac:dyDescent="0.3">
      <c r="A6657" s="1">
        <v>46210.228819444441</v>
      </c>
      <c r="B6657" t="s">
        <v>40</v>
      </c>
      <c r="C6657" t="s">
        <v>41</v>
      </c>
      <c r="D6657" s="1">
        <v>46210.231840277775</v>
      </c>
      <c r="E6657" t="s">
        <v>42</v>
      </c>
      <c r="F6657" t="s">
        <v>83</v>
      </c>
      <c r="G6657">
        <v>37</v>
      </c>
      <c r="H6657">
        <v>33047</v>
      </c>
      <c r="I6657" t="s">
        <v>3873</v>
      </c>
      <c r="J6657">
        <v>74</v>
      </c>
      <c r="K6657">
        <v>39</v>
      </c>
      <c r="L6657">
        <v>98</v>
      </c>
      <c r="M6657">
        <v>633.90002441000001</v>
      </c>
      <c r="N6657" t="s">
        <v>87</v>
      </c>
      <c r="O6657" t="s">
        <v>86</v>
      </c>
      <c r="P6657">
        <v>131</v>
      </c>
      <c r="Q6657">
        <v>6</v>
      </c>
      <c r="R6657">
        <v>13</v>
      </c>
      <c r="S6657">
        <v>1031</v>
      </c>
      <c r="T6657">
        <v>-40</v>
      </c>
      <c r="U6657">
        <v>38</v>
      </c>
      <c r="V6657">
        <v>200</v>
      </c>
      <c r="W6657">
        <v>27</v>
      </c>
      <c r="X6657">
        <v>27</v>
      </c>
      <c r="Y6657">
        <v>1</v>
      </c>
      <c r="Z6657">
        <v>1</v>
      </c>
      <c r="AA6657">
        <v>25</v>
      </c>
      <c r="AB6657">
        <v>2</v>
      </c>
      <c r="AC6657">
        <v>2</v>
      </c>
      <c r="AD6657">
        <v>3.3139998899999998</v>
      </c>
      <c r="AE6657">
        <v>1</v>
      </c>
      <c r="AF6657">
        <v>16</v>
      </c>
      <c r="AG6657">
        <v>3.30900002</v>
      </c>
      <c r="AH6657">
        <v>2</v>
      </c>
      <c r="AI6657">
        <v>46</v>
      </c>
      <c r="AJ6657">
        <v>2</v>
      </c>
      <c r="AK6657">
        <v>38</v>
      </c>
      <c r="AL6657">
        <v>31</v>
      </c>
      <c r="AM6657" t="s">
        <v>43</v>
      </c>
      <c r="AN6657" t="str">
        <f>HYPERLINK("https://www.google.com/maps?q=10.78213882,79.60694885","Open Location")</f>
        <v>Open Location</v>
      </c>
    </row>
    <row r="6658" spans="1:40" x14ac:dyDescent="0.3">
      <c r="A6658" s="1">
        <v>46210.228703703702</v>
      </c>
      <c r="B6658" t="s">
        <v>40</v>
      </c>
      <c r="C6658" t="s">
        <v>41</v>
      </c>
      <c r="D6658" s="1">
        <v>46210.231608796297</v>
      </c>
      <c r="E6658" t="s">
        <v>42</v>
      </c>
      <c r="F6658" t="s">
        <v>83</v>
      </c>
      <c r="G6658">
        <v>37</v>
      </c>
      <c r="H6658" t="s">
        <v>43</v>
      </c>
      <c r="I6658" t="s">
        <v>43</v>
      </c>
      <c r="J6658">
        <v>74</v>
      </c>
      <c r="K6658">
        <v>-45</v>
      </c>
      <c r="L6658">
        <v>98</v>
      </c>
      <c r="M6658">
        <v>637.79998779000005</v>
      </c>
      <c r="N6658" t="s">
        <v>87</v>
      </c>
      <c r="O6658" t="s">
        <v>86</v>
      </c>
      <c r="P6658">
        <v>131</v>
      </c>
      <c r="Q6658">
        <v>6</v>
      </c>
      <c r="R6658">
        <v>6</v>
      </c>
      <c r="S6658">
        <v>1048</v>
      </c>
      <c r="T6658">
        <v>-40</v>
      </c>
      <c r="U6658">
        <v>38</v>
      </c>
      <c r="V6658">
        <v>-300</v>
      </c>
      <c r="W6658">
        <v>27</v>
      </c>
      <c r="X6658">
        <v>27</v>
      </c>
      <c r="Y6658">
        <v>1</v>
      </c>
      <c r="Z6658">
        <v>1</v>
      </c>
      <c r="AA6658">
        <v>25</v>
      </c>
      <c r="AB6658">
        <v>2</v>
      </c>
      <c r="AC6658">
        <v>2</v>
      </c>
      <c r="AD6658">
        <v>3.30900002</v>
      </c>
      <c r="AE6658">
        <v>5</v>
      </c>
      <c r="AF6658">
        <v>38</v>
      </c>
      <c r="AG6658">
        <v>3.3029999700000001</v>
      </c>
      <c r="AH6658">
        <v>2</v>
      </c>
      <c r="AI6658">
        <v>46</v>
      </c>
      <c r="AJ6658">
        <v>2</v>
      </c>
      <c r="AK6658">
        <v>38</v>
      </c>
      <c r="AL6658">
        <v>31</v>
      </c>
      <c r="AM6658" t="s">
        <v>43</v>
      </c>
      <c r="AN6658" t="s">
        <v>43</v>
      </c>
    </row>
    <row r="6659" spans="1:40" x14ac:dyDescent="0.3">
      <c r="A6659" s="1">
        <v>46210.228587962964</v>
      </c>
      <c r="B6659" t="s">
        <v>40</v>
      </c>
      <c r="C6659" t="s">
        <v>41</v>
      </c>
      <c r="D6659" s="1">
        <v>46210.231516203705</v>
      </c>
      <c r="E6659" t="s">
        <v>42</v>
      </c>
      <c r="F6659" t="s">
        <v>83</v>
      </c>
      <c r="G6659">
        <v>41</v>
      </c>
      <c r="H6659">
        <v>33047</v>
      </c>
      <c r="I6659" t="s">
        <v>3874</v>
      </c>
      <c r="J6659">
        <v>74</v>
      </c>
      <c r="K6659">
        <v>66</v>
      </c>
      <c r="L6659">
        <v>98</v>
      </c>
      <c r="M6659">
        <v>632.90002441000001</v>
      </c>
      <c r="N6659" t="s">
        <v>87</v>
      </c>
      <c r="O6659" t="s">
        <v>86</v>
      </c>
      <c r="P6659">
        <v>131</v>
      </c>
      <c r="Q6659">
        <v>6</v>
      </c>
      <c r="R6659">
        <v>16</v>
      </c>
      <c r="S6659">
        <v>1149</v>
      </c>
      <c r="T6659">
        <v>-40</v>
      </c>
      <c r="U6659">
        <v>39</v>
      </c>
      <c r="V6659">
        <v>340</v>
      </c>
      <c r="W6659">
        <v>27</v>
      </c>
      <c r="X6659">
        <v>27</v>
      </c>
      <c r="Y6659">
        <v>1</v>
      </c>
      <c r="Z6659">
        <v>1</v>
      </c>
      <c r="AA6659">
        <v>25</v>
      </c>
      <c r="AB6659">
        <v>2</v>
      </c>
      <c r="AC6659">
        <v>2</v>
      </c>
      <c r="AD6659">
        <v>3.30900002</v>
      </c>
      <c r="AE6659">
        <v>1</v>
      </c>
      <c r="AF6659">
        <v>25</v>
      </c>
      <c r="AG6659">
        <v>3.3029999700000001</v>
      </c>
      <c r="AH6659">
        <v>2</v>
      </c>
      <c r="AI6659">
        <v>46</v>
      </c>
      <c r="AJ6659">
        <v>2</v>
      </c>
      <c r="AK6659">
        <v>38</v>
      </c>
      <c r="AL6659">
        <v>31</v>
      </c>
      <c r="AM6659" t="s">
        <v>43</v>
      </c>
      <c r="AN6659" t="str">
        <f>HYPERLINK("https://www.google.com/maps?q=10.78247166,79.60578156","Open Location")</f>
        <v>Open Location</v>
      </c>
    </row>
    <row r="6660" spans="1:40" x14ac:dyDescent="0.3">
      <c r="A6660" s="1">
        <v>46210.228472222225</v>
      </c>
      <c r="B6660" t="s">
        <v>40</v>
      </c>
      <c r="C6660" t="s">
        <v>41</v>
      </c>
      <c r="D6660" s="1">
        <v>46210.231481481482</v>
      </c>
      <c r="E6660" t="s">
        <v>42</v>
      </c>
      <c r="F6660" t="s">
        <v>83</v>
      </c>
      <c r="G6660">
        <v>40</v>
      </c>
      <c r="H6660">
        <v>33047</v>
      </c>
      <c r="I6660" t="s">
        <v>3875</v>
      </c>
      <c r="J6660">
        <v>74</v>
      </c>
      <c r="K6660">
        <v>45</v>
      </c>
      <c r="L6660">
        <v>98</v>
      </c>
      <c r="M6660">
        <v>633.59997558999999</v>
      </c>
      <c r="N6660" t="s">
        <v>87</v>
      </c>
      <c r="O6660" t="s">
        <v>86</v>
      </c>
      <c r="P6660">
        <v>131</v>
      </c>
      <c r="Q6660">
        <v>6</v>
      </c>
      <c r="R6660">
        <v>20</v>
      </c>
      <c r="S6660">
        <v>1110</v>
      </c>
      <c r="T6660">
        <v>-40</v>
      </c>
      <c r="U6660">
        <v>38</v>
      </c>
      <c r="V6660">
        <v>180</v>
      </c>
      <c r="W6660">
        <v>27</v>
      </c>
      <c r="X6660">
        <v>27</v>
      </c>
      <c r="Y6660">
        <v>1</v>
      </c>
      <c r="Z6660">
        <v>1</v>
      </c>
      <c r="AA6660">
        <v>25</v>
      </c>
      <c r="AB6660">
        <v>2</v>
      </c>
      <c r="AC6660">
        <v>2</v>
      </c>
      <c r="AD6660">
        <v>3.3059999900000001</v>
      </c>
      <c r="AE6660">
        <v>1</v>
      </c>
      <c r="AF6660">
        <v>25</v>
      </c>
      <c r="AG6660">
        <v>3.2990000199999998</v>
      </c>
      <c r="AH6660">
        <v>4</v>
      </c>
      <c r="AI6660">
        <v>17</v>
      </c>
      <c r="AJ6660">
        <v>2</v>
      </c>
      <c r="AK6660">
        <v>38</v>
      </c>
      <c r="AL6660">
        <v>31</v>
      </c>
      <c r="AM6660" t="s">
        <v>43</v>
      </c>
      <c r="AN6660" t="str">
        <f>HYPERLINK("https://www.google.com/maps?q=10.78310871,79.60473633","Open Location")</f>
        <v>Open Location</v>
      </c>
    </row>
    <row r="6661" spans="1:40" x14ac:dyDescent="0.3">
      <c r="A6661" s="1">
        <v>46210.228356481479</v>
      </c>
      <c r="B6661" t="s">
        <v>40</v>
      </c>
      <c r="C6661" t="s">
        <v>41</v>
      </c>
      <c r="D6661" s="1">
        <v>46210.231481481482</v>
      </c>
      <c r="E6661" t="s">
        <v>42</v>
      </c>
      <c r="F6661" t="s">
        <v>83</v>
      </c>
      <c r="G6661">
        <v>39</v>
      </c>
      <c r="H6661">
        <v>33047</v>
      </c>
      <c r="I6661" t="s">
        <v>3876</v>
      </c>
      <c r="J6661">
        <v>74</v>
      </c>
      <c r="K6661">
        <v>75</v>
      </c>
      <c r="L6661">
        <v>98</v>
      </c>
      <c r="M6661">
        <v>632.09997558999999</v>
      </c>
      <c r="N6661" t="s">
        <v>87</v>
      </c>
      <c r="O6661" t="s">
        <v>86</v>
      </c>
      <c r="P6661">
        <v>131</v>
      </c>
      <c r="Q6661">
        <v>6</v>
      </c>
      <c r="R6661">
        <v>45</v>
      </c>
      <c r="S6661">
        <v>1074</v>
      </c>
      <c r="T6661">
        <v>-40</v>
      </c>
      <c r="U6661">
        <v>39</v>
      </c>
      <c r="V6661">
        <v>340</v>
      </c>
      <c r="W6661">
        <v>27</v>
      </c>
      <c r="X6661">
        <v>27</v>
      </c>
      <c r="Y6661">
        <v>1</v>
      </c>
      <c r="Z6661">
        <v>1</v>
      </c>
      <c r="AA6661">
        <v>25</v>
      </c>
      <c r="AB6661">
        <v>2</v>
      </c>
      <c r="AC6661">
        <v>2</v>
      </c>
      <c r="AD6661">
        <v>3.30900002</v>
      </c>
      <c r="AE6661">
        <v>1</v>
      </c>
      <c r="AF6661">
        <v>1</v>
      </c>
      <c r="AG6661">
        <v>3.3029999700000001</v>
      </c>
      <c r="AH6661">
        <v>4</v>
      </c>
      <c r="AI6661">
        <v>17</v>
      </c>
      <c r="AJ6661">
        <v>2</v>
      </c>
      <c r="AK6661">
        <v>39</v>
      </c>
      <c r="AL6661">
        <v>31</v>
      </c>
      <c r="AM6661" t="s">
        <v>43</v>
      </c>
      <c r="AN6661" t="str">
        <f>HYPERLINK("https://www.google.com/maps?q=10.78384018,79.60380554","Open Location")</f>
        <v>Open Location</v>
      </c>
    </row>
    <row r="6662" spans="1:40" x14ac:dyDescent="0.3">
      <c r="A6662" s="1">
        <v>46210.22824074074</v>
      </c>
      <c r="B6662" t="s">
        <v>40</v>
      </c>
      <c r="C6662" t="s">
        <v>41</v>
      </c>
      <c r="D6662" s="1">
        <v>46210.231238425928</v>
      </c>
      <c r="E6662" t="s">
        <v>42</v>
      </c>
      <c r="F6662" t="s">
        <v>83</v>
      </c>
      <c r="G6662">
        <v>40</v>
      </c>
      <c r="H6662">
        <v>33047</v>
      </c>
      <c r="I6662" t="s">
        <v>43</v>
      </c>
      <c r="J6662">
        <v>74</v>
      </c>
      <c r="K6662">
        <v>27</v>
      </c>
      <c r="L6662">
        <v>98</v>
      </c>
      <c r="M6662">
        <v>634.59997558999999</v>
      </c>
      <c r="N6662" t="s">
        <v>87</v>
      </c>
      <c r="O6662" t="s">
        <v>86</v>
      </c>
      <c r="P6662">
        <v>131</v>
      </c>
      <c r="Q6662">
        <v>6</v>
      </c>
      <c r="R6662">
        <v>18</v>
      </c>
      <c r="S6662">
        <v>1128</v>
      </c>
      <c r="T6662">
        <v>-40</v>
      </c>
      <c r="U6662">
        <v>38</v>
      </c>
      <c r="V6662">
        <v>120</v>
      </c>
      <c r="W6662">
        <v>27</v>
      </c>
      <c r="X6662">
        <v>27</v>
      </c>
      <c r="Y6662">
        <v>1</v>
      </c>
      <c r="Z6662">
        <v>1</v>
      </c>
      <c r="AA6662">
        <v>25</v>
      </c>
      <c r="AB6662">
        <v>2</v>
      </c>
      <c r="AC6662">
        <v>2</v>
      </c>
      <c r="AD6662">
        <v>3.3029999700000001</v>
      </c>
      <c r="AE6662">
        <v>5</v>
      </c>
      <c r="AF6662">
        <v>38</v>
      </c>
      <c r="AG6662">
        <v>3.2950000799999999</v>
      </c>
      <c r="AH6662">
        <v>2</v>
      </c>
      <c r="AI6662">
        <v>46</v>
      </c>
      <c r="AJ6662" t="s">
        <v>43</v>
      </c>
      <c r="AK6662" t="s">
        <v>43</v>
      </c>
      <c r="AL6662" t="s">
        <v>43</v>
      </c>
      <c r="AM6662" t="s">
        <v>43</v>
      </c>
      <c r="AN6662" t="s">
        <v>43</v>
      </c>
    </row>
    <row r="6663" spans="1:40" x14ac:dyDescent="0.3">
      <c r="A6663" s="1">
        <v>46210.228125000001</v>
      </c>
      <c r="B6663" t="s">
        <v>40</v>
      </c>
      <c r="C6663" t="s">
        <v>41</v>
      </c>
      <c r="D6663" s="1">
        <v>46210.231122685182</v>
      </c>
      <c r="E6663" t="s">
        <v>42</v>
      </c>
      <c r="F6663" t="s">
        <v>83</v>
      </c>
      <c r="G6663">
        <v>43</v>
      </c>
      <c r="H6663">
        <v>33047</v>
      </c>
      <c r="I6663" t="s">
        <v>3877</v>
      </c>
      <c r="J6663">
        <v>74</v>
      </c>
      <c r="K6663">
        <v>79</v>
      </c>
      <c r="L6663">
        <v>98</v>
      </c>
      <c r="M6663">
        <v>632.20001220999995</v>
      </c>
      <c r="N6663" t="s">
        <v>87</v>
      </c>
      <c r="O6663" t="s">
        <v>86</v>
      </c>
      <c r="P6663">
        <v>131</v>
      </c>
      <c r="Q6663">
        <v>6</v>
      </c>
      <c r="R6663">
        <v>38</v>
      </c>
      <c r="S6663">
        <v>1197</v>
      </c>
      <c r="T6663">
        <v>-40</v>
      </c>
      <c r="U6663">
        <v>39</v>
      </c>
      <c r="V6663">
        <v>360</v>
      </c>
      <c r="W6663">
        <v>27</v>
      </c>
      <c r="X6663">
        <v>27</v>
      </c>
      <c r="Y6663">
        <v>1</v>
      </c>
      <c r="Z6663">
        <v>1</v>
      </c>
      <c r="AA6663">
        <v>25</v>
      </c>
      <c r="AB6663">
        <v>2</v>
      </c>
      <c r="AC6663">
        <v>2</v>
      </c>
      <c r="AD6663">
        <v>3.3080000900000002</v>
      </c>
      <c r="AE6663">
        <v>1</v>
      </c>
      <c r="AF6663">
        <v>1</v>
      </c>
      <c r="AG6663">
        <v>3.3020000500000002</v>
      </c>
      <c r="AH6663">
        <v>6</v>
      </c>
      <c r="AI6663">
        <v>24</v>
      </c>
      <c r="AJ6663">
        <v>2</v>
      </c>
      <c r="AK6663">
        <v>39</v>
      </c>
      <c r="AL6663">
        <v>31</v>
      </c>
      <c r="AM6663" t="s">
        <v>43</v>
      </c>
      <c r="AN6663" t="str">
        <f>HYPERLINK("https://www.google.com/maps?q=10.78465176,79.60131073","Open Location")</f>
        <v>Open Location</v>
      </c>
    </row>
    <row r="6664" spans="1:40" x14ac:dyDescent="0.3">
      <c r="A6664" s="1">
        <v>46210.228009259263</v>
      </c>
      <c r="B6664" t="s">
        <v>40</v>
      </c>
      <c r="C6664" t="s">
        <v>41</v>
      </c>
      <c r="D6664" s="1">
        <v>46210.231122685182</v>
      </c>
      <c r="E6664" t="s">
        <v>42</v>
      </c>
      <c r="F6664" t="s">
        <v>83</v>
      </c>
      <c r="G6664">
        <v>40</v>
      </c>
      <c r="H6664">
        <v>33046</v>
      </c>
      <c r="I6664" t="s">
        <v>43</v>
      </c>
      <c r="J6664">
        <v>74</v>
      </c>
      <c r="K6664">
        <v>38</v>
      </c>
      <c r="L6664">
        <v>98</v>
      </c>
      <c r="M6664">
        <v>633.70001220999995</v>
      </c>
      <c r="N6664" t="s">
        <v>87</v>
      </c>
      <c r="O6664" t="s">
        <v>86</v>
      </c>
      <c r="P6664">
        <v>131</v>
      </c>
      <c r="Q6664">
        <v>6</v>
      </c>
      <c r="R6664">
        <v>20</v>
      </c>
      <c r="S6664">
        <v>1107</v>
      </c>
      <c r="T6664">
        <v>-40</v>
      </c>
      <c r="U6664">
        <v>38</v>
      </c>
      <c r="V6664">
        <v>180</v>
      </c>
      <c r="W6664">
        <v>27</v>
      </c>
      <c r="X6664">
        <v>27</v>
      </c>
      <c r="Y6664">
        <v>1</v>
      </c>
      <c r="Z6664">
        <v>1</v>
      </c>
      <c r="AA6664">
        <v>25</v>
      </c>
      <c r="AB6664">
        <v>2</v>
      </c>
      <c r="AC6664">
        <v>2</v>
      </c>
      <c r="AD6664">
        <v>3.3059999900000001</v>
      </c>
      <c r="AE6664">
        <v>1</v>
      </c>
      <c r="AF6664">
        <v>25</v>
      </c>
      <c r="AG6664">
        <v>3.2990000199999998</v>
      </c>
      <c r="AH6664">
        <v>2</v>
      </c>
      <c r="AI6664">
        <v>46</v>
      </c>
      <c r="AJ6664">
        <v>2</v>
      </c>
      <c r="AK6664">
        <v>39</v>
      </c>
      <c r="AL6664">
        <v>31</v>
      </c>
      <c r="AM6664" t="s">
        <v>43</v>
      </c>
      <c r="AN6664" t="s">
        <v>43</v>
      </c>
    </row>
    <row r="6665" spans="1:40" x14ac:dyDescent="0.3">
      <c r="A6665" s="1">
        <v>46210.227893518517</v>
      </c>
      <c r="B6665" t="s">
        <v>40</v>
      </c>
      <c r="C6665" t="s">
        <v>41</v>
      </c>
      <c r="D6665" s="1">
        <v>46210.230833333335</v>
      </c>
      <c r="E6665" t="s">
        <v>42</v>
      </c>
      <c r="F6665" t="s">
        <v>83</v>
      </c>
      <c r="G6665">
        <v>41</v>
      </c>
      <c r="H6665">
        <v>33046</v>
      </c>
      <c r="I6665" t="s">
        <v>3878</v>
      </c>
      <c r="J6665">
        <v>74</v>
      </c>
      <c r="K6665">
        <v>38</v>
      </c>
      <c r="L6665">
        <v>98</v>
      </c>
      <c r="M6665">
        <v>634.09997558999999</v>
      </c>
      <c r="N6665" t="s">
        <v>87</v>
      </c>
      <c r="O6665" t="s">
        <v>86</v>
      </c>
      <c r="P6665">
        <v>131</v>
      </c>
      <c r="Q6665">
        <v>6</v>
      </c>
      <c r="R6665">
        <v>26</v>
      </c>
      <c r="S6665">
        <v>1140</v>
      </c>
      <c r="T6665">
        <v>-40</v>
      </c>
      <c r="U6665">
        <v>38</v>
      </c>
      <c r="V6665">
        <v>180</v>
      </c>
      <c r="W6665">
        <v>27</v>
      </c>
      <c r="X6665">
        <v>27</v>
      </c>
      <c r="Y6665">
        <v>1</v>
      </c>
      <c r="Z6665">
        <v>1</v>
      </c>
      <c r="AA6665">
        <v>25</v>
      </c>
      <c r="AB6665">
        <v>2</v>
      </c>
      <c r="AC6665">
        <v>2</v>
      </c>
      <c r="AD6665">
        <v>3.3080000900000002</v>
      </c>
      <c r="AE6665">
        <v>5</v>
      </c>
      <c r="AF6665">
        <v>38</v>
      </c>
      <c r="AG6665">
        <v>3.3010001199999999</v>
      </c>
      <c r="AH6665">
        <v>8</v>
      </c>
      <c r="AI6665">
        <v>35</v>
      </c>
      <c r="AJ6665">
        <v>2</v>
      </c>
      <c r="AK6665">
        <v>39</v>
      </c>
      <c r="AL6665">
        <v>31</v>
      </c>
      <c r="AM6665" t="s">
        <v>43</v>
      </c>
      <c r="AN6665" t="str">
        <f>HYPERLINK("https://www.google.com/maps?q=10.78511333,79.60015106","Open Location")</f>
        <v>Open Location</v>
      </c>
    </row>
    <row r="6666" spans="1:40" x14ac:dyDescent="0.3">
      <c r="A6666" s="1">
        <v>46210.227777777778</v>
      </c>
      <c r="B6666" t="s">
        <v>40</v>
      </c>
      <c r="C6666" t="s">
        <v>41</v>
      </c>
      <c r="D6666" s="1">
        <v>46210.230787037035</v>
      </c>
      <c r="E6666" t="s">
        <v>42</v>
      </c>
      <c r="F6666" t="s">
        <v>83</v>
      </c>
      <c r="G6666">
        <v>45</v>
      </c>
      <c r="H6666">
        <v>33046</v>
      </c>
      <c r="I6666" t="s">
        <v>43</v>
      </c>
      <c r="J6666">
        <v>74</v>
      </c>
      <c r="K6666">
        <v>49</v>
      </c>
      <c r="L6666">
        <v>98</v>
      </c>
      <c r="M6666">
        <v>633.90002441000001</v>
      </c>
      <c r="N6666" t="s">
        <v>87</v>
      </c>
      <c r="O6666" t="s">
        <v>86</v>
      </c>
      <c r="P6666">
        <v>131</v>
      </c>
      <c r="Q6666">
        <v>6</v>
      </c>
      <c r="R6666">
        <v>26</v>
      </c>
      <c r="S6666">
        <v>1266</v>
      </c>
      <c r="T6666">
        <v>-40</v>
      </c>
      <c r="U6666">
        <v>38</v>
      </c>
      <c r="V6666">
        <v>200</v>
      </c>
      <c r="W6666">
        <v>27</v>
      </c>
      <c r="X6666">
        <v>27</v>
      </c>
      <c r="Y6666">
        <v>1</v>
      </c>
      <c r="Z6666">
        <v>1</v>
      </c>
      <c r="AA6666">
        <v>25</v>
      </c>
      <c r="AB6666">
        <v>2</v>
      </c>
      <c r="AC6666">
        <v>2</v>
      </c>
      <c r="AD6666">
        <v>3.30999994</v>
      </c>
      <c r="AE6666">
        <v>1</v>
      </c>
      <c r="AF6666">
        <v>1</v>
      </c>
      <c r="AG6666">
        <v>3.3050000700000002</v>
      </c>
      <c r="AH6666">
        <v>8</v>
      </c>
      <c r="AI6666">
        <v>35</v>
      </c>
      <c r="AJ6666">
        <v>2</v>
      </c>
      <c r="AK6666">
        <v>39</v>
      </c>
      <c r="AL6666">
        <v>31</v>
      </c>
      <c r="AM6666" t="s">
        <v>43</v>
      </c>
      <c r="AN6666" t="s">
        <v>43</v>
      </c>
    </row>
    <row r="6667" spans="1:40" x14ac:dyDescent="0.3">
      <c r="A6667" s="1">
        <v>46210.227662037039</v>
      </c>
      <c r="B6667" t="s">
        <v>40</v>
      </c>
      <c r="C6667" t="s">
        <v>41</v>
      </c>
      <c r="D6667" s="1">
        <v>46210.230451388888</v>
      </c>
      <c r="E6667" t="s">
        <v>42</v>
      </c>
      <c r="F6667" t="s">
        <v>83</v>
      </c>
      <c r="G6667">
        <v>46</v>
      </c>
      <c r="H6667">
        <v>33046</v>
      </c>
      <c r="I6667" t="s">
        <v>3879</v>
      </c>
      <c r="J6667">
        <v>74</v>
      </c>
      <c r="K6667">
        <v>-57</v>
      </c>
      <c r="L6667">
        <v>98</v>
      </c>
      <c r="M6667">
        <v>637.29998779000005</v>
      </c>
      <c r="N6667" t="s">
        <v>87</v>
      </c>
      <c r="O6667" t="s">
        <v>86</v>
      </c>
      <c r="P6667">
        <v>131</v>
      </c>
      <c r="Q6667">
        <v>6</v>
      </c>
      <c r="R6667">
        <v>-41</v>
      </c>
      <c r="S6667">
        <v>1308</v>
      </c>
      <c r="T6667">
        <v>-40</v>
      </c>
      <c r="U6667">
        <v>39</v>
      </c>
      <c r="V6667">
        <v>-300</v>
      </c>
      <c r="W6667">
        <v>27</v>
      </c>
      <c r="X6667">
        <v>27</v>
      </c>
      <c r="Y6667">
        <v>1</v>
      </c>
      <c r="Z6667">
        <v>1</v>
      </c>
      <c r="AA6667">
        <v>25</v>
      </c>
      <c r="AB6667">
        <v>2</v>
      </c>
      <c r="AC6667">
        <v>2</v>
      </c>
      <c r="AD6667">
        <v>3.2999999500000001</v>
      </c>
      <c r="AE6667">
        <v>5</v>
      </c>
      <c r="AF6667">
        <v>38</v>
      </c>
      <c r="AG6667">
        <v>3.2909998900000001</v>
      </c>
      <c r="AH6667">
        <v>2</v>
      </c>
      <c r="AI6667">
        <v>46</v>
      </c>
      <c r="AJ6667">
        <v>2</v>
      </c>
      <c r="AK6667">
        <v>39</v>
      </c>
      <c r="AL6667">
        <v>31</v>
      </c>
      <c r="AM6667" t="s">
        <v>43</v>
      </c>
      <c r="AN6667" t="str">
        <f>HYPERLINK("https://www.google.com/maps?q=10.78547382,79.59736633","Open Location")</f>
        <v>Open Location</v>
      </c>
    </row>
    <row r="6668" spans="1:40" x14ac:dyDescent="0.3">
      <c r="A6668" s="1">
        <v>46210.227546296293</v>
      </c>
      <c r="B6668" t="s">
        <v>40</v>
      </c>
      <c r="C6668" t="s">
        <v>41</v>
      </c>
      <c r="D6668" s="1">
        <v>46210.230451388888</v>
      </c>
      <c r="E6668" t="s">
        <v>42</v>
      </c>
      <c r="F6668" t="s">
        <v>83</v>
      </c>
      <c r="G6668">
        <v>48</v>
      </c>
      <c r="H6668">
        <v>33046</v>
      </c>
      <c r="I6668" t="s">
        <v>43</v>
      </c>
      <c r="J6668">
        <v>75</v>
      </c>
      <c r="K6668">
        <v>68</v>
      </c>
      <c r="L6668">
        <v>98</v>
      </c>
      <c r="M6668">
        <v>632</v>
      </c>
      <c r="N6668" t="s">
        <v>87</v>
      </c>
      <c r="O6668" t="s">
        <v>86</v>
      </c>
      <c r="P6668">
        <v>131</v>
      </c>
      <c r="Q6668">
        <v>6</v>
      </c>
      <c r="R6668">
        <v>39</v>
      </c>
      <c r="S6668">
        <v>1335</v>
      </c>
      <c r="T6668">
        <v>-40</v>
      </c>
      <c r="U6668">
        <v>39</v>
      </c>
      <c r="V6668">
        <v>280</v>
      </c>
      <c r="W6668">
        <v>27</v>
      </c>
      <c r="X6668">
        <v>27</v>
      </c>
      <c r="Y6668">
        <v>1</v>
      </c>
      <c r="Z6668">
        <v>1</v>
      </c>
      <c r="AA6668">
        <v>25</v>
      </c>
      <c r="AB6668">
        <v>2</v>
      </c>
      <c r="AC6668">
        <v>2</v>
      </c>
      <c r="AD6668">
        <v>3.2959999999999998</v>
      </c>
      <c r="AE6668">
        <v>5</v>
      </c>
      <c r="AF6668">
        <v>38</v>
      </c>
      <c r="AG6668">
        <v>3.28500009</v>
      </c>
      <c r="AH6668">
        <v>4</v>
      </c>
      <c r="AI6668">
        <v>24</v>
      </c>
      <c r="AJ6668">
        <v>2</v>
      </c>
      <c r="AK6668">
        <v>39</v>
      </c>
      <c r="AL6668">
        <v>31</v>
      </c>
      <c r="AM6668" t="s">
        <v>43</v>
      </c>
      <c r="AN6668" t="s">
        <v>43</v>
      </c>
    </row>
    <row r="6669" spans="1:40" x14ac:dyDescent="0.3">
      <c r="A6669" s="1">
        <v>46210.227430555555</v>
      </c>
      <c r="B6669" t="s">
        <v>40</v>
      </c>
      <c r="C6669" t="s">
        <v>41</v>
      </c>
      <c r="D6669" s="1">
        <v>46210.23033564815</v>
      </c>
      <c r="E6669" t="s">
        <v>42</v>
      </c>
      <c r="F6669" t="s">
        <v>83</v>
      </c>
      <c r="G6669">
        <v>46</v>
      </c>
      <c r="H6669">
        <v>33046</v>
      </c>
      <c r="I6669" t="s">
        <v>3880</v>
      </c>
      <c r="J6669">
        <v>75</v>
      </c>
      <c r="K6669">
        <v>106</v>
      </c>
      <c r="L6669">
        <v>98</v>
      </c>
      <c r="M6669">
        <v>631.09997558999999</v>
      </c>
      <c r="N6669" t="s">
        <v>87</v>
      </c>
      <c r="O6669" t="s">
        <v>86</v>
      </c>
      <c r="P6669">
        <v>131</v>
      </c>
      <c r="Q6669">
        <v>6</v>
      </c>
      <c r="R6669">
        <v>61</v>
      </c>
      <c r="S6669">
        <v>1262</v>
      </c>
      <c r="T6669">
        <v>-40</v>
      </c>
      <c r="U6669">
        <v>40</v>
      </c>
      <c r="V6669">
        <v>460</v>
      </c>
      <c r="W6669">
        <v>27</v>
      </c>
      <c r="X6669">
        <v>27</v>
      </c>
      <c r="Y6669">
        <v>1</v>
      </c>
      <c r="Z6669">
        <v>1</v>
      </c>
      <c r="AA6669">
        <v>25</v>
      </c>
      <c r="AB6669">
        <v>2</v>
      </c>
      <c r="AC6669">
        <v>2</v>
      </c>
      <c r="AD6669">
        <v>3.3020000500000002</v>
      </c>
      <c r="AE6669">
        <v>5</v>
      </c>
      <c r="AF6669">
        <v>38</v>
      </c>
      <c r="AG6669">
        <v>3.2929999799999998</v>
      </c>
      <c r="AH6669">
        <v>2</v>
      </c>
      <c r="AI6669">
        <v>46</v>
      </c>
      <c r="AJ6669">
        <v>2</v>
      </c>
      <c r="AK6669">
        <v>39</v>
      </c>
      <c r="AL6669">
        <v>30</v>
      </c>
      <c r="AM6669" t="s">
        <v>43</v>
      </c>
      <c r="AN6669" t="str">
        <f>HYPERLINK("https://www.google.com/maps?q=10.78606415,79.59460449","Open Location")</f>
        <v>Open Location</v>
      </c>
    </row>
    <row r="6670" spans="1:40" x14ac:dyDescent="0.3">
      <c r="A6670" s="1">
        <v>46210.227314814816</v>
      </c>
      <c r="B6670" t="s">
        <v>40</v>
      </c>
      <c r="C6670" t="s">
        <v>41</v>
      </c>
      <c r="D6670" s="1">
        <v>46210.230358796296</v>
      </c>
      <c r="E6670" t="s">
        <v>42</v>
      </c>
      <c r="F6670" t="s">
        <v>83</v>
      </c>
      <c r="G6670">
        <v>42</v>
      </c>
      <c r="H6670">
        <v>33046</v>
      </c>
      <c r="I6670" t="s">
        <v>43</v>
      </c>
      <c r="J6670">
        <v>75</v>
      </c>
      <c r="K6670">
        <v>17</v>
      </c>
      <c r="L6670">
        <v>98</v>
      </c>
      <c r="M6670">
        <v>634.90002441000001</v>
      </c>
      <c r="N6670" t="s">
        <v>87</v>
      </c>
      <c r="O6670" t="s">
        <v>86</v>
      </c>
      <c r="P6670">
        <v>131</v>
      </c>
      <c r="Q6670">
        <v>6</v>
      </c>
      <c r="R6670">
        <v>27</v>
      </c>
      <c r="S6670">
        <v>1173</v>
      </c>
      <c r="T6670">
        <v>-40</v>
      </c>
      <c r="U6670">
        <v>38</v>
      </c>
      <c r="V6670">
        <v>101</v>
      </c>
      <c r="W6670">
        <v>27</v>
      </c>
      <c r="X6670">
        <v>27</v>
      </c>
      <c r="Y6670">
        <v>1</v>
      </c>
      <c r="Z6670">
        <v>1</v>
      </c>
      <c r="AA6670">
        <v>25</v>
      </c>
      <c r="AB6670">
        <v>2</v>
      </c>
      <c r="AC6670">
        <v>2</v>
      </c>
      <c r="AD6670">
        <v>3.2980000999999999</v>
      </c>
      <c r="AE6670">
        <v>5</v>
      </c>
      <c r="AF6670">
        <v>38</v>
      </c>
      <c r="AG6670">
        <v>3.28800011</v>
      </c>
      <c r="AH6670">
        <v>2</v>
      </c>
      <c r="AI6670">
        <v>46</v>
      </c>
      <c r="AJ6670">
        <v>2</v>
      </c>
      <c r="AK6670">
        <v>40</v>
      </c>
      <c r="AL6670">
        <v>30</v>
      </c>
      <c r="AM6670" t="s">
        <v>43</v>
      </c>
      <c r="AN6670" t="s">
        <v>43</v>
      </c>
    </row>
    <row r="6671" spans="1:40" x14ac:dyDescent="0.3">
      <c r="A6671" s="1">
        <v>46210.227199074077</v>
      </c>
      <c r="B6671" t="s">
        <v>40</v>
      </c>
      <c r="C6671" t="s">
        <v>41</v>
      </c>
      <c r="D6671" s="1">
        <v>46210.23</v>
      </c>
      <c r="E6671" t="s">
        <v>42</v>
      </c>
      <c r="F6671" t="s">
        <v>83</v>
      </c>
      <c r="G6671">
        <v>44</v>
      </c>
      <c r="H6671">
        <v>33046</v>
      </c>
      <c r="I6671" t="s">
        <v>3881</v>
      </c>
      <c r="J6671">
        <v>75</v>
      </c>
      <c r="K6671">
        <v>131</v>
      </c>
      <c r="L6671">
        <v>98</v>
      </c>
      <c r="M6671">
        <v>631.59997558999999</v>
      </c>
      <c r="N6671" t="s">
        <v>87</v>
      </c>
      <c r="O6671" t="s">
        <v>86</v>
      </c>
      <c r="P6671">
        <v>131</v>
      </c>
      <c r="Q6671">
        <v>6</v>
      </c>
      <c r="R6671">
        <v>69</v>
      </c>
      <c r="S6671">
        <v>1225</v>
      </c>
      <c r="T6671">
        <v>-40</v>
      </c>
      <c r="U6671">
        <v>40</v>
      </c>
      <c r="V6671">
        <v>560</v>
      </c>
      <c r="W6671">
        <v>27</v>
      </c>
      <c r="X6671">
        <v>27</v>
      </c>
      <c r="Y6671">
        <v>1</v>
      </c>
      <c r="Z6671">
        <v>1</v>
      </c>
      <c r="AA6671">
        <v>25</v>
      </c>
      <c r="AB6671">
        <v>2</v>
      </c>
      <c r="AC6671">
        <v>2</v>
      </c>
      <c r="AD6671">
        <v>3.30699992</v>
      </c>
      <c r="AE6671">
        <v>1</v>
      </c>
      <c r="AF6671">
        <v>1</v>
      </c>
      <c r="AG6671">
        <v>3.3010001199999999</v>
      </c>
      <c r="AH6671">
        <v>2</v>
      </c>
      <c r="AI6671">
        <v>46</v>
      </c>
      <c r="AJ6671">
        <v>2</v>
      </c>
      <c r="AK6671">
        <v>40</v>
      </c>
      <c r="AL6671">
        <v>30</v>
      </c>
      <c r="AM6671" t="s">
        <v>43</v>
      </c>
      <c r="AN6671" t="str">
        <f>HYPERLINK("https://www.google.com/maps?q=10.78649998,79.59320831","Open Location")</f>
        <v>Open Location</v>
      </c>
    </row>
    <row r="6672" spans="1:40" x14ac:dyDescent="0.3">
      <c r="A6672" s="1">
        <v>46210.227083333331</v>
      </c>
      <c r="B6672" t="s">
        <v>40</v>
      </c>
      <c r="C6672" t="s">
        <v>41</v>
      </c>
      <c r="D6672" s="1">
        <v>46210.23</v>
      </c>
      <c r="E6672" t="s">
        <v>42</v>
      </c>
      <c r="F6672" t="s">
        <v>83</v>
      </c>
      <c r="G6672">
        <v>41</v>
      </c>
      <c r="H6672" t="s">
        <v>43</v>
      </c>
      <c r="I6672" t="s">
        <v>3882</v>
      </c>
      <c r="J6672">
        <v>75</v>
      </c>
      <c r="K6672">
        <v>43</v>
      </c>
      <c r="L6672">
        <v>98</v>
      </c>
      <c r="M6672">
        <v>634.5</v>
      </c>
      <c r="N6672" t="s">
        <v>87</v>
      </c>
      <c r="O6672" t="s">
        <v>86</v>
      </c>
      <c r="P6672">
        <v>131</v>
      </c>
      <c r="Q6672">
        <v>6</v>
      </c>
      <c r="R6672">
        <v>24</v>
      </c>
      <c r="S6672">
        <v>1148</v>
      </c>
      <c r="T6672">
        <v>-40</v>
      </c>
      <c r="U6672">
        <v>39</v>
      </c>
      <c r="V6672">
        <v>200</v>
      </c>
      <c r="W6672">
        <v>27</v>
      </c>
      <c r="X6672">
        <v>27</v>
      </c>
      <c r="Y6672">
        <v>1</v>
      </c>
      <c r="Z6672">
        <v>1</v>
      </c>
      <c r="AA6672">
        <v>25</v>
      </c>
      <c r="AB6672">
        <v>2</v>
      </c>
      <c r="AC6672">
        <v>2</v>
      </c>
      <c r="AD6672">
        <v>3.3139998899999998</v>
      </c>
      <c r="AE6672">
        <v>1</v>
      </c>
      <c r="AF6672">
        <v>1</v>
      </c>
      <c r="AG6672">
        <v>3.30900002</v>
      </c>
      <c r="AH6672">
        <v>6</v>
      </c>
      <c r="AI6672">
        <v>24</v>
      </c>
      <c r="AJ6672">
        <v>2</v>
      </c>
      <c r="AK6672">
        <v>40</v>
      </c>
      <c r="AL6672">
        <v>30</v>
      </c>
      <c r="AM6672" t="s">
        <v>43</v>
      </c>
      <c r="AN6672" t="str">
        <f>HYPERLINK("https://www.google.com/maps?q=10.78681946,79.59197235","Open Location")</f>
        <v>Open Location</v>
      </c>
    </row>
    <row r="6673" spans="1:40" x14ac:dyDescent="0.3">
      <c r="A6673" s="1">
        <v>46210.226967592593</v>
      </c>
      <c r="B6673" t="s">
        <v>40</v>
      </c>
      <c r="C6673" t="s">
        <v>41</v>
      </c>
      <c r="D6673" s="1">
        <v>46210.23</v>
      </c>
      <c r="E6673" t="s">
        <v>42</v>
      </c>
      <c r="F6673" t="s">
        <v>83</v>
      </c>
      <c r="G6673">
        <v>39</v>
      </c>
      <c r="H6673" t="s">
        <v>43</v>
      </c>
      <c r="I6673" t="s">
        <v>3883</v>
      </c>
      <c r="J6673">
        <v>75</v>
      </c>
      <c r="K6673">
        <v>-48</v>
      </c>
      <c r="L6673">
        <v>98</v>
      </c>
      <c r="M6673">
        <v>638.90002441000001</v>
      </c>
      <c r="N6673" t="s">
        <v>87</v>
      </c>
      <c r="O6673" t="s">
        <v>86</v>
      </c>
      <c r="P6673">
        <v>131</v>
      </c>
      <c r="Q6673">
        <v>6</v>
      </c>
      <c r="R6673">
        <v>3</v>
      </c>
      <c r="S6673">
        <v>1114</v>
      </c>
      <c r="T6673">
        <v>-40</v>
      </c>
      <c r="U6673">
        <v>38</v>
      </c>
      <c r="V6673">
        <v>-300</v>
      </c>
      <c r="W6673">
        <v>27</v>
      </c>
      <c r="X6673">
        <v>27</v>
      </c>
      <c r="Y6673">
        <v>1</v>
      </c>
      <c r="Z6673">
        <v>1</v>
      </c>
      <c r="AA6673">
        <v>25</v>
      </c>
      <c r="AB6673">
        <v>2</v>
      </c>
      <c r="AC6673">
        <v>2</v>
      </c>
      <c r="AD6673">
        <v>3.3250000499999999</v>
      </c>
      <c r="AE6673">
        <v>1</v>
      </c>
      <c r="AF6673">
        <v>26</v>
      </c>
      <c r="AG6673">
        <v>3.3210001</v>
      </c>
      <c r="AH6673">
        <v>6</v>
      </c>
      <c r="AI6673">
        <v>12</v>
      </c>
      <c r="AJ6673">
        <v>2</v>
      </c>
      <c r="AK6673">
        <v>40</v>
      </c>
      <c r="AL6673">
        <v>30</v>
      </c>
      <c r="AM6673" t="s">
        <v>43</v>
      </c>
      <c r="AN6673" t="str">
        <f>HYPERLINK("https://www.google.com/maps?q=10.78722,79.59076691","Open Location")</f>
        <v>Open Location</v>
      </c>
    </row>
    <row r="6674" spans="1:40" x14ac:dyDescent="0.3">
      <c r="A6674" s="1">
        <v>46210.226851851854</v>
      </c>
      <c r="B6674" t="s">
        <v>40</v>
      </c>
      <c r="C6674" t="s">
        <v>41</v>
      </c>
      <c r="D6674" s="1">
        <v>46210.22960648148</v>
      </c>
      <c r="E6674" t="s">
        <v>42</v>
      </c>
      <c r="F6674" t="s">
        <v>83</v>
      </c>
      <c r="G6674">
        <v>48</v>
      </c>
      <c r="H6674">
        <v>33045</v>
      </c>
      <c r="I6674" t="s">
        <v>3884</v>
      </c>
      <c r="J6674">
        <v>75</v>
      </c>
      <c r="K6674">
        <v>15</v>
      </c>
      <c r="L6674">
        <v>98</v>
      </c>
      <c r="M6674">
        <v>636.90002441000001</v>
      </c>
      <c r="N6674" t="s">
        <v>87</v>
      </c>
      <c r="O6674" t="s">
        <v>86</v>
      </c>
      <c r="P6674">
        <v>131</v>
      </c>
      <c r="Q6674">
        <v>6</v>
      </c>
      <c r="R6674">
        <v>-43</v>
      </c>
      <c r="S6674">
        <v>1343</v>
      </c>
      <c r="T6674">
        <v>-40</v>
      </c>
      <c r="U6674">
        <v>38</v>
      </c>
      <c r="V6674">
        <v>-20</v>
      </c>
      <c r="W6674">
        <v>27</v>
      </c>
      <c r="X6674">
        <v>27</v>
      </c>
      <c r="Y6674">
        <v>1</v>
      </c>
      <c r="Z6674">
        <v>1</v>
      </c>
      <c r="AA6674">
        <v>25</v>
      </c>
      <c r="AB6674">
        <v>2</v>
      </c>
      <c r="AC6674">
        <v>2</v>
      </c>
      <c r="AD6674">
        <v>3.2959999999999998</v>
      </c>
      <c r="AE6674">
        <v>5</v>
      </c>
      <c r="AF6674">
        <v>38</v>
      </c>
      <c r="AG6674">
        <v>3.28500009</v>
      </c>
      <c r="AH6674">
        <v>4</v>
      </c>
      <c r="AI6674">
        <v>24</v>
      </c>
      <c r="AJ6674">
        <v>2</v>
      </c>
      <c r="AK6674">
        <v>40</v>
      </c>
      <c r="AL6674">
        <v>30</v>
      </c>
      <c r="AM6674" t="s">
        <v>43</v>
      </c>
      <c r="AN6674" t="str">
        <f>HYPERLINK("https://www.google.com/maps?q=10.78756905,79.58932495","Open Location")</f>
        <v>Open Location</v>
      </c>
    </row>
    <row r="6675" spans="1:40" x14ac:dyDescent="0.3">
      <c r="A6675" s="1">
        <v>46210.226736111108</v>
      </c>
      <c r="B6675" t="s">
        <v>40</v>
      </c>
      <c r="C6675" t="s">
        <v>41</v>
      </c>
      <c r="D6675" s="1">
        <v>46210.229641203703</v>
      </c>
      <c r="E6675" t="s">
        <v>42</v>
      </c>
      <c r="F6675" t="s">
        <v>83</v>
      </c>
      <c r="G6675">
        <v>47</v>
      </c>
      <c r="H6675">
        <v>33045</v>
      </c>
      <c r="I6675" t="s">
        <v>43</v>
      </c>
      <c r="J6675">
        <v>75</v>
      </c>
      <c r="K6675">
        <v>105</v>
      </c>
      <c r="L6675">
        <v>98</v>
      </c>
      <c r="M6675">
        <v>631.59997558999999</v>
      </c>
      <c r="N6675" t="s">
        <v>87</v>
      </c>
      <c r="O6675" t="s">
        <v>86</v>
      </c>
      <c r="P6675">
        <v>131</v>
      </c>
      <c r="Q6675">
        <v>6</v>
      </c>
      <c r="R6675">
        <v>60</v>
      </c>
      <c r="S6675">
        <v>1309</v>
      </c>
      <c r="T6675">
        <v>-40</v>
      </c>
      <c r="U6675">
        <v>39</v>
      </c>
      <c r="V6675">
        <v>440</v>
      </c>
      <c r="W6675">
        <v>27</v>
      </c>
      <c r="X6675">
        <v>27</v>
      </c>
      <c r="Y6675">
        <v>1</v>
      </c>
      <c r="Z6675">
        <v>1</v>
      </c>
      <c r="AA6675">
        <v>25</v>
      </c>
      <c r="AB6675">
        <v>2</v>
      </c>
      <c r="AC6675">
        <v>2</v>
      </c>
      <c r="AD6675">
        <v>3.31299996</v>
      </c>
      <c r="AE6675">
        <v>1</v>
      </c>
      <c r="AF6675">
        <v>16</v>
      </c>
      <c r="AG6675">
        <v>3.3080000900000002</v>
      </c>
      <c r="AH6675">
        <v>2</v>
      </c>
      <c r="AI6675">
        <v>46</v>
      </c>
      <c r="AJ6675">
        <v>2</v>
      </c>
      <c r="AK6675">
        <v>40</v>
      </c>
      <c r="AL6675">
        <v>30</v>
      </c>
      <c r="AM6675" t="s">
        <v>43</v>
      </c>
      <c r="AN6675" t="s">
        <v>43</v>
      </c>
    </row>
    <row r="6676" spans="1:40" x14ac:dyDescent="0.3">
      <c r="A6676" s="1">
        <v>46210.226620370369</v>
      </c>
      <c r="B6676" t="s">
        <v>40</v>
      </c>
      <c r="C6676" t="s">
        <v>41</v>
      </c>
      <c r="D6676" s="1">
        <v>46210.229641203703</v>
      </c>
      <c r="E6676" t="s">
        <v>42</v>
      </c>
      <c r="F6676" t="s">
        <v>83</v>
      </c>
      <c r="G6676">
        <v>47</v>
      </c>
      <c r="H6676">
        <v>33045</v>
      </c>
      <c r="I6676" t="s">
        <v>3885</v>
      </c>
      <c r="J6676">
        <v>75</v>
      </c>
      <c r="K6676">
        <v>-58</v>
      </c>
      <c r="L6676">
        <v>98</v>
      </c>
      <c r="M6676">
        <v>638.5</v>
      </c>
      <c r="N6676" t="s">
        <v>87</v>
      </c>
      <c r="O6676" t="s">
        <v>86</v>
      </c>
      <c r="P6676">
        <v>131</v>
      </c>
      <c r="Q6676">
        <v>6</v>
      </c>
      <c r="R6676">
        <v>-41</v>
      </c>
      <c r="S6676">
        <v>1299</v>
      </c>
      <c r="T6676">
        <v>-40</v>
      </c>
      <c r="U6676">
        <v>38</v>
      </c>
      <c r="V6676">
        <v>-300</v>
      </c>
      <c r="W6676">
        <v>27</v>
      </c>
      <c r="X6676">
        <v>27</v>
      </c>
      <c r="Y6676">
        <v>1</v>
      </c>
      <c r="Z6676">
        <v>1</v>
      </c>
      <c r="AA6676">
        <v>25</v>
      </c>
      <c r="AB6676">
        <v>2</v>
      </c>
      <c r="AC6676">
        <v>2</v>
      </c>
      <c r="AD6676">
        <v>3.2990000199999998</v>
      </c>
      <c r="AE6676">
        <v>5</v>
      </c>
      <c r="AF6676">
        <v>38</v>
      </c>
      <c r="AG6676">
        <v>3.2899999599999998</v>
      </c>
      <c r="AH6676">
        <v>4</v>
      </c>
      <c r="AI6676">
        <v>24</v>
      </c>
      <c r="AJ6676">
        <v>2</v>
      </c>
      <c r="AK6676">
        <v>41</v>
      </c>
      <c r="AL6676">
        <v>30</v>
      </c>
      <c r="AM6676" t="s">
        <v>43</v>
      </c>
      <c r="AN6676" t="str">
        <f>HYPERLINK("https://www.google.com/maps?q=10.78775692,79.58791351","Open Location")</f>
        <v>Open Location</v>
      </c>
    </row>
    <row r="6677" spans="1:40" x14ac:dyDescent="0.3">
      <c r="A6677" s="1">
        <v>46210.226504629631</v>
      </c>
      <c r="B6677" t="s">
        <v>40</v>
      </c>
      <c r="C6677" t="s">
        <v>41</v>
      </c>
      <c r="D6677" s="1">
        <v>46210.22928240741</v>
      </c>
      <c r="E6677" t="s">
        <v>42</v>
      </c>
      <c r="F6677" t="s">
        <v>83</v>
      </c>
      <c r="G6677">
        <v>51</v>
      </c>
      <c r="H6677">
        <v>33045</v>
      </c>
      <c r="I6677" t="s">
        <v>3886</v>
      </c>
      <c r="J6677">
        <v>75</v>
      </c>
      <c r="K6677">
        <v>77</v>
      </c>
      <c r="L6677">
        <v>98</v>
      </c>
      <c r="M6677">
        <v>632.59997558999999</v>
      </c>
      <c r="N6677" t="s">
        <v>87</v>
      </c>
      <c r="O6677" t="s">
        <v>86</v>
      </c>
      <c r="P6677">
        <v>131</v>
      </c>
      <c r="Q6677">
        <v>6</v>
      </c>
      <c r="R6677">
        <v>44</v>
      </c>
      <c r="S6677">
        <v>1427</v>
      </c>
      <c r="T6677">
        <v>-40</v>
      </c>
      <c r="U6677">
        <v>38</v>
      </c>
      <c r="V6677">
        <v>300</v>
      </c>
      <c r="W6677">
        <v>27</v>
      </c>
      <c r="X6677">
        <v>27</v>
      </c>
      <c r="Y6677">
        <v>1</v>
      </c>
      <c r="Z6677">
        <v>1</v>
      </c>
      <c r="AA6677">
        <v>25</v>
      </c>
      <c r="AB6677">
        <v>2</v>
      </c>
      <c r="AC6677">
        <v>2</v>
      </c>
      <c r="AD6677">
        <v>3.2999999500000001</v>
      </c>
      <c r="AE6677">
        <v>5</v>
      </c>
      <c r="AF6677">
        <v>38</v>
      </c>
      <c r="AG6677">
        <v>3.2909998900000001</v>
      </c>
      <c r="AH6677">
        <v>6</v>
      </c>
      <c r="AI6677">
        <v>24</v>
      </c>
      <c r="AJ6677">
        <v>2</v>
      </c>
      <c r="AK6677">
        <v>40</v>
      </c>
      <c r="AL6677">
        <v>30</v>
      </c>
      <c r="AM6677" t="s">
        <v>43</v>
      </c>
      <c r="AN6677" t="str">
        <f>HYPERLINK("https://www.google.com/maps?q=10.78785515,79.58634949","Open Location")</f>
        <v>Open Location</v>
      </c>
    </row>
    <row r="6678" spans="1:40" x14ac:dyDescent="0.3">
      <c r="A6678" s="1">
        <v>46210.226388888892</v>
      </c>
      <c r="B6678" t="s">
        <v>40</v>
      </c>
      <c r="C6678" t="s">
        <v>41</v>
      </c>
      <c r="D6678" s="1">
        <v>46210.229270833333</v>
      </c>
      <c r="E6678" t="s">
        <v>42</v>
      </c>
      <c r="F6678" t="s">
        <v>83</v>
      </c>
      <c r="G6678">
        <v>50</v>
      </c>
      <c r="H6678">
        <v>33045</v>
      </c>
      <c r="I6678" t="s">
        <v>43</v>
      </c>
      <c r="J6678">
        <v>75</v>
      </c>
      <c r="K6678">
        <v>75</v>
      </c>
      <c r="L6678">
        <v>98</v>
      </c>
      <c r="M6678">
        <v>631.90002441000001</v>
      </c>
      <c r="N6678" t="s">
        <v>87</v>
      </c>
      <c r="O6678" t="s">
        <v>86</v>
      </c>
      <c r="P6678">
        <v>131</v>
      </c>
      <c r="Q6678">
        <v>6</v>
      </c>
      <c r="R6678">
        <v>43</v>
      </c>
      <c r="S6678">
        <v>1377</v>
      </c>
      <c r="T6678">
        <v>-40</v>
      </c>
      <c r="U6678">
        <v>38</v>
      </c>
      <c r="V6678">
        <v>300</v>
      </c>
      <c r="W6678">
        <v>27</v>
      </c>
      <c r="X6678">
        <v>27</v>
      </c>
      <c r="Y6678">
        <v>1</v>
      </c>
      <c r="Z6678">
        <v>1</v>
      </c>
      <c r="AA6678">
        <v>25</v>
      </c>
      <c r="AB6678">
        <v>2</v>
      </c>
      <c r="AC6678">
        <v>2</v>
      </c>
      <c r="AD6678">
        <v>3.3010001199999999</v>
      </c>
      <c r="AE6678">
        <v>5</v>
      </c>
      <c r="AF6678">
        <v>38</v>
      </c>
      <c r="AG6678">
        <v>3.2929999799999998</v>
      </c>
      <c r="AH6678">
        <v>2</v>
      </c>
      <c r="AI6678">
        <v>46</v>
      </c>
      <c r="AJ6678">
        <v>2</v>
      </c>
      <c r="AK6678">
        <v>41</v>
      </c>
      <c r="AL6678">
        <v>30</v>
      </c>
      <c r="AM6678" t="s">
        <v>43</v>
      </c>
      <c r="AN6678" t="s">
        <v>43</v>
      </c>
    </row>
    <row r="6679" spans="1:40" x14ac:dyDescent="0.3">
      <c r="A6679" s="1">
        <v>46210.226273148146</v>
      </c>
      <c r="B6679" t="s">
        <v>40</v>
      </c>
      <c r="C6679" t="s">
        <v>41</v>
      </c>
      <c r="D6679" s="1">
        <v>46210.229085648149</v>
      </c>
      <c r="E6679" t="s">
        <v>42</v>
      </c>
      <c r="F6679" t="s">
        <v>83</v>
      </c>
      <c r="G6679">
        <v>49</v>
      </c>
      <c r="H6679">
        <v>33045</v>
      </c>
      <c r="I6679" t="s">
        <v>3887</v>
      </c>
      <c r="J6679">
        <v>75</v>
      </c>
      <c r="K6679">
        <v>105</v>
      </c>
      <c r="L6679">
        <v>98</v>
      </c>
      <c r="M6679">
        <v>632.29998779000005</v>
      </c>
      <c r="N6679" t="s">
        <v>87</v>
      </c>
      <c r="O6679" t="s">
        <v>86</v>
      </c>
      <c r="P6679">
        <v>131</v>
      </c>
      <c r="Q6679">
        <v>6</v>
      </c>
      <c r="R6679">
        <v>39</v>
      </c>
      <c r="S6679">
        <v>1365</v>
      </c>
      <c r="T6679">
        <v>-40</v>
      </c>
      <c r="U6679">
        <v>39</v>
      </c>
      <c r="V6679">
        <v>430</v>
      </c>
      <c r="W6679">
        <v>27</v>
      </c>
      <c r="X6679">
        <v>27</v>
      </c>
      <c r="Y6679">
        <v>1</v>
      </c>
      <c r="Z6679">
        <v>1</v>
      </c>
      <c r="AA6679">
        <v>25</v>
      </c>
      <c r="AB6679">
        <v>2</v>
      </c>
      <c r="AC6679">
        <v>2</v>
      </c>
      <c r="AD6679">
        <v>3.3020000500000002</v>
      </c>
      <c r="AE6679">
        <v>5</v>
      </c>
      <c r="AF6679">
        <v>19</v>
      </c>
      <c r="AG6679">
        <v>3.2939999100000001</v>
      </c>
      <c r="AH6679">
        <v>4</v>
      </c>
      <c r="AI6679">
        <v>24</v>
      </c>
      <c r="AJ6679">
        <v>2</v>
      </c>
      <c r="AK6679">
        <v>41</v>
      </c>
      <c r="AL6679">
        <v>30</v>
      </c>
      <c r="AM6679" t="s">
        <v>43</v>
      </c>
      <c r="AN6679" t="str">
        <f>HYPERLINK("https://www.google.com/maps?q=10.78772354,79.58322144","Open Location")</f>
        <v>Open Location</v>
      </c>
    </row>
    <row r="6680" spans="1:40" x14ac:dyDescent="0.3">
      <c r="A6680" s="1">
        <v>46210.226157407407</v>
      </c>
      <c r="B6680" t="s">
        <v>40</v>
      </c>
      <c r="C6680" t="s">
        <v>41</v>
      </c>
      <c r="D6680" s="1">
        <v>46210.229039351849</v>
      </c>
      <c r="E6680" t="s">
        <v>42</v>
      </c>
      <c r="F6680" t="s">
        <v>83</v>
      </c>
      <c r="G6680">
        <v>45</v>
      </c>
      <c r="H6680">
        <v>33044</v>
      </c>
      <c r="I6680" t="s">
        <v>3888</v>
      </c>
      <c r="J6680">
        <v>75</v>
      </c>
      <c r="K6680">
        <v>51</v>
      </c>
      <c r="L6680">
        <v>98</v>
      </c>
      <c r="M6680">
        <v>634.59997558999999</v>
      </c>
      <c r="N6680" t="s">
        <v>87</v>
      </c>
      <c r="O6680" t="s">
        <v>86</v>
      </c>
      <c r="P6680">
        <v>131</v>
      </c>
      <c r="Q6680">
        <v>6</v>
      </c>
      <c r="R6680">
        <v>29</v>
      </c>
      <c r="S6680">
        <v>1272</v>
      </c>
      <c r="T6680">
        <v>-40</v>
      </c>
      <c r="U6680">
        <v>37</v>
      </c>
      <c r="V6680">
        <v>220</v>
      </c>
      <c r="W6680">
        <v>27</v>
      </c>
      <c r="X6680">
        <v>27</v>
      </c>
      <c r="Y6680">
        <v>1</v>
      </c>
      <c r="Z6680">
        <v>1</v>
      </c>
      <c r="AA6680">
        <v>25</v>
      </c>
      <c r="AB6680">
        <v>2</v>
      </c>
      <c r="AC6680">
        <v>2</v>
      </c>
      <c r="AD6680">
        <v>3.3080000900000002</v>
      </c>
      <c r="AE6680">
        <v>1</v>
      </c>
      <c r="AF6680">
        <v>1</v>
      </c>
      <c r="AG6680">
        <v>3.3029999700000001</v>
      </c>
      <c r="AH6680">
        <v>2</v>
      </c>
      <c r="AI6680">
        <v>46</v>
      </c>
      <c r="AJ6680">
        <v>2</v>
      </c>
      <c r="AK6680">
        <v>41</v>
      </c>
      <c r="AL6680">
        <v>30</v>
      </c>
      <c r="AM6680" t="s">
        <v>43</v>
      </c>
      <c r="AN6680" t="str">
        <f>HYPERLINK("https://www.google.com/maps?q=10.78821278,79.58190155","Open Location")</f>
        <v>Open Location</v>
      </c>
    </row>
    <row r="6681" spans="1:40" x14ac:dyDescent="0.3">
      <c r="A6681" s="1">
        <v>46210.226041666669</v>
      </c>
      <c r="B6681" t="s">
        <v>40</v>
      </c>
      <c r="C6681" t="s">
        <v>41</v>
      </c>
      <c r="D6681" s="1">
        <v>46210.228912037041</v>
      </c>
      <c r="E6681" t="s">
        <v>42</v>
      </c>
      <c r="F6681" t="s">
        <v>83</v>
      </c>
      <c r="G6681">
        <v>46</v>
      </c>
      <c r="H6681">
        <v>33044</v>
      </c>
      <c r="I6681" t="s">
        <v>43</v>
      </c>
      <c r="J6681">
        <v>75</v>
      </c>
      <c r="K6681">
        <v>39</v>
      </c>
      <c r="L6681">
        <v>98</v>
      </c>
      <c r="M6681">
        <v>634</v>
      </c>
      <c r="N6681" t="s">
        <v>87</v>
      </c>
      <c r="O6681" t="s">
        <v>86</v>
      </c>
      <c r="P6681">
        <v>131</v>
      </c>
      <c r="Q6681">
        <v>6</v>
      </c>
      <c r="R6681">
        <v>21</v>
      </c>
      <c r="S6681">
        <v>1289</v>
      </c>
      <c r="T6681">
        <v>-40</v>
      </c>
      <c r="U6681">
        <v>38</v>
      </c>
      <c r="V6681">
        <v>160</v>
      </c>
      <c r="W6681">
        <v>27</v>
      </c>
      <c r="X6681">
        <v>27</v>
      </c>
      <c r="Y6681">
        <v>1</v>
      </c>
      <c r="Z6681">
        <v>1</v>
      </c>
      <c r="AA6681">
        <v>25</v>
      </c>
      <c r="AB6681">
        <v>2</v>
      </c>
      <c r="AC6681">
        <v>2</v>
      </c>
      <c r="AD6681">
        <v>3.2990000199999998</v>
      </c>
      <c r="AE6681">
        <v>5</v>
      </c>
      <c r="AF6681">
        <v>38</v>
      </c>
      <c r="AG6681">
        <v>3.2899999599999998</v>
      </c>
      <c r="AH6681">
        <v>2</v>
      </c>
      <c r="AI6681">
        <v>46</v>
      </c>
      <c r="AJ6681">
        <v>2</v>
      </c>
      <c r="AK6681">
        <v>41</v>
      </c>
      <c r="AL6681">
        <v>30</v>
      </c>
      <c r="AM6681" t="s">
        <v>43</v>
      </c>
      <c r="AN6681" t="s">
        <v>43</v>
      </c>
    </row>
    <row r="6682" spans="1:40" x14ac:dyDescent="0.3">
      <c r="A6682" s="1">
        <v>46210.225925925923</v>
      </c>
      <c r="B6682" t="s">
        <v>40</v>
      </c>
      <c r="C6682" t="s">
        <v>41</v>
      </c>
      <c r="D6682" s="1">
        <v>46210.228912037041</v>
      </c>
      <c r="E6682" t="s">
        <v>42</v>
      </c>
      <c r="F6682" t="s">
        <v>83</v>
      </c>
      <c r="G6682">
        <v>44</v>
      </c>
      <c r="H6682">
        <v>33044</v>
      </c>
      <c r="I6682" t="s">
        <v>3889</v>
      </c>
      <c r="J6682">
        <v>75</v>
      </c>
      <c r="K6682">
        <v>115</v>
      </c>
      <c r="L6682">
        <v>98</v>
      </c>
      <c r="M6682">
        <v>631.5</v>
      </c>
      <c r="N6682" t="s">
        <v>87</v>
      </c>
      <c r="O6682" t="s">
        <v>86</v>
      </c>
      <c r="P6682">
        <v>131</v>
      </c>
      <c r="Q6682">
        <v>6</v>
      </c>
      <c r="R6682">
        <v>64</v>
      </c>
      <c r="S6682">
        <v>1233</v>
      </c>
      <c r="T6682">
        <v>-40</v>
      </c>
      <c r="U6682">
        <v>39</v>
      </c>
      <c r="V6682">
        <v>500</v>
      </c>
      <c r="W6682">
        <v>27</v>
      </c>
      <c r="X6682">
        <v>27</v>
      </c>
      <c r="Y6682">
        <v>1</v>
      </c>
      <c r="Z6682">
        <v>1</v>
      </c>
      <c r="AA6682">
        <v>25</v>
      </c>
      <c r="AB6682">
        <v>2</v>
      </c>
      <c r="AC6682">
        <v>2</v>
      </c>
      <c r="AD6682">
        <v>3.31200004</v>
      </c>
      <c r="AE6682">
        <v>1</v>
      </c>
      <c r="AF6682">
        <v>28</v>
      </c>
      <c r="AG6682">
        <v>3.30699992</v>
      </c>
      <c r="AH6682">
        <v>2</v>
      </c>
      <c r="AI6682">
        <v>46</v>
      </c>
      <c r="AJ6682">
        <v>2</v>
      </c>
      <c r="AK6682">
        <v>41</v>
      </c>
      <c r="AL6682">
        <v>29</v>
      </c>
      <c r="AM6682" t="s">
        <v>43</v>
      </c>
      <c r="AN6682" t="str">
        <f>HYPERLINK("https://www.google.com/maps?q=10.78893661,79.58071136","Open Location")</f>
        <v>Open Location</v>
      </c>
    </row>
    <row r="6683" spans="1:40" x14ac:dyDescent="0.3">
      <c r="A6683" s="1">
        <v>46210.225810185184</v>
      </c>
      <c r="B6683" t="s">
        <v>40</v>
      </c>
      <c r="C6683" t="s">
        <v>41</v>
      </c>
      <c r="D6683" s="1">
        <v>46210.22892361111</v>
      </c>
      <c r="E6683" t="s">
        <v>42</v>
      </c>
      <c r="F6683" t="s">
        <v>83</v>
      </c>
      <c r="G6683">
        <v>39</v>
      </c>
      <c r="H6683">
        <v>33044</v>
      </c>
      <c r="I6683" t="s">
        <v>3890</v>
      </c>
      <c r="J6683">
        <v>75</v>
      </c>
      <c r="K6683">
        <v>169</v>
      </c>
      <c r="L6683">
        <v>98</v>
      </c>
      <c r="M6683">
        <v>629.59997558999999</v>
      </c>
      <c r="N6683" t="s">
        <v>87</v>
      </c>
      <c r="O6683" t="s">
        <v>86</v>
      </c>
      <c r="P6683">
        <v>130</v>
      </c>
      <c r="Q6683">
        <v>5</v>
      </c>
      <c r="R6683">
        <v>99</v>
      </c>
      <c r="S6683">
        <v>1720</v>
      </c>
      <c r="T6683">
        <v>-40</v>
      </c>
      <c r="U6683">
        <v>39</v>
      </c>
      <c r="V6683">
        <v>560</v>
      </c>
      <c r="W6683">
        <v>27</v>
      </c>
      <c r="X6683">
        <v>27</v>
      </c>
      <c r="Y6683">
        <v>1</v>
      </c>
      <c r="Z6683">
        <v>1</v>
      </c>
      <c r="AA6683">
        <v>25</v>
      </c>
      <c r="AB6683">
        <v>2</v>
      </c>
      <c r="AC6683">
        <v>2</v>
      </c>
      <c r="AD6683">
        <v>3.31299996</v>
      </c>
      <c r="AE6683">
        <v>5</v>
      </c>
      <c r="AF6683">
        <v>3</v>
      </c>
      <c r="AG6683">
        <v>3.3039999</v>
      </c>
      <c r="AH6683">
        <v>4</v>
      </c>
      <c r="AI6683">
        <v>17</v>
      </c>
      <c r="AJ6683">
        <v>2</v>
      </c>
      <c r="AK6683">
        <v>41</v>
      </c>
      <c r="AL6683">
        <v>29</v>
      </c>
      <c r="AM6683" t="s">
        <v>43</v>
      </c>
      <c r="AN6683" t="str">
        <f>HYPERLINK("https://www.google.com/maps?q=10.78937626,79.57959747","Open Location")</f>
        <v>Open Location</v>
      </c>
    </row>
    <row r="6684" spans="1:40" x14ac:dyDescent="0.3">
      <c r="A6684" s="1">
        <v>46210.225694444445</v>
      </c>
      <c r="B6684" t="s">
        <v>40</v>
      </c>
      <c r="C6684" t="s">
        <v>41</v>
      </c>
      <c r="D6684" s="1">
        <v>46210.228935185187</v>
      </c>
      <c r="E6684" t="s">
        <v>42</v>
      </c>
      <c r="F6684" t="s">
        <v>83</v>
      </c>
      <c r="G6684">
        <v>25</v>
      </c>
      <c r="H6684" t="s">
        <v>43</v>
      </c>
      <c r="I6684" t="s">
        <v>43</v>
      </c>
      <c r="J6684">
        <v>75</v>
      </c>
      <c r="K6684">
        <v>288</v>
      </c>
      <c r="L6684">
        <v>98</v>
      </c>
      <c r="M6684">
        <v>627.90002441000001</v>
      </c>
      <c r="N6684" t="s">
        <v>87</v>
      </c>
      <c r="O6684" t="s">
        <v>86</v>
      </c>
      <c r="P6684">
        <v>129</v>
      </c>
      <c r="Q6684">
        <v>4</v>
      </c>
      <c r="R6684">
        <v>128</v>
      </c>
      <c r="S6684">
        <v>1670</v>
      </c>
      <c r="T6684">
        <v>-40</v>
      </c>
      <c r="U6684">
        <v>36</v>
      </c>
      <c r="V6684">
        <v>940</v>
      </c>
      <c r="W6684">
        <v>27</v>
      </c>
      <c r="X6684">
        <v>27</v>
      </c>
      <c r="Y6684">
        <v>1</v>
      </c>
      <c r="Z6684">
        <v>1</v>
      </c>
      <c r="AA6684">
        <v>25</v>
      </c>
      <c r="AB6684">
        <v>2</v>
      </c>
      <c r="AC6684">
        <v>2</v>
      </c>
      <c r="AD6684">
        <v>3.3190000099999999</v>
      </c>
      <c r="AE6684">
        <v>1</v>
      </c>
      <c r="AF6684">
        <v>1</v>
      </c>
      <c r="AG6684">
        <v>3.3139998899999998</v>
      </c>
      <c r="AH6684">
        <v>4</v>
      </c>
      <c r="AI6684">
        <v>17</v>
      </c>
      <c r="AJ6684">
        <v>2</v>
      </c>
      <c r="AK6684">
        <v>41</v>
      </c>
      <c r="AL6684">
        <v>29</v>
      </c>
      <c r="AM6684" t="s">
        <v>43</v>
      </c>
      <c r="AN6684" t="s">
        <v>43</v>
      </c>
    </row>
    <row r="6685" spans="1:40" x14ac:dyDescent="0.3">
      <c r="A6685" s="1">
        <v>46210.225578703707</v>
      </c>
      <c r="B6685" t="s">
        <v>40</v>
      </c>
      <c r="C6685" t="s">
        <v>41</v>
      </c>
      <c r="D6685" s="1">
        <v>46210.228541666664</v>
      </c>
      <c r="E6685" t="s">
        <v>42</v>
      </c>
      <c r="F6685" t="s">
        <v>83</v>
      </c>
      <c r="G6685">
        <v>2</v>
      </c>
      <c r="H6685">
        <v>33044</v>
      </c>
      <c r="I6685" t="s">
        <v>3891</v>
      </c>
      <c r="J6685">
        <v>75</v>
      </c>
      <c r="K6685">
        <v>11</v>
      </c>
      <c r="L6685">
        <v>98</v>
      </c>
      <c r="M6685">
        <v>638.09997558999999</v>
      </c>
      <c r="N6685" t="s">
        <v>87</v>
      </c>
      <c r="O6685" t="s">
        <v>86</v>
      </c>
      <c r="P6685">
        <v>127</v>
      </c>
      <c r="Q6685">
        <v>2</v>
      </c>
      <c r="R6685">
        <v>1</v>
      </c>
      <c r="S6685">
        <v>486</v>
      </c>
      <c r="T6685">
        <v>-40</v>
      </c>
      <c r="U6685">
        <v>33</v>
      </c>
      <c r="V6685">
        <v>5</v>
      </c>
      <c r="W6685">
        <v>27</v>
      </c>
      <c r="X6685">
        <v>27</v>
      </c>
      <c r="Y6685">
        <v>1</v>
      </c>
      <c r="Z6685">
        <v>1</v>
      </c>
      <c r="AA6685">
        <v>25</v>
      </c>
      <c r="AB6685">
        <v>2</v>
      </c>
      <c r="AC6685">
        <v>2</v>
      </c>
      <c r="AD6685">
        <v>3.3269999000000001</v>
      </c>
      <c r="AE6685">
        <v>1</v>
      </c>
      <c r="AF6685">
        <v>1</v>
      </c>
      <c r="AG6685">
        <v>3.3250000499999999</v>
      </c>
      <c r="AH6685">
        <v>4</v>
      </c>
      <c r="AI6685">
        <v>17</v>
      </c>
      <c r="AJ6685">
        <v>2</v>
      </c>
      <c r="AK6685">
        <v>41</v>
      </c>
      <c r="AL6685">
        <v>29</v>
      </c>
      <c r="AM6685" t="s">
        <v>43</v>
      </c>
      <c r="AN6685" t="str">
        <f>HYPERLINK("https://www.google.com/maps?q=10.78962517,79.57884979","Open Location")</f>
        <v>Open Location</v>
      </c>
    </row>
    <row r="6686" spans="1:40" x14ac:dyDescent="0.3">
      <c r="A6686" s="1">
        <v>46210.225462962961</v>
      </c>
      <c r="B6686" t="s">
        <v>40</v>
      </c>
      <c r="C6686" t="s">
        <v>41</v>
      </c>
      <c r="D6686" s="1">
        <v>46210.22855324074</v>
      </c>
      <c r="E6686" t="s">
        <v>42</v>
      </c>
      <c r="F6686" t="s">
        <v>83</v>
      </c>
      <c r="G6686">
        <v>0</v>
      </c>
      <c r="H6686">
        <v>33044</v>
      </c>
      <c r="I6686" t="s">
        <v>3892</v>
      </c>
      <c r="J6686">
        <v>75</v>
      </c>
      <c r="K6686">
        <v>11</v>
      </c>
      <c r="L6686">
        <v>98</v>
      </c>
      <c r="M6686">
        <v>638.5</v>
      </c>
      <c r="N6686" t="s">
        <v>85</v>
      </c>
      <c r="O6686" t="s">
        <v>86</v>
      </c>
      <c r="P6686">
        <v>127</v>
      </c>
      <c r="Q6686">
        <v>2</v>
      </c>
      <c r="R6686">
        <v>0</v>
      </c>
      <c r="S6686">
        <v>482</v>
      </c>
      <c r="T6686">
        <v>-40</v>
      </c>
      <c r="U6686">
        <v>33</v>
      </c>
      <c r="V6686">
        <v>5</v>
      </c>
      <c r="W6686">
        <v>27</v>
      </c>
      <c r="X6686">
        <v>27</v>
      </c>
      <c r="Y6686">
        <v>1</v>
      </c>
      <c r="Z6686">
        <v>1</v>
      </c>
      <c r="AA6686">
        <v>25</v>
      </c>
      <c r="AB6686">
        <v>2</v>
      </c>
      <c r="AC6686">
        <v>2</v>
      </c>
      <c r="AD6686">
        <v>3.3280000699999999</v>
      </c>
      <c r="AE6686">
        <v>1</v>
      </c>
      <c r="AF6686">
        <v>1</v>
      </c>
      <c r="AG6686">
        <v>3.3250000499999999</v>
      </c>
      <c r="AH6686">
        <v>5</v>
      </c>
      <c r="AI6686">
        <v>10</v>
      </c>
      <c r="AJ6686">
        <v>2</v>
      </c>
      <c r="AK6686">
        <v>33</v>
      </c>
      <c r="AL6686">
        <v>29</v>
      </c>
      <c r="AM6686" t="s">
        <v>43</v>
      </c>
      <c r="AN6686" t="str">
        <f>HYPERLINK("https://www.google.com/maps?q=10.78963566,79.5788269","Open Location")</f>
        <v>Open Location</v>
      </c>
    </row>
    <row r="6687" spans="1:40" x14ac:dyDescent="0.3">
      <c r="A6687" s="1">
        <v>46210.225347222222</v>
      </c>
      <c r="B6687" t="s">
        <v>40</v>
      </c>
      <c r="C6687" t="s">
        <v>41</v>
      </c>
      <c r="D6687" s="1">
        <v>46210.228159722225</v>
      </c>
      <c r="E6687" t="s">
        <v>42</v>
      </c>
      <c r="F6687" t="s">
        <v>83</v>
      </c>
      <c r="G6687">
        <v>0</v>
      </c>
      <c r="H6687">
        <v>33044</v>
      </c>
      <c r="I6687" t="s">
        <v>43</v>
      </c>
      <c r="J6687">
        <v>75</v>
      </c>
      <c r="K6687">
        <v>9</v>
      </c>
      <c r="L6687">
        <v>98</v>
      </c>
      <c r="M6687">
        <v>638.5</v>
      </c>
      <c r="N6687" t="s">
        <v>81</v>
      </c>
      <c r="O6687" t="s">
        <v>82</v>
      </c>
      <c r="P6687">
        <v>125</v>
      </c>
      <c r="Q6687" t="s">
        <v>82</v>
      </c>
      <c r="R6687">
        <v>0</v>
      </c>
      <c r="S6687">
        <v>0</v>
      </c>
      <c r="T6687">
        <v>-40</v>
      </c>
      <c r="U6687">
        <v>32</v>
      </c>
      <c r="V6687">
        <v>0</v>
      </c>
      <c r="W6687">
        <v>27</v>
      </c>
      <c r="X6687">
        <v>27</v>
      </c>
      <c r="Y6687">
        <v>1</v>
      </c>
      <c r="Z6687">
        <v>1</v>
      </c>
      <c r="AA6687">
        <v>25</v>
      </c>
      <c r="AB6687">
        <v>2</v>
      </c>
      <c r="AC6687">
        <v>2</v>
      </c>
      <c r="AD6687">
        <v>3.3299999200000001</v>
      </c>
      <c r="AE6687">
        <v>1</v>
      </c>
      <c r="AF6687">
        <v>1</v>
      </c>
      <c r="AG6687">
        <v>3.3259999800000002</v>
      </c>
      <c r="AH6687">
        <v>5</v>
      </c>
      <c r="AI6687">
        <v>17</v>
      </c>
      <c r="AJ6687">
        <v>1</v>
      </c>
      <c r="AK6687">
        <v>22</v>
      </c>
      <c r="AL6687">
        <v>29</v>
      </c>
      <c r="AM6687" t="s">
        <v>43</v>
      </c>
      <c r="AN6687" t="s">
        <v>43</v>
      </c>
    </row>
    <row r="6688" spans="1:40" x14ac:dyDescent="0.3">
      <c r="A6688" s="1">
        <v>46210.225231481483</v>
      </c>
      <c r="B6688" t="s">
        <v>40</v>
      </c>
      <c r="C6688" t="s">
        <v>41</v>
      </c>
      <c r="D6688" s="1">
        <v>46210.228194444448</v>
      </c>
      <c r="E6688" t="s">
        <v>42</v>
      </c>
      <c r="F6688" t="s">
        <v>83</v>
      </c>
      <c r="G6688">
        <v>0</v>
      </c>
      <c r="H6688" t="s">
        <v>43</v>
      </c>
      <c r="I6688" t="s">
        <v>3893</v>
      </c>
      <c r="J6688">
        <v>75</v>
      </c>
      <c r="K6688">
        <v>2</v>
      </c>
      <c r="L6688">
        <v>98</v>
      </c>
      <c r="M6688">
        <v>638.90002441000001</v>
      </c>
      <c r="N6688" t="s">
        <v>81</v>
      </c>
      <c r="O6688" t="s">
        <v>86</v>
      </c>
      <c r="P6688">
        <v>125</v>
      </c>
      <c r="Q6688">
        <v>2</v>
      </c>
      <c r="R6688">
        <v>0</v>
      </c>
      <c r="S6688">
        <v>0</v>
      </c>
      <c r="T6688">
        <v>-40</v>
      </c>
      <c r="U6688">
        <v>32</v>
      </c>
      <c r="V6688">
        <v>0</v>
      </c>
      <c r="W6688">
        <v>27</v>
      </c>
      <c r="X6688">
        <v>27</v>
      </c>
      <c r="Y6688">
        <v>1</v>
      </c>
      <c r="Z6688">
        <v>1</v>
      </c>
      <c r="AA6688">
        <v>25</v>
      </c>
      <c r="AB6688">
        <v>2</v>
      </c>
      <c r="AC6688">
        <v>2</v>
      </c>
      <c r="AD6688">
        <v>3.3299999200000001</v>
      </c>
      <c r="AE6688">
        <v>1</v>
      </c>
      <c r="AF6688">
        <v>1</v>
      </c>
      <c r="AG6688">
        <v>3.3290000000000002</v>
      </c>
      <c r="AH6688">
        <v>1</v>
      </c>
      <c r="AI6688">
        <v>2</v>
      </c>
      <c r="AJ6688">
        <v>1</v>
      </c>
      <c r="AK6688">
        <v>20</v>
      </c>
      <c r="AL6688">
        <v>29</v>
      </c>
      <c r="AM6688" t="s">
        <v>43</v>
      </c>
      <c r="AN6688" t="str">
        <f>HYPERLINK("https://www.google.com/maps?q=10.78964138,79.57881927","Open Location")</f>
        <v>Open Location</v>
      </c>
    </row>
    <row r="6689" spans="1:40" x14ac:dyDescent="0.3">
      <c r="A6689" s="1">
        <v>46210.225115740737</v>
      </c>
      <c r="B6689" t="s">
        <v>40</v>
      </c>
      <c r="C6689" t="s">
        <v>41</v>
      </c>
      <c r="D6689" s="1">
        <v>46210.228159722225</v>
      </c>
      <c r="E6689" t="s">
        <v>42</v>
      </c>
      <c r="F6689" t="s">
        <v>83</v>
      </c>
      <c r="G6689">
        <v>0</v>
      </c>
      <c r="H6689">
        <v>33044</v>
      </c>
      <c r="I6689" t="s">
        <v>3894</v>
      </c>
      <c r="J6689">
        <v>75</v>
      </c>
      <c r="K6689">
        <v>2</v>
      </c>
      <c r="L6689">
        <v>98</v>
      </c>
      <c r="M6689">
        <v>638.79998779000005</v>
      </c>
      <c r="N6689" t="s">
        <v>81</v>
      </c>
      <c r="O6689" t="s">
        <v>86</v>
      </c>
      <c r="P6689">
        <v>125</v>
      </c>
      <c r="Q6689">
        <v>2</v>
      </c>
      <c r="R6689">
        <v>0</v>
      </c>
      <c r="S6689">
        <v>0</v>
      </c>
      <c r="T6689">
        <v>-40</v>
      </c>
      <c r="U6689">
        <v>32</v>
      </c>
      <c r="V6689">
        <v>0</v>
      </c>
      <c r="W6689">
        <v>27</v>
      </c>
      <c r="X6689">
        <v>27</v>
      </c>
      <c r="Y6689">
        <v>1</v>
      </c>
      <c r="Z6689">
        <v>1</v>
      </c>
      <c r="AA6689">
        <v>25</v>
      </c>
      <c r="AB6689">
        <v>2</v>
      </c>
      <c r="AC6689">
        <v>2</v>
      </c>
      <c r="AD6689">
        <v>3.3299999200000001</v>
      </c>
      <c r="AE6689">
        <v>1</v>
      </c>
      <c r="AF6689">
        <v>1</v>
      </c>
      <c r="AG6689">
        <v>3.3290000000000002</v>
      </c>
      <c r="AH6689">
        <v>1</v>
      </c>
      <c r="AI6689">
        <v>2</v>
      </c>
      <c r="AJ6689">
        <v>1</v>
      </c>
      <c r="AK6689">
        <v>20</v>
      </c>
      <c r="AL6689">
        <v>29</v>
      </c>
      <c r="AM6689" t="s">
        <v>43</v>
      </c>
      <c r="AN6689" t="str">
        <f>HYPERLINK("https://www.google.com/maps?q=10.78964615,79.57881927","Open Location")</f>
        <v>Open Location</v>
      </c>
    </row>
    <row r="6690" spans="1:40" x14ac:dyDescent="0.3">
      <c r="A6690" s="1">
        <v>46210.224999999999</v>
      </c>
      <c r="B6690" t="s">
        <v>40</v>
      </c>
      <c r="C6690" t="s">
        <v>41</v>
      </c>
      <c r="D6690" s="1">
        <v>46210.228159722225</v>
      </c>
      <c r="E6690" t="s">
        <v>42</v>
      </c>
      <c r="F6690" t="s">
        <v>83</v>
      </c>
      <c r="G6690">
        <v>0</v>
      </c>
      <c r="H6690" t="s">
        <v>43</v>
      </c>
      <c r="I6690" t="s">
        <v>43</v>
      </c>
      <c r="J6690">
        <v>75</v>
      </c>
      <c r="K6690">
        <v>2</v>
      </c>
      <c r="L6690">
        <v>98</v>
      </c>
      <c r="M6690">
        <v>638.70001220999995</v>
      </c>
      <c r="N6690" t="s">
        <v>81</v>
      </c>
      <c r="O6690" t="s">
        <v>86</v>
      </c>
      <c r="P6690">
        <v>125</v>
      </c>
      <c r="Q6690">
        <v>2</v>
      </c>
      <c r="R6690">
        <v>0</v>
      </c>
      <c r="S6690">
        <v>0</v>
      </c>
      <c r="T6690">
        <v>-40</v>
      </c>
      <c r="U6690">
        <v>32</v>
      </c>
      <c r="V6690">
        <v>0</v>
      </c>
      <c r="W6690">
        <v>27</v>
      </c>
      <c r="X6690">
        <v>27</v>
      </c>
      <c r="Y6690">
        <v>1</v>
      </c>
      <c r="Z6690">
        <v>1</v>
      </c>
      <c r="AA6690">
        <v>25</v>
      </c>
      <c r="AB6690">
        <v>2</v>
      </c>
      <c r="AC6690">
        <v>2</v>
      </c>
      <c r="AD6690">
        <v>3.3299999200000001</v>
      </c>
      <c r="AE6690">
        <v>1</v>
      </c>
      <c r="AF6690">
        <v>1</v>
      </c>
      <c r="AG6690">
        <v>3.3290000000000002</v>
      </c>
      <c r="AH6690">
        <v>1</v>
      </c>
      <c r="AI6690">
        <v>2</v>
      </c>
      <c r="AJ6690">
        <v>1</v>
      </c>
      <c r="AK6690">
        <v>20</v>
      </c>
      <c r="AL6690">
        <v>29</v>
      </c>
      <c r="AM6690" t="s">
        <v>43</v>
      </c>
      <c r="AN6690" t="s">
        <v>43</v>
      </c>
    </row>
    <row r="6691" spans="1:40" x14ac:dyDescent="0.3">
      <c r="A6691" s="1">
        <v>46210.22488425926</v>
      </c>
      <c r="B6691" t="s">
        <v>40</v>
      </c>
      <c r="C6691" t="s">
        <v>41</v>
      </c>
      <c r="D6691" s="1">
        <v>46210.227789351855</v>
      </c>
      <c r="E6691" t="s">
        <v>42</v>
      </c>
      <c r="F6691" t="s">
        <v>83</v>
      </c>
      <c r="G6691">
        <v>0</v>
      </c>
      <c r="H6691" t="s">
        <v>43</v>
      </c>
      <c r="I6691" t="s">
        <v>3895</v>
      </c>
      <c r="J6691">
        <v>75</v>
      </c>
      <c r="K6691">
        <v>2</v>
      </c>
      <c r="L6691">
        <v>98</v>
      </c>
      <c r="M6691">
        <v>638.5</v>
      </c>
      <c r="N6691" t="s">
        <v>81</v>
      </c>
      <c r="O6691" t="s">
        <v>86</v>
      </c>
      <c r="P6691">
        <v>125</v>
      </c>
      <c r="Q6691">
        <v>2</v>
      </c>
      <c r="R6691">
        <v>0</v>
      </c>
      <c r="S6691">
        <v>0</v>
      </c>
      <c r="T6691">
        <v>-40</v>
      </c>
      <c r="U6691">
        <v>32</v>
      </c>
      <c r="V6691">
        <v>0</v>
      </c>
      <c r="W6691">
        <v>27</v>
      </c>
      <c r="X6691">
        <v>27</v>
      </c>
      <c r="Y6691">
        <v>1</v>
      </c>
      <c r="Z6691">
        <v>1</v>
      </c>
      <c r="AA6691">
        <v>25</v>
      </c>
      <c r="AB6691">
        <v>2</v>
      </c>
      <c r="AC6691">
        <v>2</v>
      </c>
      <c r="AD6691">
        <v>3.3290000000000002</v>
      </c>
      <c r="AE6691">
        <v>1</v>
      </c>
      <c r="AF6691">
        <v>1</v>
      </c>
      <c r="AG6691">
        <v>3.3280000699999999</v>
      </c>
      <c r="AH6691">
        <v>1</v>
      </c>
      <c r="AI6691">
        <v>48</v>
      </c>
      <c r="AJ6691">
        <v>1</v>
      </c>
      <c r="AK6691">
        <v>20</v>
      </c>
      <c r="AL6691">
        <v>29</v>
      </c>
      <c r="AM6691" t="s">
        <v>43</v>
      </c>
      <c r="AN6691" t="str">
        <f>HYPERLINK("https://www.google.com/maps?q=10.78965187,79.57878876","Open Location")</f>
        <v>Open Location</v>
      </c>
    </row>
    <row r="6692" spans="1:40" x14ac:dyDescent="0.3">
      <c r="A6692" s="1">
        <v>46210.224768518521</v>
      </c>
      <c r="B6692" t="s">
        <v>40</v>
      </c>
      <c r="C6692" t="s">
        <v>41</v>
      </c>
      <c r="D6692" s="1">
        <v>46210.227777777778</v>
      </c>
      <c r="E6692" t="s">
        <v>42</v>
      </c>
      <c r="F6692" t="s">
        <v>83</v>
      </c>
      <c r="G6692">
        <v>0</v>
      </c>
      <c r="H6692">
        <v>33044</v>
      </c>
      <c r="I6692" t="s">
        <v>43</v>
      </c>
      <c r="J6692">
        <v>75</v>
      </c>
      <c r="K6692">
        <v>4</v>
      </c>
      <c r="L6692">
        <v>98</v>
      </c>
      <c r="M6692">
        <v>638.59997558999999</v>
      </c>
      <c r="N6692" t="s">
        <v>81</v>
      </c>
      <c r="O6692" t="s">
        <v>86</v>
      </c>
      <c r="P6692">
        <v>125</v>
      </c>
      <c r="Q6692">
        <v>2</v>
      </c>
      <c r="R6692">
        <v>0</v>
      </c>
      <c r="S6692">
        <v>0</v>
      </c>
      <c r="T6692">
        <v>-40</v>
      </c>
      <c r="U6692">
        <v>32</v>
      </c>
      <c r="V6692">
        <v>0</v>
      </c>
      <c r="W6692">
        <v>27</v>
      </c>
      <c r="X6692">
        <v>27</v>
      </c>
      <c r="Y6692">
        <v>1</v>
      </c>
      <c r="Z6692">
        <v>1</v>
      </c>
      <c r="AA6692">
        <v>25</v>
      </c>
      <c r="AB6692">
        <v>2</v>
      </c>
      <c r="AC6692">
        <v>2</v>
      </c>
      <c r="AD6692">
        <v>3.3280000699999999</v>
      </c>
      <c r="AE6692">
        <v>1</v>
      </c>
      <c r="AF6692">
        <v>1</v>
      </c>
      <c r="AG6692">
        <v>3.3250000499999999</v>
      </c>
      <c r="AH6692">
        <v>5</v>
      </c>
      <c r="AI6692">
        <v>10</v>
      </c>
      <c r="AJ6692">
        <v>1</v>
      </c>
      <c r="AK6692">
        <v>21</v>
      </c>
      <c r="AL6692">
        <v>29</v>
      </c>
      <c r="AM6692" t="s">
        <v>43</v>
      </c>
      <c r="AN6692" t="s">
        <v>43</v>
      </c>
    </row>
    <row r="6693" spans="1:40" x14ac:dyDescent="0.3">
      <c r="A6693" s="1">
        <v>46210.224652777775</v>
      </c>
      <c r="B6693" t="s">
        <v>40</v>
      </c>
      <c r="C6693" t="s">
        <v>41</v>
      </c>
      <c r="D6693" s="1">
        <v>46210.227789351855</v>
      </c>
      <c r="E6693" t="s">
        <v>42</v>
      </c>
      <c r="F6693" t="s">
        <v>83</v>
      </c>
      <c r="G6693">
        <v>0</v>
      </c>
      <c r="H6693">
        <v>33044</v>
      </c>
      <c r="I6693" t="s">
        <v>3896</v>
      </c>
      <c r="J6693">
        <v>75</v>
      </c>
      <c r="K6693">
        <v>9</v>
      </c>
      <c r="L6693">
        <v>98</v>
      </c>
      <c r="M6693">
        <v>638.20001220999995</v>
      </c>
      <c r="N6693" t="s">
        <v>81</v>
      </c>
      <c r="O6693" t="s">
        <v>86</v>
      </c>
      <c r="P6693">
        <v>125</v>
      </c>
      <c r="Q6693">
        <v>2</v>
      </c>
      <c r="R6693">
        <v>0</v>
      </c>
      <c r="S6693">
        <v>0</v>
      </c>
      <c r="T6693">
        <v>-40</v>
      </c>
      <c r="U6693">
        <v>32</v>
      </c>
      <c r="V6693">
        <v>0</v>
      </c>
      <c r="W6693">
        <v>27</v>
      </c>
      <c r="X6693">
        <v>27</v>
      </c>
      <c r="Y6693">
        <v>1</v>
      </c>
      <c r="Z6693">
        <v>1</v>
      </c>
      <c r="AA6693">
        <v>25</v>
      </c>
      <c r="AB6693">
        <v>2</v>
      </c>
      <c r="AC6693">
        <v>2</v>
      </c>
      <c r="AD6693">
        <v>3.3280000699999999</v>
      </c>
      <c r="AE6693">
        <v>1</v>
      </c>
      <c r="AF6693">
        <v>1</v>
      </c>
      <c r="AG6693">
        <v>3.3250000499999999</v>
      </c>
      <c r="AH6693">
        <v>5</v>
      </c>
      <c r="AI6693">
        <v>10</v>
      </c>
      <c r="AJ6693">
        <v>1</v>
      </c>
      <c r="AK6693">
        <v>21</v>
      </c>
      <c r="AL6693">
        <v>29</v>
      </c>
      <c r="AM6693" t="s">
        <v>43</v>
      </c>
      <c r="AN6693" t="str">
        <f>HYPERLINK("https://www.google.com/maps?q=10.78964901,79.57878113","Open Location")</f>
        <v>Open Location</v>
      </c>
    </row>
    <row r="6694" spans="1:40" x14ac:dyDescent="0.3">
      <c r="A6694" s="1">
        <v>46210.224537037036</v>
      </c>
      <c r="B6694" t="s">
        <v>40</v>
      </c>
      <c r="C6694" t="s">
        <v>41</v>
      </c>
      <c r="D6694" s="1">
        <v>46210.227407407408</v>
      </c>
      <c r="E6694" t="s">
        <v>42</v>
      </c>
      <c r="F6694" t="s">
        <v>83</v>
      </c>
      <c r="G6694">
        <v>0</v>
      </c>
      <c r="H6694">
        <v>33044</v>
      </c>
      <c r="I6694" t="s">
        <v>43</v>
      </c>
      <c r="J6694">
        <v>75</v>
      </c>
      <c r="K6694">
        <v>9</v>
      </c>
      <c r="L6694">
        <v>98</v>
      </c>
      <c r="M6694">
        <v>638.09997558999999</v>
      </c>
      <c r="N6694" t="s">
        <v>81</v>
      </c>
      <c r="O6694" t="s">
        <v>86</v>
      </c>
      <c r="P6694">
        <v>125</v>
      </c>
      <c r="Q6694">
        <v>2</v>
      </c>
      <c r="R6694">
        <v>0</v>
      </c>
      <c r="S6694">
        <v>0</v>
      </c>
      <c r="T6694">
        <v>-40</v>
      </c>
      <c r="U6694">
        <v>32</v>
      </c>
      <c r="V6694">
        <v>0</v>
      </c>
      <c r="W6694">
        <v>27</v>
      </c>
      <c r="X6694">
        <v>27</v>
      </c>
      <c r="Y6694">
        <v>1</v>
      </c>
      <c r="Z6694">
        <v>1</v>
      </c>
      <c r="AA6694">
        <v>25</v>
      </c>
      <c r="AB6694">
        <v>2</v>
      </c>
      <c r="AC6694">
        <v>2</v>
      </c>
      <c r="AD6694">
        <v>3.3280000699999999</v>
      </c>
      <c r="AE6694">
        <v>1</v>
      </c>
      <c r="AF6694">
        <v>1</v>
      </c>
      <c r="AG6694">
        <v>3.3250000499999999</v>
      </c>
      <c r="AH6694">
        <v>5</v>
      </c>
      <c r="AI6694">
        <v>10</v>
      </c>
      <c r="AJ6694">
        <v>1</v>
      </c>
      <c r="AK6694">
        <v>22</v>
      </c>
      <c r="AL6694">
        <v>29</v>
      </c>
      <c r="AM6694" t="s">
        <v>43</v>
      </c>
      <c r="AN6694" t="s">
        <v>43</v>
      </c>
    </row>
    <row r="6695" spans="1:40" x14ac:dyDescent="0.3">
      <c r="A6695" s="1">
        <v>46210.224421296298</v>
      </c>
      <c r="B6695" t="s">
        <v>40</v>
      </c>
      <c r="C6695" t="s">
        <v>41</v>
      </c>
      <c r="D6695" s="1">
        <v>46210.227303240739</v>
      </c>
      <c r="E6695" t="s">
        <v>42</v>
      </c>
      <c r="F6695" t="s">
        <v>83</v>
      </c>
      <c r="G6695">
        <v>0</v>
      </c>
      <c r="H6695">
        <v>33044</v>
      </c>
      <c r="I6695" t="s">
        <v>3896</v>
      </c>
      <c r="J6695">
        <v>75</v>
      </c>
      <c r="K6695">
        <v>9</v>
      </c>
      <c r="L6695">
        <v>98</v>
      </c>
      <c r="M6695">
        <v>638.29998779000005</v>
      </c>
      <c r="N6695" t="s">
        <v>81</v>
      </c>
      <c r="O6695" t="s">
        <v>86</v>
      </c>
      <c r="P6695">
        <v>125</v>
      </c>
      <c r="Q6695">
        <v>2</v>
      </c>
      <c r="R6695">
        <v>0</v>
      </c>
      <c r="S6695">
        <v>0</v>
      </c>
      <c r="T6695">
        <v>-40</v>
      </c>
      <c r="U6695">
        <v>32</v>
      </c>
      <c r="V6695">
        <v>0</v>
      </c>
      <c r="W6695">
        <v>27</v>
      </c>
      <c r="X6695">
        <v>27</v>
      </c>
      <c r="Y6695">
        <v>1</v>
      </c>
      <c r="Z6695">
        <v>1</v>
      </c>
      <c r="AA6695">
        <v>25</v>
      </c>
      <c r="AB6695">
        <v>2</v>
      </c>
      <c r="AC6695">
        <v>2</v>
      </c>
      <c r="AD6695">
        <v>3.3290000000000002</v>
      </c>
      <c r="AE6695">
        <v>5</v>
      </c>
      <c r="AF6695">
        <v>47</v>
      </c>
      <c r="AG6695">
        <v>3.3250000499999999</v>
      </c>
      <c r="AH6695">
        <v>5</v>
      </c>
      <c r="AI6695">
        <v>10</v>
      </c>
      <c r="AJ6695">
        <v>1</v>
      </c>
      <c r="AK6695">
        <v>24</v>
      </c>
      <c r="AL6695">
        <v>29</v>
      </c>
      <c r="AM6695" t="s">
        <v>43</v>
      </c>
      <c r="AN6695" t="str">
        <f>HYPERLINK("https://www.google.com/maps?q=10.78964901,79.57878113","Open Location")</f>
        <v>Open Location</v>
      </c>
    </row>
    <row r="6696" spans="1:40" x14ac:dyDescent="0.3">
      <c r="A6696" s="1">
        <v>46210.224305555559</v>
      </c>
      <c r="B6696" t="s">
        <v>40</v>
      </c>
      <c r="C6696" t="s">
        <v>41</v>
      </c>
      <c r="D6696" s="1">
        <v>46210.227418981478</v>
      </c>
      <c r="E6696" t="s">
        <v>42</v>
      </c>
      <c r="F6696" t="s">
        <v>83</v>
      </c>
      <c r="G6696">
        <v>0</v>
      </c>
      <c r="H6696" t="s">
        <v>43</v>
      </c>
      <c r="I6696" t="s">
        <v>3897</v>
      </c>
      <c r="J6696">
        <v>75</v>
      </c>
      <c r="K6696">
        <v>10</v>
      </c>
      <c r="L6696">
        <v>98</v>
      </c>
      <c r="M6696">
        <v>638.29998779000005</v>
      </c>
      <c r="N6696" t="s">
        <v>81</v>
      </c>
      <c r="O6696" t="s">
        <v>86</v>
      </c>
      <c r="P6696">
        <v>125</v>
      </c>
      <c r="Q6696">
        <v>2</v>
      </c>
      <c r="R6696">
        <v>0</v>
      </c>
      <c r="S6696">
        <v>0</v>
      </c>
      <c r="T6696">
        <v>-40</v>
      </c>
      <c r="U6696">
        <v>32</v>
      </c>
      <c r="V6696">
        <v>0</v>
      </c>
      <c r="W6696">
        <v>27</v>
      </c>
      <c r="X6696">
        <v>27</v>
      </c>
      <c r="Y6696">
        <v>1</v>
      </c>
      <c r="Z6696">
        <v>1</v>
      </c>
      <c r="AA6696">
        <v>25</v>
      </c>
      <c r="AB6696">
        <v>2</v>
      </c>
      <c r="AC6696">
        <v>2</v>
      </c>
      <c r="AD6696">
        <v>3.3290000000000002</v>
      </c>
      <c r="AE6696">
        <v>1</v>
      </c>
      <c r="AF6696">
        <v>1</v>
      </c>
      <c r="AG6696">
        <v>3.3250000499999999</v>
      </c>
      <c r="AH6696">
        <v>5</v>
      </c>
      <c r="AI6696">
        <v>10</v>
      </c>
      <c r="AJ6696">
        <v>1</v>
      </c>
      <c r="AK6696">
        <v>26</v>
      </c>
      <c r="AL6696">
        <v>29</v>
      </c>
      <c r="AM6696" t="s">
        <v>43</v>
      </c>
      <c r="AN6696" t="str">
        <f>HYPERLINK("https://www.google.com/maps?q=10.78964996,79.57878113","Open Location")</f>
        <v>Open Location</v>
      </c>
    </row>
    <row r="6697" spans="1:40" x14ac:dyDescent="0.3">
      <c r="A6697" s="1">
        <v>46210.224189814813</v>
      </c>
      <c r="B6697" t="s">
        <v>40</v>
      </c>
      <c r="C6697" t="s">
        <v>41</v>
      </c>
      <c r="D6697" s="1">
        <v>46210.227025462962</v>
      </c>
      <c r="E6697" t="s">
        <v>42</v>
      </c>
      <c r="F6697" t="s">
        <v>83</v>
      </c>
      <c r="G6697">
        <v>0</v>
      </c>
      <c r="H6697">
        <v>33044</v>
      </c>
      <c r="I6697" t="s">
        <v>3898</v>
      </c>
      <c r="J6697">
        <v>75</v>
      </c>
      <c r="K6697">
        <v>10</v>
      </c>
      <c r="L6697">
        <v>98</v>
      </c>
      <c r="M6697">
        <v>638.29998779000005</v>
      </c>
      <c r="N6697" t="s">
        <v>81</v>
      </c>
      <c r="O6697" t="s">
        <v>86</v>
      </c>
      <c r="P6697">
        <v>125</v>
      </c>
      <c r="Q6697">
        <v>2</v>
      </c>
      <c r="R6697">
        <v>0</v>
      </c>
      <c r="S6697">
        <v>0</v>
      </c>
      <c r="T6697">
        <v>-40</v>
      </c>
      <c r="U6697">
        <v>32</v>
      </c>
      <c r="V6697">
        <v>0</v>
      </c>
      <c r="W6697">
        <v>27</v>
      </c>
      <c r="X6697">
        <v>27</v>
      </c>
      <c r="Y6697">
        <v>1</v>
      </c>
      <c r="Z6697">
        <v>1</v>
      </c>
      <c r="AA6697">
        <v>25</v>
      </c>
      <c r="AB6697">
        <v>2</v>
      </c>
      <c r="AC6697">
        <v>2</v>
      </c>
      <c r="AD6697">
        <v>3.3290000000000002</v>
      </c>
      <c r="AE6697">
        <v>1</v>
      </c>
      <c r="AF6697">
        <v>1</v>
      </c>
      <c r="AG6697">
        <v>3.3259999800000002</v>
      </c>
      <c r="AH6697">
        <v>5</v>
      </c>
      <c r="AI6697">
        <v>10</v>
      </c>
      <c r="AJ6697">
        <v>1</v>
      </c>
      <c r="AK6697">
        <v>30</v>
      </c>
      <c r="AL6697">
        <v>29</v>
      </c>
      <c r="AM6697" t="s">
        <v>43</v>
      </c>
      <c r="AN6697" t="str">
        <f>HYPERLINK("https://www.google.com/maps?q=10.78965378,79.57878113","Open Location")</f>
        <v>Open Location</v>
      </c>
    </row>
    <row r="6698" spans="1:40" x14ac:dyDescent="0.3">
      <c r="A6698" s="1">
        <v>46210.224074074074</v>
      </c>
      <c r="B6698" t="s">
        <v>40</v>
      </c>
      <c r="C6698" t="s">
        <v>41</v>
      </c>
      <c r="D6698" s="1">
        <v>46210.227060185185</v>
      </c>
      <c r="E6698" t="s">
        <v>42</v>
      </c>
      <c r="F6698" t="s">
        <v>83</v>
      </c>
      <c r="G6698">
        <v>0</v>
      </c>
      <c r="H6698">
        <v>33044</v>
      </c>
      <c r="I6698" t="s">
        <v>43</v>
      </c>
      <c r="J6698">
        <v>75</v>
      </c>
      <c r="K6698">
        <v>10</v>
      </c>
      <c r="L6698">
        <v>98</v>
      </c>
      <c r="M6698">
        <v>638.5</v>
      </c>
      <c r="N6698" t="s">
        <v>81</v>
      </c>
      <c r="O6698" t="s">
        <v>86</v>
      </c>
      <c r="P6698">
        <v>125</v>
      </c>
      <c r="Q6698">
        <v>2</v>
      </c>
      <c r="R6698">
        <v>0</v>
      </c>
      <c r="S6698">
        <v>0</v>
      </c>
      <c r="T6698">
        <v>-40</v>
      </c>
      <c r="U6698">
        <v>32</v>
      </c>
      <c r="V6698">
        <v>0</v>
      </c>
      <c r="W6698">
        <v>27</v>
      </c>
      <c r="X6698">
        <v>27</v>
      </c>
      <c r="Y6698">
        <v>1</v>
      </c>
      <c r="Z6698">
        <v>1</v>
      </c>
      <c r="AA6698">
        <v>25</v>
      </c>
      <c r="AB6698">
        <v>2</v>
      </c>
      <c r="AC6698">
        <v>2</v>
      </c>
      <c r="AD6698">
        <v>3.3290000000000002</v>
      </c>
      <c r="AE6698">
        <v>1</v>
      </c>
      <c r="AF6698">
        <v>1</v>
      </c>
      <c r="AG6698">
        <v>3.3259999800000002</v>
      </c>
      <c r="AH6698">
        <v>5</v>
      </c>
      <c r="AI6698">
        <v>10</v>
      </c>
      <c r="AJ6698">
        <v>2</v>
      </c>
      <c r="AK6698">
        <v>37</v>
      </c>
      <c r="AL6698">
        <v>29</v>
      </c>
      <c r="AM6698" t="s">
        <v>43</v>
      </c>
      <c r="AN6698" t="s">
        <v>43</v>
      </c>
    </row>
    <row r="6699" spans="1:40" x14ac:dyDescent="0.3">
      <c r="A6699" s="1">
        <v>46210.223958333336</v>
      </c>
      <c r="B6699" t="s">
        <v>40</v>
      </c>
      <c r="C6699" t="s">
        <v>41</v>
      </c>
      <c r="D6699" s="1">
        <v>46210.226678240739</v>
      </c>
      <c r="E6699" t="s">
        <v>42</v>
      </c>
      <c r="F6699" t="s">
        <v>83</v>
      </c>
      <c r="G6699">
        <v>0</v>
      </c>
      <c r="H6699">
        <v>33044</v>
      </c>
      <c r="I6699" t="s">
        <v>3899</v>
      </c>
      <c r="J6699">
        <v>75</v>
      </c>
      <c r="K6699">
        <v>11</v>
      </c>
      <c r="L6699">
        <v>98</v>
      </c>
      <c r="M6699">
        <v>638.79998779000005</v>
      </c>
      <c r="N6699" t="s">
        <v>81</v>
      </c>
      <c r="O6699" t="s">
        <v>86</v>
      </c>
      <c r="P6699">
        <v>125</v>
      </c>
      <c r="Q6699">
        <v>2</v>
      </c>
      <c r="R6699">
        <v>0</v>
      </c>
      <c r="S6699">
        <v>0</v>
      </c>
      <c r="T6699">
        <v>-40</v>
      </c>
      <c r="U6699">
        <v>32</v>
      </c>
      <c r="V6699">
        <v>0</v>
      </c>
      <c r="W6699">
        <v>27</v>
      </c>
      <c r="X6699">
        <v>27</v>
      </c>
      <c r="Y6699">
        <v>1</v>
      </c>
      <c r="Z6699">
        <v>1</v>
      </c>
      <c r="AA6699">
        <v>25</v>
      </c>
      <c r="AB6699">
        <v>2</v>
      </c>
      <c r="AC6699">
        <v>2</v>
      </c>
      <c r="AD6699">
        <v>3.3320000200000002</v>
      </c>
      <c r="AE6699">
        <v>1</v>
      </c>
      <c r="AF6699">
        <v>1</v>
      </c>
      <c r="AG6699">
        <v>3.3310000899999999</v>
      </c>
      <c r="AH6699">
        <v>1</v>
      </c>
      <c r="AI6699">
        <v>2</v>
      </c>
      <c r="AJ6699">
        <v>2</v>
      </c>
      <c r="AK6699">
        <v>53</v>
      </c>
      <c r="AL6699">
        <v>29</v>
      </c>
      <c r="AM6699" t="s">
        <v>43</v>
      </c>
      <c r="AN6699" t="str">
        <f>HYPERLINK("https://www.google.com/maps?q=10.78965473,79.57878876","Open Location")</f>
        <v>Open Location</v>
      </c>
    </row>
    <row r="6700" spans="1:40" x14ac:dyDescent="0.3">
      <c r="A6700" s="1">
        <v>46210.22384259259</v>
      </c>
      <c r="B6700" t="s">
        <v>40</v>
      </c>
      <c r="C6700" t="s">
        <v>41</v>
      </c>
      <c r="D6700" s="1">
        <v>46210.226643518516</v>
      </c>
      <c r="E6700" t="s">
        <v>42</v>
      </c>
      <c r="F6700" t="s">
        <v>83</v>
      </c>
      <c r="G6700">
        <v>0</v>
      </c>
      <c r="H6700" t="s">
        <v>43</v>
      </c>
      <c r="I6700" t="s">
        <v>3899</v>
      </c>
      <c r="J6700">
        <v>0</v>
      </c>
      <c r="K6700">
        <v>-3200</v>
      </c>
      <c r="L6700">
        <v>0</v>
      </c>
      <c r="M6700">
        <v>0</v>
      </c>
      <c r="N6700" t="s">
        <v>81</v>
      </c>
      <c r="O6700" t="s">
        <v>86</v>
      </c>
      <c r="P6700">
        <v>125</v>
      </c>
      <c r="Q6700" t="s">
        <v>43</v>
      </c>
      <c r="R6700">
        <v>0</v>
      </c>
      <c r="S6700">
        <v>0</v>
      </c>
      <c r="T6700">
        <v>-40</v>
      </c>
      <c r="U6700">
        <v>32</v>
      </c>
      <c r="V6700">
        <v>0</v>
      </c>
      <c r="W6700" t="s">
        <v>43</v>
      </c>
      <c r="X6700" t="s">
        <v>43</v>
      </c>
      <c r="Y6700" t="s">
        <v>43</v>
      </c>
      <c r="Z6700" t="s">
        <v>43</v>
      </c>
      <c r="AA6700" t="s">
        <v>43</v>
      </c>
      <c r="AB6700" t="s">
        <v>43</v>
      </c>
      <c r="AC6700" t="s">
        <v>43</v>
      </c>
      <c r="AD6700" t="s">
        <v>43</v>
      </c>
      <c r="AE6700" t="s">
        <v>43</v>
      </c>
      <c r="AF6700" t="s">
        <v>43</v>
      </c>
      <c r="AG6700" t="s">
        <v>43</v>
      </c>
      <c r="AH6700" t="s">
        <v>43</v>
      </c>
      <c r="AI6700" t="s">
        <v>43</v>
      </c>
      <c r="AJ6700">
        <v>0</v>
      </c>
      <c r="AK6700">
        <v>0</v>
      </c>
      <c r="AL6700">
        <v>29</v>
      </c>
      <c r="AM6700" t="s">
        <v>43</v>
      </c>
      <c r="AN6700" t="str">
        <f>HYPERLINK("https://www.google.com/maps?q=10.78965473,79.57878876","Open Location")</f>
        <v>Open Location</v>
      </c>
    </row>
    <row r="6701" spans="1:40" x14ac:dyDescent="0.3">
      <c r="A6701" s="1">
        <v>46210.223726851851</v>
      </c>
      <c r="B6701" t="s">
        <v>40</v>
      </c>
      <c r="C6701" t="s">
        <v>41</v>
      </c>
      <c r="D6701" s="1">
        <v>46210.226666666669</v>
      </c>
      <c r="E6701" t="s">
        <v>42</v>
      </c>
      <c r="F6701" t="s">
        <v>43</v>
      </c>
      <c r="G6701" t="s">
        <v>43</v>
      </c>
      <c r="H6701" t="s">
        <v>43</v>
      </c>
      <c r="I6701" t="s">
        <v>3900</v>
      </c>
      <c r="J6701" t="s">
        <v>43</v>
      </c>
      <c r="K6701" t="s">
        <v>43</v>
      </c>
      <c r="L6701" t="s">
        <v>43</v>
      </c>
      <c r="M6701" t="s">
        <v>43</v>
      </c>
      <c r="N6701" t="s">
        <v>45</v>
      </c>
      <c r="O6701" t="s">
        <v>43</v>
      </c>
      <c r="P6701" t="s">
        <v>43</v>
      </c>
      <c r="Q6701" t="s">
        <v>43</v>
      </c>
      <c r="R6701" t="s">
        <v>43</v>
      </c>
      <c r="S6701" t="s">
        <v>43</v>
      </c>
      <c r="T6701" t="s">
        <v>43</v>
      </c>
      <c r="U6701" t="s">
        <v>43</v>
      </c>
      <c r="V6701" t="s">
        <v>43</v>
      </c>
      <c r="W6701" t="s">
        <v>43</v>
      </c>
      <c r="X6701" t="s">
        <v>43</v>
      </c>
      <c r="Y6701" t="s">
        <v>43</v>
      </c>
      <c r="Z6701" t="s">
        <v>43</v>
      </c>
      <c r="AA6701" t="s">
        <v>43</v>
      </c>
      <c r="AB6701" t="s">
        <v>43</v>
      </c>
      <c r="AC6701" t="s">
        <v>43</v>
      </c>
      <c r="AD6701" t="s">
        <v>43</v>
      </c>
      <c r="AE6701" t="s">
        <v>43</v>
      </c>
      <c r="AF6701" t="s">
        <v>43</v>
      </c>
      <c r="AG6701" t="s">
        <v>43</v>
      </c>
      <c r="AH6701" t="s">
        <v>43</v>
      </c>
      <c r="AI6701" t="s">
        <v>43</v>
      </c>
      <c r="AJ6701" t="s">
        <v>43</v>
      </c>
      <c r="AK6701" t="s">
        <v>43</v>
      </c>
      <c r="AL6701" t="s">
        <v>43</v>
      </c>
      <c r="AM6701" t="s">
        <v>43</v>
      </c>
      <c r="AN6701" t="str">
        <f>HYPERLINK("https://www.google.com/maps?q=10.78965378,79.57878876","Open Location")</f>
        <v>Open Location</v>
      </c>
    </row>
    <row r="6702" spans="1:40" x14ac:dyDescent="0.3">
      <c r="A6702" s="1">
        <v>46210.223611111112</v>
      </c>
      <c r="B6702" t="s">
        <v>40</v>
      </c>
      <c r="C6702" t="s">
        <v>41</v>
      </c>
      <c r="D6702" s="1">
        <v>46210.226643518516</v>
      </c>
      <c r="E6702" t="s">
        <v>42</v>
      </c>
      <c r="F6702" t="s">
        <v>43</v>
      </c>
      <c r="G6702" t="s">
        <v>43</v>
      </c>
      <c r="H6702" t="s">
        <v>43</v>
      </c>
      <c r="I6702" t="s">
        <v>3901</v>
      </c>
      <c r="J6702" t="s">
        <v>43</v>
      </c>
      <c r="K6702" t="s">
        <v>43</v>
      </c>
      <c r="L6702" t="s">
        <v>43</v>
      </c>
      <c r="M6702" t="s">
        <v>43</v>
      </c>
      <c r="N6702" t="s">
        <v>45</v>
      </c>
      <c r="O6702" t="s">
        <v>43</v>
      </c>
      <c r="P6702" t="s">
        <v>43</v>
      </c>
      <c r="Q6702" t="s">
        <v>43</v>
      </c>
      <c r="R6702" t="s">
        <v>43</v>
      </c>
      <c r="S6702" t="s">
        <v>43</v>
      </c>
      <c r="T6702" t="s">
        <v>43</v>
      </c>
      <c r="U6702" t="s">
        <v>43</v>
      </c>
      <c r="V6702" t="s">
        <v>43</v>
      </c>
      <c r="W6702" t="s">
        <v>43</v>
      </c>
      <c r="X6702" t="s">
        <v>43</v>
      </c>
      <c r="Y6702" t="s">
        <v>43</v>
      </c>
      <c r="Z6702" t="s">
        <v>43</v>
      </c>
      <c r="AA6702" t="s">
        <v>43</v>
      </c>
      <c r="AB6702" t="s">
        <v>43</v>
      </c>
      <c r="AC6702" t="s">
        <v>43</v>
      </c>
      <c r="AD6702" t="s">
        <v>43</v>
      </c>
      <c r="AE6702" t="s">
        <v>43</v>
      </c>
      <c r="AF6702" t="s">
        <v>43</v>
      </c>
      <c r="AG6702" t="s">
        <v>43</v>
      </c>
      <c r="AH6702" t="s">
        <v>43</v>
      </c>
      <c r="AI6702" t="s">
        <v>43</v>
      </c>
      <c r="AJ6702" t="s">
        <v>43</v>
      </c>
      <c r="AK6702" t="s">
        <v>43</v>
      </c>
      <c r="AL6702" t="s">
        <v>43</v>
      </c>
      <c r="AM6702" t="s">
        <v>43</v>
      </c>
      <c r="AN6702" t="str">
        <f>HYPERLINK("https://www.google.com/maps?q=10.78965092,79.57879639","Open Location")</f>
        <v>Open Location</v>
      </c>
    </row>
    <row r="6703" spans="1:40" x14ac:dyDescent="0.3">
      <c r="A6703" s="1">
        <v>46210.223495370374</v>
      </c>
      <c r="B6703" t="s">
        <v>40</v>
      </c>
      <c r="C6703" t="s">
        <v>41</v>
      </c>
      <c r="D6703" s="1">
        <v>46210.226284722223</v>
      </c>
      <c r="E6703" t="s">
        <v>42</v>
      </c>
      <c r="F6703" t="s">
        <v>43</v>
      </c>
      <c r="G6703" t="s">
        <v>43</v>
      </c>
      <c r="H6703" t="s">
        <v>43</v>
      </c>
      <c r="I6703" t="s">
        <v>3902</v>
      </c>
      <c r="J6703" t="s">
        <v>43</v>
      </c>
      <c r="K6703" t="s">
        <v>43</v>
      </c>
      <c r="L6703" t="s">
        <v>43</v>
      </c>
      <c r="M6703" t="s">
        <v>43</v>
      </c>
      <c r="N6703" t="s">
        <v>45</v>
      </c>
      <c r="O6703" t="s">
        <v>43</v>
      </c>
      <c r="P6703" t="s">
        <v>43</v>
      </c>
      <c r="Q6703" t="s">
        <v>43</v>
      </c>
      <c r="R6703" t="s">
        <v>43</v>
      </c>
      <c r="S6703" t="s">
        <v>43</v>
      </c>
      <c r="T6703" t="s">
        <v>43</v>
      </c>
      <c r="U6703" t="s">
        <v>43</v>
      </c>
      <c r="V6703" t="s">
        <v>43</v>
      </c>
      <c r="W6703" t="s">
        <v>43</v>
      </c>
      <c r="X6703" t="s">
        <v>43</v>
      </c>
      <c r="Y6703" t="s">
        <v>43</v>
      </c>
      <c r="Z6703" t="s">
        <v>43</v>
      </c>
      <c r="AA6703" t="s">
        <v>43</v>
      </c>
      <c r="AB6703" t="s">
        <v>43</v>
      </c>
      <c r="AC6703" t="s">
        <v>43</v>
      </c>
      <c r="AD6703" t="s">
        <v>43</v>
      </c>
      <c r="AE6703" t="s">
        <v>43</v>
      </c>
      <c r="AF6703" t="s">
        <v>43</v>
      </c>
      <c r="AG6703" t="s">
        <v>43</v>
      </c>
      <c r="AH6703" t="s">
        <v>43</v>
      </c>
      <c r="AI6703" t="s">
        <v>43</v>
      </c>
      <c r="AJ6703" t="s">
        <v>43</v>
      </c>
      <c r="AK6703" t="s">
        <v>43</v>
      </c>
      <c r="AL6703" t="s">
        <v>43</v>
      </c>
      <c r="AM6703" t="s">
        <v>43</v>
      </c>
      <c r="AN6703" t="str">
        <f>HYPERLINK("https://www.google.com/maps?q=10.78965187,79.57879639","Open Location")</f>
        <v>Open Location</v>
      </c>
    </row>
    <row r="6704" spans="1:40" x14ac:dyDescent="0.3">
      <c r="A6704" s="1">
        <v>46210.223379629628</v>
      </c>
      <c r="B6704" t="s">
        <v>40</v>
      </c>
      <c r="C6704" t="s">
        <v>41</v>
      </c>
      <c r="D6704" s="1">
        <v>46210.226284722223</v>
      </c>
      <c r="E6704" t="s">
        <v>42</v>
      </c>
      <c r="F6704" t="s">
        <v>43</v>
      </c>
      <c r="G6704" t="s">
        <v>43</v>
      </c>
      <c r="H6704" t="s">
        <v>43</v>
      </c>
      <c r="I6704" t="s">
        <v>43</v>
      </c>
      <c r="J6704" t="s">
        <v>43</v>
      </c>
      <c r="K6704" t="s">
        <v>43</v>
      </c>
      <c r="L6704" t="s">
        <v>43</v>
      </c>
      <c r="M6704" t="s">
        <v>43</v>
      </c>
      <c r="N6704" t="s">
        <v>45</v>
      </c>
      <c r="O6704" t="s">
        <v>43</v>
      </c>
      <c r="P6704" t="s">
        <v>43</v>
      </c>
      <c r="Q6704" t="s">
        <v>43</v>
      </c>
      <c r="R6704" t="s">
        <v>43</v>
      </c>
      <c r="S6704" t="s">
        <v>43</v>
      </c>
      <c r="T6704" t="s">
        <v>43</v>
      </c>
      <c r="U6704" t="s">
        <v>43</v>
      </c>
      <c r="V6704" t="s">
        <v>43</v>
      </c>
      <c r="W6704" t="s">
        <v>43</v>
      </c>
      <c r="X6704" t="s">
        <v>43</v>
      </c>
      <c r="Y6704" t="s">
        <v>43</v>
      </c>
      <c r="Z6704" t="s">
        <v>43</v>
      </c>
      <c r="AA6704" t="s">
        <v>43</v>
      </c>
      <c r="AB6704" t="s">
        <v>43</v>
      </c>
      <c r="AC6704" t="s">
        <v>43</v>
      </c>
      <c r="AD6704" t="s">
        <v>43</v>
      </c>
      <c r="AE6704" t="s">
        <v>43</v>
      </c>
      <c r="AF6704" t="s">
        <v>43</v>
      </c>
      <c r="AG6704" t="s">
        <v>43</v>
      </c>
      <c r="AH6704" t="s">
        <v>43</v>
      </c>
      <c r="AI6704" t="s">
        <v>43</v>
      </c>
      <c r="AJ6704" t="s">
        <v>43</v>
      </c>
      <c r="AK6704" t="s">
        <v>43</v>
      </c>
      <c r="AL6704" t="s">
        <v>43</v>
      </c>
      <c r="AM6704" t="s">
        <v>43</v>
      </c>
      <c r="AN6704" t="s">
        <v>43</v>
      </c>
    </row>
    <row r="6705" spans="1:40" x14ac:dyDescent="0.3">
      <c r="A6705" s="1">
        <v>46210.223263888889</v>
      </c>
      <c r="B6705" t="s">
        <v>40</v>
      </c>
      <c r="C6705" t="s">
        <v>41</v>
      </c>
      <c r="D6705" s="1">
        <v>46210.226284722223</v>
      </c>
      <c r="E6705" t="s">
        <v>42</v>
      </c>
      <c r="F6705" t="s">
        <v>43</v>
      </c>
      <c r="G6705" t="s">
        <v>43</v>
      </c>
      <c r="H6705" t="s">
        <v>43</v>
      </c>
      <c r="I6705" t="s">
        <v>3902</v>
      </c>
      <c r="J6705" t="s">
        <v>43</v>
      </c>
      <c r="K6705" t="s">
        <v>43</v>
      </c>
      <c r="L6705" t="s">
        <v>43</v>
      </c>
      <c r="M6705" t="s">
        <v>43</v>
      </c>
      <c r="N6705" t="s">
        <v>45</v>
      </c>
      <c r="O6705" t="s">
        <v>43</v>
      </c>
      <c r="P6705" t="s">
        <v>43</v>
      </c>
      <c r="Q6705" t="s">
        <v>43</v>
      </c>
      <c r="R6705" t="s">
        <v>43</v>
      </c>
      <c r="S6705" t="s">
        <v>43</v>
      </c>
      <c r="T6705" t="s">
        <v>43</v>
      </c>
      <c r="U6705" t="s">
        <v>43</v>
      </c>
      <c r="V6705" t="s">
        <v>43</v>
      </c>
      <c r="W6705" t="s">
        <v>43</v>
      </c>
      <c r="X6705" t="s">
        <v>43</v>
      </c>
      <c r="Y6705" t="s">
        <v>43</v>
      </c>
      <c r="Z6705" t="s">
        <v>43</v>
      </c>
      <c r="AA6705" t="s">
        <v>43</v>
      </c>
      <c r="AB6705" t="s">
        <v>43</v>
      </c>
      <c r="AC6705" t="s">
        <v>43</v>
      </c>
      <c r="AD6705" t="s">
        <v>43</v>
      </c>
      <c r="AE6705" t="s">
        <v>43</v>
      </c>
      <c r="AF6705" t="s">
        <v>43</v>
      </c>
      <c r="AG6705" t="s">
        <v>43</v>
      </c>
      <c r="AH6705" t="s">
        <v>43</v>
      </c>
      <c r="AI6705" t="s">
        <v>43</v>
      </c>
      <c r="AJ6705" t="s">
        <v>43</v>
      </c>
      <c r="AK6705" t="s">
        <v>43</v>
      </c>
      <c r="AL6705" t="s">
        <v>43</v>
      </c>
      <c r="AM6705" t="s">
        <v>43</v>
      </c>
      <c r="AN6705" t="str">
        <f>HYPERLINK("https://www.google.com/maps?q=10.78965187,79.57879639","Open Location")</f>
        <v>Open Location</v>
      </c>
    </row>
    <row r="6706" spans="1:40" x14ac:dyDescent="0.3">
      <c r="A6706" s="1">
        <v>46210.22314814815</v>
      </c>
      <c r="B6706" t="s">
        <v>40</v>
      </c>
      <c r="C6706" t="s">
        <v>41</v>
      </c>
      <c r="D6706" s="1">
        <v>46210.226284722223</v>
      </c>
      <c r="E6706" t="s">
        <v>42</v>
      </c>
      <c r="F6706" t="s">
        <v>43</v>
      </c>
      <c r="G6706" t="s">
        <v>43</v>
      </c>
      <c r="H6706" t="s">
        <v>43</v>
      </c>
      <c r="I6706" t="s">
        <v>3903</v>
      </c>
      <c r="J6706" t="s">
        <v>43</v>
      </c>
      <c r="K6706" t="s">
        <v>43</v>
      </c>
      <c r="L6706" t="s">
        <v>43</v>
      </c>
      <c r="M6706" t="s">
        <v>43</v>
      </c>
      <c r="N6706" t="s">
        <v>45</v>
      </c>
      <c r="O6706" t="s">
        <v>43</v>
      </c>
      <c r="P6706" t="s">
        <v>43</v>
      </c>
      <c r="Q6706" t="s">
        <v>43</v>
      </c>
      <c r="R6706" t="s">
        <v>43</v>
      </c>
      <c r="S6706" t="s">
        <v>43</v>
      </c>
      <c r="T6706" t="s">
        <v>43</v>
      </c>
      <c r="U6706" t="s">
        <v>43</v>
      </c>
      <c r="V6706" t="s">
        <v>43</v>
      </c>
      <c r="W6706" t="s">
        <v>43</v>
      </c>
      <c r="X6706" t="s">
        <v>43</v>
      </c>
      <c r="Y6706" t="s">
        <v>43</v>
      </c>
      <c r="Z6706" t="s">
        <v>43</v>
      </c>
      <c r="AA6706" t="s">
        <v>43</v>
      </c>
      <c r="AB6706" t="s">
        <v>43</v>
      </c>
      <c r="AC6706" t="s">
        <v>43</v>
      </c>
      <c r="AD6706" t="s">
        <v>43</v>
      </c>
      <c r="AE6706" t="s">
        <v>43</v>
      </c>
      <c r="AF6706" t="s">
        <v>43</v>
      </c>
      <c r="AG6706" t="s">
        <v>43</v>
      </c>
      <c r="AH6706" t="s">
        <v>43</v>
      </c>
      <c r="AI6706" t="s">
        <v>43</v>
      </c>
      <c r="AJ6706" t="s">
        <v>43</v>
      </c>
      <c r="AK6706" t="s">
        <v>43</v>
      </c>
      <c r="AL6706" t="s">
        <v>43</v>
      </c>
      <c r="AM6706" t="s">
        <v>43</v>
      </c>
      <c r="AN6706" t="str">
        <f>HYPERLINK("https://www.google.com/maps?q=10.78964996,79.57881165","Open Location")</f>
        <v>Open Location</v>
      </c>
    </row>
    <row r="6707" spans="1:40" x14ac:dyDescent="0.3">
      <c r="A6707" s="1">
        <v>46210.223032407404</v>
      </c>
      <c r="B6707" t="s">
        <v>40</v>
      </c>
      <c r="C6707" t="s">
        <v>41</v>
      </c>
      <c r="D6707" s="1">
        <v>46210.225925925923</v>
      </c>
      <c r="E6707" t="s">
        <v>42</v>
      </c>
      <c r="F6707" t="s">
        <v>43</v>
      </c>
      <c r="G6707" t="s">
        <v>43</v>
      </c>
      <c r="H6707" t="s">
        <v>43</v>
      </c>
      <c r="I6707" t="s">
        <v>3904</v>
      </c>
      <c r="J6707" t="s">
        <v>43</v>
      </c>
      <c r="K6707" t="s">
        <v>43</v>
      </c>
      <c r="L6707" t="s">
        <v>43</v>
      </c>
      <c r="M6707" t="s">
        <v>43</v>
      </c>
      <c r="N6707" t="s">
        <v>45</v>
      </c>
      <c r="O6707" t="s">
        <v>43</v>
      </c>
      <c r="P6707" t="s">
        <v>43</v>
      </c>
      <c r="Q6707" t="s">
        <v>43</v>
      </c>
      <c r="R6707" t="s">
        <v>43</v>
      </c>
      <c r="S6707" t="s">
        <v>43</v>
      </c>
      <c r="T6707" t="s">
        <v>43</v>
      </c>
      <c r="U6707" t="s">
        <v>43</v>
      </c>
      <c r="V6707" t="s">
        <v>43</v>
      </c>
      <c r="W6707" t="s">
        <v>43</v>
      </c>
      <c r="X6707" t="s">
        <v>43</v>
      </c>
      <c r="Y6707" t="s">
        <v>43</v>
      </c>
      <c r="Z6707" t="s">
        <v>43</v>
      </c>
      <c r="AA6707" t="s">
        <v>43</v>
      </c>
      <c r="AB6707" t="s">
        <v>43</v>
      </c>
      <c r="AC6707" t="s">
        <v>43</v>
      </c>
      <c r="AD6707" t="s">
        <v>43</v>
      </c>
      <c r="AE6707" t="s">
        <v>43</v>
      </c>
      <c r="AF6707" t="s">
        <v>43</v>
      </c>
      <c r="AG6707" t="s">
        <v>43</v>
      </c>
      <c r="AH6707" t="s">
        <v>43</v>
      </c>
      <c r="AI6707" t="s">
        <v>43</v>
      </c>
      <c r="AJ6707" t="s">
        <v>43</v>
      </c>
      <c r="AK6707" t="s">
        <v>43</v>
      </c>
      <c r="AL6707" t="s">
        <v>43</v>
      </c>
      <c r="AM6707" t="s">
        <v>43</v>
      </c>
      <c r="AN6707" t="str">
        <f>HYPERLINK("https://www.google.com/maps?q=10.78964901,79.57878876","Open Location")</f>
        <v>Open Location</v>
      </c>
    </row>
    <row r="6708" spans="1:40" x14ac:dyDescent="0.3">
      <c r="A6708" s="1">
        <v>46210.222916666666</v>
      </c>
      <c r="B6708" t="s">
        <v>40</v>
      </c>
      <c r="C6708" t="s">
        <v>41</v>
      </c>
      <c r="D6708" s="1">
        <v>46210.225914351853</v>
      </c>
      <c r="E6708" t="s">
        <v>42</v>
      </c>
      <c r="F6708" t="s">
        <v>43</v>
      </c>
      <c r="G6708" t="s">
        <v>43</v>
      </c>
      <c r="H6708" t="s">
        <v>43</v>
      </c>
      <c r="I6708" t="s">
        <v>3905</v>
      </c>
      <c r="J6708" t="s">
        <v>43</v>
      </c>
      <c r="K6708" t="s">
        <v>43</v>
      </c>
      <c r="L6708" t="s">
        <v>43</v>
      </c>
      <c r="M6708" t="s">
        <v>43</v>
      </c>
      <c r="N6708" t="s">
        <v>45</v>
      </c>
      <c r="O6708" t="s">
        <v>43</v>
      </c>
      <c r="P6708" t="s">
        <v>43</v>
      </c>
      <c r="Q6708" t="s">
        <v>43</v>
      </c>
      <c r="R6708" t="s">
        <v>43</v>
      </c>
      <c r="S6708" t="s">
        <v>43</v>
      </c>
      <c r="T6708" t="s">
        <v>43</v>
      </c>
      <c r="U6708" t="s">
        <v>43</v>
      </c>
      <c r="V6708" t="s">
        <v>43</v>
      </c>
      <c r="W6708" t="s">
        <v>43</v>
      </c>
      <c r="X6708" t="s">
        <v>43</v>
      </c>
      <c r="Y6708" t="s">
        <v>43</v>
      </c>
      <c r="Z6708" t="s">
        <v>43</v>
      </c>
      <c r="AA6708" t="s">
        <v>43</v>
      </c>
      <c r="AB6708" t="s">
        <v>43</v>
      </c>
      <c r="AC6708" t="s">
        <v>43</v>
      </c>
      <c r="AD6708" t="s">
        <v>43</v>
      </c>
      <c r="AE6708" t="s">
        <v>43</v>
      </c>
      <c r="AF6708" t="s">
        <v>43</v>
      </c>
      <c r="AG6708" t="s">
        <v>43</v>
      </c>
      <c r="AH6708" t="s">
        <v>43</v>
      </c>
      <c r="AI6708" t="s">
        <v>43</v>
      </c>
      <c r="AJ6708" t="s">
        <v>43</v>
      </c>
      <c r="AK6708" t="s">
        <v>43</v>
      </c>
      <c r="AL6708" t="s">
        <v>43</v>
      </c>
      <c r="AM6708" t="s">
        <v>43</v>
      </c>
      <c r="AN6708" t="str">
        <f>HYPERLINK("https://www.google.com/maps?q=10.7896452,79.57878876","Open Location")</f>
        <v>Open Location</v>
      </c>
    </row>
    <row r="6709" spans="1:40" x14ac:dyDescent="0.3">
      <c r="A6709" s="1">
        <v>46210.222800925927</v>
      </c>
      <c r="B6709" t="s">
        <v>40</v>
      </c>
      <c r="C6709" t="s">
        <v>41</v>
      </c>
      <c r="D6709" s="1">
        <v>46210.22556712963</v>
      </c>
      <c r="E6709" t="s">
        <v>42</v>
      </c>
      <c r="F6709" t="s">
        <v>43</v>
      </c>
      <c r="G6709" t="s">
        <v>43</v>
      </c>
      <c r="H6709" t="s">
        <v>43</v>
      </c>
      <c r="I6709" t="s">
        <v>43</v>
      </c>
      <c r="J6709" t="s">
        <v>43</v>
      </c>
      <c r="K6709" t="s">
        <v>43</v>
      </c>
      <c r="L6709" t="s">
        <v>43</v>
      </c>
      <c r="M6709" t="s">
        <v>43</v>
      </c>
      <c r="N6709" t="s">
        <v>45</v>
      </c>
      <c r="O6709" t="s">
        <v>43</v>
      </c>
      <c r="P6709" t="s">
        <v>43</v>
      </c>
      <c r="Q6709" t="s">
        <v>43</v>
      </c>
      <c r="R6709" t="s">
        <v>43</v>
      </c>
      <c r="S6709" t="s">
        <v>43</v>
      </c>
      <c r="T6709" t="s">
        <v>43</v>
      </c>
      <c r="U6709" t="s">
        <v>43</v>
      </c>
      <c r="V6709" t="s">
        <v>43</v>
      </c>
      <c r="W6709" t="s">
        <v>43</v>
      </c>
      <c r="X6709" t="s">
        <v>43</v>
      </c>
      <c r="Y6709" t="s">
        <v>43</v>
      </c>
      <c r="Z6709" t="s">
        <v>43</v>
      </c>
      <c r="AA6709" t="s">
        <v>43</v>
      </c>
      <c r="AB6709" t="s">
        <v>43</v>
      </c>
      <c r="AC6709" t="s">
        <v>43</v>
      </c>
      <c r="AD6709" t="s">
        <v>43</v>
      </c>
      <c r="AE6709" t="s">
        <v>43</v>
      </c>
      <c r="AF6709" t="s">
        <v>43</v>
      </c>
      <c r="AG6709" t="s">
        <v>43</v>
      </c>
      <c r="AH6709" t="s">
        <v>43</v>
      </c>
      <c r="AI6709" t="s">
        <v>43</v>
      </c>
      <c r="AJ6709" t="s">
        <v>43</v>
      </c>
      <c r="AK6709" t="s">
        <v>43</v>
      </c>
      <c r="AL6709" t="s">
        <v>43</v>
      </c>
      <c r="AM6709" t="s">
        <v>43</v>
      </c>
      <c r="AN6709" t="s">
        <v>43</v>
      </c>
    </row>
    <row r="6710" spans="1:40" x14ac:dyDescent="0.3">
      <c r="A6710" s="1">
        <v>46210.222685185188</v>
      </c>
      <c r="B6710" t="s">
        <v>40</v>
      </c>
      <c r="C6710" t="s">
        <v>41</v>
      </c>
      <c r="D6710" s="1">
        <v>46210.22556712963</v>
      </c>
      <c r="E6710" t="s">
        <v>42</v>
      </c>
      <c r="F6710" t="s">
        <v>43</v>
      </c>
      <c r="G6710" t="s">
        <v>43</v>
      </c>
      <c r="H6710" t="s">
        <v>43</v>
      </c>
      <c r="I6710" t="s">
        <v>3906</v>
      </c>
      <c r="J6710" t="s">
        <v>43</v>
      </c>
      <c r="K6710" t="s">
        <v>43</v>
      </c>
      <c r="L6710" t="s">
        <v>43</v>
      </c>
      <c r="M6710" t="s">
        <v>43</v>
      </c>
      <c r="N6710" t="s">
        <v>45</v>
      </c>
      <c r="O6710" t="s">
        <v>43</v>
      </c>
      <c r="P6710" t="s">
        <v>43</v>
      </c>
      <c r="Q6710" t="s">
        <v>43</v>
      </c>
      <c r="R6710" t="s">
        <v>43</v>
      </c>
      <c r="S6710" t="s">
        <v>43</v>
      </c>
      <c r="T6710" t="s">
        <v>43</v>
      </c>
      <c r="U6710" t="s">
        <v>43</v>
      </c>
      <c r="V6710" t="s">
        <v>43</v>
      </c>
      <c r="W6710" t="s">
        <v>43</v>
      </c>
      <c r="X6710" t="s">
        <v>43</v>
      </c>
      <c r="Y6710" t="s">
        <v>43</v>
      </c>
      <c r="Z6710" t="s">
        <v>43</v>
      </c>
      <c r="AA6710" t="s">
        <v>43</v>
      </c>
      <c r="AB6710" t="s">
        <v>43</v>
      </c>
      <c r="AC6710" t="s">
        <v>43</v>
      </c>
      <c r="AD6710" t="s">
        <v>43</v>
      </c>
      <c r="AE6710" t="s">
        <v>43</v>
      </c>
      <c r="AF6710" t="s">
        <v>43</v>
      </c>
      <c r="AG6710" t="s">
        <v>43</v>
      </c>
      <c r="AH6710" t="s">
        <v>43</v>
      </c>
      <c r="AI6710" t="s">
        <v>43</v>
      </c>
      <c r="AJ6710" t="s">
        <v>43</v>
      </c>
      <c r="AK6710" t="s">
        <v>43</v>
      </c>
      <c r="AL6710" t="s">
        <v>43</v>
      </c>
      <c r="AM6710" t="s">
        <v>43</v>
      </c>
      <c r="AN6710" t="str">
        <f>HYPERLINK("https://www.google.com/maps?q=10.78964043,79.57878876","Open Location")</f>
        <v>Open Location</v>
      </c>
    </row>
    <row r="6711" spans="1:40" x14ac:dyDescent="0.3">
      <c r="A6711" s="1">
        <v>46210.222569444442</v>
      </c>
      <c r="B6711" t="s">
        <v>40</v>
      </c>
      <c r="C6711" t="s">
        <v>41</v>
      </c>
      <c r="D6711" s="1">
        <v>46210.225462962961</v>
      </c>
      <c r="E6711" t="s">
        <v>42</v>
      </c>
      <c r="F6711" t="s">
        <v>43</v>
      </c>
      <c r="G6711" t="s">
        <v>43</v>
      </c>
      <c r="H6711" t="s">
        <v>43</v>
      </c>
      <c r="I6711" t="s">
        <v>3907</v>
      </c>
      <c r="J6711" t="s">
        <v>43</v>
      </c>
      <c r="K6711" t="s">
        <v>43</v>
      </c>
      <c r="L6711" t="s">
        <v>43</v>
      </c>
      <c r="M6711" t="s">
        <v>43</v>
      </c>
      <c r="N6711" t="s">
        <v>45</v>
      </c>
      <c r="O6711" t="s">
        <v>43</v>
      </c>
      <c r="P6711" t="s">
        <v>43</v>
      </c>
      <c r="Q6711" t="s">
        <v>43</v>
      </c>
      <c r="R6711" t="s">
        <v>43</v>
      </c>
      <c r="S6711" t="s">
        <v>43</v>
      </c>
      <c r="T6711" t="s">
        <v>43</v>
      </c>
      <c r="U6711" t="s">
        <v>43</v>
      </c>
      <c r="V6711" t="s">
        <v>43</v>
      </c>
      <c r="W6711" t="s">
        <v>43</v>
      </c>
      <c r="X6711" t="s">
        <v>43</v>
      </c>
      <c r="Y6711" t="s">
        <v>43</v>
      </c>
      <c r="Z6711" t="s">
        <v>43</v>
      </c>
      <c r="AA6711" t="s">
        <v>43</v>
      </c>
      <c r="AB6711" t="s">
        <v>43</v>
      </c>
      <c r="AC6711" t="s">
        <v>43</v>
      </c>
      <c r="AD6711" t="s">
        <v>43</v>
      </c>
      <c r="AE6711" t="s">
        <v>43</v>
      </c>
      <c r="AF6711" t="s">
        <v>43</v>
      </c>
      <c r="AG6711" t="s">
        <v>43</v>
      </c>
      <c r="AH6711" t="s">
        <v>43</v>
      </c>
      <c r="AI6711" t="s">
        <v>43</v>
      </c>
      <c r="AJ6711" t="s">
        <v>43</v>
      </c>
      <c r="AK6711" t="s">
        <v>43</v>
      </c>
      <c r="AL6711" t="s">
        <v>43</v>
      </c>
      <c r="AM6711" t="s">
        <v>43</v>
      </c>
      <c r="AN6711" t="str">
        <f>HYPERLINK("https://www.google.com/maps?q=10.78964233,79.57878113","Open Location")</f>
        <v>Open Location</v>
      </c>
    </row>
    <row r="6712" spans="1:40" x14ac:dyDescent="0.3">
      <c r="A6712" s="1">
        <v>46210.222453703704</v>
      </c>
      <c r="B6712" t="s">
        <v>40</v>
      </c>
      <c r="C6712" t="s">
        <v>41</v>
      </c>
      <c r="D6712" s="1">
        <v>46210.22556712963</v>
      </c>
      <c r="E6712" t="s">
        <v>42</v>
      </c>
      <c r="F6712" t="s">
        <v>43</v>
      </c>
      <c r="G6712" t="s">
        <v>43</v>
      </c>
      <c r="H6712" t="s">
        <v>43</v>
      </c>
      <c r="I6712" t="s">
        <v>3908</v>
      </c>
      <c r="J6712" t="s">
        <v>43</v>
      </c>
      <c r="K6712" t="s">
        <v>43</v>
      </c>
      <c r="L6712" t="s">
        <v>43</v>
      </c>
      <c r="M6712" t="s">
        <v>43</v>
      </c>
      <c r="N6712" t="s">
        <v>45</v>
      </c>
      <c r="O6712" t="s">
        <v>43</v>
      </c>
      <c r="P6712" t="s">
        <v>43</v>
      </c>
      <c r="Q6712" t="s">
        <v>43</v>
      </c>
      <c r="R6712" t="s">
        <v>43</v>
      </c>
      <c r="S6712" t="s">
        <v>43</v>
      </c>
      <c r="T6712" t="s">
        <v>43</v>
      </c>
      <c r="U6712" t="s">
        <v>43</v>
      </c>
      <c r="V6712" t="s">
        <v>43</v>
      </c>
      <c r="W6712" t="s">
        <v>43</v>
      </c>
      <c r="X6712" t="s">
        <v>43</v>
      </c>
      <c r="Y6712" t="s">
        <v>43</v>
      </c>
      <c r="Z6712" t="s">
        <v>43</v>
      </c>
      <c r="AA6712" t="s">
        <v>43</v>
      </c>
      <c r="AB6712" t="s">
        <v>43</v>
      </c>
      <c r="AC6712" t="s">
        <v>43</v>
      </c>
      <c r="AD6712" t="s">
        <v>43</v>
      </c>
      <c r="AE6712" t="s">
        <v>43</v>
      </c>
      <c r="AF6712" t="s">
        <v>43</v>
      </c>
      <c r="AG6712" t="s">
        <v>43</v>
      </c>
      <c r="AH6712" t="s">
        <v>43</v>
      </c>
      <c r="AI6712" t="s">
        <v>43</v>
      </c>
      <c r="AJ6712" t="s">
        <v>43</v>
      </c>
      <c r="AK6712" t="s">
        <v>43</v>
      </c>
      <c r="AL6712" t="s">
        <v>43</v>
      </c>
      <c r="AM6712" t="s">
        <v>43</v>
      </c>
      <c r="AN6712" t="str">
        <f>HYPERLINK("https://www.google.com/maps?q=10.78964329,79.5787735","Open Location")</f>
        <v>Open Location</v>
      </c>
    </row>
    <row r="6713" spans="1:40" x14ac:dyDescent="0.3">
      <c r="A6713" s="1">
        <v>46210.222337962965</v>
      </c>
      <c r="B6713" t="s">
        <v>40</v>
      </c>
      <c r="C6713" t="s">
        <v>41</v>
      </c>
      <c r="D6713" s="1">
        <v>46210.225138888891</v>
      </c>
      <c r="E6713" t="s">
        <v>42</v>
      </c>
      <c r="F6713" t="s">
        <v>43</v>
      </c>
      <c r="G6713" t="s">
        <v>43</v>
      </c>
      <c r="H6713" t="s">
        <v>43</v>
      </c>
      <c r="I6713" t="s">
        <v>3907</v>
      </c>
      <c r="J6713" t="s">
        <v>43</v>
      </c>
      <c r="K6713" t="s">
        <v>43</v>
      </c>
      <c r="L6713" t="s">
        <v>43</v>
      </c>
      <c r="M6713" t="s">
        <v>43</v>
      </c>
      <c r="N6713" t="s">
        <v>45</v>
      </c>
      <c r="O6713" t="s">
        <v>43</v>
      </c>
      <c r="P6713" t="s">
        <v>43</v>
      </c>
      <c r="Q6713" t="s">
        <v>43</v>
      </c>
      <c r="R6713" t="s">
        <v>43</v>
      </c>
      <c r="S6713" t="s">
        <v>43</v>
      </c>
      <c r="T6713" t="s">
        <v>43</v>
      </c>
      <c r="U6713" t="s">
        <v>43</v>
      </c>
      <c r="V6713" t="s">
        <v>43</v>
      </c>
      <c r="W6713" t="s">
        <v>43</v>
      </c>
      <c r="X6713" t="s">
        <v>43</v>
      </c>
      <c r="Y6713" t="s">
        <v>43</v>
      </c>
      <c r="Z6713" t="s">
        <v>43</v>
      </c>
      <c r="AA6713" t="s">
        <v>43</v>
      </c>
      <c r="AB6713" t="s">
        <v>43</v>
      </c>
      <c r="AC6713" t="s">
        <v>43</v>
      </c>
      <c r="AD6713" t="s">
        <v>43</v>
      </c>
      <c r="AE6713" t="s">
        <v>43</v>
      </c>
      <c r="AF6713" t="s">
        <v>43</v>
      </c>
      <c r="AG6713" t="s">
        <v>43</v>
      </c>
      <c r="AH6713" t="s">
        <v>43</v>
      </c>
      <c r="AI6713" t="s">
        <v>43</v>
      </c>
      <c r="AJ6713" t="s">
        <v>43</v>
      </c>
      <c r="AK6713" t="s">
        <v>43</v>
      </c>
      <c r="AL6713" t="s">
        <v>43</v>
      </c>
      <c r="AM6713" t="s">
        <v>43</v>
      </c>
      <c r="AN6713" t="str">
        <f>HYPERLINK("https://www.google.com/maps?q=10.78964233,79.57878113","Open Location")</f>
        <v>Open Location</v>
      </c>
    </row>
    <row r="6714" spans="1:40" x14ac:dyDescent="0.3">
      <c r="A6714" s="1">
        <v>46210.222222222219</v>
      </c>
      <c r="B6714" t="s">
        <v>40</v>
      </c>
      <c r="C6714" t="s">
        <v>41</v>
      </c>
      <c r="D6714" s="1">
        <v>46210.225162037037</v>
      </c>
      <c r="E6714" t="s">
        <v>42</v>
      </c>
      <c r="F6714" t="s">
        <v>43</v>
      </c>
      <c r="G6714" t="s">
        <v>43</v>
      </c>
      <c r="H6714" t="s">
        <v>43</v>
      </c>
      <c r="I6714" t="s">
        <v>3909</v>
      </c>
      <c r="J6714" t="s">
        <v>43</v>
      </c>
      <c r="K6714" t="s">
        <v>43</v>
      </c>
      <c r="L6714" t="s">
        <v>43</v>
      </c>
      <c r="M6714" t="s">
        <v>43</v>
      </c>
      <c r="N6714" t="s">
        <v>45</v>
      </c>
      <c r="O6714" t="s">
        <v>43</v>
      </c>
      <c r="P6714" t="s">
        <v>43</v>
      </c>
      <c r="Q6714" t="s">
        <v>43</v>
      </c>
      <c r="R6714" t="s">
        <v>43</v>
      </c>
      <c r="S6714" t="s">
        <v>43</v>
      </c>
      <c r="T6714" t="s">
        <v>43</v>
      </c>
      <c r="U6714" t="s">
        <v>43</v>
      </c>
      <c r="V6714" t="s">
        <v>43</v>
      </c>
      <c r="W6714" t="s">
        <v>43</v>
      </c>
      <c r="X6714" t="s">
        <v>43</v>
      </c>
      <c r="Y6714" t="s">
        <v>43</v>
      </c>
      <c r="Z6714" t="s">
        <v>43</v>
      </c>
      <c r="AA6714" t="s">
        <v>43</v>
      </c>
      <c r="AB6714" t="s">
        <v>43</v>
      </c>
      <c r="AC6714" t="s">
        <v>43</v>
      </c>
      <c r="AD6714" t="s">
        <v>43</v>
      </c>
      <c r="AE6714" t="s">
        <v>43</v>
      </c>
      <c r="AF6714" t="s">
        <v>43</v>
      </c>
      <c r="AG6714" t="s">
        <v>43</v>
      </c>
      <c r="AH6714" t="s">
        <v>43</v>
      </c>
      <c r="AI6714" t="s">
        <v>43</v>
      </c>
      <c r="AJ6714" t="s">
        <v>43</v>
      </c>
      <c r="AK6714" t="s">
        <v>43</v>
      </c>
      <c r="AL6714" t="s">
        <v>43</v>
      </c>
      <c r="AM6714" t="s">
        <v>43</v>
      </c>
      <c r="AN6714" t="str">
        <f>HYPERLINK("https://www.google.com/maps?q=10.78964615,79.57878113","Open Location")</f>
        <v>Open Location</v>
      </c>
    </row>
    <row r="6715" spans="1:40" x14ac:dyDescent="0.3">
      <c r="A6715" s="1">
        <v>46210.22210648148</v>
      </c>
      <c r="B6715" t="s">
        <v>40</v>
      </c>
      <c r="C6715" t="s">
        <v>41</v>
      </c>
      <c r="D6715" s="1">
        <v>46210.224780092591</v>
      </c>
      <c r="E6715" t="s">
        <v>42</v>
      </c>
      <c r="F6715" t="s">
        <v>43</v>
      </c>
      <c r="G6715" t="s">
        <v>43</v>
      </c>
      <c r="H6715" t="s">
        <v>43</v>
      </c>
      <c r="I6715" t="s">
        <v>43</v>
      </c>
      <c r="J6715" t="s">
        <v>43</v>
      </c>
      <c r="K6715" t="s">
        <v>43</v>
      </c>
      <c r="L6715" t="s">
        <v>43</v>
      </c>
      <c r="M6715" t="s">
        <v>43</v>
      </c>
      <c r="N6715" t="s">
        <v>45</v>
      </c>
      <c r="O6715" t="s">
        <v>43</v>
      </c>
      <c r="P6715" t="s">
        <v>43</v>
      </c>
      <c r="Q6715" t="s">
        <v>43</v>
      </c>
      <c r="R6715" t="s">
        <v>43</v>
      </c>
      <c r="S6715" t="s">
        <v>43</v>
      </c>
      <c r="T6715" t="s">
        <v>43</v>
      </c>
      <c r="U6715" t="s">
        <v>43</v>
      </c>
      <c r="V6715" t="s">
        <v>43</v>
      </c>
      <c r="W6715" t="s">
        <v>43</v>
      </c>
      <c r="X6715" t="s">
        <v>43</v>
      </c>
      <c r="Y6715" t="s">
        <v>43</v>
      </c>
      <c r="Z6715" t="s">
        <v>43</v>
      </c>
      <c r="AA6715" t="s">
        <v>43</v>
      </c>
      <c r="AB6715" t="s">
        <v>43</v>
      </c>
      <c r="AC6715" t="s">
        <v>43</v>
      </c>
      <c r="AD6715" t="s">
        <v>43</v>
      </c>
      <c r="AE6715" t="s">
        <v>43</v>
      </c>
      <c r="AF6715" t="s">
        <v>43</v>
      </c>
      <c r="AG6715" t="s">
        <v>43</v>
      </c>
      <c r="AH6715" t="s">
        <v>43</v>
      </c>
      <c r="AI6715" t="s">
        <v>43</v>
      </c>
      <c r="AJ6715" t="s">
        <v>43</v>
      </c>
      <c r="AK6715" t="s">
        <v>43</v>
      </c>
      <c r="AL6715" t="s">
        <v>43</v>
      </c>
      <c r="AM6715" t="s">
        <v>43</v>
      </c>
      <c r="AN6715" t="s">
        <v>43</v>
      </c>
    </row>
    <row r="6716" spans="1:40" x14ac:dyDescent="0.3">
      <c r="A6716" s="1">
        <v>46210.221990740742</v>
      </c>
      <c r="B6716" t="s">
        <v>40</v>
      </c>
      <c r="C6716" t="s">
        <v>41</v>
      </c>
      <c r="D6716" s="1">
        <v>46210.224780092591</v>
      </c>
      <c r="E6716" t="s">
        <v>42</v>
      </c>
      <c r="F6716" t="s">
        <v>43</v>
      </c>
      <c r="G6716" t="s">
        <v>43</v>
      </c>
      <c r="H6716" t="s">
        <v>43</v>
      </c>
      <c r="I6716" t="s">
        <v>3910</v>
      </c>
      <c r="J6716" t="s">
        <v>43</v>
      </c>
      <c r="K6716" t="s">
        <v>43</v>
      </c>
      <c r="L6716" t="s">
        <v>43</v>
      </c>
      <c r="M6716" t="s">
        <v>43</v>
      </c>
      <c r="N6716" t="s">
        <v>45</v>
      </c>
      <c r="O6716" t="s">
        <v>43</v>
      </c>
      <c r="P6716" t="s">
        <v>43</v>
      </c>
      <c r="Q6716" t="s">
        <v>43</v>
      </c>
      <c r="R6716" t="s">
        <v>43</v>
      </c>
      <c r="S6716" t="s">
        <v>43</v>
      </c>
      <c r="T6716" t="s">
        <v>43</v>
      </c>
      <c r="U6716" t="s">
        <v>43</v>
      </c>
      <c r="V6716" t="s">
        <v>43</v>
      </c>
      <c r="W6716" t="s">
        <v>43</v>
      </c>
      <c r="X6716" t="s">
        <v>43</v>
      </c>
      <c r="Y6716" t="s">
        <v>43</v>
      </c>
      <c r="Z6716" t="s">
        <v>43</v>
      </c>
      <c r="AA6716" t="s">
        <v>43</v>
      </c>
      <c r="AB6716" t="s">
        <v>43</v>
      </c>
      <c r="AC6716" t="s">
        <v>43</v>
      </c>
      <c r="AD6716" t="s">
        <v>43</v>
      </c>
      <c r="AE6716" t="s">
        <v>43</v>
      </c>
      <c r="AF6716" t="s">
        <v>43</v>
      </c>
      <c r="AG6716" t="s">
        <v>43</v>
      </c>
      <c r="AH6716" t="s">
        <v>43</v>
      </c>
      <c r="AI6716" t="s">
        <v>43</v>
      </c>
      <c r="AJ6716" t="s">
        <v>43</v>
      </c>
      <c r="AK6716" t="s">
        <v>43</v>
      </c>
      <c r="AL6716" t="s">
        <v>43</v>
      </c>
      <c r="AM6716" t="s">
        <v>43</v>
      </c>
      <c r="AN6716" t="str">
        <f>HYPERLINK("https://www.google.com/maps?q=10.78964806,79.57878876","Open Location")</f>
        <v>Open Location</v>
      </c>
    </row>
    <row r="6717" spans="1:40" x14ac:dyDescent="0.3">
      <c r="A6717" s="1">
        <v>46210.221875000003</v>
      </c>
      <c r="B6717" t="s">
        <v>40</v>
      </c>
      <c r="C6717" t="s">
        <v>41</v>
      </c>
      <c r="D6717" s="1">
        <v>46210.224768518521</v>
      </c>
      <c r="E6717" t="s">
        <v>42</v>
      </c>
      <c r="F6717" t="s">
        <v>43</v>
      </c>
      <c r="G6717" t="s">
        <v>43</v>
      </c>
      <c r="H6717" t="s">
        <v>43</v>
      </c>
      <c r="I6717" t="s">
        <v>3911</v>
      </c>
      <c r="J6717" t="s">
        <v>43</v>
      </c>
      <c r="K6717" t="s">
        <v>43</v>
      </c>
      <c r="L6717" t="s">
        <v>43</v>
      </c>
      <c r="M6717" t="s">
        <v>43</v>
      </c>
      <c r="N6717" t="s">
        <v>45</v>
      </c>
      <c r="O6717" t="s">
        <v>43</v>
      </c>
      <c r="P6717" t="s">
        <v>43</v>
      </c>
      <c r="Q6717" t="s">
        <v>43</v>
      </c>
      <c r="R6717" t="s">
        <v>43</v>
      </c>
      <c r="S6717" t="s">
        <v>43</v>
      </c>
      <c r="T6717" t="s">
        <v>43</v>
      </c>
      <c r="U6717" t="s">
        <v>43</v>
      </c>
      <c r="V6717" t="s">
        <v>43</v>
      </c>
      <c r="W6717" t="s">
        <v>43</v>
      </c>
      <c r="X6717" t="s">
        <v>43</v>
      </c>
      <c r="Y6717" t="s">
        <v>43</v>
      </c>
      <c r="Z6717" t="s">
        <v>43</v>
      </c>
      <c r="AA6717" t="s">
        <v>43</v>
      </c>
      <c r="AB6717" t="s">
        <v>43</v>
      </c>
      <c r="AC6717" t="s">
        <v>43</v>
      </c>
      <c r="AD6717" t="s">
        <v>43</v>
      </c>
      <c r="AE6717" t="s">
        <v>43</v>
      </c>
      <c r="AF6717" t="s">
        <v>43</v>
      </c>
      <c r="AG6717" t="s">
        <v>43</v>
      </c>
      <c r="AH6717" t="s">
        <v>43</v>
      </c>
      <c r="AI6717" t="s">
        <v>43</v>
      </c>
      <c r="AJ6717" t="s">
        <v>43</v>
      </c>
      <c r="AK6717" t="s">
        <v>43</v>
      </c>
      <c r="AL6717" t="s">
        <v>43</v>
      </c>
      <c r="AM6717" t="s">
        <v>43</v>
      </c>
      <c r="AN6717" t="str">
        <f>HYPERLINK("https://www.google.com/maps?q=10.7896471,79.57878876","Open Location")</f>
        <v>Open Location</v>
      </c>
    </row>
    <row r="6718" spans="1:40" x14ac:dyDescent="0.3">
      <c r="A6718" s="1">
        <v>46210.221759259257</v>
      </c>
      <c r="B6718" t="s">
        <v>40</v>
      </c>
      <c r="C6718" t="s">
        <v>41</v>
      </c>
      <c r="D6718" s="1">
        <v>46210.224780092591</v>
      </c>
      <c r="E6718" t="s">
        <v>42</v>
      </c>
      <c r="F6718" t="s">
        <v>43</v>
      </c>
      <c r="G6718" t="s">
        <v>43</v>
      </c>
      <c r="H6718" t="s">
        <v>43</v>
      </c>
      <c r="I6718" t="s">
        <v>3912</v>
      </c>
      <c r="J6718" t="s">
        <v>43</v>
      </c>
      <c r="K6718" t="s">
        <v>43</v>
      </c>
      <c r="L6718" t="s">
        <v>43</v>
      </c>
      <c r="M6718" t="s">
        <v>43</v>
      </c>
      <c r="N6718" t="s">
        <v>45</v>
      </c>
      <c r="O6718" t="s">
        <v>43</v>
      </c>
      <c r="P6718" t="s">
        <v>43</v>
      </c>
      <c r="Q6718" t="s">
        <v>43</v>
      </c>
      <c r="R6718" t="s">
        <v>43</v>
      </c>
      <c r="S6718" t="s">
        <v>43</v>
      </c>
      <c r="T6718" t="s">
        <v>43</v>
      </c>
      <c r="U6718" t="s">
        <v>43</v>
      </c>
      <c r="V6718" t="s">
        <v>43</v>
      </c>
      <c r="W6718" t="s">
        <v>43</v>
      </c>
      <c r="X6718" t="s">
        <v>43</v>
      </c>
      <c r="Y6718" t="s">
        <v>43</v>
      </c>
      <c r="Z6718" t="s">
        <v>43</v>
      </c>
      <c r="AA6718" t="s">
        <v>43</v>
      </c>
      <c r="AB6718" t="s">
        <v>43</v>
      </c>
      <c r="AC6718" t="s">
        <v>43</v>
      </c>
      <c r="AD6718" t="s">
        <v>43</v>
      </c>
      <c r="AE6718" t="s">
        <v>43</v>
      </c>
      <c r="AF6718" t="s">
        <v>43</v>
      </c>
      <c r="AG6718" t="s">
        <v>43</v>
      </c>
      <c r="AH6718" t="s">
        <v>43</v>
      </c>
      <c r="AI6718" t="s">
        <v>43</v>
      </c>
      <c r="AJ6718" t="s">
        <v>43</v>
      </c>
      <c r="AK6718" t="s">
        <v>43</v>
      </c>
      <c r="AL6718" t="s">
        <v>43</v>
      </c>
      <c r="AM6718" t="s">
        <v>43</v>
      </c>
      <c r="AN6718" t="str">
        <f>HYPERLINK("https://www.google.com/maps?q=10.78964615,79.57879639","Open Location")</f>
        <v>Open Location</v>
      </c>
    </row>
    <row r="6719" spans="1:40" x14ac:dyDescent="0.3">
      <c r="A6719" s="1">
        <v>46210.221643518518</v>
      </c>
      <c r="B6719" t="s">
        <v>40</v>
      </c>
      <c r="C6719" t="s">
        <v>41</v>
      </c>
      <c r="D6719" s="1">
        <v>46210.224374999998</v>
      </c>
      <c r="E6719" t="s">
        <v>42</v>
      </c>
      <c r="F6719" t="s">
        <v>43</v>
      </c>
      <c r="G6719" t="s">
        <v>43</v>
      </c>
      <c r="H6719" t="s">
        <v>43</v>
      </c>
      <c r="I6719" t="s">
        <v>3913</v>
      </c>
      <c r="J6719" t="s">
        <v>43</v>
      </c>
      <c r="K6719" t="s">
        <v>43</v>
      </c>
      <c r="L6719" t="s">
        <v>43</v>
      </c>
      <c r="M6719" t="s">
        <v>43</v>
      </c>
      <c r="N6719" t="s">
        <v>45</v>
      </c>
      <c r="O6719" t="s">
        <v>43</v>
      </c>
      <c r="P6719" t="s">
        <v>43</v>
      </c>
      <c r="Q6719" t="s">
        <v>43</v>
      </c>
      <c r="R6719" t="s">
        <v>43</v>
      </c>
      <c r="S6719" t="s">
        <v>43</v>
      </c>
      <c r="T6719" t="s">
        <v>43</v>
      </c>
      <c r="U6719" t="s">
        <v>43</v>
      </c>
      <c r="V6719" t="s">
        <v>43</v>
      </c>
      <c r="W6719" t="s">
        <v>43</v>
      </c>
      <c r="X6719" t="s">
        <v>43</v>
      </c>
      <c r="Y6719" t="s">
        <v>43</v>
      </c>
      <c r="Z6719" t="s">
        <v>43</v>
      </c>
      <c r="AA6719" t="s">
        <v>43</v>
      </c>
      <c r="AB6719" t="s">
        <v>43</v>
      </c>
      <c r="AC6719" t="s">
        <v>43</v>
      </c>
      <c r="AD6719" t="s">
        <v>43</v>
      </c>
      <c r="AE6719" t="s">
        <v>43</v>
      </c>
      <c r="AF6719" t="s">
        <v>43</v>
      </c>
      <c r="AG6719" t="s">
        <v>43</v>
      </c>
      <c r="AH6719" t="s">
        <v>43</v>
      </c>
      <c r="AI6719" t="s">
        <v>43</v>
      </c>
      <c r="AJ6719" t="s">
        <v>43</v>
      </c>
      <c r="AK6719" t="s">
        <v>43</v>
      </c>
      <c r="AL6719" t="s">
        <v>43</v>
      </c>
      <c r="AM6719" t="s">
        <v>43</v>
      </c>
      <c r="AN6719" t="str">
        <f>HYPERLINK("https://www.google.com/maps?q=10.78964901,79.57879639","Open Location")</f>
        <v>Open Location</v>
      </c>
    </row>
    <row r="6720" spans="1:40" x14ac:dyDescent="0.3">
      <c r="A6720" s="1">
        <v>46210.22152777778</v>
      </c>
      <c r="B6720" t="s">
        <v>40</v>
      </c>
      <c r="C6720" t="s">
        <v>41</v>
      </c>
      <c r="D6720" s="1">
        <v>46210.224386574075</v>
      </c>
      <c r="E6720" t="s">
        <v>42</v>
      </c>
      <c r="F6720" t="s">
        <v>43</v>
      </c>
      <c r="G6720" t="s">
        <v>43</v>
      </c>
      <c r="H6720" t="s">
        <v>43</v>
      </c>
      <c r="I6720" t="s">
        <v>3910</v>
      </c>
      <c r="J6720" t="s">
        <v>43</v>
      </c>
      <c r="K6720" t="s">
        <v>43</v>
      </c>
      <c r="L6720" t="s">
        <v>43</v>
      </c>
      <c r="M6720" t="s">
        <v>43</v>
      </c>
      <c r="N6720" t="s">
        <v>45</v>
      </c>
      <c r="O6720" t="s">
        <v>43</v>
      </c>
      <c r="P6720" t="s">
        <v>43</v>
      </c>
      <c r="Q6720" t="s">
        <v>43</v>
      </c>
      <c r="R6720" t="s">
        <v>43</v>
      </c>
      <c r="S6720" t="s">
        <v>43</v>
      </c>
      <c r="T6720" t="s">
        <v>43</v>
      </c>
      <c r="U6720" t="s">
        <v>43</v>
      </c>
      <c r="V6720" t="s">
        <v>43</v>
      </c>
      <c r="W6720" t="s">
        <v>43</v>
      </c>
      <c r="X6720" t="s">
        <v>43</v>
      </c>
      <c r="Y6720" t="s">
        <v>43</v>
      </c>
      <c r="Z6720" t="s">
        <v>43</v>
      </c>
      <c r="AA6720" t="s">
        <v>43</v>
      </c>
      <c r="AB6720" t="s">
        <v>43</v>
      </c>
      <c r="AC6720" t="s">
        <v>43</v>
      </c>
      <c r="AD6720" t="s">
        <v>43</v>
      </c>
      <c r="AE6720" t="s">
        <v>43</v>
      </c>
      <c r="AF6720" t="s">
        <v>43</v>
      </c>
      <c r="AG6720" t="s">
        <v>43</v>
      </c>
      <c r="AH6720" t="s">
        <v>43</v>
      </c>
      <c r="AI6720" t="s">
        <v>43</v>
      </c>
      <c r="AJ6720" t="s">
        <v>43</v>
      </c>
      <c r="AK6720" t="s">
        <v>43</v>
      </c>
      <c r="AL6720" t="s">
        <v>43</v>
      </c>
      <c r="AM6720" t="s">
        <v>43</v>
      </c>
      <c r="AN6720" t="str">
        <f>HYPERLINK("https://www.google.com/maps?q=10.78964806,79.57878876","Open Location")</f>
        <v>Open Location</v>
      </c>
    </row>
    <row r="6721" spans="1:40" x14ac:dyDescent="0.3">
      <c r="A6721" s="1">
        <v>46210.221412037034</v>
      </c>
      <c r="B6721" t="s">
        <v>40</v>
      </c>
      <c r="C6721" t="s">
        <v>41</v>
      </c>
      <c r="D6721" s="1">
        <v>46210.224374999998</v>
      </c>
      <c r="E6721" t="s">
        <v>42</v>
      </c>
      <c r="F6721" t="s">
        <v>43</v>
      </c>
      <c r="G6721" t="s">
        <v>43</v>
      </c>
      <c r="H6721" t="s">
        <v>43</v>
      </c>
      <c r="I6721" t="s">
        <v>43</v>
      </c>
      <c r="J6721" t="s">
        <v>43</v>
      </c>
      <c r="K6721" t="s">
        <v>43</v>
      </c>
      <c r="L6721" t="s">
        <v>43</v>
      </c>
      <c r="M6721" t="s">
        <v>43</v>
      </c>
      <c r="N6721" t="s">
        <v>45</v>
      </c>
      <c r="O6721" t="s">
        <v>43</v>
      </c>
      <c r="P6721" t="s">
        <v>43</v>
      </c>
      <c r="Q6721" t="s">
        <v>43</v>
      </c>
      <c r="R6721" t="s">
        <v>43</v>
      </c>
      <c r="S6721" t="s">
        <v>43</v>
      </c>
      <c r="T6721" t="s">
        <v>43</v>
      </c>
      <c r="U6721" t="s">
        <v>43</v>
      </c>
      <c r="V6721" t="s">
        <v>43</v>
      </c>
      <c r="W6721" t="s">
        <v>43</v>
      </c>
      <c r="X6721" t="s">
        <v>43</v>
      </c>
      <c r="Y6721" t="s">
        <v>43</v>
      </c>
      <c r="Z6721" t="s">
        <v>43</v>
      </c>
      <c r="AA6721" t="s">
        <v>43</v>
      </c>
      <c r="AB6721" t="s">
        <v>43</v>
      </c>
      <c r="AC6721" t="s">
        <v>43</v>
      </c>
      <c r="AD6721" t="s">
        <v>43</v>
      </c>
      <c r="AE6721" t="s">
        <v>43</v>
      </c>
      <c r="AF6721" t="s">
        <v>43</v>
      </c>
      <c r="AG6721" t="s">
        <v>43</v>
      </c>
      <c r="AH6721" t="s">
        <v>43</v>
      </c>
      <c r="AI6721" t="s">
        <v>43</v>
      </c>
      <c r="AJ6721" t="s">
        <v>43</v>
      </c>
      <c r="AK6721" t="s">
        <v>43</v>
      </c>
      <c r="AL6721" t="s">
        <v>43</v>
      </c>
      <c r="AM6721" t="s">
        <v>43</v>
      </c>
      <c r="AN6721" t="s">
        <v>43</v>
      </c>
    </row>
    <row r="6722" spans="1:40" x14ac:dyDescent="0.3">
      <c r="A6722" s="1">
        <v>46210.221296296295</v>
      </c>
      <c r="B6722" t="s">
        <v>40</v>
      </c>
      <c r="C6722" t="s">
        <v>41</v>
      </c>
      <c r="D6722" s="1">
        <v>46210.224363425928</v>
      </c>
      <c r="E6722" t="s">
        <v>42</v>
      </c>
      <c r="F6722" t="s">
        <v>43</v>
      </c>
      <c r="G6722" t="s">
        <v>43</v>
      </c>
      <c r="H6722" t="s">
        <v>43</v>
      </c>
      <c r="I6722" t="s">
        <v>3914</v>
      </c>
      <c r="J6722" t="s">
        <v>43</v>
      </c>
      <c r="K6722" t="s">
        <v>43</v>
      </c>
      <c r="L6722" t="s">
        <v>43</v>
      </c>
      <c r="M6722" t="s">
        <v>43</v>
      </c>
      <c r="N6722" t="s">
        <v>45</v>
      </c>
      <c r="O6722" t="s">
        <v>43</v>
      </c>
      <c r="P6722" t="s">
        <v>43</v>
      </c>
      <c r="Q6722" t="s">
        <v>43</v>
      </c>
      <c r="R6722" t="s">
        <v>43</v>
      </c>
      <c r="S6722" t="s">
        <v>43</v>
      </c>
      <c r="T6722" t="s">
        <v>43</v>
      </c>
      <c r="U6722" t="s">
        <v>43</v>
      </c>
      <c r="V6722" t="s">
        <v>43</v>
      </c>
      <c r="W6722" t="s">
        <v>43</v>
      </c>
      <c r="X6722" t="s">
        <v>43</v>
      </c>
      <c r="Y6722" t="s">
        <v>43</v>
      </c>
      <c r="Z6722" t="s">
        <v>43</v>
      </c>
      <c r="AA6722" t="s">
        <v>43</v>
      </c>
      <c r="AB6722" t="s">
        <v>43</v>
      </c>
      <c r="AC6722" t="s">
        <v>43</v>
      </c>
      <c r="AD6722" t="s">
        <v>43</v>
      </c>
      <c r="AE6722" t="s">
        <v>43</v>
      </c>
      <c r="AF6722" t="s">
        <v>43</v>
      </c>
      <c r="AG6722" t="s">
        <v>43</v>
      </c>
      <c r="AH6722" t="s">
        <v>43</v>
      </c>
      <c r="AI6722" t="s">
        <v>43</v>
      </c>
      <c r="AJ6722" t="s">
        <v>43</v>
      </c>
      <c r="AK6722" t="s">
        <v>43</v>
      </c>
      <c r="AL6722" t="s">
        <v>43</v>
      </c>
      <c r="AM6722" t="s">
        <v>43</v>
      </c>
      <c r="AN6722" t="str">
        <f>HYPERLINK("https://www.google.com/maps?q=10.78964615,79.57878876","Open Location")</f>
        <v>Open Location</v>
      </c>
    </row>
    <row r="6723" spans="1:40" x14ac:dyDescent="0.3">
      <c r="A6723" s="1">
        <v>46210.221180555556</v>
      </c>
      <c r="B6723" t="s">
        <v>40</v>
      </c>
      <c r="C6723" t="s">
        <v>41</v>
      </c>
      <c r="D6723" s="1">
        <v>46210.224004629628</v>
      </c>
      <c r="E6723" t="s">
        <v>42</v>
      </c>
      <c r="F6723" t="s">
        <v>43</v>
      </c>
      <c r="G6723" t="s">
        <v>43</v>
      </c>
      <c r="H6723" t="s">
        <v>43</v>
      </c>
      <c r="I6723" t="s">
        <v>3905</v>
      </c>
      <c r="J6723" t="s">
        <v>43</v>
      </c>
      <c r="K6723" t="s">
        <v>43</v>
      </c>
      <c r="L6723" t="s">
        <v>43</v>
      </c>
      <c r="M6723" t="s">
        <v>43</v>
      </c>
      <c r="N6723" t="s">
        <v>45</v>
      </c>
      <c r="O6723" t="s">
        <v>43</v>
      </c>
      <c r="P6723" t="s">
        <v>43</v>
      </c>
      <c r="Q6723" t="s">
        <v>43</v>
      </c>
      <c r="R6723" t="s">
        <v>43</v>
      </c>
      <c r="S6723" t="s">
        <v>43</v>
      </c>
      <c r="T6723" t="s">
        <v>43</v>
      </c>
      <c r="U6723" t="s">
        <v>43</v>
      </c>
      <c r="V6723" t="s">
        <v>43</v>
      </c>
      <c r="W6723" t="s">
        <v>43</v>
      </c>
      <c r="X6723" t="s">
        <v>43</v>
      </c>
      <c r="Y6723" t="s">
        <v>43</v>
      </c>
      <c r="Z6723" t="s">
        <v>43</v>
      </c>
      <c r="AA6723" t="s">
        <v>43</v>
      </c>
      <c r="AB6723" t="s">
        <v>43</v>
      </c>
      <c r="AC6723" t="s">
        <v>43</v>
      </c>
      <c r="AD6723" t="s">
        <v>43</v>
      </c>
      <c r="AE6723" t="s">
        <v>43</v>
      </c>
      <c r="AF6723" t="s">
        <v>43</v>
      </c>
      <c r="AG6723" t="s">
        <v>43</v>
      </c>
      <c r="AH6723" t="s">
        <v>43</v>
      </c>
      <c r="AI6723" t="s">
        <v>43</v>
      </c>
      <c r="AJ6723" t="s">
        <v>43</v>
      </c>
      <c r="AK6723" t="s">
        <v>43</v>
      </c>
      <c r="AL6723" t="s">
        <v>43</v>
      </c>
      <c r="AM6723" t="s">
        <v>43</v>
      </c>
      <c r="AN6723" t="str">
        <f>HYPERLINK("https://www.google.com/maps?q=10.7896452,79.57878876","Open Location")</f>
        <v>Open Location</v>
      </c>
    </row>
    <row r="6724" spans="1:40" x14ac:dyDescent="0.3">
      <c r="A6724" s="1">
        <v>46210.221064814818</v>
      </c>
      <c r="B6724" t="s">
        <v>40</v>
      </c>
      <c r="C6724" t="s">
        <v>41</v>
      </c>
      <c r="D6724" s="1">
        <v>46210.224004629628</v>
      </c>
      <c r="E6724" t="s">
        <v>42</v>
      </c>
      <c r="F6724" t="s">
        <v>43</v>
      </c>
      <c r="G6724" t="s">
        <v>43</v>
      </c>
      <c r="H6724" t="s">
        <v>43</v>
      </c>
      <c r="I6724" t="s">
        <v>3915</v>
      </c>
      <c r="J6724" t="s">
        <v>43</v>
      </c>
      <c r="K6724" t="s">
        <v>43</v>
      </c>
      <c r="L6724" t="s">
        <v>43</v>
      </c>
      <c r="M6724" t="s">
        <v>43</v>
      </c>
      <c r="N6724" t="s">
        <v>45</v>
      </c>
      <c r="O6724" t="s">
        <v>43</v>
      </c>
      <c r="P6724" t="s">
        <v>43</v>
      </c>
      <c r="Q6724" t="s">
        <v>43</v>
      </c>
      <c r="R6724" t="s">
        <v>43</v>
      </c>
      <c r="S6724" t="s">
        <v>43</v>
      </c>
      <c r="T6724" t="s">
        <v>43</v>
      </c>
      <c r="U6724" t="s">
        <v>43</v>
      </c>
      <c r="V6724" t="s">
        <v>43</v>
      </c>
      <c r="W6724" t="s">
        <v>43</v>
      </c>
      <c r="X6724" t="s">
        <v>43</v>
      </c>
      <c r="Y6724" t="s">
        <v>43</v>
      </c>
      <c r="Z6724" t="s">
        <v>43</v>
      </c>
      <c r="AA6724" t="s">
        <v>43</v>
      </c>
      <c r="AB6724" t="s">
        <v>43</v>
      </c>
      <c r="AC6724" t="s">
        <v>43</v>
      </c>
      <c r="AD6724" t="s">
        <v>43</v>
      </c>
      <c r="AE6724" t="s">
        <v>43</v>
      </c>
      <c r="AF6724" t="s">
        <v>43</v>
      </c>
      <c r="AG6724" t="s">
        <v>43</v>
      </c>
      <c r="AH6724" t="s">
        <v>43</v>
      </c>
      <c r="AI6724" t="s">
        <v>43</v>
      </c>
      <c r="AJ6724" t="s">
        <v>43</v>
      </c>
      <c r="AK6724" t="s">
        <v>43</v>
      </c>
      <c r="AL6724" t="s">
        <v>43</v>
      </c>
      <c r="AM6724" t="s">
        <v>43</v>
      </c>
      <c r="AN6724" t="str">
        <f>HYPERLINK("https://www.google.com/maps?q=10.78964424,79.57878876","Open Location")</f>
        <v>Open Location</v>
      </c>
    </row>
    <row r="6725" spans="1:40" x14ac:dyDescent="0.3">
      <c r="A6725" s="1">
        <v>46210.220949074072</v>
      </c>
      <c r="B6725" t="s">
        <v>40</v>
      </c>
      <c r="C6725" t="s">
        <v>41</v>
      </c>
      <c r="D6725" s="1">
        <v>46210.224004629628</v>
      </c>
      <c r="E6725" t="s">
        <v>42</v>
      </c>
      <c r="F6725" t="s">
        <v>43</v>
      </c>
      <c r="G6725" t="s">
        <v>43</v>
      </c>
      <c r="H6725" t="s">
        <v>43</v>
      </c>
      <c r="I6725" t="s">
        <v>3916</v>
      </c>
      <c r="J6725" t="s">
        <v>43</v>
      </c>
      <c r="K6725" t="s">
        <v>43</v>
      </c>
      <c r="L6725" t="s">
        <v>43</v>
      </c>
      <c r="M6725" t="s">
        <v>43</v>
      </c>
      <c r="N6725" t="s">
        <v>45</v>
      </c>
      <c r="O6725" t="s">
        <v>43</v>
      </c>
      <c r="P6725" t="s">
        <v>43</v>
      </c>
      <c r="Q6725" t="s">
        <v>43</v>
      </c>
      <c r="R6725" t="s">
        <v>43</v>
      </c>
      <c r="S6725" t="s">
        <v>43</v>
      </c>
      <c r="T6725" t="s">
        <v>43</v>
      </c>
      <c r="U6725" t="s">
        <v>43</v>
      </c>
      <c r="V6725" t="s">
        <v>43</v>
      </c>
      <c r="W6725" t="s">
        <v>43</v>
      </c>
      <c r="X6725" t="s">
        <v>43</v>
      </c>
      <c r="Y6725" t="s">
        <v>43</v>
      </c>
      <c r="Z6725" t="s">
        <v>43</v>
      </c>
      <c r="AA6725" t="s">
        <v>43</v>
      </c>
      <c r="AB6725" t="s">
        <v>43</v>
      </c>
      <c r="AC6725" t="s">
        <v>43</v>
      </c>
      <c r="AD6725" t="s">
        <v>43</v>
      </c>
      <c r="AE6725" t="s">
        <v>43</v>
      </c>
      <c r="AF6725" t="s">
        <v>43</v>
      </c>
      <c r="AG6725" t="s">
        <v>43</v>
      </c>
      <c r="AH6725" t="s">
        <v>43</v>
      </c>
      <c r="AI6725" t="s">
        <v>43</v>
      </c>
      <c r="AJ6725" t="s">
        <v>43</v>
      </c>
      <c r="AK6725" t="s">
        <v>43</v>
      </c>
      <c r="AL6725" t="s">
        <v>43</v>
      </c>
      <c r="AM6725" t="s">
        <v>43</v>
      </c>
      <c r="AN6725" t="str">
        <f>HYPERLINK("https://www.google.com/maps?q=10.7896471,79.57879639","Open Location")</f>
        <v>Open Location</v>
      </c>
    </row>
    <row r="6726" spans="1:40" x14ac:dyDescent="0.3">
      <c r="A6726" s="1">
        <v>46210.220833333333</v>
      </c>
      <c r="B6726" t="s">
        <v>40</v>
      </c>
      <c r="C6726" t="s">
        <v>41</v>
      </c>
      <c r="D6726" s="1">
        <v>46210.223993055559</v>
      </c>
      <c r="E6726" t="s">
        <v>42</v>
      </c>
      <c r="F6726" t="s">
        <v>43</v>
      </c>
      <c r="G6726" t="s">
        <v>43</v>
      </c>
      <c r="H6726" t="s">
        <v>43</v>
      </c>
      <c r="I6726" t="s">
        <v>43</v>
      </c>
      <c r="J6726" t="s">
        <v>43</v>
      </c>
      <c r="K6726" t="s">
        <v>43</v>
      </c>
      <c r="L6726" t="s">
        <v>43</v>
      </c>
      <c r="M6726" t="s">
        <v>43</v>
      </c>
      <c r="N6726" t="s">
        <v>45</v>
      </c>
      <c r="O6726" t="s">
        <v>43</v>
      </c>
      <c r="P6726" t="s">
        <v>43</v>
      </c>
      <c r="Q6726" t="s">
        <v>43</v>
      </c>
      <c r="R6726" t="s">
        <v>43</v>
      </c>
      <c r="S6726" t="s">
        <v>43</v>
      </c>
      <c r="T6726" t="s">
        <v>43</v>
      </c>
      <c r="U6726" t="s">
        <v>43</v>
      </c>
      <c r="V6726" t="s">
        <v>43</v>
      </c>
      <c r="W6726" t="s">
        <v>43</v>
      </c>
      <c r="X6726" t="s">
        <v>43</v>
      </c>
      <c r="Y6726" t="s">
        <v>43</v>
      </c>
      <c r="Z6726" t="s">
        <v>43</v>
      </c>
      <c r="AA6726" t="s">
        <v>43</v>
      </c>
      <c r="AB6726" t="s">
        <v>43</v>
      </c>
      <c r="AC6726" t="s">
        <v>43</v>
      </c>
      <c r="AD6726" t="s">
        <v>43</v>
      </c>
      <c r="AE6726" t="s">
        <v>43</v>
      </c>
      <c r="AF6726" t="s">
        <v>43</v>
      </c>
      <c r="AG6726" t="s">
        <v>43</v>
      </c>
      <c r="AH6726" t="s">
        <v>43</v>
      </c>
      <c r="AI6726" t="s">
        <v>43</v>
      </c>
      <c r="AJ6726" t="s">
        <v>43</v>
      </c>
      <c r="AK6726" t="s">
        <v>43</v>
      </c>
      <c r="AL6726" t="s">
        <v>43</v>
      </c>
      <c r="AM6726" t="s">
        <v>43</v>
      </c>
      <c r="AN6726" t="s">
        <v>43</v>
      </c>
    </row>
    <row r="6727" spans="1:40" x14ac:dyDescent="0.3">
      <c r="A6727" s="1">
        <v>46210.220717592594</v>
      </c>
      <c r="B6727" t="s">
        <v>40</v>
      </c>
      <c r="C6727" t="s">
        <v>41</v>
      </c>
      <c r="D6727" s="1">
        <v>46210.223622685182</v>
      </c>
      <c r="E6727" t="s">
        <v>42</v>
      </c>
      <c r="F6727" t="s">
        <v>43</v>
      </c>
      <c r="G6727" t="s">
        <v>43</v>
      </c>
      <c r="H6727" t="s">
        <v>43</v>
      </c>
      <c r="I6727" t="s">
        <v>3913</v>
      </c>
      <c r="J6727" t="s">
        <v>43</v>
      </c>
      <c r="K6727" t="s">
        <v>43</v>
      </c>
      <c r="L6727" t="s">
        <v>43</v>
      </c>
      <c r="M6727" t="s">
        <v>43</v>
      </c>
      <c r="N6727" t="s">
        <v>45</v>
      </c>
      <c r="O6727" t="s">
        <v>43</v>
      </c>
      <c r="P6727" t="s">
        <v>43</v>
      </c>
      <c r="Q6727" t="s">
        <v>43</v>
      </c>
      <c r="R6727" t="s">
        <v>43</v>
      </c>
      <c r="S6727" t="s">
        <v>43</v>
      </c>
      <c r="T6727" t="s">
        <v>43</v>
      </c>
      <c r="U6727" t="s">
        <v>43</v>
      </c>
      <c r="V6727" t="s">
        <v>43</v>
      </c>
      <c r="W6727" t="s">
        <v>43</v>
      </c>
      <c r="X6727" t="s">
        <v>43</v>
      </c>
      <c r="Y6727" t="s">
        <v>43</v>
      </c>
      <c r="Z6727" t="s">
        <v>43</v>
      </c>
      <c r="AA6727" t="s">
        <v>43</v>
      </c>
      <c r="AB6727" t="s">
        <v>43</v>
      </c>
      <c r="AC6727" t="s">
        <v>43</v>
      </c>
      <c r="AD6727" t="s">
        <v>43</v>
      </c>
      <c r="AE6727" t="s">
        <v>43</v>
      </c>
      <c r="AF6727" t="s">
        <v>43</v>
      </c>
      <c r="AG6727" t="s">
        <v>43</v>
      </c>
      <c r="AH6727" t="s">
        <v>43</v>
      </c>
      <c r="AI6727" t="s">
        <v>43</v>
      </c>
      <c r="AJ6727" t="s">
        <v>43</v>
      </c>
      <c r="AK6727" t="s">
        <v>43</v>
      </c>
      <c r="AL6727" t="s">
        <v>43</v>
      </c>
      <c r="AM6727" t="s">
        <v>43</v>
      </c>
      <c r="AN6727" t="str">
        <f>HYPERLINK("https://www.google.com/maps?q=10.78964901,79.57879639","Open Location")</f>
        <v>Open Location</v>
      </c>
    </row>
    <row r="6728" spans="1:40" x14ac:dyDescent="0.3">
      <c r="A6728" s="1">
        <v>46210.220601851855</v>
      </c>
      <c r="B6728" t="s">
        <v>40</v>
      </c>
      <c r="C6728" t="s">
        <v>41</v>
      </c>
      <c r="D6728" s="1">
        <v>46210.223622685182</v>
      </c>
      <c r="E6728" t="s">
        <v>42</v>
      </c>
      <c r="F6728" t="s">
        <v>43</v>
      </c>
      <c r="G6728" t="s">
        <v>43</v>
      </c>
      <c r="H6728" t="s">
        <v>43</v>
      </c>
      <c r="I6728" t="s">
        <v>3913</v>
      </c>
      <c r="J6728" t="s">
        <v>43</v>
      </c>
      <c r="K6728" t="s">
        <v>43</v>
      </c>
      <c r="L6728" t="s">
        <v>43</v>
      </c>
      <c r="M6728" t="s">
        <v>43</v>
      </c>
      <c r="N6728" t="s">
        <v>45</v>
      </c>
      <c r="O6728" t="s">
        <v>43</v>
      </c>
      <c r="P6728" t="s">
        <v>43</v>
      </c>
      <c r="Q6728" t="s">
        <v>43</v>
      </c>
      <c r="R6728" t="s">
        <v>43</v>
      </c>
      <c r="S6728" t="s">
        <v>43</v>
      </c>
      <c r="T6728" t="s">
        <v>43</v>
      </c>
      <c r="U6728" t="s">
        <v>43</v>
      </c>
      <c r="V6728" t="s">
        <v>43</v>
      </c>
      <c r="W6728" t="s">
        <v>43</v>
      </c>
      <c r="X6728" t="s">
        <v>43</v>
      </c>
      <c r="Y6728" t="s">
        <v>43</v>
      </c>
      <c r="Z6728" t="s">
        <v>43</v>
      </c>
      <c r="AA6728" t="s">
        <v>43</v>
      </c>
      <c r="AB6728" t="s">
        <v>43</v>
      </c>
      <c r="AC6728" t="s">
        <v>43</v>
      </c>
      <c r="AD6728" t="s">
        <v>43</v>
      </c>
      <c r="AE6728" t="s">
        <v>43</v>
      </c>
      <c r="AF6728" t="s">
        <v>43</v>
      </c>
      <c r="AG6728" t="s">
        <v>43</v>
      </c>
      <c r="AH6728" t="s">
        <v>43</v>
      </c>
      <c r="AI6728" t="s">
        <v>43</v>
      </c>
      <c r="AJ6728" t="s">
        <v>43</v>
      </c>
      <c r="AK6728" t="s">
        <v>43</v>
      </c>
      <c r="AL6728" t="s">
        <v>43</v>
      </c>
      <c r="AM6728" t="s">
        <v>43</v>
      </c>
      <c r="AN6728" t="str">
        <f>HYPERLINK("https://www.google.com/maps?q=10.78964901,79.57879639","Open Location")</f>
        <v>Open Location</v>
      </c>
    </row>
    <row r="6729" spans="1:40" x14ac:dyDescent="0.3">
      <c r="A6729" s="1">
        <v>46210.220486111109</v>
      </c>
      <c r="B6729" t="s">
        <v>40</v>
      </c>
      <c r="C6729" t="s">
        <v>41</v>
      </c>
      <c r="D6729" s="1">
        <v>46210.223252314812</v>
      </c>
      <c r="E6729" t="s">
        <v>42</v>
      </c>
      <c r="F6729" t="s">
        <v>43</v>
      </c>
      <c r="G6729" t="s">
        <v>43</v>
      </c>
      <c r="H6729" t="s">
        <v>43</v>
      </c>
      <c r="I6729" t="s">
        <v>3917</v>
      </c>
      <c r="J6729" t="s">
        <v>43</v>
      </c>
      <c r="K6729" t="s">
        <v>43</v>
      </c>
      <c r="L6729" t="s">
        <v>43</v>
      </c>
      <c r="M6729" t="s">
        <v>43</v>
      </c>
      <c r="N6729" t="s">
        <v>45</v>
      </c>
      <c r="O6729" t="s">
        <v>43</v>
      </c>
      <c r="P6729" t="s">
        <v>43</v>
      </c>
      <c r="Q6729" t="s">
        <v>43</v>
      </c>
      <c r="R6729" t="s">
        <v>43</v>
      </c>
      <c r="S6729" t="s">
        <v>43</v>
      </c>
      <c r="T6729" t="s">
        <v>43</v>
      </c>
      <c r="U6729" t="s">
        <v>43</v>
      </c>
      <c r="V6729" t="s">
        <v>43</v>
      </c>
      <c r="W6729" t="s">
        <v>43</v>
      </c>
      <c r="X6729" t="s">
        <v>43</v>
      </c>
      <c r="Y6729" t="s">
        <v>43</v>
      </c>
      <c r="Z6729" t="s">
        <v>43</v>
      </c>
      <c r="AA6729" t="s">
        <v>43</v>
      </c>
      <c r="AB6729" t="s">
        <v>43</v>
      </c>
      <c r="AC6729" t="s">
        <v>43</v>
      </c>
      <c r="AD6729" t="s">
        <v>43</v>
      </c>
      <c r="AE6729" t="s">
        <v>43</v>
      </c>
      <c r="AF6729" t="s">
        <v>43</v>
      </c>
      <c r="AG6729" t="s">
        <v>43</v>
      </c>
      <c r="AH6729" t="s">
        <v>43</v>
      </c>
      <c r="AI6729" t="s">
        <v>43</v>
      </c>
      <c r="AJ6729" t="s">
        <v>43</v>
      </c>
      <c r="AK6729" t="s">
        <v>43</v>
      </c>
      <c r="AL6729" t="s">
        <v>43</v>
      </c>
      <c r="AM6729" t="s">
        <v>43</v>
      </c>
      <c r="AN6729" t="str">
        <f>HYPERLINK("https://www.google.com/maps?q=10.78965473,79.57879639","Open Location")</f>
        <v>Open Location</v>
      </c>
    </row>
    <row r="6730" spans="1:40" x14ac:dyDescent="0.3">
      <c r="A6730" s="1">
        <v>46210.220370370371</v>
      </c>
      <c r="B6730" t="s">
        <v>40</v>
      </c>
      <c r="C6730" t="s">
        <v>41</v>
      </c>
      <c r="D6730" s="1">
        <v>46210.223449074074</v>
      </c>
      <c r="E6730" t="s">
        <v>42</v>
      </c>
      <c r="F6730" t="s">
        <v>43</v>
      </c>
      <c r="G6730" t="s">
        <v>43</v>
      </c>
      <c r="H6730" t="s">
        <v>43</v>
      </c>
      <c r="I6730" t="s">
        <v>3918</v>
      </c>
      <c r="J6730" t="s">
        <v>43</v>
      </c>
      <c r="K6730" t="s">
        <v>43</v>
      </c>
      <c r="L6730" t="s">
        <v>43</v>
      </c>
      <c r="M6730" t="s">
        <v>43</v>
      </c>
      <c r="N6730" t="s">
        <v>45</v>
      </c>
      <c r="O6730" t="s">
        <v>43</v>
      </c>
      <c r="P6730" t="s">
        <v>43</v>
      </c>
      <c r="Q6730" t="s">
        <v>43</v>
      </c>
      <c r="R6730" t="s">
        <v>43</v>
      </c>
      <c r="S6730" t="s">
        <v>43</v>
      </c>
      <c r="T6730" t="s">
        <v>43</v>
      </c>
      <c r="U6730" t="s">
        <v>43</v>
      </c>
      <c r="V6730" t="s">
        <v>43</v>
      </c>
      <c r="W6730" t="s">
        <v>43</v>
      </c>
      <c r="X6730" t="s">
        <v>43</v>
      </c>
      <c r="Y6730" t="s">
        <v>43</v>
      </c>
      <c r="Z6730" t="s">
        <v>43</v>
      </c>
      <c r="AA6730" t="s">
        <v>43</v>
      </c>
      <c r="AB6730" t="s">
        <v>43</v>
      </c>
      <c r="AC6730" t="s">
        <v>43</v>
      </c>
      <c r="AD6730" t="s">
        <v>43</v>
      </c>
      <c r="AE6730" t="s">
        <v>43</v>
      </c>
      <c r="AF6730" t="s">
        <v>43</v>
      </c>
      <c r="AG6730" t="s">
        <v>43</v>
      </c>
      <c r="AH6730" t="s">
        <v>43</v>
      </c>
      <c r="AI6730" t="s">
        <v>43</v>
      </c>
      <c r="AJ6730" t="s">
        <v>43</v>
      </c>
      <c r="AK6730" t="s">
        <v>43</v>
      </c>
      <c r="AL6730" t="s">
        <v>43</v>
      </c>
      <c r="AM6730" t="s">
        <v>43</v>
      </c>
      <c r="AN6730" t="str">
        <f>HYPERLINK("https://www.google.com/maps?q=10.78965092,79.57881165","Open Location")</f>
        <v>Open Location</v>
      </c>
    </row>
    <row r="6731" spans="1:40" x14ac:dyDescent="0.3">
      <c r="A6731" s="1">
        <v>46210.220254629632</v>
      </c>
      <c r="B6731" t="s">
        <v>40</v>
      </c>
      <c r="C6731" t="s">
        <v>41</v>
      </c>
      <c r="D6731" s="1">
        <v>46210.223252314812</v>
      </c>
      <c r="E6731" t="s">
        <v>42</v>
      </c>
      <c r="F6731" t="s">
        <v>43</v>
      </c>
      <c r="G6731" t="s">
        <v>43</v>
      </c>
      <c r="H6731" t="s">
        <v>43</v>
      </c>
      <c r="I6731" t="s">
        <v>3919</v>
      </c>
      <c r="J6731" t="s">
        <v>43</v>
      </c>
      <c r="K6731" t="s">
        <v>43</v>
      </c>
      <c r="L6731" t="s">
        <v>43</v>
      </c>
      <c r="M6731" t="s">
        <v>43</v>
      </c>
      <c r="N6731" t="s">
        <v>45</v>
      </c>
      <c r="O6731" t="s">
        <v>43</v>
      </c>
      <c r="P6731" t="s">
        <v>43</v>
      </c>
      <c r="Q6731" t="s">
        <v>43</v>
      </c>
      <c r="R6731" t="s">
        <v>43</v>
      </c>
      <c r="S6731" t="s">
        <v>43</v>
      </c>
      <c r="T6731" t="s">
        <v>43</v>
      </c>
      <c r="U6731" t="s">
        <v>43</v>
      </c>
      <c r="V6731" t="s">
        <v>43</v>
      </c>
      <c r="W6731" t="s">
        <v>43</v>
      </c>
      <c r="X6731" t="s">
        <v>43</v>
      </c>
      <c r="Y6731" t="s">
        <v>43</v>
      </c>
      <c r="Z6731" t="s">
        <v>43</v>
      </c>
      <c r="AA6731" t="s">
        <v>43</v>
      </c>
      <c r="AB6731" t="s">
        <v>43</v>
      </c>
      <c r="AC6731" t="s">
        <v>43</v>
      </c>
      <c r="AD6731" t="s">
        <v>43</v>
      </c>
      <c r="AE6731" t="s">
        <v>43</v>
      </c>
      <c r="AF6731" t="s">
        <v>43</v>
      </c>
      <c r="AG6731" t="s">
        <v>43</v>
      </c>
      <c r="AH6731" t="s">
        <v>43</v>
      </c>
      <c r="AI6731" t="s">
        <v>43</v>
      </c>
      <c r="AJ6731" t="s">
        <v>43</v>
      </c>
      <c r="AK6731" t="s">
        <v>43</v>
      </c>
      <c r="AL6731" t="s">
        <v>43</v>
      </c>
      <c r="AM6731" t="s">
        <v>43</v>
      </c>
      <c r="AN6731" t="str">
        <f>HYPERLINK("https://www.google.com/maps?q=10.78965378,79.57881927","Open Location")</f>
        <v>Open Location</v>
      </c>
    </row>
    <row r="6732" spans="1:40" x14ac:dyDescent="0.3">
      <c r="A6732" s="1">
        <v>46210.220138888886</v>
      </c>
      <c r="B6732" t="s">
        <v>40</v>
      </c>
      <c r="C6732" t="s">
        <v>41</v>
      </c>
      <c r="D6732" s="1">
        <v>46210.223101851851</v>
      </c>
      <c r="E6732" t="s">
        <v>42</v>
      </c>
      <c r="F6732" t="s">
        <v>43</v>
      </c>
      <c r="G6732" t="s">
        <v>43</v>
      </c>
      <c r="H6732" t="s">
        <v>43</v>
      </c>
      <c r="I6732" t="s">
        <v>43</v>
      </c>
      <c r="J6732" t="s">
        <v>43</v>
      </c>
      <c r="K6732" t="s">
        <v>43</v>
      </c>
      <c r="L6732" t="s">
        <v>43</v>
      </c>
      <c r="M6732" t="s">
        <v>43</v>
      </c>
      <c r="N6732" t="s">
        <v>45</v>
      </c>
      <c r="O6732" t="s">
        <v>43</v>
      </c>
      <c r="P6732" t="s">
        <v>43</v>
      </c>
      <c r="Q6732" t="s">
        <v>43</v>
      </c>
      <c r="R6732" t="s">
        <v>43</v>
      </c>
      <c r="S6732" t="s">
        <v>43</v>
      </c>
      <c r="T6732" t="s">
        <v>43</v>
      </c>
      <c r="U6732" t="s">
        <v>43</v>
      </c>
      <c r="V6732" t="s">
        <v>43</v>
      </c>
      <c r="W6732" t="s">
        <v>43</v>
      </c>
      <c r="X6732" t="s">
        <v>43</v>
      </c>
      <c r="Y6732" t="s">
        <v>43</v>
      </c>
      <c r="Z6732" t="s">
        <v>43</v>
      </c>
      <c r="AA6732" t="s">
        <v>43</v>
      </c>
      <c r="AB6732" t="s">
        <v>43</v>
      </c>
      <c r="AC6732" t="s">
        <v>43</v>
      </c>
      <c r="AD6732" t="s">
        <v>43</v>
      </c>
      <c r="AE6732" t="s">
        <v>43</v>
      </c>
      <c r="AF6732" t="s">
        <v>43</v>
      </c>
      <c r="AG6732" t="s">
        <v>43</v>
      </c>
      <c r="AH6732" t="s">
        <v>43</v>
      </c>
      <c r="AI6732" t="s">
        <v>43</v>
      </c>
      <c r="AJ6732" t="s">
        <v>43</v>
      </c>
      <c r="AK6732" t="s">
        <v>43</v>
      </c>
      <c r="AL6732" t="s">
        <v>43</v>
      </c>
      <c r="AM6732" t="s">
        <v>43</v>
      </c>
      <c r="AN6732" t="s">
        <v>43</v>
      </c>
    </row>
    <row r="6733" spans="1:40" x14ac:dyDescent="0.3">
      <c r="A6733" s="1">
        <v>46210.220023148147</v>
      </c>
      <c r="B6733" t="s">
        <v>40</v>
      </c>
      <c r="C6733" t="s">
        <v>41</v>
      </c>
      <c r="D6733" s="1">
        <v>46210.222881944443</v>
      </c>
      <c r="E6733" t="s">
        <v>42</v>
      </c>
      <c r="F6733" t="s">
        <v>43</v>
      </c>
      <c r="G6733" t="s">
        <v>43</v>
      </c>
      <c r="H6733" t="s">
        <v>43</v>
      </c>
      <c r="I6733" t="s">
        <v>3918</v>
      </c>
      <c r="J6733" t="s">
        <v>43</v>
      </c>
      <c r="K6733" t="s">
        <v>43</v>
      </c>
      <c r="L6733" t="s">
        <v>43</v>
      </c>
      <c r="M6733" t="s">
        <v>43</v>
      </c>
      <c r="N6733" t="s">
        <v>45</v>
      </c>
      <c r="O6733" t="s">
        <v>43</v>
      </c>
      <c r="P6733" t="s">
        <v>43</v>
      </c>
      <c r="Q6733" t="s">
        <v>43</v>
      </c>
      <c r="R6733" t="s">
        <v>43</v>
      </c>
      <c r="S6733" t="s">
        <v>43</v>
      </c>
      <c r="T6733" t="s">
        <v>43</v>
      </c>
      <c r="U6733" t="s">
        <v>43</v>
      </c>
      <c r="V6733" t="s">
        <v>43</v>
      </c>
      <c r="W6733" t="s">
        <v>43</v>
      </c>
      <c r="X6733" t="s">
        <v>43</v>
      </c>
      <c r="Y6733" t="s">
        <v>43</v>
      </c>
      <c r="Z6733" t="s">
        <v>43</v>
      </c>
      <c r="AA6733" t="s">
        <v>43</v>
      </c>
      <c r="AB6733" t="s">
        <v>43</v>
      </c>
      <c r="AC6733" t="s">
        <v>43</v>
      </c>
      <c r="AD6733" t="s">
        <v>43</v>
      </c>
      <c r="AE6733" t="s">
        <v>43</v>
      </c>
      <c r="AF6733" t="s">
        <v>43</v>
      </c>
      <c r="AG6733" t="s">
        <v>43</v>
      </c>
      <c r="AH6733" t="s">
        <v>43</v>
      </c>
      <c r="AI6733" t="s">
        <v>43</v>
      </c>
      <c r="AJ6733" t="s">
        <v>43</v>
      </c>
      <c r="AK6733" t="s">
        <v>43</v>
      </c>
      <c r="AL6733" t="s">
        <v>43</v>
      </c>
      <c r="AM6733" t="s">
        <v>43</v>
      </c>
      <c r="AN6733" t="str">
        <f>HYPERLINK("https://www.google.com/maps?q=10.78965092,79.57881165","Open Location")</f>
        <v>Open Location</v>
      </c>
    </row>
    <row r="6734" spans="1:40" x14ac:dyDescent="0.3">
      <c r="A6734" s="1">
        <v>46210.219907407409</v>
      </c>
      <c r="B6734" t="s">
        <v>40</v>
      </c>
      <c r="C6734" t="s">
        <v>41</v>
      </c>
      <c r="D6734" s="1">
        <v>46210.222731481481</v>
      </c>
      <c r="E6734" t="s">
        <v>42</v>
      </c>
      <c r="F6734" t="s">
        <v>43</v>
      </c>
      <c r="G6734" t="s">
        <v>43</v>
      </c>
      <c r="H6734" t="s">
        <v>43</v>
      </c>
      <c r="I6734" t="s">
        <v>3920</v>
      </c>
      <c r="J6734" t="s">
        <v>43</v>
      </c>
      <c r="K6734" t="s">
        <v>43</v>
      </c>
      <c r="L6734" t="s">
        <v>43</v>
      </c>
      <c r="M6734" t="s">
        <v>43</v>
      </c>
      <c r="N6734" t="s">
        <v>45</v>
      </c>
      <c r="O6734" t="s">
        <v>43</v>
      </c>
      <c r="P6734" t="s">
        <v>43</v>
      </c>
      <c r="Q6734" t="s">
        <v>43</v>
      </c>
      <c r="R6734" t="s">
        <v>43</v>
      </c>
      <c r="S6734" t="s">
        <v>43</v>
      </c>
      <c r="T6734" t="s">
        <v>43</v>
      </c>
      <c r="U6734" t="s">
        <v>43</v>
      </c>
      <c r="V6734" t="s">
        <v>43</v>
      </c>
      <c r="W6734" t="s">
        <v>43</v>
      </c>
      <c r="X6734" t="s">
        <v>43</v>
      </c>
      <c r="Y6734" t="s">
        <v>43</v>
      </c>
      <c r="Z6734" t="s">
        <v>43</v>
      </c>
      <c r="AA6734" t="s">
        <v>43</v>
      </c>
      <c r="AB6734" t="s">
        <v>43</v>
      </c>
      <c r="AC6734" t="s">
        <v>43</v>
      </c>
      <c r="AD6734" t="s">
        <v>43</v>
      </c>
      <c r="AE6734" t="s">
        <v>43</v>
      </c>
      <c r="AF6734" t="s">
        <v>43</v>
      </c>
      <c r="AG6734" t="s">
        <v>43</v>
      </c>
      <c r="AH6734" t="s">
        <v>43</v>
      </c>
      <c r="AI6734" t="s">
        <v>43</v>
      </c>
      <c r="AJ6734" t="s">
        <v>43</v>
      </c>
      <c r="AK6734" t="s">
        <v>43</v>
      </c>
      <c r="AL6734" t="s">
        <v>43</v>
      </c>
      <c r="AM6734" t="s">
        <v>43</v>
      </c>
      <c r="AN6734" t="str">
        <f>HYPERLINK("https://www.google.com/maps?q=10.7896471,79.57881927","Open Location")</f>
        <v>Open Location</v>
      </c>
    </row>
    <row r="6735" spans="1:40" x14ac:dyDescent="0.3">
      <c r="A6735" s="1">
        <v>46210.21979166667</v>
      </c>
      <c r="B6735" t="s">
        <v>40</v>
      </c>
      <c r="C6735" t="s">
        <v>41</v>
      </c>
      <c r="D6735" s="1">
        <v>46210.22252314815</v>
      </c>
      <c r="E6735" t="s">
        <v>42</v>
      </c>
      <c r="F6735" t="s">
        <v>43</v>
      </c>
      <c r="G6735" t="s">
        <v>43</v>
      </c>
      <c r="H6735" t="s">
        <v>43</v>
      </c>
      <c r="I6735" t="s">
        <v>3921</v>
      </c>
      <c r="J6735" t="s">
        <v>43</v>
      </c>
      <c r="K6735" t="s">
        <v>43</v>
      </c>
      <c r="L6735" t="s">
        <v>43</v>
      </c>
      <c r="M6735" t="s">
        <v>43</v>
      </c>
      <c r="N6735" t="s">
        <v>45</v>
      </c>
      <c r="O6735" t="s">
        <v>43</v>
      </c>
      <c r="P6735" t="s">
        <v>43</v>
      </c>
      <c r="Q6735" t="s">
        <v>43</v>
      </c>
      <c r="R6735" t="s">
        <v>43</v>
      </c>
      <c r="S6735" t="s">
        <v>43</v>
      </c>
      <c r="T6735" t="s">
        <v>43</v>
      </c>
      <c r="U6735" t="s">
        <v>43</v>
      </c>
      <c r="V6735" t="s">
        <v>43</v>
      </c>
      <c r="W6735" t="s">
        <v>43</v>
      </c>
      <c r="X6735" t="s">
        <v>43</v>
      </c>
      <c r="Y6735" t="s">
        <v>43</v>
      </c>
      <c r="Z6735" t="s">
        <v>43</v>
      </c>
      <c r="AA6735" t="s">
        <v>43</v>
      </c>
      <c r="AB6735" t="s">
        <v>43</v>
      </c>
      <c r="AC6735" t="s">
        <v>43</v>
      </c>
      <c r="AD6735" t="s">
        <v>43</v>
      </c>
      <c r="AE6735" t="s">
        <v>43</v>
      </c>
      <c r="AF6735" t="s">
        <v>43</v>
      </c>
      <c r="AG6735" t="s">
        <v>43</v>
      </c>
      <c r="AH6735" t="s">
        <v>43</v>
      </c>
      <c r="AI6735" t="s">
        <v>43</v>
      </c>
      <c r="AJ6735" t="s">
        <v>43</v>
      </c>
      <c r="AK6735" t="s">
        <v>43</v>
      </c>
      <c r="AL6735" t="s">
        <v>43</v>
      </c>
      <c r="AM6735" t="s">
        <v>43</v>
      </c>
      <c r="AN6735" t="str">
        <f>HYPERLINK("https://www.google.com/maps?q=10.78964806,79.57881165","Open Location")</f>
        <v>Open Location</v>
      </c>
    </row>
    <row r="6736" spans="1:40" x14ac:dyDescent="0.3">
      <c r="A6736" s="1">
        <v>46210.219675925924</v>
      </c>
      <c r="B6736" t="s">
        <v>40</v>
      </c>
      <c r="C6736" t="s">
        <v>41</v>
      </c>
      <c r="D6736" s="1">
        <v>46210.22252314815</v>
      </c>
      <c r="E6736" t="s">
        <v>42</v>
      </c>
      <c r="F6736" t="s">
        <v>43</v>
      </c>
      <c r="G6736" t="s">
        <v>43</v>
      </c>
      <c r="H6736" t="s">
        <v>43</v>
      </c>
      <c r="I6736" t="s">
        <v>3903</v>
      </c>
      <c r="J6736" t="s">
        <v>43</v>
      </c>
      <c r="K6736" t="s">
        <v>43</v>
      </c>
      <c r="L6736" t="s">
        <v>43</v>
      </c>
      <c r="M6736" t="s">
        <v>43</v>
      </c>
      <c r="N6736" t="s">
        <v>45</v>
      </c>
      <c r="O6736" t="s">
        <v>43</v>
      </c>
      <c r="P6736" t="s">
        <v>43</v>
      </c>
      <c r="Q6736" t="s">
        <v>43</v>
      </c>
      <c r="R6736" t="s">
        <v>43</v>
      </c>
      <c r="S6736" t="s">
        <v>43</v>
      </c>
      <c r="T6736" t="s">
        <v>43</v>
      </c>
      <c r="U6736" t="s">
        <v>43</v>
      </c>
      <c r="V6736" t="s">
        <v>43</v>
      </c>
      <c r="W6736" t="s">
        <v>43</v>
      </c>
      <c r="X6736" t="s">
        <v>43</v>
      </c>
      <c r="Y6736" t="s">
        <v>43</v>
      </c>
      <c r="Z6736" t="s">
        <v>43</v>
      </c>
      <c r="AA6736" t="s">
        <v>43</v>
      </c>
      <c r="AB6736" t="s">
        <v>43</v>
      </c>
      <c r="AC6736" t="s">
        <v>43</v>
      </c>
      <c r="AD6736" t="s">
        <v>43</v>
      </c>
      <c r="AE6736" t="s">
        <v>43</v>
      </c>
      <c r="AF6736" t="s">
        <v>43</v>
      </c>
      <c r="AG6736" t="s">
        <v>43</v>
      </c>
      <c r="AH6736" t="s">
        <v>43</v>
      </c>
      <c r="AI6736" t="s">
        <v>43</v>
      </c>
      <c r="AJ6736" t="s">
        <v>43</v>
      </c>
      <c r="AK6736" t="s">
        <v>43</v>
      </c>
      <c r="AL6736" t="s">
        <v>43</v>
      </c>
      <c r="AM6736" t="s">
        <v>43</v>
      </c>
      <c r="AN6736" t="str">
        <f>HYPERLINK("https://www.google.com/maps?q=10.78964996,79.57881165","Open Location")</f>
        <v>Open Location</v>
      </c>
    </row>
    <row r="6737" spans="1:40" x14ac:dyDescent="0.3">
      <c r="A6737" s="1">
        <v>46210.219560185185</v>
      </c>
      <c r="B6737" t="s">
        <v>40</v>
      </c>
      <c r="C6737" t="s">
        <v>41</v>
      </c>
      <c r="D6737" s="1">
        <v>46210.222511574073</v>
      </c>
      <c r="E6737" t="s">
        <v>42</v>
      </c>
      <c r="F6737" t="s">
        <v>43</v>
      </c>
      <c r="G6737" t="s">
        <v>43</v>
      </c>
      <c r="H6737" t="s">
        <v>43</v>
      </c>
      <c r="I6737" t="s">
        <v>3922</v>
      </c>
      <c r="J6737" t="s">
        <v>43</v>
      </c>
      <c r="K6737" t="s">
        <v>43</v>
      </c>
      <c r="L6737" t="s">
        <v>43</v>
      </c>
      <c r="M6737" t="s">
        <v>43</v>
      </c>
      <c r="N6737" t="s">
        <v>45</v>
      </c>
      <c r="O6737" t="s">
        <v>43</v>
      </c>
      <c r="P6737" t="s">
        <v>43</v>
      </c>
      <c r="Q6737" t="s">
        <v>43</v>
      </c>
      <c r="R6737" t="s">
        <v>43</v>
      </c>
      <c r="S6737" t="s">
        <v>43</v>
      </c>
      <c r="T6737" t="s">
        <v>43</v>
      </c>
      <c r="U6737" t="s">
        <v>43</v>
      </c>
      <c r="V6737" t="s">
        <v>43</v>
      </c>
      <c r="W6737" t="s">
        <v>43</v>
      </c>
      <c r="X6737" t="s">
        <v>43</v>
      </c>
      <c r="Y6737" t="s">
        <v>43</v>
      </c>
      <c r="Z6737" t="s">
        <v>43</v>
      </c>
      <c r="AA6737" t="s">
        <v>43</v>
      </c>
      <c r="AB6737" t="s">
        <v>43</v>
      </c>
      <c r="AC6737" t="s">
        <v>43</v>
      </c>
      <c r="AD6737" t="s">
        <v>43</v>
      </c>
      <c r="AE6737" t="s">
        <v>43</v>
      </c>
      <c r="AF6737" t="s">
        <v>43</v>
      </c>
      <c r="AG6737" t="s">
        <v>43</v>
      </c>
      <c r="AH6737" t="s">
        <v>43</v>
      </c>
      <c r="AI6737" t="s">
        <v>43</v>
      </c>
      <c r="AJ6737" t="s">
        <v>43</v>
      </c>
      <c r="AK6737" t="s">
        <v>43</v>
      </c>
      <c r="AL6737" t="s">
        <v>43</v>
      </c>
      <c r="AM6737" t="s">
        <v>43</v>
      </c>
      <c r="AN6737" t="str">
        <f>HYPERLINK("https://www.google.com/maps?q=10.78965282,79.57881927","Open Location")</f>
        <v>Open Location</v>
      </c>
    </row>
    <row r="6738" spans="1:40" x14ac:dyDescent="0.3">
      <c r="A6738" s="1">
        <v>46210.219444444447</v>
      </c>
      <c r="B6738" t="s">
        <v>40</v>
      </c>
      <c r="C6738" t="s">
        <v>41</v>
      </c>
      <c r="D6738" s="1">
        <v>46210.22252314815</v>
      </c>
      <c r="E6738" t="s">
        <v>42</v>
      </c>
      <c r="F6738" t="s">
        <v>43</v>
      </c>
      <c r="G6738" t="s">
        <v>43</v>
      </c>
      <c r="H6738" t="s">
        <v>43</v>
      </c>
      <c r="I6738" t="s">
        <v>43</v>
      </c>
      <c r="J6738" t="s">
        <v>43</v>
      </c>
      <c r="K6738" t="s">
        <v>43</v>
      </c>
      <c r="L6738" t="s">
        <v>43</v>
      </c>
      <c r="M6738" t="s">
        <v>43</v>
      </c>
      <c r="N6738" t="s">
        <v>45</v>
      </c>
      <c r="O6738" t="s">
        <v>43</v>
      </c>
      <c r="P6738" t="s">
        <v>43</v>
      </c>
      <c r="Q6738" t="s">
        <v>43</v>
      </c>
      <c r="R6738" t="s">
        <v>43</v>
      </c>
      <c r="S6738" t="s">
        <v>43</v>
      </c>
      <c r="T6738" t="s">
        <v>43</v>
      </c>
      <c r="U6738" t="s">
        <v>43</v>
      </c>
      <c r="V6738" t="s">
        <v>43</v>
      </c>
      <c r="W6738" t="s">
        <v>43</v>
      </c>
      <c r="X6738" t="s">
        <v>43</v>
      </c>
      <c r="Y6738" t="s">
        <v>43</v>
      </c>
      <c r="Z6738" t="s">
        <v>43</v>
      </c>
      <c r="AA6738" t="s">
        <v>43</v>
      </c>
      <c r="AB6738" t="s">
        <v>43</v>
      </c>
      <c r="AC6738" t="s">
        <v>43</v>
      </c>
      <c r="AD6738" t="s">
        <v>43</v>
      </c>
      <c r="AE6738" t="s">
        <v>43</v>
      </c>
      <c r="AF6738" t="s">
        <v>43</v>
      </c>
      <c r="AG6738" t="s">
        <v>43</v>
      </c>
      <c r="AH6738" t="s">
        <v>43</v>
      </c>
      <c r="AI6738" t="s">
        <v>43</v>
      </c>
      <c r="AJ6738" t="s">
        <v>43</v>
      </c>
      <c r="AK6738" t="s">
        <v>43</v>
      </c>
      <c r="AL6738" t="s">
        <v>43</v>
      </c>
      <c r="AM6738" t="s">
        <v>43</v>
      </c>
      <c r="AN6738" t="s">
        <v>43</v>
      </c>
    </row>
    <row r="6739" spans="1:40" x14ac:dyDescent="0.3">
      <c r="A6739" s="1">
        <v>46210.219328703701</v>
      </c>
      <c r="B6739" t="s">
        <v>40</v>
      </c>
      <c r="C6739" t="s">
        <v>41</v>
      </c>
      <c r="D6739" s="1">
        <v>46210.22215277778</v>
      </c>
      <c r="E6739" t="s">
        <v>42</v>
      </c>
      <c r="F6739" t="s">
        <v>43</v>
      </c>
      <c r="G6739" t="s">
        <v>43</v>
      </c>
      <c r="H6739" t="s">
        <v>43</v>
      </c>
      <c r="I6739" t="s">
        <v>3923</v>
      </c>
      <c r="J6739" t="s">
        <v>43</v>
      </c>
      <c r="K6739" t="s">
        <v>43</v>
      </c>
      <c r="L6739" t="s">
        <v>43</v>
      </c>
      <c r="M6739" t="s">
        <v>43</v>
      </c>
      <c r="N6739" t="s">
        <v>45</v>
      </c>
      <c r="O6739" t="s">
        <v>43</v>
      </c>
      <c r="P6739" t="s">
        <v>43</v>
      </c>
      <c r="Q6739" t="s">
        <v>43</v>
      </c>
      <c r="R6739" t="s">
        <v>43</v>
      </c>
      <c r="S6739" t="s">
        <v>43</v>
      </c>
      <c r="T6739" t="s">
        <v>43</v>
      </c>
      <c r="U6739" t="s">
        <v>43</v>
      </c>
      <c r="V6739" t="s">
        <v>43</v>
      </c>
      <c r="W6739" t="s">
        <v>43</v>
      </c>
      <c r="X6739" t="s">
        <v>43</v>
      </c>
      <c r="Y6739" t="s">
        <v>43</v>
      </c>
      <c r="Z6739" t="s">
        <v>43</v>
      </c>
      <c r="AA6739" t="s">
        <v>43</v>
      </c>
      <c r="AB6739" t="s">
        <v>43</v>
      </c>
      <c r="AC6739" t="s">
        <v>43</v>
      </c>
      <c r="AD6739" t="s">
        <v>43</v>
      </c>
      <c r="AE6739" t="s">
        <v>43</v>
      </c>
      <c r="AF6739" t="s">
        <v>43</v>
      </c>
      <c r="AG6739" t="s">
        <v>43</v>
      </c>
      <c r="AH6739" t="s">
        <v>43</v>
      </c>
      <c r="AI6739" t="s">
        <v>43</v>
      </c>
      <c r="AJ6739" t="s">
        <v>43</v>
      </c>
      <c r="AK6739" t="s">
        <v>43</v>
      </c>
      <c r="AL6739" t="s">
        <v>43</v>
      </c>
      <c r="AM6739" t="s">
        <v>43</v>
      </c>
      <c r="AN6739" t="str">
        <f>HYPERLINK("https://www.google.com/maps?q=10.78966045,79.57881927","Open Location")</f>
        <v>Open Location</v>
      </c>
    </row>
    <row r="6740" spans="1:40" x14ac:dyDescent="0.3">
      <c r="A6740" s="1">
        <v>46210.219212962962</v>
      </c>
      <c r="B6740" t="s">
        <v>40</v>
      </c>
      <c r="C6740" t="s">
        <v>41</v>
      </c>
      <c r="D6740" s="1">
        <v>46210.22215277778</v>
      </c>
      <c r="E6740" t="s">
        <v>42</v>
      </c>
      <c r="F6740" t="s">
        <v>43</v>
      </c>
      <c r="G6740" t="s">
        <v>43</v>
      </c>
      <c r="H6740" t="s">
        <v>43</v>
      </c>
      <c r="I6740" t="s">
        <v>3924</v>
      </c>
      <c r="J6740" t="s">
        <v>43</v>
      </c>
      <c r="K6740" t="s">
        <v>43</v>
      </c>
      <c r="L6740" t="s">
        <v>43</v>
      </c>
      <c r="M6740" t="s">
        <v>43</v>
      </c>
      <c r="N6740" t="s">
        <v>45</v>
      </c>
      <c r="O6740" t="s">
        <v>43</v>
      </c>
      <c r="P6740" t="s">
        <v>43</v>
      </c>
      <c r="Q6740" t="s">
        <v>43</v>
      </c>
      <c r="R6740" t="s">
        <v>43</v>
      </c>
      <c r="S6740" t="s">
        <v>43</v>
      </c>
      <c r="T6740" t="s">
        <v>43</v>
      </c>
      <c r="U6740" t="s">
        <v>43</v>
      </c>
      <c r="V6740" t="s">
        <v>43</v>
      </c>
      <c r="W6740" t="s">
        <v>43</v>
      </c>
      <c r="X6740" t="s">
        <v>43</v>
      </c>
      <c r="Y6740" t="s">
        <v>43</v>
      </c>
      <c r="Z6740" t="s">
        <v>43</v>
      </c>
      <c r="AA6740" t="s">
        <v>43</v>
      </c>
      <c r="AB6740" t="s">
        <v>43</v>
      </c>
      <c r="AC6740" t="s">
        <v>43</v>
      </c>
      <c r="AD6740" t="s">
        <v>43</v>
      </c>
      <c r="AE6740" t="s">
        <v>43</v>
      </c>
      <c r="AF6740" t="s">
        <v>43</v>
      </c>
      <c r="AG6740" t="s">
        <v>43</v>
      </c>
      <c r="AH6740" t="s">
        <v>43</v>
      </c>
      <c r="AI6740" t="s">
        <v>43</v>
      </c>
      <c r="AJ6740" t="s">
        <v>43</v>
      </c>
      <c r="AK6740" t="s">
        <v>43</v>
      </c>
      <c r="AL6740" t="s">
        <v>43</v>
      </c>
      <c r="AM6740" t="s">
        <v>43</v>
      </c>
      <c r="AN6740" t="str">
        <f>HYPERLINK("https://www.google.com/maps?q=10.78966618,79.57881165","Open Location")</f>
        <v>Open Location</v>
      </c>
    </row>
    <row r="6741" spans="1:40" x14ac:dyDescent="0.3">
      <c r="A6741" s="1">
        <v>46210.219097222223</v>
      </c>
      <c r="B6741" t="s">
        <v>40</v>
      </c>
      <c r="C6741" t="s">
        <v>41</v>
      </c>
      <c r="D6741" s="1">
        <v>46210.221770833334</v>
      </c>
      <c r="E6741" t="s">
        <v>42</v>
      </c>
      <c r="F6741" t="s">
        <v>43</v>
      </c>
      <c r="G6741" t="s">
        <v>43</v>
      </c>
      <c r="H6741" t="s">
        <v>43</v>
      </c>
      <c r="I6741" t="s">
        <v>3925</v>
      </c>
      <c r="J6741" t="s">
        <v>43</v>
      </c>
      <c r="K6741" t="s">
        <v>43</v>
      </c>
      <c r="L6741" t="s">
        <v>43</v>
      </c>
      <c r="M6741" t="s">
        <v>43</v>
      </c>
      <c r="N6741" t="s">
        <v>45</v>
      </c>
      <c r="O6741" t="s">
        <v>43</v>
      </c>
      <c r="P6741" t="s">
        <v>43</v>
      </c>
      <c r="Q6741" t="s">
        <v>43</v>
      </c>
      <c r="R6741" t="s">
        <v>43</v>
      </c>
      <c r="S6741" t="s">
        <v>43</v>
      </c>
      <c r="T6741" t="s">
        <v>43</v>
      </c>
      <c r="U6741" t="s">
        <v>43</v>
      </c>
      <c r="V6741" t="s">
        <v>43</v>
      </c>
      <c r="W6741" t="s">
        <v>43</v>
      </c>
      <c r="X6741" t="s">
        <v>43</v>
      </c>
      <c r="Y6741" t="s">
        <v>43</v>
      </c>
      <c r="Z6741" t="s">
        <v>43</v>
      </c>
      <c r="AA6741" t="s">
        <v>43</v>
      </c>
      <c r="AB6741" t="s">
        <v>43</v>
      </c>
      <c r="AC6741" t="s">
        <v>43</v>
      </c>
      <c r="AD6741" t="s">
        <v>43</v>
      </c>
      <c r="AE6741" t="s">
        <v>43</v>
      </c>
      <c r="AF6741" t="s">
        <v>43</v>
      </c>
      <c r="AG6741" t="s">
        <v>43</v>
      </c>
      <c r="AH6741" t="s">
        <v>43</v>
      </c>
      <c r="AI6741" t="s">
        <v>43</v>
      </c>
      <c r="AJ6741" t="s">
        <v>43</v>
      </c>
      <c r="AK6741" t="s">
        <v>43</v>
      </c>
      <c r="AL6741" t="s">
        <v>43</v>
      </c>
      <c r="AM6741" t="s">
        <v>43</v>
      </c>
      <c r="AN6741" t="str">
        <f>HYPERLINK("https://www.google.com/maps?q=10.78966999,79.57879639","Open Location")</f>
        <v>Open Location</v>
      </c>
    </row>
    <row r="6742" spans="1:40" x14ac:dyDescent="0.3">
      <c r="A6742" s="1">
        <v>46210.218981481485</v>
      </c>
      <c r="B6742" t="s">
        <v>40</v>
      </c>
      <c r="C6742" t="s">
        <v>41</v>
      </c>
      <c r="D6742" s="1">
        <v>46210.221782407411</v>
      </c>
      <c r="E6742" t="s">
        <v>42</v>
      </c>
      <c r="F6742" t="s">
        <v>43</v>
      </c>
      <c r="G6742" t="s">
        <v>43</v>
      </c>
      <c r="H6742" t="s">
        <v>43</v>
      </c>
      <c r="I6742" t="s">
        <v>3926</v>
      </c>
      <c r="J6742" t="s">
        <v>43</v>
      </c>
      <c r="K6742" t="s">
        <v>43</v>
      </c>
      <c r="L6742" t="s">
        <v>43</v>
      </c>
      <c r="M6742" t="s">
        <v>43</v>
      </c>
      <c r="N6742" t="s">
        <v>45</v>
      </c>
      <c r="O6742" t="s">
        <v>43</v>
      </c>
      <c r="P6742" t="s">
        <v>43</v>
      </c>
      <c r="Q6742" t="s">
        <v>43</v>
      </c>
      <c r="R6742" t="s">
        <v>43</v>
      </c>
      <c r="S6742" t="s">
        <v>43</v>
      </c>
      <c r="T6742" t="s">
        <v>43</v>
      </c>
      <c r="U6742" t="s">
        <v>43</v>
      </c>
      <c r="V6742" t="s">
        <v>43</v>
      </c>
      <c r="W6742" t="s">
        <v>43</v>
      </c>
      <c r="X6742" t="s">
        <v>43</v>
      </c>
      <c r="Y6742" t="s">
        <v>43</v>
      </c>
      <c r="Z6742" t="s">
        <v>43</v>
      </c>
      <c r="AA6742" t="s">
        <v>43</v>
      </c>
      <c r="AB6742" t="s">
        <v>43</v>
      </c>
      <c r="AC6742" t="s">
        <v>43</v>
      </c>
      <c r="AD6742" t="s">
        <v>43</v>
      </c>
      <c r="AE6742" t="s">
        <v>43</v>
      </c>
      <c r="AF6742" t="s">
        <v>43</v>
      </c>
      <c r="AG6742" t="s">
        <v>43</v>
      </c>
      <c r="AH6742" t="s">
        <v>43</v>
      </c>
      <c r="AI6742" t="s">
        <v>43</v>
      </c>
      <c r="AJ6742" t="s">
        <v>43</v>
      </c>
      <c r="AK6742" t="s">
        <v>43</v>
      </c>
      <c r="AL6742" t="s">
        <v>43</v>
      </c>
      <c r="AM6742" t="s">
        <v>43</v>
      </c>
      <c r="AN6742" t="str">
        <f>HYPERLINK("https://www.google.com/maps?q=10.78966713,79.57879639","Open Location")</f>
        <v>Open Location</v>
      </c>
    </row>
    <row r="6743" spans="1:40" x14ac:dyDescent="0.3">
      <c r="A6743" s="1">
        <v>46210.218865740739</v>
      </c>
      <c r="B6743" t="s">
        <v>40</v>
      </c>
      <c r="C6743" t="s">
        <v>41</v>
      </c>
      <c r="D6743" s="1">
        <v>46210.221770833334</v>
      </c>
      <c r="E6743" t="s">
        <v>42</v>
      </c>
      <c r="F6743" t="s">
        <v>43</v>
      </c>
      <c r="G6743" t="s">
        <v>43</v>
      </c>
      <c r="H6743" t="s">
        <v>43</v>
      </c>
      <c r="I6743" t="s">
        <v>43</v>
      </c>
      <c r="J6743" t="s">
        <v>43</v>
      </c>
      <c r="K6743" t="s">
        <v>43</v>
      </c>
      <c r="L6743" t="s">
        <v>43</v>
      </c>
      <c r="M6743" t="s">
        <v>43</v>
      </c>
      <c r="N6743" t="s">
        <v>45</v>
      </c>
      <c r="O6743" t="s">
        <v>43</v>
      </c>
      <c r="P6743" t="s">
        <v>43</v>
      </c>
      <c r="Q6743" t="s">
        <v>43</v>
      </c>
      <c r="R6743" t="s">
        <v>43</v>
      </c>
      <c r="S6743" t="s">
        <v>43</v>
      </c>
      <c r="T6743" t="s">
        <v>43</v>
      </c>
      <c r="U6743" t="s">
        <v>43</v>
      </c>
      <c r="V6743" t="s">
        <v>43</v>
      </c>
      <c r="W6743" t="s">
        <v>43</v>
      </c>
      <c r="X6743" t="s">
        <v>43</v>
      </c>
      <c r="Y6743" t="s">
        <v>43</v>
      </c>
      <c r="Z6743" t="s">
        <v>43</v>
      </c>
      <c r="AA6743" t="s">
        <v>43</v>
      </c>
      <c r="AB6743" t="s">
        <v>43</v>
      </c>
      <c r="AC6743" t="s">
        <v>43</v>
      </c>
      <c r="AD6743" t="s">
        <v>43</v>
      </c>
      <c r="AE6743" t="s">
        <v>43</v>
      </c>
      <c r="AF6743" t="s">
        <v>43</v>
      </c>
      <c r="AG6743" t="s">
        <v>43</v>
      </c>
      <c r="AH6743" t="s">
        <v>43</v>
      </c>
      <c r="AI6743" t="s">
        <v>43</v>
      </c>
      <c r="AJ6743" t="s">
        <v>43</v>
      </c>
      <c r="AK6743" t="s">
        <v>43</v>
      </c>
      <c r="AL6743" t="s">
        <v>43</v>
      </c>
      <c r="AM6743" t="s">
        <v>43</v>
      </c>
      <c r="AN6743" t="s">
        <v>43</v>
      </c>
    </row>
    <row r="6744" spans="1:40" x14ac:dyDescent="0.3">
      <c r="A6744" s="1">
        <v>46210.21875</v>
      </c>
      <c r="B6744" t="s">
        <v>40</v>
      </c>
      <c r="C6744" t="s">
        <v>41</v>
      </c>
      <c r="D6744" s="1">
        <v>46210.221782407411</v>
      </c>
      <c r="E6744" t="s">
        <v>42</v>
      </c>
      <c r="F6744" t="s">
        <v>43</v>
      </c>
      <c r="G6744" t="s">
        <v>43</v>
      </c>
      <c r="H6744" t="s">
        <v>43</v>
      </c>
      <c r="I6744" t="s">
        <v>3927</v>
      </c>
      <c r="J6744" t="s">
        <v>43</v>
      </c>
      <c r="K6744" t="s">
        <v>43</v>
      </c>
      <c r="L6744" t="s">
        <v>43</v>
      </c>
      <c r="M6744" t="s">
        <v>43</v>
      </c>
      <c r="N6744" t="s">
        <v>45</v>
      </c>
      <c r="O6744" t="s">
        <v>43</v>
      </c>
      <c r="P6744" t="s">
        <v>43</v>
      </c>
      <c r="Q6744" t="s">
        <v>43</v>
      </c>
      <c r="R6744" t="s">
        <v>43</v>
      </c>
      <c r="S6744" t="s">
        <v>43</v>
      </c>
      <c r="T6744" t="s">
        <v>43</v>
      </c>
      <c r="U6744" t="s">
        <v>43</v>
      </c>
      <c r="V6744" t="s">
        <v>43</v>
      </c>
      <c r="W6744" t="s">
        <v>43</v>
      </c>
      <c r="X6744" t="s">
        <v>43</v>
      </c>
      <c r="Y6744" t="s">
        <v>43</v>
      </c>
      <c r="Z6744" t="s">
        <v>43</v>
      </c>
      <c r="AA6744" t="s">
        <v>43</v>
      </c>
      <c r="AB6744" t="s">
        <v>43</v>
      </c>
      <c r="AC6744" t="s">
        <v>43</v>
      </c>
      <c r="AD6744" t="s">
        <v>43</v>
      </c>
      <c r="AE6744" t="s">
        <v>43</v>
      </c>
      <c r="AF6744" t="s">
        <v>43</v>
      </c>
      <c r="AG6744" t="s">
        <v>43</v>
      </c>
      <c r="AH6744" t="s">
        <v>43</v>
      </c>
      <c r="AI6744" t="s">
        <v>43</v>
      </c>
      <c r="AJ6744" t="s">
        <v>43</v>
      </c>
      <c r="AK6744" t="s">
        <v>43</v>
      </c>
      <c r="AL6744" t="s">
        <v>43</v>
      </c>
      <c r="AM6744" t="s">
        <v>43</v>
      </c>
      <c r="AN6744" t="str">
        <f>HYPERLINK("https://www.google.com/maps?q=10.78966141,79.57881165","Open Location")</f>
        <v>Open Location</v>
      </c>
    </row>
    <row r="6745" spans="1:40" x14ac:dyDescent="0.3">
      <c r="A6745" s="1">
        <v>46210.218634259261</v>
      </c>
      <c r="B6745" t="s">
        <v>40</v>
      </c>
      <c r="C6745" t="s">
        <v>41</v>
      </c>
      <c r="D6745" s="1">
        <v>46210.221782407411</v>
      </c>
      <c r="E6745" t="s">
        <v>42</v>
      </c>
      <c r="F6745" t="s">
        <v>43</v>
      </c>
      <c r="G6745" t="s">
        <v>43</v>
      </c>
      <c r="H6745" t="s">
        <v>43</v>
      </c>
      <c r="I6745" t="s">
        <v>3928</v>
      </c>
      <c r="J6745" t="s">
        <v>43</v>
      </c>
      <c r="K6745" t="s">
        <v>43</v>
      </c>
      <c r="L6745" t="s">
        <v>43</v>
      </c>
      <c r="M6745" t="s">
        <v>43</v>
      </c>
      <c r="N6745" t="s">
        <v>45</v>
      </c>
      <c r="O6745" t="s">
        <v>43</v>
      </c>
      <c r="P6745" t="s">
        <v>43</v>
      </c>
      <c r="Q6745" t="s">
        <v>43</v>
      </c>
      <c r="R6745" t="s">
        <v>43</v>
      </c>
      <c r="S6745" t="s">
        <v>43</v>
      </c>
      <c r="T6745" t="s">
        <v>43</v>
      </c>
      <c r="U6745" t="s">
        <v>43</v>
      </c>
      <c r="V6745" t="s">
        <v>43</v>
      </c>
      <c r="W6745" t="s">
        <v>43</v>
      </c>
      <c r="X6745" t="s">
        <v>43</v>
      </c>
      <c r="Y6745" t="s">
        <v>43</v>
      </c>
      <c r="Z6745" t="s">
        <v>43</v>
      </c>
      <c r="AA6745" t="s">
        <v>43</v>
      </c>
      <c r="AB6745" t="s">
        <v>43</v>
      </c>
      <c r="AC6745" t="s">
        <v>43</v>
      </c>
      <c r="AD6745" t="s">
        <v>43</v>
      </c>
      <c r="AE6745" t="s">
        <v>43</v>
      </c>
      <c r="AF6745" t="s">
        <v>43</v>
      </c>
      <c r="AG6745" t="s">
        <v>43</v>
      </c>
      <c r="AH6745" t="s">
        <v>43</v>
      </c>
      <c r="AI6745" t="s">
        <v>43</v>
      </c>
      <c r="AJ6745" t="s">
        <v>43</v>
      </c>
      <c r="AK6745" t="s">
        <v>43</v>
      </c>
      <c r="AL6745" t="s">
        <v>43</v>
      </c>
      <c r="AM6745" t="s">
        <v>43</v>
      </c>
      <c r="AN6745" t="str">
        <f>HYPERLINK("https://www.google.com/maps?q=10.78966141,79.57879639","Open Location")</f>
        <v>Open Location</v>
      </c>
    </row>
    <row r="6746" spans="1:40" x14ac:dyDescent="0.3">
      <c r="A6746" s="1">
        <v>46210.218518518515</v>
      </c>
      <c r="B6746" t="s">
        <v>40</v>
      </c>
      <c r="C6746" t="s">
        <v>41</v>
      </c>
      <c r="D6746" s="1">
        <v>46210.221689814818</v>
      </c>
      <c r="E6746" t="s">
        <v>42</v>
      </c>
      <c r="F6746" t="s">
        <v>43</v>
      </c>
      <c r="G6746" t="s">
        <v>43</v>
      </c>
      <c r="H6746" t="s">
        <v>43</v>
      </c>
      <c r="I6746" t="s">
        <v>3929</v>
      </c>
      <c r="J6746" t="s">
        <v>43</v>
      </c>
      <c r="K6746" t="s">
        <v>43</v>
      </c>
      <c r="L6746" t="s">
        <v>43</v>
      </c>
      <c r="M6746" t="s">
        <v>43</v>
      </c>
      <c r="N6746" t="s">
        <v>45</v>
      </c>
      <c r="O6746" t="s">
        <v>43</v>
      </c>
      <c r="P6746" t="s">
        <v>43</v>
      </c>
      <c r="Q6746" t="s">
        <v>43</v>
      </c>
      <c r="R6746" t="s">
        <v>43</v>
      </c>
      <c r="S6746" t="s">
        <v>43</v>
      </c>
      <c r="T6746" t="s">
        <v>43</v>
      </c>
      <c r="U6746" t="s">
        <v>43</v>
      </c>
      <c r="V6746" t="s">
        <v>43</v>
      </c>
      <c r="W6746" t="s">
        <v>43</v>
      </c>
      <c r="X6746" t="s">
        <v>43</v>
      </c>
      <c r="Y6746" t="s">
        <v>43</v>
      </c>
      <c r="Z6746" t="s">
        <v>43</v>
      </c>
      <c r="AA6746" t="s">
        <v>43</v>
      </c>
      <c r="AB6746" t="s">
        <v>43</v>
      </c>
      <c r="AC6746" t="s">
        <v>43</v>
      </c>
      <c r="AD6746" t="s">
        <v>43</v>
      </c>
      <c r="AE6746" t="s">
        <v>43</v>
      </c>
      <c r="AF6746" t="s">
        <v>43</v>
      </c>
      <c r="AG6746" t="s">
        <v>43</v>
      </c>
      <c r="AH6746" t="s">
        <v>43</v>
      </c>
      <c r="AI6746" t="s">
        <v>43</v>
      </c>
      <c r="AJ6746" t="s">
        <v>43</v>
      </c>
      <c r="AK6746" t="s">
        <v>43</v>
      </c>
      <c r="AL6746" t="s">
        <v>43</v>
      </c>
      <c r="AM6746" t="s">
        <v>43</v>
      </c>
      <c r="AN6746" t="str">
        <f>HYPERLINK("https://www.google.com/maps?q=10.78965855,79.57879639","Open Location")</f>
        <v>Open Location</v>
      </c>
    </row>
    <row r="6747" spans="1:40" x14ac:dyDescent="0.3">
      <c r="A6747" s="1">
        <v>46210.218402777777</v>
      </c>
      <c r="B6747" t="s">
        <v>40</v>
      </c>
      <c r="C6747" t="s">
        <v>41</v>
      </c>
      <c r="D6747" s="1">
        <v>46210.22142361111</v>
      </c>
      <c r="E6747" t="s">
        <v>42</v>
      </c>
      <c r="F6747" t="s">
        <v>43</v>
      </c>
      <c r="G6747" t="s">
        <v>43</v>
      </c>
      <c r="H6747" t="s">
        <v>43</v>
      </c>
      <c r="I6747" t="s">
        <v>3930</v>
      </c>
      <c r="J6747" t="s">
        <v>43</v>
      </c>
      <c r="K6747" t="s">
        <v>43</v>
      </c>
      <c r="L6747" t="s">
        <v>43</v>
      </c>
      <c r="M6747" t="s">
        <v>43</v>
      </c>
      <c r="N6747" t="s">
        <v>45</v>
      </c>
      <c r="O6747" t="s">
        <v>43</v>
      </c>
      <c r="P6747" t="s">
        <v>43</v>
      </c>
      <c r="Q6747" t="s">
        <v>43</v>
      </c>
      <c r="R6747" t="s">
        <v>43</v>
      </c>
      <c r="S6747" t="s">
        <v>43</v>
      </c>
      <c r="T6747" t="s">
        <v>43</v>
      </c>
      <c r="U6747" t="s">
        <v>43</v>
      </c>
      <c r="V6747" t="s">
        <v>43</v>
      </c>
      <c r="W6747" t="s">
        <v>43</v>
      </c>
      <c r="X6747" t="s">
        <v>43</v>
      </c>
      <c r="Y6747" t="s">
        <v>43</v>
      </c>
      <c r="Z6747" t="s">
        <v>43</v>
      </c>
      <c r="AA6747" t="s">
        <v>43</v>
      </c>
      <c r="AB6747" t="s">
        <v>43</v>
      </c>
      <c r="AC6747" t="s">
        <v>43</v>
      </c>
      <c r="AD6747" t="s">
        <v>43</v>
      </c>
      <c r="AE6747" t="s">
        <v>43</v>
      </c>
      <c r="AF6747" t="s">
        <v>43</v>
      </c>
      <c r="AG6747" t="s">
        <v>43</v>
      </c>
      <c r="AH6747" t="s">
        <v>43</v>
      </c>
      <c r="AI6747" t="s">
        <v>43</v>
      </c>
      <c r="AJ6747" t="s">
        <v>43</v>
      </c>
      <c r="AK6747" t="s">
        <v>43</v>
      </c>
      <c r="AL6747" t="s">
        <v>43</v>
      </c>
      <c r="AM6747" t="s">
        <v>43</v>
      </c>
      <c r="AN6747" t="str">
        <f>HYPERLINK("https://www.google.com/maps?q=10.78965759,79.57881927","Open Location")</f>
        <v>Open Location</v>
      </c>
    </row>
    <row r="6748" spans="1:40" x14ac:dyDescent="0.3">
      <c r="A6748" s="1">
        <v>46210.218287037038</v>
      </c>
      <c r="B6748" t="s">
        <v>40</v>
      </c>
      <c r="C6748" t="s">
        <v>41</v>
      </c>
      <c r="D6748" s="1">
        <v>46210.221412037034</v>
      </c>
      <c r="E6748" t="s">
        <v>42</v>
      </c>
      <c r="F6748" t="s">
        <v>43</v>
      </c>
      <c r="G6748" t="s">
        <v>43</v>
      </c>
      <c r="H6748" t="s">
        <v>43</v>
      </c>
      <c r="I6748" t="s">
        <v>3931</v>
      </c>
      <c r="J6748" t="s">
        <v>43</v>
      </c>
      <c r="K6748" t="s">
        <v>43</v>
      </c>
      <c r="L6748" t="s">
        <v>43</v>
      </c>
      <c r="M6748" t="s">
        <v>43</v>
      </c>
      <c r="N6748" t="s">
        <v>45</v>
      </c>
      <c r="O6748" t="s">
        <v>43</v>
      </c>
      <c r="P6748" t="s">
        <v>43</v>
      </c>
      <c r="Q6748" t="s">
        <v>43</v>
      </c>
      <c r="R6748" t="s">
        <v>43</v>
      </c>
      <c r="S6748" t="s">
        <v>43</v>
      </c>
      <c r="T6748" t="s">
        <v>43</v>
      </c>
      <c r="U6748" t="s">
        <v>43</v>
      </c>
      <c r="V6748" t="s">
        <v>43</v>
      </c>
      <c r="W6748" t="s">
        <v>43</v>
      </c>
      <c r="X6748" t="s">
        <v>43</v>
      </c>
      <c r="Y6748" t="s">
        <v>43</v>
      </c>
      <c r="Z6748" t="s">
        <v>43</v>
      </c>
      <c r="AA6748" t="s">
        <v>43</v>
      </c>
      <c r="AB6748" t="s">
        <v>43</v>
      </c>
      <c r="AC6748" t="s">
        <v>43</v>
      </c>
      <c r="AD6748" t="s">
        <v>43</v>
      </c>
      <c r="AE6748" t="s">
        <v>43</v>
      </c>
      <c r="AF6748" t="s">
        <v>43</v>
      </c>
      <c r="AG6748" t="s">
        <v>43</v>
      </c>
      <c r="AH6748" t="s">
        <v>43</v>
      </c>
      <c r="AI6748" t="s">
        <v>43</v>
      </c>
      <c r="AJ6748" t="s">
        <v>43</v>
      </c>
      <c r="AK6748" t="s">
        <v>43</v>
      </c>
      <c r="AL6748" t="s">
        <v>43</v>
      </c>
      <c r="AM6748" t="s">
        <v>43</v>
      </c>
      <c r="AN6748" t="str">
        <f>HYPERLINK("https://www.google.com/maps?q=10.78966141,79.57881927","Open Location")</f>
        <v>Open Location</v>
      </c>
    </row>
    <row r="6749" spans="1:40" x14ac:dyDescent="0.3">
      <c r="A6749" s="1">
        <v>46210.218171296299</v>
      </c>
      <c r="B6749" t="s">
        <v>40</v>
      </c>
      <c r="C6749" t="s">
        <v>41</v>
      </c>
      <c r="D6749" s="1">
        <v>46210.221030092594</v>
      </c>
      <c r="E6749" t="s">
        <v>42</v>
      </c>
      <c r="F6749" t="s">
        <v>43</v>
      </c>
      <c r="G6749" t="s">
        <v>43</v>
      </c>
      <c r="H6749" t="s">
        <v>43</v>
      </c>
      <c r="I6749" t="s">
        <v>43</v>
      </c>
      <c r="J6749" t="s">
        <v>43</v>
      </c>
      <c r="K6749" t="s">
        <v>43</v>
      </c>
      <c r="L6749" t="s">
        <v>43</v>
      </c>
      <c r="M6749" t="s">
        <v>43</v>
      </c>
      <c r="N6749" t="s">
        <v>45</v>
      </c>
      <c r="O6749" t="s">
        <v>43</v>
      </c>
      <c r="P6749" t="s">
        <v>43</v>
      </c>
      <c r="Q6749" t="s">
        <v>43</v>
      </c>
      <c r="R6749" t="s">
        <v>43</v>
      </c>
      <c r="S6749" t="s">
        <v>43</v>
      </c>
      <c r="T6749" t="s">
        <v>43</v>
      </c>
      <c r="U6749" t="s">
        <v>43</v>
      </c>
      <c r="V6749" t="s">
        <v>43</v>
      </c>
      <c r="W6749" t="s">
        <v>43</v>
      </c>
      <c r="X6749" t="s">
        <v>43</v>
      </c>
      <c r="Y6749" t="s">
        <v>43</v>
      </c>
      <c r="Z6749" t="s">
        <v>43</v>
      </c>
      <c r="AA6749" t="s">
        <v>43</v>
      </c>
      <c r="AB6749" t="s">
        <v>43</v>
      </c>
      <c r="AC6749" t="s">
        <v>43</v>
      </c>
      <c r="AD6749" t="s">
        <v>43</v>
      </c>
      <c r="AE6749" t="s">
        <v>43</v>
      </c>
      <c r="AF6749" t="s">
        <v>43</v>
      </c>
      <c r="AG6749" t="s">
        <v>43</v>
      </c>
      <c r="AH6749" t="s">
        <v>43</v>
      </c>
      <c r="AI6749" t="s">
        <v>43</v>
      </c>
      <c r="AJ6749" t="s">
        <v>43</v>
      </c>
      <c r="AK6749" t="s">
        <v>43</v>
      </c>
      <c r="AL6749" t="s">
        <v>43</v>
      </c>
      <c r="AM6749" t="s">
        <v>43</v>
      </c>
      <c r="AN6749" t="s">
        <v>43</v>
      </c>
    </row>
    <row r="6750" spans="1:40" x14ac:dyDescent="0.3">
      <c r="A6750" s="1">
        <v>46210.218055555553</v>
      </c>
      <c r="B6750" t="s">
        <v>40</v>
      </c>
      <c r="C6750" t="s">
        <v>41</v>
      </c>
      <c r="D6750" s="1">
        <v>46210.221030092594</v>
      </c>
      <c r="E6750" t="s">
        <v>42</v>
      </c>
      <c r="F6750" t="s">
        <v>43</v>
      </c>
      <c r="G6750" t="s">
        <v>43</v>
      </c>
      <c r="H6750" t="s">
        <v>43</v>
      </c>
      <c r="I6750" t="s">
        <v>3923</v>
      </c>
      <c r="J6750" t="s">
        <v>43</v>
      </c>
      <c r="K6750" t="s">
        <v>43</v>
      </c>
      <c r="L6750" t="s">
        <v>43</v>
      </c>
      <c r="M6750" t="s">
        <v>43</v>
      </c>
      <c r="N6750" t="s">
        <v>45</v>
      </c>
      <c r="O6750" t="s">
        <v>43</v>
      </c>
      <c r="P6750" t="s">
        <v>43</v>
      </c>
      <c r="Q6750" t="s">
        <v>43</v>
      </c>
      <c r="R6750" t="s">
        <v>43</v>
      </c>
      <c r="S6750" t="s">
        <v>43</v>
      </c>
      <c r="T6750" t="s">
        <v>43</v>
      </c>
      <c r="U6750" t="s">
        <v>43</v>
      </c>
      <c r="V6750" t="s">
        <v>43</v>
      </c>
      <c r="W6750" t="s">
        <v>43</v>
      </c>
      <c r="X6750" t="s">
        <v>43</v>
      </c>
      <c r="Y6750" t="s">
        <v>43</v>
      </c>
      <c r="Z6750" t="s">
        <v>43</v>
      </c>
      <c r="AA6750" t="s">
        <v>43</v>
      </c>
      <c r="AB6750" t="s">
        <v>43</v>
      </c>
      <c r="AC6750" t="s">
        <v>43</v>
      </c>
      <c r="AD6750" t="s">
        <v>43</v>
      </c>
      <c r="AE6750" t="s">
        <v>43</v>
      </c>
      <c r="AF6750" t="s">
        <v>43</v>
      </c>
      <c r="AG6750" t="s">
        <v>43</v>
      </c>
      <c r="AH6750" t="s">
        <v>43</v>
      </c>
      <c r="AI6750" t="s">
        <v>43</v>
      </c>
      <c r="AJ6750" t="s">
        <v>43</v>
      </c>
      <c r="AK6750" t="s">
        <v>43</v>
      </c>
      <c r="AL6750" t="s">
        <v>43</v>
      </c>
      <c r="AM6750" t="s">
        <v>43</v>
      </c>
      <c r="AN6750" t="str">
        <f>HYPERLINK("https://www.google.com/maps?q=10.78966045,79.57881927","Open Location")</f>
        <v>Open Location</v>
      </c>
    </row>
    <row r="6751" spans="1:40" x14ac:dyDescent="0.3">
      <c r="A6751" s="1">
        <v>46210.217939814815</v>
      </c>
      <c r="B6751" t="s">
        <v>40</v>
      </c>
      <c r="C6751" t="s">
        <v>41</v>
      </c>
      <c r="D6751" s="1">
        <v>46210.221018518518</v>
      </c>
      <c r="E6751" t="s">
        <v>42</v>
      </c>
      <c r="F6751" t="s">
        <v>43</v>
      </c>
      <c r="G6751" t="s">
        <v>43</v>
      </c>
      <c r="H6751" t="s">
        <v>43</v>
      </c>
      <c r="I6751" t="s">
        <v>3932</v>
      </c>
      <c r="J6751" t="s">
        <v>43</v>
      </c>
      <c r="K6751" t="s">
        <v>43</v>
      </c>
      <c r="L6751" t="s">
        <v>43</v>
      </c>
      <c r="M6751" t="s">
        <v>43</v>
      </c>
      <c r="N6751" t="s">
        <v>45</v>
      </c>
      <c r="O6751" t="s">
        <v>43</v>
      </c>
      <c r="P6751" t="s">
        <v>43</v>
      </c>
      <c r="Q6751" t="s">
        <v>43</v>
      </c>
      <c r="R6751" t="s">
        <v>43</v>
      </c>
      <c r="S6751" t="s">
        <v>43</v>
      </c>
      <c r="T6751" t="s">
        <v>43</v>
      </c>
      <c r="U6751" t="s">
        <v>43</v>
      </c>
      <c r="V6751" t="s">
        <v>43</v>
      </c>
      <c r="W6751" t="s">
        <v>43</v>
      </c>
      <c r="X6751" t="s">
        <v>43</v>
      </c>
      <c r="Y6751" t="s">
        <v>43</v>
      </c>
      <c r="Z6751" t="s">
        <v>43</v>
      </c>
      <c r="AA6751" t="s">
        <v>43</v>
      </c>
      <c r="AB6751" t="s">
        <v>43</v>
      </c>
      <c r="AC6751" t="s">
        <v>43</v>
      </c>
      <c r="AD6751" t="s">
        <v>43</v>
      </c>
      <c r="AE6751" t="s">
        <v>43</v>
      </c>
      <c r="AF6751" t="s">
        <v>43</v>
      </c>
      <c r="AG6751" t="s">
        <v>43</v>
      </c>
      <c r="AH6751" t="s">
        <v>43</v>
      </c>
      <c r="AI6751" t="s">
        <v>43</v>
      </c>
      <c r="AJ6751" t="s">
        <v>43</v>
      </c>
      <c r="AK6751" t="s">
        <v>43</v>
      </c>
      <c r="AL6751" t="s">
        <v>43</v>
      </c>
      <c r="AM6751" t="s">
        <v>43</v>
      </c>
      <c r="AN6751" t="str">
        <f>HYPERLINK("https://www.google.com/maps?q=10.78966522,79.57881927","Open Location")</f>
        <v>Open Location</v>
      </c>
    </row>
    <row r="6752" spans="1:40" x14ac:dyDescent="0.3">
      <c r="A6752" s="1">
        <v>46210.217824074076</v>
      </c>
      <c r="B6752" t="s">
        <v>40</v>
      </c>
      <c r="C6752" t="s">
        <v>41</v>
      </c>
      <c r="D6752" s="1">
        <v>46210.221018518518</v>
      </c>
      <c r="E6752" t="s">
        <v>42</v>
      </c>
      <c r="F6752" t="s">
        <v>43</v>
      </c>
      <c r="G6752" t="s">
        <v>43</v>
      </c>
      <c r="H6752" t="s">
        <v>43</v>
      </c>
      <c r="I6752" t="s">
        <v>3933</v>
      </c>
      <c r="J6752" t="s">
        <v>43</v>
      </c>
      <c r="K6752" t="s">
        <v>43</v>
      </c>
      <c r="L6752" t="s">
        <v>43</v>
      </c>
      <c r="M6752" t="s">
        <v>43</v>
      </c>
      <c r="N6752" t="s">
        <v>45</v>
      </c>
      <c r="O6752" t="s">
        <v>43</v>
      </c>
      <c r="P6752" t="s">
        <v>43</v>
      </c>
      <c r="Q6752" t="s">
        <v>43</v>
      </c>
      <c r="R6752" t="s">
        <v>43</v>
      </c>
      <c r="S6752" t="s">
        <v>43</v>
      </c>
      <c r="T6752" t="s">
        <v>43</v>
      </c>
      <c r="U6752" t="s">
        <v>43</v>
      </c>
      <c r="V6752" t="s">
        <v>43</v>
      </c>
      <c r="W6752" t="s">
        <v>43</v>
      </c>
      <c r="X6752" t="s">
        <v>43</v>
      </c>
      <c r="Y6752" t="s">
        <v>43</v>
      </c>
      <c r="Z6752" t="s">
        <v>43</v>
      </c>
      <c r="AA6752" t="s">
        <v>43</v>
      </c>
      <c r="AB6752" t="s">
        <v>43</v>
      </c>
      <c r="AC6752" t="s">
        <v>43</v>
      </c>
      <c r="AD6752" t="s">
        <v>43</v>
      </c>
      <c r="AE6752" t="s">
        <v>43</v>
      </c>
      <c r="AF6752" t="s">
        <v>43</v>
      </c>
      <c r="AG6752" t="s">
        <v>43</v>
      </c>
      <c r="AH6752" t="s">
        <v>43</v>
      </c>
      <c r="AI6752" t="s">
        <v>43</v>
      </c>
      <c r="AJ6752" t="s">
        <v>43</v>
      </c>
      <c r="AK6752" t="s">
        <v>43</v>
      </c>
      <c r="AL6752" t="s">
        <v>43</v>
      </c>
      <c r="AM6752" t="s">
        <v>43</v>
      </c>
      <c r="AN6752" t="str">
        <f>HYPERLINK("https://www.google.com/maps?q=10.78966999,79.57881165","Open Location")</f>
        <v>Open Location</v>
      </c>
    </row>
    <row r="6753" spans="1:40" x14ac:dyDescent="0.3">
      <c r="A6753" s="1">
        <v>46210.21770833333</v>
      </c>
      <c r="B6753" t="s">
        <v>40</v>
      </c>
      <c r="C6753" t="s">
        <v>41</v>
      </c>
      <c r="D6753" s="1">
        <v>46210.220659722225</v>
      </c>
      <c r="E6753" t="s">
        <v>42</v>
      </c>
      <c r="F6753" t="s">
        <v>43</v>
      </c>
      <c r="G6753" t="s">
        <v>43</v>
      </c>
      <c r="H6753" t="s">
        <v>43</v>
      </c>
      <c r="I6753" t="s">
        <v>3934</v>
      </c>
      <c r="J6753" t="s">
        <v>43</v>
      </c>
      <c r="K6753" t="s">
        <v>43</v>
      </c>
      <c r="L6753" t="s">
        <v>43</v>
      </c>
      <c r="M6753" t="s">
        <v>43</v>
      </c>
      <c r="N6753" t="s">
        <v>45</v>
      </c>
      <c r="O6753" t="s">
        <v>43</v>
      </c>
      <c r="P6753" t="s">
        <v>43</v>
      </c>
      <c r="Q6753" t="s">
        <v>43</v>
      </c>
      <c r="R6753" t="s">
        <v>43</v>
      </c>
      <c r="S6753" t="s">
        <v>43</v>
      </c>
      <c r="T6753" t="s">
        <v>43</v>
      </c>
      <c r="U6753" t="s">
        <v>43</v>
      </c>
      <c r="V6753" t="s">
        <v>43</v>
      </c>
      <c r="W6753" t="s">
        <v>43</v>
      </c>
      <c r="X6753" t="s">
        <v>43</v>
      </c>
      <c r="Y6753" t="s">
        <v>43</v>
      </c>
      <c r="Z6753" t="s">
        <v>43</v>
      </c>
      <c r="AA6753" t="s">
        <v>43</v>
      </c>
      <c r="AB6753" t="s">
        <v>43</v>
      </c>
      <c r="AC6753" t="s">
        <v>43</v>
      </c>
      <c r="AD6753" t="s">
        <v>43</v>
      </c>
      <c r="AE6753" t="s">
        <v>43</v>
      </c>
      <c r="AF6753" t="s">
        <v>43</v>
      </c>
      <c r="AG6753" t="s">
        <v>43</v>
      </c>
      <c r="AH6753" t="s">
        <v>43</v>
      </c>
      <c r="AI6753" t="s">
        <v>43</v>
      </c>
      <c r="AJ6753" t="s">
        <v>43</v>
      </c>
      <c r="AK6753" t="s">
        <v>43</v>
      </c>
      <c r="AL6753" t="s">
        <v>43</v>
      </c>
      <c r="AM6753" t="s">
        <v>43</v>
      </c>
      <c r="AN6753" t="str">
        <f>HYPERLINK("https://www.google.com/maps?q=10.78966522,79.57881165","Open Location")</f>
        <v>Open Location</v>
      </c>
    </row>
    <row r="6754" spans="1:40" x14ac:dyDescent="0.3">
      <c r="A6754" s="1">
        <v>46210.217592592591</v>
      </c>
      <c r="B6754" t="s">
        <v>40</v>
      </c>
      <c r="C6754" t="s">
        <v>41</v>
      </c>
      <c r="D6754" s="1">
        <v>46210.220659722225</v>
      </c>
      <c r="E6754" t="s">
        <v>42</v>
      </c>
      <c r="F6754" t="s">
        <v>43</v>
      </c>
      <c r="G6754" t="s">
        <v>43</v>
      </c>
      <c r="H6754" t="s">
        <v>43</v>
      </c>
      <c r="I6754" t="s">
        <v>3935</v>
      </c>
      <c r="J6754" t="s">
        <v>43</v>
      </c>
      <c r="K6754" t="s">
        <v>43</v>
      </c>
      <c r="L6754" t="s">
        <v>43</v>
      </c>
      <c r="M6754" t="s">
        <v>43</v>
      </c>
      <c r="N6754" t="s">
        <v>45</v>
      </c>
      <c r="O6754" t="s">
        <v>43</v>
      </c>
      <c r="P6754" t="s">
        <v>43</v>
      </c>
      <c r="Q6754" t="s">
        <v>43</v>
      </c>
      <c r="R6754" t="s">
        <v>43</v>
      </c>
      <c r="S6754" t="s">
        <v>43</v>
      </c>
      <c r="T6754" t="s">
        <v>43</v>
      </c>
      <c r="U6754" t="s">
        <v>43</v>
      </c>
      <c r="V6754" t="s">
        <v>43</v>
      </c>
      <c r="W6754" t="s">
        <v>43</v>
      </c>
      <c r="X6754" t="s">
        <v>43</v>
      </c>
      <c r="Y6754" t="s">
        <v>43</v>
      </c>
      <c r="Z6754" t="s">
        <v>43</v>
      </c>
      <c r="AA6754" t="s">
        <v>43</v>
      </c>
      <c r="AB6754" t="s">
        <v>43</v>
      </c>
      <c r="AC6754" t="s">
        <v>43</v>
      </c>
      <c r="AD6754" t="s">
        <v>43</v>
      </c>
      <c r="AE6754" t="s">
        <v>43</v>
      </c>
      <c r="AF6754" t="s">
        <v>43</v>
      </c>
      <c r="AG6754" t="s">
        <v>43</v>
      </c>
      <c r="AH6754" t="s">
        <v>43</v>
      </c>
      <c r="AI6754" t="s">
        <v>43</v>
      </c>
      <c r="AJ6754" t="s">
        <v>43</v>
      </c>
      <c r="AK6754" t="s">
        <v>43</v>
      </c>
      <c r="AL6754" t="s">
        <v>43</v>
      </c>
      <c r="AM6754" t="s">
        <v>43</v>
      </c>
      <c r="AN6754" t="str">
        <f>HYPERLINK("https://www.google.com/maps?q=10.78966045,79.57881165","Open Location")</f>
        <v>Open Location</v>
      </c>
    </row>
    <row r="6755" spans="1:40" x14ac:dyDescent="0.3">
      <c r="A6755" s="1">
        <v>46210.217476851853</v>
      </c>
      <c r="B6755" t="s">
        <v>40</v>
      </c>
      <c r="C6755" t="s">
        <v>41</v>
      </c>
      <c r="D6755" s="1">
        <v>46210.220324074071</v>
      </c>
      <c r="E6755" t="s">
        <v>42</v>
      </c>
      <c r="F6755" t="s">
        <v>43</v>
      </c>
      <c r="G6755" t="s">
        <v>43</v>
      </c>
      <c r="H6755" t="s">
        <v>43</v>
      </c>
      <c r="I6755" t="s">
        <v>43</v>
      </c>
      <c r="J6755" t="s">
        <v>43</v>
      </c>
      <c r="K6755" t="s">
        <v>43</v>
      </c>
      <c r="L6755" t="s">
        <v>43</v>
      </c>
      <c r="M6755" t="s">
        <v>43</v>
      </c>
      <c r="N6755" t="s">
        <v>45</v>
      </c>
      <c r="O6755" t="s">
        <v>43</v>
      </c>
      <c r="P6755" t="s">
        <v>43</v>
      </c>
      <c r="Q6755" t="s">
        <v>43</v>
      </c>
      <c r="R6755" t="s">
        <v>43</v>
      </c>
      <c r="S6755" t="s">
        <v>43</v>
      </c>
      <c r="T6755" t="s">
        <v>43</v>
      </c>
      <c r="U6755" t="s">
        <v>43</v>
      </c>
      <c r="V6755" t="s">
        <v>43</v>
      </c>
      <c r="W6755" t="s">
        <v>43</v>
      </c>
      <c r="X6755" t="s">
        <v>43</v>
      </c>
      <c r="Y6755" t="s">
        <v>43</v>
      </c>
      <c r="Z6755" t="s">
        <v>43</v>
      </c>
      <c r="AA6755" t="s">
        <v>43</v>
      </c>
      <c r="AB6755" t="s">
        <v>43</v>
      </c>
      <c r="AC6755" t="s">
        <v>43</v>
      </c>
      <c r="AD6755" t="s">
        <v>43</v>
      </c>
      <c r="AE6755" t="s">
        <v>43</v>
      </c>
      <c r="AF6755" t="s">
        <v>43</v>
      </c>
      <c r="AG6755" t="s">
        <v>43</v>
      </c>
      <c r="AH6755" t="s">
        <v>43</v>
      </c>
      <c r="AI6755" t="s">
        <v>43</v>
      </c>
      <c r="AJ6755" t="s">
        <v>43</v>
      </c>
      <c r="AK6755" t="s">
        <v>43</v>
      </c>
      <c r="AL6755" t="s">
        <v>43</v>
      </c>
      <c r="AM6755" t="s">
        <v>43</v>
      </c>
      <c r="AN6755" t="s">
        <v>43</v>
      </c>
    </row>
    <row r="6756" spans="1:40" x14ac:dyDescent="0.3">
      <c r="A6756" s="1">
        <v>46210.217361111114</v>
      </c>
      <c r="B6756" t="s">
        <v>40</v>
      </c>
      <c r="C6756" t="s">
        <v>41</v>
      </c>
      <c r="D6756" s="1">
        <v>46210.220300925925</v>
      </c>
      <c r="E6756" t="s">
        <v>42</v>
      </c>
      <c r="F6756" t="s">
        <v>43</v>
      </c>
      <c r="G6756" t="s">
        <v>43</v>
      </c>
      <c r="H6756" t="s">
        <v>43</v>
      </c>
      <c r="I6756" t="s">
        <v>3936</v>
      </c>
      <c r="J6756" t="s">
        <v>43</v>
      </c>
      <c r="K6756" t="s">
        <v>43</v>
      </c>
      <c r="L6756" t="s">
        <v>43</v>
      </c>
      <c r="M6756" t="s">
        <v>43</v>
      </c>
      <c r="N6756" t="s">
        <v>45</v>
      </c>
      <c r="O6756" t="s">
        <v>43</v>
      </c>
      <c r="P6756" t="s">
        <v>43</v>
      </c>
      <c r="Q6756" t="s">
        <v>43</v>
      </c>
      <c r="R6756" t="s">
        <v>43</v>
      </c>
      <c r="S6756" t="s">
        <v>43</v>
      </c>
      <c r="T6756" t="s">
        <v>43</v>
      </c>
      <c r="U6756" t="s">
        <v>43</v>
      </c>
      <c r="V6756" t="s">
        <v>43</v>
      </c>
      <c r="W6756" t="s">
        <v>43</v>
      </c>
      <c r="X6756" t="s">
        <v>43</v>
      </c>
      <c r="Y6756" t="s">
        <v>43</v>
      </c>
      <c r="Z6756" t="s">
        <v>43</v>
      </c>
      <c r="AA6756" t="s">
        <v>43</v>
      </c>
      <c r="AB6756" t="s">
        <v>43</v>
      </c>
      <c r="AC6756" t="s">
        <v>43</v>
      </c>
      <c r="AD6756" t="s">
        <v>43</v>
      </c>
      <c r="AE6756" t="s">
        <v>43</v>
      </c>
      <c r="AF6756" t="s">
        <v>43</v>
      </c>
      <c r="AG6756" t="s">
        <v>43</v>
      </c>
      <c r="AH6756" t="s">
        <v>43</v>
      </c>
      <c r="AI6756" t="s">
        <v>43</v>
      </c>
      <c r="AJ6756" t="s">
        <v>43</v>
      </c>
      <c r="AK6756" t="s">
        <v>43</v>
      </c>
      <c r="AL6756" t="s">
        <v>43</v>
      </c>
      <c r="AM6756" t="s">
        <v>43</v>
      </c>
      <c r="AN6756" t="str">
        <f>HYPERLINK("https://www.google.com/maps?q=10.78965855,79.57881165","Open Location")</f>
        <v>Open Location</v>
      </c>
    </row>
    <row r="6757" spans="1:40" x14ac:dyDescent="0.3">
      <c r="A6757" s="1">
        <v>46210.217245370368</v>
      </c>
      <c r="B6757" t="s">
        <v>40</v>
      </c>
      <c r="C6757" t="s">
        <v>41</v>
      </c>
      <c r="D6757" s="1">
        <v>46210.220289351855</v>
      </c>
      <c r="E6757" t="s">
        <v>42</v>
      </c>
      <c r="F6757" t="s">
        <v>43</v>
      </c>
      <c r="G6757" t="s">
        <v>43</v>
      </c>
      <c r="H6757" t="s">
        <v>43</v>
      </c>
      <c r="I6757" t="s">
        <v>3937</v>
      </c>
      <c r="J6757" t="s">
        <v>43</v>
      </c>
      <c r="K6757" t="s">
        <v>43</v>
      </c>
      <c r="L6757" t="s">
        <v>43</v>
      </c>
      <c r="M6757" t="s">
        <v>43</v>
      </c>
      <c r="N6757" t="s">
        <v>45</v>
      </c>
      <c r="O6757" t="s">
        <v>43</v>
      </c>
      <c r="P6757" t="s">
        <v>43</v>
      </c>
      <c r="Q6757" t="s">
        <v>43</v>
      </c>
      <c r="R6757" t="s">
        <v>43</v>
      </c>
      <c r="S6757" t="s">
        <v>43</v>
      </c>
      <c r="T6757" t="s">
        <v>43</v>
      </c>
      <c r="U6757" t="s">
        <v>43</v>
      </c>
      <c r="V6757" t="s">
        <v>43</v>
      </c>
      <c r="W6757" t="s">
        <v>43</v>
      </c>
      <c r="X6757" t="s">
        <v>43</v>
      </c>
      <c r="Y6757" t="s">
        <v>43</v>
      </c>
      <c r="Z6757" t="s">
        <v>43</v>
      </c>
      <c r="AA6757" t="s">
        <v>43</v>
      </c>
      <c r="AB6757" t="s">
        <v>43</v>
      </c>
      <c r="AC6757" t="s">
        <v>43</v>
      </c>
      <c r="AD6757" t="s">
        <v>43</v>
      </c>
      <c r="AE6757" t="s">
        <v>43</v>
      </c>
      <c r="AF6757" t="s">
        <v>43</v>
      </c>
      <c r="AG6757" t="s">
        <v>43</v>
      </c>
      <c r="AH6757" t="s">
        <v>43</v>
      </c>
      <c r="AI6757" t="s">
        <v>43</v>
      </c>
      <c r="AJ6757" t="s">
        <v>43</v>
      </c>
      <c r="AK6757" t="s">
        <v>43</v>
      </c>
      <c r="AL6757" t="s">
        <v>43</v>
      </c>
      <c r="AM6757" t="s">
        <v>43</v>
      </c>
      <c r="AN6757" t="str">
        <f>HYPERLINK("https://www.google.com/maps?q=10.78965664,79.57881927","Open Location")</f>
        <v>Open Location</v>
      </c>
    </row>
    <row r="6758" spans="1:40" x14ac:dyDescent="0.3">
      <c r="A6758" s="1">
        <v>46210.217129629629</v>
      </c>
      <c r="B6758" t="s">
        <v>40</v>
      </c>
      <c r="C6758" t="s">
        <v>41</v>
      </c>
      <c r="D6758" s="1">
        <v>46210.220300925925</v>
      </c>
      <c r="E6758" t="s">
        <v>42</v>
      </c>
      <c r="F6758" t="s">
        <v>43</v>
      </c>
      <c r="G6758" t="s">
        <v>43</v>
      </c>
      <c r="H6758" t="s">
        <v>43</v>
      </c>
      <c r="I6758" t="s">
        <v>3938</v>
      </c>
      <c r="J6758" t="s">
        <v>43</v>
      </c>
      <c r="K6758" t="s">
        <v>43</v>
      </c>
      <c r="L6758" t="s">
        <v>43</v>
      </c>
      <c r="M6758" t="s">
        <v>43</v>
      </c>
      <c r="N6758" t="s">
        <v>45</v>
      </c>
      <c r="O6758" t="s">
        <v>43</v>
      </c>
      <c r="P6758" t="s">
        <v>43</v>
      </c>
      <c r="Q6758" t="s">
        <v>43</v>
      </c>
      <c r="R6758" t="s">
        <v>43</v>
      </c>
      <c r="S6758" t="s">
        <v>43</v>
      </c>
      <c r="T6758" t="s">
        <v>43</v>
      </c>
      <c r="U6758" t="s">
        <v>43</v>
      </c>
      <c r="V6758" t="s">
        <v>43</v>
      </c>
      <c r="W6758" t="s">
        <v>43</v>
      </c>
      <c r="X6758" t="s">
        <v>43</v>
      </c>
      <c r="Y6758" t="s">
        <v>43</v>
      </c>
      <c r="Z6758" t="s">
        <v>43</v>
      </c>
      <c r="AA6758" t="s">
        <v>43</v>
      </c>
      <c r="AB6758" t="s">
        <v>43</v>
      </c>
      <c r="AC6758" t="s">
        <v>43</v>
      </c>
      <c r="AD6758" t="s">
        <v>43</v>
      </c>
      <c r="AE6758" t="s">
        <v>43</v>
      </c>
      <c r="AF6758" t="s">
        <v>43</v>
      </c>
      <c r="AG6758" t="s">
        <v>43</v>
      </c>
      <c r="AH6758" t="s">
        <v>43</v>
      </c>
      <c r="AI6758" t="s">
        <v>43</v>
      </c>
      <c r="AJ6758" t="s">
        <v>43</v>
      </c>
      <c r="AK6758" t="s">
        <v>43</v>
      </c>
      <c r="AL6758" t="s">
        <v>43</v>
      </c>
      <c r="AM6758" t="s">
        <v>43</v>
      </c>
      <c r="AN6758" t="str">
        <f>HYPERLINK("https://www.google.com/maps?q=10.78965282,79.57883453","Open Location")</f>
        <v>Open Location</v>
      </c>
    </row>
    <row r="6759" spans="1:40" x14ac:dyDescent="0.3">
      <c r="A6759" s="1">
        <v>46210.217013888891</v>
      </c>
      <c r="B6759" t="s">
        <v>40</v>
      </c>
      <c r="C6759" t="s">
        <v>41</v>
      </c>
      <c r="D6759" s="1">
        <v>46210.219953703701</v>
      </c>
      <c r="E6759" t="s">
        <v>42</v>
      </c>
      <c r="F6759" t="s">
        <v>43</v>
      </c>
      <c r="G6759" t="s">
        <v>43</v>
      </c>
      <c r="H6759" t="s">
        <v>43</v>
      </c>
      <c r="I6759" t="s">
        <v>3938</v>
      </c>
      <c r="J6759" t="s">
        <v>43</v>
      </c>
      <c r="K6759" t="s">
        <v>43</v>
      </c>
      <c r="L6759" t="s">
        <v>43</v>
      </c>
      <c r="M6759" t="s">
        <v>43</v>
      </c>
      <c r="N6759" t="s">
        <v>45</v>
      </c>
      <c r="O6759" t="s">
        <v>43</v>
      </c>
      <c r="P6759" t="s">
        <v>43</v>
      </c>
      <c r="Q6759" t="s">
        <v>43</v>
      </c>
      <c r="R6759" t="s">
        <v>43</v>
      </c>
      <c r="S6759" t="s">
        <v>43</v>
      </c>
      <c r="T6759" t="s">
        <v>43</v>
      </c>
      <c r="U6759" t="s">
        <v>43</v>
      </c>
      <c r="V6759" t="s">
        <v>43</v>
      </c>
      <c r="W6759" t="s">
        <v>43</v>
      </c>
      <c r="X6759" t="s">
        <v>43</v>
      </c>
      <c r="Y6759" t="s">
        <v>43</v>
      </c>
      <c r="Z6759" t="s">
        <v>43</v>
      </c>
      <c r="AA6759" t="s">
        <v>43</v>
      </c>
      <c r="AB6759" t="s">
        <v>43</v>
      </c>
      <c r="AC6759" t="s">
        <v>43</v>
      </c>
      <c r="AD6759" t="s">
        <v>43</v>
      </c>
      <c r="AE6759" t="s">
        <v>43</v>
      </c>
      <c r="AF6759" t="s">
        <v>43</v>
      </c>
      <c r="AG6759" t="s">
        <v>43</v>
      </c>
      <c r="AH6759" t="s">
        <v>43</v>
      </c>
      <c r="AI6759" t="s">
        <v>43</v>
      </c>
      <c r="AJ6759" t="s">
        <v>43</v>
      </c>
      <c r="AK6759" t="s">
        <v>43</v>
      </c>
      <c r="AL6759" t="s">
        <v>43</v>
      </c>
      <c r="AM6759" t="s">
        <v>43</v>
      </c>
      <c r="AN6759" t="str">
        <f>HYPERLINK("https://www.google.com/maps?q=10.78965282,79.57883453","Open Location")</f>
        <v>Open Location</v>
      </c>
    </row>
    <row r="6760" spans="1:40" x14ac:dyDescent="0.3">
      <c r="A6760" s="1">
        <v>46210.216898148145</v>
      </c>
      <c r="B6760" t="s">
        <v>40</v>
      </c>
      <c r="C6760" t="s">
        <v>41</v>
      </c>
      <c r="D6760" s="1">
        <v>46210.219942129632</v>
      </c>
      <c r="E6760" t="s">
        <v>42</v>
      </c>
      <c r="F6760" t="s">
        <v>43</v>
      </c>
      <c r="G6760" t="s">
        <v>43</v>
      </c>
      <c r="H6760" t="s">
        <v>43</v>
      </c>
      <c r="I6760" t="s">
        <v>43</v>
      </c>
      <c r="J6760" t="s">
        <v>43</v>
      </c>
      <c r="K6760" t="s">
        <v>43</v>
      </c>
      <c r="L6760" t="s">
        <v>43</v>
      </c>
      <c r="M6760" t="s">
        <v>43</v>
      </c>
      <c r="N6760" t="s">
        <v>45</v>
      </c>
      <c r="O6760" t="s">
        <v>43</v>
      </c>
      <c r="P6760" t="s">
        <v>43</v>
      </c>
      <c r="Q6760" t="s">
        <v>43</v>
      </c>
      <c r="R6760" t="s">
        <v>43</v>
      </c>
      <c r="S6760" t="s">
        <v>43</v>
      </c>
      <c r="T6760" t="s">
        <v>43</v>
      </c>
      <c r="U6760" t="s">
        <v>43</v>
      </c>
      <c r="V6760" t="s">
        <v>43</v>
      </c>
      <c r="W6760" t="s">
        <v>43</v>
      </c>
      <c r="X6760" t="s">
        <v>43</v>
      </c>
      <c r="Y6760" t="s">
        <v>43</v>
      </c>
      <c r="Z6760" t="s">
        <v>43</v>
      </c>
      <c r="AA6760" t="s">
        <v>43</v>
      </c>
      <c r="AB6760" t="s">
        <v>43</v>
      </c>
      <c r="AC6760" t="s">
        <v>43</v>
      </c>
      <c r="AD6760" t="s">
        <v>43</v>
      </c>
      <c r="AE6760" t="s">
        <v>43</v>
      </c>
      <c r="AF6760" t="s">
        <v>43</v>
      </c>
      <c r="AG6760" t="s">
        <v>43</v>
      </c>
      <c r="AH6760" t="s">
        <v>43</v>
      </c>
      <c r="AI6760" t="s">
        <v>43</v>
      </c>
      <c r="AJ6760" t="s">
        <v>43</v>
      </c>
      <c r="AK6760" t="s">
        <v>43</v>
      </c>
      <c r="AL6760" t="s">
        <v>43</v>
      </c>
      <c r="AM6760" t="s">
        <v>43</v>
      </c>
      <c r="AN6760" t="s">
        <v>43</v>
      </c>
    </row>
    <row r="6761" spans="1:40" x14ac:dyDescent="0.3">
      <c r="A6761" s="1">
        <v>46210.216782407406</v>
      </c>
      <c r="B6761" t="s">
        <v>40</v>
      </c>
      <c r="C6761" t="s">
        <v>41</v>
      </c>
      <c r="D6761" s="1">
        <v>46210.219571759262</v>
      </c>
      <c r="E6761" t="s">
        <v>42</v>
      </c>
      <c r="F6761" t="s">
        <v>43</v>
      </c>
      <c r="G6761" t="s">
        <v>43</v>
      </c>
      <c r="H6761" t="s">
        <v>43</v>
      </c>
      <c r="I6761" t="s">
        <v>3939</v>
      </c>
      <c r="J6761" t="s">
        <v>43</v>
      </c>
      <c r="K6761" t="s">
        <v>43</v>
      </c>
      <c r="L6761" t="s">
        <v>43</v>
      </c>
      <c r="M6761" t="s">
        <v>43</v>
      </c>
      <c r="N6761" t="s">
        <v>45</v>
      </c>
      <c r="O6761" t="s">
        <v>43</v>
      </c>
      <c r="P6761" t="s">
        <v>43</v>
      </c>
      <c r="Q6761" t="s">
        <v>43</v>
      </c>
      <c r="R6761" t="s">
        <v>43</v>
      </c>
      <c r="S6761" t="s">
        <v>43</v>
      </c>
      <c r="T6761" t="s">
        <v>43</v>
      </c>
      <c r="U6761" t="s">
        <v>43</v>
      </c>
      <c r="V6761" t="s">
        <v>43</v>
      </c>
      <c r="W6761" t="s">
        <v>43</v>
      </c>
      <c r="X6761" t="s">
        <v>43</v>
      </c>
      <c r="Y6761" t="s">
        <v>43</v>
      </c>
      <c r="Z6761" t="s">
        <v>43</v>
      </c>
      <c r="AA6761" t="s">
        <v>43</v>
      </c>
      <c r="AB6761" t="s">
        <v>43</v>
      </c>
      <c r="AC6761" t="s">
        <v>43</v>
      </c>
      <c r="AD6761" t="s">
        <v>43</v>
      </c>
      <c r="AE6761" t="s">
        <v>43</v>
      </c>
      <c r="AF6761" t="s">
        <v>43</v>
      </c>
      <c r="AG6761" t="s">
        <v>43</v>
      </c>
      <c r="AH6761" t="s">
        <v>43</v>
      </c>
      <c r="AI6761" t="s">
        <v>43</v>
      </c>
      <c r="AJ6761" t="s">
        <v>43</v>
      </c>
      <c r="AK6761" t="s">
        <v>43</v>
      </c>
      <c r="AL6761" t="s">
        <v>43</v>
      </c>
      <c r="AM6761" t="s">
        <v>43</v>
      </c>
      <c r="AN6761" t="str">
        <f>HYPERLINK("https://www.google.com/maps?q=10.78965378,79.57883453","Open Location")</f>
        <v>Open Location</v>
      </c>
    </row>
    <row r="6762" spans="1:40" x14ac:dyDescent="0.3">
      <c r="A6762" s="1">
        <v>46210.216666666667</v>
      </c>
      <c r="B6762" t="s">
        <v>40</v>
      </c>
      <c r="C6762" t="s">
        <v>41</v>
      </c>
      <c r="D6762" s="1">
        <v>46210.219548611109</v>
      </c>
      <c r="E6762" t="s">
        <v>42</v>
      </c>
      <c r="F6762" t="s">
        <v>43</v>
      </c>
      <c r="G6762" t="s">
        <v>43</v>
      </c>
      <c r="H6762" t="s">
        <v>43</v>
      </c>
      <c r="I6762" t="s">
        <v>3940</v>
      </c>
      <c r="J6762" t="s">
        <v>43</v>
      </c>
      <c r="K6762" t="s">
        <v>43</v>
      </c>
      <c r="L6762" t="s">
        <v>43</v>
      </c>
      <c r="M6762" t="s">
        <v>43</v>
      </c>
      <c r="N6762" t="s">
        <v>45</v>
      </c>
      <c r="O6762" t="s">
        <v>43</v>
      </c>
      <c r="P6762" t="s">
        <v>43</v>
      </c>
      <c r="Q6762" t="s">
        <v>43</v>
      </c>
      <c r="R6762" t="s">
        <v>43</v>
      </c>
      <c r="S6762" t="s">
        <v>43</v>
      </c>
      <c r="T6762" t="s">
        <v>43</v>
      </c>
      <c r="U6762" t="s">
        <v>43</v>
      </c>
      <c r="V6762" t="s">
        <v>43</v>
      </c>
      <c r="W6762" t="s">
        <v>43</v>
      </c>
      <c r="X6762" t="s">
        <v>43</v>
      </c>
      <c r="Y6762" t="s">
        <v>43</v>
      </c>
      <c r="Z6762" t="s">
        <v>43</v>
      </c>
      <c r="AA6762" t="s">
        <v>43</v>
      </c>
      <c r="AB6762" t="s">
        <v>43</v>
      </c>
      <c r="AC6762" t="s">
        <v>43</v>
      </c>
      <c r="AD6762" t="s">
        <v>43</v>
      </c>
      <c r="AE6762" t="s">
        <v>43</v>
      </c>
      <c r="AF6762" t="s">
        <v>43</v>
      </c>
      <c r="AG6762" t="s">
        <v>43</v>
      </c>
      <c r="AH6762" t="s">
        <v>43</v>
      </c>
      <c r="AI6762" t="s">
        <v>43</v>
      </c>
      <c r="AJ6762" t="s">
        <v>43</v>
      </c>
      <c r="AK6762" t="s">
        <v>43</v>
      </c>
      <c r="AL6762" t="s">
        <v>43</v>
      </c>
      <c r="AM6762" t="s">
        <v>43</v>
      </c>
      <c r="AN6762" t="str">
        <f>HYPERLINK("https://www.google.com/maps?q=10.78965664,79.57883453","Open Location")</f>
        <v>Open Location</v>
      </c>
    </row>
    <row r="6763" spans="1:40" x14ac:dyDescent="0.3">
      <c r="A6763" s="1">
        <v>46210.216550925928</v>
      </c>
      <c r="B6763" t="s">
        <v>40</v>
      </c>
      <c r="C6763" t="s">
        <v>41</v>
      </c>
      <c r="D6763" s="1">
        <v>46210.219571759262</v>
      </c>
      <c r="E6763" t="s">
        <v>42</v>
      </c>
      <c r="F6763" t="s">
        <v>43</v>
      </c>
      <c r="G6763" t="s">
        <v>43</v>
      </c>
      <c r="H6763" t="s">
        <v>43</v>
      </c>
      <c r="I6763" t="s">
        <v>3941</v>
      </c>
      <c r="J6763" t="s">
        <v>43</v>
      </c>
      <c r="K6763" t="s">
        <v>43</v>
      </c>
      <c r="L6763" t="s">
        <v>43</v>
      </c>
      <c r="M6763" t="s">
        <v>43</v>
      </c>
      <c r="N6763" t="s">
        <v>45</v>
      </c>
      <c r="O6763" t="s">
        <v>43</v>
      </c>
      <c r="P6763" t="s">
        <v>43</v>
      </c>
      <c r="Q6763" t="s">
        <v>43</v>
      </c>
      <c r="R6763" t="s">
        <v>43</v>
      </c>
      <c r="S6763" t="s">
        <v>43</v>
      </c>
      <c r="T6763" t="s">
        <v>43</v>
      </c>
      <c r="U6763" t="s">
        <v>43</v>
      </c>
      <c r="V6763" t="s">
        <v>43</v>
      </c>
      <c r="W6763" t="s">
        <v>43</v>
      </c>
      <c r="X6763" t="s">
        <v>43</v>
      </c>
      <c r="Y6763" t="s">
        <v>43</v>
      </c>
      <c r="Z6763" t="s">
        <v>43</v>
      </c>
      <c r="AA6763" t="s">
        <v>43</v>
      </c>
      <c r="AB6763" t="s">
        <v>43</v>
      </c>
      <c r="AC6763" t="s">
        <v>43</v>
      </c>
      <c r="AD6763" t="s">
        <v>43</v>
      </c>
      <c r="AE6763" t="s">
        <v>43</v>
      </c>
      <c r="AF6763" t="s">
        <v>43</v>
      </c>
      <c r="AG6763" t="s">
        <v>43</v>
      </c>
      <c r="AH6763" t="s">
        <v>43</v>
      </c>
      <c r="AI6763" t="s">
        <v>43</v>
      </c>
      <c r="AJ6763" t="s">
        <v>43</v>
      </c>
      <c r="AK6763" t="s">
        <v>43</v>
      </c>
      <c r="AL6763" t="s">
        <v>43</v>
      </c>
      <c r="AM6763" t="s">
        <v>43</v>
      </c>
      <c r="AN6763" t="str">
        <f>HYPERLINK("https://www.google.com/maps?q=10.78966331,79.5788269","Open Location")</f>
        <v>Open Location</v>
      </c>
    </row>
    <row r="6764" spans="1:40" x14ac:dyDescent="0.3">
      <c r="A6764" s="1">
        <v>46210.216435185182</v>
      </c>
      <c r="B6764" t="s">
        <v>40</v>
      </c>
      <c r="C6764" t="s">
        <v>41</v>
      </c>
      <c r="D6764" s="1">
        <v>46210.219548611109</v>
      </c>
      <c r="E6764" t="s">
        <v>42</v>
      </c>
      <c r="F6764" t="s">
        <v>43</v>
      </c>
      <c r="G6764" t="s">
        <v>43</v>
      </c>
      <c r="H6764" t="s">
        <v>43</v>
      </c>
      <c r="I6764" t="s">
        <v>3942</v>
      </c>
      <c r="J6764" t="s">
        <v>43</v>
      </c>
      <c r="K6764" t="s">
        <v>43</v>
      </c>
      <c r="L6764" t="s">
        <v>43</v>
      </c>
      <c r="M6764" t="s">
        <v>43</v>
      </c>
      <c r="N6764" t="s">
        <v>45</v>
      </c>
      <c r="O6764" t="s">
        <v>43</v>
      </c>
      <c r="P6764" t="s">
        <v>43</v>
      </c>
      <c r="Q6764" t="s">
        <v>43</v>
      </c>
      <c r="R6764" t="s">
        <v>43</v>
      </c>
      <c r="S6764" t="s">
        <v>43</v>
      </c>
      <c r="T6764" t="s">
        <v>43</v>
      </c>
      <c r="U6764" t="s">
        <v>43</v>
      </c>
      <c r="V6764" t="s">
        <v>43</v>
      </c>
      <c r="W6764" t="s">
        <v>43</v>
      </c>
      <c r="X6764" t="s">
        <v>43</v>
      </c>
      <c r="Y6764" t="s">
        <v>43</v>
      </c>
      <c r="Z6764" t="s">
        <v>43</v>
      </c>
      <c r="AA6764" t="s">
        <v>43</v>
      </c>
      <c r="AB6764" t="s">
        <v>43</v>
      </c>
      <c r="AC6764" t="s">
        <v>43</v>
      </c>
      <c r="AD6764" t="s">
        <v>43</v>
      </c>
      <c r="AE6764" t="s">
        <v>43</v>
      </c>
      <c r="AF6764" t="s">
        <v>43</v>
      </c>
      <c r="AG6764" t="s">
        <v>43</v>
      </c>
      <c r="AH6764" t="s">
        <v>43</v>
      </c>
      <c r="AI6764" t="s">
        <v>43</v>
      </c>
      <c r="AJ6764" t="s">
        <v>43</v>
      </c>
      <c r="AK6764" t="s">
        <v>43</v>
      </c>
      <c r="AL6764" t="s">
        <v>43</v>
      </c>
      <c r="AM6764" t="s">
        <v>43</v>
      </c>
      <c r="AN6764" t="str">
        <f>HYPERLINK("https://www.google.com/maps?q=10.78966713,79.57881927","Open Location")</f>
        <v>Open Location</v>
      </c>
    </row>
    <row r="6765" spans="1:40" x14ac:dyDescent="0.3">
      <c r="A6765" s="1">
        <v>46210.216319444444</v>
      </c>
      <c r="B6765" t="s">
        <v>40</v>
      </c>
      <c r="C6765" t="s">
        <v>41</v>
      </c>
      <c r="D6765" s="1">
        <v>46210.219189814816</v>
      </c>
      <c r="E6765" t="s">
        <v>42</v>
      </c>
      <c r="F6765" t="s">
        <v>43</v>
      </c>
      <c r="G6765" t="s">
        <v>43</v>
      </c>
      <c r="H6765" t="s">
        <v>43</v>
      </c>
      <c r="I6765" t="s">
        <v>3942</v>
      </c>
      <c r="J6765" t="s">
        <v>43</v>
      </c>
      <c r="K6765" t="s">
        <v>43</v>
      </c>
      <c r="L6765" t="s">
        <v>43</v>
      </c>
      <c r="M6765" t="s">
        <v>43</v>
      </c>
      <c r="N6765" t="s">
        <v>45</v>
      </c>
      <c r="O6765" t="s">
        <v>43</v>
      </c>
      <c r="P6765" t="s">
        <v>43</v>
      </c>
      <c r="Q6765" t="s">
        <v>43</v>
      </c>
      <c r="R6765" t="s">
        <v>43</v>
      </c>
      <c r="S6765" t="s">
        <v>43</v>
      </c>
      <c r="T6765" t="s">
        <v>43</v>
      </c>
      <c r="U6765" t="s">
        <v>43</v>
      </c>
      <c r="V6765" t="s">
        <v>43</v>
      </c>
      <c r="W6765" t="s">
        <v>43</v>
      </c>
      <c r="X6765" t="s">
        <v>43</v>
      </c>
      <c r="Y6765" t="s">
        <v>43</v>
      </c>
      <c r="Z6765" t="s">
        <v>43</v>
      </c>
      <c r="AA6765" t="s">
        <v>43</v>
      </c>
      <c r="AB6765" t="s">
        <v>43</v>
      </c>
      <c r="AC6765" t="s">
        <v>43</v>
      </c>
      <c r="AD6765" t="s">
        <v>43</v>
      </c>
      <c r="AE6765" t="s">
        <v>43</v>
      </c>
      <c r="AF6765" t="s">
        <v>43</v>
      </c>
      <c r="AG6765" t="s">
        <v>43</v>
      </c>
      <c r="AH6765" t="s">
        <v>43</v>
      </c>
      <c r="AI6765" t="s">
        <v>43</v>
      </c>
      <c r="AJ6765" t="s">
        <v>43</v>
      </c>
      <c r="AK6765" t="s">
        <v>43</v>
      </c>
      <c r="AL6765" t="s">
        <v>43</v>
      </c>
      <c r="AM6765" t="s">
        <v>43</v>
      </c>
      <c r="AN6765" t="str">
        <f>HYPERLINK("https://www.google.com/maps?q=10.78966713,79.57881927","Open Location")</f>
        <v>Open Location</v>
      </c>
    </row>
    <row r="6766" spans="1:40" x14ac:dyDescent="0.3">
      <c r="A6766" s="1">
        <v>46210.216203703705</v>
      </c>
      <c r="B6766" t="s">
        <v>40</v>
      </c>
      <c r="C6766" t="s">
        <v>41</v>
      </c>
      <c r="D6766" s="1">
        <v>46210.219212962962</v>
      </c>
      <c r="E6766" t="s">
        <v>42</v>
      </c>
      <c r="F6766" t="s">
        <v>43</v>
      </c>
      <c r="G6766" t="s">
        <v>43</v>
      </c>
      <c r="H6766" t="s">
        <v>43</v>
      </c>
      <c r="I6766" t="s">
        <v>43</v>
      </c>
      <c r="J6766" t="s">
        <v>43</v>
      </c>
      <c r="K6766" t="s">
        <v>43</v>
      </c>
      <c r="L6766" t="s">
        <v>43</v>
      </c>
      <c r="M6766" t="s">
        <v>43</v>
      </c>
      <c r="N6766" t="s">
        <v>45</v>
      </c>
      <c r="O6766" t="s">
        <v>43</v>
      </c>
      <c r="P6766" t="s">
        <v>43</v>
      </c>
      <c r="Q6766" t="s">
        <v>43</v>
      </c>
      <c r="R6766" t="s">
        <v>43</v>
      </c>
      <c r="S6766" t="s">
        <v>43</v>
      </c>
      <c r="T6766" t="s">
        <v>43</v>
      </c>
      <c r="U6766" t="s">
        <v>43</v>
      </c>
      <c r="V6766" t="s">
        <v>43</v>
      </c>
      <c r="W6766" t="s">
        <v>43</v>
      </c>
      <c r="X6766" t="s">
        <v>43</v>
      </c>
      <c r="Y6766" t="s">
        <v>43</v>
      </c>
      <c r="Z6766" t="s">
        <v>43</v>
      </c>
      <c r="AA6766" t="s">
        <v>43</v>
      </c>
      <c r="AB6766" t="s">
        <v>43</v>
      </c>
      <c r="AC6766" t="s">
        <v>43</v>
      </c>
      <c r="AD6766" t="s">
        <v>43</v>
      </c>
      <c r="AE6766" t="s">
        <v>43</v>
      </c>
      <c r="AF6766" t="s">
        <v>43</v>
      </c>
      <c r="AG6766" t="s">
        <v>43</v>
      </c>
      <c r="AH6766" t="s">
        <v>43</v>
      </c>
      <c r="AI6766" t="s">
        <v>43</v>
      </c>
      <c r="AJ6766" t="s">
        <v>43</v>
      </c>
      <c r="AK6766" t="s">
        <v>43</v>
      </c>
      <c r="AL6766" t="s">
        <v>43</v>
      </c>
      <c r="AM6766" t="s">
        <v>43</v>
      </c>
      <c r="AN6766" t="s">
        <v>43</v>
      </c>
    </row>
    <row r="6767" spans="1:40" x14ac:dyDescent="0.3">
      <c r="A6767" s="1">
        <v>46210.216087962966</v>
      </c>
      <c r="B6767" t="s">
        <v>40</v>
      </c>
      <c r="C6767" t="s">
        <v>41</v>
      </c>
      <c r="D6767" s="1">
        <v>46210.218842592592</v>
      </c>
      <c r="E6767" t="s">
        <v>42</v>
      </c>
      <c r="F6767" t="s">
        <v>43</v>
      </c>
      <c r="G6767" t="s">
        <v>43</v>
      </c>
      <c r="H6767" t="s">
        <v>43</v>
      </c>
      <c r="I6767" t="s">
        <v>3943</v>
      </c>
      <c r="J6767" t="s">
        <v>43</v>
      </c>
      <c r="K6767" t="s">
        <v>43</v>
      </c>
      <c r="L6767" t="s">
        <v>43</v>
      </c>
      <c r="M6767" t="s">
        <v>43</v>
      </c>
      <c r="N6767" t="s">
        <v>45</v>
      </c>
      <c r="O6767" t="s">
        <v>43</v>
      </c>
      <c r="P6767" t="s">
        <v>43</v>
      </c>
      <c r="Q6767" t="s">
        <v>43</v>
      </c>
      <c r="R6767" t="s">
        <v>43</v>
      </c>
      <c r="S6767" t="s">
        <v>43</v>
      </c>
      <c r="T6767" t="s">
        <v>43</v>
      </c>
      <c r="U6767" t="s">
        <v>43</v>
      </c>
      <c r="V6767" t="s">
        <v>43</v>
      </c>
      <c r="W6767" t="s">
        <v>43</v>
      </c>
      <c r="X6767" t="s">
        <v>43</v>
      </c>
      <c r="Y6767" t="s">
        <v>43</v>
      </c>
      <c r="Z6767" t="s">
        <v>43</v>
      </c>
      <c r="AA6767" t="s">
        <v>43</v>
      </c>
      <c r="AB6767" t="s">
        <v>43</v>
      </c>
      <c r="AC6767" t="s">
        <v>43</v>
      </c>
      <c r="AD6767" t="s">
        <v>43</v>
      </c>
      <c r="AE6767" t="s">
        <v>43</v>
      </c>
      <c r="AF6767" t="s">
        <v>43</v>
      </c>
      <c r="AG6767" t="s">
        <v>43</v>
      </c>
      <c r="AH6767" t="s">
        <v>43</v>
      </c>
      <c r="AI6767" t="s">
        <v>43</v>
      </c>
      <c r="AJ6767" t="s">
        <v>43</v>
      </c>
      <c r="AK6767" t="s">
        <v>43</v>
      </c>
      <c r="AL6767" t="s">
        <v>43</v>
      </c>
      <c r="AM6767" t="s">
        <v>43</v>
      </c>
      <c r="AN6767" t="str">
        <f>HYPERLINK("https://www.google.com/maps?q=10.78966141,79.5788269","Open Location")</f>
        <v>Open Location</v>
      </c>
    </row>
    <row r="6768" spans="1:40" x14ac:dyDescent="0.3">
      <c r="A6768" s="1">
        <v>46210.21597222222</v>
      </c>
      <c r="B6768" t="s">
        <v>40</v>
      </c>
      <c r="C6768" t="s">
        <v>41</v>
      </c>
      <c r="D6768" s="1">
        <v>46210.218865740739</v>
      </c>
      <c r="E6768" t="s">
        <v>42</v>
      </c>
      <c r="F6768" t="s">
        <v>43</v>
      </c>
      <c r="G6768" t="s">
        <v>43</v>
      </c>
      <c r="H6768" t="s">
        <v>43</v>
      </c>
      <c r="I6768" t="s">
        <v>3941</v>
      </c>
      <c r="J6768" t="s">
        <v>43</v>
      </c>
      <c r="K6768" t="s">
        <v>43</v>
      </c>
      <c r="L6768" t="s">
        <v>43</v>
      </c>
      <c r="M6768" t="s">
        <v>43</v>
      </c>
      <c r="N6768" t="s">
        <v>45</v>
      </c>
      <c r="O6768" t="s">
        <v>43</v>
      </c>
      <c r="P6768" t="s">
        <v>43</v>
      </c>
      <c r="Q6768" t="s">
        <v>43</v>
      </c>
      <c r="R6768" t="s">
        <v>43</v>
      </c>
      <c r="S6768" t="s">
        <v>43</v>
      </c>
      <c r="T6768" t="s">
        <v>43</v>
      </c>
      <c r="U6768" t="s">
        <v>43</v>
      </c>
      <c r="V6768" t="s">
        <v>43</v>
      </c>
      <c r="W6768" t="s">
        <v>43</v>
      </c>
      <c r="X6768" t="s">
        <v>43</v>
      </c>
      <c r="Y6768" t="s">
        <v>43</v>
      </c>
      <c r="Z6768" t="s">
        <v>43</v>
      </c>
      <c r="AA6768" t="s">
        <v>43</v>
      </c>
      <c r="AB6768" t="s">
        <v>43</v>
      </c>
      <c r="AC6768" t="s">
        <v>43</v>
      </c>
      <c r="AD6768" t="s">
        <v>43</v>
      </c>
      <c r="AE6768" t="s">
        <v>43</v>
      </c>
      <c r="AF6768" t="s">
        <v>43</v>
      </c>
      <c r="AG6768" t="s">
        <v>43</v>
      </c>
      <c r="AH6768" t="s">
        <v>43</v>
      </c>
      <c r="AI6768" t="s">
        <v>43</v>
      </c>
      <c r="AJ6768" t="s">
        <v>43</v>
      </c>
      <c r="AK6768" t="s">
        <v>43</v>
      </c>
      <c r="AL6768" t="s">
        <v>43</v>
      </c>
      <c r="AM6768" t="s">
        <v>43</v>
      </c>
      <c r="AN6768" t="str">
        <f>HYPERLINK("https://www.google.com/maps?q=10.78966331,79.5788269","Open Location")</f>
        <v>Open Location</v>
      </c>
    </row>
    <row r="6769" spans="1:40" x14ac:dyDescent="0.3">
      <c r="A6769" s="1">
        <v>46210.215856481482</v>
      </c>
      <c r="B6769" t="s">
        <v>40</v>
      </c>
      <c r="C6769" t="s">
        <v>41</v>
      </c>
      <c r="D6769" s="1">
        <v>46210.218715277777</v>
      </c>
      <c r="E6769" t="s">
        <v>42</v>
      </c>
      <c r="F6769" t="s">
        <v>43</v>
      </c>
      <c r="G6769" t="s">
        <v>43</v>
      </c>
      <c r="H6769" t="s">
        <v>43</v>
      </c>
      <c r="I6769" t="s">
        <v>3944</v>
      </c>
      <c r="J6769" t="s">
        <v>43</v>
      </c>
      <c r="K6769" t="s">
        <v>43</v>
      </c>
      <c r="L6769" t="s">
        <v>43</v>
      </c>
      <c r="M6769" t="s">
        <v>43</v>
      </c>
      <c r="N6769" t="s">
        <v>45</v>
      </c>
      <c r="O6769" t="s">
        <v>43</v>
      </c>
      <c r="P6769" t="s">
        <v>43</v>
      </c>
      <c r="Q6769" t="s">
        <v>43</v>
      </c>
      <c r="R6769" t="s">
        <v>43</v>
      </c>
      <c r="S6769" t="s">
        <v>43</v>
      </c>
      <c r="T6769" t="s">
        <v>43</v>
      </c>
      <c r="U6769" t="s">
        <v>43</v>
      </c>
      <c r="V6769" t="s">
        <v>43</v>
      </c>
      <c r="W6769" t="s">
        <v>43</v>
      </c>
      <c r="X6769" t="s">
        <v>43</v>
      </c>
      <c r="Y6769" t="s">
        <v>43</v>
      </c>
      <c r="Z6769" t="s">
        <v>43</v>
      </c>
      <c r="AA6769" t="s">
        <v>43</v>
      </c>
      <c r="AB6769" t="s">
        <v>43</v>
      </c>
      <c r="AC6769" t="s">
        <v>43</v>
      </c>
      <c r="AD6769" t="s">
        <v>43</v>
      </c>
      <c r="AE6769" t="s">
        <v>43</v>
      </c>
      <c r="AF6769" t="s">
        <v>43</v>
      </c>
      <c r="AG6769" t="s">
        <v>43</v>
      </c>
      <c r="AH6769" t="s">
        <v>43</v>
      </c>
      <c r="AI6769" t="s">
        <v>43</v>
      </c>
      <c r="AJ6769" t="s">
        <v>43</v>
      </c>
      <c r="AK6769" t="s">
        <v>43</v>
      </c>
      <c r="AL6769" t="s">
        <v>43</v>
      </c>
      <c r="AM6769" t="s">
        <v>43</v>
      </c>
      <c r="AN6769" t="str">
        <f>HYPERLINK("https://www.google.com/maps?q=10.78966427,79.57883453","Open Location")</f>
        <v>Open Location</v>
      </c>
    </row>
    <row r="6770" spans="1:40" x14ac:dyDescent="0.3">
      <c r="A6770" s="1">
        <v>46210.215740740743</v>
      </c>
      <c r="B6770" t="s">
        <v>40</v>
      </c>
      <c r="C6770" t="s">
        <v>41</v>
      </c>
      <c r="D6770" s="1">
        <v>46210.218842592592</v>
      </c>
      <c r="E6770" t="s">
        <v>42</v>
      </c>
      <c r="F6770" t="s">
        <v>43</v>
      </c>
      <c r="G6770" t="s">
        <v>43</v>
      </c>
      <c r="H6770" t="s">
        <v>43</v>
      </c>
      <c r="I6770" t="s">
        <v>3945</v>
      </c>
      <c r="J6770" t="s">
        <v>43</v>
      </c>
      <c r="K6770" t="s">
        <v>43</v>
      </c>
      <c r="L6770" t="s">
        <v>43</v>
      </c>
      <c r="M6770" t="s">
        <v>43</v>
      </c>
      <c r="N6770" t="s">
        <v>45</v>
      </c>
      <c r="O6770" t="s">
        <v>43</v>
      </c>
      <c r="P6770" t="s">
        <v>43</v>
      </c>
      <c r="Q6770" t="s">
        <v>43</v>
      </c>
      <c r="R6770" t="s">
        <v>43</v>
      </c>
      <c r="S6770" t="s">
        <v>43</v>
      </c>
      <c r="T6770" t="s">
        <v>43</v>
      </c>
      <c r="U6770" t="s">
        <v>43</v>
      </c>
      <c r="V6770" t="s">
        <v>43</v>
      </c>
      <c r="W6770" t="s">
        <v>43</v>
      </c>
      <c r="X6770" t="s">
        <v>43</v>
      </c>
      <c r="Y6770" t="s">
        <v>43</v>
      </c>
      <c r="Z6770" t="s">
        <v>43</v>
      </c>
      <c r="AA6770" t="s">
        <v>43</v>
      </c>
      <c r="AB6770" t="s">
        <v>43</v>
      </c>
      <c r="AC6770" t="s">
        <v>43</v>
      </c>
      <c r="AD6770" t="s">
        <v>43</v>
      </c>
      <c r="AE6770" t="s">
        <v>43</v>
      </c>
      <c r="AF6770" t="s">
        <v>43</v>
      </c>
      <c r="AG6770" t="s">
        <v>43</v>
      </c>
      <c r="AH6770" t="s">
        <v>43</v>
      </c>
      <c r="AI6770" t="s">
        <v>43</v>
      </c>
      <c r="AJ6770" t="s">
        <v>43</v>
      </c>
      <c r="AK6770" t="s">
        <v>43</v>
      </c>
      <c r="AL6770" t="s">
        <v>43</v>
      </c>
      <c r="AM6770" t="s">
        <v>43</v>
      </c>
      <c r="AN6770" t="str">
        <f>HYPERLINK("https://www.google.com/maps?q=10.78965855,79.57883453","Open Location")</f>
        <v>Open Location</v>
      </c>
    </row>
    <row r="6771" spans="1:40" x14ac:dyDescent="0.3">
      <c r="A6771" s="1">
        <v>46210.215624999997</v>
      </c>
      <c r="B6771" t="s">
        <v>40</v>
      </c>
      <c r="C6771" t="s">
        <v>41</v>
      </c>
      <c r="D6771" s="1">
        <v>46210.218449074076</v>
      </c>
      <c r="E6771" t="s">
        <v>42</v>
      </c>
      <c r="F6771" t="s">
        <v>43</v>
      </c>
      <c r="G6771" t="s">
        <v>43</v>
      </c>
      <c r="H6771" t="s">
        <v>43</v>
      </c>
      <c r="I6771" t="s">
        <v>3946</v>
      </c>
      <c r="J6771" t="s">
        <v>43</v>
      </c>
      <c r="K6771" t="s">
        <v>43</v>
      </c>
      <c r="L6771" t="s">
        <v>43</v>
      </c>
      <c r="M6771" t="s">
        <v>43</v>
      </c>
      <c r="N6771" t="s">
        <v>45</v>
      </c>
      <c r="O6771" t="s">
        <v>43</v>
      </c>
      <c r="P6771" t="s">
        <v>43</v>
      </c>
      <c r="Q6771" t="s">
        <v>43</v>
      </c>
      <c r="R6771" t="s">
        <v>43</v>
      </c>
      <c r="S6771" t="s">
        <v>43</v>
      </c>
      <c r="T6771" t="s">
        <v>43</v>
      </c>
      <c r="U6771" t="s">
        <v>43</v>
      </c>
      <c r="V6771" t="s">
        <v>43</v>
      </c>
      <c r="W6771" t="s">
        <v>43</v>
      </c>
      <c r="X6771" t="s">
        <v>43</v>
      </c>
      <c r="Y6771" t="s">
        <v>43</v>
      </c>
      <c r="Z6771" t="s">
        <v>43</v>
      </c>
      <c r="AA6771" t="s">
        <v>43</v>
      </c>
      <c r="AB6771" t="s">
        <v>43</v>
      </c>
      <c r="AC6771" t="s">
        <v>43</v>
      </c>
      <c r="AD6771" t="s">
        <v>43</v>
      </c>
      <c r="AE6771" t="s">
        <v>43</v>
      </c>
      <c r="AF6771" t="s">
        <v>43</v>
      </c>
      <c r="AG6771" t="s">
        <v>43</v>
      </c>
      <c r="AH6771" t="s">
        <v>43</v>
      </c>
      <c r="AI6771" t="s">
        <v>43</v>
      </c>
      <c r="AJ6771" t="s">
        <v>43</v>
      </c>
      <c r="AK6771" t="s">
        <v>43</v>
      </c>
      <c r="AL6771" t="s">
        <v>43</v>
      </c>
      <c r="AM6771" t="s">
        <v>43</v>
      </c>
      <c r="AN6771" t="str">
        <f>HYPERLINK("https://www.google.com/maps?q=10.78965473,79.57883453","Open Location")</f>
        <v>Open Location</v>
      </c>
    </row>
    <row r="6772" spans="1:40" x14ac:dyDescent="0.3">
      <c r="A6772" s="1">
        <v>46210.215509259258</v>
      </c>
      <c r="B6772" t="s">
        <v>40</v>
      </c>
      <c r="C6772" t="s">
        <v>41</v>
      </c>
      <c r="D6772" s="1">
        <v>46210.218460648146</v>
      </c>
      <c r="E6772" t="s">
        <v>42</v>
      </c>
      <c r="F6772" t="s">
        <v>43</v>
      </c>
      <c r="G6772" t="s">
        <v>43</v>
      </c>
      <c r="H6772" t="s">
        <v>43</v>
      </c>
      <c r="I6772" t="s">
        <v>43</v>
      </c>
      <c r="J6772" t="s">
        <v>43</v>
      </c>
      <c r="K6772" t="s">
        <v>43</v>
      </c>
      <c r="L6772" t="s">
        <v>43</v>
      </c>
      <c r="M6772" t="s">
        <v>43</v>
      </c>
      <c r="N6772" t="s">
        <v>45</v>
      </c>
      <c r="O6772" t="s">
        <v>43</v>
      </c>
      <c r="P6772" t="s">
        <v>43</v>
      </c>
      <c r="Q6772" t="s">
        <v>43</v>
      </c>
      <c r="R6772" t="s">
        <v>43</v>
      </c>
      <c r="S6772" t="s">
        <v>43</v>
      </c>
      <c r="T6772" t="s">
        <v>43</v>
      </c>
      <c r="U6772" t="s">
        <v>43</v>
      </c>
      <c r="V6772" t="s">
        <v>43</v>
      </c>
      <c r="W6772" t="s">
        <v>43</v>
      </c>
      <c r="X6772" t="s">
        <v>43</v>
      </c>
      <c r="Y6772" t="s">
        <v>43</v>
      </c>
      <c r="Z6772" t="s">
        <v>43</v>
      </c>
      <c r="AA6772" t="s">
        <v>43</v>
      </c>
      <c r="AB6772" t="s">
        <v>43</v>
      </c>
      <c r="AC6772" t="s">
        <v>43</v>
      </c>
      <c r="AD6772" t="s">
        <v>43</v>
      </c>
      <c r="AE6772" t="s">
        <v>43</v>
      </c>
      <c r="AF6772" t="s">
        <v>43</v>
      </c>
      <c r="AG6772" t="s">
        <v>43</v>
      </c>
      <c r="AH6772" t="s">
        <v>43</v>
      </c>
      <c r="AI6772" t="s">
        <v>43</v>
      </c>
      <c r="AJ6772" t="s">
        <v>43</v>
      </c>
      <c r="AK6772" t="s">
        <v>43</v>
      </c>
      <c r="AL6772" t="s">
        <v>43</v>
      </c>
      <c r="AM6772" t="s">
        <v>43</v>
      </c>
      <c r="AN6772" t="s">
        <v>43</v>
      </c>
    </row>
    <row r="6773" spans="1:40" x14ac:dyDescent="0.3">
      <c r="A6773" s="1">
        <v>46210.21539351852</v>
      </c>
      <c r="B6773" t="s">
        <v>40</v>
      </c>
      <c r="C6773" t="s">
        <v>41</v>
      </c>
      <c r="D6773" s="1">
        <v>46210.218460648146</v>
      </c>
      <c r="E6773" t="s">
        <v>42</v>
      </c>
      <c r="F6773" t="s">
        <v>43</v>
      </c>
      <c r="G6773" t="s">
        <v>43</v>
      </c>
      <c r="H6773" t="s">
        <v>43</v>
      </c>
      <c r="I6773" t="s">
        <v>3947</v>
      </c>
      <c r="J6773" t="s">
        <v>43</v>
      </c>
      <c r="K6773" t="s">
        <v>43</v>
      </c>
      <c r="L6773" t="s">
        <v>43</v>
      </c>
      <c r="M6773" t="s">
        <v>43</v>
      </c>
      <c r="N6773" t="s">
        <v>45</v>
      </c>
      <c r="O6773" t="s">
        <v>43</v>
      </c>
      <c r="P6773" t="s">
        <v>43</v>
      </c>
      <c r="Q6773" t="s">
        <v>43</v>
      </c>
      <c r="R6773" t="s">
        <v>43</v>
      </c>
      <c r="S6773" t="s">
        <v>43</v>
      </c>
      <c r="T6773" t="s">
        <v>43</v>
      </c>
      <c r="U6773" t="s">
        <v>43</v>
      </c>
      <c r="V6773" t="s">
        <v>43</v>
      </c>
      <c r="W6773" t="s">
        <v>43</v>
      </c>
      <c r="X6773" t="s">
        <v>43</v>
      </c>
      <c r="Y6773" t="s">
        <v>43</v>
      </c>
      <c r="Z6773" t="s">
        <v>43</v>
      </c>
      <c r="AA6773" t="s">
        <v>43</v>
      </c>
      <c r="AB6773" t="s">
        <v>43</v>
      </c>
      <c r="AC6773" t="s">
        <v>43</v>
      </c>
      <c r="AD6773" t="s">
        <v>43</v>
      </c>
      <c r="AE6773" t="s">
        <v>43</v>
      </c>
      <c r="AF6773" t="s">
        <v>43</v>
      </c>
      <c r="AG6773" t="s">
        <v>43</v>
      </c>
      <c r="AH6773" t="s">
        <v>43</v>
      </c>
      <c r="AI6773" t="s">
        <v>43</v>
      </c>
      <c r="AJ6773" t="s">
        <v>43</v>
      </c>
      <c r="AK6773" t="s">
        <v>43</v>
      </c>
      <c r="AL6773" t="s">
        <v>43</v>
      </c>
      <c r="AM6773" t="s">
        <v>43</v>
      </c>
      <c r="AN6773" t="str">
        <f>HYPERLINK("https://www.google.com/maps?q=10.78965569,79.5788269","Open Location")</f>
        <v>Open Location</v>
      </c>
    </row>
    <row r="6774" spans="1:40" x14ac:dyDescent="0.3">
      <c r="A6774" s="1">
        <v>46210.215277777781</v>
      </c>
      <c r="B6774" t="s">
        <v>40</v>
      </c>
      <c r="C6774" t="s">
        <v>41</v>
      </c>
      <c r="D6774" s="1">
        <v>46210.218368055554</v>
      </c>
      <c r="E6774" t="s">
        <v>42</v>
      </c>
      <c r="F6774" t="s">
        <v>43</v>
      </c>
      <c r="G6774" t="s">
        <v>43</v>
      </c>
      <c r="H6774" t="s">
        <v>43</v>
      </c>
      <c r="I6774" t="s">
        <v>3931</v>
      </c>
      <c r="J6774" t="s">
        <v>43</v>
      </c>
      <c r="K6774" t="s">
        <v>43</v>
      </c>
      <c r="L6774" t="s">
        <v>43</v>
      </c>
      <c r="M6774" t="s">
        <v>43</v>
      </c>
      <c r="N6774" t="s">
        <v>45</v>
      </c>
      <c r="O6774" t="s">
        <v>43</v>
      </c>
      <c r="P6774" t="s">
        <v>43</v>
      </c>
      <c r="Q6774" t="s">
        <v>43</v>
      </c>
      <c r="R6774" t="s">
        <v>43</v>
      </c>
      <c r="S6774" t="s">
        <v>43</v>
      </c>
      <c r="T6774" t="s">
        <v>43</v>
      </c>
      <c r="U6774" t="s">
        <v>43</v>
      </c>
      <c r="V6774" t="s">
        <v>43</v>
      </c>
      <c r="W6774" t="s">
        <v>43</v>
      </c>
      <c r="X6774" t="s">
        <v>43</v>
      </c>
      <c r="Y6774" t="s">
        <v>43</v>
      </c>
      <c r="Z6774" t="s">
        <v>43</v>
      </c>
      <c r="AA6774" t="s">
        <v>43</v>
      </c>
      <c r="AB6774" t="s">
        <v>43</v>
      </c>
      <c r="AC6774" t="s">
        <v>43</v>
      </c>
      <c r="AD6774" t="s">
        <v>43</v>
      </c>
      <c r="AE6774" t="s">
        <v>43</v>
      </c>
      <c r="AF6774" t="s">
        <v>43</v>
      </c>
      <c r="AG6774" t="s">
        <v>43</v>
      </c>
      <c r="AH6774" t="s">
        <v>43</v>
      </c>
      <c r="AI6774" t="s">
        <v>43</v>
      </c>
      <c r="AJ6774" t="s">
        <v>43</v>
      </c>
      <c r="AK6774" t="s">
        <v>43</v>
      </c>
      <c r="AL6774" t="s">
        <v>43</v>
      </c>
      <c r="AM6774" t="s">
        <v>43</v>
      </c>
      <c r="AN6774" t="str">
        <f>HYPERLINK("https://www.google.com/maps?q=10.78966141,79.57881927","Open Location")</f>
        <v>Open Location</v>
      </c>
    </row>
    <row r="6775" spans="1:40" x14ac:dyDescent="0.3">
      <c r="A6775" s="1">
        <v>46210.215162037035</v>
      </c>
      <c r="B6775" t="s">
        <v>40</v>
      </c>
      <c r="C6775" t="s">
        <v>41</v>
      </c>
      <c r="D6775" s="1">
        <v>46210.218043981484</v>
      </c>
      <c r="E6775" t="s">
        <v>42</v>
      </c>
      <c r="F6775" t="s">
        <v>43</v>
      </c>
      <c r="G6775" t="s">
        <v>43</v>
      </c>
      <c r="H6775" t="s">
        <v>43</v>
      </c>
      <c r="I6775" t="s">
        <v>3948</v>
      </c>
      <c r="J6775" t="s">
        <v>43</v>
      </c>
      <c r="K6775" t="s">
        <v>43</v>
      </c>
      <c r="L6775" t="s">
        <v>43</v>
      </c>
      <c r="M6775" t="s">
        <v>43</v>
      </c>
      <c r="N6775" t="s">
        <v>45</v>
      </c>
      <c r="O6775" t="s">
        <v>43</v>
      </c>
      <c r="P6775" t="s">
        <v>43</v>
      </c>
      <c r="Q6775" t="s">
        <v>43</v>
      </c>
      <c r="R6775" t="s">
        <v>43</v>
      </c>
      <c r="S6775" t="s">
        <v>43</v>
      </c>
      <c r="T6775" t="s">
        <v>43</v>
      </c>
      <c r="U6775" t="s">
        <v>43</v>
      </c>
      <c r="V6775" t="s">
        <v>43</v>
      </c>
      <c r="W6775" t="s">
        <v>43</v>
      </c>
      <c r="X6775" t="s">
        <v>43</v>
      </c>
      <c r="Y6775" t="s">
        <v>43</v>
      </c>
      <c r="Z6775" t="s">
        <v>43</v>
      </c>
      <c r="AA6775" t="s">
        <v>43</v>
      </c>
      <c r="AB6775" t="s">
        <v>43</v>
      </c>
      <c r="AC6775" t="s">
        <v>43</v>
      </c>
      <c r="AD6775" t="s">
        <v>43</v>
      </c>
      <c r="AE6775" t="s">
        <v>43</v>
      </c>
      <c r="AF6775" t="s">
        <v>43</v>
      </c>
      <c r="AG6775" t="s">
        <v>43</v>
      </c>
      <c r="AH6775" t="s">
        <v>43</v>
      </c>
      <c r="AI6775" t="s">
        <v>43</v>
      </c>
      <c r="AJ6775" t="s">
        <v>43</v>
      </c>
      <c r="AK6775" t="s">
        <v>43</v>
      </c>
      <c r="AL6775" t="s">
        <v>43</v>
      </c>
      <c r="AM6775" t="s">
        <v>43</v>
      </c>
      <c r="AN6775" t="str">
        <f>HYPERLINK("https://www.google.com/maps?q=10.78964901,79.57881927","Open Location")</f>
        <v>Open Location</v>
      </c>
    </row>
    <row r="6776" spans="1:40" x14ac:dyDescent="0.3">
      <c r="A6776" s="1">
        <v>46210.215046296296</v>
      </c>
      <c r="B6776" t="s">
        <v>40</v>
      </c>
      <c r="C6776" t="s">
        <v>41</v>
      </c>
      <c r="D6776" s="1">
        <v>46210.218032407407</v>
      </c>
      <c r="E6776" t="s">
        <v>42</v>
      </c>
      <c r="F6776" t="s">
        <v>43</v>
      </c>
      <c r="G6776" t="s">
        <v>43</v>
      </c>
      <c r="H6776" t="s">
        <v>43</v>
      </c>
      <c r="I6776" t="s">
        <v>43</v>
      </c>
      <c r="J6776" t="s">
        <v>43</v>
      </c>
      <c r="K6776" t="s">
        <v>43</v>
      </c>
      <c r="L6776" t="s">
        <v>43</v>
      </c>
      <c r="M6776" t="s">
        <v>43</v>
      </c>
      <c r="N6776" t="s">
        <v>45</v>
      </c>
      <c r="O6776" t="s">
        <v>43</v>
      </c>
      <c r="P6776" t="s">
        <v>43</v>
      </c>
      <c r="Q6776" t="s">
        <v>43</v>
      </c>
      <c r="R6776" t="s">
        <v>43</v>
      </c>
      <c r="S6776" t="s">
        <v>43</v>
      </c>
      <c r="T6776" t="s">
        <v>43</v>
      </c>
      <c r="U6776" t="s">
        <v>43</v>
      </c>
      <c r="V6776" t="s">
        <v>43</v>
      </c>
      <c r="W6776" t="s">
        <v>43</v>
      </c>
      <c r="X6776" t="s">
        <v>43</v>
      </c>
      <c r="Y6776" t="s">
        <v>43</v>
      </c>
      <c r="Z6776" t="s">
        <v>43</v>
      </c>
      <c r="AA6776" t="s">
        <v>43</v>
      </c>
      <c r="AB6776" t="s">
        <v>43</v>
      </c>
      <c r="AC6776" t="s">
        <v>43</v>
      </c>
      <c r="AD6776" t="s">
        <v>43</v>
      </c>
      <c r="AE6776" t="s">
        <v>43</v>
      </c>
      <c r="AF6776" t="s">
        <v>43</v>
      </c>
      <c r="AG6776" t="s">
        <v>43</v>
      </c>
      <c r="AH6776" t="s">
        <v>43</v>
      </c>
      <c r="AI6776" t="s">
        <v>43</v>
      </c>
      <c r="AJ6776" t="s">
        <v>43</v>
      </c>
      <c r="AK6776" t="s">
        <v>43</v>
      </c>
      <c r="AL6776" t="s">
        <v>43</v>
      </c>
      <c r="AM6776" t="s">
        <v>43</v>
      </c>
      <c r="AN6776" t="s">
        <v>43</v>
      </c>
    </row>
    <row r="6777" spans="1:40" x14ac:dyDescent="0.3">
      <c r="A6777" s="1">
        <v>46210.214930555558</v>
      </c>
      <c r="B6777" t="s">
        <v>40</v>
      </c>
      <c r="C6777" t="s">
        <v>41</v>
      </c>
      <c r="D6777" s="1">
        <v>46210.217685185184</v>
      </c>
      <c r="E6777" t="s">
        <v>42</v>
      </c>
      <c r="F6777" t="s">
        <v>43</v>
      </c>
      <c r="G6777" t="s">
        <v>43</v>
      </c>
      <c r="H6777" t="s">
        <v>43</v>
      </c>
      <c r="I6777" t="s">
        <v>3949</v>
      </c>
      <c r="J6777" t="s">
        <v>43</v>
      </c>
      <c r="K6777" t="s">
        <v>43</v>
      </c>
      <c r="L6777" t="s">
        <v>43</v>
      </c>
      <c r="M6777" t="s">
        <v>43</v>
      </c>
      <c r="N6777" t="s">
        <v>45</v>
      </c>
      <c r="O6777" t="s">
        <v>43</v>
      </c>
      <c r="P6777" t="s">
        <v>43</v>
      </c>
      <c r="Q6777" t="s">
        <v>43</v>
      </c>
      <c r="R6777" t="s">
        <v>43</v>
      </c>
      <c r="S6777" t="s">
        <v>43</v>
      </c>
      <c r="T6777" t="s">
        <v>43</v>
      </c>
      <c r="U6777" t="s">
        <v>43</v>
      </c>
      <c r="V6777" t="s">
        <v>43</v>
      </c>
      <c r="W6777" t="s">
        <v>43</v>
      </c>
      <c r="X6777" t="s">
        <v>43</v>
      </c>
      <c r="Y6777" t="s">
        <v>43</v>
      </c>
      <c r="Z6777" t="s">
        <v>43</v>
      </c>
      <c r="AA6777" t="s">
        <v>43</v>
      </c>
      <c r="AB6777" t="s">
        <v>43</v>
      </c>
      <c r="AC6777" t="s">
        <v>43</v>
      </c>
      <c r="AD6777" t="s">
        <v>43</v>
      </c>
      <c r="AE6777" t="s">
        <v>43</v>
      </c>
      <c r="AF6777" t="s">
        <v>43</v>
      </c>
      <c r="AG6777" t="s">
        <v>43</v>
      </c>
      <c r="AH6777" t="s">
        <v>43</v>
      </c>
      <c r="AI6777" t="s">
        <v>43</v>
      </c>
      <c r="AJ6777" t="s">
        <v>43</v>
      </c>
      <c r="AK6777" t="s">
        <v>43</v>
      </c>
      <c r="AL6777" t="s">
        <v>43</v>
      </c>
      <c r="AM6777" t="s">
        <v>43</v>
      </c>
      <c r="AN6777" t="str">
        <f>HYPERLINK("https://www.google.com/maps?q=10.78965282,79.57881165","Open Location")</f>
        <v>Open Location</v>
      </c>
    </row>
    <row r="6778" spans="1:40" x14ac:dyDescent="0.3">
      <c r="A6778" s="1">
        <v>46210.214814814812</v>
      </c>
      <c r="B6778" t="s">
        <v>40</v>
      </c>
      <c r="C6778" t="s">
        <v>41</v>
      </c>
      <c r="D6778" s="1">
        <v>46210.217719907407</v>
      </c>
      <c r="E6778" t="s">
        <v>42</v>
      </c>
      <c r="F6778" t="s">
        <v>43</v>
      </c>
      <c r="G6778" t="s">
        <v>43</v>
      </c>
      <c r="H6778" t="s">
        <v>43</v>
      </c>
      <c r="I6778" t="s">
        <v>43</v>
      </c>
      <c r="J6778" t="s">
        <v>43</v>
      </c>
      <c r="K6778" t="s">
        <v>43</v>
      </c>
      <c r="L6778" t="s">
        <v>43</v>
      </c>
      <c r="M6778" t="s">
        <v>43</v>
      </c>
      <c r="N6778" t="s">
        <v>45</v>
      </c>
      <c r="O6778" t="s">
        <v>43</v>
      </c>
      <c r="P6778" t="s">
        <v>43</v>
      </c>
      <c r="Q6778" t="s">
        <v>43</v>
      </c>
      <c r="R6778" t="s">
        <v>43</v>
      </c>
      <c r="S6778" t="s">
        <v>43</v>
      </c>
      <c r="T6778" t="s">
        <v>43</v>
      </c>
      <c r="U6778" t="s">
        <v>43</v>
      </c>
      <c r="V6778" t="s">
        <v>43</v>
      </c>
      <c r="W6778" t="s">
        <v>43</v>
      </c>
      <c r="X6778" t="s">
        <v>43</v>
      </c>
      <c r="Y6778" t="s">
        <v>43</v>
      </c>
      <c r="Z6778" t="s">
        <v>43</v>
      </c>
      <c r="AA6778" t="s">
        <v>43</v>
      </c>
      <c r="AB6778" t="s">
        <v>43</v>
      </c>
      <c r="AC6778" t="s">
        <v>43</v>
      </c>
      <c r="AD6778" t="s">
        <v>43</v>
      </c>
      <c r="AE6778" t="s">
        <v>43</v>
      </c>
      <c r="AF6778" t="s">
        <v>43</v>
      </c>
      <c r="AG6778" t="s">
        <v>43</v>
      </c>
      <c r="AH6778" t="s">
        <v>43</v>
      </c>
      <c r="AI6778" t="s">
        <v>43</v>
      </c>
      <c r="AJ6778" t="s">
        <v>43</v>
      </c>
      <c r="AK6778" t="s">
        <v>43</v>
      </c>
      <c r="AL6778" t="s">
        <v>43</v>
      </c>
      <c r="AM6778" t="s">
        <v>43</v>
      </c>
      <c r="AN6778" t="s">
        <v>43</v>
      </c>
    </row>
    <row r="6779" spans="1:40" x14ac:dyDescent="0.3">
      <c r="A6779" s="1">
        <v>46210.214699074073</v>
      </c>
      <c r="B6779" t="s">
        <v>40</v>
      </c>
      <c r="C6779" t="s">
        <v>41</v>
      </c>
      <c r="D6779" s="1">
        <v>46210.217685185184</v>
      </c>
      <c r="E6779" t="s">
        <v>42</v>
      </c>
      <c r="F6779" t="s">
        <v>43</v>
      </c>
      <c r="G6779" t="s">
        <v>43</v>
      </c>
      <c r="H6779" t="s">
        <v>43</v>
      </c>
      <c r="I6779" t="s">
        <v>3912</v>
      </c>
      <c r="J6779" t="s">
        <v>43</v>
      </c>
      <c r="K6779" t="s">
        <v>43</v>
      </c>
      <c r="L6779" t="s">
        <v>43</v>
      </c>
      <c r="M6779" t="s">
        <v>43</v>
      </c>
      <c r="N6779" t="s">
        <v>45</v>
      </c>
      <c r="O6779" t="s">
        <v>43</v>
      </c>
      <c r="P6779" t="s">
        <v>43</v>
      </c>
      <c r="Q6779" t="s">
        <v>43</v>
      </c>
      <c r="R6779" t="s">
        <v>43</v>
      </c>
      <c r="S6779" t="s">
        <v>43</v>
      </c>
      <c r="T6779" t="s">
        <v>43</v>
      </c>
      <c r="U6779" t="s">
        <v>43</v>
      </c>
      <c r="V6779" t="s">
        <v>43</v>
      </c>
      <c r="W6779" t="s">
        <v>43</v>
      </c>
      <c r="X6779" t="s">
        <v>43</v>
      </c>
      <c r="Y6779" t="s">
        <v>43</v>
      </c>
      <c r="Z6779" t="s">
        <v>43</v>
      </c>
      <c r="AA6779" t="s">
        <v>43</v>
      </c>
      <c r="AB6779" t="s">
        <v>43</v>
      </c>
      <c r="AC6779" t="s">
        <v>43</v>
      </c>
      <c r="AD6779" t="s">
        <v>43</v>
      </c>
      <c r="AE6779" t="s">
        <v>43</v>
      </c>
      <c r="AF6779" t="s">
        <v>43</v>
      </c>
      <c r="AG6779" t="s">
        <v>43</v>
      </c>
      <c r="AH6779" t="s">
        <v>43</v>
      </c>
      <c r="AI6779" t="s">
        <v>43</v>
      </c>
      <c r="AJ6779" t="s">
        <v>43</v>
      </c>
      <c r="AK6779" t="s">
        <v>43</v>
      </c>
      <c r="AL6779" t="s">
        <v>43</v>
      </c>
      <c r="AM6779" t="s">
        <v>43</v>
      </c>
      <c r="AN6779" t="str">
        <f>HYPERLINK("https://www.google.com/maps?q=10.78964615,79.57879639","Open Location")</f>
        <v>Open Location</v>
      </c>
    </row>
    <row r="6780" spans="1:40" x14ac:dyDescent="0.3">
      <c r="A6780" s="1">
        <v>46210.214583333334</v>
      </c>
      <c r="B6780" t="s">
        <v>40</v>
      </c>
      <c r="C6780" t="s">
        <v>41</v>
      </c>
      <c r="D6780" s="1">
        <v>46210.217662037037</v>
      </c>
      <c r="E6780" t="s">
        <v>42</v>
      </c>
      <c r="F6780" t="s">
        <v>43</v>
      </c>
      <c r="G6780" t="s">
        <v>43</v>
      </c>
      <c r="H6780" t="s">
        <v>43</v>
      </c>
      <c r="I6780" t="s">
        <v>3950</v>
      </c>
      <c r="J6780" t="s">
        <v>43</v>
      </c>
      <c r="K6780" t="s">
        <v>43</v>
      </c>
      <c r="L6780" t="s">
        <v>43</v>
      </c>
      <c r="M6780" t="s">
        <v>43</v>
      </c>
      <c r="N6780" t="s">
        <v>45</v>
      </c>
      <c r="O6780" t="s">
        <v>43</v>
      </c>
      <c r="P6780" t="s">
        <v>43</v>
      </c>
      <c r="Q6780" t="s">
        <v>43</v>
      </c>
      <c r="R6780" t="s">
        <v>43</v>
      </c>
      <c r="S6780" t="s">
        <v>43</v>
      </c>
      <c r="T6780" t="s">
        <v>43</v>
      </c>
      <c r="U6780" t="s">
        <v>43</v>
      </c>
      <c r="V6780" t="s">
        <v>43</v>
      </c>
      <c r="W6780" t="s">
        <v>43</v>
      </c>
      <c r="X6780" t="s">
        <v>43</v>
      </c>
      <c r="Y6780" t="s">
        <v>43</v>
      </c>
      <c r="Z6780" t="s">
        <v>43</v>
      </c>
      <c r="AA6780" t="s">
        <v>43</v>
      </c>
      <c r="AB6780" t="s">
        <v>43</v>
      </c>
      <c r="AC6780" t="s">
        <v>43</v>
      </c>
      <c r="AD6780" t="s">
        <v>43</v>
      </c>
      <c r="AE6780" t="s">
        <v>43</v>
      </c>
      <c r="AF6780" t="s">
        <v>43</v>
      </c>
      <c r="AG6780" t="s">
        <v>43</v>
      </c>
      <c r="AH6780" t="s">
        <v>43</v>
      </c>
      <c r="AI6780" t="s">
        <v>43</v>
      </c>
      <c r="AJ6780" t="s">
        <v>43</v>
      </c>
      <c r="AK6780" t="s">
        <v>43</v>
      </c>
      <c r="AL6780" t="s">
        <v>43</v>
      </c>
      <c r="AM6780" t="s">
        <v>43</v>
      </c>
      <c r="AN6780" t="str">
        <f>HYPERLINK("https://www.google.com/maps?q=10.78964806,79.57878113","Open Location")</f>
        <v>Open Location</v>
      </c>
    </row>
    <row r="6781" spans="1:40" x14ac:dyDescent="0.3">
      <c r="A6781" s="1">
        <v>46210.214467592596</v>
      </c>
      <c r="B6781" t="s">
        <v>40</v>
      </c>
      <c r="C6781" t="s">
        <v>41</v>
      </c>
      <c r="D6781" s="1">
        <v>46210.217349537037</v>
      </c>
      <c r="E6781" t="s">
        <v>42</v>
      </c>
      <c r="F6781" t="s">
        <v>43</v>
      </c>
      <c r="G6781" t="s">
        <v>43</v>
      </c>
      <c r="H6781" t="s">
        <v>43</v>
      </c>
      <c r="I6781" t="s">
        <v>43</v>
      </c>
      <c r="J6781" t="s">
        <v>43</v>
      </c>
      <c r="K6781" t="s">
        <v>43</v>
      </c>
      <c r="L6781" t="s">
        <v>43</v>
      </c>
      <c r="M6781" t="s">
        <v>43</v>
      </c>
      <c r="N6781" t="s">
        <v>45</v>
      </c>
      <c r="O6781" t="s">
        <v>43</v>
      </c>
      <c r="P6781" t="s">
        <v>43</v>
      </c>
      <c r="Q6781" t="s">
        <v>43</v>
      </c>
      <c r="R6781" t="s">
        <v>43</v>
      </c>
      <c r="S6781" t="s">
        <v>43</v>
      </c>
      <c r="T6781" t="s">
        <v>43</v>
      </c>
      <c r="U6781" t="s">
        <v>43</v>
      </c>
      <c r="V6781" t="s">
        <v>43</v>
      </c>
      <c r="W6781" t="s">
        <v>43</v>
      </c>
      <c r="X6781" t="s">
        <v>43</v>
      </c>
      <c r="Y6781" t="s">
        <v>43</v>
      </c>
      <c r="Z6781" t="s">
        <v>43</v>
      </c>
      <c r="AA6781" t="s">
        <v>43</v>
      </c>
      <c r="AB6781" t="s">
        <v>43</v>
      </c>
      <c r="AC6781" t="s">
        <v>43</v>
      </c>
      <c r="AD6781" t="s">
        <v>43</v>
      </c>
      <c r="AE6781" t="s">
        <v>43</v>
      </c>
      <c r="AF6781" t="s">
        <v>43</v>
      </c>
      <c r="AG6781" t="s">
        <v>43</v>
      </c>
      <c r="AH6781" t="s">
        <v>43</v>
      </c>
      <c r="AI6781" t="s">
        <v>43</v>
      </c>
      <c r="AJ6781" t="s">
        <v>43</v>
      </c>
      <c r="AK6781" t="s">
        <v>43</v>
      </c>
      <c r="AL6781" t="s">
        <v>43</v>
      </c>
      <c r="AM6781" t="s">
        <v>43</v>
      </c>
      <c r="AN6781" t="s">
        <v>43</v>
      </c>
    </row>
    <row r="6782" spans="1:40" x14ac:dyDescent="0.3">
      <c r="A6782" s="1">
        <v>46210.21435185185</v>
      </c>
      <c r="B6782" t="s">
        <v>40</v>
      </c>
      <c r="C6782" t="s">
        <v>41</v>
      </c>
      <c r="D6782" s="1">
        <v>46210.217303240737</v>
      </c>
      <c r="E6782" t="s">
        <v>42</v>
      </c>
      <c r="F6782" t="s">
        <v>43</v>
      </c>
      <c r="G6782" t="s">
        <v>43</v>
      </c>
      <c r="H6782" t="s">
        <v>43</v>
      </c>
      <c r="I6782" t="s">
        <v>3951</v>
      </c>
      <c r="J6782" t="s">
        <v>43</v>
      </c>
      <c r="K6782" t="s">
        <v>43</v>
      </c>
      <c r="L6782" t="s">
        <v>43</v>
      </c>
      <c r="M6782" t="s">
        <v>43</v>
      </c>
      <c r="N6782" t="s">
        <v>45</v>
      </c>
      <c r="O6782" t="s">
        <v>43</v>
      </c>
      <c r="P6782" t="s">
        <v>43</v>
      </c>
      <c r="Q6782" t="s">
        <v>43</v>
      </c>
      <c r="R6782" t="s">
        <v>43</v>
      </c>
      <c r="S6782" t="s">
        <v>43</v>
      </c>
      <c r="T6782" t="s">
        <v>43</v>
      </c>
      <c r="U6782" t="s">
        <v>43</v>
      </c>
      <c r="V6782" t="s">
        <v>43</v>
      </c>
      <c r="W6782" t="s">
        <v>43</v>
      </c>
      <c r="X6782" t="s">
        <v>43</v>
      </c>
      <c r="Y6782" t="s">
        <v>43</v>
      </c>
      <c r="Z6782" t="s">
        <v>43</v>
      </c>
      <c r="AA6782" t="s">
        <v>43</v>
      </c>
      <c r="AB6782" t="s">
        <v>43</v>
      </c>
      <c r="AC6782" t="s">
        <v>43</v>
      </c>
      <c r="AD6782" t="s">
        <v>43</v>
      </c>
      <c r="AE6782" t="s">
        <v>43</v>
      </c>
      <c r="AF6782" t="s">
        <v>43</v>
      </c>
      <c r="AG6782" t="s">
        <v>43</v>
      </c>
      <c r="AH6782" t="s">
        <v>43</v>
      </c>
      <c r="AI6782" t="s">
        <v>43</v>
      </c>
      <c r="AJ6782" t="s">
        <v>43</v>
      </c>
      <c r="AK6782" t="s">
        <v>43</v>
      </c>
      <c r="AL6782" t="s">
        <v>43</v>
      </c>
      <c r="AM6782" t="s">
        <v>43</v>
      </c>
      <c r="AN6782" t="str">
        <f>HYPERLINK("https://www.google.com/maps?q=10.7896471,79.5787735","Open Location")</f>
        <v>Open Location</v>
      </c>
    </row>
    <row r="6783" spans="1:40" x14ac:dyDescent="0.3">
      <c r="A6783" s="1">
        <v>46210.214236111111</v>
      </c>
      <c r="B6783" t="s">
        <v>40</v>
      </c>
      <c r="C6783" t="s">
        <v>41</v>
      </c>
      <c r="D6783" s="1">
        <v>46210.216990740744</v>
      </c>
      <c r="E6783" t="s">
        <v>42</v>
      </c>
      <c r="F6783" t="s">
        <v>43</v>
      </c>
      <c r="G6783" t="s">
        <v>43</v>
      </c>
      <c r="H6783" t="s">
        <v>43</v>
      </c>
      <c r="I6783" t="s">
        <v>3952</v>
      </c>
      <c r="J6783" t="s">
        <v>43</v>
      </c>
      <c r="K6783" t="s">
        <v>43</v>
      </c>
      <c r="L6783" t="s">
        <v>43</v>
      </c>
      <c r="M6783" t="s">
        <v>43</v>
      </c>
      <c r="N6783" t="s">
        <v>45</v>
      </c>
      <c r="O6783" t="s">
        <v>43</v>
      </c>
      <c r="P6783" t="s">
        <v>43</v>
      </c>
      <c r="Q6783" t="s">
        <v>43</v>
      </c>
      <c r="R6783" t="s">
        <v>43</v>
      </c>
      <c r="S6783" t="s">
        <v>43</v>
      </c>
      <c r="T6783" t="s">
        <v>43</v>
      </c>
      <c r="U6783" t="s">
        <v>43</v>
      </c>
      <c r="V6783" t="s">
        <v>43</v>
      </c>
      <c r="W6783" t="s">
        <v>43</v>
      </c>
      <c r="X6783" t="s">
        <v>43</v>
      </c>
      <c r="Y6783" t="s">
        <v>43</v>
      </c>
      <c r="Z6783" t="s">
        <v>43</v>
      </c>
      <c r="AA6783" t="s">
        <v>43</v>
      </c>
      <c r="AB6783" t="s">
        <v>43</v>
      </c>
      <c r="AC6783" t="s">
        <v>43</v>
      </c>
      <c r="AD6783" t="s">
        <v>43</v>
      </c>
      <c r="AE6783" t="s">
        <v>43</v>
      </c>
      <c r="AF6783" t="s">
        <v>43</v>
      </c>
      <c r="AG6783" t="s">
        <v>43</v>
      </c>
      <c r="AH6783" t="s">
        <v>43</v>
      </c>
      <c r="AI6783" t="s">
        <v>43</v>
      </c>
      <c r="AJ6783" t="s">
        <v>43</v>
      </c>
      <c r="AK6783" t="s">
        <v>43</v>
      </c>
      <c r="AL6783" t="s">
        <v>43</v>
      </c>
      <c r="AM6783" t="s">
        <v>43</v>
      </c>
      <c r="AN6783" t="str">
        <f>HYPERLINK("https://www.google.com/maps?q=10.78964424,79.5787735","Open Location")</f>
        <v>Open Location</v>
      </c>
    </row>
    <row r="6784" spans="1:40" x14ac:dyDescent="0.3">
      <c r="A6784" s="1">
        <v>46210.214120370372</v>
      </c>
      <c r="B6784" t="s">
        <v>40</v>
      </c>
      <c r="C6784" t="s">
        <v>41</v>
      </c>
      <c r="D6784" s="1">
        <v>46210.216990740744</v>
      </c>
      <c r="E6784" t="s">
        <v>42</v>
      </c>
      <c r="F6784" t="s">
        <v>43</v>
      </c>
      <c r="G6784" t="s">
        <v>43</v>
      </c>
      <c r="H6784" t="s">
        <v>43</v>
      </c>
      <c r="I6784" t="s">
        <v>3953</v>
      </c>
      <c r="J6784" t="s">
        <v>43</v>
      </c>
      <c r="K6784" t="s">
        <v>43</v>
      </c>
      <c r="L6784" t="s">
        <v>43</v>
      </c>
      <c r="M6784" t="s">
        <v>43</v>
      </c>
      <c r="N6784" t="s">
        <v>45</v>
      </c>
      <c r="O6784" t="s">
        <v>43</v>
      </c>
      <c r="P6784" t="s">
        <v>43</v>
      </c>
      <c r="Q6784" t="s">
        <v>43</v>
      </c>
      <c r="R6784" t="s">
        <v>43</v>
      </c>
      <c r="S6784" t="s">
        <v>43</v>
      </c>
      <c r="T6784" t="s">
        <v>43</v>
      </c>
      <c r="U6784" t="s">
        <v>43</v>
      </c>
      <c r="V6784" t="s">
        <v>43</v>
      </c>
      <c r="W6784" t="s">
        <v>43</v>
      </c>
      <c r="X6784" t="s">
        <v>43</v>
      </c>
      <c r="Y6784" t="s">
        <v>43</v>
      </c>
      <c r="Z6784" t="s">
        <v>43</v>
      </c>
      <c r="AA6784" t="s">
        <v>43</v>
      </c>
      <c r="AB6784" t="s">
        <v>43</v>
      </c>
      <c r="AC6784" t="s">
        <v>43</v>
      </c>
      <c r="AD6784" t="s">
        <v>43</v>
      </c>
      <c r="AE6784" t="s">
        <v>43</v>
      </c>
      <c r="AF6784" t="s">
        <v>43</v>
      </c>
      <c r="AG6784" t="s">
        <v>43</v>
      </c>
      <c r="AH6784" t="s">
        <v>43</v>
      </c>
      <c r="AI6784" t="s">
        <v>43</v>
      </c>
      <c r="AJ6784" t="s">
        <v>43</v>
      </c>
      <c r="AK6784" t="s">
        <v>43</v>
      </c>
      <c r="AL6784" t="s">
        <v>43</v>
      </c>
      <c r="AM6784" t="s">
        <v>43</v>
      </c>
      <c r="AN6784" t="str">
        <f>HYPERLINK("https://www.google.com/maps?q=10.78964329,79.57876587","Open Location")</f>
        <v>Open Location</v>
      </c>
    </row>
    <row r="6785" spans="1:40" x14ac:dyDescent="0.3">
      <c r="A6785" s="1">
        <v>46210.214004629626</v>
      </c>
      <c r="B6785" t="s">
        <v>40</v>
      </c>
      <c r="C6785" t="s">
        <v>41</v>
      </c>
      <c r="D6785" s="1">
        <v>46210.216979166667</v>
      </c>
      <c r="E6785" t="s">
        <v>42</v>
      </c>
      <c r="F6785" t="s">
        <v>43</v>
      </c>
      <c r="G6785" t="s">
        <v>43</v>
      </c>
      <c r="H6785" t="s">
        <v>43</v>
      </c>
      <c r="I6785" t="s">
        <v>3954</v>
      </c>
      <c r="J6785" t="s">
        <v>43</v>
      </c>
      <c r="K6785" t="s">
        <v>43</v>
      </c>
      <c r="L6785" t="s">
        <v>43</v>
      </c>
      <c r="M6785" t="s">
        <v>43</v>
      </c>
      <c r="N6785" t="s">
        <v>45</v>
      </c>
      <c r="O6785" t="s">
        <v>43</v>
      </c>
      <c r="P6785" t="s">
        <v>43</v>
      </c>
      <c r="Q6785" t="s">
        <v>43</v>
      </c>
      <c r="R6785" t="s">
        <v>43</v>
      </c>
      <c r="S6785" t="s">
        <v>43</v>
      </c>
      <c r="T6785" t="s">
        <v>43</v>
      </c>
      <c r="U6785" t="s">
        <v>43</v>
      </c>
      <c r="V6785" t="s">
        <v>43</v>
      </c>
      <c r="W6785" t="s">
        <v>43</v>
      </c>
      <c r="X6785" t="s">
        <v>43</v>
      </c>
      <c r="Y6785" t="s">
        <v>43</v>
      </c>
      <c r="Z6785" t="s">
        <v>43</v>
      </c>
      <c r="AA6785" t="s">
        <v>43</v>
      </c>
      <c r="AB6785" t="s">
        <v>43</v>
      </c>
      <c r="AC6785" t="s">
        <v>43</v>
      </c>
      <c r="AD6785" t="s">
        <v>43</v>
      </c>
      <c r="AE6785" t="s">
        <v>43</v>
      </c>
      <c r="AF6785" t="s">
        <v>43</v>
      </c>
      <c r="AG6785" t="s">
        <v>43</v>
      </c>
      <c r="AH6785" t="s">
        <v>43</v>
      </c>
      <c r="AI6785" t="s">
        <v>43</v>
      </c>
      <c r="AJ6785" t="s">
        <v>43</v>
      </c>
      <c r="AK6785" t="s">
        <v>43</v>
      </c>
      <c r="AL6785" t="s">
        <v>43</v>
      </c>
      <c r="AM6785" t="s">
        <v>43</v>
      </c>
      <c r="AN6785" t="str">
        <f>HYPERLINK("https://www.google.com/maps?q=10.7896471,79.57875824","Open Location")</f>
        <v>Open Location</v>
      </c>
    </row>
    <row r="6786" spans="1:40" x14ac:dyDescent="0.3">
      <c r="A6786" s="1">
        <v>46210.213888888888</v>
      </c>
      <c r="B6786" t="s">
        <v>40</v>
      </c>
      <c r="C6786" t="s">
        <v>41</v>
      </c>
      <c r="D6786" s="1">
        <v>46210.216990740744</v>
      </c>
      <c r="E6786" t="s">
        <v>42</v>
      </c>
      <c r="F6786" t="s">
        <v>43</v>
      </c>
      <c r="G6786" t="s">
        <v>43</v>
      </c>
      <c r="H6786" t="s">
        <v>43</v>
      </c>
      <c r="I6786" t="s">
        <v>3955</v>
      </c>
      <c r="J6786" t="s">
        <v>43</v>
      </c>
      <c r="K6786" t="s">
        <v>43</v>
      </c>
      <c r="L6786" t="s">
        <v>43</v>
      </c>
      <c r="M6786" t="s">
        <v>43</v>
      </c>
      <c r="N6786" t="s">
        <v>45</v>
      </c>
      <c r="O6786" t="s">
        <v>43</v>
      </c>
      <c r="P6786" t="s">
        <v>43</v>
      </c>
      <c r="Q6786" t="s">
        <v>43</v>
      </c>
      <c r="R6786" t="s">
        <v>43</v>
      </c>
      <c r="S6786" t="s">
        <v>43</v>
      </c>
      <c r="T6786" t="s">
        <v>43</v>
      </c>
      <c r="U6786" t="s">
        <v>43</v>
      </c>
      <c r="V6786" t="s">
        <v>43</v>
      </c>
      <c r="W6786" t="s">
        <v>43</v>
      </c>
      <c r="X6786" t="s">
        <v>43</v>
      </c>
      <c r="Y6786" t="s">
        <v>43</v>
      </c>
      <c r="Z6786" t="s">
        <v>43</v>
      </c>
      <c r="AA6786" t="s">
        <v>43</v>
      </c>
      <c r="AB6786" t="s">
        <v>43</v>
      </c>
      <c r="AC6786" t="s">
        <v>43</v>
      </c>
      <c r="AD6786" t="s">
        <v>43</v>
      </c>
      <c r="AE6786" t="s">
        <v>43</v>
      </c>
      <c r="AF6786" t="s">
        <v>43</v>
      </c>
      <c r="AG6786" t="s">
        <v>43</v>
      </c>
      <c r="AH6786" t="s">
        <v>43</v>
      </c>
      <c r="AI6786" t="s">
        <v>43</v>
      </c>
      <c r="AJ6786" t="s">
        <v>43</v>
      </c>
      <c r="AK6786" t="s">
        <v>43</v>
      </c>
      <c r="AL6786" t="s">
        <v>43</v>
      </c>
      <c r="AM6786" t="s">
        <v>43</v>
      </c>
      <c r="AN6786" t="str">
        <f>HYPERLINK("https://www.google.com/maps?q=10.7896471,79.57876587","Open Location")</f>
        <v>Open Location</v>
      </c>
    </row>
    <row r="6787" spans="1:40" x14ac:dyDescent="0.3">
      <c r="A6787" s="1">
        <v>46210.213773148149</v>
      </c>
      <c r="B6787" t="s">
        <v>40</v>
      </c>
      <c r="C6787" t="s">
        <v>41</v>
      </c>
      <c r="D6787" s="1">
        <v>46210.216608796298</v>
      </c>
      <c r="E6787" t="s">
        <v>42</v>
      </c>
      <c r="F6787" t="s">
        <v>43</v>
      </c>
      <c r="G6787" t="s">
        <v>43</v>
      </c>
      <c r="H6787" t="s">
        <v>43</v>
      </c>
      <c r="I6787" t="s">
        <v>43</v>
      </c>
      <c r="J6787" t="s">
        <v>43</v>
      </c>
      <c r="K6787" t="s">
        <v>43</v>
      </c>
      <c r="L6787" t="s">
        <v>43</v>
      </c>
      <c r="M6787" t="s">
        <v>43</v>
      </c>
      <c r="N6787" t="s">
        <v>45</v>
      </c>
      <c r="O6787" t="s">
        <v>43</v>
      </c>
      <c r="P6787" t="s">
        <v>43</v>
      </c>
      <c r="Q6787" t="s">
        <v>43</v>
      </c>
      <c r="R6787" t="s">
        <v>43</v>
      </c>
      <c r="S6787" t="s">
        <v>43</v>
      </c>
      <c r="T6787" t="s">
        <v>43</v>
      </c>
      <c r="U6787" t="s">
        <v>43</v>
      </c>
      <c r="V6787" t="s">
        <v>43</v>
      </c>
      <c r="W6787" t="s">
        <v>43</v>
      </c>
      <c r="X6787" t="s">
        <v>43</v>
      </c>
      <c r="Y6787" t="s">
        <v>43</v>
      </c>
      <c r="Z6787" t="s">
        <v>43</v>
      </c>
      <c r="AA6787" t="s">
        <v>43</v>
      </c>
      <c r="AB6787" t="s">
        <v>43</v>
      </c>
      <c r="AC6787" t="s">
        <v>43</v>
      </c>
      <c r="AD6787" t="s">
        <v>43</v>
      </c>
      <c r="AE6787" t="s">
        <v>43</v>
      </c>
      <c r="AF6787" t="s">
        <v>43</v>
      </c>
      <c r="AG6787" t="s">
        <v>43</v>
      </c>
      <c r="AH6787" t="s">
        <v>43</v>
      </c>
      <c r="AI6787" t="s">
        <v>43</v>
      </c>
      <c r="AJ6787" t="s">
        <v>43</v>
      </c>
      <c r="AK6787" t="s">
        <v>43</v>
      </c>
      <c r="AL6787" t="s">
        <v>43</v>
      </c>
      <c r="AM6787" t="s">
        <v>43</v>
      </c>
      <c r="AN6787" t="s">
        <v>43</v>
      </c>
    </row>
    <row r="6788" spans="1:40" x14ac:dyDescent="0.3">
      <c r="A6788" s="1">
        <v>46210.21365740741</v>
      </c>
      <c r="B6788" t="s">
        <v>40</v>
      </c>
      <c r="C6788" t="s">
        <v>41</v>
      </c>
      <c r="D6788" s="1">
        <v>46210.216631944444</v>
      </c>
      <c r="E6788" t="s">
        <v>42</v>
      </c>
      <c r="F6788" t="s">
        <v>43</v>
      </c>
      <c r="G6788" t="s">
        <v>43</v>
      </c>
      <c r="H6788" t="s">
        <v>43</v>
      </c>
      <c r="I6788" t="s">
        <v>3956</v>
      </c>
      <c r="J6788" t="s">
        <v>43</v>
      </c>
      <c r="K6788" t="s">
        <v>43</v>
      </c>
      <c r="L6788" t="s">
        <v>43</v>
      </c>
      <c r="M6788" t="s">
        <v>43</v>
      </c>
      <c r="N6788" t="s">
        <v>45</v>
      </c>
      <c r="O6788" t="s">
        <v>43</v>
      </c>
      <c r="P6788" t="s">
        <v>43</v>
      </c>
      <c r="Q6788" t="s">
        <v>43</v>
      </c>
      <c r="R6788" t="s">
        <v>43</v>
      </c>
      <c r="S6788" t="s">
        <v>43</v>
      </c>
      <c r="T6788" t="s">
        <v>43</v>
      </c>
      <c r="U6788" t="s">
        <v>43</v>
      </c>
      <c r="V6788" t="s">
        <v>43</v>
      </c>
      <c r="W6788" t="s">
        <v>43</v>
      </c>
      <c r="X6788" t="s">
        <v>43</v>
      </c>
      <c r="Y6788" t="s">
        <v>43</v>
      </c>
      <c r="Z6788" t="s">
        <v>43</v>
      </c>
      <c r="AA6788" t="s">
        <v>43</v>
      </c>
      <c r="AB6788" t="s">
        <v>43</v>
      </c>
      <c r="AC6788" t="s">
        <v>43</v>
      </c>
      <c r="AD6788" t="s">
        <v>43</v>
      </c>
      <c r="AE6788" t="s">
        <v>43</v>
      </c>
      <c r="AF6788" t="s">
        <v>43</v>
      </c>
      <c r="AG6788" t="s">
        <v>43</v>
      </c>
      <c r="AH6788" t="s">
        <v>43</v>
      </c>
      <c r="AI6788" t="s">
        <v>43</v>
      </c>
      <c r="AJ6788" t="s">
        <v>43</v>
      </c>
      <c r="AK6788" t="s">
        <v>43</v>
      </c>
      <c r="AL6788" t="s">
        <v>43</v>
      </c>
      <c r="AM6788" t="s">
        <v>43</v>
      </c>
      <c r="AN6788" t="str">
        <f>HYPERLINK("https://www.google.com/maps?q=10.78964806,79.57875824","Open Location")</f>
        <v>Open Location</v>
      </c>
    </row>
    <row r="6789" spans="1:40" x14ac:dyDescent="0.3">
      <c r="A6789" s="1">
        <v>46210.213541666664</v>
      </c>
      <c r="B6789" t="s">
        <v>40</v>
      </c>
      <c r="C6789" t="s">
        <v>41</v>
      </c>
      <c r="D6789" s="1">
        <v>46210.216516203705</v>
      </c>
      <c r="E6789" t="s">
        <v>42</v>
      </c>
      <c r="F6789" t="s">
        <v>43</v>
      </c>
      <c r="G6789" t="s">
        <v>43</v>
      </c>
      <c r="H6789" t="s">
        <v>43</v>
      </c>
      <c r="I6789" t="s">
        <v>3957</v>
      </c>
      <c r="J6789" t="s">
        <v>43</v>
      </c>
      <c r="K6789" t="s">
        <v>43</v>
      </c>
      <c r="L6789" t="s">
        <v>43</v>
      </c>
      <c r="M6789" t="s">
        <v>43</v>
      </c>
      <c r="N6789" t="s">
        <v>45</v>
      </c>
      <c r="O6789" t="s">
        <v>43</v>
      </c>
      <c r="P6789" t="s">
        <v>43</v>
      </c>
      <c r="Q6789" t="s">
        <v>43</v>
      </c>
      <c r="R6789" t="s">
        <v>43</v>
      </c>
      <c r="S6789" t="s">
        <v>43</v>
      </c>
      <c r="T6789" t="s">
        <v>43</v>
      </c>
      <c r="U6789" t="s">
        <v>43</v>
      </c>
      <c r="V6789" t="s">
        <v>43</v>
      </c>
      <c r="W6789" t="s">
        <v>43</v>
      </c>
      <c r="X6789" t="s">
        <v>43</v>
      </c>
      <c r="Y6789" t="s">
        <v>43</v>
      </c>
      <c r="Z6789" t="s">
        <v>43</v>
      </c>
      <c r="AA6789" t="s">
        <v>43</v>
      </c>
      <c r="AB6789" t="s">
        <v>43</v>
      </c>
      <c r="AC6789" t="s">
        <v>43</v>
      </c>
      <c r="AD6789" t="s">
        <v>43</v>
      </c>
      <c r="AE6789" t="s">
        <v>43</v>
      </c>
      <c r="AF6789" t="s">
        <v>43</v>
      </c>
      <c r="AG6789" t="s">
        <v>43</v>
      </c>
      <c r="AH6789" t="s">
        <v>43</v>
      </c>
      <c r="AI6789" t="s">
        <v>43</v>
      </c>
      <c r="AJ6789" t="s">
        <v>43</v>
      </c>
      <c r="AK6789" t="s">
        <v>43</v>
      </c>
      <c r="AL6789" t="s">
        <v>43</v>
      </c>
      <c r="AM6789" t="s">
        <v>43</v>
      </c>
      <c r="AN6789" t="str">
        <f>HYPERLINK("https://www.google.com/maps?q=10.78965378,79.57875824","Open Location")</f>
        <v>Open Location</v>
      </c>
    </row>
    <row r="6790" spans="1:40" x14ac:dyDescent="0.3">
      <c r="A6790" s="1">
        <v>46210.213425925926</v>
      </c>
      <c r="B6790" t="s">
        <v>40</v>
      </c>
      <c r="C6790" t="s">
        <v>41</v>
      </c>
      <c r="D6790" s="1">
        <v>46210.216608796298</v>
      </c>
      <c r="E6790" t="s">
        <v>42</v>
      </c>
      <c r="F6790" t="s">
        <v>43</v>
      </c>
      <c r="G6790" t="s">
        <v>43</v>
      </c>
      <c r="H6790" t="s">
        <v>43</v>
      </c>
      <c r="I6790" t="s">
        <v>3958</v>
      </c>
      <c r="J6790" t="s">
        <v>43</v>
      </c>
      <c r="K6790" t="s">
        <v>43</v>
      </c>
      <c r="L6790" t="s">
        <v>43</v>
      </c>
      <c r="M6790" t="s">
        <v>43</v>
      </c>
      <c r="N6790" t="s">
        <v>45</v>
      </c>
      <c r="O6790" t="s">
        <v>43</v>
      </c>
      <c r="P6790" t="s">
        <v>43</v>
      </c>
      <c r="Q6790" t="s">
        <v>43</v>
      </c>
      <c r="R6790" t="s">
        <v>43</v>
      </c>
      <c r="S6790" t="s">
        <v>43</v>
      </c>
      <c r="T6790" t="s">
        <v>43</v>
      </c>
      <c r="U6790" t="s">
        <v>43</v>
      </c>
      <c r="V6790" t="s">
        <v>43</v>
      </c>
      <c r="W6790" t="s">
        <v>43</v>
      </c>
      <c r="X6790" t="s">
        <v>43</v>
      </c>
      <c r="Y6790" t="s">
        <v>43</v>
      </c>
      <c r="Z6790" t="s">
        <v>43</v>
      </c>
      <c r="AA6790" t="s">
        <v>43</v>
      </c>
      <c r="AB6790" t="s">
        <v>43</v>
      </c>
      <c r="AC6790" t="s">
        <v>43</v>
      </c>
      <c r="AD6790" t="s">
        <v>43</v>
      </c>
      <c r="AE6790" t="s">
        <v>43</v>
      </c>
      <c r="AF6790" t="s">
        <v>43</v>
      </c>
      <c r="AG6790" t="s">
        <v>43</v>
      </c>
      <c r="AH6790" t="s">
        <v>43</v>
      </c>
      <c r="AI6790" t="s">
        <v>43</v>
      </c>
      <c r="AJ6790" t="s">
        <v>43</v>
      </c>
      <c r="AK6790" t="s">
        <v>43</v>
      </c>
      <c r="AL6790" t="s">
        <v>43</v>
      </c>
      <c r="AM6790" t="s">
        <v>43</v>
      </c>
      <c r="AN6790" t="str">
        <f>HYPERLINK("https://www.google.com/maps?q=10.78965569,79.57876587","Open Location")</f>
        <v>Open Location</v>
      </c>
    </row>
    <row r="6791" spans="1:40" x14ac:dyDescent="0.3">
      <c r="A6791" s="1">
        <v>46210.213310185187</v>
      </c>
      <c r="B6791" t="s">
        <v>40</v>
      </c>
      <c r="C6791" t="s">
        <v>41</v>
      </c>
      <c r="D6791" s="1">
        <v>46210.216273148151</v>
      </c>
      <c r="E6791" t="s">
        <v>42</v>
      </c>
      <c r="F6791" t="s">
        <v>43</v>
      </c>
      <c r="G6791" t="s">
        <v>43</v>
      </c>
      <c r="H6791" t="s">
        <v>43</v>
      </c>
      <c r="I6791" t="s">
        <v>3959</v>
      </c>
      <c r="J6791" t="s">
        <v>43</v>
      </c>
      <c r="K6791" t="s">
        <v>43</v>
      </c>
      <c r="L6791" t="s">
        <v>43</v>
      </c>
      <c r="M6791" t="s">
        <v>43</v>
      </c>
      <c r="N6791" t="s">
        <v>45</v>
      </c>
      <c r="O6791" t="s">
        <v>43</v>
      </c>
      <c r="P6791" t="s">
        <v>43</v>
      </c>
      <c r="Q6791" t="s">
        <v>43</v>
      </c>
      <c r="R6791" t="s">
        <v>43</v>
      </c>
      <c r="S6791" t="s">
        <v>43</v>
      </c>
      <c r="T6791" t="s">
        <v>43</v>
      </c>
      <c r="U6791" t="s">
        <v>43</v>
      </c>
      <c r="V6791" t="s">
        <v>43</v>
      </c>
      <c r="W6791" t="s">
        <v>43</v>
      </c>
      <c r="X6791" t="s">
        <v>43</v>
      </c>
      <c r="Y6791" t="s">
        <v>43</v>
      </c>
      <c r="Z6791" t="s">
        <v>43</v>
      </c>
      <c r="AA6791" t="s">
        <v>43</v>
      </c>
      <c r="AB6791" t="s">
        <v>43</v>
      </c>
      <c r="AC6791" t="s">
        <v>43</v>
      </c>
      <c r="AD6791" t="s">
        <v>43</v>
      </c>
      <c r="AE6791" t="s">
        <v>43</v>
      </c>
      <c r="AF6791" t="s">
        <v>43</v>
      </c>
      <c r="AG6791" t="s">
        <v>43</v>
      </c>
      <c r="AH6791" t="s">
        <v>43</v>
      </c>
      <c r="AI6791" t="s">
        <v>43</v>
      </c>
      <c r="AJ6791" t="s">
        <v>43</v>
      </c>
      <c r="AK6791" t="s">
        <v>43</v>
      </c>
      <c r="AL6791" t="s">
        <v>43</v>
      </c>
      <c r="AM6791" t="s">
        <v>43</v>
      </c>
      <c r="AN6791" t="str">
        <f>HYPERLINK("https://www.google.com/maps?q=10.78965282,79.57876587","Open Location")</f>
        <v>Open Location</v>
      </c>
    </row>
    <row r="6792" spans="1:40" x14ac:dyDescent="0.3">
      <c r="A6792" s="1">
        <v>46210.213194444441</v>
      </c>
      <c r="B6792" t="s">
        <v>40</v>
      </c>
      <c r="C6792" t="s">
        <v>41</v>
      </c>
      <c r="D6792" s="1">
        <v>46210.216064814813</v>
      </c>
      <c r="E6792" t="s">
        <v>42</v>
      </c>
      <c r="F6792" t="s">
        <v>43</v>
      </c>
      <c r="G6792" t="s">
        <v>43</v>
      </c>
      <c r="H6792" t="s">
        <v>43</v>
      </c>
      <c r="I6792" t="s">
        <v>43</v>
      </c>
      <c r="J6792" t="s">
        <v>43</v>
      </c>
      <c r="K6792" t="s">
        <v>43</v>
      </c>
      <c r="L6792" t="s">
        <v>43</v>
      </c>
      <c r="M6792" t="s">
        <v>43</v>
      </c>
      <c r="N6792" t="s">
        <v>45</v>
      </c>
      <c r="O6792" t="s">
        <v>43</v>
      </c>
      <c r="P6792" t="s">
        <v>43</v>
      </c>
      <c r="Q6792" t="s">
        <v>43</v>
      </c>
      <c r="R6792" t="s">
        <v>43</v>
      </c>
      <c r="S6792" t="s">
        <v>43</v>
      </c>
      <c r="T6792" t="s">
        <v>43</v>
      </c>
      <c r="U6792" t="s">
        <v>43</v>
      </c>
      <c r="V6792" t="s">
        <v>43</v>
      </c>
      <c r="W6792" t="s">
        <v>43</v>
      </c>
      <c r="X6792" t="s">
        <v>43</v>
      </c>
      <c r="Y6792" t="s">
        <v>43</v>
      </c>
      <c r="Z6792" t="s">
        <v>43</v>
      </c>
      <c r="AA6792" t="s">
        <v>43</v>
      </c>
      <c r="AB6792" t="s">
        <v>43</v>
      </c>
      <c r="AC6792" t="s">
        <v>43</v>
      </c>
      <c r="AD6792" t="s">
        <v>43</v>
      </c>
      <c r="AE6792" t="s">
        <v>43</v>
      </c>
      <c r="AF6792" t="s">
        <v>43</v>
      </c>
      <c r="AG6792" t="s">
        <v>43</v>
      </c>
      <c r="AH6792" t="s">
        <v>43</v>
      </c>
      <c r="AI6792" t="s">
        <v>43</v>
      </c>
      <c r="AJ6792" t="s">
        <v>43</v>
      </c>
      <c r="AK6792" t="s">
        <v>43</v>
      </c>
      <c r="AL6792" t="s">
        <v>43</v>
      </c>
      <c r="AM6792" t="s">
        <v>43</v>
      </c>
      <c r="AN6792" t="s">
        <v>43</v>
      </c>
    </row>
    <row r="6793" spans="1:40" x14ac:dyDescent="0.3">
      <c r="A6793" s="1">
        <v>46210.213078703702</v>
      </c>
      <c r="B6793" t="s">
        <v>40</v>
      </c>
      <c r="C6793" t="s">
        <v>41</v>
      </c>
      <c r="D6793" s="1">
        <v>46210.215891203705</v>
      </c>
      <c r="E6793" t="s">
        <v>42</v>
      </c>
      <c r="F6793" t="s">
        <v>43</v>
      </c>
      <c r="G6793" t="s">
        <v>43</v>
      </c>
      <c r="H6793" t="s">
        <v>43</v>
      </c>
      <c r="I6793" t="s">
        <v>3960</v>
      </c>
      <c r="J6793" t="s">
        <v>43</v>
      </c>
      <c r="K6793" t="s">
        <v>43</v>
      </c>
      <c r="L6793" t="s">
        <v>43</v>
      </c>
      <c r="M6793" t="s">
        <v>43</v>
      </c>
      <c r="N6793" t="s">
        <v>45</v>
      </c>
      <c r="O6793" t="s">
        <v>43</v>
      </c>
      <c r="P6793" t="s">
        <v>43</v>
      </c>
      <c r="Q6793" t="s">
        <v>43</v>
      </c>
      <c r="R6793" t="s">
        <v>43</v>
      </c>
      <c r="S6793" t="s">
        <v>43</v>
      </c>
      <c r="T6793" t="s">
        <v>43</v>
      </c>
      <c r="U6793" t="s">
        <v>43</v>
      </c>
      <c r="V6793" t="s">
        <v>43</v>
      </c>
      <c r="W6793" t="s">
        <v>43</v>
      </c>
      <c r="X6793" t="s">
        <v>43</v>
      </c>
      <c r="Y6793" t="s">
        <v>43</v>
      </c>
      <c r="Z6793" t="s">
        <v>43</v>
      </c>
      <c r="AA6793" t="s">
        <v>43</v>
      </c>
      <c r="AB6793" t="s">
        <v>43</v>
      </c>
      <c r="AC6793" t="s">
        <v>43</v>
      </c>
      <c r="AD6793" t="s">
        <v>43</v>
      </c>
      <c r="AE6793" t="s">
        <v>43</v>
      </c>
      <c r="AF6793" t="s">
        <v>43</v>
      </c>
      <c r="AG6793" t="s">
        <v>43</v>
      </c>
      <c r="AH6793" t="s">
        <v>43</v>
      </c>
      <c r="AI6793" t="s">
        <v>43</v>
      </c>
      <c r="AJ6793" t="s">
        <v>43</v>
      </c>
      <c r="AK6793" t="s">
        <v>43</v>
      </c>
      <c r="AL6793" t="s">
        <v>43</v>
      </c>
      <c r="AM6793" t="s">
        <v>43</v>
      </c>
      <c r="AN6793" t="str">
        <f>HYPERLINK("https://www.google.com/maps?q=10.78964996,79.57876587","Open Location")</f>
        <v>Open Location</v>
      </c>
    </row>
    <row r="6794" spans="1:40" x14ac:dyDescent="0.3">
      <c r="A6794" s="1">
        <v>46210.212962962964</v>
      </c>
      <c r="B6794" t="s">
        <v>40</v>
      </c>
      <c r="C6794" t="s">
        <v>41</v>
      </c>
      <c r="D6794" s="1">
        <v>46210.215914351851</v>
      </c>
      <c r="E6794" t="s">
        <v>42</v>
      </c>
      <c r="F6794" t="s">
        <v>43</v>
      </c>
      <c r="G6794" t="s">
        <v>43</v>
      </c>
      <c r="H6794" t="s">
        <v>43</v>
      </c>
      <c r="I6794" t="s">
        <v>3961</v>
      </c>
      <c r="J6794" t="s">
        <v>43</v>
      </c>
      <c r="K6794" t="s">
        <v>43</v>
      </c>
      <c r="L6794" t="s">
        <v>43</v>
      </c>
      <c r="M6794" t="s">
        <v>43</v>
      </c>
      <c r="N6794" t="s">
        <v>45</v>
      </c>
      <c r="O6794" t="s">
        <v>43</v>
      </c>
      <c r="P6794" t="s">
        <v>43</v>
      </c>
      <c r="Q6794" t="s">
        <v>43</v>
      </c>
      <c r="R6794" t="s">
        <v>43</v>
      </c>
      <c r="S6794" t="s">
        <v>43</v>
      </c>
      <c r="T6794" t="s">
        <v>43</v>
      </c>
      <c r="U6794" t="s">
        <v>43</v>
      </c>
      <c r="V6794" t="s">
        <v>43</v>
      </c>
      <c r="W6794" t="s">
        <v>43</v>
      </c>
      <c r="X6794" t="s">
        <v>43</v>
      </c>
      <c r="Y6794" t="s">
        <v>43</v>
      </c>
      <c r="Z6794" t="s">
        <v>43</v>
      </c>
      <c r="AA6794" t="s">
        <v>43</v>
      </c>
      <c r="AB6794" t="s">
        <v>43</v>
      </c>
      <c r="AC6794" t="s">
        <v>43</v>
      </c>
      <c r="AD6794" t="s">
        <v>43</v>
      </c>
      <c r="AE6794" t="s">
        <v>43</v>
      </c>
      <c r="AF6794" t="s">
        <v>43</v>
      </c>
      <c r="AG6794" t="s">
        <v>43</v>
      </c>
      <c r="AH6794" t="s">
        <v>43</v>
      </c>
      <c r="AI6794" t="s">
        <v>43</v>
      </c>
      <c r="AJ6794" t="s">
        <v>43</v>
      </c>
      <c r="AK6794" t="s">
        <v>43</v>
      </c>
      <c r="AL6794" t="s">
        <v>43</v>
      </c>
      <c r="AM6794" t="s">
        <v>43</v>
      </c>
      <c r="AN6794" t="str">
        <f>HYPERLINK("https://www.google.com/maps?q=10.78965473,79.57876587","Open Location")</f>
        <v>Open Location</v>
      </c>
    </row>
    <row r="6795" spans="1:40" x14ac:dyDescent="0.3">
      <c r="A6795" s="1">
        <v>46210.212847222225</v>
      </c>
      <c r="B6795" t="s">
        <v>40</v>
      </c>
      <c r="C6795" t="s">
        <v>41</v>
      </c>
      <c r="D6795" s="1">
        <v>46210.21570601852</v>
      </c>
      <c r="E6795" t="s">
        <v>42</v>
      </c>
      <c r="F6795" t="s">
        <v>43</v>
      </c>
      <c r="G6795" t="s">
        <v>43</v>
      </c>
      <c r="H6795" t="s">
        <v>43</v>
      </c>
      <c r="I6795" t="s">
        <v>3962</v>
      </c>
      <c r="J6795" t="s">
        <v>43</v>
      </c>
      <c r="K6795" t="s">
        <v>43</v>
      </c>
      <c r="L6795" t="s">
        <v>43</v>
      </c>
      <c r="M6795" t="s">
        <v>43</v>
      </c>
      <c r="N6795" t="s">
        <v>45</v>
      </c>
      <c r="O6795" t="s">
        <v>43</v>
      </c>
      <c r="P6795" t="s">
        <v>43</v>
      </c>
      <c r="Q6795" t="s">
        <v>43</v>
      </c>
      <c r="R6795" t="s">
        <v>43</v>
      </c>
      <c r="S6795" t="s">
        <v>43</v>
      </c>
      <c r="T6795" t="s">
        <v>43</v>
      </c>
      <c r="U6795" t="s">
        <v>43</v>
      </c>
      <c r="V6795" t="s">
        <v>43</v>
      </c>
      <c r="W6795" t="s">
        <v>43</v>
      </c>
      <c r="X6795" t="s">
        <v>43</v>
      </c>
      <c r="Y6795" t="s">
        <v>43</v>
      </c>
      <c r="Z6795" t="s">
        <v>43</v>
      </c>
      <c r="AA6795" t="s">
        <v>43</v>
      </c>
      <c r="AB6795" t="s">
        <v>43</v>
      </c>
      <c r="AC6795" t="s">
        <v>43</v>
      </c>
      <c r="AD6795" t="s">
        <v>43</v>
      </c>
      <c r="AE6795" t="s">
        <v>43</v>
      </c>
      <c r="AF6795" t="s">
        <v>43</v>
      </c>
      <c r="AG6795" t="s">
        <v>43</v>
      </c>
      <c r="AH6795" t="s">
        <v>43</v>
      </c>
      <c r="AI6795" t="s">
        <v>43</v>
      </c>
      <c r="AJ6795" t="s">
        <v>43</v>
      </c>
      <c r="AK6795" t="s">
        <v>43</v>
      </c>
      <c r="AL6795" t="s">
        <v>43</v>
      </c>
      <c r="AM6795" t="s">
        <v>43</v>
      </c>
      <c r="AN6795" t="str">
        <f>HYPERLINK("https://www.google.com/maps?q=10.78964996,79.5787735","Open Location")</f>
        <v>Open Location</v>
      </c>
    </row>
    <row r="6796" spans="1:40" x14ac:dyDescent="0.3">
      <c r="A6796" s="1">
        <v>46210.212731481479</v>
      </c>
      <c r="B6796" t="s">
        <v>40</v>
      </c>
      <c r="C6796" t="s">
        <v>41</v>
      </c>
      <c r="D6796" s="1">
        <v>46210.215902777774</v>
      </c>
      <c r="E6796" t="s">
        <v>42</v>
      </c>
      <c r="F6796" t="s">
        <v>43</v>
      </c>
      <c r="G6796" t="s">
        <v>43</v>
      </c>
      <c r="H6796" t="s">
        <v>43</v>
      </c>
      <c r="I6796" t="s">
        <v>3963</v>
      </c>
      <c r="J6796" t="s">
        <v>43</v>
      </c>
      <c r="K6796" t="s">
        <v>43</v>
      </c>
      <c r="L6796" t="s">
        <v>43</v>
      </c>
      <c r="M6796" t="s">
        <v>43</v>
      </c>
      <c r="N6796" t="s">
        <v>45</v>
      </c>
      <c r="O6796" t="s">
        <v>43</v>
      </c>
      <c r="P6796" t="s">
        <v>43</v>
      </c>
      <c r="Q6796" t="s">
        <v>43</v>
      </c>
      <c r="R6796" t="s">
        <v>43</v>
      </c>
      <c r="S6796" t="s">
        <v>43</v>
      </c>
      <c r="T6796" t="s">
        <v>43</v>
      </c>
      <c r="U6796" t="s">
        <v>43</v>
      </c>
      <c r="V6796" t="s">
        <v>43</v>
      </c>
      <c r="W6796" t="s">
        <v>43</v>
      </c>
      <c r="X6796" t="s">
        <v>43</v>
      </c>
      <c r="Y6796" t="s">
        <v>43</v>
      </c>
      <c r="Z6796" t="s">
        <v>43</v>
      </c>
      <c r="AA6796" t="s">
        <v>43</v>
      </c>
      <c r="AB6796" t="s">
        <v>43</v>
      </c>
      <c r="AC6796" t="s">
        <v>43</v>
      </c>
      <c r="AD6796" t="s">
        <v>43</v>
      </c>
      <c r="AE6796" t="s">
        <v>43</v>
      </c>
      <c r="AF6796" t="s">
        <v>43</v>
      </c>
      <c r="AG6796" t="s">
        <v>43</v>
      </c>
      <c r="AH6796" t="s">
        <v>43</v>
      </c>
      <c r="AI6796" t="s">
        <v>43</v>
      </c>
      <c r="AJ6796" t="s">
        <v>43</v>
      </c>
      <c r="AK6796" t="s">
        <v>43</v>
      </c>
      <c r="AL6796" t="s">
        <v>43</v>
      </c>
      <c r="AM6796" t="s">
        <v>43</v>
      </c>
      <c r="AN6796" t="str">
        <f>HYPERLINK("https://www.google.com/maps?q=10.78965759,79.5787735","Open Location")</f>
        <v>Open Location</v>
      </c>
    </row>
    <row r="6797" spans="1:40" x14ac:dyDescent="0.3">
      <c r="A6797" s="1">
        <v>46210.21261574074</v>
      </c>
      <c r="B6797" t="s">
        <v>40</v>
      </c>
      <c r="C6797" t="s">
        <v>41</v>
      </c>
      <c r="D6797" s="1">
        <v>46210.215555555558</v>
      </c>
      <c r="E6797" t="s">
        <v>42</v>
      </c>
      <c r="F6797" t="s">
        <v>43</v>
      </c>
      <c r="G6797" t="s">
        <v>43</v>
      </c>
      <c r="H6797" t="s">
        <v>43</v>
      </c>
      <c r="I6797" t="s">
        <v>3964</v>
      </c>
      <c r="J6797" t="s">
        <v>43</v>
      </c>
      <c r="K6797" t="s">
        <v>43</v>
      </c>
      <c r="L6797" t="s">
        <v>43</v>
      </c>
      <c r="M6797" t="s">
        <v>43</v>
      </c>
      <c r="N6797" t="s">
        <v>45</v>
      </c>
      <c r="O6797" t="s">
        <v>43</v>
      </c>
      <c r="P6797" t="s">
        <v>43</v>
      </c>
      <c r="Q6797" t="s">
        <v>43</v>
      </c>
      <c r="R6797" t="s">
        <v>43</v>
      </c>
      <c r="S6797" t="s">
        <v>43</v>
      </c>
      <c r="T6797" t="s">
        <v>43</v>
      </c>
      <c r="U6797" t="s">
        <v>43</v>
      </c>
      <c r="V6797" t="s">
        <v>43</v>
      </c>
      <c r="W6797" t="s">
        <v>43</v>
      </c>
      <c r="X6797" t="s">
        <v>43</v>
      </c>
      <c r="Y6797" t="s">
        <v>43</v>
      </c>
      <c r="Z6797" t="s">
        <v>43</v>
      </c>
      <c r="AA6797" t="s">
        <v>43</v>
      </c>
      <c r="AB6797" t="s">
        <v>43</v>
      </c>
      <c r="AC6797" t="s">
        <v>43</v>
      </c>
      <c r="AD6797" t="s">
        <v>43</v>
      </c>
      <c r="AE6797" t="s">
        <v>43</v>
      </c>
      <c r="AF6797" t="s">
        <v>43</v>
      </c>
      <c r="AG6797" t="s">
        <v>43</v>
      </c>
      <c r="AH6797" t="s">
        <v>43</v>
      </c>
      <c r="AI6797" t="s">
        <v>43</v>
      </c>
      <c r="AJ6797" t="s">
        <v>43</v>
      </c>
      <c r="AK6797" t="s">
        <v>43</v>
      </c>
      <c r="AL6797" t="s">
        <v>43</v>
      </c>
      <c r="AM6797" t="s">
        <v>43</v>
      </c>
      <c r="AN6797" t="str">
        <f>HYPERLINK("https://www.google.com/maps?q=10.78965378,79.57876587","Open Location")</f>
        <v>Open Location</v>
      </c>
    </row>
    <row r="6798" spans="1:40" x14ac:dyDescent="0.3">
      <c r="A6798" s="1">
        <v>46210.212500000001</v>
      </c>
      <c r="B6798" t="s">
        <v>40</v>
      </c>
      <c r="C6798" t="s">
        <v>41</v>
      </c>
      <c r="D6798" s="1">
        <v>46210.215289351851</v>
      </c>
      <c r="E6798" t="s">
        <v>42</v>
      </c>
      <c r="F6798" t="s">
        <v>43</v>
      </c>
      <c r="G6798" t="s">
        <v>43</v>
      </c>
      <c r="H6798" t="s">
        <v>43</v>
      </c>
      <c r="I6798" t="s">
        <v>43</v>
      </c>
      <c r="J6798" t="s">
        <v>43</v>
      </c>
      <c r="K6798" t="s">
        <v>43</v>
      </c>
      <c r="L6798" t="s">
        <v>43</v>
      </c>
      <c r="M6798" t="s">
        <v>43</v>
      </c>
      <c r="N6798" t="s">
        <v>45</v>
      </c>
      <c r="O6798" t="s">
        <v>43</v>
      </c>
      <c r="P6798" t="s">
        <v>43</v>
      </c>
      <c r="Q6798" t="s">
        <v>43</v>
      </c>
      <c r="R6798" t="s">
        <v>43</v>
      </c>
      <c r="S6798" t="s">
        <v>43</v>
      </c>
      <c r="T6798" t="s">
        <v>43</v>
      </c>
      <c r="U6798" t="s">
        <v>43</v>
      </c>
      <c r="V6798" t="s">
        <v>43</v>
      </c>
      <c r="W6798" t="s">
        <v>43</v>
      </c>
      <c r="X6798" t="s">
        <v>43</v>
      </c>
      <c r="Y6798" t="s">
        <v>43</v>
      </c>
      <c r="Z6798" t="s">
        <v>43</v>
      </c>
      <c r="AA6798" t="s">
        <v>43</v>
      </c>
      <c r="AB6798" t="s">
        <v>43</v>
      </c>
      <c r="AC6798" t="s">
        <v>43</v>
      </c>
      <c r="AD6798" t="s">
        <v>43</v>
      </c>
      <c r="AE6798" t="s">
        <v>43</v>
      </c>
      <c r="AF6798" t="s">
        <v>43</v>
      </c>
      <c r="AG6798" t="s">
        <v>43</v>
      </c>
      <c r="AH6798" t="s">
        <v>43</v>
      </c>
      <c r="AI6798" t="s">
        <v>43</v>
      </c>
      <c r="AJ6798" t="s">
        <v>43</v>
      </c>
      <c r="AK6798" t="s">
        <v>43</v>
      </c>
      <c r="AL6798" t="s">
        <v>43</v>
      </c>
      <c r="AM6798" t="s">
        <v>43</v>
      </c>
      <c r="AN6798" t="s">
        <v>43</v>
      </c>
    </row>
    <row r="6799" spans="1:40" x14ac:dyDescent="0.3">
      <c r="A6799" s="1">
        <v>46210.212384259263</v>
      </c>
      <c r="B6799" t="s">
        <v>40</v>
      </c>
      <c r="C6799" t="s">
        <v>41</v>
      </c>
      <c r="D6799" s="1">
        <v>46210.215173611112</v>
      </c>
      <c r="E6799" t="s">
        <v>42</v>
      </c>
      <c r="F6799" t="s">
        <v>43</v>
      </c>
      <c r="G6799" t="s">
        <v>43</v>
      </c>
      <c r="H6799" t="s">
        <v>43</v>
      </c>
      <c r="I6799" t="s">
        <v>3965</v>
      </c>
      <c r="J6799" t="s">
        <v>43</v>
      </c>
      <c r="K6799" t="s">
        <v>43</v>
      </c>
      <c r="L6799" t="s">
        <v>43</v>
      </c>
      <c r="M6799" t="s">
        <v>43</v>
      </c>
      <c r="N6799" t="s">
        <v>45</v>
      </c>
      <c r="O6799" t="s">
        <v>43</v>
      </c>
      <c r="P6799" t="s">
        <v>43</v>
      </c>
      <c r="Q6799" t="s">
        <v>43</v>
      </c>
      <c r="R6799" t="s">
        <v>43</v>
      </c>
      <c r="S6799" t="s">
        <v>43</v>
      </c>
      <c r="T6799" t="s">
        <v>43</v>
      </c>
      <c r="U6799" t="s">
        <v>43</v>
      </c>
      <c r="V6799" t="s">
        <v>43</v>
      </c>
      <c r="W6799" t="s">
        <v>43</v>
      </c>
      <c r="X6799" t="s">
        <v>43</v>
      </c>
      <c r="Y6799" t="s">
        <v>43</v>
      </c>
      <c r="Z6799" t="s">
        <v>43</v>
      </c>
      <c r="AA6799" t="s">
        <v>43</v>
      </c>
      <c r="AB6799" t="s">
        <v>43</v>
      </c>
      <c r="AC6799" t="s">
        <v>43</v>
      </c>
      <c r="AD6799" t="s">
        <v>43</v>
      </c>
      <c r="AE6799" t="s">
        <v>43</v>
      </c>
      <c r="AF6799" t="s">
        <v>43</v>
      </c>
      <c r="AG6799" t="s">
        <v>43</v>
      </c>
      <c r="AH6799" t="s">
        <v>43</v>
      </c>
      <c r="AI6799" t="s">
        <v>43</v>
      </c>
      <c r="AJ6799" t="s">
        <v>43</v>
      </c>
      <c r="AK6799" t="s">
        <v>43</v>
      </c>
      <c r="AL6799" t="s">
        <v>43</v>
      </c>
      <c r="AM6799" t="s">
        <v>43</v>
      </c>
      <c r="AN6799" t="str">
        <f>HYPERLINK("https://www.google.com/maps?q=10.78964615,79.57876587","Open Location")</f>
        <v>Open Location</v>
      </c>
    </row>
    <row r="6800" spans="1:40" x14ac:dyDescent="0.3">
      <c r="A6800" s="1">
        <v>46210.212268518517</v>
      </c>
      <c r="B6800" t="s">
        <v>40</v>
      </c>
      <c r="C6800" t="s">
        <v>41</v>
      </c>
      <c r="D6800" s="1">
        <v>46210.215173611112</v>
      </c>
      <c r="E6800" t="s">
        <v>42</v>
      </c>
      <c r="F6800" t="s">
        <v>43</v>
      </c>
      <c r="G6800" t="s">
        <v>43</v>
      </c>
      <c r="H6800" t="s">
        <v>43</v>
      </c>
      <c r="I6800" t="s">
        <v>3966</v>
      </c>
      <c r="J6800" t="s">
        <v>43</v>
      </c>
      <c r="K6800" t="s">
        <v>43</v>
      </c>
      <c r="L6800" t="s">
        <v>43</v>
      </c>
      <c r="M6800" t="s">
        <v>43</v>
      </c>
      <c r="N6800" t="s">
        <v>45</v>
      </c>
      <c r="O6800" t="s">
        <v>43</v>
      </c>
      <c r="P6800" t="s">
        <v>43</v>
      </c>
      <c r="Q6800" t="s">
        <v>43</v>
      </c>
      <c r="R6800" t="s">
        <v>43</v>
      </c>
      <c r="S6800" t="s">
        <v>43</v>
      </c>
      <c r="T6800" t="s">
        <v>43</v>
      </c>
      <c r="U6800" t="s">
        <v>43</v>
      </c>
      <c r="V6800" t="s">
        <v>43</v>
      </c>
      <c r="W6800" t="s">
        <v>43</v>
      </c>
      <c r="X6800" t="s">
        <v>43</v>
      </c>
      <c r="Y6800" t="s">
        <v>43</v>
      </c>
      <c r="Z6800" t="s">
        <v>43</v>
      </c>
      <c r="AA6800" t="s">
        <v>43</v>
      </c>
      <c r="AB6800" t="s">
        <v>43</v>
      </c>
      <c r="AC6800" t="s">
        <v>43</v>
      </c>
      <c r="AD6800" t="s">
        <v>43</v>
      </c>
      <c r="AE6800" t="s">
        <v>43</v>
      </c>
      <c r="AF6800" t="s">
        <v>43</v>
      </c>
      <c r="AG6800" t="s">
        <v>43</v>
      </c>
      <c r="AH6800" t="s">
        <v>43</v>
      </c>
      <c r="AI6800" t="s">
        <v>43</v>
      </c>
      <c r="AJ6800" t="s">
        <v>43</v>
      </c>
      <c r="AK6800" t="s">
        <v>43</v>
      </c>
      <c r="AL6800" t="s">
        <v>43</v>
      </c>
      <c r="AM6800" t="s">
        <v>43</v>
      </c>
      <c r="AN6800" t="str">
        <f>HYPERLINK("https://www.google.com/maps?q=10.78963757,79.5787735","Open Location")</f>
        <v>Open Location</v>
      </c>
    </row>
    <row r="6801" spans="1:40" x14ac:dyDescent="0.3">
      <c r="A6801" s="1">
        <v>46210.212152777778</v>
      </c>
      <c r="B6801" t="s">
        <v>40</v>
      </c>
      <c r="C6801" t="s">
        <v>41</v>
      </c>
      <c r="D6801" s="1">
        <v>46210.215196759258</v>
      </c>
      <c r="E6801" t="s">
        <v>42</v>
      </c>
      <c r="F6801" t="s">
        <v>43</v>
      </c>
      <c r="G6801" t="s">
        <v>43</v>
      </c>
      <c r="H6801" t="s">
        <v>43</v>
      </c>
      <c r="I6801" t="s">
        <v>3965</v>
      </c>
      <c r="J6801" t="s">
        <v>43</v>
      </c>
      <c r="K6801" t="s">
        <v>43</v>
      </c>
      <c r="L6801" t="s">
        <v>43</v>
      </c>
      <c r="M6801" t="s">
        <v>43</v>
      </c>
      <c r="N6801" t="s">
        <v>45</v>
      </c>
      <c r="O6801" t="s">
        <v>43</v>
      </c>
      <c r="P6801" t="s">
        <v>43</v>
      </c>
      <c r="Q6801" t="s">
        <v>43</v>
      </c>
      <c r="R6801" t="s">
        <v>43</v>
      </c>
      <c r="S6801" t="s">
        <v>43</v>
      </c>
      <c r="T6801" t="s">
        <v>43</v>
      </c>
      <c r="U6801" t="s">
        <v>43</v>
      </c>
      <c r="V6801" t="s">
        <v>43</v>
      </c>
      <c r="W6801" t="s">
        <v>43</v>
      </c>
      <c r="X6801" t="s">
        <v>43</v>
      </c>
      <c r="Y6801" t="s">
        <v>43</v>
      </c>
      <c r="Z6801" t="s">
        <v>43</v>
      </c>
      <c r="AA6801" t="s">
        <v>43</v>
      </c>
      <c r="AB6801" t="s">
        <v>43</v>
      </c>
      <c r="AC6801" t="s">
        <v>43</v>
      </c>
      <c r="AD6801" t="s">
        <v>43</v>
      </c>
      <c r="AE6801" t="s">
        <v>43</v>
      </c>
      <c r="AF6801" t="s">
        <v>43</v>
      </c>
      <c r="AG6801" t="s">
        <v>43</v>
      </c>
      <c r="AH6801" t="s">
        <v>43</v>
      </c>
      <c r="AI6801" t="s">
        <v>43</v>
      </c>
      <c r="AJ6801" t="s">
        <v>43</v>
      </c>
      <c r="AK6801" t="s">
        <v>43</v>
      </c>
      <c r="AL6801" t="s">
        <v>43</v>
      </c>
      <c r="AM6801" t="s">
        <v>43</v>
      </c>
      <c r="AN6801" t="str">
        <f>HYPERLINK("https://www.google.com/maps?q=10.78964615,79.57876587","Open Location")</f>
        <v>Open Location</v>
      </c>
    </row>
    <row r="6802" spans="1:40" x14ac:dyDescent="0.3">
      <c r="A6802" s="1">
        <v>46210.212037037039</v>
      </c>
      <c r="B6802" t="s">
        <v>40</v>
      </c>
      <c r="C6802" t="s">
        <v>41</v>
      </c>
      <c r="D6802" s="1">
        <v>46210.215185185189</v>
      </c>
      <c r="E6802" t="s">
        <v>42</v>
      </c>
      <c r="F6802" t="s">
        <v>43</v>
      </c>
      <c r="G6802" t="s">
        <v>43</v>
      </c>
      <c r="H6802" t="s">
        <v>43</v>
      </c>
      <c r="I6802" t="s">
        <v>3967</v>
      </c>
      <c r="J6802" t="s">
        <v>43</v>
      </c>
      <c r="K6802" t="s">
        <v>43</v>
      </c>
      <c r="L6802" t="s">
        <v>43</v>
      </c>
      <c r="M6802" t="s">
        <v>43</v>
      </c>
      <c r="N6802" t="s">
        <v>45</v>
      </c>
      <c r="O6802" t="s">
        <v>43</v>
      </c>
      <c r="P6802" t="s">
        <v>43</v>
      </c>
      <c r="Q6802" t="s">
        <v>43</v>
      </c>
      <c r="R6802" t="s">
        <v>43</v>
      </c>
      <c r="S6802" t="s">
        <v>43</v>
      </c>
      <c r="T6802" t="s">
        <v>43</v>
      </c>
      <c r="U6802" t="s">
        <v>43</v>
      </c>
      <c r="V6802" t="s">
        <v>43</v>
      </c>
      <c r="W6802" t="s">
        <v>43</v>
      </c>
      <c r="X6802" t="s">
        <v>43</v>
      </c>
      <c r="Y6802" t="s">
        <v>43</v>
      </c>
      <c r="Z6802" t="s">
        <v>43</v>
      </c>
      <c r="AA6802" t="s">
        <v>43</v>
      </c>
      <c r="AB6802" t="s">
        <v>43</v>
      </c>
      <c r="AC6802" t="s">
        <v>43</v>
      </c>
      <c r="AD6802" t="s">
        <v>43</v>
      </c>
      <c r="AE6802" t="s">
        <v>43</v>
      </c>
      <c r="AF6802" t="s">
        <v>43</v>
      </c>
      <c r="AG6802" t="s">
        <v>43</v>
      </c>
      <c r="AH6802" t="s">
        <v>43</v>
      </c>
      <c r="AI6802" t="s">
        <v>43</v>
      </c>
      <c r="AJ6802" t="s">
        <v>43</v>
      </c>
      <c r="AK6802" t="s">
        <v>43</v>
      </c>
      <c r="AL6802" t="s">
        <v>43</v>
      </c>
      <c r="AM6802" t="s">
        <v>43</v>
      </c>
      <c r="AN6802" t="str">
        <f>HYPERLINK("https://www.google.com/maps?q=10.78966045,79.57874298","Open Location")</f>
        <v>Open Location</v>
      </c>
    </row>
    <row r="6803" spans="1:40" x14ac:dyDescent="0.3">
      <c r="A6803" s="1">
        <v>46210.211921296293</v>
      </c>
      <c r="B6803" t="s">
        <v>40</v>
      </c>
      <c r="C6803" t="s">
        <v>41</v>
      </c>
      <c r="D6803" s="1">
        <v>46210.214826388888</v>
      </c>
      <c r="E6803" t="s">
        <v>42</v>
      </c>
      <c r="F6803" t="s">
        <v>43</v>
      </c>
      <c r="G6803" t="s">
        <v>43</v>
      </c>
      <c r="H6803" t="s">
        <v>43</v>
      </c>
      <c r="I6803" t="s">
        <v>3968</v>
      </c>
      <c r="J6803" t="s">
        <v>43</v>
      </c>
      <c r="K6803" t="s">
        <v>43</v>
      </c>
      <c r="L6803" t="s">
        <v>43</v>
      </c>
      <c r="M6803" t="s">
        <v>43</v>
      </c>
      <c r="N6803" t="s">
        <v>45</v>
      </c>
      <c r="O6803" t="s">
        <v>43</v>
      </c>
      <c r="P6803" t="s">
        <v>43</v>
      </c>
      <c r="Q6803" t="s">
        <v>43</v>
      </c>
      <c r="R6803" t="s">
        <v>43</v>
      </c>
      <c r="S6803" t="s">
        <v>43</v>
      </c>
      <c r="T6803" t="s">
        <v>43</v>
      </c>
      <c r="U6803" t="s">
        <v>43</v>
      </c>
      <c r="V6803" t="s">
        <v>43</v>
      </c>
      <c r="W6803" t="s">
        <v>43</v>
      </c>
      <c r="X6803" t="s">
        <v>43</v>
      </c>
      <c r="Y6803" t="s">
        <v>43</v>
      </c>
      <c r="Z6803" t="s">
        <v>43</v>
      </c>
      <c r="AA6803" t="s">
        <v>43</v>
      </c>
      <c r="AB6803" t="s">
        <v>43</v>
      </c>
      <c r="AC6803" t="s">
        <v>43</v>
      </c>
      <c r="AD6803" t="s">
        <v>43</v>
      </c>
      <c r="AE6803" t="s">
        <v>43</v>
      </c>
      <c r="AF6803" t="s">
        <v>43</v>
      </c>
      <c r="AG6803" t="s">
        <v>43</v>
      </c>
      <c r="AH6803" t="s">
        <v>43</v>
      </c>
      <c r="AI6803" t="s">
        <v>43</v>
      </c>
      <c r="AJ6803" t="s">
        <v>43</v>
      </c>
      <c r="AK6803" t="s">
        <v>43</v>
      </c>
      <c r="AL6803" t="s">
        <v>43</v>
      </c>
      <c r="AM6803" t="s">
        <v>43</v>
      </c>
      <c r="AN6803" t="str">
        <f>HYPERLINK("https://www.google.com/maps?q=10.78965664,79.57875061","Open Location")</f>
        <v>Open Location</v>
      </c>
    </row>
    <row r="6804" spans="1:40" x14ac:dyDescent="0.3">
      <c r="A6804" s="1">
        <v>46210.211805555555</v>
      </c>
      <c r="B6804" t="s">
        <v>40</v>
      </c>
      <c r="C6804" t="s">
        <v>41</v>
      </c>
      <c r="D6804" s="1">
        <v>46210.214756944442</v>
      </c>
      <c r="E6804" t="s">
        <v>42</v>
      </c>
      <c r="F6804" t="s">
        <v>43</v>
      </c>
      <c r="G6804" t="s">
        <v>43</v>
      </c>
      <c r="H6804" t="s">
        <v>43</v>
      </c>
      <c r="I6804" t="s">
        <v>43</v>
      </c>
      <c r="J6804" t="s">
        <v>43</v>
      </c>
      <c r="K6804" t="s">
        <v>43</v>
      </c>
      <c r="L6804" t="s">
        <v>43</v>
      </c>
      <c r="M6804" t="s">
        <v>43</v>
      </c>
      <c r="N6804" t="s">
        <v>45</v>
      </c>
      <c r="O6804" t="s">
        <v>43</v>
      </c>
      <c r="P6804" t="s">
        <v>43</v>
      </c>
      <c r="Q6804" t="s">
        <v>43</v>
      </c>
      <c r="R6804" t="s">
        <v>43</v>
      </c>
      <c r="S6804" t="s">
        <v>43</v>
      </c>
      <c r="T6804" t="s">
        <v>43</v>
      </c>
      <c r="U6804" t="s">
        <v>43</v>
      </c>
      <c r="V6804" t="s">
        <v>43</v>
      </c>
      <c r="W6804" t="s">
        <v>43</v>
      </c>
      <c r="X6804" t="s">
        <v>43</v>
      </c>
      <c r="Y6804" t="s">
        <v>43</v>
      </c>
      <c r="Z6804" t="s">
        <v>43</v>
      </c>
      <c r="AA6804" t="s">
        <v>43</v>
      </c>
      <c r="AB6804" t="s">
        <v>43</v>
      </c>
      <c r="AC6804" t="s">
        <v>43</v>
      </c>
      <c r="AD6804" t="s">
        <v>43</v>
      </c>
      <c r="AE6804" t="s">
        <v>43</v>
      </c>
      <c r="AF6804" t="s">
        <v>43</v>
      </c>
      <c r="AG6804" t="s">
        <v>43</v>
      </c>
      <c r="AH6804" t="s">
        <v>43</v>
      </c>
      <c r="AI6804" t="s">
        <v>43</v>
      </c>
      <c r="AJ6804" t="s">
        <v>43</v>
      </c>
      <c r="AK6804" t="s">
        <v>43</v>
      </c>
      <c r="AL6804" t="s">
        <v>43</v>
      </c>
      <c r="AM6804" t="s">
        <v>43</v>
      </c>
      <c r="AN6804" t="s">
        <v>43</v>
      </c>
    </row>
    <row r="6805" spans="1:40" x14ac:dyDescent="0.3">
      <c r="A6805" s="1">
        <v>46210.211689814816</v>
      </c>
      <c r="B6805" t="s">
        <v>40</v>
      </c>
      <c r="C6805" t="s">
        <v>41</v>
      </c>
      <c r="D6805" s="1">
        <v>46210.214259259257</v>
      </c>
      <c r="E6805" t="s">
        <v>42</v>
      </c>
      <c r="F6805" t="s">
        <v>43</v>
      </c>
      <c r="G6805" t="s">
        <v>43</v>
      </c>
      <c r="H6805" t="s">
        <v>43</v>
      </c>
      <c r="I6805" t="s">
        <v>3969</v>
      </c>
      <c r="J6805" t="s">
        <v>43</v>
      </c>
      <c r="K6805" t="s">
        <v>43</v>
      </c>
      <c r="L6805" t="s">
        <v>43</v>
      </c>
      <c r="M6805" t="s">
        <v>43</v>
      </c>
      <c r="N6805" t="s">
        <v>45</v>
      </c>
      <c r="O6805" t="s">
        <v>43</v>
      </c>
      <c r="P6805" t="s">
        <v>43</v>
      </c>
      <c r="Q6805" t="s">
        <v>43</v>
      </c>
      <c r="R6805" t="s">
        <v>43</v>
      </c>
      <c r="S6805" t="s">
        <v>43</v>
      </c>
      <c r="T6805" t="s">
        <v>43</v>
      </c>
      <c r="U6805" t="s">
        <v>43</v>
      </c>
      <c r="V6805" t="s">
        <v>43</v>
      </c>
      <c r="W6805" t="s">
        <v>43</v>
      </c>
      <c r="X6805" t="s">
        <v>43</v>
      </c>
      <c r="Y6805" t="s">
        <v>43</v>
      </c>
      <c r="Z6805" t="s">
        <v>43</v>
      </c>
      <c r="AA6805" t="s">
        <v>43</v>
      </c>
      <c r="AB6805" t="s">
        <v>43</v>
      </c>
      <c r="AC6805" t="s">
        <v>43</v>
      </c>
      <c r="AD6805" t="s">
        <v>43</v>
      </c>
      <c r="AE6805" t="s">
        <v>43</v>
      </c>
      <c r="AF6805" t="s">
        <v>43</v>
      </c>
      <c r="AG6805" t="s">
        <v>43</v>
      </c>
      <c r="AH6805" t="s">
        <v>43</v>
      </c>
      <c r="AI6805" t="s">
        <v>43</v>
      </c>
      <c r="AJ6805" t="s">
        <v>43</v>
      </c>
      <c r="AK6805" t="s">
        <v>43</v>
      </c>
      <c r="AL6805" t="s">
        <v>43</v>
      </c>
      <c r="AM6805" t="s">
        <v>43</v>
      </c>
      <c r="AN6805" t="str">
        <f>HYPERLINK("https://www.google.com/maps?q=10.78965378,79.57875061","Open Location")</f>
        <v>Open Location</v>
      </c>
    </row>
    <row r="6806" spans="1:40" x14ac:dyDescent="0.3">
      <c r="A6806" s="1">
        <v>46210.211574074077</v>
      </c>
      <c r="B6806" t="s">
        <v>40</v>
      </c>
      <c r="C6806" t="s">
        <v>41</v>
      </c>
      <c r="D6806" s="1">
        <v>46210.214456018519</v>
      </c>
      <c r="E6806" t="s">
        <v>42</v>
      </c>
      <c r="F6806" t="s">
        <v>43</v>
      </c>
      <c r="G6806" t="s">
        <v>43</v>
      </c>
      <c r="H6806" t="s">
        <v>43</v>
      </c>
      <c r="I6806" t="s">
        <v>3970</v>
      </c>
      <c r="J6806" t="s">
        <v>43</v>
      </c>
      <c r="K6806" t="s">
        <v>43</v>
      </c>
      <c r="L6806" t="s">
        <v>43</v>
      </c>
      <c r="M6806" t="s">
        <v>43</v>
      </c>
      <c r="N6806" t="s">
        <v>45</v>
      </c>
      <c r="O6806" t="s">
        <v>43</v>
      </c>
      <c r="P6806" t="s">
        <v>43</v>
      </c>
      <c r="Q6806" t="s">
        <v>43</v>
      </c>
      <c r="R6806" t="s">
        <v>43</v>
      </c>
      <c r="S6806" t="s">
        <v>43</v>
      </c>
      <c r="T6806" t="s">
        <v>43</v>
      </c>
      <c r="U6806" t="s">
        <v>43</v>
      </c>
      <c r="V6806" t="s">
        <v>43</v>
      </c>
      <c r="W6806" t="s">
        <v>43</v>
      </c>
      <c r="X6806" t="s">
        <v>43</v>
      </c>
      <c r="Y6806" t="s">
        <v>43</v>
      </c>
      <c r="Z6806" t="s">
        <v>43</v>
      </c>
      <c r="AA6806" t="s">
        <v>43</v>
      </c>
      <c r="AB6806" t="s">
        <v>43</v>
      </c>
      <c r="AC6806" t="s">
        <v>43</v>
      </c>
      <c r="AD6806" t="s">
        <v>43</v>
      </c>
      <c r="AE6806" t="s">
        <v>43</v>
      </c>
      <c r="AF6806" t="s">
        <v>43</v>
      </c>
      <c r="AG6806" t="s">
        <v>43</v>
      </c>
      <c r="AH6806" t="s">
        <v>43</v>
      </c>
      <c r="AI6806" t="s">
        <v>43</v>
      </c>
      <c r="AJ6806" t="s">
        <v>43</v>
      </c>
      <c r="AK6806" t="s">
        <v>43</v>
      </c>
      <c r="AL6806" t="s">
        <v>43</v>
      </c>
      <c r="AM6806" t="s">
        <v>43</v>
      </c>
      <c r="AN6806" t="str">
        <f>HYPERLINK("https://www.google.com/maps?q=10.78965473,79.57875061","Open Location")</f>
        <v>Open Location</v>
      </c>
    </row>
    <row r="6807" spans="1:40" x14ac:dyDescent="0.3">
      <c r="A6807" s="1">
        <v>46210.211458333331</v>
      </c>
      <c r="B6807" t="s">
        <v>40</v>
      </c>
      <c r="C6807" t="s">
        <v>41</v>
      </c>
      <c r="D6807" s="1">
        <v>46210.214456018519</v>
      </c>
      <c r="E6807" t="s">
        <v>42</v>
      </c>
      <c r="F6807" t="s">
        <v>43</v>
      </c>
      <c r="G6807" t="s">
        <v>43</v>
      </c>
      <c r="H6807" t="s">
        <v>43</v>
      </c>
      <c r="I6807" t="s">
        <v>3957</v>
      </c>
      <c r="J6807" t="s">
        <v>43</v>
      </c>
      <c r="K6807" t="s">
        <v>43</v>
      </c>
      <c r="L6807" t="s">
        <v>43</v>
      </c>
      <c r="M6807" t="s">
        <v>43</v>
      </c>
      <c r="N6807" t="s">
        <v>45</v>
      </c>
      <c r="O6807" t="s">
        <v>43</v>
      </c>
      <c r="P6807" t="s">
        <v>43</v>
      </c>
      <c r="Q6807" t="s">
        <v>43</v>
      </c>
      <c r="R6807" t="s">
        <v>43</v>
      </c>
      <c r="S6807" t="s">
        <v>43</v>
      </c>
      <c r="T6807" t="s">
        <v>43</v>
      </c>
      <c r="U6807" t="s">
        <v>43</v>
      </c>
      <c r="V6807" t="s">
        <v>43</v>
      </c>
      <c r="W6807" t="s">
        <v>43</v>
      </c>
      <c r="X6807" t="s">
        <v>43</v>
      </c>
      <c r="Y6807" t="s">
        <v>43</v>
      </c>
      <c r="Z6807" t="s">
        <v>43</v>
      </c>
      <c r="AA6807" t="s">
        <v>43</v>
      </c>
      <c r="AB6807" t="s">
        <v>43</v>
      </c>
      <c r="AC6807" t="s">
        <v>43</v>
      </c>
      <c r="AD6807" t="s">
        <v>43</v>
      </c>
      <c r="AE6807" t="s">
        <v>43</v>
      </c>
      <c r="AF6807" t="s">
        <v>43</v>
      </c>
      <c r="AG6807" t="s">
        <v>43</v>
      </c>
      <c r="AH6807" t="s">
        <v>43</v>
      </c>
      <c r="AI6807" t="s">
        <v>43</v>
      </c>
      <c r="AJ6807" t="s">
        <v>43</v>
      </c>
      <c r="AK6807" t="s">
        <v>43</v>
      </c>
      <c r="AL6807" t="s">
        <v>43</v>
      </c>
      <c r="AM6807" t="s">
        <v>43</v>
      </c>
      <c r="AN6807" t="str">
        <f>HYPERLINK("https://www.google.com/maps?q=10.78965378,79.57875824","Open Location")</f>
        <v>Open Location</v>
      </c>
    </row>
    <row r="6808" spans="1:40" x14ac:dyDescent="0.3">
      <c r="A6808" s="1">
        <v>46210.211342592593</v>
      </c>
      <c r="B6808" t="s">
        <v>40</v>
      </c>
      <c r="C6808" t="s">
        <v>41</v>
      </c>
      <c r="D6808" s="1">
        <v>46210.214456018519</v>
      </c>
      <c r="E6808" t="s">
        <v>42</v>
      </c>
      <c r="F6808" t="s">
        <v>43</v>
      </c>
      <c r="G6808" t="s">
        <v>43</v>
      </c>
      <c r="H6808" t="s">
        <v>43</v>
      </c>
      <c r="I6808" t="s">
        <v>3971</v>
      </c>
      <c r="J6808" t="s">
        <v>43</v>
      </c>
      <c r="K6808" t="s">
        <v>43</v>
      </c>
      <c r="L6808" t="s">
        <v>43</v>
      </c>
      <c r="M6808" t="s">
        <v>43</v>
      </c>
      <c r="N6808" t="s">
        <v>45</v>
      </c>
      <c r="O6808" t="s">
        <v>43</v>
      </c>
      <c r="P6808" t="s">
        <v>43</v>
      </c>
      <c r="Q6808" t="s">
        <v>43</v>
      </c>
      <c r="R6808" t="s">
        <v>43</v>
      </c>
      <c r="S6808" t="s">
        <v>43</v>
      </c>
      <c r="T6808" t="s">
        <v>43</v>
      </c>
      <c r="U6808" t="s">
        <v>43</v>
      </c>
      <c r="V6808" t="s">
        <v>43</v>
      </c>
      <c r="W6808" t="s">
        <v>43</v>
      </c>
      <c r="X6808" t="s">
        <v>43</v>
      </c>
      <c r="Y6808" t="s">
        <v>43</v>
      </c>
      <c r="Z6808" t="s">
        <v>43</v>
      </c>
      <c r="AA6808" t="s">
        <v>43</v>
      </c>
      <c r="AB6808" t="s">
        <v>43</v>
      </c>
      <c r="AC6808" t="s">
        <v>43</v>
      </c>
      <c r="AD6808" t="s">
        <v>43</v>
      </c>
      <c r="AE6808" t="s">
        <v>43</v>
      </c>
      <c r="AF6808" t="s">
        <v>43</v>
      </c>
      <c r="AG6808" t="s">
        <v>43</v>
      </c>
      <c r="AH6808" t="s">
        <v>43</v>
      </c>
      <c r="AI6808" t="s">
        <v>43</v>
      </c>
      <c r="AJ6808" t="s">
        <v>43</v>
      </c>
      <c r="AK6808" t="s">
        <v>43</v>
      </c>
      <c r="AL6808" t="s">
        <v>43</v>
      </c>
      <c r="AM6808" t="s">
        <v>43</v>
      </c>
      <c r="AN6808" t="str">
        <f>HYPERLINK("https://www.google.com/maps?q=10.78965569,79.57875824","Open Location")</f>
        <v>Open Location</v>
      </c>
    </row>
    <row r="6809" spans="1:40" x14ac:dyDescent="0.3">
      <c r="A6809" s="1">
        <v>46210.211226851854</v>
      </c>
      <c r="B6809" t="s">
        <v>40</v>
      </c>
      <c r="C6809" t="s">
        <v>41</v>
      </c>
      <c r="D6809" s="1">
        <v>46210.214085648149</v>
      </c>
      <c r="E6809" t="s">
        <v>42</v>
      </c>
      <c r="F6809" t="s">
        <v>43</v>
      </c>
      <c r="G6809" t="s">
        <v>43</v>
      </c>
      <c r="H6809" t="s">
        <v>43</v>
      </c>
      <c r="I6809" t="s">
        <v>43</v>
      </c>
      <c r="J6809" t="s">
        <v>43</v>
      </c>
      <c r="K6809" t="s">
        <v>43</v>
      </c>
      <c r="L6809" t="s">
        <v>43</v>
      </c>
      <c r="M6809" t="s">
        <v>43</v>
      </c>
      <c r="N6809" t="s">
        <v>45</v>
      </c>
      <c r="O6809" t="s">
        <v>43</v>
      </c>
      <c r="P6809" t="s">
        <v>43</v>
      </c>
      <c r="Q6809" t="s">
        <v>43</v>
      </c>
      <c r="R6809" t="s">
        <v>43</v>
      </c>
      <c r="S6809" t="s">
        <v>43</v>
      </c>
      <c r="T6809" t="s">
        <v>43</v>
      </c>
      <c r="U6809" t="s">
        <v>43</v>
      </c>
      <c r="V6809" t="s">
        <v>43</v>
      </c>
      <c r="W6809" t="s">
        <v>43</v>
      </c>
      <c r="X6809" t="s">
        <v>43</v>
      </c>
      <c r="Y6809" t="s">
        <v>43</v>
      </c>
      <c r="Z6809" t="s">
        <v>43</v>
      </c>
      <c r="AA6809" t="s">
        <v>43</v>
      </c>
      <c r="AB6809" t="s">
        <v>43</v>
      </c>
      <c r="AC6809" t="s">
        <v>43</v>
      </c>
      <c r="AD6809" t="s">
        <v>43</v>
      </c>
      <c r="AE6809" t="s">
        <v>43</v>
      </c>
      <c r="AF6809" t="s">
        <v>43</v>
      </c>
      <c r="AG6809" t="s">
        <v>43</v>
      </c>
      <c r="AH6809" t="s">
        <v>43</v>
      </c>
      <c r="AI6809" t="s">
        <v>43</v>
      </c>
      <c r="AJ6809" t="s">
        <v>43</v>
      </c>
      <c r="AK6809" t="s">
        <v>43</v>
      </c>
      <c r="AL6809" t="s">
        <v>43</v>
      </c>
      <c r="AM6809" t="s">
        <v>43</v>
      </c>
      <c r="AN6809" t="s">
        <v>43</v>
      </c>
    </row>
    <row r="6810" spans="1:40" x14ac:dyDescent="0.3">
      <c r="A6810" s="1">
        <v>46210.211111111108</v>
      </c>
      <c r="B6810" t="s">
        <v>40</v>
      </c>
      <c r="C6810" t="s">
        <v>41</v>
      </c>
      <c r="D6810" s="1">
        <v>46210.214108796295</v>
      </c>
      <c r="E6810" t="s">
        <v>42</v>
      </c>
      <c r="F6810" t="s">
        <v>43</v>
      </c>
      <c r="G6810" t="s">
        <v>43</v>
      </c>
      <c r="H6810" t="s">
        <v>43</v>
      </c>
      <c r="I6810" t="s">
        <v>3964</v>
      </c>
      <c r="J6810" t="s">
        <v>43</v>
      </c>
      <c r="K6810" t="s">
        <v>43</v>
      </c>
      <c r="L6810" t="s">
        <v>43</v>
      </c>
      <c r="M6810" t="s">
        <v>43</v>
      </c>
      <c r="N6810" t="s">
        <v>45</v>
      </c>
      <c r="O6810" t="s">
        <v>43</v>
      </c>
      <c r="P6810" t="s">
        <v>43</v>
      </c>
      <c r="Q6810" t="s">
        <v>43</v>
      </c>
      <c r="R6810" t="s">
        <v>43</v>
      </c>
      <c r="S6810" t="s">
        <v>43</v>
      </c>
      <c r="T6810" t="s">
        <v>43</v>
      </c>
      <c r="U6810" t="s">
        <v>43</v>
      </c>
      <c r="V6810" t="s">
        <v>43</v>
      </c>
      <c r="W6810" t="s">
        <v>43</v>
      </c>
      <c r="X6810" t="s">
        <v>43</v>
      </c>
      <c r="Y6810" t="s">
        <v>43</v>
      </c>
      <c r="Z6810" t="s">
        <v>43</v>
      </c>
      <c r="AA6810" t="s">
        <v>43</v>
      </c>
      <c r="AB6810" t="s">
        <v>43</v>
      </c>
      <c r="AC6810" t="s">
        <v>43</v>
      </c>
      <c r="AD6810" t="s">
        <v>43</v>
      </c>
      <c r="AE6810" t="s">
        <v>43</v>
      </c>
      <c r="AF6810" t="s">
        <v>43</v>
      </c>
      <c r="AG6810" t="s">
        <v>43</v>
      </c>
      <c r="AH6810" t="s">
        <v>43</v>
      </c>
      <c r="AI6810" t="s">
        <v>43</v>
      </c>
      <c r="AJ6810" t="s">
        <v>43</v>
      </c>
      <c r="AK6810" t="s">
        <v>43</v>
      </c>
      <c r="AL6810" t="s">
        <v>43</v>
      </c>
      <c r="AM6810" t="s">
        <v>43</v>
      </c>
      <c r="AN6810" t="str">
        <f>HYPERLINK("https://www.google.com/maps?q=10.78965378,79.57876587","Open Location")</f>
        <v>Open Location</v>
      </c>
    </row>
    <row r="6811" spans="1:40" x14ac:dyDescent="0.3">
      <c r="A6811" s="1">
        <v>46210.210995370369</v>
      </c>
      <c r="B6811" t="s">
        <v>40</v>
      </c>
      <c r="C6811" t="s">
        <v>41</v>
      </c>
      <c r="D6811" s="1">
        <v>46210.213738425926</v>
      </c>
      <c r="E6811" t="s">
        <v>42</v>
      </c>
      <c r="F6811" t="s">
        <v>43</v>
      </c>
      <c r="G6811" t="s">
        <v>43</v>
      </c>
      <c r="H6811" t="s">
        <v>43</v>
      </c>
      <c r="I6811" t="s">
        <v>3972</v>
      </c>
      <c r="J6811" t="s">
        <v>43</v>
      </c>
      <c r="K6811" t="s">
        <v>43</v>
      </c>
      <c r="L6811" t="s">
        <v>43</v>
      </c>
      <c r="M6811" t="s">
        <v>43</v>
      </c>
      <c r="N6811" t="s">
        <v>45</v>
      </c>
      <c r="O6811" t="s">
        <v>43</v>
      </c>
      <c r="P6811" t="s">
        <v>43</v>
      </c>
      <c r="Q6811" t="s">
        <v>43</v>
      </c>
      <c r="R6811" t="s">
        <v>43</v>
      </c>
      <c r="S6811" t="s">
        <v>43</v>
      </c>
      <c r="T6811" t="s">
        <v>43</v>
      </c>
      <c r="U6811" t="s">
        <v>43</v>
      </c>
      <c r="V6811" t="s">
        <v>43</v>
      </c>
      <c r="W6811" t="s">
        <v>43</v>
      </c>
      <c r="X6811" t="s">
        <v>43</v>
      </c>
      <c r="Y6811" t="s">
        <v>43</v>
      </c>
      <c r="Z6811" t="s">
        <v>43</v>
      </c>
      <c r="AA6811" t="s">
        <v>43</v>
      </c>
      <c r="AB6811" t="s">
        <v>43</v>
      </c>
      <c r="AC6811" t="s">
        <v>43</v>
      </c>
      <c r="AD6811" t="s">
        <v>43</v>
      </c>
      <c r="AE6811" t="s">
        <v>43</v>
      </c>
      <c r="AF6811" t="s">
        <v>43</v>
      </c>
      <c r="AG6811" t="s">
        <v>43</v>
      </c>
      <c r="AH6811" t="s">
        <v>43</v>
      </c>
      <c r="AI6811" t="s">
        <v>43</v>
      </c>
      <c r="AJ6811" t="s">
        <v>43</v>
      </c>
      <c r="AK6811" t="s">
        <v>43</v>
      </c>
      <c r="AL6811" t="s">
        <v>43</v>
      </c>
      <c r="AM6811" t="s">
        <v>43</v>
      </c>
      <c r="AN6811" t="str">
        <f>HYPERLINK("https://www.google.com/maps?q=10.78965092,79.57876587","Open Location")</f>
        <v>Open Location</v>
      </c>
    </row>
    <row r="6812" spans="1:40" x14ac:dyDescent="0.3">
      <c r="A6812" s="1">
        <v>46210.210879629631</v>
      </c>
      <c r="B6812" t="s">
        <v>40</v>
      </c>
      <c r="C6812" t="s">
        <v>41</v>
      </c>
      <c r="D6812" s="1">
        <v>46210.213738425926</v>
      </c>
      <c r="E6812" t="s">
        <v>42</v>
      </c>
      <c r="F6812" t="s">
        <v>43</v>
      </c>
      <c r="G6812" t="s">
        <v>43</v>
      </c>
      <c r="H6812" t="s">
        <v>43</v>
      </c>
      <c r="I6812" t="s">
        <v>3965</v>
      </c>
      <c r="J6812" t="s">
        <v>43</v>
      </c>
      <c r="K6812" t="s">
        <v>43</v>
      </c>
      <c r="L6812" t="s">
        <v>43</v>
      </c>
      <c r="M6812" t="s">
        <v>43</v>
      </c>
      <c r="N6812" t="s">
        <v>45</v>
      </c>
      <c r="O6812" t="s">
        <v>43</v>
      </c>
      <c r="P6812" t="s">
        <v>43</v>
      </c>
      <c r="Q6812" t="s">
        <v>43</v>
      </c>
      <c r="R6812" t="s">
        <v>43</v>
      </c>
      <c r="S6812" t="s">
        <v>43</v>
      </c>
      <c r="T6812" t="s">
        <v>43</v>
      </c>
      <c r="U6812" t="s">
        <v>43</v>
      </c>
      <c r="V6812" t="s">
        <v>43</v>
      </c>
      <c r="W6812" t="s">
        <v>43</v>
      </c>
      <c r="X6812" t="s">
        <v>43</v>
      </c>
      <c r="Y6812" t="s">
        <v>43</v>
      </c>
      <c r="Z6812" t="s">
        <v>43</v>
      </c>
      <c r="AA6812" t="s">
        <v>43</v>
      </c>
      <c r="AB6812" t="s">
        <v>43</v>
      </c>
      <c r="AC6812" t="s">
        <v>43</v>
      </c>
      <c r="AD6812" t="s">
        <v>43</v>
      </c>
      <c r="AE6812" t="s">
        <v>43</v>
      </c>
      <c r="AF6812" t="s">
        <v>43</v>
      </c>
      <c r="AG6812" t="s">
        <v>43</v>
      </c>
      <c r="AH6812" t="s">
        <v>43</v>
      </c>
      <c r="AI6812" t="s">
        <v>43</v>
      </c>
      <c r="AJ6812" t="s">
        <v>43</v>
      </c>
      <c r="AK6812" t="s">
        <v>43</v>
      </c>
      <c r="AL6812" t="s">
        <v>43</v>
      </c>
      <c r="AM6812" t="s">
        <v>43</v>
      </c>
      <c r="AN6812" t="str">
        <f>HYPERLINK("https://www.google.com/maps?q=10.78964615,79.57876587","Open Location")</f>
        <v>Open Location</v>
      </c>
    </row>
    <row r="6813" spans="1:40" x14ac:dyDescent="0.3">
      <c r="A6813" s="1">
        <v>46210.210763888892</v>
      </c>
      <c r="B6813" t="s">
        <v>40</v>
      </c>
      <c r="C6813" t="s">
        <v>41</v>
      </c>
      <c r="D6813" s="1">
        <v>46210.21334490741</v>
      </c>
      <c r="E6813" t="s">
        <v>42</v>
      </c>
      <c r="F6813" t="s">
        <v>43</v>
      </c>
      <c r="G6813" t="s">
        <v>43</v>
      </c>
      <c r="H6813" t="s">
        <v>43</v>
      </c>
      <c r="I6813" t="s">
        <v>3973</v>
      </c>
      <c r="J6813" t="s">
        <v>43</v>
      </c>
      <c r="K6813" t="s">
        <v>43</v>
      </c>
      <c r="L6813" t="s">
        <v>43</v>
      </c>
      <c r="M6813" t="s">
        <v>43</v>
      </c>
      <c r="N6813" t="s">
        <v>45</v>
      </c>
      <c r="O6813" t="s">
        <v>43</v>
      </c>
      <c r="P6813" t="s">
        <v>43</v>
      </c>
      <c r="Q6813" t="s">
        <v>43</v>
      </c>
      <c r="R6813" t="s">
        <v>43</v>
      </c>
      <c r="S6813" t="s">
        <v>43</v>
      </c>
      <c r="T6813" t="s">
        <v>43</v>
      </c>
      <c r="U6813" t="s">
        <v>43</v>
      </c>
      <c r="V6813" t="s">
        <v>43</v>
      </c>
      <c r="W6813" t="s">
        <v>43</v>
      </c>
      <c r="X6813" t="s">
        <v>43</v>
      </c>
      <c r="Y6813" t="s">
        <v>43</v>
      </c>
      <c r="Z6813" t="s">
        <v>43</v>
      </c>
      <c r="AA6813" t="s">
        <v>43</v>
      </c>
      <c r="AB6813" t="s">
        <v>43</v>
      </c>
      <c r="AC6813" t="s">
        <v>43</v>
      </c>
      <c r="AD6813" t="s">
        <v>43</v>
      </c>
      <c r="AE6813" t="s">
        <v>43</v>
      </c>
      <c r="AF6813" t="s">
        <v>43</v>
      </c>
      <c r="AG6813" t="s">
        <v>43</v>
      </c>
      <c r="AH6813" t="s">
        <v>43</v>
      </c>
      <c r="AI6813" t="s">
        <v>43</v>
      </c>
      <c r="AJ6813" t="s">
        <v>43</v>
      </c>
      <c r="AK6813" t="s">
        <v>43</v>
      </c>
      <c r="AL6813" t="s">
        <v>43</v>
      </c>
      <c r="AM6813" t="s">
        <v>43</v>
      </c>
      <c r="AN6813" t="str">
        <f>HYPERLINK("https://www.google.com/maps?q=10.78964424,79.57875824","Open Location")</f>
        <v>Open Location</v>
      </c>
    </row>
    <row r="6814" spans="1:40" x14ac:dyDescent="0.3">
      <c r="A6814" s="1">
        <v>46210.210648148146</v>
      </c>
      <c r="B6814" t="s">
        <v>40</v>
      </c>
      <c r="C6814" t="s">
        <v>41</v>
      </c>
      <c r="D6814" s="1">
        <v>46210.213402777779</v>
      </c>
      <c r="E6814" t="s">
        <v>42</v>
      </c>
      <c r="F6814" t="s">
        <v>43</v>
      </c>
      <c r="G6814" t="s">
        <v>43</v>
      </c>
      <c r="H6814" t="s">
        <v>43</v>
      </c>
      <c r="I6814" t="s">
        <v>3974</v>
      </c>
      <c r="J6814" t="s">
        <v>43</v>
      </c>
      <c r="K6814" t="s">
        <v>43</v>
      </c>
      <c r="L6814" t="s">
        <v>43</v>
      </c>
      <c r="M6814" t="s">
        <v>43</v>
      </c>
      <c r="N6814" t="s">
        <v>45</v>
      </c>
      <c r="O6814" t="s">
        <v>43</v>
      </c>
      <c r="P6814" t="s">
        <v>43</v>
      </c>
      <c r="Q6814" t="s">
        <v>43</v>
      </c>
      <c r="R6814" t="s">
        <v>43</v>
      </c>
      <c r="S6814" t="s">
        <v>43</v>
      </c>
      <c r="T6814" t="s">
        <v>43</v>
      </c>
      <c r="U6814" t="s">
        <v>43</v>
      </c>
      <c r="V6814" t="s">
        <v>43</v>
      </c>
      <c r="W6814" t="s">
        <v>43</v>
      </c>
      <c r="X6814" t="s">
        <v>43</v>
      </c>
      <c r="Y6814" t="s">
        <v>43</v>
      </c>
      <c r="Z6814" t="s">
        <v>43</v>
      </c>
      <c r="AA6814" t="s">
        <v>43</v>
      </c>
      <c r="AB6814" t="s">
        <v>43</v>
      </c>
      <c r="AC6814" t="s">
        <v>43</v>
      </c>
      <c r="AD6814" t="s">
        <v>43</v>
      </c>
      <c r="AE6814" t="s">
        <v>43</v>
      </c>
      <c r="AF6814" t="s">
        <v>43</v>
      </c>
      <c r="AG6814" t="s">
        <v>43</v>
      </c>
      <c r="AH6814" t="s">
        <v>43</v>
      </c>
      <c r="AI6814" t="s">
        <v>43</v>
      </c>
      <c r="AJ6814" t="s">
        <v>43</v>
      </c>
      <c r="AK6814" t="s">
        <v>43</v>
      </c>
      <c r="AL6814" t="s">
        <v>43</v>
      </c>
      <c r="AM6814" t="s">
        <v>43</v>
      </c>
      <c r="AN6814" t="str">
        <f>HYPERLINK("https://www.google.com/maps?q=10.7896452,79.57875824","Open Location")</f>
        <v>Open Location</v>
      </c>
    </row>
    <row r="6815" spans="1:40" x14ac:dyDescent="0.3">
      <c r="A6815" s="1">
        <v>46210.210532407407</v>
      </c>
      <c r="B6815" t="s">
        <v>40</v>
      </c>
      <c r="C6815" t="s">
        <v>41</v>
      </c>
      <c r="D6815" s="1">
        <v>46210.213368055556</v>
      </c>
      <c r="E6815" t="s">
        <v>42</v>
      </c>
      <c r="F6815" t="s">
        <v>43</v>
      </c>
      <c r="G6815" t="s">
        <v>43</v>
      </c>
      <c r="H6815" t="s">
        <v>43</v>
      </c>
      <c r="I6815" t="s">
        <v>43</v>
      </c>
      <c r="J6815" t="s">
        <v>43</v>
      </c>
      <c r="K6815" t="s">
        <v>43</v>
      </c>
      <c r="L6815" t="s">
        <v>43</v>
      </c>
      <c r="M6815" t="s">
        <v>43</v>
      </c>
      <c r="N6815" t="s">
        <v>45</v>
      </c>
      <c r="O6815" t="s">
        <v>43</v>
      </c>
      <c r="P6815" t="s">
        <v>43</v>
      </c>
      <c r="Q6815" t="s">
        <v>43</v>
      </c>
      <c r="R6815" t="s">
        <v>43</v>
      </c>
      <c r="S6815" t="s">
        <v>43</v>
      </c>
      <c r="T6815" t="s">
        <v>43</v>
      </c>
      <c r="U6815" t="s">
        <v>43</v>
      </c>
      <c r="V6815" t="s">
        <v>43</v>
      </c>
      <c r="W6815" t="s">
        <v>43</v>
      </c>
      <c r="X6815" t="s">
        <v>43</v>
      </c>
      <c r="Y6815" t="s">
        <v>43</v>
      </c>
      <c r="Z6815" t="s">
        <v>43</v>
      </c>
      <c r="AA6815" t="s">
        <v>43</v>
      </c>
      <c r="AB6815" t="s">
        <v>43</v>
      </c>
      <c r="AC6815" t="s">
        <v>43</v>
      </c>
      <c r="AD6815" t="s">
        <v>43</v>
      </c>
      <c r="AE6815" t="s">
        <v>43</v>
      </c>
      <c r="AF6815" t="s">
        <v>43</v>
      </c>
      <c r="AG6815" t="s">
        <v>43</v>
      </c>
      <c r="AH6815" t="s">
        <v>43</v>
      </c>
      <c r="AI6815" t="s">
        <v>43</v>
      </c>
      <c r="AJ6815" t="s">
        <v>43</v>
      </c>
      <c r="AK6815" t="s">
        <v>43</v>
      </c>
      <c r="AL6815" t="s">
        <v>43</v>
      </c>
      <c r="AM6815" t="s">
        <v>43</v>
      </c>
      <c r="AN6815" t="s">
        <v>43</v>
      </c>
    </row>
    <row r="6816" spans="1:40" x14ac:dyDescent="0.3">
      <c r="A6816" s="1">
        <v>46210.210416666669</v>
      </c>
      <c r="B6816" t="s">
        <v>40</v>
      </c>
      <c r="C6816" t="s">
        <v>41</v>
      </c>
      <c r="D6816" s="1">
        <v>46210.213368055556</v>
      </c>
      <c r="E6816" t="s">
        <v>42</v>
      </c>
      <c r="F6816" t="s">
        <v>43</v>
      </c>
      <c r="G6816" t="s">
        <v>43</v>
      </c>
      <c r="H6816" t="s">
        <v>43</v>
      </c>
      <c r="I6816" t="s">
        <v>3956</v>
      </c>
      <c r="J6816" t="s">
        <v>43</v>
      </c>
      <c r="K6816" t="s">
        <v>43</v>
      </c>
      <c r="L6816" t="s">
        <v>43</v>
      </c>
      <c r="M6816" t="s">
        <v>43</v>
      </c>
      <c r="N6816" t="s">
        <v>45</v>
      </c>
      <c r="O6816" t="s">
        <v>43</v>
      </c>
      <c r="P6816" t="s">
        <v>43</v>
      </c>
      <c r="Q6816" t="s">
        <v>43</v>
      </c>
      <c r="R6816" t="s">
        <v>43</v>
      </c>
      <c r="S6816" t="s">
        <v>43</v>
      </c>
      <c r="T6816" t="s">
        <v>43</v>
      </c>
      <c r="U6816" t="s">
        <v>43</v>
      </c>
      <c r="V6816" t="s">
        <v>43</v>
      </c>
      <c r="W6816" t="s">
        <v>43</v>
      </c>
      <c r="X6816" t="s">
        <v>43</v>
      </c>
      <c r="Y6816" t="s">
        <v>43</v>
      </c>
      <c r="Z6816" t="s">
        <v>43</v>
      </c>
      <c r="AA6816" t="s">
        <v>43</v>
      </c>
      <c r="AB6816" t="s">
        <v>43</v>
      </c>
      <c r="AC6816" t="s">
        <v>43</v>
      </c>
      <c r="AD6816" t="s">
        <v>43</v>
      </c>
      <c r="AE6816" t="s">
        <v>43</v>
      </c>
      <c r="AF6816" t="s">
        <v>43</v>
      </c>
      <c r="AG6816" t="s">
        <v>43</v>
      </c>
      <c r="AH6816" t="s">
        <v>43</v>
      </c>
      <c r="AI6816" t="s">
        <v>43</v>
      </c>
      <c r="AJ6816" t="s">
        <v>43</v>
      </c>
      <c r="AK6816" t="s">
        <v>43</v>
      </c>
      <c r="AL6816" t="s">
        <v>43</v>
      </c>
      <c r="AM6816" t="s">
        <v>43</v>
      </c>
      <c r="AN6816" t="str">
        <f>HYPERLINK("https://www.google.com/maps?q=10.78964806,79.57875824","Open Location")</f>
        <v>Open Location</v>
      </c>
    </row>
    <row r="6817" spans="1:40" x14ac:dyDescent="0.3">
      <c r="A6817" s="1">
        <v>46210.210300925923</v>
      </c>
      <c r="B6817" t="s">
        <v>40</v>
      </c>
      <c r="C6817" t="s">
        <v>41</v>
      </c>
      <c r="D6817" s="1">
        <v>46210.213402777779</v>
      </c>
      <c r="E6817" t="s">
        <v>42</v>
      </c>
      <c r="F6817" t="s">
        <v>43</v>
      </c>
      <c r="G6817" t="s">
        <v>43</v>
      </c>
      <c r="H6817" t="s">
        <v>43</v>
      </c>
      <c r="I6817" t="s">
        <v>3972</v>
      </c>
      <c r="J6817" t="s">
        <v>43</v>
      </c>
      <c r="K6817" t="s">
        <v>43</v>
      </c>
      <c r="L6817" t="s">
        <v>43</v>
      </c>
      <c r="M6817" t="s">
        <v>43</v>
      </c>
      <c r="N6817" t="s">
        <v>45</v>
      </c>
      <c r="O6817" t="s">
        <v>43</v>
      </c>
      <c r="P6817" t="s">
        <v>43</v>
      </c>
      <c r="Q6817" t="s">
        <v>43</v>
      </c>
      <c r="R6817" t="s">
        <v>43</v>
      </c>
      <c r="S6817" t="s">
        <v>43</v>
      </c>
      <c r="T6817" t="s">
        <v>43</v>
      </c>
      <c r="U6817" t="s">
        <v>43</v>
      </c>
      <c r="V6817" t="s">
        <v>43</v>
      </c>
      <c r="W6817" t="s">
        <v>43</v>
      </c>
      <c r="X6817" t="s">
        <v>43</v>
      </c>
      <c r="Y6817" t="s">
        <v>43</v>
      </c>
      <c r="Z6817" t="s">
        <v>43</v>
      </c>
      <c r="AA6817" t="s">
        <v>43</v>
      </c>
      <c r="AB6817" t="s">
        <v>43</v>
      </c>
      <c r="AC6817" t="s">
        <v>43</v>
      </c>
      <c r="AD6817" t="s">
        <v>43</v>
      </c>
      <c r="AE6817" t="s">
        <v>43</v>
      </c>
      <c r="AF6817" t="s">
        <v>43</v>
      </c>
      <c r="AG6817" t="s">
        <v>43</v>
      </c>
      <c r="AH6817" t="s">
        <v>43</v>
      </c>
      <c r="AI6817" t="s">
        <v>43</v>
      </c>
      <c r="AJ6817" t="s">
        <v>43</v>
      </c>
      <c r="AK6817" t="s">
        <v>43</v>
      </c>
      <c r="AL6817" t="s">
        <v>43</v>
      </c>
      <c r="AM6817" t="s">
        <v>43</v>
      </c>
      <c r="AN6817" t="str">
        <f>HYPERLINK("https://www.google.com/maps?q=10.78965092,79.57876587","Open Location")</f>
        <v>Open Location</v>
      </c>
    </row>
    <row r="6818" spans="1:40" x14ac:dyDescent="0.3">
      <c r="A6818" s="1">
        <v>46210.210185185184</v>
      </c>
      <c r="B6818" t="s">
        <v>40</v>
      </c>
      <c r="C6818" t="s">
        <v>41</v>
      </c>
      <c r="D6818" s="1">
        <v>46210.213368055556</v>
      </c>
      <c r="E6818" t="s">
        <v>42</v>
      </c>
      <c r="F6818" t="s">
        <v>43</v>
      </c>
      <c r="G6818" t="s">
        <v>43</v>
      </c>
      <c r="H6818" t="s">
        <v>43</v>
      </c>
      <c r="I6818" t="s">
        <v>3975</v>
      </c>
      <c r="J6818" t="s">
        <v>43</v>
      </c>
      <c r="K6818" t="s">
        <v>43</v>
      </c>
      <c r="L6818" t="s">
        <v>43</v>
      </c>
      <c r="M6818" t="s">
        <v>43</v>
      </c>
      <c r="N6818" t="s">
        <v>45</v>
      </c>
      <c r="O6818" t="s">
        <v>43</v>
      </c>
      <c r="P6818" t="s">
        <v>43</v>
      </c>
      <c r="Q6818" t="s">
        <v>43</v>
      </c>
      <c r="R6818" t="s">
        <v>43</v>
      </c>
      <c r="S6818" t="s">
        <v>43</v>
      </c>
      <c r="T6818" t="s">
        <v>43</v>
      </c>
      <c r="U6818" t="s">
        <v>43</v>
      </c>
      <c r="V6818" t="s">
        <v>43</v>
      </c>
      <c r="W6818" t="s">
        <v>43</v>
      </c>
      <c r="X6818" t="s">
        <v>43</v>
      </c>
      <c r="Y6818" t="s">
        <v>43</v>
      </c>
      <c r="Z6818" t="s">
        <v>43</v>
      </c>
      <c r="AA6818" t="s">
        <v>43</v>
      </c>
      <c r="AB6818" t="s">
        <v>43</v>
      </c>
      <c r="AC6818" t="s">
        <v>43</v>
      </c>
      <c r="AD6818" t="s">
        <v>43</v>
      </c>
      <c r="AE6818" t="s">
        <v>43</v>
      </c>
      <c r="AF6818" t="s">
        <v>43</v>
      </c>
      <c r="AG6818" t="s">
        <v>43</v>
      </c>
      <c r="AH6818" t="s">
        <v>43</v>
      </c>
      <c r="AI6818" t="s">
        <v>43</v>
      </c>
      <c r="AJ6818" t="s">
        <v>43</v>
      </c>
      <c r="AK6818" t="s">
        <v>43</v>
      </c>
      <c r="AL6818" t="s">
        <v>43</v>
      </c>
      <c r="AM6818" t="s">
        <v>43</v>
      </c>
      <c r="AN6818" t="str">
        <f>HYPERLINK("https://www.google.com/maps?q=10.78964901,79.57876587","Open Location")</f>
        <v>Open Location</v>
      </c>
    </row>
    <row r="6819" spans="1:40" x14ac:dyDescent="0.3">
      <c r="A6819" s="1">
        <v>46210.210069444445</v>
      </c>
      <c r="B6819" t="s">
        <v>40</v>
      </c>
      <c r="C6819" t="s">
        <v>41</v>
      </c>
      <c r="D6819" s="1">
        <v>46210.212905092594</v>
      </c>
      <c r="E6819" t="s">
        <v>42</v>
      </c>
      <c r="F6819" t="s">
        <v>43</v>
      </c>
      <c r="G6819" t="s">
        <v>43</v>
      </c>
      <c r="H6819" t="s">
        <v>43</v>
      </c>
      <c r="I6819" t="s">
        <v>3976</v>
      </c>
      <c r="J6819" t="s">
        <v>43</v>
      </c>
      <c r="K6819" t="s">
        <v>43</v>
      </c>
      <c r="L6819" t="s">
        <v>43</v>
      </c>
      <c r="M6819" t="s">
        <v>43</v>
      </c>
      <c r="N6819" t="s">
        <v>45</v>
      </c>
      <c r="O6819" t="s">
        <v>43</v>
      </c>
      <c r="P6819" t="s">
        <v>43</v>
      </c>
      <c r="Q6819" t="s">
        <v>43</v>
      </c>
      <c r="R6819" t="s">
        <v>43</v>
      </c>
      <c r="S6819" t="s">
        <v>43</v>
      </c>
      <c r="T6819" t="s">
        <v>43</v>
      </c>
      <c r="U6819" t="s">
        <v>43</v>
      </c>
      <c r="V6819" t="s">
        <v>43</v>
      </c>
      <c r="W6819" t="s">
        <v>43</v>
      </c>
      <c r="X6819" t="s">
        <v>43</v>
      </c>
      <c r="Y6819" t="s">
        <v>43</v>
      </c>
      <c r="Z6819" t="s">
        <v>43</v>
      </c>
      <c r="AA6819" t="s">
        <v>43</v>
      </c>
      <c r="AB6819" t="s">
        <v>43</v>
      </c>
      <c r="AC6819" t="s">
        <v>43</v>
      </c>
      <c r="AD6819" t="s">
        <v>43</v>
      </c>
      <c r="AE6819" t="s">
        <v>43</v>
      </c>
      <c r="AF6819" t="s">
        <v>43</v>
      </c>
      <c r="AG6819" t="s">
        <v>43</v>
      </c>
      <c r="AH6819" t="s">
        <v>43</v>
      </c>
      <c r="AI6819" t="s">
        <v>43</v>
      </c>
      <c r="AJ6819" t="s">
        <v>43</v>
      </c>
      <c r="AK6819" t="s">
        <v>43</v>
      </c>
      <c r="AL6819" t="s">
        <v>43</v>
      </c>
      <c r="AM6819" t="s">
        <v>43</v>
      </c>
      <c r="AN6819" t="str">
        <f>HYPERLINK("https://www.google.com/maps?q=10.78964615,79.5787735","Open Location")</f>
        <v>Open Location</v>
      </c>
    </row>
    <row r="6820" spans="1:40" x14ac:dyDescent="0.3">
      <c r="A6820" s="1">
        <v>46210.209953703707</v>
      </c>
      <c r="B6820" t="s">
        <v>40</v>
      </c>
      <c r="C6820" t="s">
        <v>41</v>
      </c>
      <c r="D6820" s="1">
        <v>46210.213043981479</v>
      </c>
      <c r="E6820" t="s">
        <v>42</v>
      </c>
      <c r="F6820" t="s">
        <v>43</v>
      </c>
      <c r="G6820" t="s">
        <v>43</v>
      </c>
      <c r="H6820" t="s">
        <v>43</v>
      </c>
      <c r="I6820" t="s">
        <v>3977</v>
      </c>
      <c r="J6820" t="s">
        <v>43</v>
      </c>
      <c r="K6820" t="s">
        <v>43</v>
      </c>
      <c r="L6820" t="s">
        <v>43</v>
      </c>
      <c r="M6820" t="s">
        <v>43</v>
      </c>
      <c r="N6820" t="s">
        <v>45</v>
      </c>
      <c r="O6820" t="s">
        <v>43</v>
      </c>
      <c r="P6820" t="s">
        <v>43</v>
      </c>
      <c r="Q6820" t="s">
        <v>43</v>
      </c>
      <c r="R6820" t="s">
        <v>43</v>
      </c>
      <c r="S6820" t="s">
        <v>43</v>
      </c>
      <c r="T6820" t="s">
        <v>43</v>
      </c>
      <c r="U6820" t="s">
        <v>43</v>
      </c>
      <c r="V6820" t="s">
        <v>43</v>
      </c>
      <c r="W6820" t="s">
        <v>43</v>
      </c>
      <c r="X6820" t="s">
        <v>43</v>
      </c>
      <c r="Y6820" t="s">
        <v>43</v>
      </c>
      <c r="Z6820" t="s">
        <v>43</v>
      </c>
      <c r="AA6820" t="s">
        <v>43</v>
      </c>
      <c r="AB6820" t="s">
        <v>43</v>
      </c>
      <c r="AC6820" t="s">
        <v>43</v>
      </c>
      <c r="AD6820" t="s">
        <v>43</v>
      </c>
      <c r="AE6820" t="s">
        <v>43</v>
      </c>
      <c r="AF6820" t="s">
        <v>43</v>
      </c>
      <c r="AG6820" t="s">
        <v>43</v>
      </c>
      <c r="AH6820" t="s">
        <v>43</v>
      </c>
      <c r="AI6820" t="s">
        <v>43</v>
      </c>
      <c r="AJ6820" t="s">
        <v>43</v>
      </c>
      <c r="AK6820" t="s">
        <v>43</v>
      </c>
      <c r="AL6820" t="s">
        <v>43</v>
      </c>
      <c r="AM6820" t="s">
        <v>43</v>
      </c>
      <c r="AN6820" t="str">
        <f>HYPERLINK("https://www.google.com/maps?q=10.78965187,79.5787735","Open Location")</f>
        <v>Open Location</v>
      </c>
    </row>
    <row r="6821" spans="1:40" x14ac:dyDescent="0.3">
      <c r="A6821" s="1">
        <v>46210.209837962961</v>
      </c>
      <c r="B6821" t="s">
        <v>40</v>
      </c>
      <c r="C6821" t="s">
        <v>41</v>
      </c>
      <c r="D6821" s="1">
        <v>46210.212997685187</v>
      </c>
      <c r="E6821" t="s">
        <v>42</v>
      </c>
      <c r="F6821" t="s">
        <v>43</v>
      </c>
      <c r="G6821" t="s">
        <v>43</v>
      </c>
      <c r="H6821" t="s">
        <v>43</v>
      </c>
      <c r="I6821" t="s">
        <v>43</v>
      </c>
      <c r="J6821" t="s">
        <v>43</v>
      </c>
      <c r="K6821" t="s">
        <v>43</v>
      </c>
      <c r="L6821" t="s">
        <v>43</v>
      </c>
      <c r="M6821" t="s">
        <v>43</v>
      </c>
      <c r="N6821" t="s">
        <v>45</v>
      </c>
      <c r="O6821" t="s">
        <v>43</v>
      </c>
      <c r="P6821" t="s">
        <v>43</v>
      </c>
      <c r="Q6821" t="s">
        <v>43</v>
      </c>
      <c r="R6821" t="s">
        <v>43</v>
      </c>
      <c r="S6821" t="s">
        <v>43</v>
      </c>
      <c r="T6821" t="s">
        <v>43</v>
      </c>
      <c r="U6821" t="s">
        <v>43</v>
      </c>
      <c r="V6821" t="s">
        <v>43</v>
      </c>
      <c r="W6821" t="s">
        <v>43</v>
      </c>
      <c r="X6821" t="s">
        <v>43</v>
      </c>
      <c r="Y6821" t="s">
        <v>43</v>
      </c>
      <c r="Z6821" t="s">
        <v>43</v>
      </c>
      <c r="AA6821" t="s">
        <v>43</v>
      </c>
      <c r="AB6821" t="s">
        <v>43</v>
      </c>
      <c r="AC6821" t="s">
        <v>43</v>
      </c>
      <c r="AD6821" t="s">
        <v>43</v>
      </c>
      <c r="AE6821" t="s">
        <v>43</v>
      </c>
      <c r="AF6821" t="s">
        <v>43</v>
      </c>
      <c r="AG6821" t="s">
        <v>43</v>
      </c>
      <c r="AH6821" t="s">
        <v>43</v>
      </c>
      <c r="AI6821" t="s">
        <v>43</v>
      </c>
      <c r="AJ6821" t="s">
        <v>43</v>
      </c>
      <c r="AK6821" t="s">
        <v>43</v>
      </c>
      <c r="AL6821" t="s">
        <v>43</v>
      </c>
      <c r="AM6821" t="s">
        <v>43</v>
      </c>
      <c r="AN6821" t="s">
        <v>43</v>
      </c>
    </row>
    <row r="6822" spans="1:40" x14ac:dyDescent="0.3">
      <c r="A6822" s="1">
        <v>46210.209722222222</v>
      </c>
      <c r="B6822" t="s">
        <v>40</v>
      </c>
      <c r="C6822" t="s">
        <v>41</v>
      </c>
      <c r="D6822" s="1">
        <v>46210.212997685187</v>
      </c>
      <c r="E6822" t="s">
        <v>42</v>
      </c>
      <c r="F6822" t="s">
        <v>43</v>
      </c>
      <c r="G6822" t="s">
        <v>43</v>
      </c>
      <c r="H6822" t="s">
        <v>43</v>
      </c>
      <c r="I6822" t="s">
        <v>3978</v>
      </c>
      <c r="J6822" t="s">
        <v>43</v>
      </c>
      <c r="K6822" t="s">
        <v>43</v>
      </c>
      <c r="L6822" t="s">
        <v>43</v>
      </c>
      <c r="M6822" t="s">
        <v>43</v>
      </c>
      <c r="N6822" t="s">
        <v>45</v>
      </c>
      <c r="O6822" t="s">
        <v>43</v>
      </c>
      <c r="P6822" t="s">
        <v>43</v>
      </c>
      <c r="Q6822" t="s">
        <v>43</v>
      </c>
      <c r="R6822" t="s">
        <v>43</v>
      </c>
      <c r="S6822" t="s">
        <v>43</v>
      </c>
      <c r="T6822" t="s">
        <v>43</v>
      </c>
      <c r="U6822" t="s">
        <v>43</v>
      </c>
      <c r="V6822" t="s">
        <v>43</v>
      </c>
      <c r="W6822" t="s">
        <v>43</v>
      </c>
      <c r="X6822" t="s">
        <v>43</v>
      </c>
      <c r="Y6822" t="s">
        <v>43</v>
      </c>
      <c r="Z6822" t="s">
        <v>43</v>
      </c>
      <c r="AA6822" t="s">
        <v>43</v>
      </c>
      <c r="AB6822" t="s">
        <v>43</v>
      </c>
      <c r="AC6822" t="s">
        <v>43</v>
      </c>
      <c r="AD6822" t="s">
        <v>43</v>
      </c>
      <c r="AE6822" t="s">
        <v>43</v>
      </c>
      <c r="AF6822" t="s">
        <v>43</v>
      </c>
      <c r="AG6822" t="s">
        <v>43</v>
      </c>
      <c r="AH6822" t="s">
        <v>43</v>
      </c>
      <c r="AI6822" t="s">
        <v>43</v>
      </c>
      <c r="AJ6822" t="s">
        <v>43</v>
      </c>
      <c r="AK6822" t="s">
        <v>43</v>
      </c>
      <c r="AL6822" t="s">
        <v>43</v>
      </c>
      <c r="AM6822" t="s">
        <v>43</v>
      </c>
      <c r="AN6822" t="str">
        <f>HYPERLINK("https://www.google.com/maps?q=10.78965282,79.57878113","Open Location")</f>
        <v>Open Location</v>
      </c>
    </row>
    <row r="6823" spans="1:40" x14ac:dyDescent="0.3">
      <c r="A6823" s="1">
        <v>46210.209606481483</v>
      </c>
      <c r="B6823" t="s">
        <v>40</v>
      </c>
      <c r="C6823" t="s">
        <v>41</v>
      </c>
      <c r="D6823" s="1">
        <v>46210.212685185186</v>
      </c>
      <c r="E6823" t="s">
        <v>42</v>
      </c>
      <c r="F6823" t="s">
        <v>43</v>
      </c>
      <c r="G6823" t="s">
        <v>43</v>
      </c>
      <c r="H6823" t="s">
        <v>43</v>
      </c>
      <c r="I6823" t="s">
        <v>3979</v>
      </c>
      <c r="J6823" t="s">
        <v>43</v>
      </c>
      <c r="K6823" t="s">
        <v>43</v>
      </c>
      <c r="L6823" t="s">
        <v>43</v>
      </c>
      <c r="M6823" t="s">
        <v>43</v>
      </c>
      <c r="N6823" t="s">
        <v>45</v>
      </c>
      <c r="O6823" t="s">
        <v>43</v>
      </c>
      <c r="P6823" t="s">
        <v>43</v>
      </c>
      <c r="Q6823" t="s">
        <v>43</v>
      </c>
      <c r="R6823" t="s">
        <v>43</v>
      </c>
      <c r="S6823" t="s">
        <v>43</v>
      </c>
      <c r="T6823" t="s">
        <v>43</v>
      </c>
      <c r="U6823" t="s">
        <v>43</v>
      </c>
      <c r="V6823" t="s">
        <v>43</v>
      </c>
      <c r="W6823" t="s">
        <v>43</v>
      </c>
      <c r="X6823" t="s">
        <v>43</v>
      </c>
      <c r="Y6823" t="s">
        <v>43</v>
      </c>
      <c r="Z6823" t="s">
        <v>43</v>
      </c>
      <c r="AA6823" t="s">
        <v>43</v>
      </c>
      <c r="AB6823" t="s">
        <v>43</v>
      </c>
      <c r="AC6823" t="s">
        <v>43</v>
      </c>
      <c r="AD6823" t="s">
        <v>43</v>
      </c>
      <c r="AE6823" t="s">
        <v>43</v>
      </c>
      <c r="AF6823" t="s">
        <v>43</v>
      </c>
      <c r="AG6823" t="s">
        <v>43</v>
      </c>
      <c r="AH6823" t="s">
        <v>43</v>
      </c>
      <c r="AI6823" t="s">
        <v>43</v>
      </c>
      <c r="AJ6823" t="s">
        <v>43</v>
      </c>
      <c r="AK6823" t="s">
        <v>43</v>
      </c>
      <c r="AL6823" t="s">
        <v>43</v>
      </c>
      <c r="AM6823" t="s">
        <v>43</v>
      </c>
      <c r="AN6823" t="str">
        <f>HYPERLINK("https://www.google.com/maps?q=10.78965378,79.5787735","Open Location")</f>
        <v>Open Location</v>
      </c>
    </row>
    <row r="6824" spans="1:40" x14ac:dyDescent="0.3">
      <c r="A6824" s="1">
        <v>46210.209490740737</v>
      </c>
      <c r="B6824" t="s">
        <v>40</v>
      </c>
      <c r="C6824" t="s">
        <v>41</v>
      </c>
      <c r="D6824" s="1">
        <v>46210.212453703702</v>
      </c>
      <c r="E6824" t="s">
        <v>42</v>
      </c>
      <c r="F6824" t="s">
        <v>43</v>
      </c>
      <c r="G6824" t="s">
        <v>43</v>
      </c>
      <c r="H6824" t="s">
        <v>43</v>
      </c>
      <c r="I6824" t="s">
        <v>3979</v>
      </c>
      <c r="J6824" t="s">
        <v>43</v>
      </c>
      <c r="K6824" t="s">
        <v>43</v>
      </c>
      <c r="L6824" t="s">
        <v>43</v>
      </c>
      <c r="M6824" t="s">
        <v>43</v>
      </c>
      <c r="N6824" t="s">
        <v>45</v>
      </c>
      <c r="O6824" t="s">
        <v>43</v>
      </c>
      <c r="P6824" t="s">
        <v>43</v>
      </c>
      <c r="Q6824" t="s">
        <v>43</v>
      </c>
      <c r="R6824" t="s">
        <v>43</v>
      </c>
      <c r="S6824" t="s">
        <v>43</v>
      </c>
      <c r="T6824" t="s">
        <v>43</v>
      </c>
      <c r="U6824" t="s">
        <v>43</v>
      </c>
      <c r="V6824" t="s">
        <v>43</v>
      </c>
      <c r="W6824" t="s">
        <v>43</v>
      </c>
      <c r="X6824" t="s">
        <v>43</v>
      </c>
      <c r="Y6824" t="s">
        <v>43</v>
      </c>
      <c r="Z6824" t="s">
        <v>43</v>
      </c>
      <c r="AA6824" t="s">
        <v>43</v>
      </c>
      <c r="AB6824" t="s">
        <v>43</v>
      </c>
      <c r="AC6824" t="s">
        <v>43</v>
      </c>
      <c r="AD6824" t="s">
        <v>43</v>
      </c>
      <c r="AE6824" t="s">
        <v>43</v>
      </c>
      <c r="AF6824" t="s">
        <v>43</v>
      </c>
      <c r="AG6824" t="s">
        <v>43</v>
      </c>
      <c r="AH6824" t="s">
        <v>43</v>
      </c>
      <c r="AI6824" t="s">
        <v>43</v>
      </c>
      <c r="AJ6824" t="s">
        <v>43</v>
      </c>
      <c r="AK6824" t="s">
        <v>43</v>
      </c>
      <c r="AL6824" t="s">
        <v>43</v>
      </c>
      <c r="AM6824" t="s">
        <v>43</v>
      </c>
      <c r="AN6824" t="str">
        <f>HYPERLINK("https://www.google.com/maps?q=10.78965378,79.5787735","Open Location")</f>
        <v>Open Location</v>
      </c>
    </row>
    <row r="6825" spans="1:40" x14ac:dyDescent="0.3">
      <c r="A6825" s="1">
        <v>46210.209374999999</v>
      </c>
      <c r="B6825" t="s">
        <v>40</v>
      </c>
      <c r="C6825" t="s">
        <v>41</v>
      </c>
      <c r="D6825" s="1">
        <v>46210.212256944447</v>
      </c>
      <c r="E6825" t="s">
        <v>42</v>
      </c>
      <c r="F6825" t="s">
        <v>43</v>
      </c>
      <c r="G6825" t="s">
        <v>43</v>
      </c>
      <c r="H6825" t="s">
        <v>43</v>
      </c>
      <c r="I6825" t="s">
        <v>3980</v>
      </c>
      <c r="J6825" t="s">
        <v>43</v>
      </c>
      <c r="K6825" t="s">
        <v>43</v>
      </c>
      <c r="L6825" t="s">
        <v>43</v>
      </c>
      <c r="M6825" t="s">
        <v>43</v>
      </c>
      <c r="N6825" t="s">
        <v>45</v>
      </c>
      <c r="O6825" t="s">
        <v>43</v>
      </c>
      <c r="P6825" t="s">
        <v>43</v>
      </c>
      <c r="Q6825" t="s">
        <v>43</v>
      </c>
      <c r="R6825" t="s">
        <v>43</v>
      </c>
      <c r="S6825" t="s">
        <v>43</v>
      </c>
      <c r="T6825" t="s">
        <v>43</v>
      </c>
      <c r="U6825" t="s">
        <v>43</v>
      </c>
      <c r="V6825" t="s">
        <v>43</v>
      </c>
      <c r="W6825" t="s">
        <v>43</v>
      </c>
      <c r="X6825" t="s">
        <v>43</v>
      </c>
      <c r="Y6825" t="s">
        <v>43</v>
      </c>
      <c r="Z6825" t="s">
        <v>43</v>
      </c>
      <c r="AA6825" t="s">
        <v>43</v>
      </c>
      <c r="AB6825" t="s">
        <v>43</v>
      </c>
      <c r="AC6825" t="s">
        <v>43</v>
      </c>
      <c r="AD6825" t="s">
        <v>43</v>
      </c>
      <c r="AE6825" t="s">
        <v>43</v>
      </c>
      <c r="AF6825" t="s">
        <v>43</v>
      </c>
      <c r="AG6825" t="s">
        <v>43</v>
      </c>
      <c r="AH6825" t="s">
        <v>43</v>
      </c>
      <c r="AI6825" t="s">
        <v>43</v>
      </c>
      <c r="AJ6825" t="s">
        <v>43</v>
      </c>
      <c r="AK6825" t="s">
        <v>43</v>
      </c>
      <c r="AL6825" t="s">
        <v>43</v>
      </c>
      <c r="AM6825" t="s">
        <v>43</v>
      </c>
      <c r="AN6825" t="str">
        <f>HYPERLINK("https://www.google.com/maps?q=10.78965092,79.5787735","Open Location")</f>
        <v>Open Location</v>
      </c>
    </row>
    <row r="6826" spans="1:40" x14ac:dyDescent="0.3">
      <c r="A6826" s="1">
        <v>46210.20925925926</v>
      </c>
      <c r="B6826" t="s">
        <v>40</v>
      </c>
      <c r="C6826" t="s">
        <v>41</v>
      </c>
      <c r="D6826" s="1">
        <v>46210.212314814817</v>
      </c>
      <c r="E6826" t="s">
        <v>42</v>
      </c>
      <c r="F6826" t="s">
        <v>43</v>
      </c>
      <c r="G6826" t="s">
        <v>43</v>
      </c>
      <c r="H6826" t="s">
        <v>43</v>
      </c>
      <c r="I6826" t="s">
        <v>43</v>
      </c>
      <c r="J6826" t="s">
        <v>43</v>
      </c>
      <c r="K6826" t="s">
        <v>43</v>
      </c>
      <c r="L6826" t="s">
        <v>43</v>
      </c>
      <c r="M6826" t="s">
        <v>43</v>
      </c>
      <c r="N6826" t="s">
        <v>45</v>
      </c>
      <c r="O6826" t="s">
        <v>43</v>
      </c>
      <c r="P6826" t="s">
        <v>43</v>
      </c>
      <c r="Q6826" t="s">
        <v>43</v>
      </c>
      <c r="R6826" t="s">
        <v>43</v>
      </c>
      <c r="S6826" t="s">
        <v>43</v>
      </c>
      <c r="T6826" t="s">
        <v>43</v>
      </c>
      <c r="U6826" t="s">
        <v>43</v>
      </c>
      <c r="V6826" t="s">
        <v>43</v>
      </c>
      <c r="W6826" t="s">
        <v>43</v>
      </c>
      <c r="X6826" t="s">
        <v>43</v>
      </c>
      <c r="Y6826" t="s">
        <v>43</v>
      </c>
      <c r="Z6826" t="s">
        <v>43</v>
      </c>
      <c r="AA6826" t="s">
        <v>43</v>
      </c>
      <c r="AB6826" t="s">
        <v>43</v>
      </c>
      <c r="AC6826" t="s">
        <v>43</v>
      </c>
      <c r="AD6826" t="s">
        <v>43</v>
      </c>
      <c r="AE6826" t="s">
        <v>43</v>
      </c>
      <c r="AF6826" t="s">
        <v>43</v>
      </c>
      <c r="AG6826" t="s">
        <v>43</v>
      </c>
      <c r="AH6826" t="s">
        <v>43</v>
      </c>
      <c r="AI6826" t="s">
        <v>43</v>
      </c>
      <c r="AJ6826" t="s">
        <v>43</v>
      </c>
      <c r="AK6826" t="s">
        <v>43</v>
      </c>
      <c r="AL6826" t="s">
        <v>43</v>
      </c>
      <c r="AM6826" t="s">
        <v>43</v>
      </c>
      <c r="AN6826" t="s">
        <v>43</v>
      </c>
    </row>
    <row r="6827" spans="1:40" x14ac:dyDescent="0.3">
      <c r="A6827" s="1">
        <v>46210.209143518521</v>
      </c>
      <c r="B6827" t="s">
        <v>40</v>
      </c>
      <c r="C6827" t="s">
        <v>41</v>
      </c>
      <c r="D6827" s="1">
        <v>46210.212256944447</v>
      </c>
      <c r="E6827" t="s">
        <v>42</v>
      </c>
      <c r="F6827" t="s">
        <v>43</v>
      </c>
      <c r="G6827" t="s">
        <v>43</v>
      </c>
      <c r="H6827" t="s">
        <v>43</v>
      </c>
      <c r="I6827" t="s">
        <v>3981</v>
      </c>
      <c r="J6827" t="s">
        <v>43</v>
      </c>
      <c r="K6827" t="s">
        <v>43</v>
      </c>
      <c r="L6827" t="s">
        <v>43</v>
      </c>
      <c r="M6827" t="s">
        <v>43</v>
      </c>
      <c r="N6827" t="s">
        <v>45</v>
      </c>
      <c r="O6827" t="s">
        <v>43</v>
      </c>
      <c r="P6827" t="s">
        <v>43</v>
      </c>
      <c r="Q6827" t="s">
        <v>43</v>
      </c>
      <c r="R6827" t="s">
        <v>43</v>
      </c>
      <c r="S6827" t="s">
        <v>43</v>
      </c>
      <c r="T6827" t="s">
        <v>43</v>
      </c>
      <c r="U6827" t="s">
        <v>43</v>
      </c>
      <c r="V6827" t="s">
        <v>43</v>
      </c>
      <c r="W6827" t="s">
        <v>43</v>
      </c>
      <c r="X6827" t="s">
        <v>43</v>
      </c>
      <c r="Y6827" t="s">
        <v>43</v>
      </c>
      <c r="Z6827" t="s">
        <v>43</v>
      </c>
      <c r="AA6827" t="s">
        <v>43</v>
      </c>
      <c r="AB6827" t="s">
        <v>43</v>
      </c>
      <c r="AC6827" t="s">
        <v>43</v>
      </c>
      <c r="AD6827" t="s">
        <v>43</v>
      </c>
      <c r="AE6827" t="s">
        <v>43</v>
      </c>
      <c r="AF6827" t="s">
        <v>43</v>
      </c>
      <c r="AG6827" t="s">
        <v>43</v>
      </c>
      <c r="AH6827" t="s">
        <v>43</v>
      </c>
      <c r="AI6827" t="s">
        <v>43</v>
      </c>
      <c r="AJ6827" t="s">
        <v>43</v>
      </c>
      <c r="AK6827" t="s">
        <v>43</v>
      </c>
      <c r="AL6827" t="s">
        <v>43</v>
      </c>
      <c r="AM6827" t="s">
        <v>43</v>
      </c>
      <c r="AN6827" t="str">
        <f>HYPERLINK("https://www.google.com/maps?q=10.78965282,79.5787735","Open Location")</f>
        <v>Open Location</v>
      </c>
    </row>
    <row r="6828" spans="1:40" x14ac:dyDescent="0.3">
      <c r="A6828" s="1">
        <v>46210.209027777775</v>
      </c>
      <c r="B6828" t="s">
        <v>40</v>
      </c>
      <c r="C6828" t="s">
        <v>41</v>
      </c>
      <c r="D6828" s="1">
        <v>46210.212129629632</v>
      </c>
      <c r="E6828" t="s">
        <v>42</v>
      </c>
      <c r="F6828" t="s">
        <v>43</v>
      </c>
      <c r="G6828" t="s">
        <v>43</v>
      </c>
      <c r="H6828" t="s">
        <v>43</v>
      </c>
      <c r="I6828" t="s">
        <v>3977</v>
      </c>
      <c r="J6828" t="s">
        <v>43</v>
      </c>
      <c r="K6828" t="s">
        <v>43</v>
      </c>
      <c r="L6828" t="s">
        <v>43</v>
      </c>
      <c r="M6828" t="s">
        <v>43</v>
      </c>
      <c r="N6828" t="s">
        <v>45</v>
      </c>
      <c r="O6828" t="s">
        <v>43</v>
      </c>
      <c r="P6828" t="s">
        <v>43</v>
      </c>
      <c r="Q6828" t="s">
        <v>43</v>
      </c>
      <c r="R6828" t="s">
        <v>43</v>
      </c>
      <c r="S6828" t="s">
        <v>43</v>
      </c>
      <c r="T6828" t="s">
        <v>43</v>
      </c>
      <c r="U6828" t="s">
        <v>43</v>
      </c>
      <c r="V6828" t="s">
        <v>43</v>
      </c>
      <c r="W6828" t="s">
        <v>43</v>
      </c>
      <c r="X6828" t="s">
        <v>43</v>
      </c>
      <c r="Y6828" t="s">
        <v>43</v>
      </c>
      <c r="Z6828" t="s">
        <v>43</v>
      </c>
      <c r="AA6828" t="s">
        <v>43</v>
      </c>
      <c r="AB6828" t="s">
        <v>43</v>
      </c>
      <c r="AC6828" t="s">
        <v>43</v>
      </c>
      <c r="AD6828" t="s">
        <v>43</v>
      </c>
      <c r="AE6828" t="s">
        <v>43</v>
      </c>
      <c r="AF6828" t="s">
        <v>43</v>
      </c>
      <c r="AG6828" t="s">
        <v>43</v>
      </c>
      <c r="AH6828" t="s">
        <v>43</v>
      </c>
      <c r="AI6828" t="s">
        <v>43</v>
      </c>
      <c r="AJ6828" t="s">
        <v>43</v>
      </c>
      <c r="AK6828" t="s">
        <v>43</v>
      </c>
      <c r="AL6828" t="s">
        <v>43</v>
      </c>
      <c r="AM6828" t="s">
        <v>43</v>
      </c>
      <c r="AN6828" t="str">
        <f>HYPERLINK("https://www.google.com/maps?q=10.78965187,79.5787735","Open Location")</f>
        <v>Open Location</v>
      </c>
    </row>
    <row r="6829" spans="1:40" x14ac:dyDescent="0.3">
      <c r="A6829" s="1">
        <v>46210.208912037036</v>
      </c>
      <c r="B6829" t="s">
        <v>40</v>
      </c>
      <c r="C6829" t="s">
        <v>41</v>
      </c>
      <c r="D6829" s="1">
        <v>46210.211770833332</v>
      </c>
      <c r="E6829" t="s">
        <v>42</v>
      </c>
      <c r="F6829" t="s">
        <v>43</v>
      </c>
      <c r="G6829" t="s">
        <v>43</v>
      </c>
      <c r="H6829" t="s">
        <v>43</v>
      </c>
      <c r="I6829" t="s">
        <v>3982</v>
      </c>
      <c r="J6829" t="s">
        <v>43</v>
      </c>
      <c r="K6829" t="s">
        <v>43</v>
      </c>
      <c r="L6829" t="s">
        <v>43</v>
      </c>
      <c r="M6829" t="s">
        <v>43</v>
      </c>
      <c r="N6829" t="s">
        <v>45</v>
      </c>
      <c r="O6829" t="s">
        <v>43</v>
      </c>
      <c r="P6829" t="s">
        <v>43</v>
      </c>
      <c r="Q6829" t="s">
        <v>43</v>
      </c>
      <c r="R6829" t="s">
        <v>43</v>
      </c>
      <c r="S6829" t="s">
        <v>43</v>
      </c>
      <c r="T6829" t="s">
        <v>43</v>
      </c>
      <c r="U6829" t="s">
        <v>43</v>
      </c>
      <c r="V6829" t="s">
        <v>43</v>
      </c>
      <c r="W6829" t="s">
        <v>43</v>
      </c>
      <c r="X6829" t="s">
        <v>43</v>
      </c>
      <c r="Y6829" t="s">
        <v>43</v>
      </c>
      <c r="Z6829" t="s">
        <v>43</v>
      </c>
      <c r="AA6829" t="s">
        <v>43</v>
      </c>
      <c r="AB6829" t="s">
        <v>43</v>
      </c>
      <c r="AC6829" t="s">
        <v>43</v>
      </c>
      <c r="AD6829" t="s">
        <v>43</v>
      </c>
      <c r="AE6829" t="s">
        <v>43</v>
      </c>
      <c r="AF6829" t="s">
        <v>43</v>
      </c>
      <c r="AG6829" t="s">
        <v>43</v>
      </c>
      <c r="AH6829" t="s">
        <v>43</v>
      </c>
      <c r="AI6829" t="s">
        <v>43</v>
      </c>
      <c r="AJ6829" t="s">
        <v>43</v>
      </c>
      <c r="AK6829" t="s">
        <v>43</v>
      </c>
      <c r="AL6829" t="s">
        <v>43</v>
      </c>
      <c r="AM6829" t="s">
        <v>43</v>
      </c>
      <c r="AN6829" t="str">
        <f>HYPERLINK("https://www.google.com/maps?q=10.78965092,79.57878113","Open Location")</f>
        <v>Open Location</v>
      </c>
    </row>
    <row r="6830" spans="1:40" x14ac:dyDescent="0.3">
      <c r="A6830" s="1">
        <v>46210.208796296298</v>
      </c>
      <c r="B6830" t="s">
        <v>40</v>
      </c>
      <c r="C6830" t="s">
        <v>41</v>
      </c>
      <c r="D6830" s="1">
        <v>46210.211863425924</v>
      </c>
      <c r="E6830" t="s">
        <v>42</v>
      </c>
      <c r="F6830" t="s">
        <v>43</v>
      </c>
      <c r="G6830" t="s">
        <v>43</v>
      </c>
      <c r="H6830" t="s">
        <v>43</v>
      </c>
      <c r="I6830" t="s">
        <v>3979</v>
      </c>
      <c r="J6830" t="s">
        <v>43</v>
      </c>
      <c r="K6830" t="s">
        <v>43</v>
      </c>
      <c r="L6830" t="s">
        <v>43</v>
      </c>
      <c r="M6830" t="s">
        <v>43</v>
      </c>
      <c r="N6830" t="s">
        <v>45</v>
      </c>
      <c r="O6830" t="s">
        <v>43</v>
      </c>
      <c r="P6830" t="s">
        <v>43</v>
      </c>
      <c r="Q6830" t="s">
        <v>43</v>
      </c>
      <c r="R6830" t="s">
        <v>43</v>
      </c>
      <c r="S6830" t="s">
        <v>43</v>
      </c>
      <c r="T6830" t="s">
        <v>43</v>
      </c>
      <c r="U6830" t="s">
        <v>43</v>
      </c>
      <c r="V6830" t="s">
        <v>43</v>
      </c>
      <c r="W6830" t="s">
        <v>43</v>
      </c>
      <c r="X6830" t="s">
        <v>43</v>
      </c>
      <c r="Y6830" t="s">
        <v>43</v>
      </c>
      <c r="Z6830" t="s">
        <v>43</v>
      </c>
      <c r="AA6830" t="s">
        <v>43</v>
      </c>
      <c r="AB6830" t="s">
        <v>43</v>
      </c>
      <c r="AC6830" t="s">
        <v>43</v>
      </c>
      <c r="AD6830" t="s">
        <v>43</v>
      </c>
      <c r="AE6830" t="s">
        <v>43</v>
      </c>
      <c r="AF6830" t="s">
        <v>43</v>
      </c>
      <c r="AG6830" t="s">
        <v>43</v>
      </c>
      <c r="AH6830" t="s">
        <v>43</v>
      </c>
      <c r="AI6830" t="s">
        <v>43</v>
      </c>
      <c r="AJ6830" t="s">
        <v>43</v>
      </c>
      <c r="AK6830" t="s">
        <v>43</v>
      </c>
      <c r="AL6830" t="s">
        <v>43</v>
      </c>
      <c r="AM6830" t="s">
        <v>43</v>
      </c>
      <c r="AN6830" t="str">
        <f>HYPERLINK("https://www.google.com/maps?q=10.78965378,79.5787735","Open Location")</f>
        <v>Open Location</v>
      </c>
    </row>
    <row r="6831" spans="1:40" x14ac:dyDescent="0.3">
      <c r="A6831" s="1">
        <v>46210.208680555559</v>
      </c>
      <c r="B6831" t="s">
        <v>40</v>
      </c>
      <c r="C6831" t="s">
        <v>41</v>
      </c>
      <c r="D6831" s="1">
        <v>46210.211458333331</v>
      </c>
      <c r="E6831" t="s">
        <v>42</v>
      </c>
      <c r="F6831" t="s">
        <v>43</v>
      </c>
      <c r="G6831" t="s">
        <v>43</v>
      </c>
      <c r="H6831" t="s">
        <v>43</v>
      </c>
      <c r="I6831" t="s">
        <v>3979</v>
      </c>
      <c r="J6831" t="s">
        <v>43</v>
      </c>
      <c r="K6831" t="s">
        <v>43</v>
      </c>
      <c r="L6831" t="s">
        <v>43</v>
      </c>
      <c r="M6831" t="s">
        <v>43</v>
      </c>
      <c r="N6831" t="s">
        <v>45</v>
      </c>
      <c r="O6831" t="s">
        <v>43</v>
      </c>
      <c r="P6831" t="s">
        <v>43</v>
      </c>
      <c r="Q6831" t="s">
        <v>43</v>
      </c>
      <c r="R6831" t="s">
        <v>43</v>
      </c>
      <c r="S6831" t="s">
        <v>43</v>
      </c>
      <c r="T6831" t="s">
        <v>43</v>
      </c>
      <c r="U6831" t="s">
        <v>43</v>
      </c>
      <c r="V6831" t="s">
        <v>43</v>
      </c>
      <c r="W6831" t="s">
        <v>43</v>
      </c>
      <c r="X6831" t="s">
        <v>43</v>
      </c>
      <c r="Y6831" t="s">
        <v>43</v>
      </c>
      <c r="Z6831" t="s">
        <v>43</v>
      </c>
      <c r="AA6831" t="s">
        <v>43</v>
      </c>
      <c r="AB6831" t="s">
        <v>43</v>
      </c>
      <c r="AC6831" t="s">
        <v>43</v>
      </c>
      <c r="AD6831" t="s">
        <v>43</v>
      </c>
      <c r="AE6831" t="s">
        <v>43</v>
      </c>
      <c r="AF6831" t="s">
        <v>43</v>
      </c>
      <c r="AG6831" t="s">
        <v>43</v>
      </c>
      <c r="AH6831" t="s">
        <v>43</v>
      </c>
      <c r="AI6831" t="s">
        <v>43</v>
      </c>
      <c r="AJ6831" t="s">
        <v>43</v>
      </c>
      <c r="AK6831" t="s">
        <v>43</v>
      </c>
      <c r="AL6831" t="s">
        <v>43</v>
      </c>
      <c r="AM6831" t="s">
        <v>43</v>
      </c>
      <c r="AN6831" t="str">
        <f>HYPERLINK("https://www.google.com/maps?q=10.78965378,79.5787735","Open Location")</f>
        <v>Open Location</v>
      </c>
    </row>
    <row r="6832" spans="1:40" x14ac:dyDescent="0.3">
      <c r="A6832" s="1">
        <v>46210.208564814813</v>
      </c>
      <c r="B6832" t="s">
        <v>40</v>
      </c>
      <c r="C6832" t="s">
        <v>41</v>
      </c>
      <c r="D6832" s="1">
        <v>46210.211527777778</v>
      </c>
      <c r="E6832" t="s">
        <v>42</v>
      </c>
      <c r="F6832" t="s">
        <v>43</v>
      </c>
      <c r="G6832" t="s">
        <v>43</v>
      </c>
      <c r="H6832" t="s">
        <v>43</v>
      </c>
      <c r="I6832" t="s">
        <v>43</v>
      </c>
      <c r="J6832" t="s">
        <v>43</v>
      </c>
      <c r="K6832" t="s">
        <v>43</v>
      </c>
      <c r="L6832" t="s">
        <v>43</v>
      </c>
      <c r="M6832" t="s">
        <v>43</v>
      </c>
      <c r="N6832" t="s">
        <v>45</v>
      </c>
      <c r="O6832" t="s">
        <v>43</v>
      </c>
      <c r="P6832" t="s">
        <v>43</v>
      </c>
      <c r="Q6832" t="s">
        <v>43</v>
      </c>
      <c r="R6832" t="s">
        <v>43</v>
      </c>
      <c r="S6832" t="s">
        <v>43</v>
      </c>
      <c r="T6832" t="s">
        <v>43</v>
      </c>
      <c r="U6832" t="s">
        <v>43</v>
      </c>
      <c r="V6832" t="s">
        <v>43</v>
      </c>
      <c r="W6832" t="s">
        <v>43</v>
      </c>
      <c r="X6832" t="s">
        <v>43</v>
      </c>
      <c r="Y6832" t="s">
        <v>43</v>
      </c>
      <c r="Z6832" t="s">
        <v>43</v>
      </c>
      <c r="AA6832" t="s">
        <v>43</v>
      </c>
      <c r="AB6832" t="s">
        <v>43</v>
      </c>
      <c r="AC6832" t="s">
        <v>43</v>
      </c>
      <c r="AD6832" t="s">
        <v>43</v>
      </c>
      <c r="AE6832" t="s">
        <v>43</v>
      </c>
      <c r="AF6832" t="s">
        <v>43</v>
      </c>
      <c r="AG6832" t="s">
        <v>43</v>
      </c>
      <c r="AH6832" t="s">
        <v>43</v>
      </c>
      <c r="AI6832" t="s">
        <v>43</v>
      </c>
      <c r="AJ6832" t="s">
        <v>43</v>
      </c>
      <c r="AK6832" t="s">
        <v>43</v>
      </c>
      <c r="AL6832" t="s">
        <v>43</v>
      </c>
      <c r="AM6832" t="s">
        <v>43</v>
      </c>
      <c r="AN6832" t="s">
        <v>43</v>
      </c>
    </row>
    <row r="6833" spans="1:40" x14ac:dyDescent="0.3">
      <c r="A6833" s="1">
        <v>46210.208449074074</v>
      </c>
      <c r="B6833" t="s">
        <v>40</v>
      </c>
      <c r="C6833" t="s">
        <v>41</v>
      </c>
      <c r="D6833" s="1">
        <v>46210.211527777778</v>
      </c>
      <c r="E6833" t="s">
        <v>42</v>
      </c>
      <c r="F6833" t="s">
        <v>43</v>
      </c>
      <c r="G6833" t="s">
        <v>43</v>
      </c>
      <c r="H6833" t="s">
        <v>43</v>
      </c>
      <c r="I6833" t="s">
        <v>3983</v>
      </c>
      <c r="J6833" t="s">
        <v>43</v>
      </c>
      <c r="K6833" t="s">
        <v>43</v>
      </c>
      <c r="L6833" t="s">
        <v>43</v>
      </c>
      <c r="M6833" t="s">
        <v>43</v>
      </c>
      <c r="N6833" t="s">
        <v>45</v>
      </c>
      <c r="O6833" t="s">
        <v>43</v>
      </c>
      <c r="P6833" t="s">
        <v>43</v>
      </c>
      <c r="Q6833" t="s">
        <v>43</v>
      </c>
      <c r="R6833" t="s">
        <v>43</v>
      </c>
      <c r="S6833" t="s">
        <v>43</v>
      </c>
      <c r="T6833" t="s">
        <v>43</v>
      </c>
      <c r="U6833" t="s">
        <v>43</v>
      </c>
      <c r="V6833" t="s">
        <v>43</v>
      </c>
      <c r="W6833" t="s">
        <v>43</v>
      </c>
      <c r="X6833" t="s">
        <v>43</v>
      </c>
      <c r="Y6833" t="s">
        <v>43</v>
      </c>
      <c r="Z6833" t="s">
        <v>43</v>
      </c>
      <c r="AA6833" t="s">
        <v>43</v>
      </c>
      <c r="AB6833" t="s">
        <v>43</v>
      </c>
      <c r="AC6833" t="s">
        <v>43</v>
      </c>
      <c r="AD6833" t="s">
        <v>43</v>
      </c>
      <c r="AE6833" t="s">
        <v>43</v>
      </c>
      <c r="AF6833" t="s">
        <v>43</v>
      </c>
      <c r="AG6833" t="s">
        <v>43</v>
      </c>
      <c r="AH6833" t="s">
        <v>43</v>
      </c>
      <c r="AI6833" t="s">
        <v>43</v>
      </c>
      <c r="AJ6833" t="s">
        <v>43</v>
      </c>
      <c r="AK6833" t="s">
        <v>43</v>
      </c>
      <c r="AL6833" t="s">
        <v>43</v>
      </c>
      <c r="AM6833" t="s">
        <v>43</v>
      </c>
      <c r="AN6833" t="str">
        <f>HYPERLINK("https://www.google.com/maps?q=10.78965569,79.5787735","Open Location")</f>
        <v>Open Location</v>
      </c>
    </row>
    <row r="6834" spans="1:40" x14ac:dyDescent="0.3">
      <c r="A6834" s="1">
        <v>46210.208333333336</v>
      </c>
      <c r="B6834" t="s">
        <v>40</v>
      </c>
      <c r="C6834" t="s">
        <v>41</v>
      </c>
      <c r="D6834" s="1">
        <v>46210.211516203701</v>
      </c>
      <c r="E6834" t="s">
        <v>42</v>
      </c>
      <c r="F6834" t="s">
        <v>43</v>
      </c>
      <c r="G6834" t="s">
        <v>43</v>
      </c>
      <c r="H6834" t="s">
        <v>43</v>
      </c>
      <c r="I6834" t="s">
        <v>3984</v>
      </c>
      <c r="J6834" t="s">
        <v>43</v>
      </c>
      <c r="K6834" t="s">
        <v>43</v>
      </c>
      <c r="L6834" t="s">
        <v>43</v>
      </c>
      <c r="M6834" t="s">
        <v>43</v>
      </c>
      <c r="N6834" t="s">
        <v>45</v>
      </c>
      <c r="O6834" t="s">
        <v>43</v>
      </c>
      <c r="P6834" t="s">
        <v>43</v>
      </c>
      <c r="Q6834" t="s">
        <v>43</v>
      </c>
      <c r="R6834" t="s">
        <v>43</v>
      </c>
      <c r="S6834" t="s">
        <v>43</v>
      </c>
      <c r="T6834" t="s">
        <v>43</v>
      </c>
      <c r="U6834" t="s">
        <v>43</v>
      </c>
      <c r="V6834" t="s">
        <v>43</v>
      </c>
      <c r="W6834" t="s">
        <v>43</v>
      </c>
      <c r="X6834" t="s">
        <v>43</v>
      </c>
      <c r="Y6834" t="s">
        <v>43</v>
      </c>
      <c r="Z6834" t="s">
        <v>43</v>
      </c>
      <c r="AA6834" t="s">
        <v>43</v>
      </c>
      <c r="AB6834" t="s">
        <v>43</v>
      </c>
      <c r="AC6834" t="s">
        <v>43</v>
      </c>
      <c r="AD6834" t="s">
        <v>43</v>
      </c>
      <c r="AE6834" t="s">
        <v>43</v>
      </c>
      <c r="AF6834" t="s">
        <v>43</v>
      </c>
      <c r="AG6834" t="s">
        <v>43</v>
      </c>
      <c r="AH6834" t="s">
        <v>43</v>
      </c>
      <c r="AI6834" t="s">
        <v>43</v>
      </c>
      <c r="AJ6834" t="s">
        <v>43</v>
      </c>
      <c r="AK6834" t="s">
        <v>43</v>
      </c>
      <c r="AL6834" t="s">
        <v>43</v>
      </c>
      <c r="AM6834" t="s">
        <v>43</v>
      </c>
      <c r="AN6834" t="str">
        <f>HYPERLINK("https://www.google.com/maps?q=10.78965664,79.57876587","Open Location")</f>
        <v>Open Location</v>
      </c>
    </row>
    <row r="6835" spans="1:40" x14ac:dyDescent="0.3">
      <c r="A6835" s="1">
        <v>46210.20821759259</v>
      </c>
      <c r="B6835" t="s">
        <v>40</v>
      </c>
      <c r="C6835" t="s">
        <v>41</v>
      </c>
      <c r="D6835" s="1">
        <v>46210.211145833331</v>
      </c>
      <c r="E6835" t="s">
        <v>42</v>
      </c>
      <c r="F6835" t="s">
        <v>43</v>
      </c>
      <c r="G6835" t="s">
        <v>43</v>
      </c>
      <c r="H6835" t="s">
        <v>43</v>
      </c>
      <c r="I6835" t="s">
        <v>3977</v>
      </c>
      <c r="J6835" t="s">
        <v>43</v>
      </c>
      <c r="K6835" t="s">
        <v>43</v>
      </c>
      <c r="L6835" t="s">
        <v>43</v>
      </c>
      <c r="M6835" t="s">
        <v>43</v>
      </c>
      <c r="N6835" t="s">
        <v>45</v>
      </c>
      <c r="O6835" t="s">
        <v>43</v>
      </c>
      <c r="P6835" t="s">
        <v>43</v>
      </c>
      <c r="Q6835" t="s">
        <v>43</v>
      </c>
      <c r="R6835" t="s">
        <v>43</v>
      </c>
      <c r="S6835" t="s">
        <v>43</v>
      </c>
      <c r="T6835" t="s">
        <v>43</v>
      </c>
      <c r="U6835" t="s">
        <v>43</v>
      </c>
      <c r="V6835" t="s">
        <v>43</v>
      </c>
      <c r="W6835" t="s">
        <v>43</v>
      </c>
      <c r="X6835" t="s">
        <v>43</v>
      </c>
      <c r="Y6835" t="s">
        <v>43</v>
      </c>
      <c r="Z6835" t="s">
        <v>43</v>
      </c>
      <c r="AA6835" t="s">
        <v>43</v>
      </c>
      <c r="AB6835" t="s">
        <v>43</v>
      </c>
      <c r="AC6835" t="s">
        <v>43</v>
      </c>
      <c r="AD6835" t="s">
        <v>43</v>
      </c>
      <c r="AE6835" t="s">
        <v>43</v>
      </c>
      <c r="AF6835" t="s">
        <v>43</v>
      </c>
      <c r="AG6835" t="s">
        <v>43</v>
      </c>
      <c r="AH6835" t="s">
        <v>43</v>
      </c>
      <c r="AI6835" t="s">
        <v>43</v>
      </c>
      <c r="AJ6835" t="s">
        <v>43</v>
      </c>
      <c r="AK6835" t="s">
        <v>43</v>
      </c>
      <c r="AL6835" t="s">
        <v>43</v>
      </c>
      <c r="AM6835" t="s">
        <v>43</v>
      </c>
      <c r="AN6835" t="str">
        <f>HYPERLINK("https://www.google.com/maps?q=10.78965187,79.5787735","Open Location")</f>
        <v>Open Location</v>
      </c>
    </row>
    <row r="6836" spans="1:40" x14ac:dyDescent="0.3">
      <c r="A6836" s="1">
        <v>46210.208101851851</v>
      </c>
      <c r="B6836" t="s">
        <v>40</v>
      </c>
      <c r="C6836" t="s">
        <v>41</v>
      </c>
      <c r="D6836" s="1">
        <v>46210.211064814815</v>
      </c>
      <c r="E6836" t="s">
        <v>42</v>
      </c>
      <c r="F6836" t="s">
        <v>43</v>
      </c>
      <c r="G6836" t="s">
        <v>43</v>
      </c>
      <c r="H6836" t="s">
        <v>43</v>
      </c>
      <c r="I6836" t="s">
        <v>3898</v>
      </c>
      <c r="J6836" t="s">
        <v>43</v>
      </c>
      <c r="K6836" t="s">
        <v>43</v>
      </c>
      <c r="L6836" t="s">
        <v>43</v>
      </c>
      <c r="M6836" t="s">
        <v>43</v>
      </c>
      <c r="N6836" t="s">
        <v>45</v>
      </c>
      <c r="O6836" t="s">
        <v>43</v>
      </c>
      <c r="P6836" t="s">
        <v>43</v>
      </c>
      <c r="Q6836" t="s">
        <v>43</v>
      </c>
      <c r="R6836" t="s">
        <v>43</v>
      </c>
      <c r="S6836" t="s">
        <v>43</v>
      </c>
      <c r="T6836" t="s">
        <v>43</v>
      </c>
      <c r="U6836" t="s">
        <v>43</v>
      </c>
      <c r="V6836" t="s">
        <v>43</v>
      </c>
      <c r="W6836" t="s">
        <v>43</v>
      </c>
      <c r="X6836" t="s">
        <v>43</v>
      </c>
      <c r="Y6836" t="s">
        <v>43</v>
      </c>
      <c r="Z6836" t="s">
        <v>43</v>
      </c>
      <c r="AA6836" t="s">
        <v>43</v>
      </c>
      <c r="AB6836" t="s">
        <v>43</v>
      </c>
      <c r="AC6836" t="s">
        <v>43</v>
      </c>
      <c r="AD6836" t="s">
        <v>43</v>
      </c>
      <c r="AE6836" t="s">
        <v>43</v>
      </c>
      <c r="AF6836" t="s">
        <v>43</v>
      </c>
      <c r="AG6836" t="s">
        <v>43</v>
      </c>
      <c r="AH6836" t="s">
        <v>43</v>
      </c>
      <c r="AI6836" t="s">
        <v>43</v>
      </c>
      <c r="AJ6836" t="s">
        <v>43</v>
      </c>
      <c r="AK6836" t="s">
        <v>43</v>
      </c>
      <c r="AL6836" t="s">
        <v>43</v>
      </c>
      <c r="AM6836" t="s">
        <v>43</v>
      </c>
      <c r="AN6836" t="str">
        <f>HYPERLINK("https://www.google.com/maps?q=10.78965378,79.57878113","Open Location")</f>
        <v>Open Location</v>
      </c>
    </row>
    <row r="6837" spans="1:40" x14ac:dyDescent="0.3">
      <c r="A6837" s="1">
        <v>46210.207986111112</v>
      </c>
      <c r="B6837" t="s">
        <v>40</v>
      </c>
      <c r="C6837" t="s">
        <v>41</v>
      </c>
      <c r="D6837" s="1">
        <v>46210.210844907408</v>
      </c>
      <c r="E6837" t="s">
        <v>42</v>
      </c>
      <c r="F6837" t="s">
        <v>43</v>
      </c>
      <c r="G6837" t="s">
        <v>43</v>
      </c>
      <c r="H6837" t="s">
        <v>43</v>
      </c>
      <c r="I6837" t="s">
        <v>3985</v>
      </c>
      <c r="J6837" t="s">
        <v>43</v>
      </c>
      <c r="K6837" t="s">
        <v>43</v>
      </c>
      <c r="L6837" t="s">
        <v>43</v>
      </c>
      <c r="M6837" t="s">
        <v>43</v>
      </c>
      <c r="N6837" t="s">
        <v>45</v>
      </c>
      <c r="O6837" t="s">
        <v>43</v>
      </c>
      <c r="P6837" t="s">
        <v>43</v>
      </c>
      <c r="Q6837" t="s">
        <v>43</v>
      </c>
      <c r="R6837" t="s">
        <v>43</v>
      </c>
      <c r="S6837" t="s">
        <v>43</v>
      </c>
      <c r="T6837" t="s">
        <v>43</v>
      </c>
      <c r="U6837" t="s">
        <v>43</v>
      </c>
      <c r="V6837" t="s">
        <v>43</v>
      </c>
      <c r="W6837" t="s">
        <v>43</v>
      </c>
      <c r="X6837" t="s">
        <v>43</v>
      </c>
      <c r="Y6837" t="s">
        <v>43</v>
      </c>
      <c r="Z6837" t="s">
        <v>43</v>
      </c>
      <c r="AA6837" t="s">
        <v>43</v>
      </c>
      <c r="AB6837" t="s">
        <v>43</v>
      </c>
      <c r="AC6837" t="s">
        <v>43</v>
      </c>
      <c r="AD6837" t="s">
        <v>43</v>
      </c>
      <c r="AE6837" t="s">
        <v>43</v>
      </c>
      <c r="AF6837" t="s">
        <v>43</v>
      </c>
      <c r="AG6837" t="s">
        <v>43</v>
      </c>
      <c r="AH6837" t="s">
        <v>43</v>
      </c>
      <c r="AI6837" t="s">
        <v>43</v>
      </c>
      <c r="AJ6837" t="s">
        <v>43</v>
      </c>
      <c r="AK6837" t="s">
        <v>43</v>
      </c>
      <c r="AL6837" t="s">
        <v>43</v>
      </c>
      <c r="AM6837" t="s">
        <v>43</v>
      </c>
      <c r="AN6837" t="str">
        <f>HYPERLINK("https://www.google.com/maps?q=10.78966141,79.57878876","Open Location")</f>
        <v>Open Location</v>
      </c>
    </row>
    <row r="6838" spans="1:40" x14ac:dyDescent="0.3">
      <c r="A6838" s="1">
        <v>46210.207870370374</v>
      </c>
      <c r="B6838" t="s">
        <v>40</v>
      </c>
      <c r="C6838" t="s">
        <v>41</v>
      </c>
      <c r="D6838" s="1">
        <v>46210.210844907408</v>
      </c>
      <c r="E6838" t="s">
        <v>42</v>
      </c>
      <c r="F6838" t="s">
        <v>43</v>
      </c>
      <c r="G6838" t="s">
        <v>43</v>
      </c>
      <c r="H6838" t="s">
        <v>43</v>
      </c>
      <c r="I6838" t="s">
        <v>43</v>
      </c>
      <c r="J6838" t="s">
        <v>43</v>
      </c>
      <c r="K6838" t="s">
        <v>43</v>
      </c>
      <c r="L6838" t="s">
        <v>43</v>
      </c>
      <c r="M6838" t="s">
        <v>43</v>
      </c>
      <c r="N6838" t="s">
        <v>45</v>
      </c>
      <c r="O6838" t="s">
        <v>43</v>
      </c>
      <c r="P6838" t="s">
        <v>43</v>
      </c>
      <c r="Q6838" t="s">
        <v>43</v>
      </c>
      <c r="R6838" t="s">
        <v>43</v>
      </c>
      <c r="S6838" t="s">
        <v>43</v>
      </c>
      <c r="T6838" t="s">
        <v>43</v>
      </c>
      <c r="U6838" t="s">
        <v>43</v>
      </c>
      <c r="V6838" t="s">
        <v>43</v>
      </c>
      <c r="W6838" t="s">
        <v>43</v>
      </c>
      <c r="X6838" t="s">
        <v>43</v>
      </c>
      <c r="Y6838" t="s">
        <v>43</v>
      </c>
      <c r="Z6838" t="s">
        <v>43</v>
      </c>
      <c r="AA6838" t="s">
        <v>43</v>
      </c>
      <c r="AB6838" t="s">
        <v>43</v>
      </c>
      <c r="AC6838" t="s">
        <v>43</v>
      </c>
      <c r="AD6838" t="s">
        <v>43</v>
      </c>
      <c r="AE6838" t="s">
        <v>43</v>
      </c>
      <c r="AF6838" t="s">
        <v>43</v>
      </c>
      <c r="AG6838" t="s">
        <v>43</v>
      </c>
      <c r="AH6838" t="s">
        <v>43</v>
      </c>
      <c r="AI6838" t="s">
        <v>43</v>
      </c>
      <c r="AJ6838" t="s">
        <v>43</v>
      </c>
      <c r="AK6838" t="s">
        <v>43</v>
      </c>
      <c r="AL6838" t="s">
        <v>43</v>
      </c>
      <c r="AM6838" t="s">
        <v>43</v>
      </c>
      <c r="AN6838" t="s">
        <v>43</v>
      </c>
    </row>
    <row r="6839" spans="1:40" x14ac:dyDescent="0.3">
      <c r="A6839" s="1">
        <v>46210.207754629628</v>
      </c>
      <c r="B6839" t="s">
        <v>40</v>
      </c>
      <c r="C6839" t="s">
        <v>41</v>
      </c>
      <c r="D6839" s="1">
        <v>46210.210752314815</v>
      </c>
      <c r="E6839" t="s">
        <v>42</v>
      </c>
      <c r="F6839" t="s">
        <v>43</v>
      </c>
      <c r="G6839" t="s">
        <v>43</v>
      </c>
      <c r="H6839" t="s">
        <v>43</v>
      </c>
      <c r="I6839" t="s">
        <v>3986</v>
      </c>
      <c r="J6839" t="s">
        <v>43</v>
      </c>
      <c r="K6839" t="s">
        <v>43</v>
      </c>
      <c r="L6839" t="s">
        <v>43</v>
      </c>
      <c r="M6839" t="s">
        <v>43</v>
      </c>
      <c r="N6839" t="s">
        <v>45</v>
      </c>
      <c r="O6839" t="s">
        <v>43</v>
      </c>
      <c r="P6839" t="s">
        <v>43</v>
      </c>
      <c r="Q6839" t="s">
        <v>43</v>
      </c>
      <c r="R6839" t="s">
        <v>43</v>
      </c>
      <c r="S6839" t="s">
        <v>43</v>
      </c>
      <c r="T6839" t="s">
        <v>43</v>
      </c>
      <c r="U6839" t="s">
        <v>43</v>
      </c>
      <c r="V6839" t="s">
        <v>43</v>
      </c>
      <c r="W6839" t="s">
        <v>43</v>
      </c>
      <c r="X6839" t="s">
        <v>43</v>
      </c>
      <c r="Y6839" t="s">
        <v>43</v>
      </c>
      <c r="Z6839" t="s">
        <v>43</v>
      </c>
      <c r="AA6839" t="s">
        <v>43</v>
      </c>
      <c r="AB6839" t="s">
        <v>43</v>
      </c>
      <c r="AC6839" t="s">
        <v>43</v>
      </c>
      <c r="AD6839" t="s">
        <v>43</v>
      </c>
      <c r="AE6839" t="s">
        <v>43</v>
      </c>
      <c r="AF6839" t="s">
        <v>43</v>
      </c>
      <c r="AG6839" t="s">
        <v>43</v>
      </c>
      <c r="AH6839" t="s">
        <v>43</v>
      </c>
      <c r="AI6839" t="s">
        <v>43</v>
      </c>
      <c r="AJ6839" t="s">
        <v>43</v>
      </c>
      <c r="AK6839" t="s">
        <v>43</v>
      </c>
      <c r="AL6839" t="s">
        <v>43</v>
      </c>
      <c r="AM6839" t="s">
        <v>43</v>
      </c>
      <c r="AN6839" t="str">
        <f>HYPERLINK("https://www.google.com/maps?q=10.78966522,79.57878113","Open Location")</f>
        <v>Open Location</v>
      </c>
    </row>
    <row r="6840" spans="1:40" x14ac:dyDescent="0.3">
      <c r="A6840" s="1">
        <v>46210.207638888889</v>
      </c>
      <c r="B6840" t="s">
        <v>40</v>
      </c>
      <c r="C6840" t="s">
        <v>41</v>
      </c>
      <c r="D6840" s="1">
        <v>46210.210752314815</v>
      </c>
      <c r="E6840" t="s">
        <v>42</v>
      </c>
      <c r="F6840" t="s">
        <v>43</v>
      </c>
      <c r="G6840" t="s">
        <v>43</v>
      </c>
      <c r="H6840" t="s">
        <v>43</v>
      </c>
      <c r="I6840" t="s">
        <v>3987</v>
      </c>
      <c r="J6840" t="s">
        <v>43</v>
      </c>
      <c r="K6840" t="s">
        <v>43</v>
      </c>
      <c r="L6840" t="s">
        <v>43</v>
      </c>
      <c r="M6840" t="s">
        <v>43</v>
      </c>
      <c r="N6840" t="s">
        <v>45</v>
      </c>
      <c r="O6840" t="s">
        <v>43</v>
      </c>
      <c r="P6840" t="s">
        <v>43</v>
      </c>
      <c r="Q6840" t="s">
        <v>43</v>
      </c>
      <c r="R6840" t="s">
        <v>43</v>
      </c>
      <c r="S6840" t="s">
        <v>43</v>
      </c>
      <c r="T6840" t="s">
        <v>43</v>
      </c>
      <c r="U6840" t="s">
        <v>43</v>
      </c>
      <c r="V6840" t="s">
        <v>43</v>
      </c>
      <c r="W6840" t="s">
        <v>43</v>
      </c>
      <c r="X6840" t="s">
        <v>43</v>
      </c>
      <c r="Y6840" t="s">
        <v>43</v>
      </c>
      <c r="Z6840" t="s">
        <v>43</v>
      </c>
      <c r="AA6840" t="s">
        <v>43</v>
      </c>
      <c r="AB6840" t="s">
        <v>43</v>
      </c>
      <c r="AC6840" t="s">
        <v>43</v>
      </c>
      <c r="AD6840" t="s">
        <v>43</v>
      </c>
      <c r="AE6840" t="s">
        <v>43</v>
      </c>
      <c r="AF6840" t="s">
        <v>43</v>
      </c>
      <c r="AG6840" t="s">
        <v>43</v>
      </c>
      <c r="AH6840" t="s">
        <v>43</v>
      </c>
      <c r="AI6840" t="s">
        <v>43</v>
      </c>
      <c r="AJ6840" t="s">
        <v>43</v>
      </c>
      <c r="AK6840" t="s">
        <v>43</v>
      </c>
      <c r="AL6840" t="s">
        <v>43</v>
      </c>
      <c r="AM6840" t="s">
        <v>43</v>
      </c>
      <c r="AN6840" t="str">
        <f>HYPERLINK("https://www.google.com/maps?q=10.78966236,79.57878876","Open Location")</f>
        <v>Open Location</v>
      </c>
    </row>
    <row r="6841" spans="1:40" x14ac:dyDescent="0.3">
      <c r="A6841" s="1">
        <v>46210.20752314815</v>
      </c>
      <c r="B6841" t="s">
        <v>40</v>
      </c>
      <c r="C6841" t="s">
        <v>41</v>
      </c>
      <c r="D6841" s="1">
        <v>46210.210370370369</v>
      </c>
      <c r="E6841" t="s">
        <v>42</v>
      </c>
      <c r="F6841" t="s">
        <v>43</v>
      </c>
      <c r="G6841" t="s">
        <v>43</v>
      </c>
      <c r="H6841" t="s">
        <v>43</v>
      </c>
      <c r="I6841" t="s">
        <v>3988</v>
      </c>
      <c r="J6841" t="s">
        <v>43</v>
      </c>
      <c r="K6841" t="s">
        <v>43</v>
      </c>
      <c r="L6841" t="s">
        <v>43</v>
      </c>
      <c r="M6841" t="s">
        <v>43</v>
      </c>
      <c r="N6841" t="s">
        <v>45</v>
      </c>
      <c r="O6841" t="s">
        <v>43</v>
      </c>
      <c r="P6841" t="s">
        <v>43</v>
      </c>
      <c r="Q6841" t="s">
        <v>43</v>
      </c>
      <c r="R6841" t="s">
        <v>43</v>
      </c>
      <c r="S6841" t="s">
        <v>43</v>
      </c>
      <c r="T6841" t="s">
        <v>43</v>
      </c>
      <c r="U6841" t="s">
        <v>43</v>
      </c>
      <c r="V6841" t="s">
        <v>43</v>
      </c>
      <c r="W6841" t="s">
        <v>43</v>
      </c>
      <c r="X6841" t="s">
        <v>43</v>
      </c>
      <c r="Y6841" t="s">
        <v>43</v>
      </c>
      <c r="Z6841" t="s">
        <v>43</v>
      </c>
      <c r="AA6841" t="s">
        <v>43</v>
      </c>
      <c r="AB6841" t="s">
        <v>43</v>
      </c>
      <c r="AC6841" t="s">
        <v>43</v>
      </c>
      <c r="AD6841" t="s">
        <v>43</v>
      </c>
      <c r="AE6841" t="s">
        <v>43</v>
      </c>
      <c r="AF6841" t="s">
        <v>43</v>
      </c>
      <c r="AG6841" t="s">
        <v>43</v>
      </c>
      <c r="AH6841" t="s">
        <v>43</v>
      </c>
      <c r="AI6841" t="s">
        <v>43</v>
      </c>
      <c r="AJ6841" t="s">
        <v>43</v>
      </c>
      <c r="AK6841" t="s">
        <v>43</v>
      </c>
      <c r="AL6841" t="s">
        <v>43</v>
      </c>
      <c r="AM6841" t="s">
        <v>43</v>
      </c>
      <c r="AN6841" t="str">
        <f>HYPERLINK("https://www.google.com/maps?q=10.78966331,79.57878876","Open Location")</f>
        <v>Open Location</v>
      </c>
    </row>
    <row r="6842" spans="1:40" x14ac:dyDescent="0.3">
      <c r="A6842" s="1">
        <v>46210.207407407404</v>
      </c>
      <c r="B6842" t="s">
        <v>40</v>
      </c>
      <c r="C6842" t="s">
        <v>41</v>
      </c>
      <c r="D6842" s="1">
        <v>46210.210347222222</v>
      </c>
      <c r="E6842" t="s">
        <v>42</v>
      </c>
      <c r="F6842" t="s">
        <v>43</v>
      </c>
      <c r="G6842" t="s">
        <v>43</v>
      </c>
      <c r="H6842" t="s">
        <v>43</v>
      </c>
      <c r="I6842" t="s">
        <v>3917</v>
      </c>
      <c r="J6842" t="s">
        <v>43</v>
      </c>
      <c r="K6842" t="s">
        <v>43</v>
      </c>
      <c r="L6842" t="s">
        <v>43</v>
      </c>
      <c r="M6842" t="s">
        <v>43</v>
      </c>
      <c r="N6842" t="s">
        <v>45</v>
      </c>
      <c r="O6842" t="s">
        <v>43</v>
      </c>
      <c r="P6842" t="s">
        <v>43</v>
      </c>
      <c r="Q6842" t="s">
        <v>43</v>
      </c>
      <c r="R6842" t="s">
        <v>43</v>
      </c>
      <c r="S6842" t="s">
        <v>43</v>
      </c>
      <c r="T6842" t="s">
        <v>43</v>
      </c>
      <c r="U6842" t="s">
        <v>43</v>
      </c>
      <c r="V6842" t="s">
        <v>43</v>
      </c>
      <c r="W6842" t="s">
        <v>43</v>
      </c>
      <c r="X6842" t="s">
        <v>43</v>
      </c>
      <c r="Y6842" t="s">
        <v>43</v>
      </c>
      <c r="Z6842" t="s">
        <v>43</v>
      </c>
      <c r="AA6842" t="s">
        <v>43</v>
      </c>
      <c r="AB6842" t="s">
        <v>43</v>
      </c>
      <c r="AC6842" t="s">
        <v>43</v>
      </c>
      <c r="AD6842" t="s">
        <v>43</v>
      </c>
      <c r="AE6842" t="s">
        <v>43</v>
      </c>
      <c r="AF6842" t="s">
        <v>43</v>
      </c>
      <c r="AG6842" t="s">
        <v>43</v>
      </c>
      <c r="AH6842" t="s">
        <v>43</v>
      </c>
      <c r="AI6842" t="s">
        <v>43</v>
      </c>
      <c r="AJ6842" t="s">
        <v>43</v>
      </c>
      <c r="AK6842" t="s">
        <v>43</v>
      </c>
      <c r="AL6842" t="s">
        <v>43</v>
      </c>
      <c r="AM6842" t="s">
        <v>43</v>
      </c>
      <c r="AN6842" t="str">
        <f>HYPERLINK("https://www.google.com/maps?q=10.78965473,79.57879639","Open Location")</f>
        <v>Open Location</v>
      </c>
    </row>
    <row r="6843" spans="1:40" x14ac:dyDescent="0.3">
      <c r="A6843" s="1">
        <v>46210.207291666666</v>
      </c>
      <c r="B6843" t="s">
        <v>40</v>
      </c>
      <c r="C6843" t="s">
        <v>41</v>
      </c>
      <c r="D6843" s="1">
        <v>46210.210127314815</v>
      </c>
      <c r="E6843" t="s">
        <v>42</v>
      </c>
      <c r="F6843" t="s">
        <v>43</v>
      </c>
      <c r="G6843" t="s">
        <v>43</v>
      </c>
      <c r="H6843" t="s">
        <v>43</v>
      </c>
      <c r="I6843" t="s">
        <v>3902</v>
      </c>
      <c r="J6843" t="s">
        <v>43</v>
      </c>
      <c r="K6843" t="s">
        <v>43</v>
      </c>
      <c r="L6843" t="s">
        <v>43</v>
      </c>
      <c r="M6843" t="s">
        <v>43</v>
      </c>
      <c r="N6843" t="s">
        <v>45</v>
      </c>
      <c r="O6843" t="s">
        <v>43</v>
      </c>
      <c r="P6843" t="s">
        <v>43</v>
      </c>
      <c r="Q6843" t="s">
        <v>43</v>
      </c>
      <c r="R6843" t="s">
        <v>43</v>
      </c>
      <c r="S6843" t="s">
        <v>43</v>
      </c>
      <c r="T6843" t="s">
        <v>43</v>
      </c>
      <c r="U6843" t="s">
        <v>43</v>
      </c>
      <c r="V6843" t="s">
        <v>43</v>
      </c>
      <c r="W6843" t="s">
        <v>43</v>
      </c>
      <c r="X6843" t="s">
        <v>43</v>
      </c>
      <c r="Y6843" t="s">
        <v>43</v>
      </c>
      <c r="Z6843" t="s">
        <v>43</v>
      </c>
      <c r="AA6843" t="s">
        <v>43</v>
      </c>
      <c r="AB6843" t="s">
        <v>43</v>
      </c>
      <c r="AC6843" t="s">
        <v>43</v>
      </c>
      <c r="AD6843" t="s">
        <v>43</v>
      </c>
      <c r="AE6843" t="s">
        <v>43</v>
      </c>
      <c r="AF6843" t="s">
        <v>43</v>
      </c>
      <c r="AG6843" t="s">
        <v>43</v>
      </c>
      <c r="AH6843" t="s">
        <v>43</v>
      </c>
      <c r="AI6843" t="s">
        <v>43</v>
      </c>
      <c r="AJ6843" t="s">
        <v>43</v>
      </c>
      <c r="AK6843" t="s">
        <v>43</v>
      </c>
      <c r="AL6843" t="s">
        <v>43</v>
      </c>
      <c r="AM6843" t="s">
        <v>43</v>
      </c>
      <c r="AN6843" t="str">
        <f>HYPERLINK("https://www.google.com/maps?q=10.78965187,79.57879639","Open Location")</f>
        <v>Open Location</v>
      </c>
    </row>
    <row r="6844" spans="1:40" x14ac:dyDescent="0.3">
      <c r="A6844" s="1">
        <v>46210.207175925927</v>
      </c>
      <c r="B6844" t="s">
        <v>40</v>
      </c>
      <c r="C6844" t="s">
        <v>41</v>
      </c>
      <c r="D6844" s="1">
        <v>46210.210312499999</v>
      </c>
      <c r="E6844" t="s">
        <v>42</v>
      </c>
      <c r="F6844" t="s">
        <v>43</v>
      </c>
      <c r="G6844" t="s">
        <v>43</v>
      </c>
      <c r="H6844" t="s">
        <v>43</v>
      </c>
      <c r="I6844" t="s">
        <v>43</v>
      </c>
      <c r="J6844" t="s">
        <v>43</v>
      </c>
      <c r="K6844" t="s">
        <v>43</v>
      </c>
      <c r="L6844" t="s">
        <v>43</v>
      </c>
      <c r="M6844" t="s">
        <v>43</v>
      </c>
      <c r="N6844" t="s">
        <v>45</v>
      </c>
      <c r="O6844" t="s">
        <v>43</v>
      </c>
      <c r="P6844" t="s">
        <v>43</v>
      </c>
      <c r="Q6844" t="s">
        <v>43</v>
      </c>
      <c r="R6844" t="s">
        <v>43</v>
      </c>
      <c r="S6844" t="s">
        <v>43</v>
      </c>
      <c r="T6844" t="s">
        <v>43</v>
      </c>
      <c r="U6844" t="s">
        <v>43</v>
      </c>
      <c r="V6844" t="s">
        <v>43</v>
      </c>
      <c r="W6844" t="s">
        <v>43</v>
      </c>
      <c r="X6844" t="s">
        <v>43</v>
      </c>
      <c r="Y6844" t="s">
        <v>43</v>
      </c>
      <c r="Z6844" t="s">
        <v>43</v>
      </c>
      <c r="AA6844" t="s">
        <v>43</v>
      </c>
      <c r="AB6844" t="s">
        <v>43</v>
      </c>
      <c r="AC6844" t="s">
        <v>43</v>
      </c>
      <c r="AD6844" t="s">
        <v>43</v>
      </c>
      <c r="AE6844" t="s">
        <v>43</v>
      </c>
      <c r="AF6844" t="s">
        <v>43</v>
      </c>
      <c r="AG6844" t="s">
        <v>43</v>
      </c>
      <c r="AH6844" t="s">
        <v>43</v>
      </c>
      <c r="AI6844" t="s">
        <v>43</v>
      </c>
      <c r="AJ6844" t="s">
        <v>43</v>
      </c>
      <c r="AK6844" t="s">
        <v>43</v>
      </c>
      <c r="AL6844" t="s">
        <v>43</v>
      </c>
      <c r="AM6844" t="s">
        <v>43</v>
      </c>
      <c r="AN6844" t="s">
        <v>43</v>
      </c>
    </row>
    <row r="6845" spans="1:40" x14ac:dyDescent="0.3">
      <c r="A6845" s="1">
        <v>46210.207060185188</v>
      </c>
      <c r="B6845" t="s">
        <v>40</v>
      </c>
      <c r="C6845" t="s">
        <v>41</v>
      </c>
      <c r="D6845" s="1">
        <v>46210.209965277776</v>
      </c>
      <c r="E6845" t="s">
        <v>42</v>
      </c>
      <c r="F6845" t="s">
        <v>43</v>
      </c>
      <c r="G6845" t="s">
        <v>43</v>
      </c>
      <c r="H6845" t="s">
        <v>43</v>
      </c>
      <c r="I6845" t="s">
        <v>3895</v>
      </c>
      <c r="J6845" t="s">
        <v>43</v>
      </c>
      <c r="K6845" t="s">
        <v>43</v>
      </c>
      <c r="L6845" t="s">
        <v>43</v>
      </c>
      <c r="M6845" t="s">
        <v>43</v>
      </c>
      <c r="N6845" t="s">
        <v>45</v>
      </c>
      <c r="O6845" t="s">
        <v>43</v>
      </c>
      <c r="P6845" t="s">
        <v>43</v>
      </c>
      <c r="Q6845" t="s">
        <v>43</v>
      </c>
      <c r="R6845" t="s">
        <v>43</v>
      </c>
      <c r="S6845" t="s">
        <v>43</v>
      </c>
      <c r="T6845" t="s">
        <v>43</v>
      </c>
      <c r="U6845" t="s">
        <v>43</v>
      </c>
      <c r="V6845" t="s">
        <v>43</v>
      </c>
      <c r="W6845" t="s">
        <v>43</v>
      </c>
      <c r="X6845" t="s">
        <v>43</v>
      </c>
      <c r="Y6845" t="s">
        <v>43</v>
      </c>
      <c r="Z6845" t="s">
        <v>43</v>
      </c>
      <c r="AA6845" t="s">
        <v>43</v>
      </c>
      <c r="AB6845" t="s">
        <v>43</v>
      </c>
      <c r="AC6845" t="s">
        <v>43</v>
      </c>
      <c r="AD6845" t="s">
        <v>43</v>
      </c>
      <c r="AE6845" t="s">
        <v>43</v>
      </c>
      <c r="AF6845" t="s">
        <v>43</v>
      </c>
      <c r="AG6845" t="s">
        <v>43</v>
      </c>
      <c r="AH6845" t="s">
        <v>43</v>
      </c>
      <c r="AI6845" t="s">
        <v>43</v>
      </c>
      <c r="AJ6845" t="s">
        <v>43</v>
      </c>
      <c r="AK6845" t="s">
        <v>43</v>
      </c>
      <c r="AL6845" t="s">
        <v>43</v>
      </c>
      <c r="AM6845" t="s">
        <v>43</v>
      </c>
      <c r="AN6845" t="str">
        <f>HYPERLINK("https://www.google.com/maps?q=10.78965187,79.57878876","Open Location")</f>
        <v>Open Location</v>
      </c>
    </row>
    <row r="6846" spans="1:40" x14ac:dyDescent="0.3">
      <c r="A6846" s="1">
        <v>46210.206944444442</v>
      </c>
      <c r="B6846" t="s">
        <v>40</v>
      </c>
      <c r="C6846" t="s">
        <v>41</v>
      </c>
      <c r="D6846" s="1">
        <v>46210.209988425922</v>
      </c>
      <c r="E6846" t="s">
        <v>42</v>
      </c>
      <c r="F6846" t="s">
        <v>43</v>
      </c>
      <c r="G6846" t="s">
        <v>43</v>
      </c>
      <c r="H6846" t="s">
        <v>43</v>
      </c>
      <c r="I6846" t="s">
        <v>3989</v>
      </c>
      <c r="J6846" t="s">
        <v>43</v>
      </c>
      <c r="K6846" t="s">
        <v>43</v>
      </c>
      <c r="L6846" t="s">
        <v>43</v>
      </c>
      <c r="M6846" t="s">
        <v>43</v>
      </c>
      <c r="N6846" t="s">
        <v>45</v>
      </c>
      <c r="O6846" t="s">
        <v>43</v>
      </c>
      <c r="P6846" t="s">
        <v>43</v>
      </c>
      <c r="Q6846" t="s">
        <v>43</v>
      </c>
      <c r="R6846" t="s">
        <v>43</v>
      </c>
      <c r="S6846" t="s">
        <v>43</v>
      </c>
      <c r="T6846" t="s">
        <v>43</v>
      </c>
      <c r="U6846" t="s">
        <v>43</v>
      </c>
      <c r="V6846" t="s">
        <v>43</v>
      </c>
      <c r="W6846" t="s">
        <v>43</v>
      </c>
      <c r="X6846" t="s">
        <v>43</v>
      </c>
      <c r="Y6846" t="s">
        <v>43</v>
      </c>
      <c r="Z6846" t="s">
        <v>43</v>
      </c>
      <c r="AA6846" t="s">
        <v>43</v>
      </c>
      <c r="AB6846" t="s">
        <v>43</v>
      </c>
      <c r="AC6846" t="s">
        <v>43</v>
      </c>
      <c r="AD6846" t="s">
        <v>43</v>
      </c>
      <c r="AE6846" t="s">
        <v>43</v>
      </c>
      <c r="AF6846" t="s">
        <v>43</v>
      </c>
      <c r="AG6846" t="s">
        <v>43</v>
      </c>
      <c r="AH6846" t="s">
        <v>43</v>
      </c>
      <c r="AI6846" t="s">
        <v>43</v>
      </c>
      <c r="AJ6846" t="s">
        <v>43</v>
      </c>
      <c r="AK6846" t="s">
        <v>43</v>
      </c>
      <c r="AL6846" t="s">
        <v>43</v>
      </c>
      <c r="AM6846" t="s">
        <v>43</v>
      </c>
      <c r="AN6846" t="str">
        <f>HYPERLINK("https://www.google.com/maps?q=10.78965473,79.57878113","Open Location")</f>
        <v>Open Location</v>
      </c>
    </row>
    <row r="6847" spans="1:40" x14ac:dyDescent="0.3">
      <c r="A6847" s="1">
        <v>46210.206828703704</v>
      </c>
      <c r="B6847" t="s">
        <v>40</v>
      </c>
      <c r="C6847" t="s">
        <v>41</v>
      </c>
      <c r="D6847" s="1">
        <v>46210.209756944445</v>
      </c>
      <c r="E6847" t="s">
        <v>42</v>
      </c>
      <c r="F6847" t="s">
        <v>43</v>
      </c>
      <c r="G6847" t="s">
        <v>43</v>
      </c>
      <c r="H6847" t="s">
        <v>43</v>
      </c>
      <c r="I6847" t="s">
        <v>3982</v>
      </c>
      <c r="J6847" t="s">
        <v>43</v>
      </c>
      <c r="K6847" t="s">
        <v>43</v>
      </c>
      <c r="L6847" t="s">
        <v>43</v>
      </c>
      <c r="M6847" t="s">
        <v>43</v>
      </c>
      <c r="N6847" t="s">
        <v>45</v>
      </c>
      <c r="O6847" t="s">
        <v>43</v>
      </c>
      <c r="P6847" t="s">
        <v>43</v>
      </c>
      <c r="Q6847" t="s">
        <v>43</v>
      </c>
      <c r="R6847" t="s">
        <v>43</v>
      </c>
      <c r="S6847" t="s">
        <v>43</v>
      </c>
      <c r="T6847" t="s">
        <v>43</v>
      </c>
      <c r="U6847" t="s">
        <v>43</v>
      </c>
      <c r="V6847" t="s">
        <v>43</v>
      </c>
      <c r="W6847" t="s">
        <v>43</v>
      </c>
      <c r="X6847" t="s">
        <v>43</v>
      </c>
      <c r="Y6847" t="s">
        <v>43</v>
      </c>
      <c r="Z6847" t="s">
        <v>43</v>
      </c>
      <c r="AA6847" t="s">
        <v>43</v>
      </c>
      <c r="AB6847" t="s">
        <v>43</v>
      </c>
      <c r="AC6847" t="s">
        <v>43</v>
      </c>
      <c r="AD6847" t="s">
        <v>43</v>
      </c>
      <c r="AE6847" t="s">
        <v>43</v>
      </c>
      <c r="AF6847" t="s">
        <v>43</v>
      </c>
      <c r="AG6847" t="s">
        <v>43</v>
      </c>
      <c r="AH6847" t="s">
        <v>43</v>
      </c>
      <c r="AI6847" t="s">
        <v>43</v>
      </c>
      <c r="AJ6847" t="s">
        <v>43</v>
      </c>
      <c r="AK6847" t="s">
        <v>43</v>
      </c>
      <c r="AL6847" t="s">
        <v>43</v>
      </c>
      <c r="AM6847" t="s">
        <v>43</v>
      </c>
      <c r="AN6847" t="str">
        <f>HYPERLINK("https://www.google.com/maps?q=10.78965092,79.57878113","Open Location")</f>
        <v>Open Location</v>
      </c>
    </row>
    <row r="6848" spans="1:40" x14ac:dyDescent="0.3">
      <c r="A6848" s="1">
        <v>46210.206712962965</v>
      </c>
      <c r="B6848" t="s">
        <v>40</v>
      </c>
      <c r="C6848" t="s">
        <v>41</v>
      </c>
      <c r="D6848" s="1">
        <v>46210.209606481483</v>
      </c>
      <c r="E6848" t="s">
        <v>42</v>
      </c>
      <c r="F6848" t="s">
        <v>43</v>
      </c>
      <c r="G6848" t="s">
        <v>43</v>
      </c>
      <c r="H6848" t="s">
        <v>43</v>
      </c>
      <c r="I6848" t="s">
        <v>3981</v>
      </c>
      <c r="J6848" t="s">
        <v>43</v>
      </c>
      <c r="K6848" t="s">
        <v>43</v>
      </c>
      <c r="L6848" t="s">
        <v>43</v>
      </c>
      <c r="M6848" t="s">
        <v>43</v>
      </c>
      <c r="N6848" t="s">
        <v>45</v>
      </c>
      <c r="O6848" t="s">
        <v>43</v>
      </c>
      <c r="P6848" t="s">
        <v>43</v>
      </c>
      <c r="Q6848" t="s">
        <v>43</v>
      </c>
      <c r="R6848" t="s">
        <v>43</v>
      </c>
      <c r="S6848" t="s">
        <v>43</v>
      </c>
      <c r="T6848" t="s">
        <v>43</v>
      </c>
      <c r="U6848" t="s">
        <v>43</v>
      </c>
      <c r="V6848" t="s">
        <v>43</v>
      </c>
      <c r="W6848" t="s">
        <v>43</v>
      </c>
      <c r="X6848" t="s">
        <v>43</v>
      </c>
      <c r="Y6848" t="s">
        <v>43</v>
      </c>
      <c r="Z6848" t="s">
        <v>43</v>
      </c>
      <c r="AA6848" t="s">
        <v>43</v>
      </c>
      <c r="AB6848" t="s">
        <v>43</v>
      </c>
      <c r="AC6848" t="s">
        <v>43</v>
      </c>
      <c r="AD6848" t="s">
        <v>43</v>
      </c>
      <c r="AE6848" t="s">
        <v>43</v>
      </c>
      <c r="AF6848" t="s">
        <v>43</v>
      </c>
      <c r="AG6848" t="s">
        <v>43</v>
      </c>
      <c r="AH6848" t="s">
        <v>43</v>
      </c>
      <c r="AI6848" t="s">
        <v>43</v>
      </c>
      <c r="AJ6848" t="s">
        <v>43</v>
      </c>
      <c r="AK6848" t="s">
        <v>43</v>
      </c>
      <c r="AL6848" t="s">
        <v>43</v>
      </c>
      <c r="AM6848" t="s">
        <v>43</v>
      </c>
      <c r="AN6848" t="str">
        <f>HYPERLINK("https://www.google.com/maps?q=10.78965282,79.5787735","Open Location")</f>
        <v>Open Location</v>
      </c>
    </row>
    <row r="6849" spans="1:40" x14ac:dyDescent="0.3">
      <c r="A6849" s="1">
        <v>46210.206597222219</v>
      </c>
      <c r="B6849" t="s">
        <v>40</v>
      </c>
      <c r="C6849" t="s">
        <v>41</v>
      </c>
      <c r="D6849" s="1">
        <v>46210.209629629629</v>
      </c>
      <c r="E6849" t="s">
        <v>42</v>
      </c>
      <c r="F6849" t="s">
        <v>43</v>
      </c>
      <c r="G6849" t="s">
        <v>43</v>
      </c>
      <c r="H6849" t="s">
        <v>43</v>
      </c>
      <c r="I6849" t="s">
        <v>43</v>
      </c>
      <c r="J6849" t="s">
        <v>43</v>
      </c>
      <c r="K6849" t="s">
        <v>43</v>
      </c>
      <c r="L6849" t="s">
        <v>43</v>
      </c>
      <c r="M6849" t="s">
        <v>43</v>
      </c>
      <c r="N6849" t="s">
        <v>45</v>
      </c>
      <c r="O6849" t="s">
        <v>43</v>
      </c>
      <c r="P6849" t="s">
        <v>43</v>
      </c>
      <c r="Q6849" t="s">
        <v>43</v>
      </c>
      <c r="R6849" t="s">
        <v>43</v>
      </c>
      <c r="S6849" t="s">
        <v>43</v>
      </c>
      <c r="T6849" t="s">
        <v>43</v>
      </c>
      <c r="U6849" t="s">
        <v>43</v>
      </c>
      <c r="V6849" t="s">
        <v>43</v>
      </c>
      <c r="W6849" t="s">
        <v>43</v>
      </c>
      <c r="X6849" t="s">
        <v>43</v>
      </c>
      <c r="Y6849" t="s">
        <v>43</v>
      </c>
      <c r="Z6849" t="s">
        <v>43</v>
      </c>
      <c r="AA6849" t="s">
        <v>43</v>
      </c>
      <c r="AB6849" t="s">
        <v>43</v>
      </c>
      <c r="AC6849" t="s">
        <v>43</v>
      </c>
      <c r="AD6849" t="s">
        <v>43</v>
      </c>
      <c r="AE6849" t="s">
        <v>43</v>
      </c>
      <c r="AF6849" t="s">
        <v>43</v>
      </c>
      <c r="AG6849" t="s">
        <v>43</v>
      </c>
      <c r="AH6849" t="s">
        <v>43</v>
      </c>
      <c r="AI6849" t="s">
        <v>43</v>
      </c>
      <c r="AJ6849" t="s">
        <v>43</v>
      </c>
      <c r="AK6849" t="s">
        <v>43</v>
      </c>
      <c r="AL6849" t="s">
        <v>43</v>
      </c>
      <c r="AM6849" t="s">
        <v>43</v>
      </c>
      <c r="AN6849" t="s">
        <v>43</v>
      </c>
    </row>
    <row r="6850" spans="1:40" x14ac:dyDescent="0.3">
      <c r="A6850" s="1">
        <v>46210.20648148148</v>
      </c>
      <c r="B6850" t="s">
        <v>40</v>
      </c>
      <c r="C6850" t="s">
        <v>41</v>
      </c>
      <c r="D6850" s="1">
        <v>46210.209629629629</v>
      </c>
      <c r="E6850" t="s">
        <v>42</v>
      </c>
      <c r="F6850" t="s">
        <v>43</v>
      </c>
      <c r="G6850" t="s">
        <v>43</v>
      </c>
      <c r="H6850" t="s">
        <v>43</v>
      </c>
      <c r="I6850" t="s">
        <v>3990</v>
      </c>
      <c r="J6850" t="s">
        <v>43</v>
      </c>
      <c r="K6850" t="s">
        <v>43</v>
      </c>
      <c r="L6850" t="s">
        <v>43</v>
      </c>
      <c r="M6850" t="s">
        <v>43</v>
      </c>
      <c r="N6850" t="s">
        <v>45</v>
      </c>
      <c r="O6850" t="s">
        <v>43</v>
      </c>
      <c r="P6850" t="s">
        <v>43</v>
      </c>
      <c r="Q6850" t="s">
        <v>43</v>
      </c>
      <c r="R6850" t="s">
        <v>43</v>
      </c>
      <c r="S6850" t="s">
        <v>43</v>
      </c>
      <c r="T6850" t="s">
        <v>43</v>
      </c>
      <c r="U6850" t="s">
        <v>43</v>
      </c>
      <c r="V6850" t="s">
        <v>43</v>
      </c>
      <c r="W6850" t="s">
        <v>43</v>
      </c>
      <c r="X6850" t="s">
        <v>43</v>
      </c>
      <c r="Y6850" t="s">
        <v>43</v>
      </c>
      <c r="Z6850" t="s">
        <v>43</v>
      </c>
      <c r="AA6850" t="s">
        <v>43</v>
      </c>
      <c r="AB6850" t="s">
        <v>43</v>
      </c>
      <c r="AC6850" t="s">
        <v>43</v>
      </c>
      <c r="AD6850" t="s">
        <v>43</v>
      </c>
      <c r="AE6850" t="s">
        <v>43</v>
      </c>
      <c r="AF6850" t="s">
        <v>43</v>
      </c>
      <c r="AG6850" t="s">
        <v>43</v>
      </c>
      <c r="AH6850" t="s">
        <v>43</v>
      </c>
      <c r="AI6850" t="s">
        <v>43</v>
      </c>
      <c r="AJ6850" t="s">
        <v>43</v>
      </c>
      <c r="AK6850" t="s">
        <v>43</v>
      </c>
      <c r="AL6850" t="s">
        <v>43</v>
      </c>
      <c r="AM6850" t="s">
        <v>43</v>
      </c>
      <c r="AN6850" t="str">
        <f>HYPERLINK("https://www.google.com/maps?q=10.7896471,79.57878113","Open Location")</f>
        <v>Open Location</v>
      </c>
    </row>
    <row r="6851" spans="1:40" x14ac:dyDescent="0.3">
      <c r="A6851" s="1">
        <v>46210.206365740742</v>
      </c>
      <c r="B6851" t="s">
        <v>40</v>
      </c>
      <c r="C6851" t="s">
        <v>41</v>
      </c>
      <c r="D6851" s="1">
        <v>46210.209247685183</v>
      </c>
      <c r="E6851" t="s">
        <v>42</v>
      </c>
      <c r="F6851" t="s">
        <v>43</v>
      </c>
      <c r="G6851" t="s">
        <v>43</v>
      </c>
      <c r="H6851" t="s">
        <v>43</v>
      </c>
      <c r="I6851" t="s">
        <v>3991</v>
      </c>
      <c r="J6851" t="s">
        <v>43</v>
      </c>
      <c r="K6851" t="s">
        <v>43</v>
      </c>
      <c r="L6851" t="s">
        <v>43</v>
      </c>
      <c r="M6851" t="s">
        <v>43</v>
      </c>
      <c r="N6851" t="s">
        <v>45</v>
      </c>
      <c r="O6851" t="s">
        <v>43</v>
      </c>
      <c r="P6851" t="s">
        <v>43</v>
      </c>
      <c r="Q6851" t="s">
        <v>43</v>
      </c>
      <c r="R6851" t="s">
        <v>43</v>
      </c>
      <c r="S6851" t="s">
        <v>43</v>
      </c>
      <c r="T6851" t="s">
        <v>43</v>
      </c>
      <c r="U6851" t="s">
        <v>43</v>
      </c>
      <c r="V6851" t="s">
        <v>43</v>
      </c>
      <c r="W6851" t="s">
        <v>43</v>
      </c>
      <c r="X6851" t="s">
        <v>43</v>
      </c>
      <c r="Y6851" t="s">
        <v>43</v>
      </c>
      <c r="Z6851" t="s">
        <v>43</v>
      </c>
      <c r="AA6851" t="s">
        <v>43</v>
      </c>
      <c r="AB6851" t="s">
        <v>43</v>
      </c>
      <c r="AC6851" t="s">
        <v>43</v>
      </c>
      <c r="AD6851" t="s">
        <v>43</v>
      </c>
      <c r="AE6851" t="s">
        <v>43</v>
      </c>
      <c r="AF6851" t="s">
        <v>43</v>
      </c>
      <c r="AG6851" t="s">
        <v>43</v>
      </c>
      <c r="AH6851" t="s">
        <v>43</v>
      </c>
      <c r="AI6851" t="s">
        <v>43</v>
      </c>
      <c r="AJ6851" t="s">
        <v>43</v>
      </c>
      <c r="AK6851" t="s">
        <v>43</v>
      </c>
      <c r="AL6851" t="s">
        <v>43</v>
      </c>
      <c r="AM6851" t="s">
        <v>43</v>
      </c>
      <c r="AN6851" t="str">
        <f>HYPERLINK("https://www.google.com/maps?q=10.7896452,79.5787735","Open Location")</f>
        <v>Open Location</v>
      </c>
    </row>
    <row r="6852" spans="1:40" x14ac:dyDescent="0.3">
      <c r="A6852" s="1">
        <v>46210.206250000003</v>
      </c>
      <c r="B6852" t="s">
        <v>40</v>
      </c>
      <c r="C6852" t="s">
        <v>41</v>
      </c>
      <c r="D6852" s="1">
        <v>46210.20925925926</v>
      </c>
      <c r="E6852" t="s">
        <v>42</v>
      </c>
      <c r="F6852" t="s">
        <v>43</v>
      </c>
      <c r="G6852" t="s">
        <v>43</v>
      </c>
      <c r="H6852" t="s">
        <v>43</v>
      </c>
      <c r="I6852" t="s">
        <v>3992</v>
      </c>
      <c r="J6852" t="s">
        <v>43</v>
      </c>
      <c r="K6852" t="s">
        <v>43</v>
      </c>
      <c r="L6852" t="s">
        <v>43</v>
      </c>
      <c r="M6852" t="s">
        <v>43</v>
      </c>
      <c r="N6852" t="s">
        <v>45</v>
      </c>
      <c r="O6852" t="s">
        <v>43</v>
      </c>
      <c r="P6852" t="s">
        <v>43</v>
      </c>
      <c r="Q6852" t="s">
        <v>43</v>
      </c>
      <c r="R6852" t="s">
        <v>43</v>
      </c>
      <c r="S6852" t="s">
        <v>43</v>
      </c>
      <c r="T6852" t="s">
        <v>43</v>
      </c>
      <c r="U6852" t="s">
        <v>43</v>
      </c>
      <c r="V6852" t="s">
        <v>43</v>
      </c>
      <c r="W6852" t="s">
        <v>43</v>
      </c>
      <c r="X6852" t="s">
        <v>43</v>
      </c>
      <c r="Y6852" t="s">
        <v>43</v>
      </c>
      <c r="Z6852" t="s">
        <v>43</v>
      </c>
      <c r="AA6852" t="s">
        <v>43</v>
      </c>
      <c r="AB6852" t="s">
        <v>43</v>
      </c>
      <c r="AC6852" t="s">
        <v>43</v>
      </c>
      <c r="AD6852" t="s">
        <v>43</v>
      </c>
      <c r="AE6852" t="s">
        <v>43</v>
      </c>
      <c r="AF6852" t="s">
        <v>43</v>
      </c>
      <c r="AG6852" t="s">
        <v>43</v>
      </c>
      <c r="AH6852" t="s">
        <v>43</v>
      </c>
      <c r="AI6852" t="s">
        <v>43</v>
      </c>
      <c r="AJ6852" t="s">
        <v>43</v>
      </c>
      <c r="AK6852" t="s">
        <v>43</v>
      </c>
      <c r="AL6852" t="s">
        <v>43</v>
      </c>
      <c r="AM6852" t="s">
        <v>43</v>
      </c>
      <c r="AN6852" t="str">
        <f>HYPERLINK("https://www.google.com/maps?q=10.78964329,79.57878113","Open Location")</f>
        <v>Open Location</v>
      </c>
    </row>
    <row r="6853" spans="1:40" x14ac:dyDescent="0.3">
      <c r="A6853" s="1">
        <v>46210.206134259257</v>
      </c>
      <c r="B6853" t="s">
        <v>40</v>
      </c>
      <c r="C6853" t="s">
        <v>41</v>
      </c>
      <c r="D6853" s="1">
        <v>46210.209224537037</v>
      </c>
      <c r="E6853" t="s">
        <v>42</v>
      </c>
      <c r="F6853" t="s">
        <v>43</v>
      </c>
      <c r="G6853" t="s">
        <v>43</v>
      </c>
      <c r="H6853" t="s">
        <v>43</v>
      </c>
      <c r="I6853" t="s">
        <v>3990</v>
      </c>
      <c r="J6853" t="s">
        <v>43</v>
      </c>
      <c r="K6853" t="s">
        <v>43</v>
      </c>
      <c r="L6853" t="s">
        <v>43</v>
      </c>
      <c r="M6853" t="s">
        <v>43</v>
      </c>
      <c r="N6853" t="s">
        <v>45</v>
      </c>
      <c r="O6853" t="s">
        <v>43</v>
      </c>
      <c r="P6853" t="s">
        <v>43</v>
      </c>
      <c r="Q6853" t="s">
        <v>43</v>
      </c>
      <c r="R6853" t="s">
        <v>43</v>
      </c>
      <c r="S6853" t="s">
        <v>43</v>
      </c>
      <c r="T6853" t="s">
        <v>43</v>
      </c>
      <c r="U6853" t="s">
        <v>43</v>
      </c>
      <c r="V6853" t="s">
        <v>43</v>
      </c>
      <c r="W6853" t="s">
        <v>43</v>
      </c>
      <c r="X6853" t="s">
        <v>43</v>
      </c>
      <c r="Y6853" t="s">
        <v>43</v>
      </c>
      <c r="Z6853" t="s">
        <v>43</v>
      </c>
      <c r="AA6853" t="s">
        <v>43</v>
      </c>
      <c r="AB6853" t="s">
        <v>43</v>
      </c>
      <c r="AC6853" t="s">
        <v>43</v>
      </c>
      <c r="AD6853" t="s">
        <v>43</v>
      </c>
      <c r="AE6853" t="s">
        <v>43</v>
      </c>
      <c r="AF6853" t="s">
        <v>43</v>
      </c>
      <c r="AG6853" t="s">
        <v>43</v>
      </c>
      <c r="AH6853" t="s">
        <v>43</v>
      </c>
      <c r="AI6853" t="s">
        <v>43</v>
      </c>
      <c r="AJ6853" t="s">
        <v>43</v>
      </c>
      <c r="AK6853" t="s">
        <v>43</v>
      </c>
      <c r="AL6853" t="s">
        <v>43</v>
      </c>
      <c r="AM6853" t="s">
        <v>43</v>
      </c>
      <c r="AN6853" t="str">
        <f>HYPERLINK("https://www.google.com/maps?q=10.7896471,79.57878113","Open Location")</f>
        <v>Open Location</v>
      </c>
    </row>
    <row r="6854" spans="1:40" x14ac:dyDescent="0.3">
      <c r="A6854" s="1">
        <v>46210.206018518518</v>
      </c>
      <c r="B6854" t="s">
        <v>40</v>
      </c>
      <c r="C6854" t="s">
        <v>41</v>
      </c>
      <c r="D6854" s="1">
        <v>46210.209224537037</v>
      </c>
      <c r="E6854" t="s">
        <v>42</v>
      </c>
      <c r="F6854" t="s">
        <v>43</v>
      </c>
      <c r="G6854" t="s">
        <v>43</v>
      </c>
      <c r="H6854" t="s">
        <v>43</v>
      </c>
      <c r="I6854" t="s">
        <v>3993</v>
      </c>
      <c r="J6854" t="s">
        <v>43</v>
      </c>
      <c r="K6854" t="s">
        <v>43</v>
      </c>
      <c r="L6854" t="s">
        <v>43</v>
      </c>
      <c r="M6854" t="s">
        <v>43</v>
      </c>
      <c r="N6854" t="s">
        <v>45</v>
      </c>
      <c r="O6854" t="s">
        <v>43</v>
      </c>
      <c r="P6854" t="s">
        <v>43</v>
      </c>
      <c r="Q6854" t="s">
        <v>43</v>
      </c>
      <c r="R6854" t="s">
        <v>43</v>
      </c>
      <c r="S6854" t="s">
        <v>43</v>
      </c>
      <c r="T6854" t="s">
        <v>43</v>
      </c>
      <c r="U6854" t="s">
        <v>43</v>
      </c>
      <c r="V6854" t="s">
        <v>43</v>
      </c>
      <c r="W6854" t="s">
        <v>43</v>
      </c>
      <c r="X6854" t="s">
        <v>43</v>
      </c>
      <c r="Y6854" t="s">
        <v>43</v>
      </c>
      <c r="Z6854" t="s">
        <v>43</v>
      </c>
      <c r="AA6854" t="s">
        <v>43</v>
      </c>
      <c r="AB6854" t="s">
        <v>43</v>
      </c>
      <c r="AC6854" t="s">
        <v>43</v>
      </c>
      <c r="AD6854" t="s">
        <v>43</v>
      </c>
      <c r="AE6854" t="s">
        <v>43</v>
      </c>
      <c r="AF6854" t="s">
        <v>43</v>
      </c>
      <c r="AG6854" t="s">
        <v>43</v>
      </c>
      <c r="AH6854" t="s">
        <v>43</v>
      </c>
      <c r="AI6854" t="s">
        <v>43</v>
      </c>
      <c r="AJ6854" t="s">
        <v>43</v>
      </c>
      <c r="AK6854" t="s">
        <v>43</v>
      </c>
      <c r="AL6854" t="s">
        <v>43</v>
      </c>
      <c r="AM6854" t="s">
        <v>43</v>
      </c>
      <c r="AN6854" t="str">
        <f>HYPERLINK("https://www.google.com/maps?q=10.78965187,79.57878113","Open Location")</f>
        <v>Open Location</v>
      </c>
    </row>
    <row r="6855" spans="1:40" x14ac:dyDescent="0.3">
      <c r="A6855" s="1">
        <v>46210.20590277778</v>
      </c>
      <c r="B6855" t="s">
        <v>40</v>
      </c>
      <c r="C6855" t="s">
        <v>41</v>
      </c>
      <c r="D6855" s="1">
        <v>46210.20888888889</v>
      </c>
      <c r="E6855" t="s">
        <v>42</v>
      </c>
      <c r="F6855" t="s">
        <v>43</v>
      </c>
      <c r="G6855" t="s">
        <v>43</v>
      </c>
      <c r="H6855" t="s">
        <v>43</v>
      </c>
      <c r="I6855" t="s">
        <v>43</v>
      </c>
      <c r="J6855" t="s">
        <v>43</v>
      </c>
      <c r="K6855" t="s">
        <v>43</v>
      </c>
      <c r="L6855" t="s">
        <v>43</v>
      </c>
      <c r="M6855" t="s">
        <v>43</v>
      </c>
      <c r="N6855" t="s">
        <v>45</v>
      </c>
      <c r="O6855" t="s">
        <v>43</v>
      </c>
      <c r="P6855" t="s">
        <v>43</v>
      </c>
      <c r="Q6855" t="s">
        <v>43</v>
      </c>
      <c r="R6855" t="s">
        <v>43</v>
      </c>
      <c r="S6855" t="s">
        <v>43</v>
      </c>
      <c r="T6855" t="s">
        <v>43</v>
      </c>
      <c r="U6855" t="s">
        <v>43</v>
      </c>
      <c r="V6855" t="s">
        <v>43</v>
      </c>
      <c r="W6855" t="s">
        <v>43</v>
      </c>
      <c r="X6855" t="s">
        <v>43</v>
      </c>
      <c r="Y6855" t="s">
        <v>43</v>
      </c>
      <c r="Z6855" t="s">
        <v>43</v>
      </c>
      <c r="AA6855" t="s">
        <v>43</v>
      </c>
      <c r="AB6855" t="s">
        <v>43</v>
      </c>
      <c r="AC6855" t="s">
        <v>43</v>
      </c>
      <c r="AD6855" t="s">
        <v>43</v>
      </c>
      <c r="AE6855" t="s">
        <v>43</v>
      </c>
      <c r="AF6855" t="s">
        <v>43</v>
      </c>
      <c r="AG6855" t="s">
        <v>43</v>
      </c>
      <c r="AH6855" t="s">
        <v>43</v>
      </c>
      <c r="AI6855" t="s">
        <v>43</v>
      </c>
      <c r="AJ6855" t="s">
        <v>43</v>
      </c>
      <c r="AK6855" t="s">
        <v>43</v>
      </c>
      <c r="AL6855" t="s">
        <v>43</v>
      </c>
      <c r="AM6855" t="s">
        <v>43</v>
      </c>
      <c r="AN6855" t="s">
        <v>43</v>
      </c>
    </row>
    <row r="6856" spans="1:40" x14ac:dyDescent="0.3">
      <c r="A6856" s="1">
        <v>46210.205787037034</v>
      </c>
      <c r="B6856" t="s">
        <v>40</v>
      </c>
      <c r="C6856" t="s">
        <v>41</v>
      </c>
      <c r="D6856" s="1">
        <v>46210.20888888889</v>
      </c>
      <c r="E6856" t="s">
        <v>42</v>
      </c>
      <c r="F6856" t="s">
        <v>43</v>
      </c>
      <c r="G6856" t="s">
        <v>43</v>
      </c>
      <c r="H6856" t="s">
        <v>43</v>
      </c>
      <c r="I6856" t="s">
        <v>3980</v>
      </c>
      <c r="J6856" t="s">
        <v>43</v>
      </c>
      <c r="K6856" t="s">
        <v>43</v>
      </c>
      <c r="L6856" t="s">
        <v>43</v>
      </c>
      <c r="M6856" t="s">
        <v>43</v>
      </c>
      <c r="N6856" t="s">
        <v>45</v>
      </c>
      <c r="O6856" t="s">
        <v>43</v>
      </c>
      <c r="P6856" t="s">
        <v>43</v>
      </c>
      <c r="Q6856" t="s">
        <v>43</v>
      </c>
      <c r="R6856" t="s">
        <v>43</v>
      </c>
      <c r="S6856" t="s">
        <v>43</v>
      </c>
      <c r="T6856" t="s">
        <v>43</v>
      </c>
      <c r="U6856" t="s">
        <v>43</v>
      </c>
      <c r="V6856" t="s">
        <v>43</v>
      </c>
      <c r="W6856" t="s">
        <v>43</v>
      </c>
      <c r="X6856" t="s">
        <v>43</v>
      </c>
      <c r="Y6856" t="s">
        <v>43</v>
      </c>
      <c r="Z6856" t="s">
        <v>43</v>
      </c>
      <c r="AA6856" t="s">
        <v>43</v>
      </c>
      <c r="AB6856" t="s">
        <v>43</v>
      </c>
      <c r="AC6856" t="s">
        <v>43</v>
      </c>
      <c r="AD6856" t="s">
        <v>43</v>
      </c>
      <c r="AE6856" t="s">
        <v>43</v>
      </c>
      <c r="AF6856" t="s">
        <v>43</v>
      </c>
      <c r="AG6856" t="s">
        <v>43</v>
      </c>
      <c r="AH6856" t="s">
        <v>43</v>
      </c>
      <c r="AI6856" t="s">
        <v>43</v>
      </c>
      <c r="AJ6856" t="s">
        <v>43</v>
      </c>
      <c r="AK6856" t="s">
        <v>43</v>
      </c>
      <c r="AL6856" t="s">
        <v>43</v>
      </c>
      <c r="AM6856" t="s">
        <v>43</v>
      </c>
      <c r="AN6856" t="str">
        <f>HYPERLINK("https://www.google.com/maps?q=10.78965092,79.5787735","Open Location")</f>
        <v>Open Location</v>
      </c>
    </row>
    <row r="6857" spans="1:40" x14ac:dyDescent="0.3">
      <c r="A6857" s="1">
        <v>46210.205671296295</v>
      </c>
      <c r="B6857" t="s">
        <v>40</v>
      </c>
      <c r="C6857" t="s">
        <v>41</v>
      </c>
      <c r="D6857" s="1">
        <v>46210.208518518521</v>
      </c>
      <c r="E6857" t="s">
        <v>42</v>
      </c>
      <c r="F6857" t="s">
        <v>43</v>
      </c>
      <c r="G6857" t="s">
        <v>43</v>
      </c>
      <c r="H6857" t="s">
        <v>43</v>
      </c>
      <c r="I6857" t="s">
        <v>3959</v>
      </c>
      <c r="J6857" t="s">
        <v>43</v>
      </c>
      <c r="K6857" t="s">
        <v>43</v>
      </c>
      <c r="L6857" t="s">
        <v>43</v>
      </c>
      <c r="M6857" t="s">
        <v>43</v>
      </c>
      <c r="N6857" t="s">
        <v>45</v>
      </c>
      <c r="O6857" t="s">
        <v>43</v>
      </c>
      <c r="P6857" t="s">
        <v>43</v>
      </c>
      <c r="Q6857" t="s">
        <v>43</v>
      </c>
      <c r="R6857" t="s">
        <v>43</v>
      </c>
      <c r="S6857" t="s">
        <v>43</v>
      </c>
      <c r="T6857" t="s">
        <v>43</v>
      </c>
      <c r="U6857" t="s">
        <v>43</v>
      </c>
      <c r="V6857" t="s">
        <v>43</v>
      </c>
      <c r="W6857" t="s">
        <v>43</v>
      </c>
      <c r="X6857" t="s">
        <v>43</v>
      </c>
      <c r="Y6857" t="s">
        <v>43</v>
      </c>
      <c r="Z6857" t="s">
        <v>43</v>
      </c>
      <c r="AA6857" t="s">
        <v>43</v>
      </c>
      <c r="AB6857" t="s">
        <v>43</v>
      </c>
      <c r="AC6857" t="s">
        <v>43</v>
      </c>
      <c r="AD6857" t="s">
        <v>43</v>
      </c>
      <c r="AE6857" t="s">
        <v>43</v>
      </c>
      <c r="AF6857" t="s">
        <v>43</v>
      </c>
      <c r="AG6857" t="s">
        <v>43</v>
      </c>
      <c r="AH6857" t="s">
        <v>43</v>
      </c>
      <c r="AI6857" t="s">
        <v>43</v>
      </c>
      <c r="AJ6857" t="s">
        <v>43</v>
      </c>
      <c r="AK6857" t="s">
        <v>43</v>
      </c>
      <c r="AL6857" t="s">
        <v>43</v>
      </c>
      <c r="AM6857" t="s">
        <v>43</v>
      </c>
      <c r="AN6857" t="str">
        <f>HYPERLINK("https://www.google.com/maps?q=10.78965282,79.57876587","Open Location")</f>
        <v>Open Location</v>
      </c>
    </row>
    <row r="6858" spans="1:40" x14ac:dyDescent="0.3">
      <c r="A6858" s="1">
        <v>46210.205555555556</v>
      </c>
      <c r="B6858" t="s">
        <v>40</v>
      </c>
      <c r="C6858" t="s">
        <v>41</v>
      </c>
      <c r="D6858" s="1">
        <v>46210.208391203705</v>
      </c>
      <c r="E6858" t="s">
        <v>42</v>
      </c>
      <c r="F6858" t="s">
        <v>43</v>
      </c>
      <c r="G6858" t="s">
        <v>43</v>
      </c>
      <c r="H6858" t="s">
        <v>43</v>
      </c>
      <c r="I6858" t="s">
        <v>3994</v>
      </c>
      <c r="J6858" t="s">
        <v>43</v>
      </c>
      <c r="K6858" t="s">
        <v>43</v>
      </c>
      <c r="L6858" t="s">
        <v>43</v>
      </c>
      <c r="M6858" t="s">
        <v>43</v>
      </c>
      <c r="N6858" t="s">
        <v>45</v>
      </c>
      <c r="O6858" t="s">
        <v>43</v>
      </c>
      <c r="P6858" t="s">
        <v>43</v>
      </c>
      <c r="Q6858" t="s">
        <v>43</v>
      </c>
      <c r="R6858" t="s">
        <v>43</v>
      </c>
      <c r="S6858" t="s">
        <v>43</v>
      </c>
      <c r="T6858" t="s">
        <v>43</v>
      </c>
      <c r="U6858" t="s">
        <v>43</v>
      </c>
      <c r="V6858" t="s">
        <v>43</v>
      </c>
      <c r="W6858" t="s">
        <v>43</v>
      </c>
      <c r="X6858" t="s">
        <v>43</v>
      </c>
      <c r="Y6858" t="s">
        <v>43</v>
      </c>
      <c r="Z6858" t="s">
        <v>43</v>
      </c>
      <c r="AA6858" t="s">
        <v>43</v>
      </c>
      <c r="AB6858" t="s">
        <v>43</v>
      </c>
      <c r="AC6858" t="s">
        <v>43</v>
      </c>
      <c r="AD6858" t="s">
        <v>43</v>
      </c>
      <c r="AE6858" t="s">
        <v>43</v>
      </c>
      <c r="AF6858" t="s">
        <v>43</v>
      </c>
      <c r="AG6858" t="s">
        <v>43</v>
      </c>
      <c r="AH6858" t="s">
        <v>43</v>
      </c>
      <c r="AI6858" t="s">
        <v>43</v>
      </c>
      <c r="AJ6858" t="s">
        <v>43</v>
      </c>
      <c r="AK6858" t="s">
        <v>43</v>
      </c>
      <c r="AL6858" t="s">
        <v>43</v>
      </c>
      <c r="AM6858" t="s">
        <v>43</v>
      </c>
      <c r="AN6858" t="str">
        <f>HYPERLINK("https://www.google.com/maps?q=10.78965759,79.57876587","Open Location")</f>
        <v>Open Location</v>
      </c>
    </row>
    <row r="6859" spans="1:40" x14ac:dyDescent="0.3">
      <c r="A6859" s="1">
        <v>46210.205439814818</v>
      </c>
      <c r="B6859" t="s">
        <v>40</v>
      </c>
      <c r="C6859" t="s">
        <v>41</v>
      </c>
      <c r="D6859" s="1">
        <v>46210.20815972222</v>
      </c>
      <c r="E6859" t="s">
        <v>42</v>
      </c>
      <c r="F6859" t="s">
        <v>43</v>
      </c>
      <c r="G6859" t="s">
        <v>43</v>
      </c>
      <c r="H6859" t="s">
        <v>43</v>
      </c>
      <c r="I6859" t="s">
        <v>3995</v>
      </c>
      <c r="J6859" t="s">
        <v>43</v>
      </c>
      <c r="K6859" t="s">
        <v>43</v>
      </c>
      <c r="L6859" t="s">
        <v>43</v>
      </c>
      <c r="M6859" t="s">
        <v>43</v>
      </c>
      <c r="N6859" t="s">
        <v>45</v>
      </c>
      <c r="O6859" t="s">
        <v>43</v>
      </c>
      <c r="P6859" t="s">
        <v>43</v>
      </c>
      <c r="Q6859" t="s">
        <v>43</v>
      </c>
      <c r="R6859" t="s">
        <v>43</v>
      </c>
      <c r="S6859" t="s">
        <v>43</v>
      </c>
      <c r="T6859" t="s">
        <v>43</v>
      </c>
      <c r="U6859" t="s">
        <v>43</v>
      </c>
      <c r="V6859" t="s">
        <v>43</v>
      </c>
      <c r="W6859" t="s">
        <v>43</v>
      </c>
      <c r="X6859" t="s">
        <v>43</v>
      </c>
      <c r="Y6859" t="s">
        <v>43</v>
      </c>
      <c r="Z6859" t="s">
        <v>43</v>
      </c>
      <c r="AA6859" t="s">
        <v>43</v>
      </c>
      <c r="AB6859" t="s">
        <v>43</v>
      </c>
      <c r="AC6859" t="s">
        <v>43</v>
      </c>
      <c r="AD6859" t="s">
        <v>43</v>
      </c>
      <c r="AE6859" t="s">
        <v>43</v>
      </c>
      <c r="AF6859" t="s">
        <v>43</v>
      </c>
      <c r="AG6859" t="s">
        <v>43</v>
      </c>
      <c r="AH6859" t="s">
        <v>43</v>
      </c>
      <c r="AI6859" t="s">
        <v>43</v>
      </c>
      <c r="AJ6859" t="s">
        <v>43</v>
      </c>
      <c r="AK6859" t="s">
        <v>43</v>
      </c>
      <c r="AL6859" t="s">
        <v>43</v>
      </c>
      <c r="AM6859" t="s">
        <v>43</v>
      </c>
      <c r="AN6859" t="str">
        <f>HYPERLINK("https://www.google.com/maps?q=10.78966427,79.5787735","Open Location")</f>
        <v>Open Location</v>
      </c>
    </row>
    <row r="6860" spans="1:40" x14ac:dyDescent="0.3">
      <c r="A6860" s="1">
        <v>46210.205324074072</v>
      </c>
      <c r="B6860" t="s">
        <v>40</v>
      </c>
      <c r="C6860" t="s">
        <v>41</v>
      </c>
      <c r="D6860" s="1">
        <v>46210.20815972222</v>
      </c>
      <c r="E6860" t="s">
        <v>42</v>
      </c>
      <c r="F6860" t="s">
        <v>43</v>
      </c>
      <c r="G6860" t="s">
        <v>43</v>
      </c>
      <c r="H6860" t="s">
        <v>43</v>
      </c>
      <c r="I6860" t="s">
        <v>43</v>
      </c>
      <c r="J6860" t="s">
        <v>43</v>
      </c>
      <c r="K6860" t="s">
        <v>43</v>
      </c>
      <c r="L6860" t="s">
        <v>43</v>
      </c>
      <c r="M6860" t="s">
        <v>43</v>
      </c>
      <c r="N6860" t="s">
        <v>45</v>
      </c>
      <c r="O6860" t="s">
        <v>43</v>
      </c>
      <c r="P6860" t="s">
        <v>43</v>
      </c>
      <c r="Q6860" t="s">
        <v>43</v>
      </c>
      <c r="R6860" t="s">
        <v>43</v>
      </c>
      <c r="S6860" t="s">
        <v>43</v>
      </c>
      <c r="T6860" t="s">
        <v>43</v>
      </c>
      <c r="U6860" t="s">
        <v>43</v>
      </c>
      <c r="V6860" t="s">
        <v>43</v>
      </c>
      <c r="W6860" t="s">
        <v>43</v>
      </c>
      <c r="X6860" t="s">
        <v>43</v>
      </c>
      <c r="Y6860" t="s">
        <v>43</v>
      </c>
      <c r="Z6860" t="s">
        <v>43</v>
      </c>
      <c r="AA6860" t="s">
        <v>43</v>
      </c>
      <c r="AB6860" t="s">
        <v>43</v>
      </c>
      <c r="AC6860" t="s">
        <v>43</v>
      </c>
      <c r="AD6860" t="s">
        <v>43</v>
      </c>
      <c r="AE6860" t="s">
        <v>43</v>
      </c>
      <c r="AF6860" t="s">
        <v>43</v>
      </c>
      <c r="AG6860" t="s">
        <v>43</v>
      </c>
      <c r="AH6860" t="s">
        <v>43</v>
      </c>
      <c r="AI6860" t="s">
        <v>43</v>
      </c>
      <c r="AJ6860" t="s">
        <v>43</v>
      </c>
      <c r="AK6860" t="s">
        <v>43</v>
      </c>
      <c r="AL6860" t="s">
        <v>43</v>
      </c>
      <c r="AM6860" t="s">
        <v>43</v>
      </c>
      <c r="AN6860" t="s">
        <v>43</v>
      </c>
    </row>
    <row r="6861" spans="1:40" x14ac:dyDescent="0.3">
      <c r="A6861" s="1">
        <v>46210.205208333333</v>
      </c>
      <c r="B6861" t="s">
        <v>40</v>
      </c>
      <c r="C6861" t="s">
        <v>41</v>
      </c>
      <c r="D6861" s="1">
        <v>46210.20815972222</v>
      </c>
      <c r="E6861" t="s">
        <v>42</v>
      </c>
      <c r="F6861" t="s">
        <v>43</v>
      </c>
      <c r="G6861" t="s">
        <v>43</v>
      </c>
      <c r="H6861" t="s">
        <v>43</v>
      </c>
      <c r="I6861" t="s">
        <v>3996</v>
      </c>
      <c r="J6861" t="s">
        <v>43</v>
      </c>
      <c r="K6861" t="s">
        <v>43</v>
      </c>
      <c r="L6861" t="s">
        <v>43</v>
      </c>
      <c r="M6861" t="s">
        <v>43</v>
      </c>
      <c r="N6861" t="s">
        <v>45</v>
      </c>
      <c r="O6861" t="s">
        <v>43</v>
      </c>
      <c r="P6861" t="s">
        <v>43</v>
      </c>
      <c r="Q6861" t="s">
        <v>43</v>
      </c>
      <c r="R6861" t="s">
        <v>43</v>
      </c>
      <c r="S6861" t="s">
        <v>43</v>
      </c>
      <c r="T6861" t="s">
        <v>43</v>
      </c>
      <c r="U6861" t="s">
        <v>43</v>
      </c>
      <c r="V6861" t="s">
        <v>43</v>
      </c>
      <c r="W6861" t="s">
        <v>43</v>
      </c>
      <c r="X6861" t="s">
        <v>43</v>
      </c>
      <c r="Y6861" t="s">
        <v>43</v>
      </c>
      <c r="Z6861" t="s">
        <v>43</v>
      </c>
      <c r="AA6861" t="s">
        <v>43</v>
      </c>
      <c r="AB6861" t="s">
        <v>43</v>
      </c>
      <c r="AC6861" t="s">
        <v>43</v>
      </c>
      <c r="AD6861" t="s">
        <v>43</v>
      </c>
      <c r="AE6861" t="s">
        <v>43</v>
      </c>
      <c r="AF6861" t="s">
        <v>43</v>
      </c>
      <c r="AG6861" t="s">
        <v>43</v>
      </c>
      <c r="AH6861" t="s">
        <v>43</v>
      </c>
      <c r="AI6861" t="s">
        <v>43</v>
      </c>
      <c r="AJ6861" t="s">
        <v>43</v>
      </c>
      <c r="AK6861" t="s">
        <v>43</v>
      </c>
      <c r="AL6861" t="s">
        <v>43</v>
      </c>
      <c r="AM6861" t="s">
        <v>43</v>
      </c>
      <c r="AN6861" t="str">
        <f>HYPERLINK("https://www.google.com/maps?q=10.78965855,79.57878113","Open Location")</f>
        <v>Open Location</v>
      </c>
    </row>
    <row r="6862" spans="1:40" x14ac:dyDescent="0.3">
      <c r="A6862" s="1">
        <v>46210.205092592594</v>
      </c>
      <c r="B6862" t="s">
        <v>40</v>
      </c>
      <c r="C6862" t="s">
        <v>41</v>
      </c>
      <c r="D6862" s="1">
        <v>46210.208148148151</v>
      </c>
      <c r="E6862" t="s">
        <v>42</v>
      </c>
      <c r="F6862" t="s">
        <v>43</v>
      </c>
      <c r="G6862" t="s">
        <v>43</v>
      </c>
      <c r="H6862" t="s">
        <v>43</v>
      </c>
      <c r="I6862" t="s">
        <v>3997</v>
      </c>
      <c r="J6862" t="s">
        <v>43</v>
      </c>
      <c r="K6862" t="s">
        <v>43</v>
      </c>
      <c r="L6862" t="s">
        <v>43</v>
      </c>
      <c r="M6862" t="s">
        <v>43</v>
      </c>
      <c r="N6862" t="s">
        <v>45</v>
      </c>
      <c r="O6862" t="s">
        <v>43</v>
      </c>
      <c r="P6862" t="s">
        <v>43</v>
      </c>
      <c r="Q6862" t="s">
        <v>43</v>
      </c>
      <c r="R6862" t="s">
        <v>43</v>
      </c>
      <c r="S6862" t="s">
        <v>43</v>
      </c>
      <c r="T6862" t="s">
        <v>43</v>
      </c>
      <c r="U6862" t="s">
        <v>43</v>
      </c>
      <c r="V6862" t="s">
        <v>43</v>
      </c>
      <c r="W6862" t="s">
        <v>43</v>
      </c>
      <c r="X6862" t="s">
        <v>43</v>
      </c>
      <c r="Y6862" t="s">
        <v>43</v>
      </c>
      <c r="Z6862" t="s">
        <v>43</v>
      </c>
      <c r="AA6862" t="s">
        <v>43</v>
      </c>
      <c r="AB6862" t="s">
        <v>43</v>
      </c>
      <c r="AC6862" t="s">
        <v>43</v>
      </c>
      <c r="AD6862" t="s">
        <v>43</v>
      </c>
      <c r="AE6862" t="s">
        <v>43</v>
      </c>
      <c r="AF6862" t="s">
        <v>43</v>
      </c>
      <c r="AG6862" t="s">
        <v>43</v>
      </c>
      <c r="AH6862" t="s">
        <v>43</v>
      </c>
      <c r="AI6862" t="s">
        <v>43</v>
      </c>
      <c r="AJ6862" t="s">
        <v>43</v>
      </c>
      <c r="AK6862" t="s">
        <v>43</v>
      </c>
      <c r="AL6862" t="s">
        <v>43</v>
      </c>
      <c r="AM6862" t="s">
        <v>43</v>
      </c>
      <c r="AN6862" t="str">
        <f>HYPERLINK("https://www.google.com/maps?q=10.78966045,79.57878113","Open Location")</f>
        <v>Open Location</v>
      </c>
    </row>
    <row r="6863" spans="1:40" x14ac:dyDescent="0.3">
      <c r="A6863" s="1">
        <v>46210.204976851855</v>
      </c>
      <c r="B6863" t="s">
        <v>40</v>
      </c>
      <c r="C6863" t="s">
        <v>41</v>
      </c>
      <c r="D6863" s="1">
        <v>46210.20815972222</v>
      </c>
      <c r="E6863" t="s">
        <v>42</v>
      </c>
      <c r="F6863" t="s">
        <v>43</v>
      </c>
      <c r="G6863" t="s">
        <v>43</v>
      </c>
      <c r="H6863" t="s">
        <v>43</v>
      </c>
      <c r="I6863" t="s">
        <v>3998</v>
      </c>
      <c r="J6863" t="s">
        <v>43</v>
      </c>
      <c r="K6863" t="s">
        <v>43</v>
      </c>
      <c r="L6863" t="s">
        <v>43</v>
      </c>
      <c r="M6863" t="s">
        <v>43</v>
      </c>
      <c r="N6863" t="s">
        <v>45</v>
      </c>
      <c r="O6863" t="s">
        <v>43</v>
      </c>
      <c r="P6863" t="s">
        <v>43</v>
      </c>
      <c r="Q6863" t="s">
        <v>43</v>
      </c>
      <c r="R6863" t="s">
        <v>43</v>
      </c>
      <c r="S6863" t="s">
        <v>43</v>
      </c>
      <c r="T6863" t="s">
        <v>43</v>
      </c>
      <c r="U6863" t="s">
        <v>43</v>
      </c>
      <c r="V6863" t="s">
        <v>43</v>
      </c>
      <c r="W6863" t="s">
        <v>43</v>
      </c>
      <c r="X6863" t="s">
        <v>43</v>
      </c>
      <c r="Y6863" t="s">
        <v>43</v>
      </c>
      <c r="Z6863" t="s">
        <v>43</v>
      </c>
      <c r="AA6863" t="s">
        <v>43</v>
      </c>
      <c r="AB6863" t="s">
        <v>43</v>
      </c>
      <c r="AC6863" t="s">
        <v>43</v>
      </c>
      <c r="AD6863" t="s">
        <v>43</v>
      </c>
      <c r="AE6863" t="s">
        <v>43</v>
      </c>
      <c r="AF6863" t="s">
        <v>43</v>
      </c>
      <c r="AG6863" t="s">
        <v>43</v>
      </c>
      <c r="AH6863" t="s">
        <v>43</v>
      </c>
      <c r="AI6863" t="s">
        <v>43</v>
      </c>
      <c r="AJ6863" t="s">
        <v>43</v>
      </c>
      <c r="AK6863" t="s">
        <v>43</v>
      </c>
      <c r="AL6863" t="s">
        <v>43</v>
      </c>
      <c r="AM6863" t="s">
        <v>43</v>
      </c>
      <c r="AN6863" t="str">
        <f>HYPERLINK("https://www.google.com/maps?q=10.78966427,79.57878113","Open Location")</f>
        <v>Open Location</v>
      </c>
    </row>
    <row r="6864" spans="1:40" x14ac:dyDescent="0.3">
      <c r="A6864" s="1">
        <v>46210.204861111109</v>
      </c>
      <c r="B6864" t="s">
        <v>40</v>
      </c>
      <c r="C6864" t="s">
        <v>41</v>
      </c>
      <c r="D6864" s="1">
        <v>46210.20815972222</v>
      </c>
      <c r="E6864" t="s">
        <v>42</v>
      </c>
      <c r="F6864" t="s">
        <v>43</v>
      </c>
      <c r="G6864" t="s">
        <v>43</v>
      </c>
      <c r="H6864" t="s">
        <v>43</v>
      </c>
      <c r="I6864" t="s">
        <v>3999</v>
      </c>
      <c r="J6864" t="s">
        <v>43</v>
      </c>
      <c r="K6864" t="s">
        <v>43</v>
      </c>
      <c r="L6864" t="s">
        <v>43</v>
      </c>
      <c r="M6864" t="s">
        <v>43</v>
      </c>
      <c r="N6864" t="s">
        <v>45</v>
      </c>
      <c r="O6864" t="s">
        <v>43</v>
      </c>
      <c r="P6864" t="s">
        <v>43</v>
      </c>
      <c r="Q6864" t="s">
        <v>43</v>
      </c>
      <c r="R6864" t="s">
        <v>43</v>
      </c>
      <c r="S6864" t="s">
        <v>43</v>
      </c>
      <c r="T6864" t="s">
        <v>43</v>
      </c>
      <c r="U6864" t="s">
        <v>43</v>
      </c>
      <c r="V6864" t="s">
        <v>43</v>
      </c>
      <c r="W6864" t="s">
        <v>43</v>
      </c>
      <c r="X6864" t="s">
        <v>43</v>
      </c>
      <c r="Y6864" t="s">
        <v>43</v>
      </c>
      <c r="Z6864" t="s">
        <v>43</v>
      </c>
      <c r="AA6864" t="s">
        <v>43</v>
      </c>
      <c r="AB6864" t="s">
        <v>43</v>
      </c>
      <c r="AC6864" t="s">
        <v>43</v>
      </c>
      <c r="AD6864" t="s">
        <v>43</v>
      </c>
      <c r="AE6864" t="s">
        <v>43</v>
      </c>
      <c r="AF6864" t="s">
        <v>43</v>
      </c>
      <c r="AG6864" t="s">
        <v>43</v>
      </c>
      <c r="AH6864" t="s">
        <v>43</v>
      </c>
      <c r="AI6864" t="s">
        <v>43</v>
      </c>
      <c r="AJ6864" t="s">
        <v>43</v>
      </c>
      <c r="AK6864" t="s">
        <v>43</v>
      </c>
      <c r="AL6864" t="s">
        <v>43</v>
      </c>
      <c r="AM6864" t="s">
        <v>43</v>
      </c>
      <c r="AN6864" t="str">
        <f>HYPERLINK("https://www.google.com/maps?q=10.78966522,79.57878876","Open Location")</f>
        <v>Open Location</v>
      </c>
    </row>
    <row r="6865" spans="1:40" x14ac:dyDescent="0.3">
      <c r="A6865" s="1">
        <v>46210.204745370371</v>
      </c>
      <c r="B6865" t="s">
        <v>40</v>
      </c>
      <c r="C6865" t="s">
        <v>41</v>
      </c>
      <c r="D6865" s="1">
        <v>46210.207800925928</v>
      </c>
      <c r="E6865" t="s">
        <v>42</v>
      </c>
      <c r="F6865" t="s">
        <v>43</v>
      </c>
      <c r="G6865" t="s">
        <v>43</v>
      </c>
      <c r="H6865" t="s">
        <v>43</v>
      </c>
      <c r="I6865" t="s">
        <v>4000</v>
      </c>
      <c r="J6865" t="s">
        <v>43</v>
      </c>
      <c r="K6865" t="s">
        <v>43</v>
      </c>
      <c r="L6865" t="s">
        <v>43</v>
      </c>
      <c r="M6865" t="s">
        <v>43</v>
      </c>
      <c r="N6865" t="s">
        <v>45</v>
      </c>
      <c r="O6865" t="s">
        <v>43</v>
      </c>
      <c r="P6865" t="s">
        <v>43</v>
      </c>
      <c r="Q6865" t="s">
        <v>43</v>
      </c>
      <c r="R6865" t="s">
        <v>43</v>
      </c>
      <c r="S6865" t="s">
        <v>43</v>
      </c>
      <c r="T6865" t="s">
        <v>43</v>
      </c>
      <c r="U6865" t="s">
        <v>43</v>
      </c>
      <c r="V6865" t="s">
        <v>43</v>
      </c>
      <c r="W6865" t="s">
        <v>43</v>
      </c>
      <c r="X6865" t="s">
        <v>43</v>
      </c>
      <c r="Y6865" t="s">
        <v>43</v>
      </c>
      <c r="Z6865" t="s">
        <v>43</v>
      </c>
      <c r="AA6865" t="s">
        <v>43</v>
      </c>
      <c r="AB6865" t="s">
        <v>43</v>
      </c>
      <c r="AC6865" t="s">
        <v>43</v>
      </c>
      <c r="AD6865" t="s">
        <v>43</v>
      </c>
      <c r="AE6865" t="s">
        <v>43</v>
      </c>
      <c r="AF6865" t="s">
        <v>43</v>
      </c>
      <c r="AG6865" t="s">
        <v>43</v>
      </c>
      <c r="AH6865" t="s">
        <v>43</v>
      </c>
      <c r="AI6865" t="s">
        <v>43</v>
      </c>
      <c r="AJ6865" t="s">
        <v>43</v>
      </c>
      <c r="AK6865" t="s">
        <v>43</v>
      </c>
      <c r="AL6865" t="s">
        <v>43</v>
      </c>
      <c r="AM6865" t="s">
        <v>43</v>
      </c>
      <c r="AN6865" t="str">
        <f>HYPERLINK("https://www.google.com/maps?q=10.78966045,79.57879639","Open Location")</f>
        <v>Open Location</v>
      </c>
    </row>
    <row r="6866" spans="1:40" x14ac:dyDescent="0.3">
      <c r="A6866" s="1">
        <v>46210.204629629632</v>
      </c>
      <c r="B6866" t="s">
        <v>40</v>
      </c>
      <c r="C6866" t="s">
        <v>41</v>
      </c>
      <c r="D6866" s="1">
        <v>46210.207789351851</v>
      </c>
      <c r="E6866" t="s">
        <v>42</v>
      </c>
      <c r="F6866" t="s">
        <v>43</v>
      </c>
      <c r="G6866" t="s">
        <v>43</v>
      </c>
      <c r="H6866" t="s">
        <v>43</v>
      </c>
      <c r="I6866" t="s">
        <v>43</v>
      </c>
      <c r="J6866" t="s">
        <v>43</v>
      </c>
      <c r="K6866" t="s">
        <v>43</v>
      </c>
      <c r="L6866" t="s">
        <v>43</v>
      </c>
      <c r="M6866" t="s">
        <v>43</v>
      </c>
      <c r="N6866" t="s">
        <v>45</v>
      </c>
      <c r="O6866" t="s">
        <v>43</v>
      </c>
      <c r="P6866" t="s">
        <v>43</v>
      </c>
      <c r="Q6866" t="s">
        <v>43</v>
      </c>
      <c r="R6866" t="s">
        <v>43</v>
      </c>
      <c r="S6866" t="s">
        <v>43</v>
      </c>
      <c r="T6866" t="s">
        <v>43</v>
      </c>
      <c r="U6866" t="s">
        <v>43</v>
      </c>
      <c r="V6866" t="s">
        <v>43</v>
      </c>
      <c r="W6866" t="s">
        <v>43</v>
      </c>
      <c r="X6866" t="s">
        <v>43</v>
      </c>
      <c r="Y6866" t="s">
        <v>43</v>
      </c>
      <c r="Z6866" t="s">
        <v>43</v>
      </c>
      <c r="AA6866" t="s">
        <v>43</v>
      </c>
      <c r="AB6866" t="s">
        <v>43</v>
      </c>
      <c r="AC6866" t="s">
        <v>43</v>
      </c>
      <c r="AD6866" t="s">
        <v>43</v>
      </c>
      <c r="AE6866" t="s">
        <v>43</v>
      </c>
      <c r="AF6866" t="s">
        <v>43</v>
      </c>
      <c r="AG6866" t="s">
        <v>43</v>
      </c>
      <c r="AH6866" t="s">
        <v>43</v>
      </c>
      <c r="AI6866" t="s">
        <v>43</v>
      </c>
      <c r="AJ6866" t="s">
        <v>43</v>
      </c>
      <c r="AK6866" t="s">
        <v>43</v>
      </c>
      <c r="AL6866" t="s">
        <v>43</v>
      </c>
      <c r="AM6866" t="s">
        <v>43</v>
      </c>
      <c r="AN6866" t="s">
        <v>43</v>
      </c>
    </row>
    <row r="6867" spans="1:40" x14ac:dyDescent="0.3">
      <c r="A6867" s="1">
        <v>46210.204513888886</v>
      </c>
      <c r="B6867" t="s">
        <v>40</v>
      </c>
      <c r="C6867" t="s">
        <v>41</v>
      </c>
      <c r="D6867" s="1">
        <v>46210.207430555558</v>
      </c>
      <c r="E6867" t="s">
        <v>42</v>
      </c>
      <c r="F6867" t="s">
        <v>43</v>
      </c>
      <c r="G6867" t="s">
        <v>43</v>
      </c>
      <c r="H6867" t="s">
        <v>43</v>
      </c>
      <c r="I6867" t="s">
        <v>3988</v>
      </c>
      <c r="J6867" t="s">
        <v>43</v>
      </c>
      <c r="K6867" t="s">
        <v>43</v>
      </c>
      <c r="L6867" t="s">
        <v>43</v>
      </c>
      <c r="M6867" t="s">
        <v>43</v>
      </c>
      <c r="N6867" t="s">
        <v>45</v>
      </c>
      <c r="O6867" t="s">
        <v>43</v>
      </c>
      <c r="P6867" t="s">
        <v>43</v>
      </c>
      <c r="Q6867" t="s">
        <v>43</v>
      </c>
      <c r="R6867" t="s">
        <v>43</v>
      </c>
      <c r="S6867" t="s">
        <v>43</v>
      </c>
      <c r="T6867" t="s">
        <v>43</v>
      </c>
      <c r="U6867" t="s">
        <v>43</v>
      </c>
      <c r="V6867" t="s">
        <v>43</v>
      </c>
      <c r="W6867" t="s">
        <v>43</v>
      </c>
      <c r="X6867" t="s">
        <v>43</v>
      </c>
      <c r="Y6867" t="s">
        <v>43</v>
      </c>
      <c r="Z6867" t="s">
        <v>43</v>
      </c>
      <c r="AA6867" t="s">
        <v>43</v>
      </c>
      <c r="AB6867" t="s">
        <v>43</v>
      </c>
      <c r="AC6867" t="s">
        <v>43</v>
      </c>
      <c r="AD6867" t="s">
        <v>43</v>
      </c>
      <c r="AE6867" t="s">
        <v>43</v>
      </c>
      <c r="AF6867" t="s">
        <v>43</v>
      </c>
      <c r="AG6867" t="s">
        <v>43</v>
      </c>
      <c r="AH6867" t="s">
        <v>43</v>
      </c>
      <c r="AI6867" t="s">
        <v>43</v>
      </c>
      <c r="AJ6867" t="s">
        <v>43</v>
      </c>
      <c r="AK6867" t="s">
        <v>43</v>
      </c>
      <c r="AL6867" t="s">
        <v>43</v>
      </c>
      <c r="AM6867" t="s">
        <v>43</v>
      </c>
      <c r="AN6867" t="str">
        <f>HYPERLINK("https://www.google.com/maps?q=10.78966331,79.57878876","Open Location")</f>
        <v>Open Location</v>
      </c>
    </row>
    <row r="6868" spans="1:40" x14ac:dyDescent="0.3">
      <c r="A6868" s="1">
        <v>46210.204398148147</v>
      </c>
      <c r="B6868" t="s">
        <v>40</v>
      </c>
      <c r="C6868" t="s">
        <v>41</v>
      </c>
      <c r="D6868" s="1">
        <v>46210.207337962966</v>
      </c>
      <c r="E6868" t="s">
        <v>42</v>
      </c>
      <c r="F6868" t="s">
        <v>43</v>
      </c>
      <c r="G6868" t="s">
        <v>43</v>
      </c>
      <c r="H6868" t="s">
        <v>43</v>
      </c>
      <c r="I6868" t="s">
        <v>3928</v>
      </c>
      <c r="J6868" t="s">
        <v>43</v>
      </c>
      <c r="K6868" t="s">
        <v>43</v>
      </c>
      <c r="L6868" t="s">
        <v>43</v>
      </c>
      <c r="M6868" t="s">
        <v>43</v>
      </c>
      <c r="N6868" t="s">
        <v>45</v>
      </c>
      <c r="O6868" t="s">
        <v>43</v>
      </c>
      <c r="P6868" t="s">
        <v>43</v>
      </c>
      <c r="Q6868" t="s">
        <v>43</v>
      </c>
      <c r="R6868" t="s">
        <v>43</v>
      </c>
      <c r="S6868" t="s">
        <v>43</v>
      </c>
      <c r="T6868" t="s">
        <v>43</v>
      </c>
      <c r="U6868" t="s">
        <v>43</v>
      </c>
      <c r="V6868" t="s">
        <v>43</v>
      </c>
      <c r="W6868" t="s">
        <v>43</v>
      </c>
      <c r="X6868" t="s">
        <v>43</v>
      </c>
      <c r="Y6868" t="s">
        <v>43</v>
      </c>
      <c r="Z6868" t="s">
        <v>43</v>
      </c>
      <c r="AA6868" t="s">
        <v>43</v>
      </c>
      <c r="AB6868" t="s">
        <v>43</v>
      </c>
      <c r="AC6868" t="s">
        <v>43</v>
      </c>
      <c r="AD6868" t="s">
        <v>43</v>
      </c>
      <c r="AE6868" t="s">
        <v>43</v>
      </c>
      <c r="AF6868" t="s">
        <v>43</v>
      </c>
      <c r="AG6868" t="s">
        <v>43</v>
      </c>
      <c r="AH6868" t="s">
        <v>43</v>
      </c>
      <c r="AI6868" t="s">
        <v>43</v>
      </c>
      <c r="AJ6868" t="s">
        <v>43</v>
      </c>
      <c r="AK6868" t="s">
        <v>43</v>
      </c>
      <c r="AL6868" t="s">
        <v>43</v>
      </c>
      <c r="AM6868" t="s">
        <v>43</v>
      </c>
      <c r="AN6868" t="str">
        <f>HYPERLINK("https://www.google.com/maps?q=10.78966141,79.57879639","Open Location")</f>
        <v>Open Location</v>
      </c>
    </row>
    <row r="6869" spans="1:40" x14ac:dyDescent="0.3">
      <c r="A6869" s="1">
        <v>46210.204282407409</v>
      </c>
      <c r="B6869" t="s">
        <v>40</v>
      </c>
      <c r="C6869" t="s">
        <v>41</v>
      </c>
      <c r="D6869" s="1">
        <v>46210.207430555558</v>
      </c>
      <c r="E6869" t="s">
        <v>42</v>
      </c>
      <c r="F6869" t="s">
        <v>43</v>
      </c>
      <c r="G6869" t="s">
        <v>43</v>
      </c>
      <c r="H6869" t="s">
        <v>43</v>
      </c>
      <c r="I6869" t="s">
        <v>4000</v>
      </c>
      <c r="J6869" t="s">
        <v>43</v>
      </c>
      <c r="K6869" t="s">
        <v>43</v>
      </c>
      <c r="L6869" t="s">
        <v>43</v>
      </c>
      <c r="M6869" t="s">
        <v>43</v>
      </c>
      <c r="N6869" t="s">
        <v>45</v>
      </c>
      <c r="O6869" t="s">
        <v>43</v>
      </c>
      <c r="P6869" t="s">
        <v>43</v>
      </c>
      <c r="Q6869" t="s">
        <v>43</v>
      </c>
      <c r="R6869" t="s">
        <v>43</v>
      </c>
      <c r="S6869" t="s">
        <v>43</v>
      </c>
      <c r="T6869" t="s">
        <v>43</v>
      </c>
      <c r="U6869" t="s">
        <v>43</v>
      </c>
      <c r="V6869" t="s">
        <v>43</v>
      </c>
      <c r="W6869" t="s">
        <v>43</v>
      </c>
      <c r="X6869" t="s">
        <v>43</v>
      </c>
      <c r="Y6869" t="s">
        <v>43</v>
      </c>
      <c r="Z6869" t="s">
        <v>43</v>
      </c>
      <c r="AA6869" t="s">
        <v>43</v>
      </c>
      <c r="AB6869" t="s">
        <v>43</v>
      </c>
      <c r="AC6869" t="s">
        <v>43</v>
      </c>
      <c r="AD6869" t="s">
        <v>43</v>
      </c>
      <c r="AE6869" t="s">
        <v>43</v>
      </c>
      <c r="AF6869" t="s">
        <v>43</v>
      </c>
      <c r="AG6869" t="s">
        <v>43</v>
      </c>
      <c r="AH6869" t="s">
        <v>43</v>
      </c>
      <c r="AI6869" t="s">
        <v>43</v>
      </c>
      <c r="AJ6869" t="s">
        <v>43</v>
      </c>
      <c r="AK6869" t="s">
        <v>43</v>
      </c>
      <c r="AL6869" t="s">
        <v>43</v>
      </c>
      <c r="AM6869" t="s">
        <v>43</v>
      </c>
      <c r="AN6869" t="str">
        <f>HYPERLINK("https://www.google.com/maps?q=10.78966045,79.57879639","Open Location")</f>
        <v>Open Location</v>
      </c>
    </row>
    <row r="6870" spans="1:40" x14ac:dyDescent="0.3">
      <c r="A6870" s="1">
        <v>46210.20416666667</v>
      </c>
      <c r="B6870" t="s">
        <v>40</v>
      </c>
      <c r="C6870" t="s">
        <v>41</v>
      </c>
      <c r="D6870" s="1">
        <v>46210.206932870373</v>
      </c>
      <c r="E6870" t="s">
        <v>42</v>
      </c>
      <c r="F6870" t="s">
        <v>43</v>
      </c>
      <c r="G6870" t="s">
        <v>43</v>
      </c>
      <c r="H6870" t="s">
        <v>43</v>
      </c>
      <c r="I6870" t="s">
        <v>4001</v>
      </c>
      <c r="J6870" t="s">
        <v>43</v>
      </c>
      <c r="K6870" t="s">
        <v>43</v>
      </c>
      <c r="L6870" t="s">
        <v>43</v>
      </c>
      <c r="M6870" t="s">
        <v>43</v>
      </c>
      <c r="N6870" t="s">
        <v>45</v>
      </c>
      <c r="O6870" t="s">
        <v>43</v>
      </c>
      <c r="P6870" t="s">
        <v>43</v>
      </c>
      <c r="Q6870" t="s">
        <v>43</v>
      </c>
      <c r="R6870" t="s">
        <v>43</v>
      </c>
      <c r="S6870" t="s">
        <v>43</v>
      </c>
      <c r="T6870" t="s">
        <v>43</v>
      </c>
      <c r="U6870" t="s">
        <v>43</v>
      </c>
      <c r="V6870" t="s">
        <v>43</v>
      </c>
      <c r="W6870" t="s">
        <v>43</v>
      </c>
      <c r="X6870" t="s">
        <v>43</v>
      </c>
      <c r="Y6870" t="s">
        <v>43</v>
      </c>
      <c r="Z6870" t="s">
        <v>43</v>
      </c>
      <c r="AA6870" t="s">
        <v>43</v>
      </c>
      <c r="AB6870" t="s">
        <v>43</v>
      </c>
      <c r="AC6870" t="s">
        <v>43</v>
      </c>
      <c r="AD6870" t="s">
        <v>43</v>
      </c>
      <c r="AE6870" t="s">
        <v>43</v>
      </c>
      <c r="AF6870" t="s">
        <v>43</v>
      </c>
      <c r="AG6870" t="s">
        <v>43</v>
      </c>
      <c r="AH6870" t="s">
        <v>43</v>
      </c>
      <c r="AI6870" t="s">
        <v>43</v>
      </c>
      <c r="AJ6870" t="s">
        <v>43</v>
      </c>
      <c r="AK6870" t="s">
        <v>43</v>
      </c>
      <c r="AL6870" t="s">
        <v>43</v>
      </c>
      <c r="AM6870" t="s">
        <v>43</v>
      </c>
      <c r="AN6870" t="str">
        <f>HYPERLINK("https://www.google.com/maps?q=10.78966236,79.57879639","Open Location")</f>
        <v>Open Location</v>
      </c>
    </row>
    <row r="6871" spans="1:40" x14ac:dyDescent="0.3">
      <c r="A6871" s="1">
        <v>46210.204050925924</v>
      </c>
      <c r="B6871" t="s">
        <v>40</v>
      </c>
      <c r="C6871" t="s">
        <v>41</v>
      </c>
      <c r="D6871" s="1">
        <v>46210.206689814811</v>
      </c>
      <c r="E6871" t="s">
        <v>42</v>
      </c>
      <c r="F6871" t="s">
        <v>43</v>
      </c>
      <c r="G6871" t="s">
        <v>43</v>
      </c>
      <c r="H6871" t="s">
        <v>43</v>
      </c>
      <c r="I6871" t="s">
        <v>4002</v>
      </c>
      <c r="J6871" t="s">
        <v>43</v>
      </c>
      <c r="K6871" t="s">
        <v>43</v>
      </c>
      <c r="L6871" t="s">
        <v>43</v>
      </c>
      <c r="M6871" t="s">
        <v>43</v>
      </c>
      <c r="N6871" t="s">
        <v>45</v>
      </c>
      <c r="O6871" t="s">
        <v>43</v>
      </c>
      <c r="P6871" t="s">
        <v>43</v>
      </c>
      <c r="Q6871" t="s">
        <v>43</v>
      </c>
      <c r="R6871" t="s">
        <v>43</v>
      </c>
      <c r="S6871" t="s">
        <v>43</v>
      </c>
      <c r="T6871" t="s">
        <v>43</v>
      </c>
      <c r="U6871" t="s">
        <v>43</v>
      </c>
      <c r="V6871" t="s">
        <v>43</v>
      </c>
      <c r="W6871" t="s">
        <v>43</v>
      </c>
      <c r="X6871" t="s">
        <v>43</v>
      </c>
      <c r="Y6871" t="s">
        <v>43</v>
      </c>
      <c r="Z6871" t="s">
        <v>43</v>
      </c>
      <c r="AA6871" t="s">
        <v>43</v>
      </c>
      <c r="AB6871" t="s">
        <v>43</v>
      </c>
      <c r="AC6871" t="s">
        <v>43</v>
      </c>
      <c r="AD6871" t="s">
        <v>43</v>
      </c>
      <c r="AE6871" t="s">
        <v>43</v>
      </c>
      <c r="AF6871" t="s">
        <v>43</v>
      </c>
      <c r="AG6871" t="s">
        <v>43</v>
      </c>
      <c r="AH6871" t="s">
        <v>43</v>
      </c>
      <c r="AI6871" t="s">
        <v>43</v>
      </c>
      <c r="AJ6871" t="s">
        <v>43</v>
      </c>
      <c r="AK6871" t="s">
        <v>43</v>
      </c>
      <c r="AL6871" t="s">
        <v>43</v>
      </c>
      <c r="AM6871" t="s">
        <v>43</v>
      </c>
      <c r="AN6871" t="str">
        <f>HYPERLINK("https://www.google.com/maps?q=10.78966522,79.57879639","Open Location")</f>
        <v>Open Location</v>
      </c>
    </row>
    <row r="6872" spans="1:40" x14ac:dyDescent="0.3">
      <c r="A6872" s="1">
        <v>46210.203935185185</v>
      </c>
      <c r="B6872" t="s">
        <v>40</v>
      </c>
      <c r="C6872" t="s">
        <v>41</v>
      </c>
      <c r="D6872" s="1">
        <v>46210.207037037035</v>
      </c>
      <c r="E6872" t="s">
        <v>42</v>
      </c>
      <c r="F6872" t="s">
        <v>43</v>
      </c>
      <c r="G6872" t="s">
        <v>43</v>
      </c>
      <c r="H6872" t="s">
        <v>43</v>
      </c>
      <c r="I6872" t="s">
        <v>43</v>
      </c>
      <c r="J6872" t="s">
        <v>43</v>
      </c>
      <c r="K6872" t="s">
        <v>43</v>
      </c>
      <c r="L6872" t="s">
        <v>43</v>
      </c>
      <c r="M6872" t="s">
        <v>43</v>
      </c>
      <c r="N6872" t="s">
        <v>45</v>
      </c>
      <c r="O6872" t="s">
        <v>43</v>
      </c>
      <c r="P6872" t="s">
        <v>43</v>
      </c>
      <c r="Q6872" t="s">
        <v>43</v>
      </c>
      <c r="R6872" t="s">
        <v>43</v>
      </c>
      <c r="S6872" t="s">
        <v>43</v>
      </c>
      <c r="T6872" t="s">
        <v>43</v>
      </c>
      <c r="U6872" t="s">
        <v>43</v>
      </c>
      <c r="V6872" t="s">
        <v>43</v>
      </c>
      <c r="W6872" t="s">
        <v>43</v>
      </c>
      <c r="X6872" t="s">
        <v>43</v>
      </c>
      <c r="Y6872" t="s">
        <v>43</v>
      </c>
      <c r="Z6872" t="s">
        <v>43</v>
      </c>
      <c r="AA6872" t="s">
        <v>43</v>
      </c>
      <c r="AB6872" t="s">
        <v>43</v>
      </c>
      <c r="AC6872" t="s">
        <v>43</v>
      </c>
      <c r="AD6872" t="s">
        <v>43</v>
      </c>
      <c r="AE6872" t="s">
        <v>43</v>
      </c>
      <c r="AF6872" t="s">
        <v>43</v>
      </c>
      <c r="AG6872" t="s">
        <v>43</v>
      </c>
      <c r="AH6872" t="s">
        <v>43</v>
      </c>
      <c r="AI6872" t="s">
        <v>43</v>
      </c>
      <c r="AJ6872" t="s">
        <v>43</v>
      </c>
      <c r="AK6872" t="s">
        <v>43</v>
      </c>
      <c r="AL6872" t="s">
        <v>43</v>
      </c>
      <c r="AM6872" t="s">
        <v>43</v>
      </c>
      <c r="AN6872" t="s">
        <v>43</v>
      </c>
    </row>
    <row r="6873" spans="1:40" x14ac:dyDescent="0.3">
      <c r="A6873" s="1">
        <v>46210.203819444447</v>
      </c>
      <c r="B6873" t="s">
        <v>40</v>
      </c>
      <c r="C6873" t="s">
        <v>41</v>
      </c>
      <c r="D6873" s="1">
        <v>46210.206782407404</v>
      </c>
      <c r="E6873" t="s">
        <v>42</v>
      </c>
      <c r="F6873" t="s">
        <v>43</v>
      </c>
      <c r="G6873" t="s">
        <v>43</v>
      </c>
      <c r="H6873" t="s">
        <v>43</v>
      </c>
      <c r="I6873" t="s">
        <v>4003</v>
      </c>
      <c r="J6873" t="s">
        <v>43</v>
      </c>
      <c r="K6873" t="s">
        <v>43</v>
      </c>
      <c r="L6873" t="s">
        <v>43</v>
      </c>
      <c r="M6873" t="s">
        <v>43</v>
      </c>
      <c r="N6873" t="s">
        <v>45</v>
      </c>
      <c r="O6873" t="s">
        <v>43</v>
      </c>
      <c r="P6873" t="s">
        <v>43</v>
      </c>
      <c r="Q6873" t="s">
        <v>43</v>
      </c>
      <c r="R6873" t="s">
        <v>43</v>
      </c>
      <c r="S6873" t="s">
        <v>43</v>
      </c>
      <c r="T6873" t="s">
        <v>43</v>
      </c>
      <c r="U6873" t="s">
        <v>43</v>
      </c>
      <c r="V6873" t="s">
        <v>43</v>
      </c>
      <c r="W6873" t="s">
        <v>43</v>
      </c>
      <c r="X6873" t="s">
        <v>43</v>
      </c>
      <c r="Y6873" t="s">
        <v>43</v>
      </c>
      <c r="Z6873" t="s">
        <v>43</v>
      </c>
      <c r="AA6873" t="s">
        <v>43</v>
      </c>
      <c r="AB6873" t="s">
        <v>43</v>
      </c>
      <c r="AC6873" t="s">
        <v>43</v>
      </c>
      <c r="AD6873" t="s">
        <v>43</v>
      </c>
      <c r="AE6873" t="s">
        <v>43</v>
      </c>
      <c r="AF6873" t="s">
        <v>43</v>
      </c>
      <c r="AG6873" t="s">
        <v>43</v>
      </c>
      <c r="AH6873" t="s">
        <v>43</v>
      </c>
      <c r="AI6873" t="s">
        <v>43</v>
      </c>
      <c r="AJ6873" t="s">
        <v>43</v>
      </c>
      <c r="AK6873" t="s">
        <v>43</v>
      </c>
      <c r="AL6873" t="s">
        <v>43</v>
      </c>
      <c r="AM6873" t="s">
        <v>43</v>
      </c>
      <c r="AN6873" t="str">
        <f>HYPERLINK("https://www.google.com/maps?q=10.78966427,79.57881165","Open Location")</f>
        <v>Open Location</v>
      </c>
    </row>
    <row r="6874" spans="1:40" x14ac:dyDescent="0.3">
      <c r="A6874" s="1">
        <v>46210.203703703701</v>
      </c>
      <c r="B6874" t="s">
        <v>40</v>
      </c>
      <c r="C6874" t="s">
        <v>41</v>
      </c>
      <c r="D6874" s="1">
        <v>46210.206689814811</v>
      </c>
      <c r="E6874" t="s">
        <v>42</v>
      </c>
      <c r="F6874" t="s">
        <v>43</v>
      </c>
      <c r="G6874" t="s">
        <v>43</v>
      </c>
      <c r="H6874" t="s">
        <v>43</v>
      </c>
      <c r="I6874" t="s">
        <v>3943</v>
      </c>
      <c r="J6874" t="s">
        <v>43</v>
      </c>
      <c r="K6874" t="s">
        <v>43</v>
      </c>
      <c r="L6874" t="s">
        <v>43</v>
      </c>
      <c r="M6874" t="s">
        <v>43</v>
      </c>
      <c r="N6874" t="s">
        <v>45</v>
      </c>
      <c r="O6874" t="s">
        <v>43</v>
      </c>
      <c r="P6874" t="s">
        <v>43</v>
      </c>
      <c r="Q6874" t="s">
        <v>43</v>
      </c>
      <c r="R6874" t="s">
        <v>43</v>
      </c>
      <c r="S6874" t="s">
        <v>43</v>
      </c>
      <c r="T6874" t="s">
        <v>43</v>
      </c>
      <c r="U6874" t="s">
        <v>43</v>
      </c>
      <c r="V6874" t="s">
        <v>43</v>
      </c>
      <c r="W6874" t="s">
        <v>43</v>
      </c>
      <c r="X6874" t="s">
        <v>43</v>
      </c>
      <c r="Y6874" t="s">
        <v>43</v>
      </c>
      <c r="Z6874" t="s">
        <v>43</v>
      </c>
      <c r="AA6874" t="s">
        <v>43</v>
      </c>
      <c r="AB6874" t="s">
        <v>43</v>
      </c>
      <c r="AC6874" t="s">
        <v>43</v>
      </c>
      <c r="AD6874" t="s">
        <v>43</v>
      </c>
      <c r="AE6874" t="s">
        <v>43</v>
      </c>
      <c r="AF6874" t="s">
        <v>43</v>
      </c>
      <c r="AG6874" t="s">
        <v>43</v>
      </c>
      <c r="AH6874" t="s">
        <v>43</v>
      </c>
      <c r="AI6874" t="s">
        <v>43</v>
      </c>
      <c r="AJ6874" t="s">
        <v>43</v>
      </c>
      <c r="AK6874" t="s">
        <v>43</v>
      </c>
      <c r="AL6874" t="s">
        <v>43</v>
      </c>
      <c r="AM6874" t="s">
        <v>43</v>
      </c>
      <c r="AN6874" t="str">
        <f>HYPERLINK("https://www.google.com/maps?q=10.78966141,79.5788269","Open Location")</f>
        <v>Open Location</v>
      </c>
    </row>
    <row r="6875" spans="1:40" x14ac:dyDescent="0.3">
      <c r="A6875" s="1">
        <v>46210.203587962962</v>
      </c>
      <c r="B6875" t="s">
        <v>40</v>
      </c>
      <c r="C6875" t="s">
        <v>41</v>
      </c>
      <c r="D6875" s="1">
        <v>46210.206331018519</v>
      </c>
      <c r="E6875" t="s">
        <v>42</v>
      </c>
      <c r="F6875" t="s">
        <v>43</v>
      </c>
      <c r="G6875" t="s">
        <v>43</v>
      </c>
      <c r="H6875" t="s">
        <v>43</v>
      </c>
      <c r="I6875" t="s">
        <v>3944</v>
      </c>
      <c r="J6875" t="s">
        <v>43</v>
      </c>
      <c r="K6875" t="s">
        <v>43</v>
      </c>
      <c r="L6875" t="s">
        <v>43</v>
      </c>
      <c r="M6875" t="s">
        <v>43</v>
      </c>
      <c r="N6875" t="s">
        <v>45</v>
      </c>
      <c r="O6875" t="s">
        <v>43</v>
      </c>
      <c r="P6875" t="s">
        <v>43</v>
      </c>
      <c r="Q6875" t="s">
        <v>43</v>
      </c>
      <c r="R6875" t="s">
        <v>43</v>
      </c>
      <c r="S6875" t="s">
        <v>43</v>
      </c>
      <c r="T6875" t="s">
        <v>43</v>
      </c>
      <c r="U6875" t="s">
        <v>43</v>
      </c>
      <c r="V6875" t="s">
        <v>43</v>
      </c>
      <c r="W6875" t="s">
        <v>43</v>
      </c>
      <c r="X6875" t="s">
        <v>43</v>
      </c>
      <c r="Y6875" t="s">
        <v>43</v>
      </c>
      <c r="Z6875" t="s">
        <v>43</v>
      </c>
      <c r="AA6875" t="s">
        <v>43</v>
      </c>
      <c r="AB6875" t="s">
        <v>43</v>
      </c>
      <c r="AC6875" t="s">
        <v>43</v>
      </c>
      <c r="AD6875" t="s">
        <v>43</v>
      </c>
      <c r="AE6875" t="s">
        <v>43</v>
      </c>
      <c r="AF6875" t="s">
        <v>43</v>
      </c>
      <c r="AG6875" t="s">
        <v>43</v>
      </c>
      <c r="AH6875" t="s">
        <v>43</v>
      </c>
      <c r="AI6875" t="s">
        <v>43</v>
      </c>
      <c r="AJ6875" t="s">
        <v>43</v>
      </c>
      <c r="AK6875" t="s">
        <v>43</v>
      </c>
      <c r="AL6875" t="s">
        <v>43</v>
      </c>
      <c r="AM6875" t="s">
        <v>43</v>
      </c>
      <c r="AN6875" t="str">
        <f>HYPERLINK("https://www.google.com/maps?q=10.78966427,79.57883453","Open Location")</f>
        <v>Open Location</v>
      </c>
    </row>
    <row r="6876" spans="1:40" x14ac:dyDescent="0.3">
      <c r="A6876" s="1">
        <v>46210.203472222223</v>
      </c>
      <c r="B6876" t="s">
        <v>40</v>
      </c>
      <c r="C6876" t="s">
        <v>41</v>
      </c>
      <c r="D6876" s="1">
        <v>46210.206319444442</v>
      </c>
      <c r="E6876" t="s">
        <v>42</v>
      </c>
      <c r="F6876" t="s">
        <v>43</v>
      </c>
      <c r="G6876" t="s">
        <v>43</v>
      </c>
      <c r="H6876" t="s">
        <v>43</v>
      </c>
      <c r="I6876" t="s">
        <v>4004</v>
      </c>
      <c r="J6876" t="s">
        <v>43</v>
      </c>
      <c r="K6876" t="s">
        <v>43</v>
      </c>
      <c r="L6876" t="s">
        <v>43</v>
      </c>
      <c r="M6876" t="s">
        <v>43</v>
      </c>
      <c r="N6876" t="s">
        <v>45</v>
      </c>
      <c r="O6876" t="s">
        <v>43</v>
      </c>
      <c r="P6876" t="s">
        <v>43</v>
      </c>
      <c r="Q6876" t="s">
        <v>43</v>
      </c>
      <c r="R6876" t="s">
        <v>43</v>
      </c>
      <c r="S6876" t="s">
        <v>43</v>
      </c>
      <c r="T6876" t="s">
        <v>43</v>
      </c>
      <c r="U6876" t="s">
        <v>43</v>
      </c>
      <c r="V6876" t="s">
        <v>43</v>
      </c>
      <c r="W6876" t="s">
        <v>43</v>
      </c>
      <c r="X6876" t="s">
        <v>43</v>
      </c>
      <c r="Y6876" t="s">
        <v>43</v>
      </c>
      <c r="Z6876" t="s">
        <v>43</v>
      </c>
      <c r="AA6876" t="s">
        <v>43</v>
      </c>
      <c r="AB6876" t="s">
        <v>43</v>
      </c>
      <c r="AC6876" t="s">
        <v>43</v>
      </c>
      <c r="AD6876" t="s">
        <v>43</v>
      </c>
      <c r="AE6876" t="s">
        <v>43</v>
      </c>
      <c r="AF6876" t="s">
        <v>43</v>
      </c>
      <c r="AG6876" t="s">
        <v>43</v>
      </c>
      <c r="AH6876" t="s">
        <v>43</v>
      </c>
      <c r="AI6876" t="s">
        <v>43</v>
      </c>
      <c r="AJ6876" t="s">
        <v>43</v>
      </c>
      <c r="AK6876" t="s">
        <v>43</v>
      </c>
      <c r="AL6876" t="s">
        <v>43</v>
      </c>
      <c r="AM6876" t="s">
        <v>43</v>
      </c>
      <c r="AN6876" t="str">
        <f>HYPERLINK("https://www.google.com/maps?q=10.78966618,79.5788269","Open Location")</f>
        <v>Open Location</v>
      </c>
    </row>
    <row r="6877" spans="1:40" x14ac:dyDescent="0.3">
      <c r="A6877" s="1">
        <v>46210.203356481485</v>
      </c>
      <c r="B6877" t="s">
        <v>40</v>
      </c>
      <c r="C6877" t="s">
        <v>41</v>
      </c>
      <c r="D6877" s="1">
        <v>46210.206331018519</v>
      </c>
      <c r="E6877" t="s">
        <v>42</v>
      </c>
      <c r="F6877" t="s">
        <v>43</v>
      </c>
      <c r="G6877" t="s">
        <v>43</v>
      </c>
      <c r="H6877" t="s">
        <v>43</v>
      </c>
      <c r="I6877" t="s">
        <v>4005</v>
      </c>
      <c r="J6877" t="s">
        <v>43</v>
      </c>
      <c r="K6877" t="s">
        <v>43</v>
      </c>
      <c r="L6877" t="s">
        <v>43</v>
      </c>
      <c r="M6877" t="s">
        <v>43</v>
      </c>
      <c r="N6877" t="s">
        <v>45</v>
      </c>
      <c r="O6877" t="s">
        <v>43</v>
      </c>
      <c r="P6877" t="s">
        <v>43</v>
      </c>
      <c r="Q6877" t="s">
        <v>43</v>
      </c>
      <c r="R6877" t="s">
        <v>43</v>
      </c>
      <c r="S6877" t="s">
        <v>43</v>
      </c>
      <c r="T6877" t="s">
        <v>43</v>
      </c>
      <c r="U6877" t="s">
        <v>43</v>
      </c>
      <c r="V6877" t="s">
        <v>43</v>
      </c>
      <c r="W6877" t="s">
        <v>43</v>
      </c>
      <c r="X6877" t="s">
        <v>43</v>
      </c>
      <c r="Y6877" t="s">
        <v>43</v>
      </c>
      <c r="Z6877" t="s">
        <v>43</v>
      </c>
      <c r="AA6877" t="s">
        <v>43</v>
      </c>
      <c r="AB6877" t="s">
        <v>43</v>
      </c>
      <c r="AC6877" t="s">
        <v>43</v>
      </c>
      <c r="AD6877" t="s">
        <v>43</v>
      </c>
      <c r="AE6877" t="s">
        <v>43</v>
      </c>
      <c r="AF6877" t="s">
        <v>43</v>
      </c>
      <c r="AG6877" t="s">
        <v>43</v>
      </c>
      <c r="AH6877" t="s">
        <v>43</v>
      </c>
      <c r="AI6877" t="s">
        <v>43</v>
      </c>
      <c r="AJ6877" t="s">
        <v>43</v>
      </c>
      <c r="AK6877" t="s">
        <v>43</v>
      </c>
      <c r="AL6877" t="s">
        <v>43</v>
      </c>
      <c r="AM6877" t="s">
        <v>43</v>
      </c>
      <c r="AN6877" t="str">
        <f>HYPERLINK("https://www.google.com/maps?q=10.78966904,79.57881927","Open Location")</f>
        <v>Open Location</v>
      </c>
    </row>
    <row r="6878" spans="1:40" x14ac:dyDescent="0.3">
      <c r="A6878" s="1">
        <v>46210.203240740739</v>
      </c>
      <c r="B6878" t="s">
        <v>40</v>
      </c>
      <c r="C6878" t="s">
        <v>41</v>
      </c>
      <c r="D6878" s="1">
        <v>46210.206319444442</v>
      </c>
      <c r="E6878" t="s">
        <v>42</v>
      </c>
      <c r="F6878" t="s">
        <v>43</v>
      </c>
      <c r="G6878" t="s">
        <v>43</v>
      </c>
      <c r="H6878" t="s">
        <v>43</v>
      </c>
      <c r="I6878" t="s">
        <v>43</v>
      </c>
      <c r="J6878" t="s">
        <v>43</v>
      </c>
      <c r="K6878" t="s">
        <v>43</v>
      </c>
      <c r="L6878" t="s">
        <v>43</v>
      </c>
      <c r="M6878" t="s">
        <v>43</v>
      </c>
      <c r="N6878" t="s">
        <v>45</v>
      </c>
      <c r="O6878" t="s">
        <v>43</v>
      </c>
      <c r="P6878" t="s">
        <v>43</v>
      </c>
      <c r="Q6878" t="s">
        <v>43</v>
      </c>
      <c r="R6878" t="s">
        <v>43</v>
      </c>
      <c r="S6878" t="s">
        <v>43</v>
      </c>
      <c r="T6878" t="s">
        <v>43</v>
      </c>
      <c r="U6878" t="s">
        <v>43</v>
      </c>
      <c r="V6878" t="s">
        <v>43</v>
      </c>
      <c r="W6878" t="s">
        <v>43</v>
      </c>
      <c r="X6878" t="s">
        <v>43</v>
      </c>
      <c r="Y6878" t="s">
        <v>43</v>
      </c>
      <c r="Z6878" t="s">
        <v>43</v>
      </c>
      <c r="AA6878" t="s">
        <v>43</v>
      </c>
      <c r="AB6878" t="s">
        <v>43</v>
      </c>
      <c r="AC6878" t="s">
        <v>43</v>
      </c>
      <c r="AD6878" t="s">
        <v>43</v>
      </c>
      <c r="AE6878" t="s">
        <v>43</v>
      </c>
      <c r="AF6878" t="s">
        <v>43</v>
      </c>
      <c r="AG6878" t="s">
        <v>43</v>
      </c>
      <c r="AH6878" t="s">
        <v>43</v>
      </c>
      <c r="AI6878" t="s">
        <v>43</v>
      </c>
      <c r="AJ6878" t="s">
        <v>43</v>
      </c>
      <c r="AK6878" t="s">
        <v>43</v>
      </c>
      <c r="AL6878" t="s">
        <v>43</v>
      </c>
      <c r="AM6878" t="s">
        <v>43</v>
      </c>
      <c r="AN6878" t="s">
        <v>43</v>
      </c>
    </row>
    <row r="6879" spans="1:40" x14ac:dyDescent="0.3">
      <c r="A6879" s="1">
        <v>46210.203125</v>
      </c>
      <c r="B6879" t="s">
        <v>40</v>
      </c>
      <c r="C6879" t="s">
        <v>41</v>
      </c>
      <c r="D6879" s="1">
        <v>46210.206319444442</v>
      </c>
      <c r="E6879" t="s">
        <v>42</v>
      </c>
      <c r="F6879" t="s">
        <v>43</v>
      </c>
      <c r="G6879" t="s">
        <v>43</v>
      </c>
      <c r="H6879" t="s">
        <v>43</v>
      </c>
      <c r="I6879" t="s">
        <v>4006</v>
      </c>
      <c r="J6879" t="s">
        <v>43</v>
      </c>
      <c r="K6879" t="s">
        <v>43</v>
      </c>
      <c r="L6879" t="s">
        <v>43</v>
      </c>
      <c r="M6879" t="s">
        <v>43</v>
      </c>
      <c r="N6879" t="s">
        <v>45</v>
      </c>
      <c r="O6879" t="s">
        <v>43</v>
      </c>
      <c r="P6879" t="s">
        <v>43</v>
      </c>
      <c r="Q6879" t="s">
        <v>43</v>
      </c>
      <c r="R6879" t="s">
        <v>43</v>
      </c>
      <c r="S6879" t="s">
        <v>43</v>
      </c>
      <c r="T6879" t="s">
        <v>43</v>
      </c>
      <c r="U6879" t="s">
        <v>43</v>
      </c>
      <c r="V6879" t="s">
        <v>43</v>
      </c>
      <c r="W6879" t="s">
        <v>43</v>
      </c>
      <c r="X6879" t="s">
        <v>43</v>
      </c>
      <c r="Y6879" t="s">
        <v>43</v>
      </c>
      <c r="Z6879" t="s">
        <v>43</v>
      </c>
      <c r="AA6879" t="s">
        <v>43</v>
      </c>
      <c r="AB6879" t="s">
        <v>43</v>
      </c>
      <c r="AC6879" t="s">
        <v>43</v>
      </c>
      <c r="AD6879" t="s">
        <v>43</v>
      </c>
      <c r="AE6879" t="s">
        <v>43</v>
      </c>
      <c r="AF6879" t="s">
        <v>43</v>
      </c>
      <c r="AG6879" t="s">
        <v>43</v>
      </c>
      <c r="AH6879" t="s">
        <v>43</v>
      </c>
      <c r="AI6879" t="s">
        <v>43</v>
      </c>
      <c r="AJ6879" t="s">
        <v>43</v>
      </c>
      <c r="AK6879" t="s">
        <v>43</v>
      </c>
      <c r="AL6879" t="s">
        <v>43</v>
      </c>
      <c r="AM6879" t="s">
        <v>43</v>
      </c>
      <c r="AN6879" t="str">
        <f>HYPERLINK("https://www.google.com/maps?q=10.78967285,79.57881927","Open Location")</f>
        <v>Open Location</v>
      </c>
    </row>
    <row r="6880" spans="1:40" x14ac:dyDescent="0.3">
      <c r="A6880" s="1">
        <v>46210.203009259261</v>
      </c>
      <c r="B6880" t="s">
        <v>40</v>
      </c>
      <c r="C6880" t="s">
        <v>41</v>
      </c>
      <c r="D6880" s="1">
        <v>46210.206331018519</v>
      </c>
      <c r="E6880" t="s">
        <v>42</v>
      </c>
      <c r="F6880" t="s">
        <v>43</v>
      </c>
      <c r="G6880" t="s">
        <v>43</v>
      </c>
      <c r="H6880" t="s">
        <v>43</v>
      </c>
      <c r="I6880" t="s">
        <v>4007</v>
      </c>
      <c r="J6880" t="s">
        <v>43</v>
      </c>
      <c r="K6880" t="s">
        <v>43</v>
      </c>
      <c r="L6880" t="s">
        <v>43</v>
      </c>
      <c r="M6880" t="s">
        <v>43</v>
      </c>
      <c r="N6880" t="s">
        <v>45</v>
      </c>
      <c r="O6880" t="s">
        <v>43</v>
      </c>
      <c r="P6880" t="s">
        <v>43</v>
      </c>
      <c r="Q6880" t="s">
        <v>43</v>
      </c>
      <c r="R6880" t="s">
        <v>43</v>
      </c>
      <c r="S6880" t="s">
        <v>43</v>
      </c>
      <c r="T6880" t="s">
        <v>43</v>
      </c>
      <c r="U6880" t="s">
        <v>43</v>
      </c>
      <c r="V6880" t="s">
        <v>43</v>
      </c>
      <c r="W6880" t="s">
        <v>43</v>
      </c>
      <c r="X6880" t="s">
        <v>43</v>
      </c>
      <c r="Y6880" t="s">
        <v>43</v>
      </c>
      <c r="Z6880" t="s">
        <v>43</v>
      </c>
      <c r="AA6880" t="s">
        <v>43</v>
      </c>
      <c r="AB6880" t="s">
        <v>43</v>
      </c>
      <c r="AC6880" t="s">
        <v>43</v>
      </c>
      <c r="AD6880" t="s">
        <v>43</v>
      </c>
      <c r="AE6880" t="s">
        <v>43</v>
      </c>
      <c r="AF6880" t="s">
        <v>43</v>
      </c>
      <c r="AG6880" t="s">
        <v>43</v>
      </c>
      <c r="AH6880" t="s">
        <v>43</v>
      </c>
      <c r="AI6880" t="s">
        <v>43</v>
      </c>
      <c r="AJ6880" t="s">
        <v>43</v>
      </c>
      <c r="AK6880" t="s">
        <v>43</v>
      </c>
      <c r="AL6880" t="s">
        <v>43</v>
      </c>
      <c r="AM6880" t="s">
        <v>43</v>
      </c>
      <c r="AN6880" t="str">
        <f>HYPERLINK("https://www.google.com/maps?q=10.7896719,79.5788269","Open Location")</f>
        <v>Open Location</v>
      </c>
    </row>
    <row r="6881" spans="1:40" x14ac:dyDescent="0.3">
      <c r="A6881" s="1">
        <v>46210.202893518515</v>
      </c>
      <c r="B6881" t="s">
        <v>40</v>
      </c>
      <c r="C6881" t="s">
        <v>41</v>
      </c>
      <c r="D6881" s="1">
        <v>46210.205775462964</v>
      </c>
      <c r="E6881" t="s">
        <v>42</v>
      </c>
      <c r="F6881" t="s">
        <v>43</v>
      </c>
      <c r="G6881" t="s">
        <v>43</v>
      </c>
      <c r="H6881" t="s">
        <v>43</v>
      </c>
      <c r="I6881" t="s">
        <v>4008</v>
      </c>
      <c r="J6881" t="s">
        <v>43</v>
      </c>
      <c r="K6881" t="s">
        <v>43</v>
      </c>
      <c r="L6881" t="s">
        <v>43</v>
      </c>
      <c r="M6881" t="s">
        <v>43</v>
      </c>
      <c r="N6881" t="s">
        <v>45</v>
      </c>
      <c r="O6881" t="s">
        <v>43</v>
      </c>
      <c r="P6881" t="s">
        <v>43</v>
      </c>
      <c r="Q6881" t="s">
        <v>43</v>
      </c>
      <c r="R6881" t="s">
        <v>43</v>
      </c>
      <c r="S6881" t="s">
        <v>43</v>
      </c>
      <c r="T6881" t="s">
        <v>43</v>
      </c>
      <c r="U6881" t="s">
        <v>43</v>
      </c>
      <c r="V6881" t="s">
        <v>43</v>
      </c>
      <c r="W6881" t="s">
        <v>43</v>
      </c>
      <c r="X6881" t="s">
        <v>43</v>
      </c>
      <c r="Y6881" t="s">
        <v>43</v>
      </c>
      <c r="Z6881" t="s">
        <v>43</v>
      </c>
      <c r="AA6881" t="s">
        <v>43</v>
      </c>
      <c r="AB6881" t="s">
        <v>43</v>
      </c>
      <c r="AC6881" t="s">
        <v>43</v>
      </c>
      <c r="AD6881" t="s">
        <v>43</v>
      </c>
      <c r="AE6881" t="s">
        <v>43</v>
      </c>
      <c r="AF6881" t="s">
        <v>43</v>
      </c>
      <c r="AG6881" t="s">
        <v>43</v>
      </c>
      <c r="AH6881" t="s">
        <v>43</v>
      </c>
      <c r="AI6881" t="s">
        <v>43</v>
      </c>
      <c r="AJ6881" t="s">
        <v>43</v>
      </c>
      <c r="AK6881" t="s">
        <v>43</v>
      </c>
      <c r="AL6881" t="s">
        <v>43</v>
      </c>
      <c r="AM6881" t="s">
        <v>43</v>
      </c>
      <c r="AN6881" t="str">
        <f>HYPERLINK("https://www.google.com/maps?q=10.78967285,79.5788269","Open Location")</f>
        <v>Open Location</v>
      </c>
    </row>
    <row r="6882" spans="1:40" x14ac:dyDescent="0.3">
      <c r="A6882" s="1">
        <v>46210.202777777777</v>
      </c>
      <c r="B6882" t="s">
        <v>40</v>
      </c>
      <c r="C6882" t="s">
        <v>41</v>
      </c>
      <c r="D6882" s="1">
        <v>46210.206053240741</v>
      </c>
      <c r="E6882" t="s">
        <v>42</v>
      </c>
      <c r="F6882" t="s">
        <v>43</v>
      </c>
      <c r="G6882" t="s">
        <v>43</v>
      </c>
      <c r="H6882" t="s">
        <v>43</v>
      </c>
      <c r="I6882" t="s">
        <v>3942</v>
      </c>
      <c r="J6882" t="s">
        <v>43</v>
      </c>
      <c r="K6882" t="s">
        <v>43</v>
      </c>
      <c r="L6882" t="s">
        <v>43</v>
      </c>
      <c r="M6882" t="s">
        <v>43</v>
      </c>
      <c r="N6882" t="s">
        <v>45</v>
      </c>
      <c r="O6882" t="s">
        <v>43</v>
      </c>
      <c r="P6882" t="s">
        <v>43</v>
      </c>
      <c r="Q6882" t="s">
        <v>43</v>
      </c>
      <c r="R6882" t="s">
        <v>43</v>
      </c>
      <c r="S6882" t="s">
        <v>43</v>
      </c>
      <c r="T6882" t="s">
        <v>43</v>
      </c>
      <c r="U6882" t="s">
        <v>43</v>
      </c>
      <c r="V6882" t="s">
        <v>43</v>
      </c>
      <c r="W6882" t="s">
        <v>43</v>
      </c>
      <c r="X6882" t="s">
        <v>43</v>
      </c>
      <c r="Y6882" t="s">
        <v>43</v>
      </c>
      <c r="Z6882" t="s">
        <v>43</v>
      </c>
      <c r="AA6882" t="s">
        <v>43</v>
      </c>
      <c r="AB6882" t="s">
        <v>43</v>
      </c>
      <c r="AC6882" t="s">
        <v>43</v>
      </c>
      <c r="AD6882" t="s">
        <v>43</v>
      </c>
      <c r="AE6882" t="s">
        <v>43</v>
      </c>
      <c r="AF6882" t="s">
        <v>43</v>
      </c>
      <c r="AG6882" t="s">
        <v>43</v>
      </c>
      <c r="AH6882" t="s">
        <v>43</v>
      </c>
      <c r="AI6882" t="s">
        <v>43</v>
      </c>
      <c r="AJ6882" t="s">
        <v>43</v>
      </c>
      <c r="AK6882" t="s">
        <v>43</v>
      </c>
      <c r="AL6882" t="s">
        <v>43</v>
      </c>
      <c r="AM6882" t="s">
        <v>43</v>
      </c>
      <c r="AN6882" t="str">
        <f>HYPERLINK("https://www.google.com/maps?q=10.78966713,79.57881927","Open Location")</f>
        <v>Open Location</v>
      </c>
    </row>
    <row r="6883" spans="1:40" x14ac:dyDescent="0.3">
      <c r="A6883" s="1">
        <v>46210.202662037038</v>
      </c>
      <c r="B6883" t="s">
        <v>40</v>
      </c>
      <c r="C6883" t="s">
        <v>41</v>
      </c>
      <c r="D6883" s="1">
        <v>46210.205567129633</v>
      </c>
      <c r="E6883" t="s">
        <v>42</v>
      </c>
      <c r="F6883" t="s">
        <v>43</v>
      </c>
      <c r="G6883" t="s">
        <v>43</v>
      </c>
      <c r="H6883" t="s">
        <v>43</v>
      </c>
      <c r="I6883" t="s">
        <v>43</v>
      </c>
      <c r="J6883" t="s">
        <v>43</v>
      </c>
      <c r="K6883" t="s">
        <v>43</v>
      </c>
      <c r="L6883" t="s">
        <v>43</v>
      </c>
      <c r="M6883" t="s">
        <v>43</v>
      </c>
      <c r="N6883" t="s">
        <v>45</v>
      </c>
      <c r="O6883" t="s">
        <v>43</v>
      </c>
      <c r="P6883" t="s">
        <v>43</v>
      </c>
      <c r="Q6883" t="s">
        <v>43</v>
      </c>
      <c r="R6883" t="s">
        <v>43</v>
      </c>
      <c r="S6883" t="s">
        <v>43</v>
      </c>
      <c r="T6883" t="s">
        <v>43</v>
      </c>
      <c r="U6883" t="s">
        <v>43</v>
      </c>
      <c r="V6883" t="s">
        <v>43</v>
      </c>
      <c r="W6883" t="s">
        <v>43</v>
      </c>
      <c r="X6883" t="s">
        <v>43</v>
      </c>
      <c r="Y6883" t="s">
        <v>43</v>
      </c>
      <c r="Z6883" t="s">
        <v>43</v>
      </c>
      <c r="AA6883" t="s">
        <v>43</v>
      </c>
      <c r="AB6883" t="s">
        <v>43</v>
      </c>
      <c r="AC6883" t="s">
        <v>43</v>
      </c>
      <c r="AD6883" t="s">
        <v>43</v>
      </c>
      <c r="AE6883" t="s">
        <v>43</v>
      </c>
      <c r="AF6883" t="s">
        <v>43</v>
      </c>
      <c r="AG6883" t="s">
        <v>43</v>
      </c>
      <c r="AH6883" t="s">
        <v>43</v>
      </c>
      <c r="AI6883" t="s">
        <v>43</v>
      </c>
      <c r="AJ6883" t="s">
        <v>43</v>
      </c>
      <c r="AK6883" t="s">
        <v>43</v>
      </c>
      <c r="AL6883" t="s">
        <v>43</v>
      </c>
      <c r="AM6883" t="s">
        <v>43</v>
      </c>
      <c r="AN6883" t="s">
        <v>43</v>
      </c>
    </row>
    <row r="6884" spans="1:40" x14ac:dyDescent="0.3">
      <c r="A6884" s="1">
        <v>46210.202546296299</v>
      </c>
      <c r="B6884" t="s">
        <v>40</v>
      </c>
      <c r="C6884" t="s">
        <v>41</v>
      </c>
      <c r="D6884" s="1">
        <v>46210.205567129633</v>
      </c>
      <c r="E6884" t="s">
        <v>42</v>
      </c>
      <c r="F6884" t="s">
        <v>43</v>
      </c>
      <c r="G6884" t="s">
        <v>43</v>
      </c>
      <c r="H6884" t="s">
        <v>43</v>
      </c>
      <c r="I6884" t="s">
        <v>4009</v>
      </c>
      <c r="J6884" t="s">
        <v>43</v>
      </c>
      <c r="K6884" t="s">
        <v>43</v>
      </c>
      <c r="L6884" t="s">
        <v>43</v>
      </c>
      <c r="M6884" t="s">
        <v>43</v>
      </c>
      <c r="N6884" t="s">
        <v>45</v>
      </c>
      <c r="O6884" t="s">
        <v>43</v>
      </c>
      <c r="P6884" t="s">
        <v>43</v>
      </c>
      <c r="Q6884" t="s">
        <v>43</v>
      </c>
      <c r="R6884" t="s">
        <v>43</v>
      </c>
      <c r="S6884" t="s">
        <v>43</v>
      </c>
      <c r="T6884" t="s">
        <v>43</v>
      </c>
      <c r="U6884" t="s">
        <v>43</v>
      </c>
      <c r="V6884" t="s">
        <v>43</v>
      </c>
      <c r="W6884" t="s">
        <v>43</v>
      </c>
      <c r="X6884" t="s">
        <v>43</v>
      </c>
      <c r="Y6884" t="s">
        <v>43</v>
      </c>
      <c r="Z6884" t="s">
        <v>43</v>
      </c>
      <c r="AA6884" t="s">
        <v>43</v>
      </c>
      <c r="AB6884" t="s">
        <v>43</v>
      </c>
      <c r="AC6884" t="s">
        <v>43</v>
      </c>
      <c r="AD6884" t="s">
        <v>43</v>
      </c>
      <c r="AE6884" t="s">
        <v>43</v>
      </c>
      <c r="AF6884" t="s">
        <v>43</v>
      </c>
      <c r="AG6884" t="s">
        <v>43</v>
      </c>
      <c r="AH6884" t="s">
        <v>43</v>
      </c>
      <c r="AI6884" t="s">
        <v>43</v>
      </c>
      <c r="AJ6884" t="s">
        <v>43</v>
      </c>
      <c r="AK6884" t="s">
        <v>43</v>
      </c>
      <c r="AL6884" t="s">
        <v>43</v>
      </c>
      <c r="AM6884" t="s">
        <v>43</v>
      </c>
      <c r="AN6884" t="str">
        <f>HYPERLINK("https://www.google.com/maps?q=10.78966618,79.57881927","Open Location")</f>
        <v>Open Location</v>
      </c>
    </row>
    <row r="6885" spans="1:40" x14ac:dyDescent="0.3">
      <c r="A6885" s="1">
        <v>46210.202430555553</v>
      </c>
      <c r="B6885" t="s">
        <v>40</v>
      </c>
      <c r="C6885" t="s">
        <v>41</v>
      </c>
      <c r="D6885" s="1">
        <v>46210.205196759256</v>
      </c>
      <c r="E6885" t="s">
        <v>42</v>
      </c>
      <c r="F6885" t="s">
        <v>43</v>
      </c>
      <c r="G6885" t="s">
        <v>43</v>
      </c>
      <c r="H6885" t="s">
        <v>43</v>
      </c>
      <c r="I6885" t="s">
        <v>4010</v>
      </c>
      <c r="J6885" t="s">
        <v>43</v>
      </c>
      <c r="K6885" t="s">
        <v>43</v>
      </c>
      <c r="L6885" t="s">
        <v>43</v>
      </c>
      <c r="M6885" t="s">
        <v>43</v>
      </c>
      <c r="N6885" t="s">
        <v>45</v>
      </c>
      <c r="O6885" t="s">
        <v>43</v>
      </c>
      <c r="P6885" t="s">
        <v>43</v>
      </c>
      <c r="Q6885" t="s">
        <v>43</v>
      </c>
      <c r="R6885" t="s">
        <v>43</v>
      </c>
      <c r="S6885" t="s">
        <v>43</v>
      </c>
      <c r="T6885" t="s">
        <v>43</v>
      </c>
      <c r="U6885" t="s">
        <v>43</v>
      </c>
      <c r="V6885" t="s">
        <v>43</v>
      </c>
      <c r="W6885" t="s">
        <v>43</v>
      </c>
      <c r="X6885" t="s">
        <v>43</v>
      </c>
      <c r="Y6885" t="s">
        <v>43</v>
      </c>
      <c r="Z6885" t="s">
        <v>43</v>
      </c>
      <c r="AA6885" t="s">
        <v>43</v>
      </c>
      <c r="AB6885" t="s">
        <v>43</v>
      </c>
      <c r="AC6885" t="s">
        <v>43</v>
      </c>
      <c r="AD6885" t="s">
        <v>43</v>
      </c>
      <c r="AE6885" t="s">
        <v>43</v>
      </c>
      <c r="AF6885" t="s">
        <v>43</v>
      </c>
      <c r="AG6885" t="s">
        <v>43</v>
      </c>
      <c r="AH6885" t="s">
        <v>43</v>
      </c>
      <c r="AI6885" t="s">
        <v>43</v>
      </c>
      <c r="AJ6885" t="s">
        <v>43</v>
      </c>
      <c r="AK6885" t="s">
        <v>43</v>
      </c>
      <c r="AL6885" t="s">
        <v>43</v>
      </c>
      <c r="AM6885" t="s">
        <v>43</v>
      </c>
      <c r="AN6885" t="str">
        <f>HYPERLINK("https://www.google.com/maps?q=10.78966331,79.57881927","Open Location")</f>
        <v>Open Location</v>
      </c>
    </row>
    <row r="6886" spans="1:40" x14ac:dyDescent="0.3">
      <c r="A6886" s="1">
        <v>46210.202314814815</v>
      </c>
      <c r="B6886" t="s">
        <v>40</v>
      </c>
      <c r="C6886" t="s">
        <v>41</v>
      </c>
      <c r="D6886" s="1">
        <v>46210.205196759256</v>
      </c>
      <c r="E6886" t="s">
        <v>42</v>
      </c>
      <c r="F6886" t="s">
        <v>43</v>
      </c>
      <c r="G6886" t="s">
        <v>43</v>
      </c>
      <c r="H6886" t="s">
        <v>43</v>
      </c>
      <c r="I6886" t="s">
        <v>3927</v>
      </c>
      <c r="J6886" t="s">
        <v>43</v>
      </c>
      <c r="K6886" t="s">
        <v>43</v>
      </c>
      <c r="L6886" t="s">
        <v>43</v>
      </c>
      <c r="M6886" t="s">
        <v>43</v>
      </c>
      <c r="N6886" t="s">
        <v>45</v>
      </c>
      <c r="O6886" t="s">
        <v>43</v>
      </c>
      <c r="P6886" t="s">
        <v>43</v>
      </c>
      <c r="Q6886" t="s">
        <v>43</v>
      </c>
      <c r="R6886" t="s">
        <v>43</v>
      </c>
      <c r="S6886" t="s">
        <v>43</v>
      </c>
      <c r="T6886" t="s">
        <v>43</v>
      </c>
      <c r="U6886" t="s">
        <v>43</v>
      </c>
      <c r="V6886" t="s">
        <v>43</v>
      </c>
      <c r="W6886" t="s">
        <v>43</v>
      </c>
      <c r="X6886" t="s">
        <v>43</v>
      </c>
      <c r="Y6886" t="s">
        <v>43</v>
      </c>
      <c r="Z6886" t="s">
        <v>43</v>
      </c>
      <c r="AA6886" t="s">
        <v>43</v>
      </c>
      <c r="AB6886" t="s">
        <v>43</v>
      </c>
      <c r="AC6886" t="s">
        <v>43</v>
      </c>
      <c r="AD6886" t="s">
        <v>43</v>
      </c>
      <c r="AE6886" t="s">
        <v>43</v>
      </c>
      <c r="AF6886" t="s">
        <v>43</v>
      </c>
      <c r="AG6886" t="s">
        <v>43</v>
      </c>
      <c r="AH6886" t="s">
        <v>43</v>
      </c>
      <c r="AI6886" t="s">
        <v>43</v>
      </c>
      <c r="AJ6886" t="s">
        <v>43</v>
      </c>
      <c r="AK6886" t="s">
        <v>43</v>
      </c>
      <c r="AL6886" t="s">
        <v>43</v>
      </c>
      <c r="AM6886" t="s">
        <v>43</v>
      </c>
      <c r="AN6886" t="str">
        <f>HYPERLINK("https://www.google.com/maps?q=10.78966141,79.57881165","Open Location")</f>
        <v>Open Location</v>
      </c>
    </row>
    <row r="6887" spans="1:40" x14ac:dyDescent="0.3">
      <c r="A6887" s="1">
        <v>46210.202199074076</v>
      </c>
      <c r="B6887" t="s">
        <v>40</v>
      </c>
      <c r="C6887" t="s">
        <v>41</v>
      </c>
      <c r="D6887" s="1">
        <v>46210.205312500002</v>
      </c>
      <c r="E6887" t="s">
        <v>42</v>
      </c>
      <c r="F6887" t="s">
        <v>43</v>
      </c>
      <c r="G6887" t="s">
        <v>43</v>
      </c>
      <c r="H6887" t="s">
        <v>43</v>
      </c>
      <c r="I6887" t="s">
        <v>3988</v>
      </c>
      <c r="J6887" t="s">
        <v>43</v>
      </c>
      <c r="K6887" t="s">
        <v>43</v>
      </c>
      <c r="L6887" t="s">
        <v>43</v>
      </c>
      <c r="M6887" t="s">
        <v>43</v>
      </c>
      <c r="N6887" t="s">
        <v>45</v>
      </c>
      <c r="O6887" t="s">
        <v>43</v>
      </c>
      <c r="P6887" t="s">
        <v>43</v>
      </c>
      <c r="Q6887" t="s">
        <v>43</v>
      </c>
      <c r="R6887" t="s">
        <v>43</v>
      </c>
      <c r="S6887" t="s">
        <v>43</v>
      </c>
      <c r="T6887" t="s">
        <v>43</v>
      </c>
      <c r="U6887" t="s">
        <v>43</v>
      </c>
      <c r="V6887" t="s">
        <v>43</v>
      </c>
      <c r="W6887" t="s">
        <v>43</v>
      </c>
      <c r="X6887" t="s">
        <v>43</v>
      </c>
      <c r="Y6887" t="s">
        <v>43</v>
      </c>
      <c r="Z6887" t="s">
        <v>43</v>
      </c>
      <c r="AA6887" t="s">
        <v>43</v>
      </c>
      <c r="AB6887" t="s">
        <v>43</v>
      </c>
      <c r="AC6887" t="s">
        <v>43</v>
      </c>
      <c r="AD6887" t="s">
        <v>43</v>
      </c>
      <c r="AE6887" t="s">
        <v>43</v>
      </c>
      <c r="AF6887" t="s">
        <v>43</v>
      </c>
      <c r="AG6887" t="s">
        <v>43</v>
      </c>
      <c r="AH6887" t="s">
        <v>43</v>
      </c>
      <c r="AI6887" t="s">
        <v>43</v>
      </c>
      <c r="AJ6887" t="s">
        <v>43</v>
      </c>
      <c r="AK6887" t="s">
        <v>43</v>
      </c>
      <c r="AL6887" t="s">
        <v>43</v>
      </c>
      <c r="AM6887" t="s">
        <v>43</v>
      </c>
      <c r="AN6887" t="str">
        <f>HYPERLINK("https://www.google.com/maps?q=10.78966331,79.57878876","Open Location")</f>
        <v>Open Location</v>
      </c>
    </row>
    <row r="6888" spans="1:40" x14ac:dyDescent="0.3">
      <c r="A6888" s="1">
        <v>46210.20208333333</v>
      </c>
      <c r="B6888" t="s">
        <v>40</v>
      </c>
      <c r="C6888" t="s">
        <v>41</v>
      </c>
      <c r="D6888" s="1">
        <v>46210.20516203704</v>
      </c>
      <c r="E6888" t="s">
        <v>42</v>
      </c>
      <c r="F6888" t="s">
        <v>43</v>
      </c>
      <c r="G6888" t="s">
        <v>43</v>
      </c>
      <c r="H6888" t="s">
        <v>43</v>
      </c>
      <c r="I6888" t="s">
        <v>4011</v>
      </c>
      <c r="J6888" t="s">
        <v>43</v>
      </c>
      <c r="K6888" t="s">
        <v>43</v>
      </c>
      <c r="L6888" t="s">
        <v>43</v>
      </c>
      <c r="M6888" t="s">
        <v>43</v>
      </c>
      <c r="N6888" t="s">
        <v>45</v>
      </c>
      <c r="O6888" t="s">
        <v>43</v>
      </c>
      <c r="P6888" t="s">
        <v>43</v>
      </c>
      <c r="Q6888" t="s">
        <v>43</v>
      </c>
      <c r="R6888" t="s">
        <v>43</v>
      </c>
      <c r="S6888" t="s">
        <v>43</v>
      </c>
      <c r="T6888" t="s">
        <v>43</v>
      </c>
      <c r="U6888" t="s">
        <v>43</v>
      </c>
      <c r="V6888" t="s">
        <v>43</v>
      </c>
      <c r="W6888" t="s">
        <v>43</v>
      </c>
      <c r="X6888" t="s">
        <v>43</v>
      </c>
      <c r="Y6888" t="s">
        <v>43</v>
      </c>
      <c r="Z6888" t="s">
        <v>43</v>
      </c>
      <c r="AA6888" t="s">
        <v>43</v>
      </c>
      <c r="AB6888" t="s">
        <v>43</v>
      </c>
      <c r="AC6888" t="s">
        <v>43</v>
      </c>
      <c r="AD6888" t="s">
        <v>43</v>
      </c>
      <c r="AE6888" t="s">
        <v>43</v>
      </c>
      <c r="AF6888" t="s">
        <v>43</v>
      </c>
      <c r="AG6888" t="s">
        <v>43</v>
      </c>
      <c r="AH6888" t="s">
        <v>43</v>
      </c>
      <c r="AI6888" t="s">
        <v>43</v>
      </c>
      <c r="AJ6888" t="s">
        <v>43</v>
      </c>
      <c r="AK6888" t="s">
        <v>43</v>
      </c>
      <c r="AL6888" t="s">
        <v>43</v>
      </c>
      <c r="AM6888" t="s">
        <v>43</v>
      </c>
      <c r="AN6888" t="str">
        <f>HYPERLINK("https://www.google.com/maps?q=10.78967476,79.57878113","Open Location")</f>
        <v>Open Location</v>
      </c>
    </row>
    <row r="6889" spans="1:40" x14ac:dyDescent="0.3">
      <c r="A6889" s="1">
        <v>46210.201967592591</v>
      </c>
      <c r="B6889" t="s">
        <v>40</v>
      </c>
      <c r="C6889" t="s">
        <v>41</v>
      </c>
      <c r="D6889" s="1">
        <v>46210.204768518517</v>
      </c>
      <c r="E6889" t="s">
        <v>42</v>
      </c>
      <c r="F6889" t="s">
        <v>43</v>
      </c>
      <c r="G6889" t="s">
        <v>43</v>
      </c>
      <c r="H6889" t="s">
        <v>43</v>
      </c>
      <c r="I6889" t="s">
        <v>43</v>
      </c>
      <c r="J6889" t="s">
        <v>43</v>
      </c>
      <c r="K6889" t="s">
        <v>43</v>
      </c>
      <c r="L6889" t="s">
        <v>43</v>
      </c>
      <c r="M6889" t="s">
        <v>43</v>
      </c>
      <c r="N6889" t="s">
        <v>45</v>
      </c>
      <c r="O6889" t="s">
        <v>43</v>
      </c>
      <c r="P6889" t="s">
        <v>43</v>
      </c>
      <c r="Q6889" t="s">
        <v>43</v>
      </c>
      <c r="R6889" t="s">
        <v>43</v>
      </c>
      <c r="S6889" t="s">
        <v>43</v>
      </c>
      <c r="T6889" t="s">
        <v>43</v>
      </c>
      <c r="U6889" t="s">
        <v>43</v>
      </c>
      <c r="V6889" t="s">
        <v>43</v>
      </c>
      <c r="W6889" t="s">
        <v>43</v>
      </c>
      <c r="X6889" t="s">
        <v>43</v>
      </c>
      <c r="Y6889" t="s">
        <v>43</v>
      </c>
      <c r="Z6889" t="s">
        <v>43</v>
      </c>
      <c r="AA6889" t="s">
        <v>43</v>
      </c>
      <c r="AB6889" t="s">
        <v>43</v>
      </c>
      <c r="AC6889" t="s">
        <v>43</v>
      </c>
      <c r="AD6889" t="s">
        <v>43</v>
      </c>
      <c r="AE6889" t="s">
        <v>43</v>
      </c>
      <c r="AF6889" t="s">
        <v>43</v>
      </c>
      <c r="AG6889" t="s">
        <v>43</v>
      </c>
      <c r="AH6889" t="s">
        <v>43</v>
      </c>
      <c r="AI6889" t="s">
        <v>43</v>
      </c>
      <c r="AJ6889" t="s">
        <v>43</v>
      </c>
      <c r="AK6889" t="s">
        <v>43</v>
      </c>
      <c r="AL6889" t="s">
        <v>43</v>
      </c>
      <c r="AM6889" t="s">
        <v>43</v>
      </c>
      <c r="AN6889" t="s">
        <v>43</v>
      </c>
    </row>
    <row r="6890" spans="1:40" x14ac:dyDescent="0.3">
      <c r="A6890" s="1">
        <v>46210.201851851853</v>
      </c>
      <c r="B6890" t="s">
        <v>40</v>
      </c>
      <c r="C6890" t="s">
        <v>41</v>
      </c>
      <c r="D6890" s="1">
        <v>46210.204780092594</v>
      </c>
      <c r="E6890" t="s">
        <v>42</v>
      </c>
      <c r="F6890" t="s">
        <v>43</v>
      </c>
      <c r="G6890" t="s">
        <v>43</v>
      </c>
      <c r="H6890" t="s">
        <v>43</v>
      </c>
      <c r="I6890" t="s">
        <v>4012</v>
      </c>
      <c r="J6890" t="s">
        <v>43</v>
      </c>
      <c r="K6890" t="s">
        <v>43</v>
      </c>
      <c r="L6890" t="s">
        <v>43</v>
      </c>
      <c r="M6890" t="s">
        <v>43</v>
      </c>
      <c r="N6890" t="s">
        <v>45</v>
      </c>
      <c r="O6890" t="s">
        <v>43</v>
      </c>
      <c r="P6890" t="s">
        <v>43</v>
      </c>
      <c r="Q6890" t="s">
        <v>43</v>
      </c>
      <c r="R6890" t="s">
        <v>43</v>
      </c>
      <c r="S6890" t="s">
        <v>43</v>
      </c>
      <c r="T6890" t="s">
        <v>43</v>
      </c>
      <c r="U6890" t="s">
        <v>43</v>
      </c>
      <c r="V6890" t="s">
        <v>43</v>
      </c>
      <c r="W6890" t="s">
        <v>43</v>
      </c>
      <c r="X6890" t="s">
        <v>43</v>
      </c>
      <c r="Y6890" t="s">
        <v>43</v>
      </c>
      <c r="Z6890" t="s">
        <v>43</v>
      </c>
      <c r="AA6890" t="s">
        <v>43</v>
      </c>
      <c r="AB6890" t="s">
        <v>43</v>
      </c>
      <c r="AC6890" t="s">
        <v>43</v>
      </c>
      <c r="AD6890" t="s">
        <v>43</v>
      </c>
      <c r="AE6890" t="s">
        <v>43</v>
      </c>
      <c r="AF6890" t="s">
        <v>43</v>
      </c>
      <c r="AG6890" t="s">
        <v>43</v>
      </c>
      <c r="AH6890" t="s">
        <v>43</v>
      </c>
      <c r="AI6890" t="s">
        <v>43</v>
      </c>
      <c r="AJ6890" t="s">
        <v>43</v>
      </c>
      <c r="AK6890" t="s">
        <v>43</v>
      </c>
      <c r="AL6890" t="s">
        <v>43</v>
      </c>
      <c r="AM6890" t="s">
        <v>43</v>
      </c>
      <c r="AN6890" t="str">
        <f>HYPERLINK("https://www.google.com/maps?q=10.78967381,79.57878113","Open Location")</f>
        <v>Open Location</v>
      </c>
    </row>
    <row r="6891" spans="1:40" x14ac:dyDescent="0.3">
      <c r="A6891" s="1">
        <v>46210.201736111114</v>
      </c>
      <c r="B6891" t="s">
        <v>40</v>
      </c>
      <c r="C6891" t="s">
        <v>41</v>
      </c>
      <c r="D6891" s="1">
        <v>46210.204421296294</v>
      </c>
      <c r="E6891" t="s">
        <v>42</v>
      </c>
      <c r="F6891" t="s">
        <v>43</v>
      </c>
      <c r="G6891" t="s">
        <v>43</v>
      </c>
      <c r="H6891" t="s">
        <v>43</v>
      </c>
      <c r="I6891" t="s">
        <v>4013</v>
      </c>
      <c r="J6891" t="s">
        <v>43</v>
      </c>
      <c r="K6891" t="s">
        <v>43</v>
      </c>
      <c r="L6891" t="s">
        <v>43</v>
      </c>
      <c r="M6891" t="s">
        <v>43</v>
      </c>
      <c r="N6891" t="s">
        <v>45</v>
      </c>
      <c r="O6891" t="s">
        <v>43</v>
      </c>
      <c r="P6891" t="s">
        <v>43</v>
      </c>
      <c r="Q6891" t="s">
        <v>43</v>
      </c>
      <c r="R6891" t="s">
        <v>43</v>
      </c>
      <c r="S6891" t="s">
        <v>43</v>
      </c>
      <c r="T6891" t="s">
        <v>43</v>
      </c>
      <c r="U6891" t="s">
        <v>43</v>
      </c>
      <c r="V6891" t="s">
        <v>43</v>
      </c>
      <c r="W6891" t="s">
        <v>43</v>
      </c>
      <c r="X6891" t="s">
        <v>43</v>
      </c>
      <c r="Y6891" t="s">
        <v>43</v>
      </c>
      <c r="Z6891" t="s">
        <v>43</v>
      </c>
      <c r="AA6891" t="s">
        <v>43</v>
      </c>
      <c r="AB6891" t="s">
        <v>43</v>
      </c>
      <c r="AC6891" t="s">
        <v>43</v>
      </c>
      <c r="AD6891" t="s">
        <v>43</v>
      </c>
      <c r="AE6891" t="s">
        <v>43</v>
      </c>
      <c r="AF6891" t="s">
        <v>43</v>
      </c>
      <c r="AG6891" t="s">
        <v>43</v>
      </c>
      <c r="AH6891" t="s">
        <v>43</v>
      </c>
      <c r="AI6891" t="s">
        <v>43</v>
      </c>
      <c r="AJ6891" t="s">
        <v>43</v>
      </c>
      <c r="AK6891" t="s">
        <v>43</v>
      </c>
      <c r="AL6891" t="s">
        <v>43</v>
      </c>
      <c r="AM6891" t="s">
        <v>43</v>
      </c>
      <c r="AN6891" t="str">
        <f>HYPERLINK("https://www.google.com/maps?q=10.78967285,79.57878113","Open Location")</f>
        <v>Open Location</v>
      </c>
    </row>
    <row r="6892" spans="1:40" x14ac:dyDescent="0.3">
      <c r="A6892" s="1">
        <v>46210.201620370368</v>
      </c>
      <c r="B6892" t="s">
        <v>40</v>
      </c>
      <c r="C6892" t="s">
        <v>41</v>
      </c>
      <c r="D6892" s="1">
        <v>46210.204432870371</v>
      </c>
      <c r="E6892" t="s">
        <v>42</v>
      </c>
      <c r="F6892" t="s">
        <v>43</v>
      </c>
      <c r="G6892" t="s">
        <v>43</v>
      </c>
      <c r="H6892" t="s">
        <v>43</v>
      </c>
      <c r="I6892" t="s">
        <v>4014</v>
      </c>
      <c r="J6892" t="s">
        <v>43</v>
      </c>
      <c r="K6892" t="s">
        <v>43</v>
      </c>
      <c r="L6892" t="s">
        <v>43</v>
      </c>
      <c r="M6892" t="s">
        <v>43</v>
      </c>
      <c r="N6892" t="s">
        <v>45</v>
      </c>
      <c r="O6892" t="s">
        <v>43</v>
      </c>
      <c r="P6892" t="s">
        <v>43</v>
      </c>
      <c r="Q6892" t="s">
        <v>43</v>
      </c>
      <c r="R6892" t="s">
        <v>43</v>
      </c>
      <c r="S6892" t="s">
        <v>43</v>
      </c>
      <c r="T6892" t="s">
        <v>43</v>
      </c>
      <c r="U6892" t="s">
        <v>43</v>
      </c>
      <c r="V6892" t="s">
        <v>43</v>
      </c>
      <c r="W6892" t="s">
        <v>43</v>
      </c>
      <c r="X6892" t="s">
        <v>43</v>
      </c>
      <c r="Y6892" t="s">
        <v>43</v>
      </c>
      <c r="Z6892" t="s">
        <v>43</v>
      </c>
      <c r="AA6892" t="s">
        <v>43</v>
      </c>
      <c r="AB6892" t="s">
        <v>43</v>
      </c>
      <c r="AC6892" t="s">
        <v>43</v>
      </c>
      <c r="AD6892" t="s">
        <v>43</v>
      </c>
      <c r="AE6892" t="s">
        <v>43</v>
      </c>
      <c r="AF6892" t="s">
        <v>43</v>
      </c>
      <c r="AG6892" t="s">
        <v>43</v>
      </c>
      <c r="AH6892" t="s">
        <v>43</v>
      </c>
      <c r="AI6892" t="s">
        <v>43</v>
      </c>
      <c r="AJ6892" t="s">
        <v>43</v>
      </c>
      <c r="AK6892" t="s">
        <v>43</v>
      </c>
      <c r="AL6892" t="s">
        <v>43</v>
      </c>
      <c r="AM6892" t="s">
        <v>43</v>
      </c>
      <c r="AN6892" t="str">
        <f>HYPERLINK("https://www.google.com/maps?q=10.78967762,79.57878113","Open Location")</f>
        <v>Open Location</v>
      </c>
    </row>
    <row r="6893" spans="1:40" x14ac:dyDescent="0.3">
      <c r="A6893" s="1">
        <v>46210.201504629629</v>
      </c>
      <c r="B6893" t="s">
        <v>40</v>
      </c>
      <c r="C6893" t="s">
        <v>41</v>
      </c>
      <c r="D6893" s="1">
        <v>46210.204143518517</v>
      </c>
      <c r="E6893" t="s">
        <v>42</v>
      </c>
      <c r="F6893" t="s">
        <v>43</v>
      </c>
      <c r="G6893" t="s">
        <v>43</v>
      </c>
      <c r="H6893" t="s">
        <v>43</v>
      </c>
      <c r="I6893" t="s">
        <v>4014</v>
      </c>
      <c r="J6893" t="s">
        <v>43</v>
      </c>
      <c r="K6893" t="s">
        <v>43</v>
      </c>
      <c r="L6893" t="s">
        <v>43</v>
      </c>
      <c r="M6893" t="s">
        <v>43</v>
      </c>
      <c r="N6893" t="s">
        <v>45</v>
      </c>
      <c r="O6893" t="s">
        <v>43</v>
      </c>
      <c r="P6893" t="s">
        <v>43</v>
      </c>
      <c r="Q6893" t="s">
        <v>43</v>
      </c>
      <c r="R6893" t="s">
        <v>43</v>
      </c>
      <c r="S6893" t="s">
        <v>43</v>
      </c>
      <c r="T6893" t="s">
        <v>43</v>
      </c>
      <c r="U6893" t="s">
        <v>43</v>
      </c>
      <c r="V6893" t="s">
        <v>43</v>
      </c>
      <c r="W6893" t="s">
        <v>43</v>
      </c>
      <c r="X6893" t="s">
        <v>43</v>
      </c>
      <c r="Y6893" t="s">
        <v>43</v>
      </c>
      <c r="Z6893" t="s">
        <v>43</v>
      </c>
      <c r="AA6893" t="s">
        <v>43</v>
      </c>
      <c r="AB6893" t="s">
        <v>43</v>
      </c>
      <c r="AC6893" t="s">
        <v>43</v>
      </c>
      <c r="AD6893" t="s">
        <v>43</v>
      </c>
      <c r="AE6893" t="s">
        <v>43</v>
      </c>
      <c r="AF6893" t="s">
        <v>43</v>
      </c>
      <c r="AG6893" t="s">
        <v>43</v>
      </c>
      <c r="AH6893" t="s">
        <v>43</v>
      </c>
      <c r="AI6893" t="s">
        <v>43</v>
      </c>
      <c r="AJ6893" t="s">
        <v>43</v>
      </c>
      <c r="AK6893" t="s">
        <v>43</v>
      </c>
      <c r="AL6893" t="s">
        <v>43</v>
      </c>
      <c r="AM6893" t="s">
        <v>43</v>
      </c>
      <c r="AN6893" t="str">
        <f>HYPERLINK("https://www.google.com/maps?q=10.78967762,79.57878113","Open Location")</f>
        <v>Open Location</v>
      </c>
    </row>
    <row r="6894" spans="1:40" x14ac:dyDescent="0.3">
      <c r="A6894" s="1">
        <v>46210.201388888891</v>
      </c>
      <c r="B6894" t="s">
        <v>40</v>
      </c>
      <c r="C6894" t="s">
        <v>41</v>
      </c>
      <c r="D6894" s="1">
        <v>46210.204409722224</v>
      </c>
      <c r="E6894" t="s">
        <v>42</v>
      </c>
      <c r="F6894" t="s">
        <v>43</v>
      </c>
      <c r="G6894" t="s">
        <v>43</v>
      </c>
      <c r="H6894" t="s">
        <v>43</v>
      </c>
      <c r="I6894" t="s">
        <v>4015</v>
      </c>
      <c r="J6894" t="s">
        <v>43</v>
      </c>
      <c r="K6894" t="s">
        <v>43</v>
      </c>
      <c r="L6894" t="s">
        <v>43</v>
      </c>
      <c r="M6894" t="s">
        <v>43</v>
      </c>
      <c r="N6894" t="s">
        <v>45</v>
      </c>
      <c r="O6894" t="s">
        <v>43</v>
      </c>
      <c r="P6894" t="s">
        <v>43</v>
      </c>
      <c r="Q6894" t="s">
        <v>43</v>
      </c>
      <c r="R6894" t="s">
        <v>43</v>
      </c>
      <c r="S6894" t="s">
        <v>43</v>
      </c>
      <c r="T6894" t="s">
        <v>43</v>
      </c>
      <c r="U6894" t="s">
        <v>43</v>
      </c>
      <c r="V6894" t="s">
        <v>43</v>
      </c>
      <c r="W6894" t="s">
        <v>43</v>
      </c>
      <c r="X6894" t="s">
        <v>43</v>
      </c>
      <c r="Y6894" t="s">
        <v>43</v>
      </c>
      <c r="Z6894" t="s">
        <v>43</v>
      </c>
      <c r="AA6894" t="s">
        <v>43</v>
      </c>
      <c r="AB6894" t="s">
        <v>43</v>
      </c>
      <c r="AC6894" t="s">
        <v>43</v>
      </c>
      <c r="AD6894" t="s">
        <v>43</v>
      </c>
      <c r="AE6894" t="s">
        <v>43</v>
      </c>
      <c r="AF6894" t="s">
        <v>43</v>
      </c>
      <c r="AG6894" t="s">
        <v>43</v>
      </c>
      <c r="AH6894" t="s">
        <v>43</v>
      </c>
      <c r="AI6894" t="s">
        <v>43</v>
      </c>
      <c r="AJ6894" t="s">
        <v>43</v>
      </c>
      <c r="AK6894" t="s">
        <v>43</v>
      </c>
      <c r="AL6894" t="s">
        <v>43</v>
      </c>
      <c r="AM6894" t="s">
        <v>43</v>
      </c>
      <c r="AN6894" t="str">
        <f>HYPERLINK("https://www.google.com/maps?q=10.78967094,79.57878113","Open Location")</f>
        <v>Open Location</v>
      </c>
    </row>
    <row r="6895" spans="1:40" x14ac:dyDescent="0.3">
      <c r="A6895" s="1">
        <v>46210.201273148145</v>
      </c>
      <c r="B6895" t="s">
        <v>40</v>
      </c>
      <c r="C6895" t="s">
        <v>41</v>
      </c>
      <c r="D6895" s="1">
        <v>46210.20416666667</v>
      </c>
      <c r="E6895" t="s">
        <v>42</v>
      </c>
      <c r="F6895" t="s">
        <v>43</v>
      </c>
      <c r="G6895" t="s">
        <v>43</v>
      </c>
      <c r="H6895" t="s">
        <v>43</v>
      </c>
      <c r="I6895" t="s">
        <v>43</v>
      </c>
      <c r="J6895" t="s">
        <v>43</v>
      </c>
      <c r="K6895" t="s">
        <v>43</v>
      </c>
      <c r="L6895" t="s">
        <v>43</v>
      </c>
      <c r="M6895" t="s">
        <v>43</v>
      </c>
      <c r="N6895" t="s">
        <v>45</v>
      </c>
      <c r="O6895" t="s">
        <v>43</v>
      </c>
      <c r="P6895" t="s">
        <v>43</v>
      </c>
      <c r="Q6895" t="s">
        <v>43</v>
      </c>
      <c r="R6895" t="s">
        <v>43</v>
      </c>
      <c r="S6895" t="s">
        <v>43</v>
      </c>
      <c r="T6895" t="s">
        <v>43</v>
      </c>
      <c r="U6895" t="s">
        <v>43</v>
      </c>
      <c r="V6895" t="s">
        <v>43</v>
      </c>
      <c r="W6895" t="s">
        <v>43</v>
      </c>
      <c r="X6895" t="s">
        <v>43</v>
      </c>
      <c r="Y6895" t="s">
        <v>43</v>
      </c>
      <c r="Z6895" t="s">
        <v>43</v>
      </c>
      <c r="AA6895" t="s">
        <v>43</v>
      </c>
      <c r="AB6895" t="s">
        <v>43</v>
      </c>
      <c r="AC6895" t="s">
        <v>43</v>
      </c>
      <c r="AD6895" t="s">
        <v>43</v>
      </c>
      <c r="AE6895" t="s">
        <v>43</v>
      </c>
      <c r="AF6895" t="s">
        <v>43</v>
      </c>
      <c r="AG6895" t="s">
        <v>43</v>
      </c>
      <c r="AH6895" t="s">
        <v>43</v>
      </c>
      <c r="AI6895" t="s">
        <v>43</v>
      </c>
      <c r="AJ6895" t="s">
        <v>43</v>
      </c>
      <c r="AK6895" t="s">
        <v>43</v>
      </c>
      <c r="AL6895" t="s">
        <v>43</v>
      </c>
      <c r="AM6895" t="s">
        <v>43</v>
      </c>
      <c r="AN6895" t="s">
        <v>43</v>
      </c>
    </row>
    <row r="6896" spans="1:40" x14ac:dyDescent="0.3">
      <c r="A6896" s="1">
        <v>46210.201157407406</v>
      </c>
      <c r="B6896" t="s">
        <v>40</v>
      </c>
      <c r="C6896" t="s">
        <v>41</v>
      </c>
      <c r="D6896" s="1">
        <v>46210.204409722224</v>
      </c>
      <c r="E6896" t="s">
        <v>42</v>
      </c>
      <c r="F6896" t="s">
        <v>43</v>
      </c>
      <c r="G6896" t="s">
        <v>43</v>
      </c>
      <c r="H6896" t="s">
        <v>43</v>
      </c>
      <c r="I6896" t="s">
        <v>4016</v>
      </c>
      <c r="J6896" t="s">
        <v>43</v>
      </c>
      <c r="K6896" t="s">
        <v>43</v>
      </c>
      <c r="L6896" t="s">
        <v>43</v>
      </c>
      <c r="M6896" t="s">
        <v>43</v>
      </c>
      <c r="N6896" t="s">
        <v>45</v>
      </c>
      <c r="O6896" t="s">
        <v>43</v>
      </c>
      <c r="P6896" t="s">
        <v>43</v>
      </c>
      <c r="Q6896" t="s">
        <v>43</v>
      </c>
      <c r="R6896" t="s">
        <v>43</v>
      </c>
      <c r="S6896" t="s">
        <v>43</v>
      </c>
      <c r="T6896" t="s">
        <v>43</v>
      </c>
      <c r="U6896" t="s">
        <v>43</v>
      </c>
      <c r="V6896" t="s">
        <v>43</v>
      </c>
      <c r="W6896" t="s">
        <v>43</v>
      </c>
      <c r="X6896" t="s">
        <v>43</v>
      </c>
      <c r="Y6896" t="s">
        <v>43</v>
      </c>
      <c r="Z6896" t="s">
        <v>43</v>
      </c>
      <c r="AA6896" t="s">
        <v>43</v>
      </c>
      <c r="AB6896" t="s">
        <v>43</v>
      </c>
      <c r="AC6896" t="s">
        <v>43</v>
      </c>
      <c r="AD6896" t="s">
        <v>43</v>
      </c>
      <c r="AE6896" t="s">
        <v>43</v>
      </c>
      <c r="AF6896" t="s">
        <v>43</v>
      </c>
      <c r="AG6896" t="s">
        <v>43</v>
      </c>
      <c r="AH6896" t="s">
        <v>43</v>
      </c>
      <c r="AI6896" t="s">
        <v>43</v>
      </c>
      <c r="AJ6896" t="s">
        <v>43</v>
      </c>
      <c r="AK6896" t="s">
        <v>43</v>
      </c>
      <c r="AL6896" t="s">
        <v>43</v>
      </c>
      <c r="AM6896" t="s">
        <v>43</v>
      </c>
      <c r="AN6896" t="str">
        <f>HYPERLINK("https://www.google.com/maps?q=10.78966427,79.57878876","Open Location")</f>
        <v>Open Location</v>
      </c>
    </row>
    <row r="6897" spans="1:40" x14ac:dyDescent="0.3">
      <c r="A6897" s="1">
        <v>46210.201041666667</v>
      </c>
      <c r="B6897" t="s">
        <v>40</v>
      </c>
      <c r="C6897" t="s">
        <v>41</v>
      </c>
      <c r="D6897" s="1">
        <v>46210.204004629632</v>
      </c>
      <c r="E6897" t="s">
        <v>42</v>
      </c>
      <c r="F6897" t="s">
        <v>43</v>
      </c>
      <c r="G6897" t="s">
        <v>43</v>
      </c>
      <c r="H6897" t="s">
        <v>43</v>
      </c>
      <c r="I6897" t="s">
        <v>3998</v>
      </c>
      <c r="J6897" t="s">
        <v>43</v>
      </c>
      <c r="K6897" t="s">
        <v>43</v>
      </c>
      <c r="L6897" t="s">
        <v>43</v>
      </c>
      <c r="M6897" t="s">
        <v>43</v>
      </c>
      <c r="N6897" t="s">
        <v>45</v>
      </c>
      <c r="O6897" t="s">
        <v>43</v>
      </c>
      <c r="P6897" t="s">
        <v>43</v>
      </c>
      <c r="Q6897" t="s">
        <v>43</v>
      </c>
      <c r="R6897" t="s">
        <v>43</v>
      </c>
      <c r="S6897" t="s">
        <v>43</v>
      </c>
      <c r="T6897" t="s">
        <v>43</v>
      </c>
      <c r="U6897" t="s">
        <v>43</v>
      </c>
      <c r="V6897" t="s">
        <v>43</v>
      </c>
      <c r="W6897" t="s">
        <v>43</v>
      </c>
      <c r="X6897" t="s">
        <v>43</v>
      </c>
      <c r="Y6897" t="s">
        <v>43</v>
      </c>
      <c r="Z6897" t="s">
        <v>43</v>
      </c>
      <c r="AA6897" t="s">
        <v>43</v>
      </c>
      <c r="AB6897" t="s">
        <v>43</v>
      </c>
      <c r="AC6897" t="s">
        <v>43</v>
      </c>
      <c r="AD6897" t="s">
        <v>43</v>
      </c>
      <c r="AE6897" t="s">
        <v>43</v>
      </c>
      <c r="AF6897" t="s">
        <v>43</v>
      </c>
      <c r="AG6897" t="s">
        <v>43</v>
      </c>
      <c r="AH6897" t="s">
        <v>43</v>
      </c>
      <c r="AI6897" t="s">
        <v>43</v>
      </c>
      <c r="AJ6897" t="s">
        <v>43</v>
      </c>
      <c r="AK6897" t="s">
        <v>43</v>
      </c>
      <c r="AL6897" t="s">
        <v>43</v>
      </c>
      <c r="AM6897" t="s">
        <v>43</v>
      </c>
      <c r="AN6897" t="str">
        <f>HYPERLINK("https://www.google.com/maps?q=10.78966427,79.57878113","Open Location")</f>
        <v>Open Location</v>
      </c>
    </row>
    <row r="6898" spans="1:40" x14ac:dyDescent="0.3">
      <c r="A6898" s="1">
        <v>46210.200925925928</v>
      </c>
      <c r="B6898" t="s">
        <v>40</v>
      </c>
      <c r="C6898" t="s">
        <v>41</v>
      </c>
      <c r="D6898" s="1">
        <v>46210.203935185185</v>
      </c>
      <c r="E6898" t="s">
        <v>42</v>
      </c>
      <c r="F6898" t="s">
        <v>43</v>
      </c>
      <c r="G6898" t="s">
        <v>43</v>
      </c>
      <c r="H6898" t="s">
        <v>43</v>
      </c>
      <c r="I6898" t="s">
        <v>4017</v>
      </c>
      <c r="J6898" t="s">
        <v>43</v>
      </c>
      <c r="K6898" t="s">
        <v>43</v>
      </c>
      <c r="L6898" t="s">
        <v>43</v>
      </c>
      <c r="M6898" t="s">
        <v>43</v>
      </c>
      <c r="N6898" t="s">
        <v>45</v>
      </c>
      <c r="O6898" t="s">
        <v>43</v>
      </c>
      <c r="P6898" t="s">
        <v>43</v>
      </c>
      <c r="Q6898" t="s">
        <v>43</v>
      </c>
      <c r="R6898" t="s">
        <v>43</v>
      </c>
      <c r="S6898" t="s">
        <v>43</v>
      </c>
      <c r="T6898" t="s">
        <v>43</v>
      </c>
      <c r="U6898" t="s">
        <v>43</v>
      </c>
      <c r="V6898" t="s">
        <v>43</v>
      </c>
      <c r="W6898" t="s">
        <v>43</v>
      </c>
      <c r="X6898" t="s">
        <v>43</v>
      </c>
      <c r="Y6898" t="s">
        <v>43</v>
      </c>
      <c r="Z6898" t="s">
        <v>43</v>
      </c>
      <c r="AA6898" t="s">
        <v>43</v>
      </c>
      <c r="AB6898" t="s">
        <v>43</v>
      </c>
      <c r="AC6898" t="s">
        <v>43</v>
      </c>
      <c r="AD6898" t="s">
        <v>43</v>
      </c>
      <c r="AE6898" t="s">
        <v>43</v>
      </c>
      <c r="AF6898" t="s">
        <v>43</v>
      </c>
      <c r="AG6898" t="s">
        <v>43</v>
      </c>
      <c r="AH6898" t="s">
        <v>43</v>
      </c>
      <c r="AI6898" t="s">
        <v>43</v>
      </c>
      <c r="AJ6898" t="s">
        <v>43</v>
      </c>
      <c r="AK6898" t="s">
        <v>43</v>
      </c>
      <c r="AL6898" t="s">
        <v>43</v>
      </c>
      <c r="AM6898" t="s">
        <v>43</v>
      </c>
      <c r="AN6898" t="str">
        <f>HYPERLINK("https://www.google.com/maps?q=10.78966331,79.57878113","Open Location")</f>
        <v>Open Location</v>
      </c>
    </row>
    <row r="6899" spans="1:40" x14ac:dyDescent="0.3">
      <c r="A6899" s="1">
        <v>46210.200810185182</v>
      </c>
      <c r="B6899" t="s">
        <v>40</v>
      </c>
      <c r="C6899" t="s">
        <v>41</v>
      </c>
      <c r="D6899" s="1">
        <v>46210.203657407408</v>
      </c>
      <c r="E6899" t="s">
        <v>42</v>
      </c>
      <c r="F6899" t="s">
        <v>43</v>
      </c>
      <c r="G6899" t="s">
        <v>43</v>
      </c>
      <c r="H6899" t="s">
        <v>43</v>
      </c>
      <c r="I6899" t="s">
        <v>3929</v>
      </c>
      <c r="J6899" t="s">
        <v>43</v>
      </c>
      <c r="K6899" t="s">
        <v>43</v>
      </c>
      <c r="L6899" t="s">
        <v>43</v>
      </c>
      <c r="M6899" t="s">
        <v>43</v>
      </c>
      <c r="N6899" t="s">
        <v>45</v>
      </c>
      <c r="O6899" t="s">
        <v>43</v>
      </c>
      <c r="P6899" t="s">
        <v>43</v>
      </c>
      <c r="Q6899" t="s">
        <v>43</v>
      </c>
      <c r="R6899" t="s">
        <v>43</v>
      </c>
      <c r="S6899" t="s">
        <v>43</v>
      </c>
      <c r="T6899" t="s">
        <v>43</v>
      </c>
      <c r="U6899" t="s">
        <v>43</v>
      </c>
      <c r="V6899" t="s">
        <v>43</v>
      </c>
      <c r="W6899" t="s">
        <v>43</v>
      </c>
      <c r="X6899" t="s">
        <v>43</v>
      </c>
      <c r="Y6899" t="s">
        <v>43</v>
      </c>
      <c r="Z6899" t="s">
        <v>43</v>
      </c>
      <c r="AA6899" t="s">
        <v>43</v>
      </c>
      <c r="AB6899" t="s">
        <v>43</v>
      </c>
      <c r="AC6899" t="s">
        <v>43</v>
      </c>
      <c r="AD6899" t="s">
        <v>43</v>
      </c>
      <c r="AE6899" t="s">
        <v>43</v>
      </c>
      <c r="AF6899" t="s">
        <v>43</v>
      </c>
      <c r="AG6899" t="s">
        <v>43</v>
      </c>
      <c r="AH6899" t="s">
        <v>43</v>
      </c>
      <c r="AI6899" t="s">
        <v>43</v>
      </c>
      <c r="AJ6899" t="s">
        <v>43</v>
      </c>
      <c r="AK6899" t="s">
        <v>43</v>
      </c>
      <c r="AL6899" t="s">
        <v>43</v>
      </c>
      <c r="AM6899" t="s">
        <v>43</v>
      </c>
      <c r="AN6899" t="str">
        <f>HYPERLINK("https://www.google.com/maps?q=10.78965855,79.57879639","Open Location")</f>
        <v>Open Location</v>
      </c>
    </row>
    <row r="6900" spans="1:40" x14ac:dyDescent="0.3">
      <c r="A6900" s="1">
        <v>46210.200694444444</v>
      </c>
      <c r="B6900" t="s">
        <v>40</v>
      </c>
      <c r="C6900" t="s">
        <v>41</v>
      </c>
      <c r="D6900" s="1">
        <v>46210.203657407408</v>
      </c>
      <c r="E6900" t="s">
        <v>42</v>
      </c>
      <c r="F6900" t="s">
        <v>43</v>
      </c>
      <c r="G6900" t="s">
        <v>43</v>
      </c>
      <c r="H6900" t="s">
        <v>43</v>
      </c>
      <c r="I6900" t="s">
        <v>43</v>
      </c>
      <c r="J6900" t="s">
        <v>43</v>
      </c>
      <c r="K6900" t="s">
        <v>43</v>
      </c>
      <c r="L6900" t="s">
        <v>43</v>
      </c>
      <c r="M6900" t="s">
        <v>43</v>
      </c>
      <c r="N6900" t="s">
        <v>45</v>
      </c>
      <c r="O6900" t="s">
        <v>43</v>
      </c>
      <c r="P6900" t="s">
        <v>43</v>
      </c>
      <c r="Q6900" t="s">
        <v>43</v>
      </c>
      <c r="R6900" t="s">
        <v>43</v>
      </c>
      <c r="S6900" t="s">
        <v>43</v>
      </c>
      <c r="T6900" t="s">
        <v>43</v>
      </c>
      <c r="U6900" t="s">
        <v>43</v>
      </c>
      <c r="V6900" t="s">
        <v>43</v>
      </c>
      <c r="W6900" t="s">
        <v>43</v>
      </c>
      <c r="X6900" t="s">
        <v>43</v>
      </c>
      <c r="Y6900" t="s">
        <v>43</v>
      </c>
      <c r="Z6900" t="s">
        <v>43</v>
      </c>
      <c r="AA6900" t="s">
        <v>43</v>
      </c>
      <c r="AB6900" t="s">
        <v>43</v>
      </c>
      <c r="AC6900" t="s">
        <v>43</v>
      </c>
      <c r="AD6900" t="s">
        <v>43</v>
      </c>
      <c r="AE6900" t="s">
        <v>43</v>
      </c>
      <c r="AF6900" t="s">
        <v>43</v>
      </c>
      <c r="AG6900" t="s">
        <v>43</v>
      </c>
      <c r="AH6900" t="s">
        <v>43</v>
      </c>
      <c r="AI6900" t="s">
        <v>43</v>
      </c>
      <c r="AJ6900" t="s">
        <v>43</v>
      </c>
      <c r="AK6900" t="s">
        <v>43</v>
      </c>
      <c r="AL6900" t="s">
        <v>43</v>
      </c>
      <c r="AM6900" t="s">
        <v>43</v>
      </c>
      <c r="AN6900" t="s">
        <v>43</v>
      </c>
    </row>
    <row r="6901" spans="1:40" x14ac:dyDescent="0.3">
      <c r="A6901" s="1">
        <v>46210.200578703705</v>
      </c>
      <c r="B6901" t="s">
        <v>40</v>
      </c>
      <c r="C6901" t="s">
        <v>41</v>
      </c>
      <c r="D6901" s="1">
        <v>46210.203657407408</v>
      </c>
      <c r="E6901" t="s">
        <v>42</v>
      </c>
      <c r="F6901" t="s">
        <v>43</v>
      </c>
      <c r="G6901" t="s">
        <v>43</v>
      </c>
      <c r="H6901" t="s">
        <v>43</v>
      </c>
      <c r="I6901" t="s">
        <v>4000</v>
      </c>
      <c r="J6901" t="s">
        <v>43</v>
      </c>
      <c r="K6901" t="s">
        <v>43</v>
      </c>
      <c r="L6901" t="s">
        <v>43</v>
      </c>
      <c r="M6901" t="s">
        <v>43</v>
      </c>
      <c r="N6901" t="s">
        <v>45</v>
      </c>
      <c r="O6901" t="s">
        <v>43</v>
      </c>
      <c r="P6901" t="s">
        <v>43</v>
      </c>
      <c r="Q6901" t="s">
        <v>43</v>
      </c>
      <c r="R6901" t="s">
        <v>43</v>
      </c>
      <c r="S6901" t="s">
        <v>43</v>
      </c>
      <c r="T6901" t="s">
        <v>43</v>
      </c>
      <c r="U6901" t="s">
        <v>43</v>
      </c>
      <c r="V6901" t="s">
        <v>43</v>
      </c>
      <c r="W6901" t="s">
        <v>43</v>
      </c>
      <c r="X6901" t="s">
        <v>43</v>
      </c>
      <c r="Y6901" t="s">
        <v>43</v>
      </c>
      <c r="Z6901" t="s">
        <v>43</v>
      </c>
      <c r="AA6901" t="s">
        <v>43</v>
      </c>
      <c r="AB6901" t="s">
        <v>43</v>
      </c>
      <c r="AC6901" t="s">
        <v>43</v>
      </c>
      <c r="AD6901" t="s">
        <v>43</v>
      </c>
      <c r="AE6901" t="s">
        <v>43</v>
      </c>
      <c r="AF6901" t="s">
        <v>43</v>
      </c>
      <c r="AG6901" t="s">
        <v>43</v>
      </c>
      <c r="AH6901" t="s">
        <v>43</v>
      </c>
      <c r="AI6901" t="s">
        <v>43</v>
      </c>
      <c r="AJ6901" t="s">
        <v>43</v>
      </c>
      <c r="AK6901" t="s">
        <v>43</v>
      </c>
      <c r="AL6901" t="s">
        <v>43</v>
      </c>
      <c r="AM6901" t="s">
        <v>43</v>
      </c>
      <c r="AN6901" t="str">
        <f>HYPERLINK("https://www.google.com/maps?q=10.78966045,79.57879639","Open Location")</f>
        <v>Open Location</v>
      </c>
    </row>
    <row r="6902" spans="1:40" x14ac:dyDescent="0.3">
      <c r="A6902" s="1">
        <v>46210.200462962966</v>
      </c>
      <c r="B6902" t="s">
        <v>40</v>
      </c>
      <c r="C6902" t="s">
        <v>41</v>
      </c>
      <c r="D6902" s="1">
        <v>46210.203425925924</v>
      </c>
      <c r="E6902" t="s">
        <v>42</v>
      </c>
      <c r="F6902" t="s">
        <v>43</v>
      </c>
      <c r="G6902" t="s">
        <v>43</v>
      </c>
      <c r="H6902" t="s">
        <v>43</v>
      </c>
      <c r="I6902" t="s">
        <v>4016</v>
      </c>
      <c r="J6902" t="s">
        <v>43</v>
      </c>
      <c r="K6902" t="s">
        <v>43</v>
      </c>
      <c r="L6902" t="s">
        <v>43</v>
      </c>
      <c r="M6902" t="s">
        <v>43</v>
      </c>
      <c r="N6902" t="s">
        <v>45</v>
      </c>
      <c r="O6902" t="s">
        <v>43</v>
      </c>
      <c r="P6902" t="s">
        <v>43</v>
      </c>
      <c r="Q6902" t="s">
        <v>43</v>
      </c>
      <c r="R6902" t="s">
        <v>43</v>
      </c>
      <c r="S6902" t="s">
        <v>43</v>
      </c>
      <c r="T6902" t="s">
        <v>43</v>
      </c>
      <c r="U6902" t="s">
        <v>43</v>
      </c>
      <c r="V6902" t="s">
        <v>43</v>
      </c>
      <c r="W6902" t="s">
        <v>43</v>
      </c>
      <c r="X6902" t="s">
        <v>43</v>
      </c>
      <c r="Y6902" t="s">
        <v>43</v>
      </c>
      <c r="Z6902" t="s">
        <v>43</v>
      </c>
      <c r="AA6902" t="s">
        <v>43</v>
      </c>
      <c r="AB6902" t="s">
        <v>43</v>
      </c>
      <c r="AC6902" t="s">
        <v>43</v>
      </c>
      <c r="AD6902" t="s">
        <v>43</v>
      </c>
      <c r="AE6902" t="s">
        <v>43</v>
      </c>
      <c r="AF6902" t="s">
        <v>43</v>
      </c>
      <c r="AG6902" t="s">
        <v>43</v>
      </c>
      <c r="AH6902" t="s">
        <v>43</v>
      </c>
      <c r="AI6902" t="s">
        <v>43</v>
      </c>
      <c r="AJ6902" t="s">
        <v>43</v>
      </c>
      <c r="AK6902" t="s">
        <v>43</v>
      </c>
      <c r="AL6902" t="s">
        <v>43</v>
      </c>
      <c r="AM6902" t="s">
        <v>43</v>
      </c>
      <c r="AN6902" t="str">
        <f>HYPERLINK("https://www.google.com/maps?q=10.78966427,79.57878876","Open Location")</f>
        <v>Open Location</v>
      </c>
    </row>
    <row r="6903" spans="1:40" x14ac:dyDescent="0.3">
      <c r="A6903" s="1">
        <v>46210.20034722222</v>
      </c>
      <c r="B6903" t="s">
        <v>40</v>
      </c>
      <c r="C6903" t="s">
        <v>41</v>
      </c>
      <c r="D6903" s="1">
        <v>46210.203067129631</v>
      </c>
      <c r="E6903" t="s">
        <v>42</v>
      </c>
      <c r="F6903" t="s">
        <v>43</v>
      </c>
      <c r="G6903" t="s">
        <v>43</v>
      </c>
      <c r="H6903" t="s">
        <v>43</v>
      </c>
      <c r="I6903" t="s">
        <v>4018</v>
      </c>
      <c r="J6903" t="s">
        <v>43</v>
      </c>
      <c r="K6903" t="s">
        <v>43</v>
      </c>
      <c r="L6903" t="s">
        <v>43</v>
      </c>
      <c r="M6903" t="s">
        <v>43</v>
      </c>
      <c r="N6903" t="s">
        <v>45</v>
      </c>
      <c r="O6903" t="s">
        <v>43</v>
      </c>
      <c r="P6903" t="s">
        <v>43</v>
      </c>
      <c r="Q6903" t="s">
        <v>43</v>
      </c>
      <c r="R6903" t="s">
        <v>43</v>
      </c>
      <c r="S6903" t="s">
        <v>43</v>
      </c>
      <c r="T6903" t="s">
        <v>43</v>
      </c>
      <c r="U6903" t="s">
        <v>43</v>
      </c>
      <c r="V6903" t="s">
        <v>43</v>
      </c>
      <c r="W6903" t="s">
        <v>43</v>
      </c>
      <c r="X6903" t="s">
        <v>43</v>
      </c>
      <c r="Y6903" t="s">
        <v>43</v>
      </c>
      <c r="Z6903" t="s">
        <v>43</v>
      </c>
      <c r="AA6903" t="s">
        <v>43</v>
      </c>
      <c r="AB6903" t="s">
        <v>43</v>
      </c>
      <c r="AC6903" t="s">
        <v>43</v>
      </c>
      <c r="AD6903" t="s">
        <v>43</v>
      </c>
      <c r="AE6903" t="s">
        <v>43</v>
      </c>
      <c r="AF6903" t="s">
        <v>43</v>
      </c>
      <c r="AG6903" t="s">
        <v>43</v>
      </c>
      <c r="AH6903" t="s">
        <v>43</v>
      </c>
      <c r="AI6903" t="s">
        <v>43</v>
      </c>
      <c r="AJ6903" t="s">
        <v>43</v>
      </c>
      <c r="AK6903" t="s">
        <v>43</v>
      </c>
      <c r="AL6903" t="s">
        <v>43</v>
      </c>
      <c r="AM6903" t="s">
        <v>43</v>
      </c>
      <c r="AN6903" t="str">
        <f>HYPERLINK("https://www.google.com/maps?q=10.78966808,79.57878113","Open Location")</f>
        <v>Open Location</v>
      </c>
    </row>
    <row r="6904" spans="1:40" x14ac:dyDescent="0.3">
      <c r="A6904" s="1">
        <v>46210.200231481482</v>
      </c>
      <c r="B6904" t="s">
        <v>40</v>
      </c>
      <c r="C6904" t="s">
        <v>41</v>
      </c>
      <c r="D6904" s="1">
        <v>46210.203252314815</v>
      </c>
      <c r="E6904" t="s">
        <v>42</v>
      </c>
      <c r="F6904" t="s">
        <v>43</v>
      </c>
      <c r="G6904" t="s">
        <v>43</v>
      </c>
      <c r="H6904" t="s">
        <v>43</v>
      </c>
      <c r="I6904" t="s">
        <v>4019</v>
      </c>
      <c r="J6904" t="s">
        <v>43</v>
      </c>
      <c r="K6904" t="s">
        <v>43</v>
      </c>
      <c r="L6904" t="s">
        <v>43</v>
      </c>
      <c r="M6904" t="s">
        <v>43</v>
      </c>
      <c r="N6904" t="s">
        <v>45</v>
      </c>
      <c r="O6904" t="s">
        <v>43</v>
      </c>
      <c r="P6904" t="s">
        <v>43</v>
      </c>
      <c r="Q6904" t="s">
        <v>43</v>
      </c>
      <c r="R6904" t="s">
        <v>43</v>
      </c>
      <c r="S6904" t="s">
        <v>43</v>
      </c>
      <c r="T6904" t="s">
        <v>43</v>
      </c>
      <c r="U6904" t="s">
        <v>43</v>
      </c>
      <c r="V6904" t="s">
        <v>43</v>
      </c>
      <c r="W6904" t="s">
        <v>43</v>
      </c>
      <c r="X6904" t="s">
        <v>43</v>
      </c>
      <c r="Y6904" t="s">
        <v>43</v>
      </c>
      <c r="Z6904" t="s">
        <v>43</v>
      </c>
      <c r="AA6904" t="s">
        <v>43</v>
      </c>
      <c r="AB6904" t="s">
        <v>43</v>
      </c>
      <c r="AC6904" t="s">
        <v>43</v>
      </c>
      <c r="AD6904" t="s">
        <v>43</v>
      </c>
      <c r="AE6904" t="s">
        <v>43</v>
      </c>
      <c r="AF6904" t="s">
        <v>43</v>
      </c>
      <c r="AG6904" t="s">
        <v>43</v>
      </c>
      <c r="AH6904" t="s">
        <v>43</v>
      </c>
      <c r="AI6904" t="s">
        <v>43</v>
      </c>
      <c r="AJ6904" t="s">
        <v>43</v>
      </c>
      <c r="AK6904" t="s">
        <v>43</v>
      </c>
      <c r="AL6904" t="s">
        <v>43</v>
      </c>
      <c r="AM6904" t="s">
        <v>43</v>
      </c>
      <c r="AN6904" t="str">
        <f>HYPERLINK("https://www.google.com/maps?q=10.78966999,79.57878113","Open Location")</f>
        <v>Open Location</v>
      </c>
    </row>
    <row r="6905" spans="1:40" x14ac:dyDescent="0.3">
      <c r="A6905" s="1">
        <v>46210.200115740743</v>
      </c>
      <c r="B6905" t="s">
        <v>40</v>
      </c>
      <c r="C6905" t="s">
        <v>41</v>
      </c>
      <c r="D6905" s="1">
        <v>46210.202905092592</v>
      </c>
      <c r="E6905" t="s">
        <v>42</v>
      </c>
      <c r="F6905" t="s">
        <v>43</v>
      </c>
      <c r="G6905" t="s">
        <v>43</v>
      </c>
      <c r="H6905" t="s">
        <v>43</v>
      </c>
      <c r="I6905" t="s">
        <v>4012</v>
      </c>
      <c r="J6905" t="s">
        <v>43</v>
      </c>
      <c r="K6905" t="s">
        <v>43</v>
      </c>
      <c r="L6905" t="s">
        <v>43</v>
      </c>
      <c r="M6905" t="s">
        <v>43</v>
      </c>
      <c r="N6905" t="s">
        <v>45</v>
      </c>
      <c r="O6905" t="s">
        <v>43</v>
      </c>
      <c r="P6905" t="s">
        <v>43</v>
      </c>
      <c r="Q6905" t="s">
        <v>43</v>
      </c>
      <c r="R6905" t="s">
        <v>43</v>
      </c>
      <c r="S6905" t="s">
        <v>43</v>
      </c>
      <c r="T6905" t="s">
        <v>43</v>
      </c>
      <c r="U6905" t="s">
        <v>43</v>
      </c>
      <c r="V6905" t="s">
        <v>43</v>
      </c>
      <c r="W6905" t="s">
        <v>43</v>
      </c>
      <c r="X6905" t="s">
        <v>43</v>
      </c>
      <c r="Y6905" t="s">
        <v>43</v>
      </c>
      <c r="Z6905" t="s">
        <v>43</v>
      </c>
      <c r="AA6905" t="s">
        <v>43</v>
      </c>
      <c r="AB6905" t="s">
        <v>43</v>
      </c>
      <c r="AC6905" t="s">
        <v>43</v>
      </c>
      <c r="AD6905" t="s">
        <v>43</v>
      </c>
      <c r="AE6905" t="s">
        <v>43</v>
      </c>
      <c r="AF6905" t="s">
        <v>43</v>
      </c>
      <c r="AG6905" t="s">
        <v>43</v>
      </c>
      <c r="AH6905" t="s">
        <v>43</v>
      </c>
      <c r="AI6905" t="s">
        <v>43</v>
      </c>
      <c r="AJ6905" t="s">
        <v>43</v>
      </c>
      <c r="AK6905" t="s">
        <v>43</v>
      </c>
      <c r="AL6905" t="s">
        <v>43</v>
      </c>
      <c r="AM6905" t="s">
        <v>43</v>
      </c>
      <c r="AN6905" t="str">
        <f>HYPERLINK("https://www.google.com/maps?q=10.78967381,79.57878113","Open Location")</f>
        <v>Open Location</v>
      </c>
    </row>
    <row r="6906" spans="1:40" x14ac:dyDescent="0.3">
      <c r="A6906" s="1">
        <v>46210.2</v>
      </c>
      <c r="B6906" t="s">
        <v>40</v>
      </c>
      <c r="C6906" t="s">
        <v>41</v>
      </c>
      <c r="D6906" s="1">
        <v>46210.202893518515</v>
      </c>
      <c r="E6906" t="s">
        <v>42</v>
      </c>
      <c r="F6906" t="s">
        <v>43</v>
      </c>
      <c r="G6906" t="s">
        <v>43</v>
      </c>
      <c r="H6906" t="s">
        <v>43</v>
      </c>
      <c r="I6906" t="s">
        <v>43</v>
      </c>
      <c r="J6906" t="s">
        <v>43</v>
      </c>
      <c r="K6906" t="s">
        <v>43</v>
      </c>
      <c r="L6906" t="s">
        <v>43</v>
      </c>
      <c r="M6906" t="s">
        <v>43</v>
      </c>
      <c r="N6906" t="s">
        <v>45</v>
      </c>
      <c r="O6906" t="s">
        <v>43</v>
      </c>
      <c r="P6906" t="s">
        <v>43</v>
      </c>
      <c r="Q6906" t="s">
        <v>43</v>
      </c>
      <c r="R6906" t="s">
        <v>43</v>
      </c>
      <c r="S6906" t="s">
        <v>43</v>
      </c>
      <c r="T6906" t="s">
        <v>43</v>
      </c>
      <c r="U6906" t="s">
        <v>43</v>
      </c>
      <c r="V6906" t="s">
        <v>43</v>
      </c>
      <c r="W6906" t="s">
        <v>43</v>
      </c>
      <c r="X6906" t="s">
        <v>43</v>
      </c>
      <c r="Y6906" t="s">
        <v>43</v>
      </c>
      <c r="Z6906" t="s">
        <v>43</v>
      </c>
      <c r="AA6906" t="s">
        <v>43</v>
      </c>
      <c r="AB6906" t="s">
        <v>43</v>
      </c>
      <c r="AC6906" t="s">
        <v>43</v>
      </c>
      <c r="AD6906" t="s">
        <v>43</v>
      </c>
      <c r="AE6906" t="s">
        <v>43</v>
      </c>
      <c r="AF6906" t="s">
        <v>43</v>
      </c>
      <c r="AG6906" t="s">
        <v>43</v>
      </c>
      <c r="AH6906" t="s">
        <v>43</v>
      </c>
      <c r="AI6906" t="s">
        <v>43</v>
      </c>
      <c r="AJ6906" t="s">
        <v>43</v>
      </c>
      <c r="AK6906" t="s">
        <v>43</v>
      </c>
      <c r="AL6906" t="s">
        <v>43</v>
      </c>
      <c r="AM6906" t="s">
        <v>43</v>
      </c>
      <c r="AN6906" t="s">
        <v>43</v>
      </c>
    </row>
    <row r="6907" spans="1:40" x14ac:dyDescent="0.3">
      <c r="A6907" s="1">
        <v>46210.199884259258</v>
      </c>
      <c r="B6907" t="s">
        <v>40</v>
      </c>
      <c r="C6907" t="s">
        <v>41</v>
      </c>
      <c r="D6907" s="1">
        <v>46210.202881944446</v>
      </c>
      <c r="E6907" t="s">
        <v>42</v>
      </c>
      <c r="F6907" t="s">
        <v>43</v>
      </c>
      <c r="G6907" t="s">
        <v>43</v>
      </c>
      <c r="H6907" t="s">
        <v>43</v>
      </c>
      <c r="I6907" t="s">
        <v>4020</v>
      </c>
      <c r="J6907" t="s">
        <v>43</v>
      </c>
      <c r="K6907" t="s">
        <v>43</v>
      </c>
      <c r="L6907" t="s">
        <v>43</v>
      </c>
      <c r="M6907" t="s">
        <v>43</v>
      </c>
      <c r="N6907" t="s">
        <v>45</v>
      </c>
      <c r="O6907" t="s">
        <v>43</v>
      </c>
      <c r="P6907" t="s">
        <v>43</v>
      </c>
      <c r="Q6907" t="s">
        <v>43</v>
      </c>
      <c r="R6907" t="s">
        <v>43</v>
      </c>
      <c r="S6907" t="s">
        <v>43</v>
      </c>
      <c r="T6907" t="s">
        <v>43</v>
      </c>
      <c r="U6907" t="s">
        <v>43</v>
      </c>
      <c r="V6907" t="s">
        <v>43</v>
      </c>
      <c r="W6907" t="s">
        <v>43</v>
      </c>
      <c r="X6907" t="s">
        <v>43</v>
      </c>
      <c r="Y6907" t="s">
        <v>43</v>
      </c>
      <c r="Z6907" t="s">
        <v>43</v>
      </c>
      <c r="AA6907" t="s">
        <v>43</v>
      </c>
      <c r="AB6907" t="s">
        <v>43</v>
      </c>
      <c r="AC6907" t="s">
        <v>43</v>
      </c>
      <c r="AD6907" t="s">
        <v>43</v>
      </c>
      <c r="AE6907" t="s">
        <v>43</v>
      </c>
      <c r="AF6907" t="s">
        <v>43</v>
      </c>
      <c r="AG6907" t="s">
        <v>43</v>
      </c>
      <c r="AH6907" t="s">
        <v>43</v>
      </c>
      <c r="AI6907" t="s">
        <v>43</v>
      </c>
      <c r="AJ6907" t="s">
        <v>43</v>
      </c>
      <c r="AK6907" t="s">
        <v>43</v>
      </c>
      <c r="AL6907" t="s">
        <v>43</v>
      </c>
      <c r="AM6907" t="s">
        <v>43</v>
      </c>
      <c r="AN6907" t="str">
        <f>HYPERLINK("https://www.google.com/maps?q=10.78967476,79.57876587","Open Location")</f>
        <v>Open Location</v>
      </c>
    </row>
    <row r="6908" spans="1:40" x14ac:dyDescent="0.3">
      <c r="A6908" s="1">
        <v>46210.19976851852</v>
      </c>
      <c r="B6908" t="s">
        <v>40</v>
      </c>
      <c r="C6908" t="s">
        <v>41</v>
      </c>
      <c r="D6908" s="1">
        <v>46210.202893518515</v>
      </c>
      <c r="E6908" t="s">
        <v>42</v>
      </c>
      <c r="F6908" t="s">
        <v>43</v>
      </c>
      <c r="G6908" t="s">
        <v>43</v>
      </c>
      <c r="H6908" t="s">
        <v>43</v>
      </c>
      <c r="I6908" t="s">
        <v>4021</v>
      </c>
      <c r="J6908" t="s">
        <v>43</v>
      </c>
      <c r="K6908" t="s">
        <v>43</v>
      </c>
      <c r="L6908" t="s">
        <v>43</v>
      </c>
      <c r="M6908" t="s">
        <v>43</v>
      </c>
      <c r="N6908" t="s">
        <v>45</v>
      </c>
      <c r="O6908" t="s">
        <v>43</v>
      </c>
      <c r="P6908" t="s">
        <v>43</v>
      </c>
      <c r="Q6908" t="s">
        <v>43</v>
      </c>
      <c r="R6908" t="s">
        <v>43</v>
      </c>
      <c r="S6908" t="s">
        <v>43</v>
      </c>
      <c r="T6908" t="s">
        <v>43</v>
      </c>
      <c r="U6908" t="s">
        <v>43</v>
      </c>
      <c r="V6908" t="s">
        <v>43</v>
      </c>
      <c r="W6908" t="s">
        <v>43</v>
      </c>
      <c r="X6908" t="s">
        <v>43</v>
      </c>
      <c r="Y6908" t="s">
        <v>43</v>
      </c>
      <c r="Z6908" t="s">
        <v>43</v>
      </c>
      <c r="AA6908" t="s">
        <v>43</v>
      </c>
      <c r="AB6908" t="s">
        <v>43</v>
      </c>
      <c r="AC6908" t="s">
        <v>43</v>
      </c>
      <c r="AD6908" t="s">
        <v>43</v>
      </c>
      <c r="AE6908" t="s">
        <v>43</v>
      </c>
      <c r="AF6908" t="s">
        <v>43</v>
      </c>
      <c r="AG6908" t="s">
        <v>43</v>
      </c>
      <c r="AH6908" t="s">
        <v>43</v>
      </c>
      <c r="AI6908" t="s">
        <v>43</v>
      </c>
      <c r="AJ6908" t="s">
        <v>43</v>
      </c>
      <c r="AK6908" t="s">
        <v>43</v>
      </c>
      <c r="AL6908" t="s">
        <v>43</v>
      </c>
      <c r="AM6908" t="s">
        <v>43</v>
      </c>
      <c r="AN6908" t="str">
        <f>HYPERLINK("https://www.google.com/maps?q=10.78967857,79.57876587","Open Location")</f>
        <v>Open Location</v>
      </c>
    </row>
    <row r="6909" spans="1:40" x14ac:dyDescent="0.3">
      <c r="A6909" s="1">
        <v>46210.199652777781</v>
      </c>
      <c r="B6909" t="s">
        <v>40</v>
      </c>
      <c r="C6909" t="s">
        <v>41</v>
      </c>
      <c r="D6909" s="1">
        <v>46210.202372685184</v>
      </c>
      <c r="E6909" t="s">
        <v>42</v>
      </c>
      <c r="F6909" t="s">
        <v>43</v>
      </c>
      <c r="G6909" t="s">
        <v>43</v>
      </c>
      <c r="H6909" t="s">
        <v>43</v>
      </c>
      <c r="I6909" t="s">
        <v>4022</v>
      </c>
      <c r="J6909" t="s">
        <v>43</v>
      </c>
      <c r="K6909" t="s">
        <v>43</v>
      </c>
      <c r="L6909" t="s">
        <v>43</v>
      </c>
      <c r="M6909" t="s">
        <v>43</v>
      </c>
      <c r="N6909" t="s">
        <v>45</v>
      </c>
      <c r="O6909" t="s">
        <v>43</v>
      </c>
      <c r="P6909" t="s">
        <v>43</v>
      </c>
      <c r="Q6909" t="s">
        <v>43</v>
      </c>
      <c r="R6909" t="s">
        <v>43</v>
      </c>
      <c r="S6909" t="s">
        <v>43</v>
      </c>
      <c r="T6909" t="s">
        <v>43</v>
      </c>
      <c r="U6909" t="s">
        <v>43</v>
      </c>
      <c r="V6909" t="s">
        <v>43</v>
      </c>
      <c r="W6909" t="s">
        <v>43</v>
      </c>
      <c r="X6909" t="s">
        <v>43</v>
      </c>
      <c r="Y6909" t="s">
        <v>43</v>
      </c>
      <c r="Z6909" t="s">
        <v>43</v>
      </c>
      <c r="AA6909" t="s">
        <v>43</v>
      </c>
      <c r="AB6909" t="s">
        <v>43</v>
      </c>
      <c r="AC6909" t="s">
        <v>43</v>
      </c>
      <c r="AD6909" t="s">
        <v>43</v>
      </c>
      <c r="AE6909" t="s">
        <v>43</v>
      </c>
      <c r="AF6909" t="s">
        <v>43</v>
      </c>
      <c r="AG6909" t="s">
        <v>43</v>
      </c>
      <c r="AH6909" t="s">
        <v>43</v>
      </c>
      <c r="AI6909" t="s">
        <v>43</v>
      </c>
      <c r="AJ6909" t="s">
        <v>43</v>
      </c>
      <c r="AK6909" t="s">
        <v>43</v>
      </c>
      <c r="AL6909" t="s">
        <v>43</v>
      </c>
      <c r="AM6909" t="s">
        <v>43</v>
      </c>
      <c r="AN6909" t="str">
        <f>HYPERLINK("https://www.google.com/maps?q=10.78967667,79.57876587","Open Location")</f>
        <v>Open Location</v>
      </c>
    </row>
    <row r="6910" spans="1:40" x14ac:dyDescent="0.3">
      <c r="A6910" s="1">
        <v>46210.199537037035</v>
      </c>
      <c r="B6910" t="s">
        <v>40</v>
      </c>
      <c r="C6910" t="s">
        <v>41</v>
      </c>
      <c r="D6910" s="1">
        <v>46210.202372685184</v>
      </c>
      <c r="E6910" t="s">
        <v>42</v>
      </c>
      <c r="F6910" t="s">
        <v>43</v>
      </c>
      <c r="G6910" t="s">
        <v>43</v>
      </c>
      <c r="H6910" t="s">
        <v>43</v>
      </c>
      <c r="I6910" t="s">
        <v>4023</v>
      </c>
      <c r="J6910" t="s">
        <v>43</v>
      </c>
      <c r="K6910" t="s">
        <v>43</v>
      </c>
      <c r="L6910" t="s">
        <v>43</v>
      </c>
      <c r="M6910" t="s">
        <v>43</v>
      </c>
      <c r="N6910" t="s">
        <v>45</v>
      </c>
      <c r="O6910" t="s">
        <v>43</v>
      </c>
      <c r="P6910" t="s">
        <v>43</v>
      </c>
      <c r="Q6910" t="s">
        <v>43</v>
      </c>
      <c r="R6910" t="s">
        <v>43</v>
      </c>
      <c r="S6910" t="s">
        <v>43</v>
      </c>
      <c r="T6910" t="s">
        <v>43</v>
      </c>
      <c r="U6910" t="s">
        <v>43</v>
      </c>
      <c r="V6910" t="s">
        <v>43</v>
      </c>
      <c r="W6910" t="s">
        <v>43</v>
      </c>
      <c r="X6910" t="s">
        <v>43</v>
      </c>
      <c r="Y6910" t="s">
        <v>43</v>
      </c>
      <c r="Z6910" t="s">
        <v>43</v>
      </c>
      <c r="AA6910" t="s">
        <v>43</v>
      </c>
      <c r="AB6910" t="s">
        <v>43</v>
      </c>
      <c r="AC6910" t="s">
        <v>43</v>
      </c>
      <c r="AD6910" t="s">
        <v>43</v>
      </c>
      <c r="AE6910" t="s">
        <v>43</v>
      </c>
      <c r="AF6910" t="s">
        <v>43</v>
      </c>
      <c r="AG6910" t="s">
        <v>43</v>
      </c>
      <c r="AH6910" t="s">
        <v>43</v>
      </c>
      <c r="AI6910" t="s">
        <v>43</v>
      </c>
      <c r="AJ6910" t="s">
        <v>43</v>
      </c>
      <c r="AK6910" t="s">
        <v>43</v>
      </c>
      <c r="AL6910" t="s">
        <v>43</v>
      </c>
      <c r="AM6910" t="s">
        <v>43</v>
      </c>
      <c r="AN6910" t="str">
        <f>HYPERLINK("https://www.google.com/maps?q=10.78967285,79.5787735","Open Location")</f>
        <v>Open Location</v>
      </c>
    </row>
    <row r="6911" spans="1:40" x14ac:dyDescent="0.3">
      <c r="A6911" s="1">
        <v>46210.199421296296</v>
      </c>
      <c r="B6911" t="s">
        <v>40</v>
      </c>
      <c r="C6911" t="s">
        <v>41</v>
      </c>
      <c r="D6911" s="1">
        <v>46210.202141203707</v>
      </c>
      <c r="E6911" t="s">
        <v>42</v>
      </c>
      <c r="F6911" t="s">
        <v>43</v>
      </c>
      <c r="G6911" t="s">
        <v>43</v>
      </c>
      <c r="H6911" t="s">
        <v>43</v>
      </c>
      <c r="I6911" t="s">
        <v>4024</v>
      </c>
      <c r="J6911" t="s">
        <v>43</v>
      </c>
      <c r="K6911" t="s">
        <v>43</v>
      </c>
      <c r="L6911" t="s">
        <v>43</v>
      </c>
      <c r="M6911" t="s">
        <v>43</v>
      </c>
      <c r="N6911" t="s">
        <v>45</v>
      </c>
      <c r="O6911" t="s">
        <v>43</v>
      </c>
      <c r="P6911" t="s">
        <v>43</v>
      </c>
      <c r="Q6911" t="s">
        <v>43</v>
      </c>
      <c r="R6911" t="s">
        <v>43</v>
      </c>
      <c r="S6911" t="s">
        <v>43</v>
      </c>
      <c r="T6911" t="s">
        <v>43</v>
      </c>
      <c r="U6911" t="s">
        <v>43</v>
      </c>
      <c r="V6911" t="s">
        <v>43</v>
      </c>
      <c r="W6911" t="s">
        <v>43</v>
      </c>
      <c r="X6911" t="s">
        <v>43</v>
      </c>
      <c r="Y6911" t="s">
        <v>43</v>
      </c>
      <c r="Z6911" t="s">
        <v>43</v>
      </c>
      <c r="AA6911" t="s">
        <v>43</v>
      </c>
      <c r="AB6911" t="s">
        <v>43</v>
      </c>
      <c r="AC6911" t="s">
        <v>43</v>
      </c>
      <c r="AD6911" t="s">
        <v>43</v>
      </c>
      <c r="AE6911" t="s">
        <v>43</v>
      </c>
      <c r="AF6911" t="s">
        <v>43</v>
      </c>
      <c r="AG6911" t="s">
        <v>43</v>
      </c>
      <c r="AH6911" t="s">
        <v>43</v>
      </c>
      <c r="AI6911" t="s">
        <v>43</v>
      </c>
      <c r="AJ6911" t="s">
        <v>43</v>
      </c>
      <c r="AK6911" t="s">
        <v>43</v>
      </c>
      <c r="AL6911" t="s">
        <v>43</v>
      </c>
      <c r="AM6911" t="s">
        <v>43</v>
      </c>
      <c r="AN6911" t="str">
        <f>HYPERLINK("https://www.google.com/maps?q=10.78966904,79.57878113","Open Location")</f>
        <v>Open Location</v>
      </c>
    </row>
    <row r="6912" spans="1:40" x14ac:dyDescent="0.3">
      <c r="A6912" s="1">
        <v>46210.199305555558</v>
      </c>
      <c r="B6912" t="s">
        <v>40</v>
      </c>
      <c r="C6912" t="s">
        <v>41</v>
      </c>
      <c r="D6912" s="1">
        <v>46210.202141203707</v>
      </c>
      <c r="E6912" t="s">
        <v>42</v>
      </c>
      <c r="F6912" t="s">
        <v>43</v>
      </c>
      <c r="G6912" t="s">
        <v>43</v>
      </c>
      <c r="H6912" t="s">
        <v>43</v>
      </c>
      <c r="I6912" t="s">
        <v>43</v>
      </c>
      <c r="J6912" t="s">
        <v>43</v>
      </c>
      <c r="K6912" t="s">
        <v>43</v>
      </c>
      <c r="L6912" t="s">
        <v>43</v>
      </c>
      <c r="M6912" t="s">
        <v>43</v>
      </c>
      <c r="N6912" t="s">
        <v>45</v>
      </c>
      <c r="O6912" t="s">
        <v>43</v>
      </c>
      <c r="P6912" t="s">
        <v>43</v>
      </c>
      <c r="Q6912" t="s">
        <v>43</v>
      </c>
      <c r="R6912" t="s">
        <v>43</v>
      </c>
      <c r="S6912" t="s">
        <v>43</v>
      </c>
      <c r="T6912" t="s">
        <v>43</v>
      </c>
      <c r="U6912" t="s">
        <v>43</v>
      </c>
      <c r="V6912" t="s">
        <v>43</v>
      </c>
      <c r="W6912" t="s">
        <v>43</v>
      </c>
      <c r="X6912" t="s">
        <v>43</v>
      </c>
      <c r="Y6912" t="s">
        <v>43</v>
      </c>
      <c r="Z6912" t="s">
        <v>43</v>
      </c>
      <c r="AA6912" t="s">
        <v>43</v>
      </c>
      <c r="AB6912" t="s">
        <v>43</v>
      </c>
      <c r="AC6912" t="s">
        <v>43</v>
      </c>
      <c r="AD6912" t="s">
        <v>43</v>
      </c>
      <c r="AE6912" t="s">
        <v>43</v>
      </c>
      <c r="AF6912" t="s">
        <v>43</v>
      </c>
      <c r="AG6912" t="s">
        <v>43</v>
      </c>
      <c r="AH6912" t="s">
        <v>43</v>
      </c>
      <c r="AI6912" t="s">
        <v>43</v>
      </c>
      <c r="AJ6912" t="s">
        <v>43</v>
      </c>
      <c r="AK6912" t="s">
        <v>43</v>
      </c>
      <c r="AL6912" t="s">
        <v>43</v>
      </c>
      <c r="AM6912" t="s">
        <v>43</v>
      </c>
      <c r="AN6912" t="s">
        <v>43</v>
      </c>
    </row>
    <row r="6913" spans="1:40" x14ac:dyDescent="0.3">
      <c r="A6913" s="1">
        <v>46210.199189814812</v>
      </c>
      <c r="B6913" t="s">
        <v>40</v>
      </c>
      <c r="C6913" t="s">
        <v>41</v>
      </c>
      <c r="D6913" s="1">
        <v>46210.20212962963</v>
      </c>
      <c r="E6913" t="s">
        <v>42</v>
      </c>
      <c r="F6913" t="s">
        <v>43</v>
      </c>
      <c r="G6913" t="s">
        <v>43</v>
      </c>
      <c r="H6913" t="s">
        <v>43</v>
      </c>
      <c r="I6913" t="s">
        <v>4025</v>
      </c>
      <c r="J6913" t="s">
        <v>43</v>
      </c>
      <c r="K6913" t="s">
        <v>43</v>
      </c>
      <c r="L6913" t="s">
        <v>43</v>
      </c>
      <c r="M6913" t="s">
        <v>43</v>
      </c>
      <c r="N6913" t="s">
        <v>45</v>
      </c>
      <c r="O6913" t="s">
        <v>43</v>
      </c>
      <c r="P6913" t="s">
        <v>43</v>
      </c>
      <c r="Q6913" t="s">
        <v>43</v>
      </c>
      <c r="R6913" t="s">
        <v>43</v>
      </c>
      <c r="S6913" t="s">
        <v>43</v>
      </c>
      <c r="T6913" t="s">
        <v>43</v>
      </c>
      <c r="U6913" t="s">
        <v>43</v>
      </c>
      <c r="V6913" t="s">
        <v>43</v>
      </c>
      <c r="W6913" t="s">
        <v>43</v>
      </c>
      <c r="X6913" t="s">
        <v>43</v>
      </c>
      <c r="Y6913" t="s">
        <v>43</v>
      </c>
      <c r="Z6913" t="s">
        <v>43</v>
      </c>
      <c r="AA6913" t="s">
        <v>43</v>
      </c>
      <c r="AB6913" t="s">
        <v>43</v>
      </c>
      <c r="AC6913" t="s">
        <v>43</v>
      </c>
      <c r="AD6913" t="s">
        <v>43</v>
      </c>
      <c r="AE6913" t="s">
        <v>43</v>
      </c>
      <c r="AF6913" t="s">
        <v>43</v>
      </c>
      <c r="AG6913" t="s">
        <v>43</v>
      </c>
      <c r="AH6913" t="s">
        <v>43</v>
      </c>
      <c r="AI6913" t="s">
        <v>43</v>
      </c>
      <c r="AJ6913" t="s">
        <v>43</v>
      </c>
      <c r="AK6913" t="s">
        <v>43</v>
      </c>
      <c r="AL6913" t="s">
        <v>43</v>
      </c>
      <c r="AM6913" t="s">
        <v>43</v>
      </c>
      <c r="AN6913" t="str">
        <f>HYPERLINK("https://www.google.com/maps?q=10.78966713,79.5787735","Open Location")</f>
        <v>Open Location</v>
      </c>
    </row>
    <row r="6914" spans="1:40" x14ac:dyDescent="0.3">
      <c r="A6914" s="1">
        <v>46210.199074074073</v>
      </c>
      <c r="B6914" t="s">
        <v>40</v>
      </c>
      <c r="C6914" t="s">
        <v>41</v>
      </c>
      <c r="D6914" s="1">
        <v>46210.202013888891</v>
      </c>
      <c r="E6914" t="s">
        <v>42</v>
      </c>
      <c r="F6914" t="s">
        <v>43</v>
      </c>
      <c r="G6914" t="s">
        <v>43</v>
      </c>
      <c r="H6914" t="s">
        <v>43</v>
      </c>
      <c r="I6914" t="s">
        <v>4025</v>
      </c>
      <c r="J6914" t="s">
        <v>43</v>
      </c>
      <c r="K6914" t="s">
        <v>43</v>
      </c>
      <c r="L6914" t="s">
        <v>43</v>
      </c>
      <c r="M6914" t="s">
        <v>43</v>
      </c>
      <c r="N6914" t="s">
        <v>45</v>
      </c>
      <c r="O6914" t="s">
        <v>43</v>
      </c>
      <c r="P6914" t="s">
        <v>43</v>
      </c>
      <c r="Q6914" t="s">
        <v>43</v>
      </c>
      <c r="R6914" t="s">
        <v>43</v>
      </c>
      <c r="S6914" t="s">
        <v>43</v>
      </c>
      <c r="T6914" t="s">
        <v>43</v>
      </c>
      <c r="U6914" t="s">
        <v>43</v>
      </c>
      <c r="V6914" t="s">
        <v>43</v>
      </c>
      <c r="W6914" t="s">
        <v>43</v>
      </c>
      <c r="X6914" t="s">
        <v>43</v>
      </c>
      <c r="Y6914" t="s">
        <v>43</v>
      </c>
      <c r="Z6914" t="s">
        <v>43</v>
      </c>
      <c r="AA6914" t="s">
        <v>43</v>
      </c>
      <c r="AB6914" t="s">
        <v>43</v>
      </c>
      <c r="AC6914" t="s">
        <v>43</v>
      </c>
      <c r="AD6914" t="s">
        <v>43</v>
      </c>
      <c r="AE6914" t="s">
        <v>43</v>
      </c>
      <c r="AF6914" t="s">
        <v>43</v>
      </c>
      <c r="AG6914" t="s">
        <v>43</v>
      </c>
      <c r="AH6914" t="s">
        <v>43</v>
      </c>
      <c r="AI6914" t="s">
        <v>43</v>
      </c>
      <c r="AJ6914" t="s">
        <v>43</v>
      </c>
      <c r="AK6914" t="s">
        <v>43</v>
      </c>
      <c r="AL6914" t="s">
        <v>43</v>
      </c>
      <c r="AM6914" t="s">
        <v>43</v>
      </c>
      <c r="AN6914" t="str">
        <f>HYPERLINK("https://www.google.com/maps?q=10.78966713,79.5787735","Open Location")</f>
        <v>Open Location</v>
      </c>
    </row>
    <row r="6915" spans="1:40" x14ac:dyDescent="0.3">
      <c r="A6915" s="1">
        <v>46210.198958333334</v>
      </c>
      <c r="B6915" t="s">
        <v>40</v>
      </c>
      <c r="C6915" t="s">
        <v>41</v>
      </c>
      <c r="D6915" s="1">
        <v>46210.201666666668</v>
      </c>
      <c r="E6915" t="s">
        <v>42</v>
      </c>
      <c r="F6915" t="s">
        <v>43</v>
      </c>
      <c r="G6915" t="s">
        <v>43</v>
      </c>
      <c r="H6915" t="s">
        <v>43</v>
      </c>
      <c r="I6915" t="s">
        <v>4026</v>
      </c>
      <c r="J6915" t="s">
        <v>43</v>
      </c>
      <c r="K6915" t="s">
        <v>43</v>
      </c>
      <c r="L6915" t="s">
        <v>43</v>
      </c>
      <c r="M6915" t="s">
        <v>43</v>
      </c>
      <c r="N6915" t="s">
        <v>45</v>
      </c>
      <c r="O6915" t="s">
        <v>43</v>
      </c>
      <c r="P6915" t="s">
        <v>43</v>
      </c>
      <c r="Q6915" t="s">
        <v>43</v>
      </c>
      <c r="R6915" t="s">
        <v>43</v>
      </c>
      <c r="S6915" t="s">
        <v>43</v>
      </c>
      <c r="T6915" t="s">
        <v>43</v>
      </c>
      <c r="U6915" t="s">
        <v>43</v>
      </c>
      <c r="V6915" t="s">
        <v>43</v>
      </c>
      <c r="W6915" t="s">
        <v>43</v>
      </c>
      <c r="X6915" t="s">
        <v>43</v>
      </c>
      <c r="Y6915" t="s">
        <v>43</v>
      </c>
      <c r="Z6915" t="s">
        <v>43</v>
      </c>
      <c r="AA6915" t="s">
        <v>43</v>
      </c>
      <c r="AB6915" t="s">
        <v>43</v>
      </c>
      <c r="AC6915" t="s">
        <v>43</v>
      </c>
      <c r="AD6915" t="s">
        <v>43</v>
      </c>
      <c r="AE6915" t="s">
        <v>43</v>
      </c>
      <c r="AF6915" t="s">
        <v>43</v>
      </c>
      <c r="AG6915" t="s">
        <v>43</v>
      </c>
      <c r="AH6915" t="s">
        <v>43</v>
      </c>
      <c r="AI6915" t="s">
        <v>43</v>
      </c>
      <c r="AJ6915" t="s">
        <v>43</v>
      </c>
      <c r="AK6915" t="s">
        <v>43</v>
      </c>
      <c r="AL6915" t="s">
        <v>43</v>
      </c>
      <c r="AM6915" t="s">
        <v>43</v>
      </c>
      <c r="AN6915" t="str">
        <f>HYPERLINK("https://www.google.com/maps?q=10.78966904,79.5787735","Open Location")</f>
        <v>Open Location</v>
      </c>
    </row>
    <row r="6916" spans="1:40" x14ac:dyDescent="0.3">
      <c r="A6916" s="1">
        <v>46210.198842592596</v>
      </c>
      <c r="B6916" t="s">
        <v>40</v>
      </c>
      <c r="C6916" t="s">
        <v>41</v>
      </c>
      <c r="D6916" s="1">
        <v>46210.201736111114</v>
      </c>
      <c r="E6916" t="s">
        <v>42</v>
      </c>
      <c r="F6916" t="s">
        <v>43</v>
      </c>
      <c r="G6916" t="s">
        <v>43</v>
      </c>
      <c r="H6916" t="s">
        <v>43</v>
      </c>
      <c r="I6916" t="s">
        <v>4027</v>
      </c>
      <c r="J6916" t="s">
        <v>43</v>
      </c>
      <c r="K6916" t="s">
        <v>43</v>
      </c>
      <c r="L6916" t="s">
        <v>43</v>
      </c>
      <c r="M6916" t="s">
        <v>43</v>
      </c>
      <c r="N6916" t="s">
        <v>45</v>
      </c>
      <c r="O6916" t="s">
        <v>43</v>
      </c>
      <c r="P6916" t="s">
        <v>43</v>
      </c>
      <c r="Q6916" t="s">
        <v>43</v>
      </c>
      <c r="R6916" t="s">
        <v>43</v>
      </c>
      <c r="S6916" t="s">
        <v>43</v>
      </c>
      <c r="T6916" t="s">
        <v>43</v>
      </c>
      <c r="U6916" t="s">
        <v>43</v>
      </c>
      <c r="V6916" t="s">
        <v>43</v>
      </c>
      <c r="W6916" t="s">
        <v>43</v>
      </c>
      <c r="X6916" t="s">
        <v>43</v>
      </c>
      <c r="Y6916" t="s">
        <v>43</v>
      </c>
      <c r="Z6916" t="s">
        <v>43</v>
      </c>
      <c r="AA6916" t="s">
        <v>43</v>
      </c>
      <c r="AB6916" t="s">
        <v>43</v>
      </c>
      <c r="AC6916" t="s">
        <v>43</v>
      </c>
      <c r="AD6916" t="s">
        <v>43</v>
      </c>
      <c r="AE6916" t="s">
        <v>43</v>
      </c>
      <c r="AF6916" t="s">
        <v>43</v>
      </c>
      <c r="AG6916" t="s">
        <v>43</v>
      </c>
      <c r="AH6916" t="s">
        <v>43</v>
      </c>
      <c r="AI6916" t="s">
        <v>43</v>
      </c>
      <c r="AJ6916" t="s">
        <v>43</v>
      </c>
      <c r="AK6916" t="s">
        <v>43</v>
      </c>
      <c r="AL6916" t="s">
        <v>43</v>
      </c>
      <c r="AM6916" t="s">
        <v>43</v>
      </c>
      <c r="AN6916" t="str">
        <f>HYPERLINK("https://www.google.com/maps?q=10.78967094,79.5787735","Open Location")</f>
        <v>Open Location</v>
      </c>
    </row>
    <row r="6917" spans="1:40" x14ac:dyDescent="0.3">
      <c r="A6917" s="1">
        <v>46210.19872685185</v>
      </c>
      <c r="B6917" t="s">
        <v>40</v>
      </c>
      <c r="C6917" t="s">
        <v>41</v>
      </c>
      <c r="D6917" s="1">
        <v>46210.20171296296</v>
      </c>
      <c r="E6917" t="s">
        <v>42</v>
      </c>
      <c r="F6917" t="s">
        <v>43</v>
      </c>
      <c r="G6917" t="s">
        <v>43</v>
      </c>
      <c r="H6917" t="s">
        <v>43</v>
      </c>
      <c r="I6917" t="s">
        <v>43</v>
      </c>
      <c r="J6917" t="s">
        <v>43</v>
      </c>
      <c r="K6917" t="s">
        <v>43</v>
      </c>
      <c r="L6917" t="s">
        <v>43</v>
      </c>
      <c r="M6917" t="s">
        <v>43</v>
      </c>
      <c r="N6917" t="s">
        <v>45</v>
      </c>
      <c r="O6917" t="s">
        <v>43</v>
      </c>
      <c r="P6917" t="s">
        <v>43</v>
      </c>
      <c r="Q6917" t="s">
        <v>43</v>
      </c>
      <c r="R6917" t="s">
        <v>43</v>
      </c>
      <c r="S6917" t="s">
        <v>43</v>
      </c>
      <c r="T6917" t="s">
        <v>43</v>
      </c>
      <c r="U6917" t="s">
        <v>43</v>
      </c>
      <c r="V6917" t="s">
        <v>43</v>
      </c>
      <c r="W6917" t="s">
        <v>43</v>
      </c>
      <c r="X6917" t="s">
        <v>43</v>
      </c>
      <c r="Y6917" t="s">
        <v>43</v>
      </c>
      <c r="Z6917" t="s">
        <v>43</v>
      </c>
      <c r="AA6917" t="s">
        <v>43</v>
      </c>
      <c r="AB6917" t="s">
        <v>43</v>
      </c>
      <c r="AC6917" t="s">
        <v>43</v>
      </c>
      <c r="AD6917" t="s">
        <v>43</v>
      </c>
      <c r="AE6917" t="s">
        <v>43</v>
      </c>
      <c r="AF6917" t="s">
        <v>43</v>
      </c>
      <c r="AG6917" t="s">
        <v>43</v>
      </c>
      <c r="AH6917" t="s">
        <v>43</v>
      </c>
      <c r="AI6917" t="s">
        <v>43</v>
      </c>
      <c r="AJ6917" t="s">
        <v>43</v>
      </c>
      <c r="AK6917" t="s">
        <v>43</v>
      </c>
      <c r="AL6917" t="s">
        <v>43</v>
      </c>
      <c r="AM6917" t="s">
        <v>43</v>
      </c>
      <c r="AN6917" t="s">
        <v>43</v>
      </c>
    </row>
    <row r="6918" spans="1:40" x14ac:dyDescent="0.3">
      <c r="A6918" s="1">
        <v>46210.198611111111</v>
      </c>
      <c r="B6918" t="s">
        <v>40</v>
      </c>
      <c r="C6918" t="s">
        <v>41</v>
      </c>
      <c r="D6918" s="1">
        <v>46210.20171296296</v>
      </c>
      <c r="E6918" t="s">
        <v>42</v>
      </c>
      <c r="F6918" t="s">
        <v>43</v>
      </c>
      <c r="G6918" t="s">
        <v>43</v>
      </c>
      <c r="H6918" t="s">
        <v>43</v>
      </c>
      <c r="I6918" t="s">
        <v>4028</v>
      </c>
      <c r="J6918" t="s">
        <v>43</v>
      </c>
      <c r="K6918" t="s">
        <v>43</v>
      </c>
      <c r="L6918" t="s">
        <v>43</v>
      </c>
      <c r="M6918" t="s">
        <v>43</v>
      </c>
      <c r="N6918" t="s">
        <v>45</v>
      </c>
      <c r="O6918" t="s">
        <v>43</v>
      </c>
      <c r="P6918" t="s">
        <v>43</v>
      </c>
      <c r="Q6918" t="s">
        <v>43</v>
      </c>
      <c r="R6918" t="s">
        <v>43</v>
      </c>
      <c r="S6918" t="s">
        <v>43</v>
      </c>
      <c r="T6918" t="s">
        <v>43</v>
      </c>
      <c r="U6918" t="s">
        <v>43</v>
      </c>
      <c r="V6918" t="s">
        <v>43</v>
      </c>
      <c r="W6918" t="s">
        <v>43</v>
      </c>
      <c r="X6918" t="s">
        <v>43</v>
      </c>
      <c r="Y6918" t="s">
        <v>43</v>
      </c>
      <c r="Z6918" t="s">
        <v>43</v>
      </c>
      <c r="AA6918" t="s">
        <v>43</v>
      </c>
      <c r="AB6918" t="s">
        <v>43</v>
      </c>
      <c r="AC6918" t="s">
        <v>43</v>
      </c>
      <c r="AD6918" t="s">
        <v>43</v>
      </c>
      <c r="AE6918" t="s">
        <v>43</v>
      </c>
      <c r="AF6918" t="s">
        <v>43</v>
      </c>
      <c r="AG6918" t="s">
        <v>43</v>
      </c>
      <c r="AH6918" t="s">
        <v>43</v>
      </c>
      <c r="AI6918" t="s">
        <v>43</v>
      </c>
      <c r="AJ6918" t="s">
        <v>43</v>
      </c>
      <c r="AK6918" t="s">
        <v>43</v>
      </c>
      <c r="AL6918" t="s">
        <v>43</v>
      </c>
      <c r="AM6918" t="s">
        <v>43</v>
      </c>
      <c r="AN6918" t="str">
        <f>HYPERLINK("https://www.google.com/maps?q=10.78967476,79.5787735","Open Location")</f>
        <v>Open Location</v>
      </c>
    </row>
    <row r="6919" spans="1:40" x14ac:dyDescent="0.3">
      <c r="A6919" s="1">
        <v>46210.198495370372</v>
      </c>
      <c r="B6919" t="s">
        <v>40</v>
      </c>
      <c r="C6919" t="s">
        <v>41</v>
      </c>
      <c r="D6919" s="1">
        <v>46210.201192129629</v>
      </c>
      <c r="E6919" t="s">
        <v>42</v>
      </c>
      <c r="F6919" t="s">
        <v>43</v>
      </c>
      <c r="G6919" t="s">
        <v>43</v>
      </c>
      <c r="H6919" t="s">
        <v>43</v>
      </c>
      <c r="I6919" t="s">
        <v>4029</v>
      </c>
      <c r="J6919" t="s">
        <v>43</v>
      </c>
      <c r="K6919" t="s">
        <v>43</v>
      </c>
      <c r="L6919" t="s">
        <v>43</v>
      </c>
      <c r="M6919" t="s">
        <v>43</v>
      </c>
      <c r="N6919" t="s">
        <v>45</v>
      </c>
      <c r="O6919" t="s">
        <v>43</v>
      </c>
      <c r="P6919" t="s">
        <v>43</v>
      </c>
      <c r="Q6919" t="s">
        <v>43</v>
      </c>
      <c r="R6919" t="s">
        <v>43</v>
      </c>
      <c r="S6919" t="s">
        <v>43</v>
      </c>
      <c r="T6919" t="s">
        <v>43</v>
      </c>
      <c r="U6919" t="s">
        <v>43</v>
      </c>
      <c r="V6919" t="s">
        <v>43</v>
      </c>
      <c r="W6919" t="s">
        <v>43</v>
      </c>
      <c r="X6919" t="s">
        <v>43</v>
      </c>
      <c r="Y6919" t="s">
        <v>43</v>
      </c>
      <c r="Z6919" t="s">
        <v>43</v>
      </c>
      <c r="AA6919" t="s">
        <v>43</v>
      </c>
      <c r="AB6919" t="s">
        <v>43</v>
      </c>
      <c r="AC6919" t="s">
        <v>43</v>
      </c>
      <c r="AD6919" t="s">
        <v>43</v>
      </c>
      <c r="AE6919" t="s">
        <v>43</v>
      </c>
      <c r="AF6919" t="s">
        <v>43</v>
      </c>
      <c r="AG6919" t="s">
        <v>43</v>
      </c>
      <c r="AH6919" t="s">
        <v>43</v>
      </c>
      <c r="AI6919" t="s">
        <v>43</v>
      </c>
      <c r="AJ6919" t="s">
        <v>43</v>
      </c>
      <c r="AK6919" t="s">
        <v>43</v>
      </c>
      <c r="AL6919" t="s">
        <v>43</v>
      </c>
      <c r="AM6919" t="s">
        <v>43</v>
      </c>
      <c r="AN6919" t="str">
        <f>HYPERLINK("https://www.google.com/maps?q=10.78967667,79.57878113","Open Location")</f>
        <v>Open Location</v>
      </c>
    </row>
    <row r="6920" spans="1:40" x14ac:dyDescent="0.3">
      <c r="A6920" s="1">
        <v>46210.198379629626</v>
      </c>
      <c r="B6920" t="s">
        <v>40</v>
      </c>
      <c r="C6920" t="s">
        <v>41</v>
      </c>
      <c r="D6920" s="1">
        <v>46210.201354166667</v>
      </c>
      <c r="E6920" t="s">
        <v>42</v>
      </c>
      <c r="F6920" t="s">
        <v>43</v>
      </c>
      <c r="G6920" t="s">
        <v>43</v>
      </c>
      <c r="H6920" t="s">
        <v>43</v>
      </c>
      <c r="I6920" t="s">
        <v>4030</v>
      </c>
      <c r="J6920" t="s">
        <v>43</v>
      </c>
      <c r="K6920" t="s">
        <v>43</v>
      </c>
      <c r="L6920" t="s">
        <v>43</v>
      </c>
      <c r="M6920" t="s">
        <v>43</v>
      </c>
      <c r="N6920" t="s">
        <v>45</v>
      </c>
      <c r="O6920" t="s">
        <v>43</v>
      </c>
      <c r="P6920" t="s">
        <v>43</v>
      </c>
      <c r="Q6920" t="s">
        <v>43</v>
      </c>
      <c r="R6920" t="s">
        <v>43</v>
      </c>
      <c r="S6920" t="s">
        <v>43</v>
      </c>
      <c r="T6920" t="s">
        <v>43</v>
      </c>
      <c r="U6920" t="s">
        <v>43</v>
      </c>
      <c r="V6920" t="s">
        <v>43</v>
      </c>
      <c r="W6920" t="s">
        <v>43</v>
      </c>
      <c r="X6920" t="s">
        <v>43</v>
      </c>
      <c r="Y6920" t="s">
        <v>43</v>
      </c>
      <c r="Z6920" t="s">
        <v>43</v>
      </c>
      <c r="AA6920" t="s">
        <v>43</v>
      </c>
      <c r="AB6920" t="s">
        <v>43</v>
      </c>
      <c r="AC6920" t="s">
        <v>43</v>
      </c>
      <c r="AD6920" t="s">
        <v>43</v>
      </c>
      <c r="AE6920" t="s">
        <v>43</v>
      </c>
      <c r="AF6920" t="s">
        <v>43</v>
      </c>
      <c r="AG6920" t="s">
        <v>43</v>
      </c>
      <c r="AH6920" t="s">
        <v>43</v>
      </c>
      <c r="AI6920" t="s">
        <v>43</v>
      </c>
      <c r="AJ6920" t="s">
        <v>43</v>
      </c>
      <c r="AK6920" t="s">
        <v>43</v>
      </c>
      <c r="AL6920" t="s">
        <v>43</v>
      </c>
      <c r="AM6920" t="s">
        <v>43</v>
      </c>
      <c r="AN6920" t="str">
        <f>HYPERLINK("https://www.google.com/maps?q=10.78967857,79.57878113","Open Location")</f>
        <v>Open Location</v>
      </c>
    </row>
    <row r="6921" spans="1:40" x14ac:dyDescent="0.3">
      <c r="A6921" s="1">
        <v>46210.198263888888</v>
      </c>
      <c r="B6921" t="s">
        <v>40</v>
      </c>
      <c r="C6921" t="s">
        <v>41</v>
      </c>
      <c r="D6921" s="1">
        <v>46210.201192129629</v>
      </c>
      <c r="E6921" t="s">
        <v>42</v>
      </c>
      <c r="F6921" t="s">
        <v>43</v>
      </c>
      <c r="G6921" t="s">
        <v>43</v>
      </c>
      <c r="H6921" t="s">
        <v>43</v>
      </c>
      <c r="I6921" t="s">
        <v>4031</v>
      </c>
      <c r="J6921" t="s">
        <v>43</v>
      </c>
      <c r="K6921" t="s">
        <v>43</v>
      </c>
      <c r="L6921" t="s">
        <v>43</v>
      </c>
      <c r="M6921" t="s">
        <v>43</v>
      </c>
      <c r="N6921" t="s">
        <v>45</v>
      </c>
      <c r="O6921" t="s">
        <v>43</v>
      </c>
      <c r="P6921" t="s">
        <v>43</v>
      </c>
      <c r="Q6921" t="s">
        <v>43</v>
      </c>
      <c r="R6921" t="s">
        <v>43</v>
      </c>
      <c r="S6921" t="s">
        <v>43</v>
      </c>
      <c r="T6921" t="s">
        <v>43</v>
      </c>
      <c r="U6921" t="s">
        <v>43</v>
      </c>
      <c r="V6921" t="s">
        <v>43</v>
      </c>
      <c r="W6921" t="s">
        <v>43</v>
      </c>
      <c r="X6921" t="s">
        <v>43</v>
      </c>
      <c r="Y6921" t="s">
        <v>43</v>
      </c>
      <c r="Z6921" t="s">
        <v>43</v>
      </c>
      <c r="AA6921" t="s">
        <v>43</v>
      </c>
      <c r="AB6921" t="s">
        <v>43</v>
      </c>
      <c r="AC6921" t="s">
        <v>43</v>
      </c>
      <c r="AD6921" t="s">
        <v>43</v>
      </c>
      <c r="AE6921" t="s">
        <v>43</v>
      </c>
      <c r="AF6921" t="s">
        <v>43</v>
      </c>
      <c r="AG6921" t="s">
        <v>43</v>
      </c>
      <c r="AH6921" t="s">
        <v>43</v>
      </c>
      <c r="AI6921" t="s">
        <v>43</v>
      </c>
      <c r="AJ6921" t="s">
        <v>43</v>
      </c>
      <c r="AK6921" t="s">
        <v>43</v>
      </c>
      <c r="AL6921" t="s">
        <v>43</v>
      </c>
      <c r="AM6921" t="s">
        <v>43</v>
      </c>
      <c r="AN6921" t="str">
        <f>HYPERLINK("https://www.google.com/maps?q=10.78967571,79.57878113","Open Location")</f>
        <v>Open Location</v>
      </c>
    </row>
    <row r="6922" spans="1:40" x14ac:dyDescent="0.3">
      <c r="A6922" s="1">
        <v>46210.198148148149</v>
      </c>
      <c r="B6922" t="s">
        <v>40</v>
      </c>
      <c r="C6922" t="s">
        <v>41</v>
      </c>
      <c r="D6922" s="1">
        <v>46210.200960648152</v>
      </c>
      <c r="E6922" t="s">
        <v>42</v>
      </c>
      <c r="F6922" t="s">
        <v>43</v>
      </c>
      <c r="G6922" t="s">
        <v>43</v>
      </c>
      <c r="H6922" t="s">
        <v>43</v>
      </c>
      <c r="I6922" t="s">
        <v>4032</v>
      </c>
      <c r="J6922" t="s">
        <v>43</v>
      </c>
      <c r="K6922" t="s">
        <v>43</v>
      </c>
      <c r="L6922" t="s">
        <v>43</v>
      </c>
      <c r="M6922" t="s">
        <v>43</v>
      </c>
      <c r="N6922" t="s">
        <v>45</v>
      </c>
      <c r="O6922" t="s">
        <v>43</v>
      </c>
      <c r="P6922" t="s">
        <v>43</v>
      </c>
      <c r="Q6922" t="s">
        <v>43</v>
      </c>
      <c r="R6922" t="s">
        <v>43</v>
      </c>
      <c r="S6922" t="s">
        <v>43</v>
      </c>
      <c r="T6922" t="s">
        <v>43</v>
      </c>
      <c r="U6922" t="s">
        <v>43</v>
      </c>
      <c r="V6922" t="s">
        <v>43</v>
      </c>
      <c r="W6922" t="s">
        <v>43</v>
      </c>
      <c r="X6922" t="s">
        <v>43</v>
      </c>
      <c r="Y6922" t="s">
        <v>43</v>
      </c>
      <c r="Z6922" t="s">
        <v>43</v>
      </c>
      <c r="AA6922" t="s">
        <v>43</v>
      </c>
      <c r="AB6922" t="s">
        <v>43</v>
      </c>
      <c r="AC6922" t="s">
        <v>43</v>
      </c>
      <c r="AD6922" t="s">
        <v>43</v>
      </c>
      <c r="AE6922" t="s">
        <v>43</v>
      </c>
      <c r="AF6922" t="s">
        <v>43</v>
      </c>
      <c r="AG6922" t="s">
        <v>43</v>
      </c>
      <c r="AH6922" t="s">
        <v>43</v>
      </c>
      <c r="AI6922" t="s">
        <v>43</v>
      </c>
      <c r="AJ6922" t="s">
        <v>43</v>
      </c>
      <c r="AK6922" t="s">
        <v>43</v>
      </c>
      <c r="AL6922" t="s">
        <v>43</v>
      </c>
      <c r="AM6922" t="s">
        <v>43</v>
      </c>
      <c r="AN6922" t="str">
        <f>HYPERLINK("https://www.google.com/maps?q=10.78967571,79.5787735","Open Location")</f>
        <v>Open Location</v>
      </c>
    </row>
    <row r="6923" spans="1:40" x14ac:dyDescent="0.3">
      <c r="A6923" s="1">
        <v>46210.19803240741</v>
      </c>
      <c r="B6923" t="s">
        <v>40</v>
      </c>
      <c r="C6923" t="s">
        <v>41</v>
      </c>
      <c r="D6923" s="1">
        <v>46210.200868055559</v>
      </c>
      <c r="E6923" t="s">
        <v>42</v>
      </c>
      <c r="F6923" t="s">
        <v>43</v>
      </c>
      <c r="G6923" t="s">
        <v>43</v>
      </c>
      <c r="H6923" t="s">
        <v>43</v>
      </c>
      <c r="I6923" t="s">
        <v>43</v>
      </c>
      <c r="J6923" t="s">
        <v>43</v>
      </c>
      <c r="K6923" t="s">
        <v>43</v>
      </c>
      <c r="L6923" t="s">
        <v>43</v>
      </c>
      <c r="M6923" t="s">
        <v>43</v>
      </c>
      <c r="N6923" t="s">
        <v>45</v>
      </c>
      <c r="O6923" t="s">
        <v>43</v>
      </c>
      <c r="P6923" t="s">
        <v>43</v>
      </c>
      <c r="Q6923" t="s">
        <v>43</v>
      </c>
      <c r="R6923" t="s">
        <v>43</v>
      </c>
      <c r="S6923" t="s">
        <v>43</v>
      </c>
      <c r="T6923" t="s">
        <v>43</v>
      </c>
      <c r="U6923" t="s">
        <v>43</v>
      </c>
      <c r="V6923" t="s">
        <v>43</v>
      </c>
      <c r="W6923" t="s">
        <v>43</v>
      </c>
      <c r="X6923" t="s">
        <v>43</v>
      </c>
      <c r="Y6923" t="s">
        <v>43</v>
      </c>
      <c r="Z6923" t="s">
        <v>43</v>
      </c>
      <c r="AA6923" t="s">
        <v>43</v>
      </c>
      <c r="AB6923" t="s">
        <v>43</v>
      </c>
      <c r="AC6923" t="s">
        <v>43</v>
      </c>
      <c r="AD6923" t="s">
        <v>43</v>
      </c>
      <c r="AE6923" t="s">
        <v>43</v>
      </c>
      <c r="AF6923" t="s">
        <v>43</v>
      </c>
      <c r="AG6923" t="s">
        <v>43</v>
      </c>
      <c r="AH6923" t="s">
        <v>43</v>
      </c>
      <c r="AI6923" t="s">
        <v>43</v>
      </c>
      <c r="AJ6923" t="s">
        <v>43</v>
      </c>
      <c r="AK6923" t="s">
        <v>43</v>
      </c>
      <c r="AL6923" t="s">
        <v>43</v>
      </c>
      <c r="AM6923" t="s">
        <v>43</v>
      </c>
      <c r="AN6923" t="s">
        <v>43</v>
      </c>
    </row>
    <row r="6924" spans="1:40" x14ac:dyDescent="0.3">
      <c r="A6924" s="1">
        <v>46210.197916666664</v>
      </c>
      <c r="B6924" t="s">
        <v>40</v>
      </c>
      <c r="C6924" t="s">
        <v>41</v>
      </c>
      <c r="D6924" s="1">
        <v>46210.200775462959</v>
      </c>
      <c r="E6924" t="s">
        <v>42</v>
      </c>
      <c r="F6924" t="s">
        <v>43</v>
      </c>
      <c r="G6924" t="s">
        <v>43</v>
      </c>
      <c r="H6924" t="s">
        <v>43</v>
      </c>
      <c r="I6924" t="s">
        <v>4033</v>
      </c>
      <c r="J6924" t="s">
        <v>43</v>
      </c>
      <c r="K6924" t="s">
        <v>43</v>
      </c>
      <c r="L6924" t="s">
        <v>43</v>
      </c>
      <c r="M6924" t="s">
        <v>43</v>
      </c>
      <c r="N6924" t="s">
        <v>45</v>
      </c>
      <c r="O6924" t="s">
        <v>43</v>
      </c>
      <c r="P6924" t="s">
        <v>43</v>
      </c>
      <c r="Q6924" t="s">
        <v>43</v>
      </c>
      <c r="R6924" t="s">
        <v>43</v>
      </c>
      <c r="S6924" t="s">
        <v>43</v>
      </c>
      <c r="T6924" t="s">
        <v>43</v>
      </c>
      <c r="U6924" t="s">
        <v>43</v>
      </c>
      <c r="V6924" t="s">
        <v>43</v>
      </c>
      <c r="W6924" t="s">
        <v>43</v>
      </c>
      <c r="X6924" t="s">
        <v>43</v>
      </c>
      <c r="Y6924" t="s">
        <v>43</v>
      </c>
      <c r="Z6924" t="s">
        <v>43</v>
      </c>
      <c r="AA6924" t="s">
        <v>43</v>
      </c>
      <c r="AB6924" t="s">
        <v>43</v>
      </c>
      <c r="AC6924" t="s">
        <v>43</v>
      </c>
      <c r="AD6924" t="s">
        <v>43</v>
      </c>
      <c r="AE6924" t="s">
        <v>43</v>
      </c>
      <c r="AF6924" t="s">
        <v>43</v>
      </c>
      <c r="AG6924" t="s">
        <v>43</v>
      </c>
      <c r="AH6924" t="s">
        <v>43</v>
      </c>
      <c r="AI6924" t="s">
        <v>43</v>
      </c>
      <c r="AJ6924" t="s">
        <v>43</v>
      </c>
      <c r="AK6924" t="s">
        <v>43</v>
      </c>
      <c r="AL6924" t="s">
        <v>43</v>
      </c>
      <c r="AM6924" t="s">
        <v>43</v>
      </c>
      <c r="AN6924" t="str">
        <f>HYPERLINK("https://www.google.com/maps?q=10.78967953,79.5787735","Open Location")</f>
        <v>Open Location</v>
      </c>
    </row>
    <row r="6925" spans="1:40" x14ac:dyDescent="0.3">
      <c r="A6925" s="1">
        <v>46210.197800925926</v>
      </c>
      <c r="B6925" t="s">
        <v>40</v>
      </c>
      <c r="C6925" t="s">
        <v>41</v>
      </c>
      <c r="D6925" s="1">
        <v>46210.200879629629</v>
      </c>
      <c r="E6925" t="s">
        <v>42</v>
      </c>
      <c r="F6925" t="s">
        <v>43</v>
      </c>
      <c r="G6925" t="s">
        <v>43</v>
      </c>
      <c r="H6925" t="s">
        <v>43</v>
      </c>
      <c r="I6925" t="s">
        <v>4032</v>
      </c>
      <c r="J6925" t="s">
        <v>43</v>
      </c>
      <c r="K6925" t="s">
        <v>43</v>
      </c>
      <c r="L6925" t="s">
        <v>43</v>
      </c>
      <c r="M6925" t="s">
        <v>43</v>
      </c>
      <c r="N6925" t="s">
        <v>45</v>
      </c>
      <c r="O6925" t="s">
        <v>43</v>
      </c>
      <c r="P6925" t="s">
        <v>43</v>
      </c>
      <c r="Q6925" t="s">
        <v>43</v>
      </c>
      <c r="R6925" t="s">
        <v>43</v>
      </c>
      <c r="S6925" t="s">
        <v>43</v>
      </c>
      <c r="T6925" t="s">
        <v>43</v>
      </c>
      <c r="U6925" t="s">
        <v>43</v>
      </c>
      <c r="V6925" t="s">
        <v>43</v>
      </c>
      <c r="W6925" t="s">
        <v>43</v>
      </c>
      <c r="X6925" t="s">
        <v>43</v>
      </c>
      <c r="Y6925" t="s">
        <v>43</v>
      </c>
      <c r="Z6925" t="s">
        <v>43</v>
      </c>
      <c r="AA6925" t="s">
        <v>43</v>
      </c>
      <c r="AB6925" t="s">
        <v>43</v>
      </c>
      <c r="AC6925" t="s">
        <v>43</v>
      </c>
      <c r="AD6925" t="s">
        <v>43</v>
      </c>
      <c r="AE6925" t="s">
        <v>43</v>
      </c>
      <c r="AF6925" t="s">
        <v>43</v>
      </c>
      <c r="AG6925" t="s">
        <v>43</v>
      </c>
      <c r="AH6925" t="s">
        <v>43</v>
      </c>
      <c r="AI6925" t="s">
        <v>43</v>
      </c>
      <c r="AJ6925" t="s">
        <v>43</v>
      </c>
      <c r="AK6925" t="s">
        <v>43</v>
      </c>
      <c r="AL6925" t="s">
        <v>43</v>
      </c>
      <c r="AM6925" t="s">
        <v>43</v>
      </c>
      <c r="AN6925" t="str">
        <f>HYPERLINK("https://www.google.com/maps?q=10.78967571,79.5787735","Open Location")</f>
        <v>Open Location</v>
      </c>
    </row>
    <row r="6926" spans="1:40" x14ac:dyDescent="0.3">
      <c r="A6926" s="1">
        <v>46210.197685185187</v>
      </c>
      <c r="B6926" t="s">
        <v>40</v>
      </c>
      <c r="C6926" t="s">
        <v>41</v>
      </c>
      <c r="D6926" s="1">
        <v>46210.200659722221</v>
      </c>
      <c r="E6926" t="s">
        <v>42</v>
      </c>
      <c r="F6926" t="s">
        <v>43</v>
      </c>
      <c r="G6926" t="s">
        <v>43</v>
      </c>
      <c r="H6926" t="s">
        <v>43</v>
      </c>
      <c r="I6926" t="s">
        <v>4034</v>
      </c>
      <c r="J6926" t="s">
        <v>43</v>
      </c>
      <c r="K6926" t="s">
        <v>43</v>
      </c>
      <c r="L6926" t="s">
        <v>43</v>
      </c>
      <c r="M6926" t="s">
        <v>43</v>
      </c>
      <c r="N6926" t="s">
        <v>45</v>
      </c>
      <c r="O6926" t="s">
        <v>43</v>
      </c>
      <c r="P6926" t="s">
        <v>43</v>
      </c>
      <c r="Q6926" t="s">
        <v>43</v>
      </c>
      <c r="R6926" t="s">
        <v>43</v>
      </c>
      <c r="S6926" t="s">
        <v>43</v>
      </c>
      <c r="T6926" t="s">
        <v>43</v>
      </c>
      <c r="U6926" t="s">
        <v>43</v>
      </c>
      <c r="V6926" t="s">
        <v>43</v>
      </c>
      <c r="W6926" t="s">
        <v>43</v>
      </c>
      <c r="X6926" t="s">
        <v>43</v>
      </c>
      <c r="Y6926" t="s">
        <v>43</v>
      </c>
      <c r="Z6926" t="s">
        <v>43</v>
      </c>
      <c r="AA6926" t="s">
        <v>43</v>
      </c>
      <c r="AB6926" t="s">
        <v>43</v>
      </c>
      <c r="AC6926" t="s">
        <v>43</v>
      </c>
      <c r="AD6926" t="s">
        <v>43</v>
      </c>
      <c r="AE6926" t="s">
        <v>43</v>
      </c>
      <c r="AF6926" t="s">
        <v>43</v>
      </c>
      <c r="AG6926" t="s">
        <v>43</v>
      </c>
      <c r="AH6926" t="s">
        <v>43</v>
      </c>
      <c r="AI6926" t="s">
        <v>43</v>
      </c>
      <c r="AJ6926" t="s">
        <v>43</v>
      </c>
      <c r="AK6926" t="s">
        <v>43</v>
      </c>
      <c r="AL6926" t="s">
        <v>43</v>
      </c>
      <c r="AM6926" t="s">
        <v>43</v>
      </c>
      <c r="AN6926" t="str">
        <f>HYPERLINK("https://www.google.com/maps?q=10.7896719,79.57878113","Open Location")</f>
        <v>Open Location</v>
      </c>
    </row>
    <row r="6927" spans="1:40" x14ac:dyDescent="0.3">
      <c r="A6927" s="1">
        <v>46210.197569444441</v>
      </c>
      <c r="B6927" t="s">
        <v>40</v>
      </c>
      <c r="C6927" t="s">
        <v>41</v>
      </c>
      <c r="D6927" s="1">
        <v>46210.200300925928</v>
      </c>
      <c r="E6927" t="s">
        <v>42</v>
      </c>
      <c r="F6927" t="s">
        <v>43</v>
      </c>
      <c r="G6927" t="s">
        <v>43</v>
      </c>
      <c r="H6927" t="s">
        <v>43</v>
      </c>
      <c r="I6927" t="s">
        <v>4015</v>
      </c>
      <c r="J6927" t="s">
        <v>43</v>
      </c>
      <c r="K6927" t="s">
        <v>43</v>
      </c>
      <c r="L6927" t="s">
        <v>43</v>
      </c>
      <c r="M6927" t="s">
        <v>43</v>
      </c>
      <c r="N6927" t="s">
        <v>45</v>
      </c>
      <c r="O6927" t="s">
        <v>43</v>
      </c>
      <c r="P6927" t="s">
        <v>43</v>
      </c>
      <c r="Q6927" t="s">
        <v>43</v>
      </c>
      <c r="R6927" t="s">
        <v>43</v>
      </c>
      <c r="S6927" t="s">
        <v>43</v>
      </c>
      <c r="T6927" t="s">
        <v>43</v>
      </c>
      <c r="U6927" t="s">
        <v>43</v>
      </c>
      <c r="V6927" t="s">
        <v>43</v>
      </c>
      <c r="W6927" t="s">
        <v>43</v>
      </c>
      <c r="X6927" t="s">
        <v>43</v>
      </c>
      <c r="Y6927" t="s">
        <v>43</v>
      </c>
      <c r="Z6927" t="s">
        <v>43</v>
      </c>
      <c r="AA6927" t="s">
        <v>43</v>
      </c>
      <c r="AB6927" t="s">
        <v>43</v>
      </c>
      <c r="AC6927" t="s">
        <v>43</v>
      </c>
      <c r="AD6927" t="s">
        <v>43</v>
      </c>
      <c r="AE6927" t="s">
        <v>43</v>
      </c>
      <c r="AF6927" t="s">
        <v>43</v>
      </c>
      <c r="AG6927" t="s">
        <v>43</v>
      </c>
      <c r="AH6927" t="s">
        <v>43</v>
      </c>
      <c r="AI6927" t="s">
        <v>43</v>
      </c>
      <c r="AJ6927" t="s">
        <v>43</v>
      </c>
      <c r="AK6927" t="s">
        <v>43</v>
      </c>
      <c r="AL6927" t="s">
        <v>43</v>
      </c>
      <c r="AM6927" t="s">
        <v>43</v>
      </c>
      <c r="AN6927" t="str">
        <f>HYPERLINK("https://www.google.com/maps?q=10.78967094,79.57878113","Open Location")</f>
        <v>Open Location</v>
      </c>
    </row>
    <row r="6928" spans="1:40" x14ac:dyDescent="0.3">
      <c r="A6928" s="1">
        <v>46210.197453703702</v>
      </c>
      <c r="B6928" t="s">
        <v>40</v>
      </c>
      <c r="C6928" t="s">
        <v>41</v>
      </c>
      <c r="D6928" s="1">
        <v>46210.200254629628</v>
      </c>
      <c r="E6928" t="s">
        <v>42</v>
      </c>
      <c r="F6928" t="s">
        <v>43</v>
      </c>
      <c r="G6928" t="s">
        <v>43</v>
      </c>
      <c r="H6928" t="s">
        <v>43</v>
      </c>
      <c r="I6928" t="s">
        <v>4035</v>
      </c>
      <c r="J6928" t="s">
        <v>43</v>
      </c>
      <c r="K6928" t="s">
        <v>43</v>
      </c>
      <c r="L6928" t="s">
        <v>43</v>
      </c>
      <c r="M6928" t="s">
        <v>43</v>
      </c>
      <c r="N6928" t="s">
        <v>45</v>
      </c>
      <c r="O6928" t="s">
        <v>43</v>
      </c>
      <c r="P6928" t="s">
        <v>43</v>
      </c>
      <c r="Q6928" t="s">
        <v>43</v>
      </c>
      <c r="R6928" t="s">
        <v>43</v>
      </c>
      <c r="S6928" t="s">
        <v>43</v>
      </c>
      <c r="T6928" t="s">
        <v>43</v>
      </c>
      <c r="U6928" t="s">
        <v>43</v>
      </c>
      <c r="V6928" t="s">
        <v>43</v>
      </c>
      <c r="W6928" t="s">
        <v>43</v>
      </c>
      <c r="X6928" t="s">
        <v>43</v>
      </c>
      <c r="Y6928" t="s">
        <v>43</v>
      </c>
      <c r="Z6928" t="s">
        <v>43</v>
      </c>
      <c r="AA6928" t="s">
        <v>43</v>
      </c>
      <c r="AB6928" t="s">
        <v>43</v>
      </c>
      <c r="AC6928" t="s">
        <v>43</v>
      </c>
      <c r="AD6928" t="s">
        <v>43</v>
      </c>
      <c r="AE6928" t="s">
        <v>43</v>
      </c>
      <c r="AF6928" t="s">
        <v>43</v>
      </c>
      <c r="AG6928" t="s">
        <v>43</v>
      </c>
      <c r="AH6928" t="s">
        <v>43</v>
      </c>
      <c r="AI6928" t="s">
        <v>43</v>
      </c>
      <c r="AJ6928" t="s">
        <v>43</v>
      </c>
      <c r="AK6928" t="s">
        <v>43</v>
      </c>
      <c r="AL6928" t="s">
        <v>43</v>
      </c>
      <c r="AM6928" t="s">
        <v>43</v>
      </c>
      <c r="AN6928" t="str">
        <f>HYPERLINK("https://www.google.com/maps?q=10.78966999,79.5787735","Open Location")</f>
        <v>Open Location</v>
      </c>
    </row>
    <row r="6929" spans="1:40" x14ac:dyDescent="0.3">
      <c r="A6929" s="1">
        <v>46210.197337962964</v>
      </c>
      <c r="B6929" t="s">
        <v>40</v>
      </c>
      <c r="C6929" t="s">
        <v>41</v>
      </c>
      <c r="D6929" s="1">
        <v>46210.200150462966</v>
      </c>
      <c r="E6929" t="s">
        <v>42</v>
      </c>
      <c r="F6929" t="s">
        <v>43</v>
      </c>
      <c r="G6929" t="s">
        <v>43</v>
      </c>
      <c r="H6929" t="s">
        <v>43</v>
      </c>
      <c r="I6929" t="s">
        <v>43</v>
      </c>
      <c r="J6929" t="s">
        <v>43</v>
      </c>
      <c r="K6929" t="s">
        <v>43</v>
      </c>
      <c r="L6929" t="s">
        <v>43</v>
      </c>
      <c r="M6929" t="s">
        <v>43</v>
      </c>
      <c r="N6929" t="s">
        <v>45</v>
      </c>
      <c r="O6929" t="s">
        <v>43</v>
      </c>
      <c r="P6929" t="s">
        <v>43</v>
      </c>
      <c r="Q6929" t="s">
        <v>43</v>
      </c>
      <c r="R6929" t="s">
        <v>43</v>
      </c>
      <c r="S6929" t="s">
        <v>43</v>
      </c>
      <c r="T6929" t="s">
        <v>43</v>
      </c>
      <c r="U6929" t="s">
        <v>43</v>
      </c>
      <c r="V6929" t="s">
        <v>43</v>
      </c>
      <c r="W6929" t="s">
        <v>43</v>
      </c>
      <c r="X6929" t="s">
        <v>43</v>
      </c>
      <c r="Y6929" t="s">
        <v>43</v>
      </c>
      <c r="Z6929" t="s">
        <v>43</v>
      </c>
      <c r="AA6929" t="s">
        <v>43</v>
      </c>
      <c r="AB6929" t="s">
        <v>43</v>
      </c>
      <c r="AC6929" t="s">
        <v>43</v>
      </c>
      <c r="AD6929" t="s">
        <v>43</v>
      </c>
      <c r="AE6929" t="s">
        <v>43</v>
      </c>
      <c r="AF6929" t="s">
        <v>43</v>
      </c>
      <c r="AG6929" t="s">
        <v>43</v>
      </c>
      <c r="AH6929" t="s">
        <v>43</v>
      </c>
      <c r="AI6929" t="s">
        <v>43</v>
      </c>
      <c r="AJ6929" t="s">
        <v>43</v>
      </c>
      <c r="AK6929" t="s">
        <v>43</v>
      </c>
      <c r="AL6929" t="s">
        <v>43</v>
      </c>
      <c r="AM6929" t="s">
        <v>43</v>
      </c>
      <c r="AN6929" t="s">
        <v>43</v>
      </c>
    </row>
    <row r="6930" spans="1:40" x14ac:dyDescent="0.3">
      <c r="A6930" s="1">
        <v>46210.197222222225</v>
      </c>
      <c r="B6930" t="s">
        <v>40</v>
      </c>
      <c r="C6930" t="s">
        <v>41</v>
      </c>
      <c r="D6930" s="1">
        <v>46210.200277777774</v>
      </c>
      <c r="E6930" t="s">
        <v>42</v>
      </c>
      <c r="F6930" t="s">
        <v>43</v>
      </c>
      <c r="G6930" t="s">
        <v>43</v>
      </c>
      <c r="H6930" t="s">
        <v>43</v>
      </c>
      <c r="I6930" t="s">
        <v>4036</v>
      </c>
      <c r="J6930" t="s">
        <v>43</v>
      </c>
      <c r="K6930" t="s">
        <v>43</v>
      </c>
      <c r="L6930" t="s">
        <v>43</v>
      </c>
      <c r="M6930" t="s">
        <v>43</v>
      </c>
      <c r="N6930" t="s">
        <v>45</v>
      </c>
      <c r="O6930" t="s">
        <v>43</v>
      </c>
      <c r="P6930" t="s">
        <v>43</v>
      </c>
      <c r="Q6930" t="s">
        <v>43</v>
      </c>
      <c r="R6930" t="s">
        <v>43</v>
      </c>
      <c r="S6930" t="s">
        <v>43</v>
      </c>
      <c r="T6930" t="s">
        <v>43</v>
      </c>
      <c r="U6930" t="s">
        <v>43</v>
      </c>
      <c r="V6930" t="s">
        <v>43</v>
      </c>
      <c r="W6930" t="s">
        <v>43</v>
      </c>
      <c r="X6930" t="s">
        <v>43</v>
      </c>
      <c r="Y6930" t="s">
        <v>43</v>
      </c>
      <c r="Z6930" t="s">
        <v>43</v>
      </c>
      <c r="AA6930" t="s">
        <v>43</v>
      </c>
      <c r="AB6930" t="s">
        <v>43</v>
      </c>
      <c r="AC6930" t="s">
        <v>43</v>
      </c>
      <c r="AD6930" t="s">
        <v>43</v>
      </c>
      <c r="AE6930" t="s">
        <v>43</v>
      </c>
      <c r="AF6930" t="s">
        <v>43</v>
      </c>
      <c r="AG6930" t="s">
        <v>43</v>
      </c>
      <c r="AH6930" t="s">
        <v>43</v>
      </c>
      <c r="AI6930" t="s">
        <v>43</v>
      </c>
      <c r="AJ6930" t="s">
        <v>43</v>
      </c>
      <c r="AK6930" t="s">
        <v>43</v>
      </c>
      <c r="AL6930" t="s">
        <v>43</v>
      </c>
      <c r="AM6930" t="s">
        <v>43</v>
      </c>
      <c r="AN6930" t="str">
        <f>HYPERLINK("https://www.google.com/maps?q=10.78966618,79.57878113","Open Location")</f>
        <v>Open Location</v>
      </c>
    </row>
    <row r="6931" spans="1:40" x14ac:dyDescent="0.3">
      <c r="A6931" s="1">
        <v>46210.197106481479</v>
      </c>
      <c r="B6931" t="s">
        <v>40</v>
      </c>
      <c r="C6931" t="s">
        <v>41</v>
      </c>
      <c r="D6931" s="1">
        <v>46210.200138888889</v>
      </c>
      <c r="E6931" t="s">
        <v>42</v>
      </c>
      <c r="F6931" t="s">
        <v>43</v>
      </c>
      <c r="G6931" t="s">
        <v>43</v>
      </c>
      <c r="H6931" t="s">
        <v>43</v>
      </c>
      <c r="I6931" t="s">
        <v>4037</v>
      </c>
      <c r="J6931" t="s">
        <v>43</v>
      </c>
      <c r="K6931" t="s">
        <v>43</v>
      </c>
      <c r="L6931" t="s">
        <v>43</v>
      </c>
      <c r="M6931" t="s">
        <v>43</v>
      </c>
      <c r="N6931" t="s">
        <v>45</v>
      </c>
      <c r="O6931" t="s">
        <v>43</v>
      </c>
      <c r="P6931" t="s">
        <v>43</v>
      </c>
      <c r="Q6931" t="s">
        <v>43</v>
      </c>
      <c r="R6931" t="s">
        <v>43</v>
      </c>
      <c r="S6931" t="s">
        <v>43</v>
      </c>
      <c r="T6931" t="s">
        <v>43</v>
      </c>
      <c r="U6931" t="s">
        <v>43</v>
      </c>
      <c r="V6931" t="s">
        <v>43</v>
      </c>
      <c r="W6931" t="s">
        <v>43</v>
      </c>
      <c r="X6931" t="s">
        <v>43</v>
      </c>
      <c r="Y6931" t="s">
        <v>43</v>
      </c>
      <c r="Z6931" t="s">
        <v>43</v>
      </c>
      <c r="AA6931" t="s">
        <v>43</v>
      </c>
      <c r="AB6931" t="s">
        <v>43</v>
      </c>
      <c r="AC6931" t="s">
        <v>43</v>
      </c>
      <c r="AD6931" t="s">
        <v>43</v>
      </c>
      <c r="AE6931" t="s">
        <v>43</v>
      </c>
      <c r="AF6931" t="s">
        <v>43</v>
      </c>
      <c r="AG6931" t="s">
        <v>43</v>
      </c>
      <c r="AH6931" t="s">
        <v>43</v>
      </c>
      <c r="AI6931" t="s">
        <v>43</v>
      </c>
      <c r="AJ6931" t="s">
        <v>43</v>
      </c>
      <c r="AK6931" t="s">
        <v>43</v>
      </c>
      <c r="AL6931" t="s">
        <v>43</v>
      </c>
      <c r="AM6931" t="s">
        <v>43</v>
      </c>
      <c r="AN6931" t="str">
        <f>HYPERLINK("https://www.google.com/maps?q=10.78966045,79.5787735","Open Location")</f>
        <v>Open Location</v>
      </c>
    </row>
    <row r="6932" spans="1:40" x14ac:dyDescent="0.3">
      <c r="A6932" s="1">
        <v>46210.19699074074</v>
      </c>
      <c r="B6932" t="s">
        <v>40</v>
      </c>
      <c r="C6932" t="s">
        <v>41</v>
      </c>
      <c r="D6932" s="1">
        <v>46210.199907407405</v>
      </c>
      <c r="E6932" t="s">
        <v>42</v>
      </c>
      <c r="F6932" t="s">
        <v>43</v>
      </c>
      <c r="G6932" t="s">
        <v>43</v>
      </c>
      <c r="H6932" t="s">
        <v>43</v>
      </c>
      <c r="I6932" t="s">
        <v>4038</v>
      </c>
      <c r="J6932" t="s">
        <v>43</v>
      </c>
      <c r="K6932" t="s">
        <v>43</v>
      </c>
      <c r="L6932" t="s">
        <v>43</v>
      </c>
      <c r="M6932" t="s">
        <v>43</v>
      </c>
      <c r="N6932" t="s">
        <v>45</v>
      </c>
      <c r="O6932" t="s">
        <v>43</v>
      </c>
      <c r="P6932" t="s">
        <v>43</v>
      </c>
      <c r="Q6932" t="s">
        <v>43</v>
      </c>
      <c r="R6932" t="s">
        <v>43</v>
      </c>
      <c r="S6932" t="s">
        <v>43</v>
      </c>
      <c r="T6932" t="s">
        <v>43</v>
      </c>
      <c r="U6932" t="s">
        <v>43</v>
      </c>
      <c r="V6932" t="s">
        <v>43</v>
      </c>
      <c r="W6932" t="s">
        <v>43</v>
      </c>
      <c r="X6932" t="s">
        <v>43</v>
      </c>
      <c r="Y6932" t="s">
        <v>43</v>
      </c>
      <c r="Z6932" t="s">
        <v>43</v>
      </c>
      <c r="AA6932" t="s">
        <v>43</v>
      </c>
      <c r="AB6932" t="s">
        <v>43</v>
      </c>
      <c r="AC6932" t="s">
        <v>43</v>
      </c>
      <c r="AD6932" t="s">
        <v>43</v>
      </c>
      <c r="AE6932" t="s">
        <v>43</v>
      </c>
      <c r="AF6932" t="s">
        <v>43</v>
      </c>
      <c r="AG6932" t="s">
        <v>43</v>
      </c>
      <c r="AH6932" t="s">
        <v>43</v>
      </c>
      <c r="AI6932" t="s">
        <v>43</v>
      </c>
      <c r="AJ6932" t="s">
        <v>43</v>
      </c>
      <c r="AK6932" t="s">
        <v>43</v>
      </c>
      <c r="AL6932" t="s">
        <v>43</v>
      </c>
      <c r="AM6932" t="s">
        <v>43</v>
      </c>
      <c r="AN6932" t="str">
        <f>HYPERLINK("https://www.google.com/maps?q=10.78966808,79.57876587","Open Location")</f>
        <v>Open Location</v>
      </c>
    </row>
    <row r="6933" spans="1:40" x14ac:dyDescent="0.3">
      <c r="A6933" s="1">
        <v>46210.196875000001</v>
      </c>
      <c r="B6933" t="s">
        <v>40</v>
      </c>
      <c r="C6933" t="s">
        <v>41</v>
      </c>
      <c r="D6933" s="1">
        <v>46210.199560185189</v>
      </c>
      <c r="E6933" t="s">
        <v>42</v>
      </c>
      <c r="F6933" t="s">
        <v>43</v>
      </c>
      <c r="G6933" t="s">
        <v>43</v>
      </c>
      <c r="H6933" t="s">
        <v>43</v>
      </c>
      <c r="I6933" t="s">
        <v>4025</v>
      </c>
      <c r="J6933" t="s">
        <v>43</v>
      </c>
      <c r="K6933" t="s">
        <v>43</v>
      </c>
      <c r="L6933" t="s">
        <v>43</v>
      </c>
      <c r="M6933" t="s">
        <v>43</v>
      </c>
      <c r="N6933" t="s">
        <v>45</v>
      </c>
      <c r="O6933" t="s">
        <v>43</v>
      </c>
      <c r="P6933" t="s">
        <v>43</v>
      </c>
      <c r="Q6933" t="s">
        <v>43</v>
      </c>
      <c r="R6933" t="s">
        <v>43</v>
      </c>
      <c r="S6933" t="s">
        <v>43</v>
      </c>
      <c r="T6933" t="s">
        <v>43</v>
      </c>
      <c r="U6933" t="s">
        <v>43</v>
      </c>
      <c r="V6933" t="s">
        <v>43</v>
      </c>
      <c r="W6933" t="s">
        <v>43</v>
      </c>
      <c r="X6933" t="s">
        <v>43</v>
      </c>
      <c r="Y6933" t="s">
        <v>43</v>
      </c>
      <c r="Z6933" t="s">
        <v>43</v>
      </c>
      <c r="AA6933" t="s">
        <v>43</v>
      </c>
      <c r="AB6933" t="s">
        <v>43</v>
      </c>
      <c r="AC6933" t="s">
        <v>43</v>
      </c>
      <c r="AD6933" t="s">
        <v>43</v>
      </c>
      <c r="AE6933" t="s">
        <v>43</v>
      </c>
      <c r="AF6933" t="s">
        <v>43</v>
      </c>
      <c r="AG6933" t="s">
        <v>43</v>
      </c>
      <c r="AH6933" t="s">
        <v>43</v>
      </c>
      <c r="AI6933" t="s">
        <v>43</v>
      </c>
      <c r="AJ6933" t="s">
        <v>43</v>
      </c>
      <c r="AK6933" t="s">
        <v>43</v>
      </c>
      <c r="AL6933" t="s">
        <v>43</v>
      </c>
      <c r="AM6933" t="s">
        <v>43</v>
      </c>
      <c r="AN6933" t="str">
        <f>HYPERLINK("https://www.google.com/maps?q=10.78966713,79.5787735","Open Location")</f>
        <v>Open Location</v>
      </c>
    </row>
    <row r="6934" spans="1:40" x14ac:dyDescent="0.3">
      <c r="A6934" s="1">
        <v>46210.196759259263</v>
      </c>
      <c r="B6934" t="s">
        <v>40</v>
      </c>
      <c r="C6934" t="s">
        <v>41</v>
      </c>
      <c r="D6934" s="1">
        <v>46210.199780092589</v>
      </c>
      <c r="E6934" t="s">
        <v>42</v>
      </c>
      <c r="F6934" t="s">
        <v>43</v>
      </c>
      <c r="G6934" t="s">
        <v>43</v>
      </c>
      <c r="H6934" t="s">
        <v>43</v>
      </c>
      <c r="I6934" t="s">
        <v>43</v>
      </c>
      <c r="J6934" t="s">
        <v>43</v>
      </c>
      <c r="K6934" t="s">
        <v>43</v>
      </c>
      <c r="L6934" t="s">
        <v>43</v>
      </c>
      <c r="M6934" t="s">
        <v>43</v>
      </c>
      <c r="N6934" t="s">
        <v>45</v>
      </c>
      <c r="O6934" t="s">
        <v>43</v>
      </c>
      <c r="P6934" t="s">
        <v>43</v>
      </c>
      <c r="Q6934" t="s">
        <v>43</v>
      </c>
      <c r="R6934" t="s">
        <v>43</v>
      </c>
      <c r="S6934" t="s">
        <v>43</v>
      </c>
      <c r="T6934" t="s">
        <v>43</v>
      </c>
      <c r="U6934" t="s">
        <v>43</v>
      </c>
      <c r="V6934" t="s">
        <v>43</v>
      </c>
      <c r="W6934" t="s">
        <v>43</v>
      </c>
      <c r="X6934" t="s">
        <v>43</v>
      </c>
      <c r="Y6934" t="s">
        <v>43</v>
      </c>
      <c r="Z6934" t="s">
        <v>43</v>
      </c>
      <c r="AA6934" t="s">
        <v>43</v>
      </c>
      <c r="AB6934" t="s">
        <v>43</v>
      </c>
      <c r="AC6934" t="s">
        <v>43</v>
      </c>
      <c r="AD6934" t="s">
        <v>43</v>
      </c>
      <c r="AE6934" t="s">
        <v>43</v>
      </c>
      <c r="AF6934" t="s">
        <v>43</v>
      </c>
      <c r="AG6934" t="s">
        <v>43</v>
      </c>
      <c r="AH6934" t="s">
        <v>43</v>
      </c>
      <c r="AI6934" t="s">
        <v>43</v>
      </c>
      <c r="AJ6934" t="s">
        <v>43</v>
      </c>
      <c r="AK6934" t="s">
        <v>43</v>
      </c>
      <c r="AL6934" t="s">
        <v>43</v>
      </c>
      <c r="AM6934" t="s">
        <v>43</v>
      </c>
      <c r="AN6934" t="s">
        <v>43</v>
      </c>
    </row>
    <row r="6935" spans="1:40" x14ac:dyDescent="0.3">
      <c r="A6935" s="1">
        <v>46210.196643518517</v>
      </c>
      <c r="B6935" t="s">
        <v>40</v>
      </c>
      <c r="C6935" t="s">
        <v>41</v>
      </c>
      <c r="D6935" s="1">
        <v>46210.199467592596</v>
      </c>
      <c r="E6935" t="s">
        <v>42</v>
      </c>
      <c r="F6935" t="s">
        <v>43</v>
      </c>
      <c r="G6935" t="s">
        <v>43</v>
      </c>
      <c r="H6935" t="s">
        <v>43</v>
      </c>
      <c r="I6935" t="s">
        <v>4039</v>
      </c>
      <c r="J6935" t="s">
        <v>43</v>
      </c>
      <c r="K6935" t="s">
        <v>43</v>
      </c>
      <c r="L6935" t="s">
        <v>43</v>
      </c>
      <c r="M6935" t="s">
        <v>43</v>
      </c>
      <c r="N6935" t="s">
        <v>45</v>
      </c>
      <c r="O6935" t="s">
        <v>43</v>
      </c>
      <c r="P6935" t="s">
        <v>43</v>
      </c>
      <c r="Q6935" t="s">
        <v>43</v>
      </c>
      <c r="R6935" t="s">
        <v>43</v>
      </c>
      <c r="S6935" t="s">
        <v>43</v>
      </c>
      <c r="T6935" t="s">
        <v>43</v>
      </c>
      <c r="U6935" t="s">
        <v>43</v>
      </c>
      <c r="V6935" t="s">
        <v>43</v>
      </c>
      <c r="W6935" t="s">
        <v>43</v>
      </c>
      <c r="X6935" t="s">
        <v>43</v>
      </c>
      <c r="Y6935" t="s">
        <v>43</v>
      </c>
      <c r="Z6935" t="s">
        <v>43</v>
      </c>
      <c r="AA6935" t="s">
        <v>43</v>
      </c>
      <c r="AB6935" t="s">
        <v>43</v>
      </c>
      <c r="AC6935" t="s">
        <v>43</v>
      </c>
      <c r="AD6935" t="s">
        <v>43</v>
      </c>
      <c r="AE6935" t="s">
        <v>43</v>
      </c>
      <c r="AF6935" t="s">
        <v>43</v>
      </c>
      <c r="AG6935" t="s">
        <v>43</v>
      </c>
      <c r="AH6935" t="s">
        <v>43</v>
      </c>
      <c r="AI6935" t="s">
        <v>43</v>
      </c>
      <c r="AJ6935" t="s">
        <v>43</v>
      </c>
      <c r="AK6935" t="s">
        <v>43</v>
      </c>
      <c r="AL6935" t="s">
        <v>43</v>
      </c>
      <c r="AM6935" t="s">
        <v>43</v>
      </c>
      <c r="AN6935" t="str">
        <f>HYPERLINK("https://www.google.com/maps?q=10.78966713,79.57876587","Open Location")</f>
        <v>Open Location</v>
      </c>
    </row>
    <row r="6936" spans="1:40" x14ac:dyDescent="0.3">
      <c r="A6936" s="1">
        <v>46210.196527777778</v>
      </c>
      <c r="B6936" t="s">
        <v>40</v>
      </c>
      <c r="C6936" t="s">
        <v>41</v>
      </c>
      <c r="D6936" s="1">
        <v>46210.199548611112</v>
      </c>
      <c r="E6936" t="s">
        <v>42</v>
      </c>
      <c r="F6936" t="s">
        <v>43</v>
      </c>
      <c r="G6936" t="s">
        <v>43</v>
      </c>
      <c r="H6936" t="s">
        <v>43</v>
      </c>
      <c r="I6936" t="s">
        <v>4040</v>
      </c>
      <c r="J6936" t="s">
        <v>43</v>
      </c>
      <c r="K6936" t="s">
        <v>43</v>
      </c>
      <c r="L6936" t="s">
        <v>43</v>
      </c>
      <c r="M6936" t="s">
        <v>43</v>
      </c>
      <c r="N6936" t="s">
        <v>45</v>
      </c>
      <c r="O6936" t="s">
        <v>43</v>
      </c>
      <c r="P6936" t="s">
        <v>43</v>
      </c>
      <c r="Q6936" t="s">
        <v>43</v>
      </c>
      <c r="R6936" t="s">
        <v>43</v>
      </c>
      <c r="S6936" t="s">
        <v>43</v>
      </c>
      <c r="T6936" t="s">
        <v>43</v>
      </c>
      <c r="U6936" t="s">
        <v>43</v>
      </c>
      <c r="V6936" t="s">
        <v>43</v>
      </c>
      <c r="W6936" t="s">
        <v>43</v>
      </c>
      <c r="X6936" t="s">
        <v>43</v>
      </c>
      <c r="Y6936" t="s">
        <v>43</v>
      </c>
      <c r="Z6936" t="s">
        <v>43</v>
      </c>
      <c r="AA6936" t="s">
        <v>43</v>
      </c>
      <c r="AB6936" t="s">
        <v>43</v>
      </c>
      <c r="AC6936" t="s">
        <v>43</v>
      </c>
      <c r="AD6936" t="s">
        <v>43</v>
      </c>
      <c r="AE6936" t="s">
        <v>43</v>
      </c>
      <c r="AF6936" t="s">
        <v>43</v>
      </c>
      <c r="AG6936" t="s">
        <v>43</v>
      </c>
      <c r="AH6936" t="s">
        <v>43</v>
      </c>
      <c r="AI6936" t="s">
        <v>43</v>
      </c>
      <c r="AJ6936" t="s">
        <v>43</v>
      </c>
      <c r="AK6936" t="s">
        <v>43</v>
      </c>
      <c r="AL6936" t="s">
        <v>43</v>
      </c>
      <c r="AM6936" t="s">
        <v>43</v>
      </c>
      <c r="AN6936" t="str">
        <f>HYPERLINK("https://www.google.com/maps?q=10.78966618,79.5787735","Open Location")</f>
        <v>Open Location</v>
      </c>
    </row>
    <row r="6937" spans="1:40" x14ac:dyDescent="0.3">
      <c r="A6937" s="1">
        <v>46210.196412037039</v>
      </c>
      <c r="B6937" t="s">
        <v>40</v>
      </c>
      <c r="C6937" t="s">
        <v>41</v>
      </c>
      <c r="D6937" s="1">
        <v>46210.199363425927</v>
      </c>
      <c r="E6937" t="s">
        <v>42</v>
      </c>
      <c r="F6937" t="s">
        <v>43</v>
      </c>
      <c r="G6937" t="s">
        <v>43</v>
      </c>
      <c r="H6937" t="s">
        <v>43</v>
      </c>
      <c r="I6937" t="s">
        <v>3995</v>
      </c>
      <c r="J6937" t="s">
        <v>43</v>
      </c>
      <c r="K6937" t="s">
        <v>43</v>
      </c>
      <c r="L6937" t="s">
        <v>43</v>
      </c>
      <c r="M6937" t="s">
        <v>43</v>
      </c>
      <c r="N6937" t="s">
        <v>45</v>
      </c>
      <c r="O6937" t="s">
        <v>43</v>
      </c>
      <c r="P6937" t="s">
        <v>43</v>
      </c>
      <c r="Q6937" t="s">
        <v>43</v>
      </c>
      <c r="R6937" t="s">
        <v>43</v>
      </c>
      <c r="S6937" t="s">
        <v>43</v>
      </c>
      <c r="T6937" t="s">
        <v>43</v>
      </c>
      <c r="U6937" t="s">
        <v>43</v>
      </c>
      <c r="V6937" t="s">
        <v>43</v>
      </c>
      <c r="W6937" t="s">
        <v>43</v>
      </c>
      <c r="X6937" t="s">
        <v>43</v>
      </c>
      <c r="Y6937" t="s">
        <v>43</v>
      </c>
      <c r="Z6937" t="s">
        <v>43</v>
      </c>
      <c r="AA6937" t="s">
        <v>43</v>
      </c>
      <c r="AB6937" t="s">
        <v>43</v>
      </c>
      <c r="AC6937" t="s">
        <v>43</v>
      </c>
      <c r="AD6937" t="s">
        <v>43</v>
      </c>
      <c r="AE6937" t="s">
        <v>43</v>
      </c>
      <c r="AF6937" t="s">
        <v>43</v>
      </c>
      <c r="AG6937" t="s">
        <v>43</v>
      </c>
      <c r="AH6937" t="s">
        <v>43</v>
      </c>
      <c r="AI6937" t="s">
        <v>43</v>
      </c>
      <c r="AJ6937" t="s">
        <v>43</v>
      </c>
      <c r="AK6937" t="s">
        <v>43</v>
      </c>
      <c r="AL6937" t="s">
        <v>43</v>
      </c>
      <c r="AM6937" t="s">
        <v>43</v>
      </c>
      <c r="AN6937" t="str">
        <f>HYPERLINK("https://www.google.com/maps?q=10.78966427,79.5787735","Open Location")</f>
        <v>Open Location</v>
      </c>
    </row>
    <row r="6938" spans="1:40" x14ac:dyDescent="0.3">
      <c r="A6938" s="1">
        <v>46210.196296296293</v>
      </c>
      <c r="B6938" t="s">
        <v>40</v>
      </c>
      <c r="C6938" t="s">
        <v>41</v>
      </c>
      <c r="D6938" s="1">
        <v>46210.199363425927</v>
      </c>
      <c r="E6938" t="s">
        <v>42</v>
      </c>
      <c r="F6938" t="s">
        <v>43</v>
      </c>
      <c r="G6938" t="s">
        <v>43</v>
      </c>
      <c r="H6938" t="s">
        <v>43</v>
      </c>
      <c r="I6938" t="s">
        <v>4041</v>
      </c>
      <c r="J6938" t="s">
        <v>43</v>
      </c>
      <c r="K6938" t="s">
        <v>43</v>
      </c>
      <c r="L6938" t="s">
        <v>43</v>
      </c>
      <c r="M6938" t="s">
        <v>43</v>
      </c>
      <c r="N6938" t="s">
        <v>45</v>
      </c>
      <c r="O6938" t="s">
        <v>43</v>
      </c>
      <c r="P6938" t="s">
        <v>43</v>
      </c>
      <c r="Q6938" t="s">
        <v>43</v>
      </c>
      <c r="R6938" t="s">
        <v>43</v>
      </c>
      <c r="S6938" t="s">
        <v>43</v>
      </c>
      <c r="T6938" t="s">
        <v>43</v>
      </c>
      <c r="U6938" t="s">
        <v>43</v>
      </c>
      <c r="V6938" t="s">
        <v>43</v>
      </c>
      <c r="W6938" t="s">
        <v>43</v>
      </c>
      <c r="X6938" t="s">
        <v>43</v>
      </c>
      <c r="Y6938" t="s">
        <v>43</v>
      </c>
      <c r="Z6938" t="s">
        <v>43</v>
      </c>
      <c r="AA6938" t="s">
        <v>43</v>
      </c>
      <c r="AB6938" t="s">
        <v>43</v>
      </c>
      <c r="AC6938" t="s">
        <v>43</v>
      </c>
      <c r="AD6938" t="s">
        <v>43</v>
      </c>
      <c r="AE6938" t="s">
        <v>43</v>
      </c>
      <c r="AF6938" t="s">
        <v>43</v>
      </c>
      <c r="AG6938" t="s">
        <v>43</v>
      </c>
      <c r="AH6938" t="s">
        <v>43</v>
      </c>
      <c r="AI6938" t="s">
        <v>43</v>
      </c>
      <c r="AJ6938" t="s">
        <v>43</v>
      </c>
      <c r="AK6938" t="s">
        <v>43</v>
      </c>
      <c r="AL6938" t="s">
        <v>43</v>
      </c>
      <c r="AM6938" t="s">
        <v>43</v>
      </c>
      <c r="AN6938" t="str">
        <f>HYPERLINK("https://www.google.com/maps?q=10.78966427,79.57876587","Open Location")</f>
        <v>Open Location</v>
      </c>
    </row>
    <row r="6939" spans="1:40" x14ac:dyDescent="0.3">
      <c r="A6939" s="1">
        <v>46210.196180555555</v>
      </c>
      <c r="B6939" t="s">
        <v>40</v>
      </c>
      <c r="C6939" t="s">
        <v>41</v>
      </c>
      <c r="D6939" s="1">
        <v>46210.199062500003</v>
      </c>
      <c r="E6939" t="s">
        <v>42</v>
      </c>
      <c r="F6939" t="s">
        <v>43</v>
      </c>
      <c r="G6939" t="s">
        <v>43</v>
      </c>
      <c r="H6939" t="s">
        <v>43</v>
      </c>
      <c r="I6939" t="s">
        <v>4041</v>
      </c>
      <c r="J6939" t="s">
        <v>43</v>
      </c>
      <c r="K6939" t="s">
        <v>43</v>
      </c>
      <c r="L6939" t="s">
        <v>43</v>
      </c>
      <c r="M6939" t="s">
        <v>43</v>
      </c>
      <c r="N6939" t="s">
        <v>45</v>
      </c>
      <c r="O6939" t="s">
        <v>43</v>
      </c>
      <c r="P6939" t="s">
        <v>43</v>
      </c>
      <c r="Q6939" t="s">
        <v>43</v>
      </c>
      <c r="R6939" t="s">
        <v>43</v>
      </c>
      <c r="S6939" t="s">
        <v>43</v>
      </c>
      <c r="T6939" t="s">
        <v>43</v>
      </c>
      <c r="U6939" t="s">
        <v>43</v>
      </c>
      <c r="V6939" t="s">
        <v>43</v>
      </c>
      <c r="W6939" t="s">
        <v>43</v>
      </c>
      <c r="X6939" t="s">
        <v>43</v>
      </c>
      <c r="Y6939" t="s">
        <v>43</v>
      </c>
      <c r="Z6939" t="s">
        <v>43</v>
      </c>
      <c r="AA6939" t="s">
        <v>43</v>
      </c>
      <c r="AB6939" t="s">
        <v>43</v>
      </c>
      <c r="AC6939" t="s">
        <v>43</v>
      </c>
      <c r="AD6939" t="s">
        <v>43</v>
      </c>
      <c r="AE6939" t="s">
        <v>43</v>
      </c>
      <c r="AF6939" t="s">
        <v>43</v>
      </c>
      <c r="AG6939" t="s">
        <v>43</v>
      </c>
      <c r="AH6939" t="s">
        <v>43</v>
      </c>
      <c r="AI6939" t="s">
        <v>43</v>
      </c>
      <c r="AJ6939" t="s">
        <v>43</v>
      </c>
      <c r="AK6939" t="s">
        <v>43</v>
      </c>
      <c r="AL6939" t="s">
        <v>43</v>
      </c>
      <c r="AM6939" t="s">
        <v>43</v>
      </c>
      <c r="AN6939" t="str">
        <f>HYPERLINK("https://www.google.com/maps?q=10.78966427,79.57876587","Open Location")</f>
        <v>Open Location</v>
      </c>
    </row>
    <row r="6940" spans="1:40" x14ac:dyDescent="0.3">
      <c r="A6940" s="1">
        <v>46210.196064814816</v>
      </c>
      <c r="B6940" t="s">
        <v>40</v>
      </c>
      <c r="C6940" t="s">
        <v>41</v>
      </c>
      <c r="D6940" s="1">
        <v>46210.19902777778</v>
      </c>
      <c r="E6940" t="s">
        <v>42</v>
      </c>
      <c r="F6940" t="s">
        <v>43</v>
      </c>
      <c r="G6940" t="s">
        <v>43</v>
      </c>
      <c r="H6940" t="s">
        <v>43</v>
      </c>
      <c r="I6940" t="s">
        <v>43</v>
      </c>
      <c r="J6940" t="s">
        <v>43</v>
      </c>
      <c r="K6940" t="s">
        <v>43</v>
      </c>
      <c r="L6940" t="s">
        <v>43</v>
      </c>
      <c r="M6940" t="s">
        <v>43</v>
      </c>
      <c r="N6940" t="s">
        <v>45</v>
      </c>
      <c r="O6940" t="s">
        <v>43</v>
      </c>
      <c r="P6940" t="s">
        <v>43</v>
      </c>
      <c r="Q6940" t="s">
        <v>43</v>
      </c>
      <c r="R6940" t="s">
        <v>43</v>
      </c>
      <c r="S6940" t="s">
        <v>43</v>
      </c>
      <c r="T6940" t="s">
        <v>43</v>
      </c>
      <c r="U6940" t="s">
        <v>43</v>
      </c>
      <c r="V6940" t="s">
        <v>43</v>
      </c>
      <c r="W6940" t="s">
        <v>43</v>
      </c>
      <c r="X6940" t="s">
        <v>43</v>
      </c>
      <c r="Y6940" t="s">
        <v>43</v>
      </c>
      <c r="Z6940" t="s">
        <v>43</v>
      </c>
      <c r="AA6940" t="s">
        <v>43</v>
      </c>
      <c r="AB6940" t="s">
        <v>43</v>
      </c>
      <c r="AC6940" t="s">
        <v>43</v>
      </c>
      <c r="AD6940" t="s">
        <v>43</v>
      </c>
      <c r="AE6940" t="s">
        <v>43</v>
      </c>
      <c r="AF6940" t="s">
        <v>43</v>
      </c>
      <c r="AG6940" t="s">
        <v>43</v>
      </c>
      <c r="AH6940" t="s">
        <v>43</v>
      </c>
      <c r="AI6940" t="s">
        <v>43</v>
      </c>
      <c r="AJ6940" t="s">
        <v>43</v>
      </c>
      <c r="AK6940" t="s">
        <v>43</v>
      </c>
      <c r="AL6940" t="s">
        <v>43</v>
      </c>
      <c r="AM6940" t="s">
        <v>43</v>
      </c>
      <c r="AN6940" t="s">
        <v>43</v>
      </c>
    </row>
    <row r="6941" spans="1:40" x14ac:dyDescent="0.3">
      <c r="A6941" s="1">
        <v>46210.195949074077</v>
      </c>
      <c r="B6941" t="s">
        <v>40</v>
      </c>
      <c r="C6941" t="s">
        <v>41</v>
      </c>
      <c r="D6941" s="1">
        <v>46210.198750000003</v>
      </c>
      <c r="E6941" t="s">
        <v>42</v>
      </c>
      <c r="F6941" t="s">
        <v>43</v>
      </c>
      <c r="G6941" t="s">
        <v>43</v>
      </c>
      <c r="H6941" t="s">
        <v>43</v>
      </c>
      <c r="I6941" t="s">
        <v>4042</v>
      </c>
      <c r="J6941" t="s">
        <v>43</v>
      </c>
      <c r="K6941" t="s">
        <v>43</v>
      </c>
      <c r="L6941" t="s">
        <v>43</v>
      </c>
      <c r="M6941" t="s">
        <v>43</v>
      </c>
      <c r="N6941" t="s">
        <v>45</v>
      </c>
      <c r="O6941" t="s">
        <v>43</v>
      </c>
      <c r="P6941" t="s">
        <v>43</v>
      </c>
      <c r="Q6941" t="s">
        <v>43</v>
      </c>
      <c r="R6941" t="s">
        <v>43</v>
      </c>
      <c r="S6941" t="s">
        <v>43</v>
      </c>
      <c r="T6941" t="s">
        <v>43</v>
      </c>
      <c r="U6941" t="s">
        <v>43</v>
      </c>
      <c r="V6941" t="s">
        <v>43</v>
      </c>
      <c r="W6941" t="s">
        <v>43</v>
      </c>
      <c r="X6941" t="s">
        <v>43</v>
      </c>
      <c r="Y6941" t="s">
        <v>43</v>
      </c>
      <c r="Z6941" t="s">
        <v>43</v>
      </c>
      <c r="AA6941" t="s">
        <v>43</v>
      </c>
      <c r="AB6941" t="s">
        <v>43</v>
      </c>
      <c r="AC6941" t="s">
        <v>43</v>
      </c>
      <c r="AD6941" t="s">
        <v>43</v>
      </c>
      <c r="AE6941" t="s">
        <v>43</v>
      </c>
      <c r="AF6941" t="s">
        <v>43</v>
      </c>
      <c r="AG6941" t="s">
        <v>43</v>
      </c>
      <c r="AH6941" t="s">
        <v>43</v>
      </c>
      <c r="AI6941" t="s">
        <v>43</v>
      </c>
      <c r="AJ6941" t="s">
        <v>43</v>
      </c>
      <c r="AK6941" t="s">
        <v>43</v>
      </c>
      <c r="AL6941" t="s">
        <v>43</v>
      </c>
      <c r="AM6941" t="s">
        <v>43</v>
      </c>
      <c r="AN6941" t="str">
        <f>HYPERLINK("https://www.google.com/maps?q=10.78966141,79.57876587","Open Location")</f>
        <v>Open Location</v>
      </c>
    </row>
    <row r="6942" spans="1:40" x14ac:dyDescent="0.3">
      <c r="A6942" s="1">
        <v>46210.195833333331</v>
      </c>
      <c r="B6942" t="s">
        <v>40</v>
      </c>
      <c r="C6942" t="s">
        <v>41</v>
      </c>
      <c r="D6942" s="1">
        <v>46210.198680555557</v>
      </c>
      <c r="E6942" t="s">
        <v>42</v>
      </c>
      <c r="F6942" t="s">
        <v>43</v>
      </c>
      <c r="G6942" t="s">
        <v>43</v>
      </c>
      <c r="H6942" t="s">
        <v>43</v>
      </c>
      <c r="I6942" t="s">
        <v>4043</v>
      </c>
      <c r="J6942" t="s">
        <v>43</v>
      </c>
      <c r="K6942" t="s">
        <v>43</v>
      </c>
      <c r="L6942" t="s">
        <v>43</v>
      </c>
      <c r="M6942" t="s">
        <v>43</v>
      </c>
      <c r="N6942" t="s">
        <v>45</v>
      </c>
      <c r="O6942" t="s">
        <v>43</v>
      </c>
      <c r="P6942" t="s">
        <v>43</v>
      </c>
      <c r="Q6942" t="s">
        <v>43</v>
      </c>
      <c r="R6942" t="s">
        <v>43</v>
      </c>
      <c r="S6942" t="s">
        <v>43</v>
      </c>
      <c r="T6942" t="s">
        <v>43</v>
      </c>
      <c r="U6942" t="s">
        <v>43</v>
      </c>
      <c r="V6942" t="s">
        <v>43</v>
      </c>
      <c r="W6942" t="s">
        <v>43</v>
      </c>
      <c r="X6942" t="s">
        <v>43</v>
      </c>
      <c r="Y6942" t="s">
        <v>43</v>
      </c>
      <c r="Z6942" t="s">
        <v>43</v>
      </c>
      <c r="AA6942" t="s">
        <v>43</v>
      </c>
      <c r="AB6942" t="s">
        <v>43</v>
      </c>
      <c r="AC6942" t="s">
        <v>43</v>
      </c>
      <c r="AD6942" t="s">
        <v>43</v>
      </c>
      <c r="AE6942" t="s">
        <v>43</v>
      </c>
      <c r="AF6942" t="s">
        <v>43</v>
      </c>
      <c r="AG6942" t="s">
        <v>43</v>
      </c>
      <c r="AH6942" t="s">
        <v>43</v>
      </c>
      <c r="AI6942" t="s">
        <v>43</v>
      </c>
      <c r="AJ6942" t="s">
        <v>43</v>
      </c>
      <c r="AK6942" t="s">
        <v>43</v>
      </c>
      <c r="AL6942" t="s">
        <v>43</v>
      </c>
      <c r="AM6942" t="s">
        <v>43</v>
      </c>
      <c r="AN6942" t="str">
        <f>HYPERLINK("https://www.google.com/maps?q=10.78965855,79.57876587","Open Location")</f>
        <v>Open Location</v>
      </c>
    </row>
    <row r="6943" spans="1:40" x14ac:dyDescent="0.3">
      <c r="A6943" s="1">
        <v>46210.195717592593</v>
      </c>
      <c r="B6943" t="s">
        <v>40</v>
      </c>
      <c r="C6943" t="s">
        <v>41</v>
      </c>
      <c r="D6943" s="1">
        <v>46210.19840277778</v>
      </c>
      <c r="E6943" t="s">
        <v>42</v>
      </c>
      <c r="F6943" t="s">
        <v>43</v>
      </c>
      <c r="G6943" t="s">
        <v>43</v>
      </c>
      <c r="H6943" t="s">
        <v>43</v>
      </c>
      <c r="I6943" t="s">
        <v>4043</v>
      </c>
      <c r="J6943" t="s">
        <v>43</v>
      </c>
      <c r="K6943" t="s">
        <v>43</v>
      </c>
      <c r="L6943" t="s">
        <v>43</v>
      </c>
      <c r="M6943" t="s">
        <v>43</v>
      </c>
      <c r="N6943" t="s">
        <v>45</v>
      </c>
      <c r="O6943" t="s">
        <v>43</v>
      </c>
      <c r="P6943" t="s">
        <v>43</v>
      </c>
      <c r="Q6943" t="s">
        <v>43</v>
      </c>
      <c r="R6943" t="s">
        <v>43</v>
      </c>
      <c r="S6943" t="s">
        <v>43</v>
      </c>
      <c r="T6943" t="s">
        <v>43</v>
      </c>
      <c r="U6943" t="s">
        <v>43</v>
      </c>
      <c r="V6943" t="s">
        <v>43</v>
      </c>
      <c r="W6943" t="s">
        <v>43</v>
      </c>
      <c r="X6943" t="s">
        <v>43</v>
      </c>
      <c r="Y6943" t="s">
        <v>43</v>
      </c>
      <c r="Z6943" t="s">
        <v>43</v>
      </c>
      <c r="AA6943" t="s">
        <v>43</v>
      </c>
      <c r="AB6943" t="s">
        <v>43</v>
      </c>
      <c r="AC6943" t="s">
        <v>43</v>
      </c>
      <c r="AD6943" t="s">
        <v>43</v>
      </c>
      <c r="AE6943" t="s">
        <v>43</v>
      </c>
      <c r="AF6943" t="s">
        <v>43</v>
      </c>
      <c r="AG6943" t="s">
        <v>43</v>
      </c>
      <c r="AH6943" t="s">
        <v>43</v>
      </c>
      <c r="AI6943" t="s">
        <v>43</v>
      </c>
      <c r="AJ6943" t="s">
        <v>43</v>
      </c>
      <c r="AK6943" t="s">
        <v>43</v>
      </c>
      <c r="AL6943" t="s">
        <v>43</v>
      </c>
      <c r="AM6943" t="s">
        <v>43</v>
      </c>
      <c r="AN6943" t="str">
        <f>HYPERLINK("https://www.google.com/maps?q=10.78965855,79.57876587","Open Location")</f>
        <v>Open Location</v>
      </c>
    </row>
    <row r="6944" spans="1:40" x14ac:dyDescent="0.3">
      <c r="A6944" s="1">
        <v>46210.195601851854</v>
      </c>
      <c r="B6944" t="s">
        <v>40</v>
      </c>
      <c r="C6944" t="s">
        <v>41</v>
      </c>
      <c r="D6944" s="1">
        <v>46210.198368055557</v>
      </c>
      <c r="E6944" t="s">
        <v>42</v>
      </c>
      <c r="F6944" t="s">
        <v>43</v>
      </c>
      <c r="G6944" t="s">
        <v>43</v>
      </c>
      <c r="H6944" t="s">
        <v>43</v>
      </c>
      <c r="I6944" t="s">
        <v>4044</v>
      </c>
      <c r="J6944" t="s">
        <v>43</v>
      </c>
      <c r="K6944" t="s">
        <v>43</v>
      </c>
      <c r="L6944" t="s">
        <v>43</v>
      </c>
      <c r="M6944" t="s">
        <v>43</v>
      </c>
      <c r="N6944" t="s">
        <v>45</v>
      </c>
      <c r="O6944" t="s">
        <v>43</v>
      </c>
      <c r="P6944" t="s">
        <v>43</v>
      </c>
      <c r="Q6944" t="s">
        <v>43</v>
      </c>
      <c r="R6944" t="s">
        <v>43</v>
      </c>
      <c r="S6944" t="s">
        <v>43</v>
      </c>
      <c r="T6944" t="s">
        <v>43</v>
      </c>
      <c r="U6944" t="s">
        <v>43</v>
      </c>
      <c r="V6944" t="s">
        <v>43</v>
      </c>
      <c r="W6944" t="s">
        <v>43</v>
      </c>
      <c r="X6944" t="s">
        <v>43</v>
      </c>
      <c r="Y6944" t="s">
        <v>43</v>
      </c>
      <c r="Z6944" t="s">
        <v>43</v>
      </c>
      <c r="AA6944" t="s">
        <v>43</v>
      </c>
      <c r="AB6944" t="s">
        <v>43</v>
      </c>
      <c r="AC6944" t="s">
        <v>43</v>
      </c>
      <c r="AD6944" t="s">
        <v>43</v>
      </c>
      <c r="AE6944" t="s">
        <v>43</v>
      </c>
      <c r="AF6944" t="s">
        <v>43</v>
      </c>
      <c r="AG6944" t="s">
        <v>43</v>
      </c>
      <c r="AH6944" t="s">
        <v>43</v>
      </c>
      <c r="AI6944" t="s">
        <v>43</v>
      </c>
      <c r="AJ6944" t="s">
        <v>43</v>
      </c>
      <c r="AK6944" t="s">
        <v>43</v>
      </c>
      <c r="AL6944" t="s">
        <v>43</v>
      </c>
      <c r="AM6944" t="s">
        <v>43</v>
      </c>
      <c r="AN6944" t="str">
        <f>HYPERLINK("https://www.google.com/maps?q=10.78966618,79.57876587","Open Location")</f>
        <v>Open Location</v>
      </c>
    </row>
    <row r="6945" spans="1:40" x14ac:dyDescent="0.3">
      <c r="A6945" s="1">
        <v>46210.195486111108</v>
      </c>
      <c r="B6945" t="s">
        <v>40</v>
      </c>
      <c r="C6945" t="s">
        <v>41</v>
      </c>
      <c r="D6945" s="1">
        <v>46210.19840277778</v>
      </c>
      <c r="E6945" t="s">
        <v>42</v>
      </c>
      <c r="F6945" t="s">
        <v>43</v>
      </c>
      <c r="G6945" t="s">
        <v>43</v>
      </c>
      <c r="H6945" t="s">
        <v>43</v>
      </c>
      <c r="I6945" t="s">
        <v>4025</v>
      </c>
      <c r="J6945" t="s">
        <v>43</v>
      </c>
      <c r="K6945" t="s">
        <v>43</v>
      </c>
      <c r="L6945" t="s">
        <v>43</v>
      </c>
      <c r="M6945" t="s">
        <v>43</v>
      </c>
      <c r="N6945" t="s">
        <v>45</v>
      </c>
      <c r="O6945" t="s">
        <v>43</v>
      </c>
      <c r="P6945" t="s">
        <v>43</v>
      </c>
      <c r="Q6945" t="s">
        <v>43</v>
      </c>
      <c r="R6945" t="s">
        <v>43</v>
      </c>
      <c r="S6945" t="s">
        <v>43</v>
      </c>
      <c r="T6945" t="s">
        <v>43</v>
      </c>
      <c r="U6945" t="s">
        <v>43</v>
      </c>
      <c r="V6945" t="s">
        <v>43</v>
      </c>
      <c r="W6945" t="s">
        <v>43</v>
      </c>
      <c r="X6945" t="s">
        <v>43</v>
      </c>
      <c r="Y6945" t="s">
        <v>43</v>
      </c>
      <c r="Z6945" t="s">
        <v>43</v>
      </c>
      <c r="AA6945" t="s">
        <v>43</v>
      </c>
      <c r="AB6945" t="s">
        <v>43</v>
      </c>
      <c r="AC6945" t="s">
        <v>43</v>
      </c>
      <c r="AD6945" t="s">
        <v>43</v>
      </c>
      <c r="AE6945" t="s">
        <v>43</v>
      </c>
      <c r="AF6945" t="s">
        <v>43</v>
      </c>
      <c r="AG6945" t="s">
        <v>43</v>
      </c>
      <c r="AH6945" t="s">
        <v>43</v>
      </c>
      <c r="AI6945" t="s">
        <v>43</v>
      </c>
      <c r="AJ6945" t="s">
        <v>43</v>
      </c>
      <c r="AK6945" t="s">
        <v>43</v>
      </c>
      <c r="AL6945" t="s">
        <v>43</v>
      </c>
      <c r="AM6945" t="s">
        <v>43</v>
      </c>
      <c r="AN6945" t="str">
        <f>HYPERLINK("https://www.google.com/maps?q=10.78966713,79.5787735","Open Location")</f>
        <v>Open Location</v>
      </c>
    </row>
    <row r="6946" spans="1:40" x14ac:dyDescent="0.3">
      <c r="A6946" s="1">
        <v>46210.195370370369</v>
      </c>
      <c r="B6946" t="s">
        <v>40</v>
      </c>
      <c r="C6946" t="s">
        <v>41</v>
      </c>
      <c r="D6946" s="1">
        <v>46210.198287037034</v>
      </c>
      <c r="E6946" t="s">
        <v>42</v>
      </c>
      <c r="F6946" t="s">
        <v>43</v>
      </c>
      <c r="G6946" t="s">
        <v>43</v>
      </c>
      <c r="H6946" t="s">
        <v>43</v>
      </c>
      <c r="I6946" t="s">
        <v>43</v>
      </c>
      <c r="J6946" t="s">
        <v>43</v>
      </c>
      <c r="K6946" t="s">
        <v>43</v>
      </c>
      <c r="L6946" t="s">
        <v>43</v>
      </c>
      <c r="M6946" t="s">
        <v>43</v>
      </c>
      <c r="N6946" t="s">
        <v>45</v>
      </c>
      <c r="O6946" t="s">
        <v>43</v>
      </c>
      <c r="P6946" t="s">
        <v>43</v>
      </c>
      <c r="Q6946" t="s">
        <v>43</v>
      </c>
      <c r="R6946" t="s">
        <v>43</v>
      </c>
      <c r="S6946" t="s">
        <v>43</v>
      </c>
      <c r="T6946" t="s">
        <v>43</v>
      </c>
      <c r="U6946" t="s">
        <v>43</v>
      </c>
      <c r="V6946" t="s">
        <v>43</v>
      </c>
      <c r="W6946" t="s">
        <v>43</v>
      </c>
      <c r="X6946" t="s">
        <v>43</v>
      </c>
      <c r="Y6946" t="s">
        <v>43</v>
      </c>
      <c r="Z6946" t="s">
        <v>43</v>
      </c>
      <c r="AA6946" t="s">
        <v>43</v>
      </c>
      <c r="AB6946" t="s">
        <v>43</v>
      </c>
      <c r="AC6946" t="s">
        <v>43</v>
      </c>
      <c r="AD6946" t="s">
        <v>43</v>
      </c>
      <c r="AE6946" t="s">
        <v>43</v>
      </c>
      <c r="AF6946" t="s">
        <v>43</v>
      </c>
      <c r="AG6946" t="s">
        <v>43</v>
      </c>
      <c r="AH6946" t="s">
        <v>43</v>
      </c>
      <c r="AI6946" t="s">
        <v>43</v>
      </c>
      <c r="AJ6946" t="s">
        <v>43</v>
      </c>
      <c r="AK6946" t="s">
        <v>43</v>
      </c>
      <c r="AL6946" t="s">
        <v>43</v>
      </c>
      <c r="AM6946" t="s">
        <v>43</v>
      </c>
      <c r="AN6946" t="s">
        <v>43</v>
      </c>
    </row>
    <row r="6947" spans="1:40" x14ac:dyDescent="0.3">
      <c r="A6947" s="1">
        <v>46210.195254629631</v>
      </c>
      <c r="B6947" t="s">
        <v>40</v>
      </c>
      <c r="C6947" t="s">
        <v>41</v>
      </c>
      <c r="D6947" s="1">
        <v>46210.19809027778</v>
      </c>
      <c r="E6947" t="s">
        <v>42</v>
      </c>
      <c r="F6947" t="s">
        <v>43</v>
      </c>
      <c r="G6947" t="s">
        <v>43</v>
      </c>
      <c r="H6947" t="s">
        <v>43</v>
      </c>
      <c r="I6947" t="s">
        <v>4045</v>
      </c>
      <c r="J6947" t="s">
        <v>43</v>
      </c>
      <c r="K6947" t="s">
        <v>43</v>
      </c>
      <c r="L6947" t="s">
        <v>43</v>
      </c>
      <c r="M6947" t="s">
        <v>43</v>
      </c>
      <c r="N6947" t="s">
        <v>45</v>
      </c>
      <c r="O6947" t="s">
        <v>43</v>
      </c>
      <c r="P6947" t="s">
        <v>43</v>
      </c>
      <c r="Q6947" t="s">
        <v>43</v>
      </c>
      <c r="R6947" t="s">
        <v>43</v>
      </c>
      <c r="S6947" t="s">
        <v>43</v>
      </c>
      <c r="T6947" t="s">
        <v>43</v>
      </c>
      <c r="U6947" t="s">
        <v>43</v>
      </c>
      <c r="V6947" t="s">
        <v>43</v>
      </c>
      <c r="W6947" t="s">
        <v>43</v>
      </c>
      <c r="X6947" t="s">
        <v>43</v>
      </c>
      <c r="Y6947" t="s">
        <v>43</v>
      </c>
      <c r="Z6947" t="s">
        <v>43</v>
      </c>
      <c r="AA6947" t="s">
        <v>43</v>
      </c>
      <c r="AB6947" t="s">
        <v>43</v>
      </c>
      <c r="AC6947" t="s">
        <v>43</v>
      </c>
      <c r="AD6947" t="s">
        <v>43</v>
      </c>
      <c r="AE6947" t="s">
        <v>43</v>
      </c>
      <c r="AF6947" t="s">
        <v>43</v>
      </c>
      <c r="AG6947" t="s">
        <v>43</v>
      </c>
      <c r="AH6947" t="s">
        <v>43</v>
      </c>
      <c r="AI6947" t="s">
        <v>43</v>
      </c>
      <c r="AJ6947" t="s">
        <v>43</v>
      </c>
      <c r="AK6947" t="s">
        <v>43</v>
      </c>
      <c r="AL6947" t="s">
        <v>43</v>
      </c>
      <c r="AM6947" t="s">
        <v>43</v>
      </c>
      <c r="AN6947" t="str">
        <f>HYPERLINK("https://www.google.com/maps?q=10.78966904,79.57878876","Open Location")</f>
        <v>Open Location</v>
      </c>
    </row>
    <row r="6948" spans="1:40" x14ac:dyDescent="0.3">
      <c r="A6948" s="1">
        <v>46210.195138888892</v>
      </c>
      <c r="B6948" t="s">
        <v>40</v>
      </c>
      <c r="C6948" t="s">
        <v>41</v>
      </c>
      <c r="D6948" s="1">
        <v>46210.197916666664</v>
      </c>
      <c r="E6948" t="s">
        <v>42</v>
      </c>
      <c r="F6948" t="s">
        <v>43</v>
      </c>
      <c r="G6948" t="s">
        <v>43</v>
      </c>
      <c r="H6948" t="s">
        <v>43</v>
      </c>
      <c r="I6948" t="s">
        <v>4046</v>
      </c>
      <c r="J6948" t="s">
        <v>43</v>
      </c>
      <c r="K6948" t="s">
        <v>43</v>
      </c>
      <c r="L6948" t="s">
        <v>43</v>
      </c>
      <c r="M6948" t="s">
        <v>43</v>
      </c>
      <c r="N6948" t="s">
        <v>45</v>
      </c>
      <c r="O6948" t="s">
        <v>43</v>
      </c>
      <c r="P6948" t="s">
        <v>43</v>
      </c>
      <c r="Q6948" t="s">
        <v>43</v>
      </c>
      <c r="R6948" t="s">
        <v>43</v>
      </c>
      <c r="S6948" t="s">
        <v>43</v>
      </c>
      <c r="T6948" t="s">
        <v>43</v>
      </c>
      <c r="U6948" t="s">
        <v>43</v>
      </c>
      <c r="V6948" t="s">
        <v>43</v>
      </c>
      <c r="W6948" t="s">
        <v>43</v>
      </c>
      <c r="X6948" t="s">
        <v>43</v>
      </c>
      <c r="Y6948" t="s">
        <v>43</v>
      </c>
      <c r="Z6948" t="s">
        <v>43</v>
      </c>
      <c r="AA6948" t="s">
        <v>43</v>
      </c>
      <c r="AB6948" t="s">
        <v>43</v>
      </c>
      <c r="AC6948" t="s">
        <v>43</v>
      </c>
      <c r="AD6948" t="s">
        <v>43</v>
      </c>
      <c r="AE6948" t="s">
        <v>43</v>
      </c>
      <c r="AF6948" t="s">
        <v>43</v>
      </c>
      <c r="AG6948" t="s">
        <v>43</v>
      </c>
      <c r="AH6948" t="s">
        <v>43</v>
      </c>
      <c r="AI6948" t="s">
        <v>43</v>
      </c>
      <c r="AJ6948" t="s">
        <v>43</v>
      </c>
      <c r="AK6948" t="s">
        <v>43</v>
      </c>
      <c r="AL6948" t="s">
        <v>43</v>
      </c>
      <c r="AM6948" t="s">
        <v>43</v>
      </c>
      <c r="AN6948" t="str">
        <f>HYPERLINK("https://www.google.com/maps?q=10.78966713,79.57878876","Open Location")</f>
        <v>Open Location</v>
      </c>
    </row>
    <row r="6949" spans="1:40" x14ac:dyDescent="0.3">
      <c r="A6949" s="1">
        <v>46210.195023148146</v>
      </c>
      <c r="B6949" t="s">
        <v>40</v>
      </c>
      <c r="C6949" t="s">
        <v>41</v>
      </c>
      <c r="D6949" s="1">
        <v>46210.19767361111</v>
      </c>
      <c r="E6949" t="s">
        <v>42</v>
      </c>
      <c r="F6949" t="s">
        <v>43</v>
      </c>
      <c r="G6949" t="s">
        <v>43</v>
      </c>
      <c r="H6949" t="s">
        <v>43</v>
      </c>
      <c r="I6949" t="s">
        <v>4002</v>
      </c>
      <c r="J6949" t="s">
        <v>43</v>
      </c>
      <c r="K6949" t="s">
        <v>43</v>
      </c>
      <c r="L6949" t="s">
        <v>43</v>
      </c>
      <c r="M6949" t="s">
        <v>43</v>
      </c>
      <c r="N6949" t="s">
        <v>45</v>
      </c>
      <c r="O6949" t="s">
        <v>43</v>
      </c>
      <c r="P6949" t="s">
        <v>43</v>
      </c>
      <c r="Q6949" t="s">
        <v>43</v>
      </c>
      <c r="R6949" t="s">
        <v>43</v>
      </c>
      <c r="S6949" t="s">
        <v>43</v>
      </c>
      <c r="T6949" t="s">
        <v>43</v>
      </c>
      <c r="U6949" t="s">
        <v>43</v>
      </c>
      <c r="V6949" t="s">
        <v>43</v>
      </c>
      <c r="W6949" t="s">
        <v>43</v>
      </c>
      <c r="X6949" t="s">
        <v>43</v>
      </c>
      <c r="Y6949" t="s">
        <v>43</v>
      </c>
      <c r="Z6949" t="s">
        <v>43</v>
      </c>
      <c r="AA6949" t="s">
        <v>43</v>
      </c>
      <c r="AB6949" t="s">
        <v>43</v>
      </c>
      <c r="AC6949" t="s">
        <v>43</v>
      </c>
      <c r="AD6949" t="s">
        <v>43</v>
      </c>
      <c r="AE6949" t="s">
        <v>43</v>
      </c>
      <c r="AF6949" t="s">
        <v>43</v>
      </c>
      <c r="AG6949" t="s">
        <v>43</v>
      </c>
      <c r="AH6949" t="s">
        <v>43</v>
      </c>
      <c r="AI6949" t="s">
        <v>43</v>
      </c>
      <c r="AJ6949" t="s">
        <v>43</v>
      </c>
      <c r="AK6949" t="s">
        <v>43</v>
      </c>
      <c r="AL6949" t="s">
        <v>43</v>
      </c>
      <c r="AM6949" t="s">
        <v>43</v>
      </c>
      <c r="AN6949" t="str">
        <f>HYPERLINK("https://www.google.com/maps?q=10.78966522,79.57879639","Open Location")</f>
        <v>Open Location</v>
      </c>
    </row>
    <row r="6950" spans="1:40" x14ac:dyDescent="0.3">
      <c r="A6950" s="1">
        <v>46210.194907407407</v>
      </c>
      <c r="B6950" t="s">
        <v>40</v>
      </c>
      <c r="C6950" t="s">
        <v>41</v>
      </c>
      <c r="D6950" s="1">
        <v>46210.197731481479</v>
      </c>
      <c r="E6950" t="s">
        <v>42</v>
      </c>
      <c r="F6950" t="s">
        <v>43</v>
      </c>
      <c r="G6950" t="s">
        <v>43</v>
      </c>
      <c r="H6950" t="s">
        <v>43</v>
      </c>
      <c r="I6950" t="s">
        <v>4047</v>
      </c>
      <c r="J6950" t="s">
        <v>43</v>
      </c>
      <c r="K6950" t="s">
        <v>43</v>
      </c>
      <c r="L6950" t="s">
        <v>43</v>
      </c>
      <c r="M6950" t="s">
        <v>43</v>
      </c>
      <c r="N6950" t="s">
        <v>45</v>
      </c>
      <c r="O6950" t="s">
        <v>43</v>
      </c>
      <c r="P6950" t="s">
        <v>43</v>
      </c>
      <c r="Q6950" t="s">
        <v>43</v>
      </c>
      <c r="R6950" t="s">
        <v>43</v>
      </c>
      <c r="S6950" t="s">
        <v>43</v>
      </c>
      <c r="T6950" t="s">
        <v>43</v>
      </c>
      <c r="U6950" t="s">
        <v>43</v>
      </c>
      <c r="V6950" t="s">
        <v>43</v>
      </c>
      <c r="W6950" t="s">
        <v>43</v>
      </c>
      <c r="X6950" t="s">
        <v>43</v>
      </c>
      <c r="Y6950" t="s">
        <v>43</v>
      </c>
      <c r="Z6950" t="s">
        <v>43</v>
      </c>
      <c r="AA6950" t="s">
        <v>43</v>
      </c>
      <c r="AB6950" t="s">
        <v>43</v>
      </c>
      <c r="AC6950" t="s">
        <v>43</v>
      </c>
      <c r="AD6950" t="s">
        <v>43</v>
      </c>
      <c r="AE6950" t="s">
        <v>43</v>
      </c>
      <c r="AF6950" t="s">
        <v>43</v>
      </c>
      <c r="AG6950" t="s">
        <v>43</v>
      </c>
      <c r="AH6950" t="s">
        <v>43</v>
      </c>
      <c r="AI6950" t="s">
        <v>43</v>
      </c>
      <c r="AJ6950" t="s">
        <v>43</v>
      </c>
      <c r="AK6950" t="s">
        <v>43</v>
      </c>
      <c r="AL6950" t="s">
        <v>43</v>
      </c>
      <c r="AM6950" t="s">
        <v>43</v>
      </c>
      <c r="AN6950" t="str">
        <f>HYPERLINK("https://www.google.com/maps?q=10.78966045,79.57878876","Open Location")</f>
        <v>Open Location</v>
      </c>
    </row>
    <row r="6951" spans="1:40" x14ac:dyDescent="0.3">
      <c r="A6951" s="1">
        <v>46210.194791666669</v>
      </c>
      <c r="B6951" t="s">
        <v>40</v>
      </c>
      <c r="C6951" t="s">
        <v>41</v>
      </c>
      <c r="D6951" s="1">
        <v>46210.197650462964</v>
      </c>
      <c r="E6951" t="s">
        <v>42</v>
      </c>
      <c r="F6951" t="s">
        <v>43</v>
      </c>
      <c r="G6951" t="s">
        <v>43</v>
      </c>
      <c r="H6951" t="s">
        <v>43</v>
      </c>
      <c r="I6951" t="s">
        <v>43</v>
      </c>
      <c r="J6951" t="s">
        <v>43</v>
      </c>
      <c r="K6951" t="s">
        <v>43</v>
      </c>
      <c r="L6951" t="s">
        <v>43</v>
      </c>
      <c r="M6951" t="s">
        <v>43</v>
      </c>
      <c r="N6951" t="s">
        <v>45</v>
      </c>
      <c r="O6951" t="s">
        <v>43</v>
      </c>
      <c r="P6951" t="s">
        <v>43</v>
      </c>
      <c r="Q6951" t="s">
        <v>43</v>
      </c>
      <c r="R6951" t="s">
        <v>43</v>
      </c>
      <c r="S6951" t="s">
        <v>43</v>
      </c>
      <c r="T6951" t="s">
        <v>43</v>
      </c>
      <c r="U6951" t="s">
        <v>43</v>
      </c>
      <c r="V6951" t="s">
        <v>43</v>
      </c>
      <c r="W6951" t="s">
        <v>43</v>
      </c>
      <c r="X6951" t="s">
        <v>43</v>
      </c>
      <c r="Y6951" t="s">
        <v>43</v>
      </c>
      <c r="Z6951" t="s">
        <v>43</v>
      </c>
      <c r="AA6951" t="s">
        <v>43</v>
      </c>
      <c r="AB6951" t="s">
        <v>43</v>
      </c>
      <c r="AC6951" t="s">
        <v>43</v>
      </c>
      <c r="AD6951" t="s">
        <v>43</v>
      </c>
      <c r="AE6951" t="s">
        <v>43</v>
      </c>
      <c r="AF6951" t="s">
        <v>43</v>
      </c>
      <c r="AG6951" t="s">
        <v>43</v>
      </c>
      <c r="AH6951" t="s">
        <v>43</v>
      </c>
      <c r="AI6951" t="s">
        <v>43</v>
      </c>
      <c r="AJ6951" t="s">
        <v>43</v>
      </c>
      <c r="AK6951" t="s">
        <v>43</v>
      </c>
      <c r="AL6951" t="s">
        <v>43</v>
      </c>
      <c r="AM6951" t="s">
        <v>43</v>
      </c>
      <c r="AN6951" t="s">
        <v>43</v>
      </c>
    </row>
    <row r="6952" spans="1:40" x14ac:dyDescent="0.3">
      <c r="A6952" s="1">
        <v>46210.194675925923</v>
      </c>
      <c r="B6952" t="s">
        <v>40</v>
      </c>
      <c r="C6952" t="s">
        <v>41</v>
      </c>
      <c r="D6952" s="1">
        <v>46210.197708333333</v>
      </c>
      <c r="E6952" t="s">
        <v>42</v>
      </c>
      <c r="F6952" t="s">
        <v>43</v>
      </c>
      <c r="G6952" t="s">
        <v>43</v>
      </c>
      <c r="H6952" t="s">
        <v>43</v>
      </c>
      <c r="I6952" t="s">
        <v>4048</v>
      </c>
      <c r="J6952" t="s">
        <v>43</v>
      </c>
      <c r="K6952" t="s">
        <v>43</v>
      </c>
      <c r="L6952" t="s">
        <v>43</v>
      </c>
      <c r="M6952" t="s">
        <v>43</v>
      </c>
      <c r="N6952" t="s">
        <v>45</v>
      </c>
      <c r="O6952" t="s">
        <v>43</v>
      </c>
      <c r="P6952" t="s">
        <v>43</v>
      </c>
      <c r="Q6952" t="s">
        <v>43</v>
      </c>
      <c r="R6952" t="s">
        <v>43</v>
      </c>
      <c r="S6952" t="s">
        <v>43</v>
      </c>
      <c r="T6952" t="s">
        <v>43</v>
      </c>
      <c r="U6952" t="s">
        <v>43</v>
      </c>
      <c r="V6952" t="s">
        <v>43</v>
      </c>
      <c r="W6952" t="s">
        <v>43</v>
      </c>
      <c r="X6952" t="s">
        <v>43</v>
      </c>
      <c r="Y6952" t="s">
        <v>43</v>
      </c>
      <c r="Z6952" t="s">
        <v>43</v>
      </c>
      <c r="AA6952" t="s">
        <v>43</v>
      </c>
      <c r="AB6952" t="s">
        <v>43</v>
      </c>
      <c r="AC6952" t="s">
        <v>43</v>
      </c>
      <c r="AD6952" t="s">
        <v>43</v>
      </c>
      <c r="AE6952" t="s">
        <v>43</v>
      </c>
      <c r="AF6952" t="s">
        <v>43</v>
      </c>
      <c r="AG6952" t="s">
        <v>43</v>
      </c>
      <c r="AH6952" t="s">
        <v>43</v>
      </c>
      <c r="AI6952" t="s">
        <v>43</v>
      </c>
      <c r="AJ6952" t="s">
        <v>43</v>
      </c>
      <c r="AK6952" t="s">
        <v>43</v>
      </c>
      <c r="AL6952" t="s">
        <v>43</v>
      </c>
      <c r="AM6952" t="s">
        <v>43</v>
      </c>
      <c r="AN6952" t="str">
        <f>HYPERLINK("https://www.google.com/maps?q=10.78965664,79.57879639","Open Location")</f>
        <v>Open Location</v>
      </c>
    </row>
    <row r="6953" spans="1:40" x14ac:dyDescent="0.3">
      <c r="A6953" s="1">
        <v>46210.194560185184</v>
      </c>
      <c r="B6953" t="s">
        <v>40</v>
      </c>
      <c r="C6953" t="s">
        <v>41</v>
      </c>
      <c r="D6953" s="1">
        <v>46210.197372685187</v>
      </c>
      <c r="E6953" t="s">
        <v>42</v>
      </c>
      <c r="F6953" t="s">
        <v>43</v>
      </c>
      <c r="G6953" t="s">
        <v>43</v>
      </c>
      <c r="H6953" t="s">
        <v>43</v>
      </c>
      <c r="I6953" t="s">
        <v>4049</v>
      </c>
      <c r="J6953" t="s">
        <v>43</v>
      </c>
      <c r="K6953" t="s">
        <v>43</v>
      </c>
      <c r="L6953" t="s">
        <v>43</v>
      </c>
      <c r="M6953" t="s">
        <v>43</v>
      </c>
      <c r="N6953" t="s">
        <v>45</v>
      </c>
      <c r="O6953" t="s">
        <v>43</v>
      </c>
      <c r="P6953" t="s">
        <v>43</v>
      </c>
      <c r="Q6953" t="s">
        <v>43</v>
      </c>
      <c r="R6953" t="s">
        <v>43</v>
      </c>
      <c r="S6953" t="s">
        <v>43</v>
      </c>
      <c r="T6953" t="s">
        <v>43</v>
      </c>
      <c r="U6953" t="s">
        <v>43</v>
      </c>
      <c r="V6953" t="s">
        <v>43</v>
      </c>
      <c r="W6953" t="s">
        <v>43</v>
      </c>
      <c r="X6953" t="s">
        <v>43</v>
      </c>
      <c r="Y6953" t="s">
        <v>43</v>
      </c>
      <c r="Z6953" t="s">
        <v>43</v>
      </c>
      <c r="AA6953" t="s">
        <v>43</v>
      </c>
      <c r="AB6953" t="s">
        <v>43</v>
      </c>
      <c r="AC6953" t="s">
        <v>43</v>
      </c>
      <c r="AD6953" t="s">
        <v>43</v>
      </c>
      <c r="AE6953" t="s">
        <v>43</v>
      </c>
      <c r="AF6953" t="s">
        <v>43</v>
      </c>
      <c r="AG6953" t="s">
        <v>43</v>
      </c>
      <c r="AH6953" t="s">
        <v>43</v>
      </c>
      <c r="AI6953" t="s">
        <v>43</v>
      </c>
      <c r="AJ6953" t="s">
        <v>43</v>
      </c>
      <c r="AK6953" t="s">
        <v>43</v>
      </c>
      <c r="AL6953" t="s">
        <v>43</v>
      </c>
      <c r="AM6953" t="s">
        <v>43</v>
      </c>
      <c r="AN6953" t="str">
        <f>HYPERLINK("https://www.google.com/maps?q=10.78965759,79.57879639","Open Location")</f>
        <v>Open Location</v>
      </c>
    </row>
    <row r="6954" spans="1:40" x14ac:dyDescent="0.3">
      <c r="A6954" s="1">
        <v>46210.194444444445</v>
      </c>
      <c r="B6954" t="s">
        <v>40</v>
      </c>
      <c r="C6954" t="s">
        <v>41</v>
      </c>
      <c r="D6954" s="1">
        <v>46210.19736111111</v>
      </c>
      <c r="E6954" t="s">
        <v>42</v>
      </c>
      <c r="F6954" t="s">
        <v>43</v>
      </c>
      <c r="G6954" t="s">
        <v>43</v>
      </c>
      <c r="H6954" t="s">
        <v>43</v>
      </c>
      <c r="I6954" t="s">
        <v>4050</v>
      </c>
      <c r="J6954" t="s">
        <v>43</v>
      </c>
      <c r="K6954" t="s">
        <v>43</v>
      </c>
      <c r="L6954" t="s">
        <v>43</v>
      </c>
      <c r="M6954" t="s">
        <v>43</v>
      </c>
      <c r="N6954" t="s">
        <v>45</v>
      </c>
      <c r="O6954" t="s">
        <v>43</v>
      </c>
      <c r="P6954" t="s">
        <v>43</v>
      </c>
      <c r="Q6954" t="s">
        <v>43</v>
      </c>
      <c r="R6954" t="s">
        <v>43</v>
      </c>
      <c r="S6954" t="s">
        <v>43</v>
      </c>
      <c r="T6954" t="s">
        <v>43</v>
      </c>
      <c r="U6954" t="s">
        <v>43</v>
      </c>
      <c r="V6954" t="s">
        <v>43</v>
      </c>
      <c r="W6954" t="s">
        <v>43</v>
      </c>
      <c r="X6954" t="s">
        <v>43</v>
      </c>
      <c r="Y6954" t="s">
        <v>43</v>
      </c>
      <c r="Z6954" t="s">
        <v>43</v>
      </c>
      <c r="AA6954" t="s">
        <v>43</v>
      </c>
      <c r="AB6954" t="s">
        <v>43</v>
      </c>
      <c r="AC6954" t="s">
        <v>43</v>
      </c>
      <c r="AD6954" t="s">
        <v>43</v>
      </c>
      <c r="AE6954" t="s">
        <v>43</v>
      </c>
      <c r="AF6954" t="s">
        <v>43</v>
      </c>
      <c r="AG6954" t="s">
        <v>43</v>
      </c>
      <c r="AH6954" t="s">
        <v>43</v>
      </c>
      <c r="AI6954" t="s">
        <v>43</v>
      </c>
      <c r="AJ6954" t="s">
        <v>43</v>
      </c>
      <c r="AK6954" t="s">
        <v>43</v>
      </c>
      <c r="AL6954" t="s">
        <v>43</v>
      </c>
      <c r="AM6954" t="s">
        <v>43</v>
      </c>
      <c r="AN6954" t="str">
        <f>HYPERLINK("https://www.google.com/maps?q=10.78965378,79.57881165","Open Location")</f>
        <v>Open Location</v>
      </c>
    </row>
    <row r="6955" spans="1:40" x14ac:dyDescent="0.3">
      <c r="A6955" s="1">
        <v>46210.194328703707</v>
      </c>
      <c r="B6955" t="s">
        <v>40</v>
      </c>
      <c r="C6955" t="s">
        <v>41</v>
      </c>
      <c r="D6955" s="1">
        <v>46210.19736111111</v>
      </c>
      <c r="E6955" t="s">
        <v>42</v>
      </c>
      <c r="F6955" t="s">
        <v>43</v>
      </c>
      <c r="G6955" t="s">
        <v>43</v>
      </c>
      <c r="H6955" t="s">
        <v>43</v>
      </c>
      <c r="I6955" t="s">
        <v>4051</v>
      </c>
      <c r="J6955" t="s">
        <v>43</v>
      </c>
      <c r="K6955" t="s">
        <v>43</v>
      </c>
      <c r="L6955" t="s">
        <v>43</v>
      </c>
      <c r="M6955" t="s">
        <v>43</v>
      </c>
      <c r="N6955" t="s">
        <v>45</v>
      </c>
      <c r="O6955" t="s">
        <v>43</v>
      </c>
      <c r="P6955" t="s">
        <v>43</v>
      </c>
      <c r="Q6955" t="s">
        <v>43</v>
      </c>
      <c r="R6955" t="s">
        <v>43</v>
      </c>
      <c r="S6955" t="s">
        <v>43</v>
      </c>
      <c r="T6955" t="s">
        <v>43</v>
      </c>
      <c r="U6955" t="s">
        <v>43</v>
      </c>
      <c r="V6955" t="s">
        <v>43</v>
      </c>
      <c r="W6955" t="s">
        <v>43</v>
      </c>
      <c r="X6955" t="s">
        <v>43</v>
      </c>
      <c r="Y6955" t="s">
        <v>43</v>
      </c>
      <c r="Z6955" t="s">
        <v>43</v>
      </c>
      <c r="AA6955" t="s">
        <v>43</v>
      </c>
      <c r="AB6955" t="s">
        <v>43</v>
      </c>
      <c r="AC6955" t="s">
        <v>43</v>
      </c>
      <c r="AD6955" t="s">
        <v>43</v>
      </c>
      <c r="AE6955" t="s">
        <v>43</v>
      </c>
      <c r="AF6955" t="s">
        <v>43</v>
      </c>
      <c r="AG6955" t="s">
        <v>43</v>
      </c>
      <c r="AH6955" t="s">
        <v>43</v>
      </c>
      <c r="AI6955" t="s">
        <v>43</v>
      </c>
      <c r="AJ6955" t="s">
        <v>43</v>
      </c>
      <c r="AK6955" t="s">
        <v>43</v>
      </c>
      <c r="AL6955" t="s">
        <v>43</v>
      </c>
      <c r="AM6955" t="s">
        <v>43</v>
      </c>
      <c r="AN6955" t="str">
        <f>HYPERLINK("https://www.google.com/maps?q=10.78964996,79.57879639","Open Location")</f>
        <v>Open Location</v>
      </c>
    </row>
    <row r="6956" spans="1:40" x14ac:dyDescent="0.3">
      <c r="A6956" s="1">
        <v>46210.194212962961</v>
      </c>
      <c r="B6956" t="s">
        <v>40</v>
      </c>
      <c r="C6956" t="s">
        <v>41</v>
      </c>
      <c r="D6956" s="1">
        <v>46210.197372685187</v>
      </c>
      <c r="E6956" t="s">
        <v>42</v>
      </c>
      <c r="F6956" t="s">
        <v>43</v>
      </c>
      <c r="G6956" t="s">
        <v>43</v>
      </c>
      <c r="H6956" t="s">
        <v>43</v>
      </c>
      <c r="I6956" t="s">
        <v>3913</v>
      </c>
      <c r="J6956" t="s">
        <v>43</v>
      </c>
      <c r="K6956" t="s">
        <v>43</v>
      </c>
      <c r="L6956" t="s">
        <v>43</v>
      </c>
      <c r="M6956" t="s">
        <v>43</v>
      </c>
      <c r="N6956" t="s">
        <v>45</v>
      </c>
      <c r="O6956" t="s">
        <v>43</v>
      </c>
      <c r="P6956" t="s">
        <v>43</v>
      </c>
      <c r="Q6956" t="s">
        <v>43</v>
      </c>
      <c r="R6956" t="s">
        <v>43</v>
      </c>
      <c r="S6956" t="s">
        <v>43</v>
      </c>
      <c r="T6956" t="s">
        <v>43</v>
      </c>
      <c r="U6956" t="s">
        <v>43</v>
      </c>
      <c r="V6956" t="s">
        <v>43</v>
      </c>
      <c r="W6956" t="s">
        <v>43</v>
      </c>
      <c r="X6956" t="s">
        <v>43</v>
      </c>
      <c r="Y6956" t="s">
        <v>43</v>
      </c>
      <c r="Z6956" t="s">
        <v>43</v>
      </c>
      <c r="AA6956" t="s">
        <v>43</v>
      </c>
      <c r="AB6956" t="s">
        <v>43</v>
      </c>
      <c r="AC6956" t="s">
        <v>43</v>
      </c>
      <c r="AD6956" t="s">
        <v>43</v>
      </c>
      <c r="AE6956" t="s">
        <v>43</v>
      </c>
      <c r="AF6956" t="s">
        <v>43</v>
      </c>
      <c r="AG6956" t="s">
        <v>43</v>
      </c>
      <c r="AH6956" t="s">
        <v>43</v>
      </c>
      <c r="AI6956" t="s">
        <v>43</v>
      </c>
      <c r="AJ6956" t="s">
        <v>43</v>
      </c>
      <c r="AK6956" t="s">
        <v>43</v>
      </c>
      <c r="AL6956" t="s">
        <v>43</v>
      </c>
      <c r="AM6956" t="s">
        <v>43</v>
      </c>
      <c r="AN6956" t="str">
        <f>HYPERLINK("https://www.google.com/maps?q=10.78964901,79.57879639","Open Location")</f>
        <v>Open Location</v>
      </c>
    </row>
    <row r="6957" spans="1:40" x14ac:dyDescent="0.3">
      <c r="A6957" s="1">
        <v>46210.194097222222</v>
      </c>
      <c r="B6957" t="s">
        <v>40</v>
      </c>
      <c r="C6957" t="s">
        <v>41</v>
      </c>
      <c r="D6957" s="1">
        <v>46210.197199074071</v>
      </c>
      <c r="E6957" t="s">
        <v>42</v>
      </c>
      <c r="F6957" t="s">
        <v>43</v>
      </c>
      <c r="G6957" t="s">
        <v>43</v>
      </c>
      <c r="H6957" t="s">
        <v>43</v>
      </c>
      <c r="I6957" t="s">
        <v>43</v>
      </c>
      <c r="J6957" t="s">
        <v>43</v>
      </c>
      <c r="K6957" t="s">
        <v>43</v>
      </c>
      <c r="L6957" t="s">
        <v>43</v>
      </c>
      <c r="M6957" t="s">
        <v>43</v>
      </c>
      <c r="N6957" t="s">
        <v>45</v>
      </c>
      <c r="O6957" t="s">
        <v>43</v>
      </c>
      <c r="P6957" t="s">
        <v>43</v>
      </c>
      <c r="Q6957" t="s">
        <v>43</v>
      </c>
      <c r="R6957" t="s">
        <v>43</v>
      </c>
      <c r="S6957" t="s">
        <v>43</v>
      </c>
      <c r="T6957" t="s">
        <v>43</v>
      </c>
      <c r="U6957" t="s">
        <v>43</v>
      </c>
      <c r="V6957" t="s">
        <v>43</v>
      </c>
      <c r="W6957" t="s">
        <v>43</v>
      </c>
      <c r="X6957" t="s">
        <v>43</v>
      </c>
      <c r="Y6957" t="s">
        <v>43</v>
      </c>
      <c r="Z6957" t="s">
        <v>43</v>
      </c>
      <c r="AA6957" t="s">
        <v>43</v>
      </c>
      <c r="AB6957" t="s">
        <v>43</v>
      </c>
      <c r="AC6957" t="s">
        <v>43</v>
      </c>
      <c r="AD6957" t="s">
        <v>43</v>
      </c>
      <c r="AE6957" t="s">
        <v>43</v>
      </c>
      <c r="AF6957" t="s">
        <v>43</v>
      </c>
      <c r="AG6957" t="s">
        <v>43</v>
      </c>
      <c r="AH6957" t="s">
        <v>43</v>
      </c>
      <c r="AI6957" t="s">
        <v>43</v>
      </c>
      <c r="AJ6957" t="s">
        <v>43</v>
      </c>
      <c r="AK6957" t="s">
        <v>43</v>
      </c>
      <c r="AL6957" t="s">
        <v>43</v>
      </c>
      <c r="AM6957" t="s">
        <v>43</v>
      </c>
      <c r="AN6957" t="s">
        <v>43</v>
      </c>
    </row>
    <row r="6958" spans="1:40" x14ac:dyDescent="0.3">
      <c r="A6958" s="1">
        <v>46210.193981481483</v>
      </c>
      <c r="B6958" t="s">
        <v>40</v>
      </c>
      <c r="C6958" t="s">
        <v>41</v>
      </c>
      <c r="D6958" s="1">
        <v>46210.197013888886</v>
      </c>
      <c r="E6958" t="s">
        <v>42</v>
      </c>
      <c r="F6958" t="s">
        <v>43</v>
      </c>
      <c r="G6958" t="s">
        <v>43</v>
      </c>
      <c r="H6958" t="s">
        <v>43</v>
      </c>
      <c r="I6958" t="s">
        <v>3918</v>
      </c>
      <c r="J6958" t="s">
        <v>43</v>
      </c>
      <c r="K6958" t="s">
        <v>43</v>
      </c>
      <c r="L6958" t="s">
        <v>43</v>
      </c>
      <c r="M6958" t="s">
        <v>43</v>
      </c>
      <c r="N6958" t="s">
        <v>45</v>
      </c>
      <c r="O6958" t="s">
        <v>43</v>
      </c>
      <c r="P6958" t="s">
        <v>43</v>
      </c>
      <c r="Q6958" t="s">
        <v>43</v>
      </c>
      <c r="R6958" t="s">
        <v>43</v>
      </c>
      <c r="S6958" t="s">
        <v>43</v>
      </c>
      <c r="T6958" t="s">
        <v>43</v>
      </c>
      <c r="U6958" t="s">
        <v>43</v>
      </c>
      <c r="V6958" t="s">
        <v>43</v>
      </c>
      <c r="W6958" t="s">
        <v>43</v>
      </c>
      <c r="X6958" t="s">
        <v>43</v>
      </c>
      <c r="Y6958" t="s">
        <v>43</v>
      </c>
      <c r="Z6958" t="s">
        <v>43</v>
      </c>
      <c r="AA6958" t="s">
        <v>43</v>
      </c>
      <c r="AB6958" t="s">
        <v>43</v>
      </c>
      <c r="AC6958" t="s">
        <v>43</v>
      </c>
      <c r="AD6958" t="s">
        <v>43</v>
      </c>
      <c r="AE6958" t="s">
        <v>43</v>
      </c>
      <c r="AF6958" t="s">
        <v>43</v>
      </c>
      <c r="AG6958" t="s">
        <v>43</v>
      </c>
      <c r="AH6958" t="s">
        <v>43</v>
      </c>
      <c r="AI6958" t="s">
        <v>43</v>
      </c>
      <c r="AJ6958" t="s">
        <v>43</v>
      </c>
      <c r="AK6958" t="s">
        <v>43</v>
      </c>
      <c r="AL6958" t="s">
        <v>43</v>
      </c>
      <c r="AM6958" t="s">
        <v>43</v>
      </c>
      <c r="AN6958" t="str">
        <f>HYPERLINK("https://www.google.com/maps?q=10.78965092,79.57881165","Open Location")</f>
        <v>Open Location</v>
      </c>
    </row>
    <row r="6959" spans="1:40" x14ac:dyDescent="0.3">
      <c r="A6959" s="1">
        <v>46210.193865740737</v>
      </c>
      <c r="B6959" t="s">
        <v>40</v>
      </c>
      <c r="C6959" t="s">
        <v>41</v>
      </c>
      <c r="D6959" s="1">
        <v>46210.196631944447</v>
      </c>
      <c r="E6959" t="s">
        <v>42</v>
      </c>
      <c r="F6959" t="s">
        <v>43</v>
      </c>
      <c r="G6959" t="s">
        <v>43</v>
      </c>
      <c r="H6959" t="s">
        <v>43</v>
      </c>
      <c r="I6959" t="s">
        <v>4052</v>
      </c>
      <c r="J6959" t="s">
        <v>43</v>
      </c>
      <c r="K6959" t="s">
        <v>43</v>
      </c>
      <c r="L6959" t="s">
        <v>43</v>
      </c>
      <c r="M6959" t="s">
        <v>43</v>
      </c>
      <c r="N6959" t="s">
        <v>45</v>
      </c>
      <c r="O6959" t="s">
        <v>43</v>
      </c>
      <c r="P6959" t="s">
        <v>43</v>
      </c>
      <c r="Q6959" t="s">
        <v>43</v>
      </c>
      <c r="R6959" t="s">
        <v>43</v>
      </c>
      <c r="S6959" t="s">
        <v>43</v>
      </c>
      <c r="T6959" t="s">
        <v>43</v>
      </c>
      <c r="U6959" t="s">
        <v>43</v>
      </c>
      <c r="V6959" t="s">
        <v>43</v>
      </c>
      <c r="W6959" t="s">
        <v>43</v>
      </c>
      <c r="X6959" t="s">
        <v>43</v>
      </c>
      <c r="Y6959" t="s">
        <v>43</v>
      </c>
      <c r="Z6959" t="s">
        <v>43</v>
      </c>
      <c r="AA6959" t="s">
        <v>43</v>
      </c>
      <c r="AB6959" t="s">
        <v>43</v>
      </c>
      <c r="AC6959" t="s">
        <v>43</v>
      </c>
      <c r="AD6959" t="s">
        <v>43</v>
      </c>
      <c r="AE6959" t="s">
        <v>43</v>
      </c>
      <c r="AF6959" t="s">
        <v>43</v>
      </c>
      <c r="AG6959" t="s">
        <v>43</v>
      </c>
      <c r="AH6959" t="s">
        <v>43</v>
      </c>
      <c r="AI6959" t="s">
        <v>43</v>
      </c>
      <c r="AJ6959" t="s">
        <v>43</v>
      </c>
      <c r="AK6959" t="s">
        <v>43</v>
      </c>
      <c r="AL6959" t="s">
        <v>43</v>
      </c>
      <c r="AM6959" t="s">
        <v>43</v>
      </c>
      <c r="AN6959" t="str">
        <f>HYPERLINK("https://www.google.com/maps?q=10.7896471,79.57881165","Open Location")</f>
        <v>Open Location</v>
      </c>
    </row>
    <row r="6960" spans="1:40" x14ac:dyDescent="0.3">
      <c r="A6960" s="1">
        <v>46210.193749999999</v>
      </c>
      <c r="B6960" t="s">
        <v>40</v>
      </c>
      <c r="C6960" t="s">
        <v>41</v>
      </c>
      <c r="D6960" s="1">
        <v>46210.196840277778</v>
      </c>
      <c r="E6960" t="s">
        <v>42</v>
      </c>
      <c r="F6960" t="s">
        <v>43</v>
      </c>
      <c r="G6960" t="s">
        <v>43</v>
      </c>
      <c r="H6960" t="s">
        <v>43</v>
      </c>
      <c r="I6960" t="s">
        <v>4053</v>
      </c>
      <c r="J6960" t="s">
        <v>43</v>
      </c>
      <c r="K6960" t="s">
        <v>43</v>
      </c>
      <c r="L6960" t="s">
        <v>43</v>
      </c>
      <c r="M6960" t="s">
        <v>43</v>
      </c>
      <c r="N6960" t="s">
        <v>45</v>
      </c>
      <c r="O6960" t="s">
        <v>43</v>
      </c>
      <c r="P6960" t="s">
        <v>43</v>
      </c>
      <c r="Q6960" t="s">
        <v>43</v>
      </c>
      <c r="R6960" t="s">
        <v>43</v>
      </c>
      <c r="S6960" t="s">
        <v>43</v>
      </c>
      <c r="T6960" t="s">
        <v>43</v>
      </c>
      <c r="U6960" t="s">
        <v>43</v>
      </c>
      <c r="V6960" t="s">
        <v>43</v>
      </c>
      <c r="W6960" t="s">
        <v>43</v>
      </c>
      <c r="X6960" t="s">
        <v>43</v>
      </c>
      <c r="Y6960" t="s">
        <v>43</v>
      </c>
      <c r="Z6960" t="s">
        <v>43</v>
      </c>
      <c r="AA6960" t="s">
        <v>43</v>
      </c>
      <c r="AB6960" t="s">
        <v>43</v>
      </c>
      <c r="AC6960" t="s">
        <v>43</v>
      </c>
      <c r="AD6960" t="s">
        <v>43</v>
      </c>
      <c r="AE6960" t="s">
        <v>43</v>
      </c>
      <c r="AF6960" t="s">
        <v>43</v>
      </c>
      <c r="AG6960" t="s">
        <v>43</v>
      </c>
      <c r="AH6960" t="s">
        <v>43</v>
      </c>
      <c r="AI6960" t="s">
        <v>43</v>
      </c>
      <c r="AJ6960" t="s">
        <v>43</v>
      </c>
      <c r="AK6960" t="s">
        <v>43</v>
      </c>
      <c r="AL6960" t="s">
        <v>43</v>
      </c>
      <c r="AM6960" t="s">
        <v>43</v>
      </c>
      <c r="AN6960" t="str">
        <f>HYPERLINK("https://www.google.com/maps?q=10.78964329,79.57881165","Open Location")</f>
        <v>Open Location</v>
      </c>
    </row>
    <row r="6961" spans="1:40" x14ac:dyDescent="0.3">
      <c r="A6961" s="1">
        <v>46210.19363425926</v>
      </c>
      <c r="B6961" t="s">
        <v>40</v>
      </c>
      <c r="C6961" t="s">
        <v>41</v>
      </c>
      <c r="D6961" s="1">
        <v>46210.196539351855</v>
      </c>
      <c r="E6961" t="s">
        <v>42</v>
      </c>
      <c r="F6961" t="s">
        <v>43</v>
      </c>
      <c r="G6961" t="s">
        <v>43</v>
      </c>
      <c r="H6961" t="s">
        <v>43</v>
      </c>
      <c r="I6961" t="s">
        <v>4053</v>
      </c>
      <c r="J6961" t="s">
        <v>43</v>
      </c>
      <c r="K6961" t="s">
        <v>43</v>
      </c>
      <c r="L6961" t="s">
        <v>43</v>
      </c>
      <c r="M6961" t="s">
        <v>43</v>
      </c>
      <c r="N6961" t="s">
        <v>45</v>
      </c>
      <c r="O6961" t="s">
        <v>43</v>
      </c>
      <c r="P6961" t="s">
        <v>43</v>
      </c>
      <c r="Q6961" t="s">
        <v>43</v>
      </c>
      <c r="R6961" t="s">
        <v>43</v>
      </c>
      <c r="S6961" t="s">
        <v>43</v>
      </c>
      <c r="T6961" t="s">
        <v>43</v>
      </c>
      <c r="U6961" t="s">
        <v>43</v>
      </c>
      <c r="V6961" t="s">
        <v>43</v>
      </c>
      <c r="W6961" t="s">
        <v>43</v>
      </c>
      <c r="X6961" t="s">
        <v>43</v>
      </c>
      <c r="Y6961" t="s">
        <v>43</v>
      </c>
      <c r="Z6961" t="s">
        <v>43</v>
      </c>
      <c r="AA6961" t="s">
        <v>43</v>
      </c>
      <c r="AB6961" t="s">
        <v>43</v>
      </c>
      <c r="AC6961" t="s">
        <v>43</v>
      </c>
      <c r="AD6961" t="s">
        <v>43</v>
      </c>
      <c r="AE6961" t="s">
        <v>43</v>
      </c>
      <c r="AF6961" t="s">
        <v>43</v>
      </c>
      <c r="AG6961" t="s">
        <v>43</v>
      </c>
      <c r="AH6961" t="s">
        <v>43</v>
      </c>
      <c r="AI6961" t="s">
        <v>43</v>
      </c>
      <c r="AJ6961" t="s">
        <v>43</v>
      </c>
      <c r="AK6961" t="s">
        <v>43</v>
      </c>
      <c r="AL6961" t="s">
        <v>43</v>
      </c>
      <c r="AM6961" t="s">
        <v>43</v>
      </c>
      <c r="AN6961" t="str">
        <f>HYPERLINK("https://www.google.com/maps?q=10.78964329,79.57881165","Open Location")</f>
        <v>Open Location</v>
      </c>
    </row>
    <row r="6962" spans="1:40" x14ac:dyDescent="0.3">
      <c r="A6962" s="1">
        <v>46210.193518518521</v>
      </c>
      <c r="B6962" t="s">
        <v>40</v>
      </c>
      <c r="C6962" t="s">
        <v>41</v>
      </c>
      <c r="D6962" s="1">
        <v>46210.196388888886</v>
      </c>
      <c r="E6962" t="s">
        <v>42</v>
      </c>
      <c r="F6962" t="s">
        <v>43</v>
      </c>
      <c r="G6962" t="s">
        <v>43</v>
      </c>
      <c r="H6962" t="s">
        <v>43</v>
      </c>
      <c r="I6962" t="s">
        <v>3893</v>
      </c>
      <c r="J6962" t="s">
        <v>43</v>
      </c>
      <c r="K6962" t="s">
        <v>43</v>
      </c>
      <c r="L6962" t="s">
        <v>43</v>
      </c>
      <c r="M6962" t="s">
        <v>43</v>
      </c>
      <c r="N6962" t="s">
        <v>45</v>
      </c>
      <c r="O6962" t="s">
        <v>43</v>
      </c>
      <c r="P6962" t="s">
        <v>43</v>
      </c>
      <c r="Q6962" t="s">
        <v>43</v>
      </c>
      <c r="R6962" t="s">
        <v>43</v>
      </c>
      <c r="S6962" t="s">
        <v>43</v>
      </c>
      <c r="T6962" t="s">
        <v>43</v>
      </c>
      <c r="U6962" t="s">
        <v>43</v>
      </c>
      <c r="V6962" t="s">
        <v>43</v>
      </c>
      <c r="W6962" t="s">
        <v>43</v>
      </c>
      <c r="X6962" t="s">
        <v>43</v>
      </c>
      <c r="Y6962" t="s">
        <v>43</v>
      </c>
      <c r="Z6962" t="s">
        <v>43</v>
      </c>
      <c r="AA6962" t="s">
        <v>43</v>
      </c>
      <c r="AB6962" t="s">
        <v>43</v>
      </c>
      <c r="AC6962" t="s">
        <v>43</v>
      </c>
      <c r="AD6962" t="s">
        <v>43</v>
      </c>
      <c r="AE6962" t="s">
        <v>43</v>
      </c>
      <c r="AF6962" t="s">
        <v>43</v>
      </c>
      <c r="AG6962" t="s">
        <v>43</v>
      </c>
      <c r="AH6962" t="s">
        <v>43</v>
      </c>
      <c r="AI6962" t="s">
        <v>43</v>
      </c>
      <c r="AJ6962" t="s">
        <v>43</v>
      </c>
      <c r="AK6962" t="s">
        <v>43</v>
      </c>
      <c r="AL6962" t="s">
        <v>43</v>
      </c>
      <c r="AM6962" t="s">
        <v>43</v>
      </c>
      <c r="AN6962" t="str">
        <f>HYPERLINK("https://www.google.com/maps?q=10.78964138,79.57881927","Open Location")</f>
        <v>Open Location</v>
      </c>
    </row>
    <row r="6963" spans="1:40" x14ac:dyDescent="0.3">
      <c r="A6963" s="1">
        <v>46210.193402777775</v>
      </c>
      <c r="B6963" t="s">
        <v>40</v>
      </c>
      <c r="C6963" t="s">
        <v>41</v>
      </c>
      <c r="D6963" s="1">
        <v>46210.196238425924</v>
      </c>
      <c r="E6963" t="s">
        <v>42</v>
      </c>
      <c r="F6963" t="s">
        <v>43</v>
      </c>
      <c r="G6963" t="s">
        <v>43</v>
      </c>
      <c r="H6963" t="s">
        <v>43</v>
      </c>
      <c r="I6963" t="s">
        <v>43</v>
      </c>
      <c r="J6963" t="s">
        <v>43</v>
      </c>
      <c r="K6963" t="s">
        <v>43</v>
      </c>
      <c r="L6963" t="s">
        <v>43</v>
      </c>
      <c r="M6963" t="s">
        <v>43</v>
      </c>
      <c r="N6963" t="s">
        <v>45</v>
      </c>
      <c r="O6963" t="s">
        <v>43</v>
      </c>
      <c r="P6963" t="s">
        <v>43</v>
      </c>
      <c r="Q6963" t="s">
        <v>43</v>
      </c>
      <c r="R6963" t="s">
        <v>43</v>
      </c>
      <c r="S6963" t="s">
        <v>43</v>
      </c>
      <c r="T6963" t="s">
        <v>43</v>
      </c>
      <c r="U6963" t="s">
        <v>43</v>
      </c>
      <c r="V6963" t="s">
        <v>43</v>
      </c>
      <c r="W6963" t="s">
        <v>43</v>
      </c>
      <c r="X6963" t="s">
        <v>43</v>
      </c>
      <c r="Y6963" t="s">
        <v>43</v>
      </c>
      <c r="Z6963" t="s">
        <v>43</v>
      </c>
      <c r="AA6963" t="s">
        <v>43</v>
      </c>
      <c r="AB6963" t="s">
        <v>43</v>
      </c>
      <c r="AC6963" t="s">
        <v>43</v>
      </c>
      <c r="AD6963" t="s">
        <v>43</v>
      </c>
      <c r="AE6963" t="s">
        <v>43</v>
      </c>
      <c r="AF6963" t="s">
        <v>43</v>
      </c>
      <c r="AG6963" t="s">
        <v>43</v>
      </c>
      <c r="AH6963" t="s">
        <v>43</v>
      </c>
      <c r="AI6963" t="s">
        <v>43</v>
      </c>
      <c r="AJ6963" t="s">
        <v>43</v>
      </c>
      <c r="AK6963" t="s">
        <v>43</v>
      </c>
      <c r="AL6963" t="s">
        <v>43</v>
      </c>
      <c r="AM6963" t="s">
        <v>43</v>
      </c>
      <c r="AN6963" t="s">
        <v>43</v>
      </c>
    </row>
    <row r="6964" spans="1:40" x14ac:dyDescent="0.3">
      <c r="A6964" s="1">
        <v>46210.193287037036</v>
      </c>
      <c r="B6964" t="s">
        <v>40</v>
      </c>
      <c r="C6964" t="s">
        <v>41</v>
      </c>
      <c r="D6964" s="1">
        <v>46210.196215277778</v>
      </c>
      <c r="E6964" t="s">
        <v>42</v>
      </c>
      <c r="F6964" t="s">
        <v>43</v>
      </c>
      <c r="G6964" t="s">
        <v>43</v>
      </c>
      <c r="H6964" t="s">
        <v>43</v>
      </c>
      <c r="I6964" t="s">
        <v>4054</v>
      </c>
      <c r="J6964" t="s">
        <v>43</v>
      </c>
      <c r="K6964" t="s">
        <v>43</v>
      </c>
      <c r="L6964" t="s">
        <v>43</v>
      </c>
      <c r="M6964" t="s">
        <v>43</v>
      </c>
      <c r="N6964" t="s">
        <v>45</v>
      </c>
      <c r="O6964" t="s">
        <v>43</v>
      </c>
      <c r="P6964" t="s">
        <v>43</v>
      </c>
      <c r="Q6964" t="s">
        <v>43</v>
      </c>
      <c r="R6964" t="s">
        <v>43</v>
      </c>
      <c r="S6964" t="s">
        <v>43</v>
      </c>
      <c r="T6964" t="s">
        <v>43</v>
      </c>
      <c r="U6964" t="s">
        <v>43</v>
      </c>
      <c r="V6964" t="s">
        <v>43</v>
      </c>
      <c r="W6964" t="s">
        <v>43</v>
      </c>
      <c r="X6964" t="s">
        <v>43</v>
      </c>
      <c r="Y6964" t="s">
        <v>43</v>
      </c>
      <c r="Z6964" t="s">
        <v>43</v>
      </c>
      <c r="AA6964" t="s">
        <v>43</v>
      </c>
      <c r="AB6964" t="s">
        <v>43</v>
      </c>
      <c r="AC6964" t="s">
        <v>43</v>
      </c>
      <c r="AD6964" t="s">
        <v>43</v>
      </c>
      <c r="AE6964" t="s">
        <v>43</v>
      </c>
      <c r="AF6964" t="s">
        <v>43</v>
      </c>
      <c r="AG6964" t="s">
        <v>43</v>
      </c>
      <c r="AH6964" t="s">
        <v>43</v>
      </c>
      <c r="AI6964" t="s">
        <v>43</v>
      </c>
      <c r="AJ6964" t="s">
        <v>43</v>
      </c>
      <c r="AK6964" t="s">
        <v>43</v>
      </c>
      <c r="AL6964" t="s">
        <v>43</v>
      </c>
      <c r="AM6964" t="s">
        <v>43</v>
      </c>
      <c r="AN6964" t="str">
        <f>HYPERLINK("https://www.google.com/maps?q=10.78964329,79.5788269","Open Location")</f>
        <v>Open Location</v>
      </c>
    </row>
    <row r="6965" spans="1:40" x14ac:dyDescent="0.3">
      <c r="A6965" s="1">
        <v>46210.193171296298</v>
      </c>
      <c r="B6965" t="s">
        <v>40</v>
      </c>
      <c r="C6965" t="s">
        <v>41</v>
      </c>
      <c r="D6965" s="1">
        <v>46210.196111111109</v>
      </c>
      <c r="E6965" t="s">
        <v>42</v>
      </c>
      <c r="F6965" t="s">
        <v>43</v>
      </c>
      <c r="G6965" t="s">
        <v>43</v>
      </c>
      <c r="H6965" t="s">
        <v>43</v>
      </c>
      <c r="I6965" t="s">
        <v>4055</v>
      </c>
      <c r="J6965" t="s">
        <v>43</v>
      </c>
      <c r="K6965" t="s">
        <v>43</v>
      </c>
      <c r="L6965" t="s">
        <v>43</v>
      </c>
      <c r="M6965" t="s">
        <v>43</v>
      </c>
      <c r="N6965" t="s">
        <v>45</v>
      </c>
      <c r="O6965" t="s">
        <v>43</v>
      </c>
      <c r="P6965" t="s">
        <v>43</v>
      </c>
      <c r="Q6965" t="s">
        <v>43</v>
      </c>
      <c r="R6965" t="s">
        <v>43</v>
      </c>
      <c r="S6965" t="s">
        <v>43</v>
      </c>
      <c r="T6965" t="s">
        <v>43</v>
      </c>
      <c r="U6965" t="s">
        <v>43</v>
      </c>
      <c r="V6965" t="s">
        <v>43</v>
      </c>
      <c r="W6965" t="s">
        <v>43</v>
      </c>
      <c r="X6965" t="s">
        <v>43</v>
      </c>
      <c r="Y6965" t="s">
        <v>43</v>
      </c>
      <c r="Z6965" t="s">
        <v>43</v>
      </c>
      <c r="AA6965" t="s">
        <v>43</v>
      </c>
      <c r="AB6965" t="s">
        <v>43</v>
      </c>
      <c r="AC6965" t="s">
        <v>43</v>
      </c>
      <c r="AD6965" t="s">
        <v>43</v>
      </c>
      <c r="AE6965" t="s">
        <v>43</v>
      </c>
      <c r="AF6965" t="s">
        <v>43</v>
      </c>
      <c r="AG6965" t="s">
        <v>43</v>
      </c>
      <c r="AH6965" t="s">
        <v>43</v>
      </c>
      <c r="AI6965" t="s">
        <v>43</v>
      </c>
      <c r="AJ6965" t="s">
        <v>43</v>
      </c>
      <c r="AK6965" t="s">
        <v>43</v>
      </c>
      <c r="AL6965" t="s">
        <v>43</v>
      </c>
      <c r="AM6965" t="s">
        <v>43</v>
      </c>
      <c r="AN6965" t="str">
        <f>HYPERLINK("https://www.google.com/maps?q=10.7896471,79.5788269","Open Location")</f>
        <v>Open Location</v>
      </c>
    </row>
    <row r="6966" spans="1:40" x14ac:dyDescent="0.3">
      <c r="A6966" s="1">
        <v>46210.193055555559</v>
      </c>
      <c r="B6966" t="s">
        <v>40</v>
      </c>
      <c r="C6966" t="s">
        <v>41</v>
      </c>
      <c r="D6966" s="1">
        <v>46210.195937500001</v>
      </c>
      <c r="E6966" t="s">
        <v>42</v>
      </c>
      <c r="F6966" t="s">
        <v>43</v>
      </c>
      <c r="G6966" t="s">
        <v>43</v>
      </c>
      <c r="H6966" t="s">
        <v>43</v>
      </c>
      <c r="I6966" t="s">
        <v>4056</v>
      </c>
      <c r="J6966" t="s">
        <v>43</v>
      </c>
      <c r="K6966" t="s">
        <v>43</v>
      </c>
      <c r="L6966" t="s">
        <v>43</v>
      </c>
      <c r="M6966" t="s">
        <v>43</v>
      </c>
      <c r="N6966" t="s">
        <v>45</v>
      </c>
      <c r="O6966" t="s">
        <v>43</v>
      </c>
      <c r="P6966" t="s">
        <v>43</v>
      </c>
      <c r="Q6966" t="s">
        <v>43</v>
      </c>
      <c r="R6966" t="s">
        <v>43</v>
      </c>
      <c r="S6966" t="s">
        <v>43</v>
      </c>
      <c r="T6966" t="s">
        <v>43</v>
      </c>
      <c r="U6966" t="s">
        <v>43</v>
      </c>
      <c r="V6966" t="s">
        <v>43</v>
      </c>
      <c r="W6966" t="s">
        <v>43</v>
      </c>
      <c r="X6966" t="s">
        <v>43</v>
      </c>
      <c r="Y6966" t="s">
        <v>43</v>
      </c>
      <c r="Z6966" t="s">
        <v>43</v>
      </c>
      <c r="AA6966" t="s">
        <v>43</v>
      </c>
      <c r="AB6966" t="s">
        <v>43</v>
      </c>
      <c r="AC6966" t="s">
        <v>43</v>
      </c>
      <c r="AD6966" t="s">
        <v>43</v>
      </c>
      <c r="AE6966" t="s">
        <v>43</v>
      </c>
      <c r="AF6966" t="s">
        <v>43</v>
      </c>
      <c r="AG6966" t="s">
        <v>43</v>
      </c>
      <c r="AH6966" t="s">
        <v>43</v>
      </c>
      <c r="AI6966" t="s">
        <v>43</v>
      </c>
      <c r="AJ6966" t="s">
        <v>43</v>
      </c>
      <c r="AK6966" t="s">
        <v>43</v>
      </c>
      <c r="AL6966" t="s">
        <v>43</v>
      </c>
      <c r="AM6966" t="s">
        <v>43</v>
      </c>
      <c r="AN6966" t="str">
        <f>HYPERLINK("https://www.google.com/maps?q=10.7896452,79.57883453","Open Location")</f>
        <v>Open Location</v>
      </c>
    </row>
    <row r="6967" spans="1:40" x14ac:dyDescent="0.3">
      <c r="A6967" s="1">
        <v>46210.192939814813</v>
      </c>
      <c r="B6967" t="s">
        <v>40</v>
      </c>
      <c r="C6967" t="s">
        <v>41</v>
      </c>
      <c r="D6967" s="1">
        <v>46210.195555555554</v>
      </c>
      <c r="E6967" t="s">
        <v>42</v>
      </c>
      <c r="F6967" t="s">
        <v>43</v>
      </c>
      <c r="G6967" t="s">
        <v>43</v>
      </c>
      <c r="H6967" t="s">
        <v>43</v>
      </c>
      <c r="I6967" t="s">
        <v>4057</v>
      </c>
      <c r="J6967" t="s">
        <v>43</v>
      </c>
      <c r="K6967" t="s">
        <v>43</v>
      </c>
      <c r="L6967" t="s">
        <v>43</v>
      </c>
      <c r="M6967" t="s">
        <v>43</v>
      </c>
      <c r="N6967" t="s">
        <v>45</v>
      </c>
      <c r="O6967" t="s">
        <v>43</v>
      </c>
      <c r="P6967" t="s">
        <v>43</v>
      </c>
      <c r="Q6967" t="s">
        <v>43</v>
      </c>
      <c r="R6967" t="s">
        <v>43</v>
      </c>
      <c r="S6967" t="s">
        <v>43</v>
      </c>
      <c r="T6967" t="s">
        <v>43</v>
      </c>
      <c r="U6967" t="s">
        <v>43</v>
      </c>
      <c r="V6967" t="s">
        <v>43</v>
      </c>
      <c r="W6967" t="s">
        <v>43</v>
      </c>
      <c r="X6967" t="s">
        <v>43</v>
      </c>
      <c r="Y6967" t="s">
        <v>43</v>
      </c>
      <c r="Z6967" t="s">
        <v>43</v>
      </c>
      <c r="AA6967" t="s">
        <v>43</v>
      </c>
      <c r="AB6967" t="s">
        <v>43</v>
      </c>
      <c r="AC6967" t="s">
        <v>43</v>
      </c>
      <c r="AD6967" t="s">
        <v>43</v>
      </c>
      <c r="AE6967" t="s">
        <v>43</v>
      </c>
      <c r="AF6967" t="s">
        <v>43</v>
      </c>
      <c r="AG6967" t="s">
        <v>43</v>
      </c>
      <c r="AH6967" t="s">
        <v>43</v>
      </c>
      <c r="AI6967" t="s">
        <v>43</v>
      </c>
      <c r="AJ6967" t="s">
        <v>43</v>
      </c>
      <c r="AK6967" t="s">
        <v>43</v>
      </c>
      <c r="AL6967" t="s">
        <v>43</v>
      </c>
      <c r="AM6967" t="s">
        <v>43</v>
      </c>
      <c r="AN6967" t="str">
        <f>HYPERLINK("https://www.google.com/maps?q=10.7896452,79.5788269","Open Location")</f>
        <v>Open Location</v>
      </c>
    </row>
    <row r="6968" spans="1:40" x14ac:dyDescent="0.3">
      <c r="A6968" s="1">
        <v>46210.192824074074</v>
      </c>
      <c r="B6968" t="s">
        <v>40</v>
      </c>
      <c r="C6968" t="s">
        <v>41</v>
      </c>
      <c r="D6968" s="1">
        <v>46210.195856481485</v>
      </c>
      <c r="E6968" t="s">
        <v>42</v>
      </c>
      <c r="F6968" t="s">
        <v>43</v>
      </c>
      <c r="G6968" t="s">
        <v>43</v>
      </c>
      <c r="H6968" t="s">
        <v>43</v>
      </c>
      <c r="I6968" t="s">
        <v>43</v>
      </c>
      <c r="J6968" t="s">
        <v>43</v>
      </c>
      <c r="K6968" t="s">
        <v>43</v>
      </c>
      <c r="L6968" t="s">
        <v>43</v>
      </c>
      <c r="M6968" t="s">
        <v>43</v>
      </c>
      <c r="N6968" t="s">
        <v>45</v>
      </c>
      <c r="O6968" t="s">
        <v>43</v>
      </c>
      <c r="P6968" t="s">
        <v>43</v>
      </c>
      <c r="Q6968" t="s">
        <v>43</v>
      </c>
      <c r="R6968" t="s">
        <v>43</v>
      </c>
      <c r="S6968" t="s">
        <v>43</v>
      </c>
      <c r="T6968" t="s">
        <v>43</v>
      </c>
      <c r="U6968" t="s">
        <v>43</v>
      </c>
      <c r="V6968" t="s">
        <v>43</v>
      </c>
      <c r="W6968" t="s">
        <v>43</v>
      </c>
      <c r="X6968" t="s">
        <v>43</v>
      </c>
      <c r="Y6968" t="s">
        <v>43</v>
      </c>
      <c r="Z6968" t="s">
        <v>43</v>
      </c>
      <c r="AA6968" t="s">
        <v>43</v>
      </c>
      <c r="AB6968" t="s">
        <v>43</v>
      </c>
      <c r="AC6968" t="s">
        <v>43</v>
      </c>
      <c r="AD6968" t="s">
        <v>43</v>
      </c>
      <c r="AE6968" t="s">
        <v>43</v>
      </c>
      <c r="AF6968" t="s">
        <v>43</v>
      </c>
      <c r="AG6968" t="s">
        <v>43</v>
      </c>
      <c r="AH6968" t="s">
        <v>43</v>
      </c>
      <c r="AI6968" t="s">
        <v>43</v>
      </c>
      <c r="AJ6968" t="s">
        <v>43</v>
      </c>
      <c r="AK6968" t="s">
        <v>43</v>
      </c>
      <c r="AL6968" t="s">
        <v>43</v>
      </c>
      <c r="AM6968" t="s">
        <v>43</v>
      </c>
      <c r="AN6968" t="s">
        <v>43</v>
      </c>
    </row>
    <row r="6969" spans="1:40" x14ac:dyDescent="0.3">
      <c r="A6969" s="1">
        <v>46210.192708333336</v>
      </c>
      <c r="B6969" t="s">
        <v>40</v>
      </c>
      <c r="C6969" t="s">
        <v>41</v>
      </c>
      <c r="D6969" s="1">
        <v>46210.195381944446</v>
      </c>
      <c r="E6969" t="s">
        <v>42</v>
      </c>
      <c r="F6969" t="s">
        <v>43</v>
      </c>
      <c r="G6969" t="s">
        <v>43</v>
      </c>
      <c r="H6969" t="s">
        <v>43</v>
      </c>
      <c r="I6969" t="s">
        <v>4056</v>
      </c>
      <c r="J6969" t="s">
        <v>43</v>
      </c>
      <c r="K6969" t="s">
        <v>43</v>
      </c>
      <c r="L6969" t="s">
        <v>43</v>
      </c>
      <c r="M6969" t="s">
        <v>43</v>
      </c>
      <c r="N6969" t="s">
        <v>45</v>
      </c>
      <c r="O6969" t="s">
        <v>43</v>
      </c>
      <c r="P6969" t="s">
        <v>43</v>
      </c>
      <c r="Q6969" t="s">
        <v>43</v>
      </c>
      <c r="R6969" t="s">
        <v>43</v>
      </c>
      <c r="S6969" t="s">
        <v>43</v>
      </c>
      <c r="T6969" t="s">
        <v>43</v>
      </c>
      <c r="U6969" t="s">
        <v>43</v>
      </c>
      <c r="V6969" t="s">
        <v>43</v>
      </c>
      <c r="W6969" t="s">
        <v>43</v>
      </c>
      <c r="X6969" t="s">
        <v>43</v>
      </c>
      <c r="Y6969" t="s">
        <v>43</v>
      </c>
      <c r="Z6969" t="s">
        <v>43</v>
      </c>
      <c r="AA6969" t="s">
        <v>43</v>
      </c>
      <c r="AB6969" t="s">
        <v>43</v>
      </c>
      <c r="AC6969" t="s">
        <v>43</v>
      </c>
      <c r="AD6969" t="s">
        <v>43</v>
      </c>
      <c r="AE6969" t="s">
        <v>43</v>
      </c>
      <c r="AF6969" t="s">
        <v>43</v>
      </c>
      <c r="AG6969" t="s">
        <v>43</v>
      </c>
      <c r="AH6969" t="s">
        <v>43</v>
      </c>
      <c r="AI6969" t="s">
        <v>43</v>
      </c>
      <c r="AJ6969" t="s">
        <v>43</v>
      </c>
      <c r="AK6969" t="s">
        <v>43</v>
      </c>
      <c r="AL6969" t="s">
        <v>43</v>
      </c>
      <c r="AM6969" t="s">
        <v>43</v>
      </c>
      <c r="AN6969" t="str">
        <f>HYPERLINK("https://www.google.com/maps?q=10.7896452,79.57883453","Open Location")</f>
        <v>Open Location</v>
      </c>
    </row>
    <row r="6970" spans="1:40" x14ac:dyDescent="0.3">
      <c r="A6970" s="1">
        <v>46210.19259259259</v>
      </c>
      <c r="B6970" t="s">
        <v>40</v>
      </c>
      <c r="C6970" t="s">
        <v>41</v>
      </c>
      <c r="D6970" s="1">
        <v>46210.195393518516</v>
      </c>
      <c r="E6970" t="s">
        <v>42</v>
      </c>
      <c r="F6970" t="s">
        <v>43</v>
      </c>
      <c r="G6970" t="s">
        <v>43</v>
      </c>
      <c r="H6970" t="s">
        <v>43</v>
      </c>
      <c r="I6970" t="s">
        <v>4056</v>
      </c>
      <c r="J6970" t="s">
        <v>43</v>
      </c>
      <c r="K6970" t="s">
        <v>43</v>
      </c>
      <c r="L6970" t="s">
        <v>43</v>
      </c>
      <c r="M6970" t="s">
        <v>43</v>
      </c>
      <c r="N6970" t="s">
        <v>45</v>
      </c>
      <c r="O6970" t="s">
        <v>43</v>
      </c>
      <c r="P6970" t="s">
        <v>43</v>
      </c>
      <c r="Q6970" t="s">
        <v>43</v>
      </c>
      <c r="R6970" t="s">
        <v>43</v>
      </c>
      <c r="S6970" t="s">
        <v>43</v>
      </c>
      <c r="T6970" t="s">
        <v>43</v>
      </c>
      <c r="U6970" t="s">
        <v>43</v>
      </c>
      <c r="V6970" t="s">
        <v>43</v>
      </c>
      <c r="W6970" t="s">
        <v>43</v>
      </c>
      <c r="X6970" t="s">
        <v>43</v>
      </c>
      <c r="Y6970" t="s">
        <v>43</v>
      </c>
      <c r="Z6970" t="s">
        <v>43</v>
      </c>
      <c r="AA6970" t="s">
        <v>43</v>
      </c>
      <c r="AB6970" t="s">
        <v>43</v>
      </c>
      <c r="AC6970" t="s">
        <v>43</v>
      </c>
      <c r="AD6970" t="s">
        <v>43</v>
      </c>
      <c r="AE6970" t="s">
        <v>43</v>
      </c>
      <c r="AF6970" t="s">
        <v>43</v>
      </c>
      <c r="AG6970" t="s">
        <v>43</v>
      </c>
      <c r="AH6970" t="s">
        <v>43</v>
      </c>
      <c r="AI6970" t="s">
        <v>43</v>
      </c>
      <c r="AJ6970" t="s">
        <v>43</v>
      </c>
      <c r="AK6970" t="s">
        <v>43</v>
      </c>
      <c r="AL6970" t="s">
        <v>43</v>
      </c>
      <c r="AM6970" t="s">
        <v>43</v>
      </c>
      <c r="AN6970" t="str">
        <f>HYPERLINK("https://www.google.com/maps?q=10.7896452,79.57883453","Open Location")</f>
        <v>Open Location</v>
      </c>
    </row>
    <row r="6971" spans="1:40" x14ac:dyDescent="0.3">
      <c r="A6971" s="1">
        <v>46210.192476851851</v>
      </c>
      <c r="B6971" t="s">
        <v>40</v>
      </c>
      <c r="C6971" t="s">
        <v>41</v>
      </c>
      <c r="D6971" s="1">
        <v>46210.195324074077</v>
      </c>
      <c r="E6971" t="s">
        <v>42</v>
      </c>
      <c r="F6971" t="s">
        <v>43</v>
      </c>
      <c r="G6971" t="s">
        <v>43</v>
      </c>
      <c r="H6971" t="s">
        <v>43</v>
      </c>
      <c r="I6971" t="s">
        <v>4058</v>
      </c>
      <c r="J6971" t="s">
        <v>43</v>
      </c>
      <c r="K6971" t="s">
        <v>43</v>
      </c>
      <c r="L6971" t="s">
        <v>43</v>
      </c>
      <c r="M6971" t="s">
        <v>43</v>
      </c>
      <c r="N6971" t="s">
        <v>45</v>
      </c>
      <c r="O6971" t="s">
        <v>43</v>
      </c>
      <c r="P6971" t="s">
        <v>43</v>
      </c>
      <c r="Q6971" t="s">
        <v>43</v>
      </c>
      <c r="R6971" t="s">
        <v>43</v>
      </c>
      <c r="S6971" t="s">
        <v>43</v>
      </c>
      <c r="T6971" t="s">
        <v>43</v>
      </c>
      <c r="U6971" t="s">
        <v>43</v>
      </c>
      <c r="V6971" t="s">
        <v>43</v>
      </c>
      <c r="W6971" t="s">
        <v>43</v>
      </c>
      <c r="X6971" t="s">
        <v>43</v>
      </c>
      <c r="Y6971" t="s">
        <v>43</v>
      </c>
      <c r="Z6971" t="s">
        <v>43</v>
      </c>
      <c r="AA6971" t="s">
        <v>43</v>
      </c>
      <c r="AB6971" t="s">
        <v>43</v>
      </c>
      <c r="AC6971" t="s">
        <v>43</v>
      </c>
      <c r="AD6971" t="s">
        <v>43</v>
      </c>
      <c r="AE6971" t="s">
        <v>43</v>
      </c>
      <c r="AF6971" t="s">
        <v>43</v>
      </c>
      <c r="AG6971" t="s">
        <v>43</v>
      </c>
      <c r="AH6971" t="s">
        <v>43</v>
      </c>
      <c r="AI6971" t="s">
        <v>43</v>
      </c>
      <c r="AJ6971" t="s">
        <v>43</v>
      </c>
      <c r="AK6971" t="s">
        <v>43</v>
      </c>
      <c r="AL6971" t="s">
        <v>43</v>
      </c>
      <c r="AM6971" t="s">
        <v>43</v>
      </c>
      <c r="AN6971" t="str">
        <f>HYPERLINK("https://www.google.com/maps?q=10.78964233,79.57884216","Open Location")</f>
        <v>Open Location</v>
      </c>
    </row>
    <row r="6972" spans="1:40" x14ac:dyDescent="0.3">
      <c r="A6972" s="1">
        <v>46210.192361111112</v>
      </c>
      <c r="B6972" t="s">
        <v>40</v>
      </c>
      <c r="C6972" t="s">
        <v>41</v>
      </c>
      <c r="D6972" s="1">
        <v>46210.195393518516</v>
      </c>
      <c r="E6972" t="s">
        <v>42</v>
      </c>
      <c r="F6972" t="s">
        <v>43</v>
      </c>
      <c r="G6972" t="s">
        <v>43</v>
      </c>
      <c r="H6972" t="s">
        <v>43</v>
      </c>
      <c r="I6972" t="s">
        <v>4059</v>
      </c>
      <c r="J6972" t="s">
        <v>43</v>
      </c>
      <c r="K6972" t="s">
        <v>43</v>
      </c>
      <c r="L6972" t="s">
        <v>43</v>
      </c>
      <c r="M6972" t="s">
        <v>43</v>
      </c>
      <c r="N6972" t="s">
        <v>45</v>
      </c>
      <c r="O6972" t="s">
        <v>43</v>
      </c>
      <c r="P6972" t="s">
        <v>43</v>
      </c>
      <c r="Q6972" t="s">
        <v>43</v>
      </c>
      <c r="R6972" t="s">
        <v>43</v>
      </c>
      <c r="S6972" t="s">
        <v>43</v>
      </c>
      <c r="T6972" t="s">
        <v>43</v>
      </c>
      <c r="U6972" t="s">
        <v>43</v>
      </c>
      <c r="V6972" t="s">
        <v>43</v>
      </c>
      <c r="W6972" t="s">
        <v>43</v>
      </c>
      <c r="X6972" t="s">
        <v>43</v>
      </c>
      <c r="Y6972" t="s">
        <v>43</v>
      </c>
      <c r="Z6972" t="s">
        <v>43</v>
      </c>
      <c r="AA6972" t="s">
        <v>43</v>
      </c>
      <c r="AB6972" t="s">
        <v>43</v>
      </c>
      <c r="AC6972" t="s">
        <v>43</v>
      </c>
      <c r="AD6972" t="s">
        <v>43</v>
      </c>
      <c r="AE6972" t="s">
        <v>43</v>
      </c>
      <c r="AF6972" t="s">
        <v>43</v>
      </c>
      <c r="AG6972" t="s">
        <v>43</v>
      </c>
      <c r="AH6972" t="s">
        <v>43</v>
      </c>
      <c r="AI6972" t="s">
        <v>43</v>
      </c>
      <c r="AJ6972" t="s">
        <v>43</v>
      </c>
      <c r="AK6972" t="s">
        <v>43</v>
      </c>
      <c r="AL6972" t="s">
        <v>43</v>
      </c>
      <c r="AM6972" t="s">
        <v>43</v>
      </c>
      <c r="AN6972" t="str">
        <f>HYPERLINK("https://www.google.com/maps?q=10.78964615,79.57884216","Open Location")</f>
        <v>Open Location</v>
      </c>
    </row>
    <row r="6973" spans="1:40" x14ac:dyDescent="0.3">
      <c r="A6973" s="1">
        <v>46210.192245370374</v>
      </c>
      <c r="B6973" t="s">
        <v>40</v>
      </c>
      <c r="C6973" t="s">
        <v>41</v>
      </c>
      <c r="D6973" s="1">
        <v>46210.195092592592</v>
      </c>
      <c r="E6973" t="s">
        <v>42</v>
      </c>
      <c r="F6973" t="s">
        <v>43</v>
      </c>
      <c r="G6973" t="s">
        <v>43</v>
      </c>
      <c r="H6973" t="s">
        <v>43</v>
      </c>
      <c r="I6973" t="s">
        <v>4060</v>
      </c>
      <c r="J6973" t="s">
        <v>43</v>
      </c>
      <c r="K6973" t="s">
        <v>43</v>
      </c>
      <c r="L6973" t="s">
        <v>43</v>
      </c>
      <c r="M6973" t="s">
        <v>43</v>
      </c>
      <c r="N6973" t="s">
        <v>45</v>
      </c>
      <c r="O6973" t="s">
        <v>43</v>
      </c>
      <c r="P6973" t="s">
        <v>43</v>
      </c>
      <c r="Q6973" t="s">
        <v>43</v>
      </c>
      <c r="R6973" t="s">
        <v>43</v>
      </c>
      <c r="S6973" t="s">
        <v>43</v>
      </c>
      <c r="T6973" t="s">
        <v>43</v>
      </c>
      <c r="U6973" t="s">
        <v>43</v>
      </c>
      <c r="V6973" t="s">
        <v>43</v>
      </c>
      <c r="W6973" t="s">
        <v>43</v>
      </c>
      <c r="X6973" t="s">
        <v>43</v>
      </c>
      <c r="Y6973" t="s">
        <v>43</v>
      </c>
      <c r="Z6973" t="s">
        <v>43</v>
      </c>
      <c r="AA6973" t="s">
        <v>43</v>
      </c>
      <c r="AB6973" t="s">
        <v>43</v>
      </c>
      <c r="AC6973" t="s">
        <v>43</v>
      </c>
      <c r="AD6973" t="s">
        <v>43</v>
      </c>
      <c r="AE6973" t="s">
        <v>43</v>
      </c>
      <c r="AF6973" t="s">
        <v>43</v>
      </c>
      <c r="AG6973" t="s">
        <v>43</v>
      </c>
      <c r="AH6973" t="s">
        <v>43</v>
      </c>
      <c r="AI6973" t="s">
        <v>43</v>
      </c>
      <c r="AJ6973" t="s">
        <v>43</v>
      </c>
      <c r="AK6973" t="s">
        <v>43</v>
      </c>
      <c r="AL6973" t="s">
        <v>43</v>
      </c>
      <c r="AM6973" t="s">
        <v>43</v>
      </c>
      <c r="AN6973" t="str">
        <f>HYPERLINK("https://www.google.com/maps?q=10.7896471,79.57883453","Open Location")</f>
        <v>Open Location</v>
      </c>
    </row>
    <row r="6974" spans="1:40" x14ac:dyDescent="0.3">
      <c r="A6974" s="1">
        <v>46210.192129629628</v>
      </c>
      <c r="B6974" t="s">
        <v>40</v>
      </c>
      <c r="C6974" t="s">
        <v>41</v>
      </c>
      <c r="D6974" s="1">
        <v>46210.195034722223</v>
      </c>
      <c r="E6974" t="s">
        <v>42</v>
      </c>
      <c r="F6974" t="s">
        <v>43</v>
      </c>
      <c r="G6974" t="s">
        <v>43</v>
      </c>
      <c r="H6974" t="s">
        <v>43</v>
      </c>
      <c r="I6974" t="s">
        <v>43</v>
      </c>
      <c r="J6974" t="s">
        <v>43</v>
      </c>
      <c r="K6974" t="s">
        <v>43</v>
      </c>
      <c r="L6974" t="s">
        <v>43</v>
      </c>
      <c r="M6974" t="s">
        <v>43</v>
      </c>
      <c r="N6974" t="s">
        <v>45</v>
      </c>
      <c r="O6974" t="s">
        <v>43</v>
      </c>
      <c r="P6974" t="s">
        <v>43</v>
      </c>
      <c r="Q6974" t="s">
        <v>43</v>
      </c>
      <c r="R6974" t="s">
        <v>43</v>
      </c>
      <c r="S6974" t="s">
        <v>43</v>
      </c>
      <c r="T6974" t="s">
        <v>43</v>
      </c>
      <c r="U6974" t="s">
        <v>43</v>
      </c>
      <c r="V6974" t="s">
        <v>43</v>
      </c>
      <c r="W6974" t="s">
        <v>43</v>
      </c>
      <c r="X6974" t="s">
        <v>43</v>
      </c>
      <c r="Y6974" t="s">
        <v>43</v>
      </c>
      <c r="Z6974" t="s">
        <v>43</v>
      </c>
      <c r="AA6974" t="s">
        <v>43</v>
      </c>
      <c r="AB6974" t="s">
        <v>43</v>
      </c>
      <c r="AC6974" t="s">
        <v>43</v>
      </c>
      <c r="AD6974" t="s">
        <v>43</v>
      </c>
      <c r="AE6974" t="s">
        <v>43</v>
      </c>
      <c r="AF6974" t="s">
        <v>43</v>
      </c>
      <c r="AG6974" t="s">
        <v>43</v>
      </c>
      <c r="AH6974" t="s">
        <v>43</v>
      </c>
      <c r="AI6974" t="s">
        <v>43</v>
      </c>
      <c r="AJ6974" t="s">
        <v>43</v>
      </c>
      <c r="AK6974" t="s">
        <v>43</v>
      </c>
      <c r="AL6974" t="s">
        <v>43</v>
      </c>
      <c r="AM6974" t="s">
        <v>43</v>
      </c>
      <c r="AN6974" t="s">
        <v>43</v>
      </c>
    </row>
    <row r="6975" spans="1:40" x14ac:dyDescent="0.3">
      <c r="A6975" s="1">
        <v>46210.192013888889</v>
      </c>
      <c r="B6975" t="s">
        <v>40</v>
      </c>
      <c r="C6975" t="s">
        <v>41</v>
      </c>
      <c r="D6975" s="1">
        <v>46210.194872685184</v>
      </c>
      <c r="E6975" t="s">
        <v>42</v>
      </c>
      <c r="F6975" t="s">
        <v>43</v>
      </c>
      <c r="G6975" t="s">
        <v>43</v>
      </c>
      <c r="H6975" t="s">
        <v>43</v>
      </c>
      <c r="I6975" t="s">
        <v>4061</v>
      </c>
      <c r="J6975" t="s">
        <v>43</v>
      </c>
      <c r="K6975" t="s">
        <v>43</v>
      </c>
      <c r="L6975" t="s">
        <v>43</v>
      </c>
      <c r="M6975" t="s">
        <v>43</v>
      </c>
      <c r="N6975" t="s">
        <v>45</v>
      </c>
      <c r="O6975" t="s">
        <v>43</v>
      </c>
      <c r="P6975" t="s">
        <v>43</v>
      </c>
      <c r="Q6975" t="s">
        <v>43</v>
      </c>
      <c r="R6975" t="s">
        <v>43</v>
      </c>
      <c r="S6975" t="s">
        <v>43</v>
      </c>
      <c r="T6975" t="s">
        <v>43</v>
      </c>
      <c r="U6975" t="s">
        <v>43</v>
      </c>
      <c r="V6975" t="s">
        <v>43</v>
      </c>
      <c r="W6975" t="s">
        <v>43</v>
      </c>
      <c r="X6975" t="s">
        <v>43</v>
      </c>
      <c r="Y6975" t="s">
        <v>43</v>
      </c>
      <c r="Z6975" t="s">
        <v>43</v>
      </c>
      <c r="AA6975" t="s">
        <v>43</v>
      </c>
      <c r="AB6975" t="s">
        <v>43</v>
      </c>
      <c r="AC6975" t="s">
        <v>43</v>
      </c>
      <c r="AD6975" t="s">
        <v>43</v>
      </c>
      <c r="AE6975" t="s">
        <v>43</v>
      </c>
      <c r="AF6975" t="s">
        <v>43</v>
      </c>
      <c r="AG6975" t="s">
        <v>43</v>
      </c>
      <c r="AH6975" t="s">
        <v>43</v>
      </c>
      <c r="AI6975" t="s">
        <v>43</v>
      </c>
      <c r="AJ6975" t="s">
        <v>43</v>
      </c>
      <c r="AK6975" t="s">
        <v>43</v>
      </c>
      <c r="AL6975" t="s">
        <v>43</v>
      </c>
      <c r="AM6975" t="s">
        <v>43</v>
      </c>
      <c r="AN6975" t="str">
        <f>HYPERLINK("https://www.google.com/maps?q=10.78964615,79.57883453","Open Location")</f>
        <v>Open Location</v>
      </c>
    </row>
    <row r="6976" spans="1:40" x14ac:dyDescent="0.3">
      <c r="A6976" s="1">
        <v>46210.19189814815</v>
      </c>
      <c r="B6976" t="s">
        <v>40</v>
      </c>
      <c r="C6976" t="s">
        <v>41</v>
      </c>
      <c r="D6976" s="1">
        <v>46210.194872685184</v>
      </c>
      <c r="E6976" t="s">
        <v>42</v>
      </c>
      <c r="F6976" t="s">
        <v>43</v>
      </c>
      <c r="G6976" t="s">
        <v>43</v>
      </c>
      <c r="H6976" t="s">
        <v>43</v>
      </c>
      <c r="I6976" t="s">
        <v>4062</v>
      </c>
      <c r="J6976" t="s">
        <v>43</v>
      </c>
      <c r="K6976" t="s">
        <v>43</v>
      </c>
      <c r="L6976" t="s">
        <v>43</v>
      </c>
      <c r="M6976" t="s">
        <v>43</v>
      </c>
      <c r="N6976" t="s">
        <v>45</v>
      </c>
      <c r="O6976" t="s">
        <v>43</v>
      </c>
      <c r="P6976" t="s">
        <v>43</v>
      </c>
      <c r="Q6976" t="s">
        <v>43</v>
      </c>
      <c r="R6976" t="s">
        <v>43</v>
      </c>
      <c r="S6976" t="s">
        <v>43</v>
      </c>
      <c r="T6976" t="s">
        <v>43</v>
      </c>
      <c r="U6976" t="s">
        <v>43</v>
      </c>
      <c r="V6976" t="s">
        <v>43</v>
      </c>
      <c r="W6976" t="s">
        <v>43</v>
      </c>
      <c r="X6976" t="s">
        <v>43</v>
      </c>
      <c r="Y6976" t="s">
        <v>43</v>
      </c>
      <c r="Z6976" t="s">
        <v>43</v>
      </c>
      <c r="AA6976" t="s">
        <v>43</v>
      </c>
      <c r="AB6976" t="s">
        <v>43</v>
      </c>
      <c r="AC6976" t="s">
        <v>43</v>
      </c>
      <c r="AD6976" t="s">
        <v>43</v>
      </c>
      <c r="AE6976" t="s">
        <v>43</v>
      </c>
      <c r="AF6976" t="s">
        <v>43</v>
      </c>
      <c r="AG6976" t="s">
        <v>43</v>
      </c>
      <c r="AH6976" t="s">
        <v>43</v>
      </c>
      <c r="AI6976" t="s">
        <v>43</v>
      </c>
      <c r="AJ6976" t="s">
        <v>43</v>
      </c>
      <c r="AK6976" t="s">
        <v>43</v>
      </c>
      <c r="AL6976" t="s">
        <v>43</v>
      </c>
      <c r="AM6976" t="s">
        <v>43</v>
      </c>
      <c r="AN6976" t="str">
        <f>HYPERLINK("https://www.google.com/maps?q=10.78965187,79.5788269","Open Location")</f>
        <v>Open Location</v>
      </c>
    </row>
    <row r="6977" spans="1:40" x14ac:dyDescent="0.3">
      <c r="A6977" s="1">
        <v>46210.191782407404</v>
      </c>
      <c r="B6977" t="s">
        <v>40</v>
      </c>
      <c r="C6977" t="s">
        <v>41</v>
      </c>
      <c r="D6977" s="1">
        <v>46210.194664351853</v>
      </c>
      <c r="E6977" t="s">
        <v>42</v>
      </c>
      <c r="F6977" t="s">
        <v>43</v>
      </c>
      <c r="G6977" t="s">
        <v>43</v>
      </c>
      <c r="H6977" t="s">
        <v>43</v>
      </c>
      <c r="I6977" t="s">
        <v>4063</v>
      </c>
      <c r="J6977" t="s">
        <v>43</v>
      </c>
      <c r="K6977" t="s">
        <v>43</v>
      </c>
      <c r="L6977" t="s">
        <v>43</v>
      </c>
      <c r="M6977" t="s">
        <v>43</v>
      </c>
      <c r="N6977" t="s">
        <v>45</v>
      </c>
      <c r="O6977" t="s">
        <v>43</v>
      </c>
      <c r="P6977" t="s">
        <v>43</v>
      </c>
      <c r="Q6977" t="s">
        <v>43</v>
      </c>
      <c r="R6977" t="s">
        <v>43</v>
      </c>
      <c r="S6977" t="s">
        <v>43</v>
      </c>
      <c r="T6977" t="s">
        <v>43</v>
      </c>
      <c r="U6977" t="s">
        <v>43</v>
      </c>
      <c r="V6977" t="s">
        <v>43</v>
      </c>
      <c r="W6977" t="s">
        <v>43</v>
      </c>
      <c r="X6977" t="s">
        <v>43</v>
      </c>
      <c r="Y6977" t="s">
        <v>43</v>
      </c>
      <c r="Z6977" t="s">
        <v>43</v>
      </c>
      <c r="AA6977" t="s">
        <v>43</v>
      </c>
      <c r="AB6977" t="s">
        <v>43</v>
      </c>
      <c r="AC6977" t="s">
        <v>43</v>
      </c>
      <c r="AD6977" t="s">
        <v>43</v>
      </c>
      <c r="AE6977" t="s">
        <v>43</v>
      </c>
      <c r="AF6977" t="s">
        <v>43</v>
      </c>
      <c r="AG6977" t="s">
        <v>43</v>
      </c>
      <c r="AH6977" t="s">
        <v>43</v>
      </c>
      <c r="AI6977" t="s">
        <v>43</v>
      </c>
      <c r="AJ6977" t="s">
        <v>43</v>
      </c>
      <c r="AK6977" t="s">
        <v>43</v>
      </c>
      <c r="AL6977" t="s">
        <v>43</v>
      </c>
      <c r="AM6977" t="s">
        <v>43</v>
      </c>
      <c r="AN6977" t="str">
        <f>HYPERLINK("https://www.google.com/maps?q=10.78965664,79.5788269","Open Location")</f>
        <v>Open Location</v>
      </c>
    </row>
    <row r="6978" spans="1:40" x14ac:dyDescent="0.3">
      <c r="A6978" s="1">
        <v>46210.191666666666</v>
      </c>
      <c r="B6978" t="s">
        <v>40</v>
      </c>
      <c r="C6978" t="s">
        <v>41</v>
      </c>
      <c r="D6978" s="1">
        <v>46210.194675925923</v>
      </c>
      <c r="E6978" t="s">
        <v>42</v>
      </c>
      <c r="F6978" t="s">
        <v>43</v>
      </c>
      <c r="G6978" t="s">
        <v>43</v>
      </c>
      <c r="H6978" t="s">
        <v>43</v>
      </c>
      <c r="I6978" t="s">
        <v>4064</v>
      </c>
      <c r="J6978" t="s">
        <v>43</v>
      </c>
      <c r="K6978" t="s">
        <v>43</v>
      </c>
      <c r="L6978" t="s">
        <v>43</v>
      </c>
      <c r="M6978" t="s">
        <v>43</v>
      </c>
      <c r="N6978" t="s">
        <v>45</v>
      </c>
      <c r="O6978" t="s">
        <v>43</v>
      </c>
      <c r="P6978" t="s">
        <v>43</v>
      </c>
      <c r="Q6978" t="s">
        <v>43</v>
      </c>
      <c r="R6978" t="s">
        <v>43</v>
      </c>
      <c r="S6978" t="s">
        <v>43</v>
      </c>
      <c r="T6978" t="s">
        <v>43</v>
      </c>
      <c r="U6978" t="s">
        <v>43</v>
      </c>
      <c r="V6978" t="s">
        <v>43</v>
      </c>
      <c r="W6978" t="s">
        <v>43</v>
      </c>
      <c r="X6978" t="s">
        <v>43</v>
      </c>
      <c r="Y6978" t="s">
        <v>43</v>
      </c>
      <c r="Z6978" t="s">
        <v>43</v>
      </c>
      <c r="AA6978" t="s">
        <v>43</v>
      </c>
      <c r="AB6978" t="s">
        <v>43</v>
      </c>
      <c r="AC6978" t="s">
        <v>43</v>
      </c>
      <c r="AD6978" t="s">
        <v>43</v>
      </c>
      <c r="AE6978" t="s">
        <v>43</v>
      </c>
      <c r="AF6978" t="s">
        <v>43</v>
      </c>
      <c r="AG6978" t="s">
        <v>43</v>
      </c>
      <c r="AH6978" t="s">
        <v>43</v>
      </c>
      <c r="AI6978" t="s">
        <v>43</v>
      </c>
      <c r="AJ6978" t="s">
        <v>43</v>
      </c>
      <c r="AK6978" t="s">
        <v>43</v>
      </c>
      <c r="AL6978" t="s">
        <v>43</v>
      </c>
      <c r="AM6978" t="s">
        <v>43</v>
      </c>
      <c r="AN6978" t="str">
        <f>HYPERLINK("https://www.google.com/maps?q=10.78966236,79.5788269","Open Location")</f>
        <v>Open Location</v>
      </c>
    </row>
    <row r="6979" spans="1:40" x14ac:dyDescent="0.3">
      <c r="A6979" s="1">
        <v>46210.191550925927</v>
      </c>
      <c r="B6979" t="s">
        <v>40</v>
      </c>
      <c r="C6979" t="s">
        <v>41</v>
      </c>
      <c r="D6979" s="1">
        <v>46210.194178240738</v>
      </c>
      <c r="E6979" t="s">
        <v>42</v>
      </c>
      <c r="F6979" t="s">
        <v>43</v>
      </c>
      <c r="G6979" t="s">
        <v>43</v>
      </c>
      <c r="H6979" t="s">
        <v>43</v>
      </c>
      <c r="I6979" t="s">
        <v>4065</v>
      </c>
      <c r="J6979" t="s">
        <v>43</v>
      </c>
      <c r="K6979" t="s">
        <v>43</v>
      </c>
      <c r="L6979" t="s">
        <v>43</v>
      </c>
      <c r="M6979" t="s">
        <v>43</v>
      </c>
      <c r="N6979" t="s">
        <v>45</v>
      </c>
      <c r="O6979" t="s">
        <v>43</v>
      </c>
      <c r="P6979" t="s">
        <v>43</v>
      </c>
      <c r="Q6979" t="s">
        <v>43</v>
      </c>
      <c r="R6979" t="s">
        <v>43</v>
      </c>
      <c r="S6979" t="s">
        <v>43</v>
      </c>
      <c r="T6979" t="s">
        <v>43</v>
      </c>
      <c r="U6979" t="s">
        <v>43</v>
      </c>
      <c r="V6979" t="s">
        <v>43</v>
      </c>
      <c r="W6979" t="s">
        <v>43</v>
      </c>
      <c r="X6979" t="s">
        <v>43</v>
      </c>
      <c r="Y6979" t="s">
        <v>43</v>
      </c>
      <c r="Z6979" t="s">
        <v>43</v>
      </c>
      <c r="AA6979" t="s">
        <v>43</v>
      </c>
      <c r="AB6979" t="s">
        <v>43</v>
      </c>
      <c r="AC6979" t="s">
        <v>43</v>
      </c>
      <c r="AD6979" t="s">
        <v>43</v>
      </c>
      <c r="AE6979" t="s">
        <v>43</v>
      </c>
      <c r="AF6979" t="s">
        <v>43</v>
      </c>
      <c r="AG6979" t="s">
        <v>43</v>
      </c>
      <c r="AH6979" t="s">
        <v>43</v>
      </c>
      <c r="AI6979" t="s">
        <v>43</v>
      </c>
      <c r="AJ6979" t="s">
        <v>43</v>
      </c>
      <c r="AK6979" t="s">
        <v>43</v>
      </c>
      <c r="AL6979" t="s">
        <v>43</v>
      </c>
      <c r="AM6979" t="s">
        <v>43</v>
      </c>
      <c r="AN6979" t="str">
        <f>HYPERLINK("https://www.google.com/maps?q=10.78966713,79.5788269","Open Location")</f>
        <v>Open Location</v>
      </c>
    </row>
    <row r="6980" spans="1:40" x14ac:dyDescent="0.3">
      <c r="A6980" s="1">
        <v>46210.191435185188</v>
      </c>
      <c r="B6980" t="s">
        <v>40</v>
      </c>
      <c r="C6980" t="s">
        <v>41</v>
      </c>
      <c r="D6980" s="1">
        <v>46210.194189814814</v>
      </c>
      <c r="E6980" t="s">
        <v>42</v>
      </c>
      <c r="F6980" t="s">
        <v>43</v>
      </c>
      <c r="G6980" t="s">
        <v>43</v>
      </c>
      <c r="H6980" t="s">
        <v>43</v>
      </c>
      <c r="I6980" t="s">
        <v>43</v>
      </c>
      <c r="J6980" t="s">
        <v>43</v>
      </c>
      <c r="K6980" t="s">
        <v>43</v>
      </c>
      <c r="L6980" t="s">
        <v>43</v>
      </c>
      <c r="M6980" t="s">
        <v>43</v>
      </c>
      <c r="N6980" t="s">
        <v>45</v>
      </c>
      <c r="O6980" t="s">
        <v>43</v>
      </c>
      <c r="P6980" t="s">
        <v>43</v>
      </c>
      <c r="Q6980" t="s">
        <v>43</v>
      </c>
      <c r="R6980" t="s">
        <v>43</v>
      </c>
      <c r="S6980" t="s">
        <v>43</v>
      </c>
      <c r="T6980" t="s">
        <v>43</v>
      </c>
      <c r="U6980" t="s">
        <v>43</v>
      </c>
      <c r="V6980" t="s">
        <v>43</v>
      </c>
      <c r="W6980" t="s">
        <v>43</v>
      </c>
      <c r="X6980" t="s">
        <v>43</v>
      </c>
      <c r="Y6980" t="s">
        <v>43</v>
      </c>
      <c r="Z6980" t="s">
        <v>43</v>
      </c>
      <c r="AA6980" t="s">
        <v>43</v>
      </c>
      <c r="AB6980" t="s">
        <v>43</v>
      </c>
      <c r="AC6980" t="s">
        <v>43</v>
      </c>
      <c r="AD6980" t="s">
        <v>43</v>
      </c>
      <c r="AE6980" t="s">
        <v>43</v>
      </c>
      <c r="AF6980" t="s">
        <v>43</v>
      </c>
      <c r="AG6980" t="s">
        <v>43</v>
      </c>
      <c r="AH6980" t="s">
        <v>43</v>
      </c>
      <c r="AI6980" t="s">
        <v>43</v>
      </c>
      <c r="AJ6980" t="s">
        <v>43</v>
      </c>
      <c r="AK6980" t="s">
        <v>43</v>
      </c>
      <c r="AL6980" t="s">
        <v>43</v>
      </c>
      <c r="AM6980" t="s">
        <v>43</v>
      </c>
      <c r="AN6980" t="s">
        <v>43</v>
      </c>
    </row>
    <row r="6981" spans="1:40" x14ac:dyDescent="0.3">
      <c r="A6981" s="1">
        <v>46210.191319444442</v>
      </c>
      <c r="B6981" t="s">
        <v>40</v>
      </c>
      <c r="C6981" t="s">
        <v>41</v>
      </c>
      <c r="D6981" s="1">
        <v>46210.194305555553</v>
      </c>
      <c r="E6981" t="s">
        <v>42</v>
      </c>
      <c r="F6981" t="s">
        <v>43</v>
      </c>
      <c r="G6981" t="s">
        <v>43</v>
      </c>
      <c r="H6981" t="s">
        <v>43</v>
      </c>
      <c r="I6981" t="s">
        <v>4066</v>
      </c>
      <c r="J6981" t="s">
        <v>43</v>
      </c>
      <c r="K6981" t="s">
        <v>43</v>
      </c>
      <c r="L6981" t="s">
        <v>43</v>
      </c>
      <c r="M6981" t="s">
        <v>43</v>
      </c>
      <c r="N6981" t="s">
        <v>45</v>
      </c>
      <c r="O6981" t="s">
        <v>43</v>
      </c>
      <c r="P6981" t="s">
        <v>43</v>
      </c>
      <c r="Q6981" t="s">
        <v>43</v>
      </c>
      <c r="R6981" t="s">
        <v>43</v>
      </c>
      <c r="S6981" t="s">
        <v>43</v>
      </c>
      <c r="T6981" t="s">
        <v>43</v>
      </c>
      <c r="U6981" t="s">
        <v>43</v>
      </c>
      <c r="V6981" t="s">
        <v>43</v>
      </c>
      <c r="W6981" t="s">
        <v>43</v>
      </c>
      <c r="X6981" t="s">
        <v>43</v>
      </c>
      <c r="Y6981" t="s">
        <v>43</v>
      </c>
      <c r="Z6981" t="s">
        <v>43</v>
      </c>
      <c r="AA6981" t="s">
        <v>43</v>
      </c>
      <c r="AB6981" t="s">
        <v>43</v>
      </c>
      <c r="AC6981" t="s">
        <v>43</v>
      </c>
      <c r="AD6981" t="s">
        <v>43</v>
      </c>
      <c r="AE6981" t="s">
        <v>43</v>
      </c>
      <c r="AF6981" t="s">
        <v>43</v>
      </c>
      <c r="AG6981" t="s">
        <v>43</v>
      </c>
      <c r="AH6981" t="s">
        <v>43</v>
      </c>
      <c r="AI6981" t="s">
        <v>43</v>
      </c>
      <c r="AJ6981" t="s">
        <v>43</v>
      </c>
      <c r="AK6981" t="s">
        <v>43</v>
      </c>
      <c r="AL6981" t="s">
        <v>43</v>
      </c>
      <c r="AM6981" t="s">
        <v>43</v>
      </c>
      <c r="AN6981" t="str">
        <f>HYPERLINK("https://www.google.com/maps?q=10.78966236,79.57883453","Open Location")</f>
        <v>Open Location</v>
      </c>
    </row>
    <row r="6982" spans="1:40" x14ac:dyDescent="0.3">
      <c r="A6982" s="1">
        <v>46210.191203703704</v>
      </c>
      <c r="B6982" t="s">
        <v>40</v>
      </c>
      <c r="C6982" t="s">
        <v>41</v>
      </c>
      <c r="D6982" s="1">
        <v>46210.19427083333</v>
      </c>
      <c r="E6982" t="s">
        <v>42</v>
      </c>
      <c r="F6982" t="s">
        <v>43</v>
      </c>
      <c r="G6982" t="s">
        <v>43</v>
      </c>
      <c r="H6982" t="s">
        <v>43</v>
      </c>
      <c r="I6982" t="s">
        <v>4067</v>
      </c>
      <c r="J6982" t="s">
        <v>43</v>
      </c>
      <c r="K6982" t="s">
        <v>43</v>
      </c>
      <c r="L6982" t="s">
        <v>43</v>
      </c>
      <c r="M6982" t="s">
        <v>43</v>
      </c>
      <c r="N6982" t="s">
        <v>45</v>
      </c>
      <c r="O6982" t="s">
        <v>43</v>
      </c>
      <c r="P6982" t="s">
        <v>43</v>
      </c>
      <c r="Q6982" t="s">
        <v>43</v>
      </c>
      <c r="R6982" t="s">
        <v>43</v>
      </c>
      <c r="S6982" t="s">
        <v>43</v>
      </c>
      <c r="T6982" t="s">
        <v>43</v>
      </c>
      <c r="U6982" t="s">
        <v>43</v>
      </c>
      <c r="V6982" t="s">
        <v>43</v>
      </c>
      <c r="W6982" t="s">
        <v>43</v>
      </c>
      <c r="X6982" t="s">
        <v>43</v>
      </c>
      <c r="Y6982" t="s">
        <v>43</v>
      </c>
      <c r="Z6982" t="s">
        <v>43</v>
      </c>
      <c r="AA6982" t="s">
        <v>43</v>
      </c>
      <c r="AB6982" t="s">
        <v>43</v>
      </c>
      <c r="AC6982" t="s">
        <v>43</v>
      </c>
      <c r="AD6982" t="s">
        <v>43</v>
      </c>
      <c r="AE6982" t="s">
        <v>43</v>
      </c>
      <c r="AF6982" t="s">
        <v>43</v>
      </c>
      <c r="AG6982" t="s">
        <v>43</v>
      </c>
      <c r="AH6982" t="s">
        <v>43</v>
      </c>
      <c r="AI6982" t="s">
        <v>43</v>
      </c>
      <c r="AJ6982" t="s">
        <v>43</v>
      </c>
      <c r="AK6982" t="s">
        <v>43</v>
      </c>
      <c r="AL6982" t="s">
        <v>43</v>
      </c>
      <c r="AM6982" t="s">
        <v>43</v>
      </c>
      <c r="AN6982" t="str">
        <f>HYPERLINK("https://www.google.com/maps?q=10.78965855,79.57884216","Open Location")</f>
        <v>Open Location</v>
      </c>
    </row>
    <row r="6983" spans="1:40" x14ac:dyDescent="0.3">
      <c r="A6983" s="1">
        <v>46210.191087962965</v>
      </c>
      <c r="B6983" t="s">
        <v>40</v>
      </c>
      <c r="C6983" t="s">
        <v>41</v>
      </c>
      <c r="D6983" s="1">
        <v>46210.193738425929</v>
      </c>
      <c r="E6983" t="s">
        <v>42</v>
      </c>
      <c r="F6983" t="s">
        <v>43</v>
      </c>
      <c r="G6983" t="s">
        <v>43</v>
      </c>
      <c r="H6983" t="s">
        <v>43</v>
      </c>
      <c r="I6983" t="s">
        <v>4068</v>
      </c>
      <c r="J6983" t="s">
        <v>43</v>
      </c>
      <c r="K6983" t="s">
        <v>43</v>
      </c>
      <c r="L6983" t="s">
        <v>43</v>
      </c>
      <c r="M6983" t="s">
        <v>43</v>
      </c>
      <c r="N6983" t="s">
        <v>45</v>
      </c>
      <c r="O6983" t="s">
        <v>43</v>
      </c>
      <c r="P6983" t="s">
        <v>43</v>
      </c>
      <c r="Q6983" t="s">
        <v>43</v>
      </c>
      <c r="R6983" t="s">
        <v>43</v>
      </c>
      <c r="S6983" t="s">
        <v>43</v>
      </c>
      <c r="T6983" t="s">
        <v>43</v>
      </c>
      <c r="U6983" t="s">
        <v>43</v>
      </c>
      <c r="V6983" t="s">
        <v>43</v>
      </c>
      <c r="W6983" t="s">
        <v>43</v>
      </c>
      <c r="X6983" t="s">
        <v>43</v>
      </c>
      <c r="Y6983" t="s">
        <v>43</v>
      </c>
      <c r="Z6983" t="s">
        <v>43</v>
      </c>
      <c r="AA6983" t="s">
        <v>43</v>
      </c>
      <c r="AB6983" t="s">
        <v>43</v>
      </c>
      <c r="AC6983" t="s">
        <v>43</v>
      </c>
      <c r="AD6983" t="s">
        <v>43</v>
      </c>
      <c r="AE6983" t="s">
        <v>43</v>
      </c>
      <c r="AF6983" t="s">
        <v>43</v>
      </c>
      <c r="AG6983" t="s">
        <v>43</v>
      </c>
      <c r="AH6983" t="s">
        <v>43</v>
      </c>
      <c r="AI6983" t="s">
        <v>43</v>
      </c>
      <c r="AJ6983" t="s">
        <v>43</v>
      </c>
      <c r="AK6983" t="s">
        <v>43</v>
      </c>
      <c r="AL6983" t="s">
        <v>43</v>
      </c>
      <c r="AM6983" t="s">
        <v>43</v>
      </c>
      <c r="AN6983" t="str">
        <f>HYPERLINK("https://www.google.com/maps?q=10.78966427,79.57884979","Open Location")</f>
        <v>Open Location</v>
      </c>
    </row>
    <row r="6984" spans="1:40" x14ac:dyDescent="0.3">
      <c r="A6984" s="1">
        <v>46210.190972222219</v>
      </c>
      <c r="B6984" t="s">
        <v>40</v>
      </c>
      <c r="C6984" t="s">
        <v>41</v>
      </c>
      <c r="D6984" s="1">
        <v>46210.193923611114</v>
      </c>
      <c r="E6984" t="s">
        <v>42</v>
      </c>
      <c r="F6984" t="s">
        <v>43</v>
      </c>
      <c r="G6984" t="s">
        <v>43</v>
      </c>
      <c r="H6984" t="s">
        <v>43</v>
      </c>
      <c r="I6984" t="s">
        <v>3944</v>
      </c>
      <c r="J6984" t="s">
        <v>43</v>
      </c>
      <c r="K6984" t="s">
        <v>43</v>
      </c>
      <c r="L6984" t="s">
        <v>43</v>
      </c>
      <c r="M6984" t="s">
        <v>43</v>
      </c>
      <c r="N6984" t="s">
        <v>45</v>
      </c>
      <c r="O6984" t="s">
        <v>43</v>
      </c>
      <c r="P6984" t="s">
        <v>43</v>
      </c>
      <c r="Q6984" t="s">
        <v>43</v>
      </c>
      <c r="R6984" t="s">
        <v>43</v>
      </c>
      <c r="S6984" t="s">
        <v>43</v>
      </c>
      <c r="T6984" t="s">
        <v>43</v>
      </c>
      <c r="U6984" t="s">
        <v>43</v>
      </c>
      <c r="V6984" t="s">
        <v>43</v>
      </c>
      <c r="W6984" t="s">
        <v>43</v>
      </c>
      <c r="X6984" t="s">
        <v>43</v>
      </c>
      <c r="Y6984" t="s">
        <v>43</v>
      </c>
      <c r="Z6984" t="s">
        <v>43</v>
      </c>
      <c r="AA6984" t="s">
        <v>43</v>
      </c>
      <c r="AB6984" t="s">
        <v>43</v>
      </c>
      <c r="AC6984" t="s">
        <v>43</v>
      </c>
      <c r="AD6984" t="s">
        <v>43</v>
      </c>
      <c r="AE6984" t="s">
        <v>43</v>
      </c>
      <c r="AF6984" t="s">
        <v>43</v>
      </c>
      <c r="AG6984" t="s">
        <v>43</v>
      </c>
      <c r="AH6984" t="s">
        <v>43</v>
      </c>
      <c r="AI6984" t="s">
        <v>43</v>
      </c>
      <c r="AJ6984" t="s">
        <v>43</v>
      </c>
      <c r="AK6984" t="s">
        <v>43</v>
      </c>
      <c r="AL6984" t="s">
        <v>43</v>
      </c>
      <c r="AM6984" t="s">
        <v>43</v>
      </c>
      <c r="AN6984" t="str">
        <f>HYPERLINK("https://www.google.com/maps?q=10.78966427,79.57883453","Open Location")</f>
        <v>Open Location</v>
      </c>
    </row>
    <row r="6985" spans="1:40" x14ac:dyDescent="0.3">
      <c r="A6985" s="1">
        <v>46210.19085648148</v>
      </c>
      <c r="B6985" t="s">
        <v>40</v>
      </c>
      <c r="C6985" t="s">
        <v>41</v>
      </c>
      <c r="D6985" s="1">
        <v>46210.193923611114</v>
      </c>
      <c r="E6985" t="s">
        <v>42</v>
      </c>
      <c r="F6985" t="s">
        <v>43</v>
      </c>
      <c r="G6985" t="s">
        <v>43</v>
      </c>
      <c r="H6985" t="s">
        <v>43</v>
      </c>
      <c r="I6985" t="s">
        <v>43</v>
      </c>
      <c r="J6985" t="s">
        <v>43</v>
      </c>
      <c r="K6985" t="s">
        <v>43</v>
      </c>
      <c r="L6985" t="s">
        <v>43</v>
      </c>
      <c r="M6985" t="s">
        <v>43</v>
      </c>
      <c r="N6985" t="s">
        <v>45</v>
      </c>
      <c r="O6985" t="s">
        <v>43</v>
      </c>
      <c r="P6985" t="s">
        <v>43</v>
      </c>
      <c r="Q6985" t="s">
        <v>43</v>
      </c>
      <c r="R6985" t="s">
        <v>43</v>
      </c>
      <c r="S6985" t="s">
        <v>43</v>
      </c>
      <c r="T6985" t="s">
        <v>43</v>
      </c>
      <c r="U6985" t="s">
        <v>43</v>
      </c>
      <c r="V6985" t="s">
        <v>43</v>
      </c>
      <c r="W6985" t="s">
        <v>43</v>
      </c>
      <c r="X6985" t="s">
        <v>43</v>
      </c>
      <c r="Y6985" t="s">
        <v>43</v>
      </c>
      <c r="Z6985" t="s">
        <v>43</v>
      </c>
      <c r="AA6985" t="s">
        <v>43</v>
      </c>
      <c r="AB6985" t="s">
        <v>43</v>
      </c>
      <c r="AC6985" t="s">
        <v>43</v>
      </c>
      <c r="AD6985" t="s">
        <v>43</v>
      </c>
      <c r="AE6985" t="s">
        <v>43</v>
      </c>
      <c r="AF6985" t="s">
        <v>43</v>
      </c>
      <c r="AG6985" t="s">
        <v>43</v>
      </c>
      <c r="AH6985" t="s">
        <v>43</v>
      </c>
      <c r="AI6985" t="s">
        <v>43</v>
      </c>
      <c r="AJ6985" t="s">
        <v>43</v>
      </c>
      <c r="AK6985" t="s">
        <v>43</v>
      </c>
      <c r="AL6985" t="s">
        <v>43</v>
      </c>
      <c r="AM6985" t="s">
        <v>43</v>
      </c>
      <c r="AN6985" t="s">
        <v>43</v>
      </c>
    </row>
    <row r="6986" spans="1:40" x14ac:dyDescent="0.3">
      <c r="A6986" s="1">
        <v>46210.190740740742</v>
      </c>
      <c r="B6986" t="s">
        <v>40</v>
      </c>
      <c r="C6986" t="s">
        <v>41</v>
      </c>
      <c r="D6986" s="1">
        <v>46210.193912037037</v>
      </c>
      <c r="E6986" t="s">
        <v>42</v>
      </c>
      <c r="F6986" t="s">
        <v>43</v>
      </c>
      <c r="G6986" t="s">
        <v>43</v>
      </c>
      <c r="H6986" t="s">
        <v>43</v>
      </c>
      <c r="I6986" t="s">
        <v>4069</v>
      </c>
      <c r="J6986" t="s">
        <v>43</v>
      </c>
      <c r="K6986" t="s">
        <v>43</v>
      </c>
      <c r="L6986" t="s">
        <v>43</v>
      </c>
      <c r="M6986" t="s">
        <v>43</v>
      </c>
      <c r="N6986" t="s">
        <v>45</v>
      </c>
      <c r="O6986" t="s">
        <v>43</v>
      </c>
      <c r="P6986" t="s">
        <v>43</v>
      </c>
      <c r="Q6986" t="s">
        <v>43</v>
      </c>
      <c r="R6986" t="s">
        <v>43</v>
      </c>
      <c r="S6986" t="s">
        <v>43</v>
      </c>
      <c r="T6986" t="s">
        <v>43</v>
      </c>
      <c r="U6986" t="s">
        <v>43</v>
      </c>
      <c r="V6986" t="s">
        <v>43</v>
      </c>
      <c r="W6986" t="s">
        <v>43</v>
      </c>
      <c r="X6986" t="s">
        <v>43</v>
      </c>
      <c r="Y6986" t="s">
        <v>43</v>
      </c>
      <c r="Z6986" t="s">
        <v>43</v>
      </c>
      <c r="AA6986" t="s">
        <v>43</v>
      </c>
      <c r="AB6986" t="s">
        <v>43</v>
      </c>
      <c r="AC6986" t="s">
        <v>43</v>
      </c>
      <c r="AD6986" t="s">
        <v>43</v>
      </c>
      <c r="AE6986" t="s">
        <v>43</v>
      </c>
      <c r="AF6986" t="s">
        <v>43</v>
      </c>
      <c r="AG6986" t="s">
        <v>43</v>
      </c>
      <c r="AH6986" t="s">
        <v>43</v>
      </c>
      <c r="AI6986" t="s">
        <v>43</v>
      </c>
      <c r="AJ6986" t="s">
        <v>43</v>
      </c>
      <c r="AK6986" t="s">
        <v>43</v>
      </c>
      <c r="AL6986" t="s">
        <v>43</v>
      </c>
      <c r="AM6986" t="s">
        <v>43</v>
      </c>
      <c r="AN6986" t="str">
        <f>HYPERLINK("https://www.google.com/maps?q=10.78966618,79.57884216","Open Location")</f>
        <v>Open Location</v>
      </c>
    </row>
    <row r="6987" spans="1:40" x14ac:dyDescent="0.3">
      <c r="A6987" s="1">
        <v>46210.190625000003</v>
      </c>
      <c r="B6987" t="s">
        <v>40</v>
      </c>
      <c r="C6987" t="s">
        <v>41</v>
      </c>
      <c r="D6987" s="1">
        <v>46210.193530092591</v>
      </c>
      <c r="E6987" t="s">
        <v>42</v>
      </c>
      <c r="F6987" t="s">
        <v>43</v>
      </c>
      <c r="G6987" t="s">
        <v>43</v>
      </c>
      <c r="H6987" t="s">
        <v>43</v>
      </c>
      <c r="I6987" t="s">
        <v>4070</v>
      </c>
      <c r="J6987" t="s">
        <v>43</v>
      </c>
      <c r="K6987" t="s">
        <v>43</v>
      </c>
      <c r="L6987" t="s">
        <v>43</v>
      </c>
      <c r="M6987" t="s">
        <v>43</v>
      </c>
      <c r="N6987" t="s">
        <v>45</v>
      </c>
      <c r="O6987" t="s">
        <v>43</v>
      </c>
      <c r="P6987" t="s">
        <v>43</v>
      </c>
      <c r="Q6987" t="s">
        <v>43</v>
      </c>
      <c r="R6987" t="s">
        <v>43</v>
      </c>
      <c r="S6987" t="s">
        <v>43</v>
      </c>
      <c r="T6987" t="s">
        <v>43</v>
      </c>
      <c r="U6987" t="s">
        <v>43</v>
      </c>
      <c r="V6987" t="s">
        <v>43</v>
      </c>
      <c r="W6987" t="s">
        <v>43</v>
      </c>
      <c r="X6987" t="s">
        <v>43</v>
      </c>
      <c r="Y6987" t="s">
        <v>43</v>
      </c>
      <c r="Z6987" t="s">
        <v>43</v>
      </c>
      <c r="AA6987" t="s">
        <v>43</v>
      </c>
      <c r="AB6987" t="s">
        <v>43</v>
      </c>
      <c r="AC6987" t="s">
        <v>43</v>
      </c>
      <c r="AD6987" t="s">
        <v>43</v>
      </c>
      <c r="AE6987" t="s">
        <v>43</v>
      </c>
      <c r="AF6987" t="s">
        <v>43</v>
      </c>
      <c r="AG6987" t="s">
        <v>43</v>
      </c>
      <c r="AH6987" t="s">
        <v>43</v>
      </c>
      <c r="AI6987" t="s">
        <v>43</v>
      </c>
      <c r="AJ6987" t="s">
        <v>43</v>
      </c>
      <c r="AK6987" t="s">
        <v>43</v>
      </c>
      <c r="AL6987" t="s">
        <v>43</v>
      </c>
      <c r="AM6987" t="s">
        <v>43</v>
      </c>
      <c r="AN6987" t="str">
        <f>HYPERLINK("https://www.google.com/maps?q=10.78966141,79.57884216","Open Location")</f>
        <v>Open Location</v>
      </c>
    </row>
    <row r="6988" spans="1:40" x14ac:dyDescent="0.3">
      <c r="A6988" s="1">
        <v>46210.190509259257</v>
      </c>
      <c r="B6988" t="s">
        <v>40</v>
      </c>
      <c r="C6988" t="s">
        <v>41</v>
      </c>
      <c r="D6988" s="1">
        <v>46210.193541666667</v>
      </c>
      <c r="E6988" t="s">
        <v>42</v>
      </c>
      <c r="F6988" t="s">
        <v>43</v>
      </c>
      <c r="G6988" t="s">
        <v>43</v>
      </c>
      <c r="H6988" t="s">
        <v>43</v>
      </c>
      <c r="I6988" t="s">
        <v>4071</v>
      </c>
      <c r="J6988" t="s">
        <v>43</v>
      </c>
      <c r="K6988" t="s">
        <v>43</v>
      </c>
      <c r="L6988" t="s">
        <v>43</v>
      </c>
      <c r="M6988" t="s">
        <v>43</v>
      </c>
      <c r="N6988" t="s">
        <v>45</v>
      </c>
      <c r="O6988" t="s">
        <v>43</v>
      </c>
      <c r="P6988" t="s">
        <v>43</v>
      </c>
      <c r="Q6988" t="s">
        <v>43</v>
      </c>
      <c r="R6988" t="s">
        <v>43</v>
      </c>
      <c r="S6988" t="s">
        <v>43</v>
      </c>
      <c r="T6988" t="s">
        <v>43</v>
      </c>
      <c r="U6988" t="s">
        <v>43</v>
      </c>
      <c r="V6988" t="s">
        <v>43</v>
      </c>
      <c r="W6988" t="s">
        <v>43</v>
      </c>
      <c r="X6988" t="s">
        <v>43</v>
      </c>
      <c r="Y6988" t="s">
        <v>43</v>
      </c>
      <c r="Z6988" t="s">
        <v>43</v>
      </c>
      <c r="AA6988" t="s">
        <v>43</v>
      </c>
      <c r="AB6988" t="s">
        <v>43</v>
      </c>
      <c r="AC6988" t="s">
        <v>43</v>
      </c>
      <c r="AD6988" t="s">
        <v>43</v>
      </c>
      <c r="AE6988" t="s">
        <v>43</v>
      </c>
      <c r="AF6988" t="s">
        <v>43</v>
      </c>
      <c r="AG6988" t="s">
        <v>43</v>
      </c>
      <c r="AH6988" t="s">
        <v>43</v>
      </c>
      <c r="AI6988" t="s">
        <v>43</v>
      </c>
      <c r="AJ6988" t="s">
        <v>43</v>
      </c>
      <c r="AK6988" t="s">
        <v>43</v>
      </c>
      <c r="AL6988" t="s">
        <v>43</v>
      </c>
      <c r="AM6988" t="s">
        <v>43</v>
      </c>
      <c r="AN6988" t="str">
        <f>HYPERLINK("https://www.google.com/maps?q=10.78966141,79.57884979","Open Location")</f>
        <v>Open Location</v>
      </c>
    </row>
    <row r="6989" spans="1:40" x14ac:dyDescent="0.3">
      <c r="A6989" s="1">
        <v>46210.190393518518</v>
      </c>
      <c r="B6989" t="s">
        <v>40</v>
      </c>
      <c r="C6989" t="s">
        <v>41</v>
      </c>
      <c r="D6989" s="1">
        <v>46210.193148148152</v>
      </c>
      <c r="E6989" t="s">
        <v>42</v>
      </c>
      <c r="F6989" t="s">
        <v>43</v>
      </c>
      <c r="G6989" t="s">
        <v>43</v>
      </c>
      <c r="H6989" t="s">
        <v>43</v>
      </c>
      <c r="I6989" t="s">
        <v>4070</v>
      </c>
      <c r="J6989" t="s">
        <v>43</v>
      </c>
      <c r="K6989" t="s">
        <v>43</v>
      </c>
      <c r="L6989" t="s">
        <v>43</v>
      </c>
      <c r="M6989" t="s">
        <v>43</v>
      </c>
      <c r="N6989" t="s">
        <v>45</v>
      </c>
      <c r="O6989" t="s">
        <v>43</v>
      </c>
      <c r="P6989" t="s">
        <v>43</v>
      </c>
      <c r="Q6989" t="s">
        <v>43</v>
      </c>
      <c r="R6989" t="s">
        <v>43</v>
      </c>
      <c r="S6989" t="s">
        <v>43</v>
      </c>
      <c r="T6989" t="s">
        <v>43</v>
      </c>
      <c r="U6989" t="s">
        <v>43</v>
      </c>
      <c r="V6989" t="s">
        <v>43</v>
      </c>
      <c r="W6989" t="s">
        <v>43</v>
      </c>
      <c r="X6989" t="s">
        <v>43</v>
      </c>
      <c r="Y6989" t="s">
        <v>43</v>
      </c>
      <c r="Z6989" t="s">
        <v>43</v>
      </c>
      <c r="AA6989" t="s">
        <v>43</v>
      </c>
      <c r="AB6989" t="s">
        <v>43</v>
      </c>
      <c r="AC6989" t="s">
        <v>43</v>
      </c>
      <c r="AD6989" t="s">
        <v>43</v>
      </c>
      <c r="AE6989" t="s">
        <v>43</v>
      </c>
      <c r="AF6989" t="s">
        <v>43</v>
      </c>
      <c r="AG6989" t="s">
        <v>43</v>
      </c>
      <c r="AH6989" t="s">
        <v>43</v>
      </c>
      <c r="AI6989" t="s">
        <v>43</v>
      </c>
      <c r="AJ6989" t="s">
        <v>43</v>
      </c>
      <c r="AK6989" t="s">
        <v>43</v>
      </c>
      <c r="AL6989" t="s">
        <v>43</v>
      </c>
      <c r="AM6989" t="s">
        <v>43</v>
      </c>
      <c r="AN6989" t="str">
        <f>HYPERLINK("https://www.google.com/maps?q=10.78966141,79.57884216","Open Location")</f>
        <v>Open Location</v>
      </c>
    </row>
    <row r="6990" spans="1:40" x14ac:dyDescent="0.3">
      <c r="A6990" s="1">
        <v>46210.19027777778</v>
      </c>
      <c r="B6990" t="s">
        <v>40</v>
      </c>
      <c r="C6990" t="s">
        <v>41</v>
      </c>
      <c r="D6990" s="1">
        <v>46210.193159722221</v>
      </c>
      <c r="E6990" t="s">
        <v>42</v>
      </c>
      <c r="F6990" t="s">
        <v>43</v>
      </c>
      <c r="G6990" t="s">
        <v>43</v>
      </c>
      <c r="H6990" t="s">
        <v>43</v>
      </c>
      <c r="I6990" t="s">
        <v>4072</v>
      </c>
      <c r="J6990" t="s">
        <v>43</v>
      </c>
      <c r="K6990" t="s">
        <v>43</v>
      </c>
      <c r="L6990" t="s">
        <v>43</v>
      </c>
      <c r="M6990" t="s">
        <v>43</v>
      </c>
      <c r="N6990" t="s">
        <v>45</v>
      </c>
      <c r="O6990" t="s">
        <v>43</v>
      </c>
      <c r="P6990" t="s">
        <v>43</v>
      </c>
      <c r="Q6990" t="s">
        <v>43</v>
      </c>
      <c r="R6990" t="s">
        <v>43</v>
      </c>
      <c r="S6990" t="s">
        <v>43</v>
      </c>
      <c r="T6990" t="s">
        <v>43</v>
      </c>
      <c r="U6990" t="s">
        <v>43</v>
      </c>
      <c r="V6990" t="s">
        <v>43</v>
      </c>
      <c r="W6990" t="s">
        <v>43</v>
      </c>
      <c r="X6990" t="s">
        <v>43</v>
      </c>
      <c r="Y6990" t="s">
        <v>43</v>
      </c>
      <c r="Z6990" t="s">
        <v>43</v>
      </c>
      <c r="AA6990" t="s">
        <v>43</v>
      </c>
      <c r="AB6990" t="s">
        <v>43</v>
      </c>
      <c r="AC6990" t="s">
        <v>43</v>
      </c>
      <c r="AD6990" t="s">
        <v>43</v>
      </c>
      <c r="AE6990" t="s">
        <v>43</v>
      </c>
      <c r="AF6990" t="s">
        <v>43</v>
      </c>
      <c r="AG6990" t="s">
        <v>43</v>
      </c>
      <c r="AH6990" t="s">
        <v>43</v>
      </c>
      <c r="AI6990" t="s">
        <v>43</v>
      </c>
      <c r="AJ6990" t="s">
        <v>43</v>
      </c>
      <c r="AK6990" t="s">
        <v>43</v>
      </c>
      <c r="AL6990" t="s">
        <v>43</v>
      </c>
      <c r="AM6990" t="s">
        <v>43</v>
      </c>
      <c r="AN6990" t="str">
        <f>HYPERLINK("https://www.google.com/maps?q=10.78966331,79.57884216","Open Location")</f>
        <v>Open Location</v>
      </c>
    </row>
    <row r="6991" spans="1:40" x14ac:dyDescent="0.3">
      <c r="A6991" s="1">
        <v>46210.190162037034</v>
      </c>
      <c r="B6991" t="s">
        <v>40</v>
      </c>
      <c r="C6991" t="s">
        <v>41</v>
      </c>
      <c r="D6991" s="1">
        <v>46210.193171296298</v>
      </c>
      <c r="E6991" t="s">
        <v>42</v>
      </c>
      <c r="F6991" t="s">
        <v>43</v>
      </c>
      <c r="G6991" t="s">
        <v>43</v>
      </c>
      <c r="H6991" t="s">
        <v>43</v>
      </c>
      <c r="I6991" t="s">
        <v>43</v>
      </c>
      <c r="J6991" t="s">
        <v>43</v>
      </c>
      <c r="K6991" t="s">
        <v>43</v>
      </c>
      <c r="L6991" t="s">
        <v>43</v>
      </c>
      <c r="M6991" t="s">
        <v>43</v>
      </c>
      <c r="N6991" t="s">
        <v>45</v>
      </c>
      <c r="O6991" t="s">
        <v>43</v>
      </c>
      <c r="P6991" t="s">
        <v>43</v>
      </c>
      <c r="Q6991" t="s">
        <v>43</v>
      </c>
      <c r="R6991" t="s">
        <v>43</v>
      </c>
      <c r="S6991" t="s">
        <v>43</v>
      </c>
      <c r="T6991" t="s">
        <v>43</v>
      </c>
      <c r="U6991" t="s">
        <v>43</v>
      </c>
      <c r="V6991" t="s">
        <v>43</v>
      </c>
      <c r="W6991" t="s">
        <v>43</v>
      </c>
      <c r="X6991" t="s">
        <v>43</v>
      </c>
      <c r="Y6991" t="s">
        <v>43</v>
      </c>
      <c r="Z6991" t="s">
        <v>43</v>
      </c>
      <c r="AA6991" t="s">
        <v>43</v>
      </c>
      <c r="AB6991" t="s">
        <v>43</v>
      </c>
      <c r="AC6991" t="s">
        <v>43</v>
      </c>
      <c r="AD6991" t="s">
        <v>43</v>
      </c>
      <c r="AE6991" t="s">
        <v>43</v>
      </c>
      <c r="AF6991" t="s">
        <v>43</v>
      </c>
      <c r="AG6991" t="s">
        <v>43</v>
      </c>
      <c r="AH6991" t="s">
        <v>43</v>
      </c>
      <c r="AI6991" t="s">
        <v>43</v>
      </c>
      <c r="AJ6991" t="s">
        <v>43</v>
      </c>
      <c r="AK6991" t="s">
        <v>43</v>
      </c>
      <c r="AL6991" t="s">
        <v>43</v>
      </c>
      <c r="AM6991" t="s">
        <v>43</v>
      </c>
      <c r="AN6991" t="s">
        <v>43</v>
      </c>
    </row>
    <row r="6992" spans="1:40" x14ac:dyDescent="0.3">
      <c r="A6992" s="1">
        <v>46210.190046296295</v>
      </c>
      <c r="B6992" t="s">
        <v>40</v>
      </c>
      <c r="C6992" t="s">
        <v>41</v>
      </c>
      <c r="D6992" s="1">
        <v>46210.193159722221</v>
      </c>
      <c r="E6992" t="s">
        <v>42</v>
      </c>
      <c r="F6992" t="s">
        <v>43</v>
      </c>
      <c r="G6992" t="s">
        <v>43</v>
      </c>
      <c r="H6992" t="s">
        <v>43</v>
      </c>
      <c r="I6992" t="s">
        <v>4073</v>
      </c>
      <c r="J6992" t="s">
        <v>43</v>
      </c>
      <c r="K6992" t="s">
        <v>43</v>
      </c>
      <c r="L6992" t="s">
        <v>43</v>
      </c>
      <c r="M6992" t="s">
        <v>43</v>
      </c>
      <c r="N6992" t="s">
        <v>45</v>
      </c>
      <c r="O6992" t="s">
        <v>43</v>
      </c>
      <c r="P6992" t="s">
        <v>43</v>
      </c>
      <c r="Q6992" t="s">
        <v>43</v>
      </c>
      <c r="R6992" t="s">
        <v>43</v>
      </c>
      <c r="S6992" t="s">
        <v>43</v>
      </c>
      <c r="T6992" t="s">
        <v>43</v>
      </c>
      <c r="U6992" t="s">
        <v>43</v>
      </c>
      <c r="V6992" t="s">
        <v>43</v>
      </c>
      <c r="W6992" t="s">
        <v>43</v>
      </c>
      <c r="X6992" t="s">
        <v>43</v>
      </c>
      <c r="Y6992" t="s">
        <v>43</v>
      </c>
      <c r="Z6992" t="s">
        <v>43</v>
      </c>
      <c r="AA6992" t="s">
        <v>43</v>
      </c>
      <c r="AB6992" t="s">
        <v>43</v>
      </c>
      <c r="AC6992" t="s">
        <v>43</v>
      </c>
      <c r="AD6992" t="s">
        <v>43</v>
      </c>
      <c r="AE6992" t="s">
        <v>43</v>
      </c>
      <c r="AF6992" t="s">
        <v>43</v>
      </c>
      <c r="AG6992" t="s">
        <v>43</v>
      </c>
      <c r="AH6992" t="s">
        <v>43</v>
      </c>
      <c r="AI6992" t="s">
        <v>43</v>
      </c>
      <c r="AJ6992" t="s">
        <v>43</v>
      </c>
      <c r="AK6992" t="s">
        <v>43</v>
      </c>
      <c r="AL6992" t="s">
        <v>43</v>
      </c>
      <c r="AM6992" t="s">
        <v>43</v>
      </c>
      <c r="AN6992" t="str">
        <f>HYPERLINK("https://www.google.com/maps?q=10.78966427,79.57884216","Open Location")</f>
        <v>Open Location</v>
      </c>
    </row>
    <row r="6993" spans="1:40" x14ac:dyDescent="0.3">
      <c r="A6993" s="1">
        <v>46210.189930555556</v>
      </c>
      <c r="B6993" t="s">
        <v>40</v>
      </c>
      <c r="C6993" t="s">
        <v>41</v>
      </c>
      <c r="D6993" s="1">
        <v>46210.192800925928</v>
      </c>
      <c r="E6993" t="s">
        <v>42</v>
      </c>
      <c r="F6993" t="s">
        <v>43</v>
      </c>
      <c r="G6993" t="s">
        <v>43</v>
      </c>
      <c r="H6993" t="s">
        <v>43</v>
      </c>
      <c r="I6993" t="s">
        <v>4074</v>
      </c>
      <c r="J6993" t="s">
        <v>43</v>
      </c>
      <c r="K6993" t="s">
        <v>43</v>
      </c>
      <c r="L6993" t="s">
        <v>43</v>
      </c>
      <c r="M6993" t="s">
        <v>43</v>
      </c>
      <c r="N6993" t="s">
        <v>45</v>
      </c>
      <c r="O6993" t="s">
        <v>43</v>
      </c>
      <c r="P6993" t="s">
        <v>43</v>
      </c>
      <c r="Q6993" t="s">
        <v>43</v>
      </c>
      <c r="R6993" t="s">
        <v>43</v>
      </c>
      <c r="S6993" t="s">
        <v>43</v>
      </c>
      <c r="T6993" t="s">
        <v>43</v>
      </c>
      <c r="U6993" t="s">
        <v>43</v>
      </c>
      <c r="V6993" t="s">
        <v>43</v>
      </c>
      <c r="W6993" t="s">
        <v>43</v>
      </c>
      <c r="X6993" t="s">
        <v>43</v>
      </c>
      <c r="Y6993" t="s">
        <v>43</v>
      </c>
      <c r="Z6993" t="s">
        <v>43</v>
      </c>
      <c r="AA6993" t="s">
        <v>43</v>
      </c>
      <c r="AB6993" t="s">
        <v>43</v>
      </c>
      <c r="AC6993" t="s">
        <v>43</v>
      </c>
      <c r="AD6993" t="s">
        <v>43</v>
      </c>
      <c r="AE6993" t="s">
        <v>43</v>
      </c>
      <c r="AF6993" t="s">
        <v>43</v>
      </c>
      <c r="AG6993" t="s">
        <v>43</v>
      </c>
      <c r="AH6993" t="s">
        <v>43</v>
      </c>
      <c r="AI6993" t="s">
        <v>43</v>
      </c>
      <c r="AJ6993" t="s">
        <v>43</v>
      </c>
      <c r="AK6993" t="s">
        <v>43</v>
      </c>
      <c r="AL6993" t="s">
        <v>43</v>
      </c>
      <c r="AM6993" t="s">
        <v>43</v>
      </c>
      <c r="AN6993" t="str">
        <f>HYPERLINK("https://www.google.com/maps?q=10.78966618,79.57883453","Open Location")</f>
        <v>Open Location</v>
      </c>
    </row>
    <row r="6994" spans="1:40" x14ac:dyDescent="0.3">
      <c r="A6994" s="1">
        <v>46210.189814814818</v>
      </c>
      <c r="B6994" t="s">
        <v>40</v>
      </c>
      <c r="C6994" t="s">
        <v>41</v>
      </c>
      <c r="D6994" s="1">
        <v>46210.192731481482</v>
      </c>
      <c r="E6994" t="s">
        <v>42</v>
      </c>
      <c r="F6994" t="s">
        <v>43</v>
      </c>
      <c r="G6994" t="s">
        <v>43</v>
      </c>
      <c r="H6994" t="s">
        <v>43</v>
      </c>
      <c r="I6994" t="s">
        <v>3941</v>
      </c>
      <c r="J6994" t="s">
        <v>43</v>
      </c>
      <c r="K6994" t="s">
        <v>43</v>
      </c>
      <c r="L6994" t="s">
        <v>43</v>
      </c>
      <c r="M6994" t="s">
        <v>43</v>
      </c>
      <c r="N6994" t="s">
        <v>45</v>
      </c>
      <c r="O6994" t="s">
        <v>43</v>
      </c>
      <c r="P6994" t="s">
        <v>43</v>
      </c>
      <c r="Q6994" t="s">
        <v>43</v>
      </c>
      <c r="R6994" t="s">
        <v>43</v>
      </c>
      <c r="S6994" t="s">
        <v>43</v>
      </c>
      <c r="T6994" t="s">
        <v>43</v>
      </c>
      <c r="U6994" t="s">
        <v>43</v>
      </c>
      <c r="V6994" t="s">
        <v>43</v>
      </c>
      <c r="W6994" t="s">
        <v>43</v>
      </c>
      <c r="X6994" t="s">
        <v>43</v>
      </c>
      <c r="Y6994" t="s">
        <v>43</v>
      </c>
      <c r="Z6994" t="s">
        <v>43</v>
      </c>
      <c r="AA6994" t="s">
        <v>43</v>
      </c>
      <c r="AB6994" t="s">
        <v>43</v>
      </c>
      <c r="AC6994" t="s">
        <v>43</v>
      </c>
      <c r="AD6994" t="s">
        <v>43</v>
      </c>
      <c r="AE6994" t="s">
        <v>43</v>
      </c>
      <c r="AF6994" t="s">
        <v>43</v>
      </c>
      <c r="AG6994" t="s">
        <v>43</v>
      </c>
      <c r="AH6994" t="s">
        <v>43</v>
      </c>
      <c r="AI6994" t="s">
        <v>43</v>
      </c>
      <c r="AJ6994" t="s">
        <v>43</v>
      </c>
      <c r="AK6994" t="s">
        <v>43</v>
      </c>
      <c r="AL6994" t="s">
        <v>43</v>
      </c>
      <c r="AM6994" t="s">
        <v>43</v>
      </c>
      <c r="AN6994" t="str">
        <f>HYPERLINK("https://www.google.com/maps?q=10.78966331,79.5788269","Open Location")</f>
        <v>Open Location</v>
      </c>
    </row>
    <row r="6995" spans="1:40" x14ac:dyDescent="0.3">
      <c r="A6995" s="1">
        <v>46210.189699074072</v>
      </c>
      <c r="B6995" t="s">
        <v>40</v>
      </c>
      <c r="C6995" t="s">
        <v>41</v>
      </c>
      <c r="D6995" s="1">
        <v>46210.192789351851</v>
      </c>
      <c r="E6995" t="s">
        <v>42</v>
      </c>
      <c r="F6995" t="s">
        <v>43</v>
      </c>
      <c r="G6995" t="s">
        <v>43</v>
      </c>
      <c r="H6995" t="s">
        <v>43</v>
      </c>
      <c r="I6995" t="s">
        <v>4075</v>
      </c>
      <c r="J6995" t="s">
        <v>43</v>
      </c>
      <c r="K6995" t="s">
        <v>43</v>
      </c>
      <c r="L6995" t="s">
        <v>43</v>
      </c>
      <c r="M6995" t="s">
        <v>43</v>
      </c>
      <c r="N6995" t="s">
        <v>45</v>
      </c>
      <c r="O6995" t="s">
        <v>43</v>
      </c>
      <c r="P6995" t="s">
        <v>43</v>
      </c>
      <c r="Q6995" t="s">
        <v>43</v>
      </c>
      <c r="R6995" t="s">
        <v>43</v>
      </c>
      <c r="S6995" t="s">
        <v>43</v>
      </c>
      <c r="T6995" t="s">
        <v>43</v>
      </c>
      <c r="U6995" t="s">
        <v>43</v>
      </c>
      <c r="V6995" t="s">
        <v>43</v>
      </c>
      <c r="W6995" t="s">
        <v>43</v>
      </c>
      <c r="X6995" t="s">
        <v>43</v>
      </c>
      <c r="Y6995" t="s">
        <v>43</v>
      </c>
      <c r="Z6995" t="s">
        <v>43</v>
      </c>
      <c r="AA6995" t="s">
        <v>43</v>
      </c>
      <c r="AB6995" t="s">
        <v>43</v>
      </c>
      <c r="AC6995" t="s">
        <v>43</v>
      </c>
      <c r="AD6995" t="s">
        <v>43</v>
      </c>
      <c r="AE6995" t="s">
        <v>43</v>
      </c>
      <c r="AF6995" t="s">
        <v>43</v>
      </c>
      <c r="AG6995" t="s">
        <v>43</v>
      </c>
      <c r="AH6995" t="s">
        <v>43</v>
      </c>
      <c r="AI6995" t="s">
        <v>43</v>
      </c>
      <c r="AJ6995" t="s">
        <v>43</v>
      </c>
      <c r="AK6995" t="s">
        <v>43</v>
      </c>
      <c r="AL6995" t="s">
        <v>43</v>
      </c>
      <c r="AM6995" t="s">
        <v>43</v>
      </c>
      <c r="AN6995" t="str">
        <f>HYPERLINK("https://www.google.com/maps?q=10.78966427,79.5788269","Open Location")</f>
        <v>Open Location</v>
      </c>
    </row>
    <row r="6996" spans="1:40" x14ac:dyDescent="0.3">
      <c r="A6996" s="1">
        <v>46210.189583333333</v>
      </c>
      <c r="B6996" t="s">
        <v>40</v>
      </c>
      <c r="C6996" t="s">
        <v>41</v>
      </c>
      <c r="D6996" s="1">
        <v>46210.192395833335</v>
      </c>
      <c r="E6996" t="s">
        <v>42</v>
      </c>
      <c r="F6996" t="s">
        <v>43</v>
      </c>
      <c r="G6996" t="s">
        <v>43</v>
      </c>
      <c r="H6996" t="s">
        <v>43</v>
      </c>
      <c r="I6996" t="s">
        <v>4076</v>
      </c>
      <c r="J6996" t="s">
        <v>43</v>
      </c>
      <c r="K6996" t="s">
        <v>43</v>
      </c>
      <c r="L6996" t="s">
        <v>43</v>
      </c>
      <c r="M6996" t="s">
        <v>43</v>
      </c>
      <c r="N6996" t="s">
        <v>45</v>
      </c>
      <c r="O6996" t="s">
        <v>43</v>
      </c>
      <c r="P6996" t="s">
        <v>43</v>
      </c>
      <c r="Q6996" t="s">
        <v>43</v>
      </c>
      <c r="R6996" t="s">
        <v>43</v>
      </c>
      <c r="S6996" t="s">
        <v>43</v>
      </c>
      <c r="T6996" t="s">
        <v>43</v>
      </c>
      <c r="U6996" t="s">
        <v>43</v>
      </c>
      <c r="V6996" t="s">
        <v>43</v>
      </c>
      <c r="W6996" t="s">
        <v>43</v>
      </c>
      <c r="X6996" t="s">
        <v>43</v>
      </c>
      <c r="Y6996" t="s">
        <v>43</v>
      </c>
      <c r="Z6996" t="s">
        <v>43</v>
      </c>
      <c r="AA6996" t="s">
        <v>43</v>
      </c>
      <c r="AB6996" t="s">
        <v>43</v>
      </c>
      <c r="AC6996" t="s">
        <v>43</v>
      </c>
      <c r="AD6996" t="s">
        <v>43</v>
      </c>
      <c r="AE6996" t="s">
        <v>43</v>
      </c>
      <c r="AF6996" t="s">
        <v>43</v>
      </c>
      <c r="AG6996" t="s">
        <v>43</v>
      </c>
      <c r="AH6996" t="s">
        <v>43</v>
      </c>
      <c r="AI6996" t="s">
        <v>43</v>
      </c>
      <c r="AJ6996" t="s">
        <v>43</v>
      </c>
      <c r="AK6996" t="s">
        <v>43</v>
      </c>
      <c r="AL6996" t="s">
        <v>43</v>
      </c>
      <c r="AM6996" t="s">
        <v>43</v>
      </c>
      <c r="AN6996" t="str">
        <f>HYPERLINK("https://www.google.com/maps?q=10.7896719,79.57883453","Open Location")</f>
        <v>Open Location</v>
      </c>
    </row>
    <row r="6997" spans="1:40" x14ac:dyDescent="0.3">
      <c r="A6997" s="1">
        <v>46210.189467592594</v>
      </c>
      <c r="B6997" t="s">
        <v>40</v>
      </c>
      <c r="C6997" t="s">
        <v>41</v>
      </c>
      <c r="D6997" s="1">
        <v>46210.192418981482</v>
      </c>
      <c r="E6997" t="s">
        <v>42</v>
      </c>
      <c r="F6997" t="s">
        <v>43</v>
      </c>
      <c r="G6997" t="s">
        <v>43</v>
      </c>
      <c r="H6997" t="s">
        <v>43</v>
      </c>
      <c r="I6997" t="s">
        <v>43</v>
      </c>
      <c r="J6997" t="s">
        <v>43</v>
      </c>
      <c r="K6997" t="s">
        <v>43</v>
      </c>
      <c r="L6997" t="s">
        <v>43</v>
      </c>
      <c r="M6997" t="s">
        <v>43</v>
      </c>
      <c r="N6997" t="s">
        <v>45</v>
      </c>
      <c r="O6997" t="s">
        <v>43</v>
      </c>
      <c r="P6997" t="s">
        <v>43</v>
      </c>
      <c r="Q6997" t="s">
        <v>43</v>
      </c>
      <c r="R6997" t="s">
        <v>43</v>
      </c>
      <c r="S6997" t="s">
        <v>43</v>
      </c>
      <c r="T6997" t="s">
        <v>43</v>
      </c>
      <c r="U6997" t="s">
        <v>43</v>
      </c>
      <c r="V6997" t="s">
        <v>43</v>
      </c>
      <c r="W6997" t="s">
        <v>43</v>
      </c>
      <c r="X6997" t="s">
        <v>43</v>
      </c>
      <c r="Y6997" t="s">
        <v>43</v>
      </c>
      <c r="Z6997" t="s">
        <v>43</v>
      </c>
      <c r="AA6997" t="s">
        <v>43</v>
      </c>
      <c r="AB6997" t="s">
        <v>43</v>
      </c>
      <c r="AC6997" t="s">
        <v>43</v>
      </c>
      <c r="AD6997" t="s">
        <v>43</v>
      </c>
      <c r="AE6997" t="s">
        <v>43</v>
      </c>
      <c r="AF6997" t="s">
        <v>43</v>
      </c>
      <c r="AG6997" t="s">
        <v>43</v>
      </c>
      <c r="AH6997" t="s">
        <v>43</v>
      </c>
      <c r="AI6997" t="s">
        <v>43</v>
      </c>
      <c r="AJ6997" t="s">
        <v>43</v>
      </c>
      <c r="AK6997" t="s">
        <v>43</v>
      </c>
      <c r="AL6997" t="s">
        <v>43</v>
      </c>
      <c r="AM6997" t="s">
        <v>43</v>
      </c>
      <c r="AN6997" t="s">
        <v>43</v>
      </c>
    </row>
    <row r="6998" spans="1:40" x14ac:dyDescent="0.3">
      <c r="A6998" s="1">
        <v>46210.189351851855</v>
      </c>
      <c r="B6998" t="s">
        <v>40</v>
      </c>
      <c r="C6998" t="s">
        <v>41</v>
      </c>
      <c r="D6998" s="1">
        <v>46210.192430555559</v>
      </c>
      <c r="E6998" t="s">
        <v>42</v>
      </c>
      <c r="F6998" t="s">
        <v>43</v>
      </c>
      <c r="G6998" t="s">
        <v>43</v>
      </c>
      <c r="H6998" t="s">
        <v>43</v>
      </c>
      <c r="I6998" t="s">
        <v>4077</v>
      </c>
      <c r="J6998" t="s">
        <v>43</v>
      </c>
      <c r="K6998" t="s">
        <v>43</v>
      </c>
      <c r="L6998" t="s">
        <v>43</v>
      </c>
      <c r="M6998" t="s">
        <v>43</v>
      </c>
      <c r="N6998" t="s">
        <v>45</v>
      </c>
      <c r="O6998" t="s">
        <v>43</v>
      </c>
      <c r="P6998" t="s">
        <v>43</v>
      </c>
      <c r="Q6998" t="s">
        <v>43</v>
      </c>
      <c r="R6998" t="s">
        <v>43</v>
      </c>
      <c r="S6998" t="s">
        <v>43</v>
      </c>
      <c r="T6998" t="s">
        <v>43</v>
      </c>
      <c r="U6998" t="s">
        <v>43</v>
      </c>
      <c r="V6998" t="s">
        <v>43</v>
      </c>
      <c r="W6998" t="s">
        <v>43</v>
      </c>
      <c r="X6998" t="s">
        <v>43</v>
      </c>
      <c r="Y6998" t="s">
        <v>43</v>
      </c>
      <c r="Z6998" t="s">
        <v>43</v>
      </c>
      <c r="AA6998" t="s">
        <v>43</v>
      </c>
      <c r="AB6998" t="s">
        <v>43</v>
      </c>
      <c r="AC6998" t="s">
        <v>43</v>
      </c>
      <c r="AD6998" t="s">
        <v>43</v>
      </c>
      <c r="AE6998" t="s">
        <v>43</v>
      </c>
      <c r="AF6998" t="s">
        <v>43</v>
      </c>
      <c r="AG6998" t="s">
        <v>43</v>
      </c>
      <c r="AH6998" t="s">
        <v>43</v>
      </c>
      <c r="AI6998" t="s">
        <v>43</v>
      </c>
      <c r="AJ6998" t="s">
        <v>43</v>
      </c>
      <c r="AK6998" t="s">
        <v>43</v>
      </c>
      <c r="AL6998" t="s">
        <v>43</v>
      </c>
      <c r="AM6998" t="s">
        <v>43</v>
      </c>
      <c r="AN6998" t="str">
        <f>HYPERLINK("https://www.google.com/maps?q=10.78967094,79.57883453","Open Location")</f>
        <v>Open Location</v>
      </c>
    </row>
    <row r="6999" spans="1:40" x14ac:dyDescent="0.3">
      <c r="A6999" s="1">
        <v>46210.189236111109</v>
      </c>
      <c r="B6999" t="s">
        <v>40</v>
      </c>
      <c r="C6999" t="s">
        <v>41</v>
      </c>
      <c r="D6999" s="1">
        <v>46210.192048611112</v>
      </c>
      <c r="E6999" t="s">
        <v>42</v>
      </c>
      <c r="F6999" t="s">
        <v>43</v>
      </c>
      <c r="G6999" t="s">
        <v>43</v>
      </c>
      <c r="H6999" t="s">
        <v>43</v>
      </c>
      <c r="I6999" t="s">
        <v>4077</v>
      </c>
      <c r="J6999" t="s">
        <v>43</v>
      </c>
      <c r="K6999" t="s">
        <v>43</v>
      </c>
      <c r="L6999" t="s">
        <v>43</v>
      </c>
      <c r="M6999" t="s">
        <v>43</v>
      </c>
      <c r="N6999" t="s">
        <v>45</v>
      </c>
      <c r="O6999" t="s">
        <v>43</v>
      </c>
      <c r="P6999" t="s">
        <v>43</v>
      </c>
      <c r="Q6999" t="s">
        <v>43</v>
      </c>
      <c r="R6999" t="s">
        <v>43</v>
      </c>
      <c r="S6999" t="s">
        <v>43</v>
      </c>
      <c r="T6999" t="s">
        <v>43</v>
      </c>
      <c r="U6999" t="s">
        <v>43</v>
      </c>
      <c r="V6999" t="s">
        <v>43</v>
      </c>
      <c r="W6999" t="s">
        <v>43</v>
      </c>
      <c r="X6999" t="s">
        <v>43</v>
      </c>
      <c r="Y6999" t="s">
        <v>43</v>
      </c>
      <c r="Z6999" t="s">
        <v>43</v>
      </c>
      <c r="AA6999" t="s">
        <v>43</v>
      </c>
      <c r="AB6999" t="s">
        <v>43</v>
      </c>
      <c r="AC6999" t="s">
        <v>43</v>
      </c>
      <c r="AD6999" t="s">
        <v>43</v>
      </c>
      <c r="AE6999" t="s">
        <v>43</v>
      </c>
      <c r="AF6999" t="s">
        <v>43</v>
      </c>
      <c r="AG6999" t="s">
        <v>43</v>
      </c>
      <c r="AH6999" t="s">
        <v>43</v>
      </c>
      <c r="AI6999" t="s">
        <v>43</v>
      </c>
      <c r="AJ6999" t="s">
        <v>43</v>
      </c>
      <c r="AK6999" t="s">
        <v>43</v>
      </c>
      <c r="AL6999" t="s">
        <v>43</v>
      </c>
      <c r="AM6999" t="s">
        <v>43</v>
      </c>
      <c r="AN6999" t="str">
        <f>HYPERLINK("https://www.google.com/maps?q=10.78967094,79.57883453","Open Location")</f>
        <v>Open Location</v>
      </c>
    </row>
    <row r="7000" spans="1:40" x14ac:dyDescent="0.3">
      <c r="A7000" s="1">
        <v>46210.189120370371</v>
      </c>
      <c r="B7000" t="s">
        <v>40</v>
      </c>
      <c r="C7000" t="s">
        <v>41</v>
      </c>
      <c r="D7000" s="1">
        <v>46210.192048611112</v>
      </c>
      <c r="E7000" t="s">
        <v>42</v>
      </c>
      <c r="F7000" t="s">
        <v>43</v>
      </c>
      <c r="G7000" t="s">
        <v>43</v>
      </c>
      <c r="H7000" t="s">
        <v>43</v>
      </c>
      <c r="I7000" t="s">
        <v>4078</v>
      </c>
      <c r="J7000" t="s">
        <v>43</v>
      </c>
      <c r="K7000" t="s">
        <v>43</v>
      </c>
      <c r="L7000" t="s">
        <v>43</v>
      </c>
      <c r="M7000" t="s">
        <v>43</v>
      </c>
      <c r="N7000" t="s">
        <v>45</v>
      </c>
      <c r="O7000" t="s">
        <v>43</v>
      </c>
      <c r="P7000" t="s">
        <v>43</v>
      </c>
      <c r="Q7000" t="s">
        <v>43</v>
      </c>
      <c r="R7000" t="s">
        <v>43</v>
      </c>
      <c r="S7000" t="s">
        <v>43</v>
      </c>
      <c r="T7000" t="s">
        <v>43</v>
      </c>
      <c r="U7000" t="s">
        <v>43</v>
      </c>
      <c r="V7000" t="s">
        <v>43</v>
      </c>
      <c r="W7000" t="s">
        <v>43</v>
      </c>
      <c r="X7000" t="s">
        <v>43</v>
      </c>
      <c r="Y7000" t="s">
        <v>43</v>
      </c>
      <c r="Z7000" t="s">
        <v>43</v>
      </c>
      <c r="AA7000" t="s">
        <v>43</v>
      </c>
      <c r="AB7000" t="s">
        <v>43</v>
      </c>
      <c r="AC7000" t="s">
        <v>43</v>
      </c>
      <c r="AD7000" t="s">
        <v>43</v>
      </c>
      <c r="AE7000" t="s">
        <v>43</v>
      </c>
      <c r="AF7000" t="s">
        <v>43</v>
      </c>
      <c r="AG7000" t="s">
        <v>43</v>
      </c>
      <c r="AH7000" t="s">
        <v>43</v>
      </c>
      <c r="AI7000" t="s">
        <v>43</v>
      </c>
      <c r="AJ7000" t="s">
        <v>43</v>
      </c>
      <c r="AK7000" t="s">
        <v>43</v>
      </c>
      <c r="AL7000" t="s">
        <v>43</v>
      </c>
      <c r="AM7000" t="s">
        <v>43</v>
      </c>
      <c r="AN7000" t="str">
        <f>HYPERLINK("https://www.google.com/maps?q=10.78967285,79.57883453","Open Location")</f>
        <v>Open Location</v>
      </c>
    </row>
    <row r="7001" spans="1:40" x14ac:dyDescent="0.3">
      <c r="A7001" s="1">
        <v>46210.189004629632</v>
      </c>
      <c r="B7001" t="s">
        <v>40</v>
      </c>
      <c r="C7001" t="s">
        <v>41</v>
      </c>
      <c r="D7001" s="1">
        <v>46210.191678240742</v>
      </c>
      <c r="E7001" t="s">
        <v>42</v>
      </c>
      <c r="F7001" t="s">
        <v>43</v>
      </c>
      <c r="G7001" t="s">
        <v>43</v>
      </c>
      <c r="H7001" t="s">
        <v>43</v>
      </c>
      <c r="I7001" t="s">
        <v>4079</v>
      </c>
      <c r="J7001" t="s">
        <v>43</v>
      </c>
      <c r="K7001" t="s">
        <v>43</v>
      </c>
      <c r="L7001" t="s">
        <v>43</v>
      </c>
      <c r="M7001" t="s">
        <v>43</v>
      </c>
      <c r="N7001" t="s">
        <v>45</v>
      </c>
      <c r="O7001" t="s">
        <v>43</v>
      </c>
      <c r="P7001" t="s">
        <v>43</v>
      </c>
      <c r="Q7001" t="s">
        <v>43</v>
      </c>
      <c r="R7001" t="s">
        <v>43</v>
      </c>
      <c r="S7001" t="s">
        <v>43</v>
      </c>
      <c r="T7001" t="s">
        <v>43</v>
      </c>
      <c r="U7001" t="s">
        <v>43</v>
      </c>
      <c r="V7001" t="s">
        <v>43</v>
      </c>
      <c r="W7001" t="s">
        <v>43</v>
      </c>
      <c r="X7001" t="s">
        <v>43</v>
      </c>
      <c r="Y7001" t="s">
        <v>43</v>
      </c>
      <c r="Z7001" t="s">
        <v>43</v>
      </c>
      <c r="AA7001" t="s">
        <v>43</v>
      </c>
      <c r="AB7001" t="s">
        <v>43</v>
      </c>
      <c r="AC7001" t="s">
        <v>43</v>
      </c>
      <c r="AD7001" t="s">
        <v>43</v>
      </c>
      <c r="AE7001" t="s">
        <v>43</v>
      </c>
      <c r="AF7001" t="s">
        <v>43</v>
      </c>
      <c r="AG7001" t="s">
        <v>43</v>
      </c>
      <c r="AH7001" t="s">
        <v>43</v>
      </c>
      <c r="AI7001" t="s">
        <v>43</v>
      </c>
      <c r="AJ7001" t="s">
        <v>43</v>
      </c>
      <c r="AK7001" t="s">
        <v>43</v>
      </c>
      <c r="AL7001" t="s">
        <v>43</v>
      </c>
      <c r="AM7001" t="s">
        <v>43</v>
      </c>
      <c r="AN7001" t="str">
        <f>HYPERLINK("https://www.google.com/maps?q=10.78968143,79.57883453","Open Location")</f>
        <v>Open Location</v>
      </c>
    </row>
    <row r="7002" spans="1:40" x14ac:dyDescent="0.3">
      <c r="A7002" s="1">
        <v>46210.188888888886</v>
      </c>
      <c r="B7002" t="s">
        <v>40</v>
      </c>
      <c r="C7002" t="s">
        <v>41</v>
      </c>
      <c r="D7002" s="1">
        <v>46210.191689814812</v>
      </c>
      <c r="E7002" t="s">
        <v>42</v>
      </c>
      <c r="F7002" t="s">
        <v>43</v>
      </c>
      <c r="G7002" t="s">
        <v>43</v>
      </c>
      <c r="H7002" t="s">
        <v>43</v>
      </c>
      <c r="I7002" t="s">
        <v>43</v>
      </c>
      <c r="J7002" t="s">
        <v>43</v>
      </c>
      <c r="K7002" t="s">
        <v>43</v>
      </c>
      <c r="L7002" t="s">
        <v>43</v>
      </c>
      <c r="M7002" t="s">
        <v>43</v>
      </c>
      <c r="N7002" t="s">
        <v>45</v>
      </c>
      <c r="O7002" t="s">
        <v>43</v>
      </c>
      <c r="P7002" t="s">
        <v>43</v>
      </c>
      <c r="Q7002" t="s">
        <v>43</v>
      </c>
      <c r="R7002" t="s">
        <v>43</v>
      </c>
      <c r="S7002" t="s">
        <v>43</v>
      </c>
      <c r="T7002" t="s">
        <v>43</v>
      </c>
      <c r="U7002" t="s">
        <v>43</v>
      </c>
      <c r="V7002" t="s">
        <v>43</v>
      </c>
      <c r="W7002" t="s">
        <v>43</v>
      </c>
      <c r="X7002" t="s">
        <v>43</v>
      </c>
      <c r="Y7002" t="s">
        <v>43</v>
      </c>
      <c r="Z7002" t="s">
        <v>43</v>
      </c>
      <c r="AA7002" t="s">
        <v>43</v>
      </c>
      <c r="AB7002" t="s">
        <v>43</v>
      </c>
      <c r="AC7002" t="s">
        <v>43</v>
      </c>
      <c r="AD7002" t="s">
        <v>43</v>
      </c>
      <c r="AE7002" t="s">
        <v>43</v>
      </c>
      <c r="AF7002" t="s">
        <v>43</v>
      </c>
      <c r="AG7002" t="s">
        <v>43</v>
      </c>
      <c r="AH7002" t="s">
        <v>43</v>
      </c>
      <c r="AI7002" t="s">
        <v>43</v>
      </c>
      <c r="AJ7002" t="s">
        <v>43</v>
      </c>
      <c r="AK7002" t="s">
        <v>43</v>
      </c>
      <c r="AL7002" t="s">
        <v>43</v>
      </c>
      <c r="AM7002" t="s">
        <v>43</v>
      </c>
      <c r="AN7002" t="s">
        <v>43</v>
      </c>
    </row>
    <row r="7003" spans="1:40" x14ac:dyDescent="0.3">
      <c r="A7003" s="1">
        <v>46210.188773148147</v>
      </c>
      <c r="B7003" t="s">
        <v>40</v>
      </c>
      <c r="C7003" t="s">
        <v>41</v>
      </c>
      <c r="D7003" s="1">
        <v>46210.191666666666</v>
      </c>
      <c r="E7003" t="s">
        <v>42</v>
      </c>
      <c r="F7003" t="s">
        <v>43</v>
      </c>
      <c r="G7003" t="s">
        <v>43</v>
      </c>
      <c r="H7003" t="s">
        <v>43</v>
      </c>
      <c r="I7003" t="s">
        <v>4080</v>
      </c>
      <c r="J7003" t="s">
        <v>43</v>
      </c>
      <c r="K7003" t="s">
        <v>43</v>
      </c>
      <c r="L7003" t="s">
        <v>43</v>
      </c>
      <c r="M7003" t="s">
        <v>43</v>
      </c>
      <c r="N7003" t="s">
        <v>45</v>
      </c>
      <c r="O7003" t="s">
        <v>43</v>
      </c>
      <c r="P7003" t="s">
        <v>43</v>
      </c>
      <c r="Q7003" t="s">
        <v>43</v>
      </c>
      <c r="R7003" t="s">
        <v>43</v>
      </c>
      <c r="S7003" t="s">
        <v>43</v>
      </c>
      <c r="T7003" t="s">
        <v>43</v>
      </c>
      <c r="U7003" t="s">
        <v>43</v>
      </c>
      <c r="V7003" t="s">
        <v>43</v>
      </c>
      <c r="W7003" t="s">
        <v>43</v>
      </c>
      <c r="X7003" t="s">
        <v>43</v>
      </c>
      <c r="Y7003" t="s">
        <v>43</v>
      </c>
      <c r="Z7003" t="s">
        <v>43</v>
      </c>
      <c r="AA7003" t="s">
        <v>43</v>
      </c>
      <c r="AB7003" t="s">
        <v>43</v>
      </c>
      <c r="AC7003" t="s">
        <v>43</v>
      </c>
      <c r="AD7003" t="s">
        <v>43</v>
      </c>
      <c r="AE7003" t="s">
        <v>43</v>
      </c>
      <c r="AF7003" t="s">
        <v>43</v>
      </c>
      <c r="AG7003" t="s">
        <v>43</v>
      </c>
      <c r="AH7003" t="s">
        <v>43</v>
      </c>
      <c r="AI7003" t="s">
        <v>43</v>
      </c>
      <c r="AJ7003" t="s">
        <v>43</v>
      </c>
      <c r="AK7003" t="s">
        <v>43</v>
      </c>
      <c r="AL7003" t="s">
        <v>43</v>
      </c>
      <c r="AM7003" t="s">
        <v>43</v>
      </c>
      <c r="AN7003" t="str">
        <f>HYPERLINK("https://www.google.com/maps?q=10.7896843,79.57883453","Open Location")</f>
        <v>Open Location</v>
      </c>
    </row>
    <row r="7004" spans="1:40" x14ac:dyDescent="0.3">
      <c r="A7004" s="1">
        <v>46210.188657407409</v>
      </c>
      <c r="B7004" t="s">
        <v>40</v>
      </c>
      <c r="C7004" t="s">
        <v>41</v>
      </c>
      <c r="D7004" s="1">
        <v>46210.191689814812</v>
      </c>
      <c r="E7004" t="s">
        <v>42</v>
      </c>
      <c r="F7004" t="s">
        <v>43</v>
      </c>
      <c r="G7004" t="s">
        <v>43</v>
      </c>
      <c r="H7004" t="s">
        <v>43</v>
      </c>
      <c r="I7004" t="s">
        <v>4081</v>
      </c>
      <c r="J7004" t="s">
        <v>43</v>
      </c>
      <c r="K7004" t="s">
        <v>43</v>
      </c>
      <c r="L7004" t="s">
        <v>43</v>
      </c>
      <c r="M7004" t="s">
        <v>43</v>
      </c>
      <c r="N7004" t="s">
        <v>45</v>
      </c>
      <c r="O7004" t="s">
        <v>43</v>
      </c>
      <c r="P7004" t="s">
        <v>43</v>
      </c>
      <c r="Q7004" t="s">
        <v>43</v>
      </c>
      <c r="R7004" t="s">
        <v>43</v>
      </c>
      <c r="S7004" t="s">
        <v>43</v>
      </c>
      <c r="T7004" t="s">
        <v>43</v>
      </c>
      <c r="U7004" t="s">
        <v>43</v>
      </c>
      <c r="V7004" t="s">
        <v>43</v>
      </c>
      <c r="W7004" t="s">
        <v>43</v>
      </c>
      <c r="X7004" t="s">
        <v>43</v>
      </c>
      <c r="Y7004" t="s">
        <v>43</v>
      </c>
      <c r="Z7004" t="s">
        <v>43</v>
      </c>
      <c r="AA7004" t="s">
        <v>43</v>
      </c>
      <c r="AB7004" t="s">
        <v>43</v>
      </c>
      <c r="AC7004" t="s">
        <v>43</v>
      </c>
      <c r="AD7004" t="s">
        <v>43</v>
      </c>
      <c r="AE7004" t="s">
        <v>43</v>
      </c>
      <c r="AF7004" t="s">
        <v>43</v>
      </c>
      <c r="AG7004" t="s">
        <v>43</v>
      </c>
      <c r="AH7004" t="s">
        <v>43</v>
      </c>
      <c r="AI7004" t="s">
        <v>43</v>
      </c>
      <c r="AJ7004" t="s">
        <v>43</v>
      </c>
      <c r="AK7004" t="s">
        <v>43</v>
      </c>
      <c r="AL7004" t="s">
        <v>43</v>
      </c>
      <c r="AM7004" t="s">
        <v>43</v>
      </c>
      <c r="AN7004" t="str">
        <f>HYPERLINK("https://www.google.com/maps?q=10.78968716,79.5788269","Open Location")</f>
        <v>Open Location</v>
      </c>
    </row>
    <row r="7005" spans="1:40" x14ac:dyDescent="0.3">
      <c r="A7005" s="1">
        <v>46210.18854166667</v>
      </c>
      <c r="B7005" t="s">
        <v>40</v>
      </c>
      <c r="C7005" t="s">
        <v>41</v>
      </c>
      <c r="D7005" s="1">
        <v>46210.191307870373</v>
      </c>
      <c r="E7005" t="s">
        <v>42</v>
      </c>
      <c r="F7005" t="s">
        <v>43</v>
      </c>
      <c r="G7005" t="s">
        <v>43</v>
      </c>
      <c r="H7005" t="s">
        <v>43</v>
      </c>
      <c r="I7005" t="s">
        <v>4082</v>
      </c>
      <c r="J7005" t="s">
        <v>43</v>
      </c>
      <c r="K7005" t="s">
        <v>43</v>
      </c>
      <c r="L7005" t="s">
        <v>43</v>
      </c>
      <c r="M7005" t="s">
        <v>43</v>
      </c>
      <c r="N7005" t="s">
        <v>45</v>
      </c>
      <c r="O7005" t="s">
        <v>43</v>
      </c>
      <c r="P7005" t="s">
        <v>43</v>
      </c>
      <c r="Q7005" t="s">
        <v>43</v>
      </c>
      <c r="R7005" t="s">
        <v>43</v>
      </c>
      <c r="S7005" t="s">
        <v>43</v>
      </c>
      <c r="T7005" t="s">
        <v>43</v>
      </c>
      <c r="U7005" t="s">
        <v>43</v>
      </c>
      <c r="V7005" t="s">
        <v>43</v>
      </c>
      <c r="W7005" t="s">
        <v>43</v>
      </c>
      <c r="X7005" t="s">
        <v>43</v>
      </c>
      <c r="Y7005" t="s">
        <v>43</v>
      </c>
      <c r="Z7005" t="s">
        <v>43</v>
      </c>
      <c r="AA7005" t="s">
        <v>43</v>
      </c>
      <c r="AB7005" t="s">
        <v>43</v>
      </c>
      <c r="AC7005" t="s">
        <v>43</v>
      </c>
      <c r="AD7005" t="s">
        <v>43</v>
      </c>
      <c r="AE7005" t="s">
        <v>43</v>
      </c>
      <c r="AF7005" t="s">
        <v>43</v>
      </c>
      <c r="AG7005" t="s">
        <v>43</v>
      </c>
      <c r="AH7005" t="s">
        <v>43</v>
      </c>
      <c r="AI7005" t="s">
        <v>43</v>
      </c>
      <c r="AJ7005" t="s">
        <v>43</v>
      </c>
      <c r="AK7005" t="s">
        <v>43</v>
      </c>
      <c r="AL7005" t="s">
        <v>43</v>
      </c>
      <c r="AM7005" t="s">
        <v>43</v>
      </c>
      <c r="AN7005" t="str">
        <f>HYPERLINK("https://www.google.com/maps?q=10.78969097,79.57881927","Open Location")</f>
        <v>Open Location</v>
      </c>
    </row>
    <row r="7006" spans="1:40" x14ac:dyDescent="0.3">
      <c r="A7006" s="1">
        <v>46210.188425925924</v>
      </c>
      <c r="B7006" t="s">
        <v>40</v>
      </c>
      <c r="C7006" t="s">
        <v>41</v>
      </c>
      <c r="D7006" s="1">
        <v>46210.191250000003</v>
      </c>
      <c r="E7006" t="s">
        <v>42</v>
      </c>
      <c r="F7006" t="s">
        <v>43</v>
      </c>
      <c r="G7006" t="s">
        <v>43</v>
      </c>
      <c r="H7006" t="s">
        <v>43</v>
      </c>
      <c r="I7006" t="s">
        <v>4083</v>
      </c>
      <c r="J7006" t="s">
        <v>43</v>
      </c>
      <c r="K7006" t="s">
        <v>43</v>
      </c>
      <c r="L7006" t="s">
        <v>43</v>
      </c>
      <c r="M7006" t="s">
        <v>43</v>
      </c>
      <c r="N7006" t="s">
        <v>45</v>
      </c>
      <c r="O7006" t="s">
        <v>43</v>
      </c>
      <c r="P7006" t="s">
        <v>43</v>
      </c>
      <c r="Q7006" t="s">
        <v>43</v>
      </c>
      <c r="R7006" t="s">
        <v>43</v>
      </c>
      <c r="S7006" t="s">
        <v>43</v>
      </c>
      <c r="T7006" t="s">
        <v>43</v>
      </c>
      <c r="U7006" t="s">
        <v>43</v>
      </c>
      <c r="V7006" t="s">
        <v>43</v>
      </c>
      <c r="W7006" t="s">
        <v>43</v>
      </c>
      <c r="X7006" t="s">
        <v>43</v>
      </c>
      <c r="Y7006" t="s">
        <v>43</v>
      </c>
      <c r="Z7006" t="s">
        <v>43</v>
      </c>
      <c r="AA7006" t="s">
        <v>43</v>
      </c>
      <c r="AB7006" t="s">
        <v>43</v>
      </c>
      <c r="AC7006" t="s">
        <v>43</v>
      </c>
      <c r="AD7006" t="s">
        <v>43</v>
      </c>
      <c r="AE7006" t="s">
        <v>43</v>
      </c>
      <c r="AF7006" t="s">
        <v>43</v>
      </c>
      <c r="AG7006" t="s">
        <v>43</v>
      </c>
      <c r="AH7006" t="s">
        <v>43</v>
      </c>
      <c r="AI7006" t="s">
        <v>43</v>
      </c>
      <c r="AJ7006" t="s">
        <v>43</v>
      </c>
      <c r="AK7006" t="s">
        <v>43</v>
      </c>
      <c r="AL7006" t="s">
        <v>43</v>
      </c>
      <c r="AM7006" t="s">
        <v>43</v>
      </c>
      <c r="AN7006" t="str">
        <f>HYPERLINK("https://www.google.com/maps?q=10.78969288,79.57881927","Open Location")</f>
        <v>Open Location</v>
      </c>
    </row>
    <row r="7007" spans="1:40" x14ac:dyDescent="0.3">
      <c r="A7007" s="1">
        <v>46210.188310185185</v>
      </c>
      <c r="B7007" t="s">
        <v>40</v>
      </c>
      <c r="C7007" t="s">
        <v>41</v>
      </c>
      <c r="D7007" s="1">
        <v>46210.190925925926</v>
      </c>
      <c r="E7007" t="s">
        <v>42</v>
      </c>
      <c r="F7007" t="s">
        <v>43</v>
      </c>
      <c r="G7007" t="s">
        <v>43</v>
      </c>
      <c r="H7007" t="s">
        <v>43</v>
      </c>
      <c r="I7007" t="s">
        <v>4084</v>
      </c>
      <c r="J7007" t="s">
        <v>43</v>
      </c>
      <c r="K7007" t="s">
        <v>43</v>
      </c>
      <c r="L7007" t="s">
        <v>43</v>
      </c>
      <c r="M7007" t="s">
        <v>43</v>
      </c>
      <c r="N7007" t="s">
        <v>45</v>
      </c>
      <c r="O7007" t="s">
        <v>43</v>
      </c>
      <c r="P7007" t="s">
        <v>43</v>
      </c>
      <c r="Q7007" t="s">
        <v>43</v>
      </c>
      <c r="R7007" t="s">
        <v>43</v>
      </c>
      <c r="S7007" t="s">
        <v>43</v>
      </c>
      <c r="T7007" t="s">
        <v>43</v>
      </c>
      <c r="U7007" t="s">
        <v>43</v>
      </c>
      <c r="V7007" t="s">
        <v>43</v>
      </c>
      <c r="W7007" t="s">
        <v>43</v>
      </c>
      <c r="X7007" t="s">
        <v>43</v>
      </c>
      <c r="Y7007" t="s">
        <v>43</v>
      </c>
      <c r="Z7007" t="s">
        <v>43</v>
      </c>
      <c r="AA7007" t="s">
        <v>43</v>
      </c>
      <c r="AB7007" t="s">
        <v>43</v>
      </c>
      <c r="AC7007" t="s">
        <v>43</v>
      </c>
      <c r="AD7007" t="s">
        <v>43</v>
      </c>
      <c r="AE7007" t="s">
        <v>43</v>
      </c>
      <c r="AF7007" t="s">
        <v>43</v>
      </c>
      <c r="AG7007" t="s">
        <v>43</v>
      </c>
      <c r="AH7007" t="s">
        <v>43</v>
      </c>
      <c r="AI7007" t="s">
        <v>43</v>
      </c>
      <c r="AJ7007" t="s">
        <v>43</v>
      </c>
      <c r="AK7007" t="s">
        <v>43</v>
      </c>
      <c r="AL7007" t="s">
        <v>43</v>
      </c>
      <c r="AM7007" t="s">
        <v>43</v>
      </c>
      <c r="AN7007" t="str">
        <f>HYPERLINK("https://www.google.com/maps?q=10.78969002,79.57881165","Open Location")</f>
        <v>Open Location</v>
      </c>
    </row>
    <row r="7008" spans="1:40" x14ac:dyDescent="0.3">
      <c r="A7008" s="1">
        <v>46210.188194444447</v>
      </c>
      <c r="B7008" t="s">
        <v>40</v>
      </c>
      <c r="C7008" t="s">
        <v>41</v>
      </c>
      <c r="D7008" s="1">
        <v>46210.190949074073</v>
      </c>
      <c r="E7008" t="s">
        <v>42</v>
      </c>
      <c r="F7008" t="s">
        <v>43</v>
      </c>
      <c r="G7008" t="s">
        <v>43</v>
      </c>
      <c r="H7008" t="s">
        <v>43</v>
      </c>
      <c r="I7008" t="s">
        <v>43</v>
      </c>
      <c r="J7008" t="s">
        <v>43</v>
      </c>
      <c r="K7008" t="s">
        <v>43</v>
      </c>
      <c r="L7008" t="s">
        <v>43</v>
      </c>
      <c r="M7008" t="s">
        <v>43</v>
      </c>
      <c r="N7008" t="s">
        <v>45</v>
      </c>
      <c r="O7008" t="s">
        <v>43</v>
      </c>
      <c r="P7008" t="s">
        <v>43</v>
      </c>
      <c r="Q7008" t="s">
        <v>43</v>
      </c>
      <c r="R7008" t="s">
        <v>43</v>
      </c>
      <c r="S7008" t="s">
        <v>43</v>
      </c>
      <c r="T7008" t="s">
        <v>43</v>
      </c>
      <c r="U7008" t="s">
        <v>43</v>
      </c>
      <c r="V7008" t="s">
        <v>43</v>
      </c>
      <c r="W7008" t="s">
        <v>43</v>
      </c>
      <c r="X7008" t="s">
        <v>43</v>
      </c>
      <c r="Y7008" t="s">
        <v>43</v>
      </c>
      <c r="Z7008" t="s">
        <v>43</v>
      </c>
      <c r="AA7008" t="s">
        <v>43</v>
      </c>
      <c r="AB7008" t="s">
        <v>43</v>
      </c>
      <c r="AC7008" t="s">
        <v>43</v>
      </c>
      <c r="AD7008" t="s">
        <v>43</v>
      </c>
      <c r="AE7008" t="s">
        <v>43</v>
      </c>
      <c r="AF7008" t="s">
        <v>43</v>
      </c>
      <c r="AG7008" t="s">
        <v>43</v>
      </c>
      <c r="AH7008" t="s">
        <v>43</v>
      </c>
      <c r="AI7008" t="s">
        <v>43</v>
      </c>
      <c r="AJ7008" t="s">
        <v>43</v>
      </c>
      <c r="AK7008" t="s">
        <v>43</v>
      </c>
      <c r="AL7008" t="s">
        <v>43</v>
      </c>
      <c r="AM7008" t="s">
        <v>43</v>
      </c>
      <c r="AN7008" t="s">
        <v>43</v>
      </c>
    </row>
    <row r="7009" spans="1:40" x14ac:dyDescent="0.3">
      <c r="A7009" s="1">
        <v>46210.188078703701</v>
      </c>
      <c r="B7009" t="s">
        <v>40</v>
      </c>
      <c r="C7009" t="s">
        <v>41</v>
      </c>
      <c r="D7009" s="1">
        <v>46210.190787037034</v>
      </c>
      <c r="E7009" t="s">
        <v>42</v>
      </c>
      <c r="F7009" t="s">
        <v>43</v>
      </c>
      <c r="G7009" t="s">
        <v>43</v>
      </c>
      <c r="H7009" t="s">
        <v>43</v>
      </c>
      <c r="I7009" t="s">
        <v>4085</v>
      </c>
      <c r="J7009" t="s">
        <v>43</v>
      </c>
      <c r="K7009" t="s">
        <v>43</v>
      </c>
      <c r="L7009" t="s">
        <v>43</v>
      </c>
      <c r="M7009" t="s">
        <v>43</v>
      </c>
      <c r="N7009" t="s">
        <v>45</v>
      </c>
      <c r="O7009" t="s">
        <v>43</v>
      </c>
      <c r="P7009" t="s">
        <v>43</v>
      </c>
      <c r="Q7009" t="s">
        <v>43</v>
      </c>
      <c r="R7009" t="s">
        <v>43</v>
      </c>
      <c r="S7009" t="s">
        <v>43</v>
      </c>
      <c r="T7009" t="s">
        <v>43</v>
      </c>
      <c r="U7009" t="s">
        <v>43</v>
      </c>
      <c r="V7009" t="s">
        <v>43</v>
      </c>
      <c r="W7009" t="s">
        <v>43</v>
      </c>
      <c r="X7009" t="s">
        <v>43</v>
      </c>
      <c r="Y7009" t="s">
        <v>43</v>
      </c>
      <c r="Z7009" t="s">
        <v>43</v>
      </c>
      <c r="AA7009" t="s">
        <v>43</v>
      </c>
      <c r="AB7009" t="s">
        <v>43</v>
      </c>
      <c r="AC7009" t="s">
        <v>43</v>
      </c>
      <c r="AD7009" t="s">
        <v>43</v>
      </c>
      <c r="AE7009" t="s">
        <v>43</v>
      </c>
      <c r="AF7009" t="s">
        <v>43</v>
      </c>
      <c r="AG7009" t="s">
        <v>43</v>
      </c>
      <c r="AH7009" t="s">
        <v>43</v>
      </c>
      <c r="AI7009" t="s">
        <v>43</v>
      </c>
      <c r="AJ7009" t="s">
        <v>43</v>
      </c>
      <c r="AK7009" t="s">
        <v>43</v>
      </c>
      <c r="AL7009" t="s">
        <v>43</v>
      </c>
      <c r="AM7009" t="s">
        <v>43</v>
      </c>
      <c r="AN7009" t="str">
        <f>HYPERLINK("https://www.google.com/maps?q=10.78969193,79.57878876","Open Location")</f>
        <v>Open Location</v>
      </c>
    </row>
    <row r="7010" spans="1:40" x14ac:dyDescent="0.3">
      <c r="A7010" s="1">
        <v>46210.187962962962</v>
      </c>
      <c r="B7010" t="s">
        <v>40</v>
      </c>
      <c r="C7010" t="s">
        <v>41</v>
      </c>
      <c r="D7010" s="1">
        <v>46210.190949074073</v>
      </c>
      <c r="E7010" t="s">
        <v>42</v>
      </c>
      <c r="F7010" t="s">
        <v>43</v>
      </c>
      <c r="G7010" t="s">
        <v>43</v>
      </c>
      <c r="H7010" t="s">
        <v>43</v>
      </c>
      <c r="I7010" t="s">
        <v>4086</v>
      </c>
      <c r="J7010" t="s">
        <v>43</v>
      </c>
      <c r="K7010" t="s">
        <v>43</v>
      </c>
      <c r="L7010" t="s">
        <v>43</v>
      </c>
      <c r="M7010" t="s">
        <v>43</v>
      </c>
      <c r="N7010" t="s">
        <v>45</v>
      </c>
      <c r="O7010" t="s">
        <v>43</v>
      </c>
      <c r="P7010" t="s">
        <v>43</v>
      </c>
      <c r="Q7010" t="s">
        <v>43</v>
      </c>
      <c r="R7010" t="s">
        <v>43</v>
      </c>
      <c r="S7010" t="s">
        <v>43</v>
      </c>
      <c r="T7010" t="s">
        <v>43</v>
      </c>
      <c r="U7010" t="s">
        <v>43</v>
      </c>
      <c r="V7010" t="s">
        <v>43</v>
      </c>
      <c r="W7010" t="s">
        <v>43</v>
      </c>
      <c r="X7010" t="s">
        <v>43</v>
      </c>
      <c r="Y7010" t="s">
        <v>43</v>
      </c>
      <c r="Z7010" t="s">
        <v>43</v>
      </c>
      <c r="AA7010" t="s">
        <v>43</v>
      </c>
      <c r="AB7010" t="s">
        <v>43</v>
      </c>
      <c r="AC7010" t="s">
        <v>43</v>
      </c>
      <c r="AD7010" t="s">
        <v>43</v>
      </c>
      <c r="AE7010" t="s">
        <v>43</v>
      </c>
      <c r="AF7010" t="s">
        <v>43</v>
      </c>
      <c r="AG7010" t="s">
        <v>43</v>
      </c>
      <c r="AH7010" t="s">
        <v>43</v>
      </c>
      <c r="AI7010" t="s">
        <v>43</v>
      </c>
      <c r="AJ7010" t="s">
        <v>43</v>
      </c>
      <c r="AK7010" t="s">
        <v>43</v>
      </c>
      <c r="AL7010" t="s">
        <v>43</v>
      </c>
      <c r="AM7010" t="s">
        <v>43</v>
      </c>
      <c r="AN7010" t="str">
        <f>HYPERLINK("https://www.google.com/maps?q=10.78968716,79.57878876","Open Location")</f>
        <v>Open Location</v>
      </c>
    </row>
    <row r="7011" spans="1:40" x14ac:dyDescent="0.3">
      <c r="A7011" s="1">
        <v>46210.187847222223</v>
      </c>
      <c r="B7011" t="s">
        <v>40</v>
      </c>
      <c r="C7011" t="s">
        <v>41</v>
      </c>
      <c r="D7011" s="1">
        <v>46210.190555555557</v>
      </c>
      <c r="E7011" t="s">
        <v>42</v>
      </c>
      <c r="F7011" t="s">
        <v>43</v>
      </c>
      <c r="G7011" t="s">
        <v>43</v>
      </c>
      <c r="H7011" t="s">
        <v>43</v>
      </c>
      <c r="I7011" t="s">
        <v>4086</v>
      </c>
      <c r="J7011" t="s">
        <v>43</v>
      </c>
      <c r="K7011" t="s">
        <v>43</v>
      </c>
      <c r="L7011" t="s">
        <v>43</v>
      </c>
      <c r="M7011" t="s">
        <v>43</v>
      </c>
      <c r="N7011" t="s">
        <v>45</v>
      </c>
      <c r="O7011" t="s">
        <v>43</v>
      </c>
      <c r="P7011" t="s">
        <v>43</v>
      </c>
      <c r="Q7011" t="s">
        <v>43</v>
      </c>
      <c r="R7011" t="s">
        <v>43</v>
      </c>
      <c r="S7011" t="s">
        <v>43</v>
      </c>
      <c r="T7011" t="s">
        <v>43</v>
      </c>
      <c r="U7011" t="s">
        <v>43</v>
      </c>
      <c r="V7011" t="s">
        <v>43</v>
      </c>
      <c r="W7011" t="s">
        <v>43</v>
      </c>
      <c r="X7011" t="s">
        <v>43</v>
      </c>
      <c r="Y7011" t="s">
        <v>43</v>
      </c>
      <c r="Z7011" t="s">
        <v>43</v>
      </c>
      <c r="AA7011" t="s">
        <v>43</v>
      </c>
      <c r="AB7011" t="s">
        <v>43</v>
      </c>
      <c r="AC7011" t="s">
        <v>43</v>
      </c>
      <c r="AD7011" t="s">
        <v>43</v>
      </c>
      <c r="AE7011" t="s">
        <v>43</v>
      </c>
      <c r="AF7011" t="s">
        <v>43</v>
      </c>
      <c r="AG7011" t="s">
        <v>43</v>
      </c>
      <c r="AH7011" t="s">
        <v>43</v>
      </c>
      <c r="AI7011" t="s">
        <v>43</v>
      </c>
      <c r="AJ7011" t="s">
        <v>43</v>
      </c>
      <c r="AK7011" t="s">
        <v>43</v>
      </c>
      <c r="AL7011" t="s">
        <v>43</v>
      </c>
      <c r="AM7011" t="s">
        <v>43</v>
      </c>
      <c r="AN7011" t="str">
        <f>HYPERLINK("https://www.google.com/maps?q=10.78968716,79.57878876","Open Location")</f>
        <v>Open Location</v>
      </c>
    </row>
    <row r="7012" spans="1:40" x14ac:dyDescent="0.3">
      <c r="A7012" s="1">
        <v>46210.187731481485</v>
      </c>
      <c r="B7012" t="s">
        <v>40</v>
      </c>
      <c r="C7012" t="s">
        <v>41</v>
      </c>
      <c r="D7012" s="1">
        <v>46210.190925925926</v>
      </c>
      <c r="E7012" t="s">
        <v>42</v>
      </c>
      <c r="F7012" t="s">
        <v>43</v>
      </c>
      <c r="G7012" t="s">
        <v>43</v>
      </c>
      <c r="H7012" t="s">
        <v>43</v>
      </c>
      <c r="I7012" t="s">
        <v>4087</v>
      </c>
      <c r="J7012" t="s">
        <v>43</v>
      </c>
      <c r="K7012" t="s">
        <v>43</v>
      </c>
      <c r="L7012" t="s">
        <v>43</v>
      </c>
      <c r="M7012" t="s">
        <v>43</v>
      </c>
      <c r="N7012" t="s">
        <v>45</v>
      </c>
      <c r="O7012" t="s">
        <v>43</v>
      </c>
      <c r="P7012" t="s">
        <v>43</v>
      </c>
      <c r="Q7012" t="s">
        <v>43</v>
      </c>
      <c r="R7012" t="s">
        <v>43</v>
      </c>
      <c r="S7012" t="s">
        <v>43</v>
      </c>
      <c r="T7012" t="s">
        <v>43</v>
      </c>
      <c r="U7012" t="s">
        <v>43</v>
      </c>
      <c r="V7012" t="s">
        <v>43</v>
      </c>
      <c r="W7012" t="s">
        <v>43</v>
      </c>
      <c r="X7012" t="s">
        <v>43</v>
      </c>
      <c r="Y7012" t="s">
        <v>43</v>
      </c>
      <c r="Z7012" t="s">
        <v>43</v>
      </c>
      <c r="AA7012" t="s">
        <v>43</v>
      </c>
      <c r="AB7012" t="s">
        <v>43</v>
      </c>
      <c r="AC7012" t="s">
        <v>43</v>
      </c>
      <c r="AD7012" t="s">
        <v>43</v>
      </c>
      <c r="AE7012" t="s">
        <v>43</v>
      </c>
      <c r="AF7012" t="s">
        <v>43</v>
      </c>
      <c r="AG7012" t="s">
        <v>43</v>
      </c>
      <c r="AH7012" t="s">
        <v>43</v>
      </c>
      <c r="AI7012" t="s">
        <v>43</v>
      </c>
      <c r="AJ7012" t="s">
        <v>43</v>
      </c>
      <c r="AK7012" t="s">
        <v>43</v>
      </c>
      <c r="AL7012" t="s">
        <v>43</v>
      </c>
      <c r="AM7012" t="s">
        <v>43</v>
      </c>
      <c r="AN7012" t="str">
        <f>HYPERLINK("https://www.google.com/maps?q=10.7896862,79.57879639","Open Location")</f>
        <v>Open Location</v>
      </c>
    </row>
    <row r="7013" spans="1:40" x14ac:dyDescent="0.3">
      <c r="A7013" s="1">
        <v>46210.187615740739</v>
      </c>
      <c r="B7013" t="s">
        <v>40</v>
      </c>
      <c r="C7013" t="s">
        <v>41</v>
      </c>
      <c r="D7013" s="1">
        <v>46210.19054398148</v>
      </c>
      <c r="E7013" t="s">
        <v>42</v>
      </c>
      <c r="F7013" t="s">
        <v>43</v>
      </c>
      <c r="G7013" t="s">
        <v>43</v>
      </c>
      <c r="H7013" t="s">
        <v>43</v>
      </c>
      <c r="I7013" t="s">
        <v>4088</v>
      </c>
      <c r="J7013" t="s">
        <v>43</v>
      </c>
      <c r="K7013" t="s">
        <v>43</v>
      </c>
      <c r="L7013" t="s">
        <v>43</v>
      </c>
      <c r="M7013" t="s">
        <v>43</v>
      </c>
      <c r="N7013" t="s">
        <v>45</v>
      </c>
      <c r="O7013" t="s">
        <v>43</v>
      </c>
      <c r="P7013" t="s">
        <v>43</v>
      </c>
      <c r="Q7013" t="s">
        <v>43</v>
      </c>
      <c r="R7013" t="s">
        <v>43</v>
      </c>
      <c r="S7013" t="s">
        <v>43</v>
      </c>
      <c r="T7013" t="s">
        <v>43</v>
      </c>
      <c r="U7013" t="s">
        <v>43</v>
      </c>
      <c r="V7013" t="s">
        <v>43</v>
      </c>
      <c r="W7013" t="s">
        <v>43</v>
      </c>
      <c r="X7013" t="s">
        <v>43</v>
      </c>
      <c r="Y7013" t="s">
        <v>43</v>
      </c>
      <c r="Z7013" t="s">
        <v>43</v>
      </c>
      <c r="AA7013" t="s">
        <v>43</v>
      </c>
      <c r="AB7013" t="s">
        <v>43</v>
      </c>
      <c r="AC7013" t="s">
        <v>43</v>
      </c>
      <c r="AD7013" t="s">
        <v>43</v>
      </c>
      <c r="AE7013" t="s">
        <v>43</v>
      </c>
      <c r="AF7013" t="s">
        <v>43</v>
      </c>
      <c r="AG7013" t="s">
        <v>43</v>
      </c>
      <c r="AH7013" t="s">
        <v>43</v>
      </c>
      <c r="AI7013" t="s">
        <v>43</v>
      </c>
      <c r="AJ7013" t="s">
        <v>43</v>
      </c>
      <c r="AK7013" t="s">
        <v>43</v>
      </c>
      <c r="AL7013" t="s">
        <v>43</v>
      </c>
      <c r="AM7013" t="s">
        <v>43</v>
      </c>
      <c r="AN7013" t="str">
        <f>HYPERLINK("https://www.google.com/maps?q=10.78968716,79.57879639","Open Location")</f>
        <v>Open Location</v>
      </c>
    </row>
    <row r="7014" spans="1:40" x14ac:dyDescent="0.3">
      <c r="A7014" s="1">
        <v>46210.1875</v>
      </c>
      <c r="B7014" t="s">
        <v>40</v>
      </c>
      <c r="C7014" t="s">
        <v>41</v>
      </c>
      <c r="D7014" s="1">
        <v>46210.190289351849</v>
      </c>
      <c r="E7014" t="s">
        <v>42</v>
      </c>
      <c r="F7014" t="s">
        <v>43</v>
      </c>
      <c r="G7014" t="s">
        <v>43</v>
      </c>
      <c r="H7014" t="s">
        <v>43</v>
      </c>
      <c r="I7014" t="s">
        <v>43</v>
      </c>
      <c r="J7014" t="s">
        <v>43</v>
      </c>
      <c r="K7014" t="s">
        <v>43</v>
      </c>
      <c r="L7014" t="s">
        <v>43</v>
      </c>
      <c r="M7014" t="s">
        <v>43</v>
      </c>
      <c r="N7014" t="s">
        <v>45</v>
      </c>
      <c r="O7014" t="s">
        <v>43</v>
      </c>
      <c r="P7014" t="s">
        <v>43</v>
      </c>
      <c r="Q7014" t="s">
        <v>43</v>
      </c>
      <c r="R7014" t="s">
        <v>43</v>
      </c>
      <c r="S7014" t="s">
        <v>43</v>
      </c>
      <c r="T7014" t="s">
        <v>43</v>
      </c>
      <c r="U7014" t="s">
        <v>43</v>
      </c>
      <c r="V7014" t="s">
        <v>43</v>
      </c>
      <c r="W7014" t="s">
        <v>43</v>
      </c>
      <c r="X7014" t="s">
        <v>43</v>
      </c>
      <c r="Y7014" t="s">
        <v>43</v>
      </c>
      <c r="Z7014" t="s">
        <v>43</v>
      </c>
      <c r="AA7014" t="s">
        <v>43</v>
      </c>
      <c r="AB7014" t="s">
        <v>43</v>
      </c>
      <c r="AC7014" t="s">
        <v>43</v>
      </c>
      <c r="AD7014" t="s">
        <v>43</v>
      </c>
      <c r="AE7014" t="s">
        <v>43</v>
      </c>
      <c r="AF7014" t="s">
        <v>43</v>
      </c>
      <c r="AG7014" t="s">
        <v>43</v>
      </c>
      <c r="AH7014" t="s">
        <v>43</v>
      </c>
      <c r="AI7014" t="s">
        <v>43</v>
      </c>
      <c r="AJ7014" t="s">
        <v>43</v>
      </c>
      <c r="AK7014" t="s">
        <v>43</v>
      </c>
      <c r="AL7014" t="s">
        <v>43</v>
      </c>
      <c r="AM7014" t="s">
        <v>43</v>
      </c>
      <c r="AN7014" t="s">
        <v>43</v>
      </c>
    </row>
    <row r="7015" spans="1:40" x14ac:dyDescent="0.3">
      <c r="A7015" s="1">
        <v>46210.187384259261</v>
      </c>
      <c r="B7015" t="s">
        <v>40</v>
      </c>
      <c r="C7015" t="s">
        <v>41</v>
      </c>
      <c r="D7015" s="1">
        <v>46210.190057870372</v>
      </c>
      <c r="E7015" t="s">
        <v>42</v>
      </c>
      <c r="F7015" t="s">
        <v>43</v>
      </c>
      <c r="G7015" t="s">
        <v>43</v>
      </c>
      <c r="H7015" t="s">
        <v>43</v>
      </c>
      <c r="I7015" t="s">
        <v>4089</v>
      </c>
      <c r="J7015" t="s">
        <v>43</v>
      </c>
      <c r="K7015" t="s">
        <v>43</v>
      </c>
      <c r="L7015" t="s">
        <v>43</v>
      </c>
      <c r="M7015" t="s">
        <v>43</v>
      </c>
      <c r="N7015" t="s">
        <v>45</v>
      </c>
      <c r="O7015" t="s">
        <v>43</v>
      </c>
      <c r="P7015" t="s">
        <v>43</v>
      </c>
      <c r="Q7015" t="s">
        <v>43</v>
      </c>
      <c r="R7015" t="s">
        <v>43</v>
      </c>
      <c r="S7015" t="s">
        <v>43</v>
      </c>
      <c r="T7015" t="s">
        <v>43</v>
      </c>
      <c r="U7015" t="s">
        <v>43</v>
      </c>
      <c r="V7015" t="s">
        <v>43</v>
      </c>
      <c r="W7015" t="s">
        <v>43</v>
      </c>
      <c r="X7015" t="s">
        <v>43</v>
      </c>
      <c r="Y7015" t="s">
        <v>43</v>
      </c>
      <c r="Z7015" t="s">
        <v>43</v>
      </c>
      <c r="AA7015" t="s">
        <v>43</v>
      </c>
      <c r="AB7015" t="s">
        <v>43</v>
      </c>
      <c r="AC7015" t="s">
        <v>43</v>
      </c>
      <c r="AD7015" t="s">
        <v>43</v>
      </c>
      <c r="AE7015" t="s">
        <v>43</v>
      </c>
      <c r="AF7015" t="s">
        <v>43</v>
      </c>
      <c r="AG7015" t="s">
        <v>43</v>
      </c>
      <c r="AH7015" t="s">
        <v>43</v>
      </c>
      <c r="AI7015" t="s">
        <v>43</v>
      </c>
      <c r="AJ7015" t="s">
        <v>43</v>
      </c>
      <c r="AK7015" t="s">
        <v>43</v>
      </c>
      <c r="AL7015" t="s">
        <v>43</v>
      </c>
      <c r="AM7015" t="s">
        <v>43</v>
      </c>
      <c r="AN7015" t="str">
        <f>HYPERLINK("https://www.google.com/maps?q=10.78967953,79.57881927","Open Location")</f>
        <v>Open Location</v>
      </c>
    </row>
    <row r="7016" spans="1:40" x14ac:dyDescent="0.3">
      <c r="A7016" s="1">
        <v>46210.187268518515</v>
      </c>
      <c r="B7016" t="s">
        <v>40</v>
      </c>
      <c r="C7016" t="s">
        <v>41</v>
      </c>
      <c r="D7016" s="1">
        <v>46210.190081018518</v>
      </c>
      <c r="E7016" t="s">
        <v>42</v>
      </c>
      <c r="F7016" t="s">
        <v>43</v>
      </c>
      <c r="G7016" t="s">
        <v>43</v>
      </c>
      <c r="H7016" t="s">
        <v>43</v>
      </c>
      <c r="I7016" t="s">
        <v>4090</v>
      </c>
      <c r="J7016" t="s">
        <v>43</v>
      </c>
      <c r="K7016" t="s">
        <v>43</v>
      </c>
      <c r="L7016" t="s">
        <v>43</v>
      </c>
      <c r="M7016" t="s">
        <v>43</v>
      </c>
      <c r="N7016" t="s">
        <v>45</v>
      </c>
      <c r="O7016" t="s">
        <v>43</v>
      </c>
      <c r="P7016" t="s">
        <v>43</v>
      </c>
      <c r="Q7016" t="s">
        <v>43</v>
      </c>
      <c r="R7016" t="s">
        <v>43</v>
      </c>
      <c r="S7016" t="s">
        <v>43</v>
      </c>
      <c r="T7016" t="s">
        <v>43</v>
      </c>
      <c r="U7016" t="s">
        <v>43</v>
      </c>
      <c r="V7016" t="s">
        <v>43</v>
      </c>
      <c r="W7016" t="s">
        <v>43</v>
      </c>
      <c r="X7016" t="s">
        <v>43</v>
      </c>
      <c r="Y7016" t="s">
        <v>43</v>
      </c>
      <c r="Z7016" t="s">
        <v>43</v>
      </c>
      <c r="AA7016" t="s">
        <v>43</v>
      </c>
      <c r="AB7016" t="s">
        <v>43</v>
      </c>
      <c r="AC7016" t="s">
        <v>43</v>
      </c>
      <c r="AD7016" t="s">
        <v>43</v>
      </c>
      <c r="AE7016" t="s">
        <v>43</v>
      </c>
      <c r="AF7016" t="s">
        <v>43</v>
      </c>
      <c r="AG7016" t="s">
        <v>43</v>
      </c>
      <c r="AH7016" t="s">
        <v>43</v>
      </c>
      <c r="AI7016" t="s">
        <v>43</v>
      </c>
      <c r="AJ7016" t="s">
        <v>43</v>
      </c>
      <c r="AK7016" t="s">
        <v>43</v>
      </c>
      <c r="AL7016" t="s">
        <v>43</v>
      </c>
      <c r="AM7016" t="s">
        <v>43</v>
      </c>
      <c r="AN7016" t="str">
        <f>HYPERLINK("https://www.google.com/maps?q=10.78967381,79.57881927","Open Location")</f>
        <v>Open Location</v>
      </c>
    </row>
    <row r="7017" spans="1:40" x14ac:dyDescent="0.3">
      <c r="A7017" s="1">
        <v>46210.187152777777</v>
      </c>
      <c r="B7017" t="s">
        <v>40</v>
      </c>
      <c r="C7017" t="s">
        <v>41</v>
      </c>
      <c r="D7017" s="1">
        <v>46210.190196759257</v>
      </c>
      <c r="E7017" t="s">
        <v>42</v>
      </c>
      <c r="F7017" t="s">
        <v>43</v>
      </c>
      <c r="G7017" t="s">
        <v>43</v>
      </c>
      <c r="H7017" t="s">
        <v>43</v>
      </c>
      <c r="I7017" t="s">
        <v>4091</v>
      </c>
      <c r="J7017" t="s">
        <v>43</v>
      </c>
      <c r="K7017" t="s">
        <v>43</v>
      </c>
      <c r="L7017" t="s">
        <v>43</v>
      </c>
      <c r="M7017" t="s">
        <v>43</v>
      </c>
      <c r="N7017" t="s">
        <v>45</v>
      </c>
      <c r="O7017" t="s">
        <v>43</v>
      </c>
      <c r="P7017" t="s">
        <v>43</v>
      </c>
      <c r="Q7017" t="s">
        <v>43</v>
      </c>
      <c r="R7017" t="s">
        <v>43</v>
      </c>
      <c r="S7017" t="s">
        <v>43</v>
      </c>
      <c r="T7017" t="s">
        <v>43</v>
      </c>
      <c r="U7017" t="s">
        <v>43</v>
      </c>
      <c r="V7017" t="s">
        <v>43</v>
      </c>
      <c r="W7017" t="s">
        <v>43</v>
      </c>
      <c r="X7017" t="s">
        <v>43</v>
      </c>
      <c r="Y7017" t="s">
        <v>43</v>
      </c>
      <c r="Z7017" t="s">
        <v>43</v>
      </c>
      <c r="AA7017" t="s">
        <v>43</v>
      </c>
      <c r="AB7017" t="s">
        <v>43</v>
      </c>
      <c r="AC7017" t="s">
        <v>43</v>
      </c>
      <c r="AD7017" t="s">
        <v>43</v>
      </c>
      <c r="AE7017" t="s">
        <v>43</v>
      </c>
      <c r="AF7017" t="s">
        <v>43</v>
      </c>
      <c r="AG7017" t="s">
        <v>43</v>
      </c>
      <c r="AH7017" t="s">
        <v>43</v>
      </c>
      <c r="AI7017" t="s">
        <v>43</v>
      </c>
      <c r="AJ7017" t="s">
        <v>43</v>
      </c>
      <c r="AK7017" t="s">
        <v>43</v>
      </c>
      <c r="AL7017" t="s">
        <v>43</v>
      </c>
      <c r="AM7017" t="s">
        <v>43</v>
      </c>
      <c r="AN7017" t="str">
        <f>HYPERLINK("https://www.google.com/maps?q=10.78966999,79.57881927","Open Location")</f>
        <v>Open Location</v>
      </c>
    </row>
    <row r="7018" spans="1:40" x14ac:dyDescent="0.3">
      <c r="A7018" s="1">
        <v>46210.187037037038</v>
      </c>
      <c r="B7018" t="s">
        <v>40</v>
      </c>
      <c r="C7018" t="s">
        <v>41</v>
      </c>
      <c r="D7018" s="1">
        <v>46210.189895833333</v>
      </c>
      <c r="E7018" t="s">
        <v>42</v>
      </c>
      <c r="F7018" t="s">
        <v>43</v>
      </c>
      <c r="G7018" t="s">
        <v>43</v>
      </c>
      <c r="H7018" t="s">
        <v>43</v>
      </c>
      <c r="I7018" t="s">
        <v>3933</v>
      </c>
      <c r="J7018" t="s">
        <v>43</v>
      </c>
      <c r="K7018" t="s">
        <v>43</v>
      </c>
      <c r="L7018" t="s">
        <v>43</v>
      </c>
      <c r="M7018" t="s">
        <v>43</v>
      </c>
      <c r="N7018" t="s">
        <v>45</v>
      </c>
      <c r="O7018" t="s">
        <v>43</v>
      </c>
      <c r="P7018" t="s">
        <v>43</v>
      </c>
      <c r="Q7018" t="s">
        <v>43</v>
      </c>
      <c r="R7018" t="s">
        <v>43</v>
      </c>
      <c r="S7018" t="s">
        <v>43</v>
      </c>
      <c r="T7018" t="s">
        <v>43</v>
      </c>
      <c r="U7018" t="s">
        <v>43</v>
      </c>
      <c r="V7018" t="s">
        <v>43</v>
      </c>
      <c r="W7018" t="s">
        <v>43</v>
      </c>
      <c r="X7018" t="s">
        <v>43</v>
      </c>
      <c r="Y7018" t="s">
        <v>43</v>
      </c>
      <c r="Z7018" t="s">
        <v>43</v>
      </c>
      <c r="AA7018" t="s">
        <v>43</v>
      </c>
      <c r="AB7018" t="s">
        <v>43</v>
      </c>
      <c r="AC7018" t="s">
        <v>43</v>
      </c>
      <c r="AD7018" t="s">
        <v>43</v>
      </c>
      <c r="AE7018" t="s">
        <v>43</v>
      </c>
      <c r="AF7018" t="s">
        <v>43</v>
      </c>
      <c r="AG7018" t="s">
        <v>43</v>
      </c>
      <c r="AH7018" t="s">
        <v>43</v>
      </c>
      <c r="AI7018" t="s">
        <v>43</v>
      </c>
      <c r="AJ7018" t="s">
        <v>43</v>
      </c>
      <c r="AK7018" t="s">
        <v>43</v>
      </c>
      <c r="AL7018" t="s">
        <v>43</v>
      </c>
      <c r="AM7018" t="s">
        <v>43</v>
      </c>
      <c r="AN7018" t="str">
        <f>HYPERLINK("https://www.google.com/maps?q=10.78966999,79.57881165","Open Location")</f>
        <v>Open Location</v>
      </c>
    </row>
    <row r="7019" spans="1:40" x14ac:dyDescent="0.3">
      <c r="A7019" s="1">
        <v>46210.186921296299</v>
      </c>
      <c r="B7019" t="s">
        <v>40</v>
      </c>
      <c r="C7019" t="s">
        <v>41</v>
      </c>
      <c r="D7019" s="1">
        <v>46210.189837962964</v>
      </c>
      <c r="E7019" t="s">
        <v>42</v>
      </c>
      <c r="F7019" t="s">
        <v>43</v>
      </c>
      <c r="G7019" t="s">
        <v>43</v>
      </c>
      <c r="H7019" t="s">
        <v>43</v>
      </c>
      <c r="I7019" t="s">
        <v>43</v>
      </c>
      <c r="J7019" t="s">
        <v>43</v>
      </c>
      <c r="K7019" t="s">
        <v>43</v>
      </c>
      <c r="L7019" t="s">
        <v>43</v>
      </c>
      <c r="M7019" t="s">
        <v>43</v>
      </c>
      <c r="N7019" t="s">
        <v>45</v>
      </c>
      <c r="O7019" t="s">
        <v>43</v>
      </c>
      <c r="P7019" t="s">
        <v>43</v>
      </c>
      <c r="Q7019" t="s">
        <v>43</v>
      </c>
      <c r="R7019" t="s">
        <v>43</v>
      </c>
      <c r="S7019" t="s">
        <v>43</v>
      </c>
      <c r="T7019" t="s">
        <v>43</v>
      </c>
      <c r="U7019" t="s">
        <v>43</v>
      </c>
      <c r="V7019" t="s">
        <v>43</v>
      </c>
      <c r="W7019" t="s">
        <v>43</v>
      </c>
      <c r="X7019" t="s">
        <v>43</v>
      </c>
      <c r="Y7019" t="s">
        <v>43</v>
      </c>
      <c r="Z7019" t="s">
        <v>43</v>
      </c>
      <c r="AA7019" t="s">
        <v>43</v>
      </c>
      <c r="AB7019" t="s">
        <v>43</v>
      </c>
      <c r="AC7019" t="s">
        <v>43</v>
      </c>
      <c r="AD7019" t="s">
        <v>43</v>
      </c>
      <c r="AE7019" t="s">
        <v>43</v>
      </c>
      <c r="AF7019" t="s">
        <v>43</v>
      </c>
      <c r="AG7019" t="s">
        <v>43</v>
      </c>
      <c r="AH7019" t="s">
        <v>43</v>
      </c>
      <c r="AI7019" t="s">
        <v>43</v>
      </c>
      <c r="AJ7019" t="s">
        <v>43</v>
      </c>
      <c r="AK7019" t="s">
        <v>43</v>
      </c>
      <c r="AL7019" t="s">
        <v>43</v>
      </c>
      <c r="AM7019" t="s">
        <v>43</v>
      </c>
      <c r="AN7019" t="s">
        <v>43</v>
      </c>
    </row>
    <row r="7020" spans="1:40" x14ac:dyDescent="0.3">
      <c r="A7020" s="1">
        <v>46210.186805555553</v>
      </c>
      <c r="B7020" t="s">
        <v>40</v>
      </c>
      <c r="C7020" t="s">
        <v>41</v>
      </c>
      <c r="D7020" s="1">
        <v>46210.189837962964</v>
      </c>
      <c r="E7020" t="s">
        <v>42</v>
      </c>
      <c r="F7020" t="s">
        <v>43</v>
      </c>
      <c r="G7020" t="s">
        <v>43</v>
      </c>
      <c r="H7020" t="s">
        <v>43</v>
      </c>
      <c r="I7020" t="s">
        <v>4092</v>
      </c>
      <c r="J7020" t="s">
        <v>43</v>
      </c>
      <c r="K7020" t="s">
        <v>43</v>
      </c>
      <c r="L7020" t="s">
        <v>43</v>
      </c>
      <c r="M7020" t="s">
        <v>43</v>
      </c>
      <c r="N7020" t="s">
        <v>45</v>
      </c>
      <c r="O7020" t="s">
        <v>43</v>
      </c>
      <c r="P7020" t="s">
        <v>43</v>
      </c>
      <c r="Q7020" t="s">
        <v>43</v>
      </c>
      <c r="R7020" t="s">
        <v>43</v>
      </c>
      <c r="S7020" t="s">
        <v>43</v>
      </c>
      <c r="T7020" t="s">
        <v>43</v>
      </c>
      <c r="U7020" t="s">
        <v>43</v>
      </c>
      <c r="V7020" t="s">
        <v>43</v>
      </c>
      <c r="W7020" t="s">
        <v>43</v>
      </c>
      <c r="X7020" t="s">
        <v>43</v>
      </c>
      <c r="Y7020" t="s">
        <v>43</v>
      </c>
      <c r="Z7020" t="s">
        <v>43</v>
      </c>
      <c r="AA7020" t="s">
        <v>43</v>
      </c>
      <c r="AB7020" t="s">
        <v>43</v>
      </c>
      <c r="AC7020" t="s">
        <v>43</v>
      </c>
      <c r="AD7020" t="s">
        <v>43</v>
      </c>
      <c r="AE7020" t="s">
        <v>43</v>
      </c>
      <c r="AF7020" t="s">
        <v>43</v>
      </c>
      <c r="AG7020" t="s">
        <v>43</v>
      </c>
      <c r="AH7020" t="s">
        <v>43</v>
      </c>
      <c r="AI7020" t="s">
        <v>43</v>
      </c>
      <c r="AJ7020" t="s">
        <v>43</v>
      </c>
      <c r="AK7020" t="s">
        <v>43</v>
      </c>
      <c r="AL7020" t="s">
        <v>43</v>
      </c>
      <c r="AM7020" t="s">
        <v>43</v>
      </c>
      <c r="AN7020" t="str">
        <f>HYPERLINK("https://www.google.com/maps?q=10.78966427,79.57881927","Open Location")</f>
        <v>Open Location</v>
      </c>
    </row>
    <row r="7021" spans="1:40" x14ac:dyDescent="0.3">
      <c r="A7021" s="1">
        <v>46210.186689814815</v>
      </c>
      <c r="B7021" t="s">
        <v>40</v>
      </c>
      <c r="C7021" t="s">
        <v>41</v>
      </c>
      <c r="D7021" s="1">
        <v>46210.189467592594</v>
      </c>
      <c r="E7021" t="s">
        <v>42</v>
      </c>
      <c r="F7021" t="s">
        <v>43</v>
      </c>
      <c r="G7021" t="s">
        <v>43</v>
      </c>
      <c r="H7021" t="s">
        <v>43</v>
      </c>
      <c r="I7021" t="s">
        <v>4065</v>
      </c>
      <c r="J7021" t="s">
        <v>43</v>
      </c>
      <c r="K7021" t="s">
        <v>43</v>
      </c>
      <c r="L7021" t="s">
        <v>43</v>
      </c>
      <c r="M7021" t="s">
        <v>43</v>
      </c>
      <c r="N7021" t="s">
        <v>45</v>
      </c>
      <c r="O7021" t="s">
        <v>43</v>
      </c>
      <c r="P7021" t="s">
        <v>43</v>
      </c>
      <c r="Q7021" t="s">
        <v>43</v>
      </c>
      <c r="R7021" t="s">
        <v>43</v>
      </c>
      <c r="S7021" t="s">
        <v>43</v>
      </c>
      <c r="T7021" t="s">
        <v>43</v>
      </c>
      <c r="U7021" t="s">
        <v>43</v>
      </c>
      <c r="V7021" t="s">
        <v>43</v>
      </c>
      <c r="W7021" t="s">
        <v>43</v>
      </c>
      <c r="X7021" t="s">
        <v>43</v>
      </c>
      <c r="Y7021" t="s">
        <v>43</v>
      </c>
      <c r="Z7021" t="s">
        <v>43</v>
      </c>
      <c r="AA7021" t="s">
        <v>43</v>
      </c>
      <c r="AB7021" t="s">
        <v>43</v>
      </c>
      <c r="AC7021" t="s">
        <v>43</v>
      </c>
      <c r="AD7021" t="s">
        <v>43</v>
      </c>
      <c r="AE7021" t="s">
        <v>43</v>
      </c>
      <c r="AF7021" t="s">
        <v>43</v>
      </c>
      <c r="AG7021" t="s">
        <v>43</v>
      </c>
      <c r="AH7021" t="s">
        <v>43</v>
      </c>
      <c r="AI7021" t="s">
        <v>43</v>
      </c>
      <c r="AJ7021" t="s">
        <v>43</v>
      </c>
      <c r="AK7021" t="s">
        <v>43</v>
      </c>
      <c r="AL7021" t="s">
        <v>43</v>
      </c>
      <c r="AM7021" t="s">
        <v>43</v>
      </c>
      <c r="AN7021" t="str">
        <f>HYPERLINK("https://www.google.com/maps?q=10.78966713,79.5788269","Open Location")</f>
        <v>Open Location</v>
      </c>
    </row>
    <row r="7022" spans="1:40" x14ac:dyDescent="0.3">
      <c r="A7022" s="1">
        <v>46210.186574074076</v>
      </c>
      <c r="B7022" t="s">
        <v>40</v>
      </c>
      <c r="C7022" t="s">
        <v>41</v>
      </c>
      <c r="D7022" s="1">
        <v>46210.189467592594</v>
      </c>
      <c r="E7022" t="s">
        <v>42</v>
      </c>
      <c r="F7022" t="s">
        <v>43</v>
      </c>
      <c r="G7022" t="s">
        <v>43</v>
      </c>
      <c r="H7022" t="s">
        <v>43</v>
      </c>
      <c r="I7022" t="s">
        <v>3944</v>
      </c>
      <c r="J7022" t="s">
        <v>43</v>
      </c>
      <c r="K7022" t="s">
        <v>43</v>
      </c>
      <c r="L7022" t="s">
        <v>43</v>
      </c>
      <c r="M7022" t="s">
        <v>43</v>
      </c>
      <c r="N7022" t="s">
        <v>45</v>
      </c>
      <c r="O7022" t="s">
        <v>43</v>
      </c>
      <c r="P7022" t="s">
        <v>43</v>
      </c>
      <c r="Q7022" t="s">
        <v>43</v>
      </c>
      <c r="R7022" t="s">
        <v>43</v>
      </c>
      <c r="S7022" t="s">
        <v>43</v>
      </c>
      <c r="T7022" t="s">
        <v>43</v>
      </c>
      <c r="U7022" t="s">
        <v>43</v>
      </c>
      <c r="V7022" t="s">
        <v>43</v>
      </c>
      <c r="W7022" t="s">
        <v>43</v>
      </c>
      <c r="X7022" t="s">
        <v>43</v>
      </c>
      <c r="Y7022" t="s">
        <v>43</v>
      </c>
      <c r="Z7022" t="s">
        <v>43</v>
      </c>
      <c r="AA7022" t="s">
        <v>43</v>
      </c>
      <c r="AB7022" t="s">
        <v>43</v>
      </c>
      <c r="AC7022" t="s">
        <v>43</v>
      </c>
      <c r="AD7022" t="s">
        <v>43</v>
      </c>
      <c r="AE7022" t="s">
        <v>43</v>
      </c>
      <c r="AF7022" t="s">
        <v>43</v>
      </c>
      <c r="AG7022" t="s">
        <v>43</v>
      </c>
      <c r="AH7022" t="s">
        <v>43</v>
      </c>
      <c r="AI7022" t="s">
        <v>43</v>
      </c>
      <c r="AJ7022" t="s">
        <v>43</v>
      </c>
      <c r="AK7022" t="s">
        <v>43</v>
      </c>
      <c r="AL7022" t="s">
        <v>43</v>
      </c>
      <c r="AM7022" t="s">
        <v>43</v>
      </c>
      <c r="AN7022" t="str">
        <f>HYPERLINK("https://www.google.com/maps?q=10.78966427,79.57883453","Open Location")</f>
        <v>Open Location</v>
      </c>
    </row>
    <row r="7023" spans="1:40" x14ac:dyDescent="0.3">
      <c r="A7023" s="1">
        <v>46210.18645833333</v>
      </c>
      <c r="B7023" t="s">
        <v>40</v>
      </c>
      <c r="C7023" t="s">
        <v>41</v>
      </c>
      <c r="D7023" s="1">
        <v>46210.189479166664</v>
      </c>
      <c r="E7023" t="s">
        <v>42</v>
      </c>
      <c r="F7023" t="s">
        <v>43</v>
      </c>
      <c r="G7023" t="s">
        <v>43</v>
      </c>
      <c r="H7023" t="s">
        <v>43</v>
      </c>
      <c r="I7023" t="s">
        <v>3944</v>
      </c>
      <c r="J7023" t="s">
        <v>43</v>
      </c>
      <c r="K7023" t="s">
        <v>43</v>
      </c>
      <c r="L7023" t="s">
        <v>43</v>
      </c>
      <c r="M7023" t="s">
        <v>43</v>
      </c>
      <c r="N7023" t="s">
        <v>45</v>
      </c>
      <c r="O7023" t="s">
        <v>43</v>
      </c>
      <c r="P7023" t="s">
        <v>43</v>
      </c>
      <c r="Q7023" t="s">
        <v>43</v>
      </c>
      <c r="R7023" t="s">
        <v>43</v>
      </c>
      <c r="S7023" t="s">
        <v>43</v>
      </c>
      <c r="T7023" t="s">
        <v>43</v>
      </c>
      <c r="U7023" t="s">
        <v>43</v>
      </c>
      <c r="V7023" t="s">
        <v>43</v>
      </c>
      <c r="W7023" t="s">
        <v>43</v>
      </c>
      <c r="X7023" t="s">
        <v>43</v>
      </c>
      <c r="Y7023" t="s">
        <v>43</v>
      </c>
      <c r="Z7023" t="s">
        <v>43</v>
      </c>
      <c r="AA7023" t="s">
        <v>43</v>
      </c>
      <c r="AB7023" t="s">
        <v>43</v>
      </c>
      <c r="AC7023" t="s">
        <v>43</v>
      </c>
      <c r="AD7023" t="s">
        <v>43</v>
      </c>
      <c r="AE7023" t="s">
        <v>43</v>
      </c>
      <c r="AF7023" t="s">
        <v>43</v>
      </c>
      <c r="AG7023" t="s">
        <v>43</v>
      </c>
      <c r="AH7023" t="s">
        <v>43</v>
      </c>
      <c r="AI7023" t="s">
        <v>43</v>
      </c>
      <c r="AJ7023" t="s">
        <v>43</v>
      </c>
      <c r="AK7023" t="s">
        <v>43</v>
      </c>
      <c r="AL7023" t="s">
        <v>43</v>
      </c>
      <c r="AM7023" t="s">
        <v>43</v>
      </c>
      <c r="AN7023" t="str">
        <f>HYPERLINK("https://www.google.com/maps?q=10.78966427,79.57883453","Open Location")</f>
        <v>Open Location</v>
      </c>
    </row>
    <row r="7024" spans="1:40" x14ac:dyDescent="0.3">
      <c r="A7024" s="1">
        <v>46210.186342592591</v>
      </c>
      <c r="B7024" t="s">
        <v>40</v>
      </c>
      <c r="C7024" t="s">
        <v>41</v>
      </c>
      <c r="D7024" s="1">
        <v>46210.189479166664</v>
      </c>
      <c r="E7024" t="s">
        <v>42</v>
      </c>
      <c r="F7024" t="s">
        <v>43</v>
      </c>
      <c r="G7024" t="s">
        <v>43</v>
      </c>
      <c r="H7024" t="s">
        <v>43</v>
      </c>
      <c r="I7024" t="s">
        <v>4064</v>
      </c>
      <c r="J7024" t="s">
        <v>43</v>
      </c>
      <c r="K7024" t="s">
        <v>43</v>
      </c>
      <c r="L7024" t="s">
        <v>43</v>
      </c>
      <c r="M7024" t="s">
        <v>43</v>
      </c>
      <c r="N7024" t="s">
        <v>45</v>
      </c>
      <c r="O7024" t="s">
        <v>43</v>
      </c>
      <c r="P7024" t="s">
        <v>43</v>
      </c>
      <c r="Q7024" t="s">
        <v>43</v>
      </c>
      <c r="R7024" t="s">
        <v>43</v>
      </c>
      <c r="S7024" t="s">
        <v>43</v>
      </c>
      <c r="T7024" t="s">
        <v>43</v>
      </c>
      <c r="U7024" t="s">
        <v>43</v>
      </c>
      <c r="V7024" t="s">
        <v>43</v>
      </c>
      <c r="W7024" t="s">
        <v>43</v>
      </c>
      <c r="X7024" t="s">
        <v>43</v>
      </c>
      <c r="Y7024" t="s">
        <v>43</v>
      </c>
      <c r="Z7024" t="s">
        <v>43</v>
      </c>
      <c r="AA7024" t="s">
        <v>43</v>
      </c>
      <c r="AB7024" t="s">
        <v>43</v>
      </c>
      <c r="AC7024" t="s">
        <v>43</v>
      </c>
      <c r="AD7024" t="s">
        <v>43</v>
      </c>
      <c r="AE7024" t="s">
        <v>43</v>
      </c>
      <c r="AF7024" t="s">
        <v>43</v>
      </c>
      <c r="AG7024" t="s">
        <v>43</v>
      </c>
      <c r="AH7024" t="s">
        <v>43</v>
      </c>
      <c r="AI7024" t="s">
        <v>43</v>
      </c>
      <c r="AJ7024" t="s">
        <v>43</v>
      </c>
      <c r="AK7024" t="s">
        <v>43</v>
      </c>
      <c r="AL7024" t="s">
        <v>43</v>
      </c>
      <c r="AM7024" t="s">
        <v>43</v>
      </c>
      <c r="AN7024" t="str">
        <f>HYPERLINK("https://www.google.com/maps?q=10.78966236,79.5788269","Open Location")</f>
        <v>Open Location</v>
      </c>
    </row>
    <row r="7025" spans="1:40" x14ac:dyDescent="0.3">
      <c r="A7025" s="1">
        <v>46210.186226851853</v>
      </c>
      <c r="B7025" t="s">
        <v>40</v>
      </c>
      <c r="C7025" t="s">
        <v>41</v>
      </c>
      <c r="D7025" s="1">
        <v>46210.189085648148</v>
      </c>
      <c r="E7025" t="s">
        <v>42</v>
      </c>
      <c r="F7025" t="s">
        <v>43</v>
      </c>
      <c r="G7025" t="s">
        <v>43</v>
      </c>
      <c r="H7025" t="s">
        <v>43</v>
      </c>
      <c r="I7025" t="s">
        <v>43</v>
      </c>
      <c r="J7025" t="s">
        <v>43</v>
      </c>
      <c r="K7025" t="s">
        <v>43</v>
      </c>
      <c r="L7025" t="s">
        <v>43</v>
      </c>
      <c r="M7025" t="s">
        <v>43</v>
      </c>
      <c r="N7025" t="s">
        <v>45</v>
      </c>
      <c r="O7025" t="s">
        <v>43</v>
      </c>
      <c r="P7025" t="s">
        <v>43</v>
      </c>
      <c r="Q7025" t="s">
        <v>43</v>
      </c>
      <c r="R7025" t="s">
        <v>43</v>
      </c>
      <c r="S7025" t="s">
        <v>43</v>
      </c>
      <c r="T7025" t="s">
        <v>43</v>
      </c>
      <c r="U7025" t="s">
        <v>43</v>
      </c>
      <c r="V7025" t="s">
        <v>43</v>
      </c>
      <c r="W7025" t="s">
        <v>43</v>
      </c>
      <c r="X7025" t="s">
        <v>43</v>
      </c>
      <c r="Y7025" t="s">
        <v>43</v>
      </c>
      <c r="Z7025" t="s">
        <v>43</v>
      </c>
      <c r="AA7025" t="s">
        <v>43</v>
      </c>
      <c r="AB7025" t="s">
        <v>43</v>
      </c>
      <c r="AC7025" t="s">
        <v>43</v>
      </c>
      <c r="AD7025" t="s">
        <v>43</v>
      </c>
      <c r="AE7025" t="s">
        <v>43</v>
      </c>
      <c r="AF7025" t="s">
        <v>43</v>
      </c>
      <c r="AG7025" t="s">
        <v>43</v>
      </c>
      <c r="AH7025" t="s">
        <v>43</v>
      </c>
      <c r="AI7025" t="s">
        <v>43</v>
      </c>
      <c r="AJ7025" t="s">
        <v>43</v>
      </c>
      <c r="AK7025" t="s">
        <v>43</v>
      </c>
      <c r="AL7025" t="s">
        <v>43</v>
      </c>
      <c r="AM7025" t="s">
        <v>43</v>
      </c>
      <c r="AN7025" t="s">
        <v>43</v>
      </c>
    </row>
    <row r="7026" spans="1:40" x14ac:dyDescent="0.3">
      <c r="A7026" s="1">
        <v>46210.186111111114</v>
      </c>
      <c r="B7026" t="s">
        <v>40</v>
      </c>
      <c r="C7026" t="s">
        <v>41</v>
      </c>
      <c r="D7026" s="1">
        <v>46210.189097222225</v>
      </c>
      <c r="E7026" t="s">
        <v>42</v>
      </c>
      <c r="F7026" t="s">
        <v>43</v>
      </c>
      <c r="G7026" t="s">
        <v>43</v>
      </c>
      <c r="H7026" t="s">
        <v>43</v>
      </c>
      <c r="I7026" t="s">
        <v>4093</v>
      </c>
      <c r="J7026" t="s">
        <v>43</v>
      </c>
      <c r="K7026" t="s">
        <v>43</v>
      </c>
      <c r="L7026" t="s">
        <v>43</v>
      </c>
      <c r="M7026" t="s">
        <v>43</v>
      </c>
      <c r="N7026" t="s">
        <v>45</v>
      </c>
      <c r="O7026" t="s">
        <v>43</v>
      </c>
      <c r="P7026" t="s">
        <v>43</v>
      </c>
      <c r="Q7026" t="s">
        <v>43</v>
      </c>
      <c r="R7026" t="s">
        <v>43</v>
      </c>
      <c r="S7026" t="s">
        <v>43</v>
      </c>
      <c r="T7026" t="s">
        <v>43</v>
      </c>
      <c r="U7026" t="s">
        <v>43</v>
      </c>
      <c r="V7026" t="s">
        <v>43</v>
      </c>
      <c r="W7026" t="s">
        <v>43</v>
      </c>
      <c r="X7026" t="s">
        <v>43</v>
      </c>
      <c r="Y7026" t="s">
        <v>43</v>
      </c>
      <c r="Z7026" t="s">
        <v>43</v>
      </c>
      <c r="AA7026" t="s">
        <v>43</v>
      </c>
      <c r="AB7026" t="s">
        <v>43</v>
      </c>
      <c r="AC7026" t="s">
        <v>43</v>
      </c>
      <c r="AD7026" t="s">
        <v>43</v>
      </c>
      <c r="AE7026" t="s">
        <v>43</v>
      </c>
      <c r="AF7026" t="s">
        <v>43</v>
      </c>
      <c r="AG7026" t="s">
        <v>43</v>
      </c>
      <c r="AH7026" t="s">
        <v>43</v>
      </c>
      <c r="AI7026" t="s">
        <v>43</v>
      </c>
      <c r="AJ7026" t="s">
        <v>43</v>
      </c>
      <c r="AK7026" t="s">
        <v>43</v>
      </c>
      <c r="AL7026" t="s">
        <v>43</v>
      </c>
      <c r="AM7026" t="s">
        <v>43</v>
      </c>
      <c r="AN7026" t="str">
        <f>HYPERLINK("https://www.google.com/maps?q=10.78965855,79.5788269","Open Location")</f>
        <v>Open Location</v>
      </c>
    </row>
    <row r="7027" spans="1:40" x14ac:dyDescent="0.3">
      <c r="A7027" s="1">
        <v>46210.185995370368</v>
      </c>
      <c r="B7027" t="s">
        <v>40</v>
      </c>
      <c r="C7027" t="s">
        <v>41</v>
      </c>
      <c r="D7027" s="1">
        <v>46210.188738425924</v>
      </c>
      <c r="E7027" t="s">
        <v>42</v>
      </c>
      <c r="F7027" t="s">
        <v>43</v>
      </c>
      <c r="G7027" t="s">
        <v>43</v>
      </c>
      <c r="H7027" t="s">
        <v>43</v>
      </c>
      <c r="I7027" t="s">
        <v>3937</v>
      </c>
      <c r="J7027" t="s">
        <v>43</v>
      </c>
      <c r="K7027" t="s">
        <v>43</v>
      </c>
      <c r="L7027" t="s">
        <v>43</v>
      </c>
      <c r="M7027" t="s">
        <v>43</v>
      </c>
      <c r="N7027" t="s">
        <v>45</v>
      </c>
      <c r="O7027" t="s">
        <v>43</v>
      </c>
      <c r="P7027" t="s">
        <v>43</v>
      </c>
      <c r="Q7027" t="s">
        <v>43</v>
      </c>
      <c r="R7027" t="s">
        <v>43</v>
      </c>
      <c r="S7027" t="s">
        <v>43</v>
      </c>
      <c r="T7027" t="s">
        <v>43</v>
      </c>
      <c r="U7027" t="s">
        <v>43</v>
      </c>
      <c r="V7027" t="s">
        <v>43</v>
      </c>
      <c r="W7027" t="s">
        <v>43</v>
      </c>
      <c r="X7027" t="s">
        <v>43</v>
      </c>
      <c r="Y7027" t="s">
        <v>43</v>
      </c>
      <c r="Z7027" t="s">
        <v>43</v>
      </c>
      <c r="AA7027" t="s">
        <v>43</v>
      </c>
      <c r="AB7027" t="s">
        <v>43</v>
      </c>
      <c r="AC7027" t="s">
        <v>43</v>
      </c>
      <c r="AD7027" t="s">
        <v>43</v>
      </c>
      <c r="AE7027" t="s">
        <v>43</v>
      </c>
      <c r="AF7027" t="s">
        <v>43</v>
      </c>
      <c r="AG7027" t="s">
        <v>43</v>
      </c>
      <c r="AH7027" t="s">
        <v>43</v>
      </c>
      <c r="AI7027" t="s">
        <v>43</v>
      </c>
      <c r="AJ7027" t="s">
        <v>43</v>
      </c>
      <c r="AK7027" t="s">
        <v>43</v>
      </c>
      <c r="AL7027" t="s">
        <v>43</v>
      </c>
      <c r="AM7027" t="s">
        <v>43</v>
      </c>
      <c r="AN7027" t="str">
        <f>HYPERLINK("https://www.google.com/maps?q=10.78965664,79.57881927","Open Location")</f>
        <v>Open Location</v>
      </c>
    </row>
    <row r="7028" spans="1:40" x14ac:dyDescent="0.3">
      <c r="A7028" s="1">
        <v>46210.185879629629</v>
      </c>
      <c r="B7028" t="s">
        <v>40</v>
      </c>
      <c r="C7028" t="s">
        <v>41</v>
      </c>
      <c r="D7028" s="1">
        <v>46210.188668981478</v>
      </c>
      <c r="E7028" t="s">
        <v>42</v>
      </c>
      <c r="F7028" t="s">
        <v>43</v>
      </c>
      <c r="G7028" t="s">
        <v>43</v>
      </c>
      <c r="H7028" t="s">
        <v>43</v>
      </c>
      <c r="I7028" t="s">
        <v>4094</v>
      </c>
      <c r="J7028" t="s">
        <v>43</v>
      </c>
      <c r="K7028" t="s">
        <v>43</v>
      </c>
      <c r="L7028" t="s">
        <v>43</v>
      </c>
      <c r="M7028" t="s">
        <v>43</v>
      </c>
      <c r="N7028" t="s">
        <v>45</v>
      </c>
      <c r="O7028" t="s">
        <v>43</v>
      </c>
      <c r="P7028" t="s">
        <v>43</v>
      </c>
      <c r="Q7028" t="s">
        <v>43</v>
      </c>
      <c r="R7028" t="s">
        <v>43</v>
      </c>
      <c r="S7028" t="s">
        <v>43</v>
      </c>
      <c r="T7028" t="s">
        <v>43</v>
      </c>
      <c r="U7028" t="s">
        <v>43</v>
      </c>
      <c r="V7028" t="s">
        <v>43</v>
      </c>
      <c r="W7028" t="s">
        <v>43</v>
      </c>
      <c r="X7028" t="s">
        <v>43</v>
      </c>
      <c r="Y7028" t="s">
        <v>43</v>
      </c>
      <c r="Z7028" t="s">
        <v>43</v>
      </c>
      <c r="AA7028" t="s">
        <v>43</v>
      </c>
      <c r="AB7028" t="s">
        <v>43</v>
      </c>
      <c r="AC7028" t="s">
        <v>43</v>
      </c>
      <c r="AD7028" t="s">
        <v>43</v>
      </c>
      <c r="AE7028" t="s">
        <v>43</v>
      </c>
      <c r="AF7028" t="s">
        <v>43</v>
      </c>
      <c r="AG7028" t="s">
        <v>43</v>
      </c>
      <c r="AH7028" t="s">
        <v>43</v>
      </c>
      <c r="AI7028" t="s">
        <v>43</v>
      </c>
      <c r="AJ7028" t="s">
        <v>43</v>
      </c>
      <c r="AK7028" t="s">
        <v>43</v>
      </c>
      <c r="AL7028" t="s">
        <v>43</v>
      </c>
      <c r="AM7028" t="s">
        <v>43</v>
      </c>
      <c r="AN7028" t="str">
        <f>HYPERLINK("https://www.google.com/maps?q=10.78965378,79.5788269","Open Location")</f>
        <v>Open Location</v>
      </c>
    </row>
    <row r="7029" spans="1:40" x14ac:dyDescent="0.3">
      <c r="A7029" s="1">
        <v>46210.185763888891</v>
      </c>
      <c r="B7029" t="s">
        <v>40</v>
      </c>
      <c r="C7029" t="s">
        <v>41</v>
      </c>
      <c r="D7029" s="1">
        <v>46210.188738425924</v>
      </c>
      <c r="E7029" t="s">
        <v>42</v>
      </c>
      <c r="F7029" t="s">
        <v>43</v>
      </c>
      <c r="G7029" t="s">
        <v>43</v>
      </c>
      <c r="H7029" t="s">
        <v>43</v>
      </c>
      <c r="I7029" t="s">
        <v>3919</v>
      </c>
      <c r="J7029" t="s">
        <v>43</v>
      </c>
      <c r="K7029" t="s">
        <v>43</v>
      </c>
      <c r="L7029" t="s">
        <v>43</v>
      </c>
      <c r="M7029" t="s">
        <v>43</v>
      </c>
      <c r="N7029" t="s">
        <v>45</v>
      </c>
      <c r="O7029" t="s">
        <v>43</v>
      </c>
      <c r="P7029" t="s">
        <v>43</v>
      </c>
      <c r="Q7029" t="s">
        <v>43</v>
      </c>
      <c r="R7029" t="s">
        <v>43</v>
      </c>
      <c r="S7029" t="s">
        <v>43</v>
      </c>
      <c r="T7029" t="s">
        <v>43</v>
      </c>
      <c r="U7029" t="s">
        <v>43</v>
      </c>
      <c r="V7029" t="s">
        <v>43</v>
      </c>
      <c r="W7029" t="s">
        <v>43</v>
      </c>
      <c r="X7029" t="s">
        <v>43</v>
      </c>
      <c r="Y7029" t="s">
        <v>43</v>
      </c>
      <c r="Z7029" t="s">
        <v>43</v>
      </c>
      <c r="AA7029" t="s">
        <v>43</v>
      </c>
      <c r="AB7029" t="s">
        <v>43</v>
      </c>
      <c r="AC7029" t="s">
        <v>43</v>
      </c>
      <c r="AD7029" t="s">
        <v>43</v>
      </c>
      <c r="AE7029" t="s">
        <v>43</v>
      </c>
      <c r="AF7029" t="s">
        <v>43</v>
      </c>
      <c r="AG7029" t="s">
        <v>43</v>
      </c>
      <c r="AH7029" t="s">
        <v>43</v>
      </c>
      <c r="AI7029" t="s">
        <v>43</v>
      </c>
      <c r="AJ7029" t="s">
        <v>43</v>
      </c>
      <c r="AK7029" t="s">
        <v>43</v>
      </c>
      <c r="AL7029" t="s">
        <v>43</v>
      </c>
      <c r="AM7029" t="s">
        <v>43</v>
      </c>
      <c r="AN7029" t="str">
        <f>HYPERLINK("https://www.google.com/maps?q=10.78965378,79.57881927","Open Location")</f>
        <v>Open Location</v>
      </c>
    </row>
    <row r="7030" spans="1:40" x14ac:dyDescent="0.3">
      <c r="A7030" s="1">
        <v>46210.185648148145</v>
      </c>
      <c r="B7030" t="s">
        <v>40</v>
      </c>
      <c r="C7030" t="s">
        <v>41</v>
      </c>
      <c r="D7030" s="1">
        <v>46210.188530092593</v>
      </c>
      <c r="E7030" t="s">
        <v>42</v>
      </c>
      <c r="F7030" t="s">
        <v>43</v>
      </c>
      <c r="G7030" t="s">
        <v>43</v>
      </c>
      <c r="H7030" t="s">
        <v>43</v>
      </c>
      <c r="I7030" t="s">
        <v>4095</v>
      </c>
      <c r="J7030" t="s">
        <v>43</v>
      </c>
      <c r="K7030" t="s">
        <v>43</v>
      </c>
      <c r="L7030" t="s">
        <v>43</v>
      </c>
      <c r="M7030" t="s">
        <v>43</v>
      </c>
      <c r="N7030" t="s">
        <v>45</v>
      </c>
      <c r="O7030" t="s">
        <v>43</v>
      </c>
      <c r="P7030" t="s">
        <v>43</v>
      </c>
      <c r="Q7030" t="s">
        <v>43</v>
      </c>
      <c r="R7030" t="s">
        <v>43</v>
      </c>
      <c r="S7030" t="s">
        <v>43</v>
      </c>
      <c r="T7030" t="s">
        <v>43</v>
      </c>
      <c r="U7030" t="s">
        <v>43</v>
      </c>
      <c r="V7030" t="s">
        <v>43</v>
      </c>
      <c r="W7030" t="s">
        <v>43</v>
      </c>
      <c r="X7030" t="s">
        <v>43</v>
      </c>
      <c r="Y7030" t="s">
        <v>43</v>
      </c>
      <c r="Z7030" t="s">
        <v>43</v>
      </c>
      <c r="AA7030" t="s">
        <v>43</v>
      </c>
      <c r="AB7030" t="s">
        <v>43</v>
      </c>
      <c r="AC7030" t="s">
        <v>43</v>
      </c>
      <c r="AD7030" t="s">
        <v>43</v>
      </c>
      <c r="AE7030" t="s">
        <v>43</v>
      </c>
      <c r="AF7030" t="s">
        <v>43</v>
      </c>
      <c r="AG7030" t="s">
        <v>43</v>
      </c>
      <c r="AH7030" t="s">
        <v>43</v>
      </c>
      <c r="AI7030" t="s">
        <v>43</v>
      </c>
      <c r="AJ7030" t="s">
        <v>43</v>
      </c>
      <c r="AK7030" t="s">
        <v>43</v>
      </c>
      <c r="AL7030" t="s">
        <v>43</v>
      </c>
      <c r="AM7030" t="s">
        <v>43</v>
      </c>
      <c r="AN7030" t="str">
        <f>HYPERLINK("https://www.google.com/maps?q=10.78965569,79.57881927","Open Location")</f>
        <v>Open Location</v>
      </c>
    </row>
    <row r="7031" spans="1:40" x14ac:dyDescent="0.3">
      <c r="A7031" s="1">
        <v>46210.185532407406</v>
      </c>
      <c r="B7031" t="s">
        <v>40</v>
      </c>
      <c r="C7031" t="s">
        <v>41</v>
      </c>
      <c r="D7031" s="1">
        <v>46210.188368055555</v>
      </c>
      <c r="E7031" t="s">
        <v>42</v>
      </c>
      <c r="F7031" t="s">
        <v>43</v>
      </c>
      <c r="G7031" t="s">
        <v>43</v>
      </c>
      <c r="H7031" t="s">
        <v>43</v>
      </c>
      <c r="I7031" t="s">
        <v>43</v>
      </c>
      <c r="J7031" t="s">
        <v>43</v>
      </c>
      <c r="K7031" t="s">
        <v>43</v>
      </c>
      <c r="L7031" t="s">
        <v>43</v>
      </c>
      <c r="M7031" t="s">
        <v>43</v>
      </c>
      <c r="N7031" t="s">
        <v>45</v>
      </c>
      <c r="O7031" t="s">
        <v>43</v>
      </c>
      <c r="P7031" t="s">
        <v>43</v>
      </c>
      <c r="Q7031" t="s">
        <v>43</v>
      </c>
      <c r="R7031" t="s">
        <v>43</v>
      </c>
      <c r="S7031" t="s">
        <v>43</v>
      </c>
      <c r="T7031" t="s">
        <v>43</v>
      </c>
      <c r="U7031" t="s">
        <v>43</v>
      </c>
      <c r="V7031" t="s">
        <v>43</v>
      </c>
      <c r="W7031" t="s">
        <v>43</v>
      </c>
      <c r="X7031" t="s">
        <v>43</v>
      </c>
      <c r="Y7031" t="s">
        <v>43</v>
      </c>
      <c r="Z7031" t="s">
        <v>43</v>
      </c>
      <c r="AA7031" t="s">
        <v>43</v>
      </c>
      <c r="AB7031" t="s">
        <v>43</v>
      </c>
      <c r="AC7031" t="s">
        <v>43</v>
      </c>
      <c r="AD7031" t="s">
        <v>43</v>
      </c>
      <c r="AE7031" t="s">
        <v>43</v>
      </c>
      <c r="AF7031" t="s">
        <v>43</v>
      </c>
      <c r="AG7031" t="s">
        <v>43</v>
      </c>
      <c r="AH7031" t="s">
        <v>43</v>
      </c>
      <c r="AI7031" t="s">
        <v>43</v>
      </c>
      <c r="AJ7031" t="s">
        <v>43</v>
      </c>
      <c r="AK7031" t="s">
        <v>43</v>
      </c>
      <c r="AL7031" t="s">
        <v>43</v>
      </c>
      <c r="AM7031" t="s">
        <v>43</v>
      </c>
      <c r="AN7031" t="s">
        <v>43</v>
      </c>
    </row>
    <row r="7032" spans="1:40" x14ac:dyDescent="0.3">
      <c r="A7032" s="1">
        <v>46210.185416666667</v>
      </c>
      <c r="B7032" t="s">
        <v>40</v>
      </c>
      <c r="C7032" t="s">
        <v>41</v>
      </c>
      <c r="D7032" s="1">
        <v>46210.188379629632</v>
      </c>
      <c r="E7032" t="s">
        <v>42</v>
      </c>
      <c r="F7032" t="s">
        <v>43</v>
      </c>
      <c r="G7032" t="s">
        <v>43</v>
      </c>
      <c r="H7032" t="s">
        <v>43</v>
      </c>
      <c r="I7032" t="s">
        <v>4010</v>
      </c>
      <c r="J7032" t="s">
        <v>43</v>
      </c>
      <c r="K7032" t="s">
        <v>43</v>
      </c>
      <c r="L7032" t="s">
        <v>43</v>
      </c>
      <c r="M7032" t="s">
        <v>43</v>
      </c>
      <c r="N7032" t="s">
        <v>45</v>
      </c>
      <c r="O7032" t="s">
        <v>43</v>
      </c>
      <c r="P7032" t="s">
        <v>43</v>
      </c>
      <c r="Q7032" t="s">
        <v>43</v>
      </c>
      <c r="R7032" t="s">
        <v>43</v>
      </c>
      <c r="S7032" t="s">
        <v>43</v>
      </c>
      <c r="T7032" t="s">
        <v>43</v>
      </c>
      <c r="U7032" t="s">
        <v>43</v>
      </c>
      <c r="V7032" t="s">
        <v>43</v>
      </c>
      <c r="W7032" t="s">
        <v>43</v>
      </c>
      <c r="X7032" t="s">
        <v>43</v>
      </c>
      <c r="Y7032" t="s">
        <v>43</v>
      </c>
      <c r="Z7032" t="s">
        <v>43</v>
      </c>
      <c r="AA7032" t="s">
        <v>43</v>
      </c>
      <c r="AB7032" t="s">
        <v>43</v>
      </c>
      <c r="AC7032" t="s">
        <v>43</v>
      </c>
      <c r="AD7032" t="s">
        <v>43</v>
      </c>
      <c r="AE7032" t="s">
        <v>43</v>
      </c>
      <c r="AF7032" t="s">
        <v>43</v>
      </c>
      <c r="AG7032" t="s">
        <v>43</v>
      </c>
      <c r="AH7032" t="s">
        <v>43</v>
      </c>
      <c r="AI7032" t="s">
        <v>43</v>
      </c>
      <c r="AJ7032" t="s">
        <v>43</v>
      </c>
      <c r="AK7032" t="s">
        <v>43</v>
      </c>
      <c r="AL7032" t="s">
        <v>43</v>
      </c>
      <c r="AM7032" t="s">
        <v>43</v>
      </c>
      <c r="AN7032" t="str">
        <f>HYPERLINK("https://www.google.com/maps?q=10.78966331,79.57881927","Open Location")</f>
        <v>Open Location</v>
      </c>
    </row>
    <row r="7033" spans="1:40" x14ac:dyDescent="0.3">
      <c r="A7033" s="1">
        <v>46210.185300925928</v>
      </c>
      <c r="B7033" t="s">
        <v>40</v>
      </c>
      <c r="C7033" t="s">
        <v>41</v>
      </c>
      <c r="D7033" s="1">
        <v>46210.187997685185</v>
      </c>
      <c r="E7033" t="s">
        <v>42</v>
      </c>
      <c r="F7033" t="s">
        <v>43</v>
      </c>
      <c r="G7033" t="s">
        <v>43</v>
      </c>
      <c r="H7033" t="s">
        <v>43</v>
      </c>
      <c r="I7033" t="s">
        <v>4096</v>
      </c>
      <c r="J7033" t="s">
        <v>43</v>
      </c>
      <c r="K7033" t="s">
        <v>43</v>
      </c>
      <c r="L7033" t="s">
        <v>43</v>
      </c>
      <c r="M7033" t="s">
        <v>43</v>
      </c>
      <c r="N7033" t="s">
        <v>45</v>
      </c>
      <c r="O7033" t="s">
        <v>43</v>
      </c>
      <c r="P7033" t="s">
        <v>43</v>
      </c>
      <c r="Q7033" t="s">
        <v>43</v>
      </c>
      <c r="R7033" t="s">
        <v>43</v>
      </c>
      <c r="S7033" t="s">
        <v>43</v>
      </c>
      <c r="T7033" t="s">
        <v>43</v>
      </c>
      <c r="U7033" t="s">
        <v>43</v>
      </c>
      <c r="V7033" t="s">
        <v>43</v>
      </c>
      <c r="W7033" t="s">
        <v>43</v>
      </c>
      <c r="X7033" t="s">
        <v>43</v>
      </c>
      <c r="Y7033" t="s">
        <v>43</v>
      </c>
      <c r="Z7033" t="s">
        <v>43</v>
      </c>
      <c r="AA7033" t="s">
        <v>43</v>
      </c>
      <c r="AB7033" t="s">
        <v>43</v>
      </c>
      <c r="AC7033" t="s">
        <v>43</v>
      </c>
      <c r="AD7033" t="s">
        <v>43</v>
      </c>
      <c r="AE7033" t="s">
        <v>43</v>
      </c>
      <c r="AF7033" t="s">
        <v>43</v>
      </c>
      <c r="AG7033" t="s">
        <v>43</v>
      </c>
      <c r="AH7033" t="s">
        <v>43</v>
      </c>
      <c r="AI7033" t="s">
        <v>43</v>
      </c>
      <c r="AJ7033" t="s">
        <v>43</v>
      </c>
      <c r="AK7033" t="s">
        <v>43</v>
      </c>
      <c r="AL7033" t="s">
        <v>43</v>
      </c>
      <c r="AM7033" t="s">
        <v>43</v>
      </c>
      <c r="AN7033" t="str">
        <f>HYPERLINK("https://www.google.com/maps?q=10.78966331,79.57881165","Open Location")</f>
        <v>Open Location</v>
      </c>
    </row>
    <row r="7034" spans="1:40" x14ac:dyDescent="0.3">
      <c r="A7034" s="1">
        <v>46210.185185185182</v>
      </c>
      <c r="B7034" t="s">
        <v>40</v>
      </c>
      <c r="C7034" t="s">
        <v>41</v>
      </c>
      <c r="D7034" s="1">
        <v>46210.187962962962</v>
      </c>
      <c r="E7034" t="s">
        <v>42</v>
      </c>
      <c r="F7034" t="s">
        <v>43</v>
      </c>
      <c r="G7034" t="s">
        <v>43</v>
      </c>
      <c r="H7034" t="s">
        <v>43</v>
      </c>
      <c r="I7034" t="s">
        <v>3936</v>
      </c>
      <c r="J7034" t="s">
        <v>43</v>
      </c>
      <c r="K7034" t="s">
        <v>43</v>
      </c>
      <c r="L7034" t="s">
        <v>43</v>
      </c>
      <c r="M7034" t="s">
        <v>43</v>
      </c>
      <c r="N7034" t="s">
        <v>45</v>
      </c>
      <c r="O7034" t="s">
        <v>43</v>
      </c>
      <c r="P7034" t="s">
        <v>43</v>
      </c>
      <c r="Q7034" t="s">
        <v>43</v>
      </c>
      <c r="R7034" t="s">
        <v>43</v>
      </c>
      <c r="S7034" t="s">
        <v>43</v>
      </c>
      <c r="T7034" t="s">
        <v>43</v>
      </c>
      <c r="U7034" t="s">
        <v>43</v>
      </c>
      <c r="V7034" t="s">
        <v>43</v>
      </c>
      <c r="W7034" t="s">
        <v>43</v>
      </c>
      <c r="X7034" t="s">
        <v>43</v>
      </c>
      <c r="Y7034" t="s">
        <v>43</v>
      </c>
      <c r="Z7034" t="s">
        <v>43</v>
      </c>
      <c r="AA7034" t="s">
        <v>43</v>
      </c>
      <c r="AB7034" t="s">
        <v>43</v>
      </c>
      <c r="AC7034" t="s">
        <v>43</v>
      </c>
      <c r="AD7034" t="s">
        <v>43</v>
      </c>
      <c r="AE7034" t="s">
        <v>43</v>
      </c>
      <c r="AF7034" t="s">
        <v>43</v>
      </c>
      <c r="AG7034" t="s">
        <v>43</v>
      </c>
      <c r="AH7034" t="s">
        <v>43</v>
      </c>
      <c r="AI7034" t="s">
        <v>43</v>
      </c>
      <c r="AJ7034" t="s">
        <v>43</v>
      </c>
      <c r="AK7034" t="s">
        <v>43</v>
      </c>
      <c r="AL7034" t="s">
        <v>43</v>
      </c>
      <c r="AM7034" t="s">
        <v>43</v>
      </c>
      <c r="AN7034" t="str">
        <f>HYPERLINK("https://www.google.com/maps?q=10.78965855,79.57881165","Open Location")</f>
        <v>Open Location</v>
      </c>
    </row>
    <row r="7035" spans="1:40" x14ac:dyDescent="0.3">
      <c r="A7035" s="1">
        <v>46210.185069444444</v>
      </c>
      <c r="B7035" t="s">
        <v>40</v>
      </c>
      <c r="C7035" t="s">
        <v>41</v>
      </c>
      <c r="D7035" s="1">
        <v>46210.187974537039</v>
      </c>
      <c r="E7035" t="s">
        <v>42</v>
      </c>
      <c r="F7035" t="s">
        <v>43</v>
      </c>
      <c r="G7035" t="s">
        <v>43</v>
      </c>
      <c r="H7035" t="s">
        <v>43</v>
      </c>
      <c r="I7035" t="s">
        <v>4097</v>
      </c>
      <c r="J7035" t="s">
        <v>43</v>
      </c>
      <c r="K7035" t="s">
        <v>43</v>
      </c>
      <c r="L7035" t="s">
        <v>43</v>
      </c>
      <c r="M7035" t="s">
        <v>43</v>
      </c>
      <c r="N7035" t="s">
        <v>45</v>
      </c>
      <c r="O7035" t="s">
        <v>43</v>
      </c>
      <c r="P7035" t="s">
        <v>43</v>
      </c>
      <c r="Q7035" t="s">
        <v>43</v>
      </c>
      <c r="R7035" t="s">
        <v>43</v>
      </c>
      <c r="S7035" t="s">
        <v>43</v>
      </c>
      <c r="T7035" t="s">
        <v>43</v>
      </c>
      <c r="U7035" t="s">
        <v>43</v>
      </c>
      <c r="V7035" t="s">
        <v>43</v>
      </c>
      <c r="W7035" t="s">
        <v>43</v>
      </c>
      <c r="X7035" t="s">
        <v>43</v>
      </c>
      <c r="Y7035" t="s">
        <v>43</v>
      </c>
      <c r="Z7035" t="s">
        <v>43</v>
      </c>
      <c r="AA7035" t="s">
        <v>43</v>
      </c>
      <c r="AB7035" t="s">
        <v>43</v>
      </c>
      <c r="AC7035" t="s">
        <v>43</v>
      </c>
      <c r="AD7035" t="s">
        <v>43</v>
      </c>
      <c r="AE7035" t="s">
        <v>43</v>
      </c>
      <c r="AF7035" t="s">
        <v>43</v>
      </c>
      <c r="AG7035" t="s">
        <v>43</v>
      </c>
      <c r="AH7035" t="s">
        <v>43</v>
      </c>
      <c r="AI7035" t="s">
        <v>43</v>
      </c>
      <c r="AJ7035" t="s">
        <v>43</v>
      </c>
      <c r="AK7035" t="s">
        <v>43</v>
      </c>
      <c r="AL7035" t="s">
        <v>43</v>
      </c>
      <c r="AM7035" t="s">
        <v>43</v>
      </c>
      <c r="AN7035" t="str">
        <f>HYPERLINK("https://www.google.com/maps?q=10.78965378,79.57879639","Open Location")</f>
        <v>Open Location</v>
      </c>
    </row>
    <row r="7036" spans="1:40" x14ac:dyDescent="0.3">
      <c r="A7036" s="1">
        <v>46210.184953703705</v>
      </c>
      <c r="B7036" t="s">
        <v>40</v>
      </c>
      <c r="C7036" t="s">
        <v>41</v>
      </c>
      <c r="D7036" s="1">
        <v>46210.188009259262</v>
      </c>
      <c r="E7036" t="s">
        <v>42</v>
      </c>
      <c r="F7036" t="s">
        <v>43</v>
      </c>
      <c r="G7036" t="s">
        <v>43</v>
      </c>
      <c r="H7036" t="s">
        <v>43</v>
      </c>
      <c r="I7036" t="s">
        <v>43</v>
      </c>
      <c r="J7036" t="s">
        <v>43</v>
      </c>
      <c r="K7036" t="s">
        <v>43</v>
      </c>
      <c r="L7036" t="s">
        <v>43</v>
      </c>
      <c r="M7036" t="s">
        <v>43</v>
      </c>
      <c r="N7036" t="s">
        <v>45</v>
      </c>
      <c r="O7036" t="s">
        <v>43</v>
      </c>
      <c r="P7036" t="s">
        <v>43</v>
      </c>
      <c r="Q7036" t="s">
        <v>43</v>
      </c>
      <c r="R7036" t="s">
        <v>43</v>
      </c>
      <c r="S7036" t="s">
        <v>43</v>
      </c>
      <c r="T7036" t="s">
        <v>43</v>
      </c>
      <c r="U7036" t="s">
        <v>43</v>
      </c>
      <c r="V7036" t="s">
        <v>43</v>
      </c>
      <c r="W7036" t="s">
        <v>43</v>
      </c>
      <c r="X7036" t="s">
        <v>43</v>
      </c>
      <c r="Y7036" t="s">
        <v>43</v>
      </c>
      <c r="Z7036" t="s">
        <v>43</v>
      </c>
      <c r="AA7036" t="s">
        <v>43</v>
      </c>
      <c r="AB7036" t="s">
        <v>43</v>
      </c>
      <c r="AC7036" t="s">
        <v>43</v>
      </c>
      <c r="AD7036" t="s">
        <v>43</v>
      </c>
      <c r="AE7036" t="s">
        <v>43</v>
      </c>
      <c r="AF7036" t="s">
        <v>43</v>
      </c>
      <c r="AG7036" t="s">
        <v>43</v>
      </c>
      <c r="AH7036" t="s">
        <v>43</v>
      </c>
      <c r="AI7036" t="s">
        <v>43</v>
      </c>
      <c r="AJ7036" t="s">
        <v>43</v>
      </c>
      <c r="AK7036" t="s">
        <v>43</v>
      </c>
      <c r="AL7036" t="s">
        <v>43</v>
      </c>
      <c r="AM7036" t="s">
        <v>43</v>
      </c>
      <c r="AN7036" t="s">
        <v>43</v>
      </c>
    </row>
    <row r="7037" spans="1:40" x14ac:dyDescent="0.3">
      <c r="A7037" s="1">
        <v>46210.184837962966</v>
      </c>
      <c r="B7037" t="s">
        <v>40</v>
      </c>
      <c r="C7037" t="s">
        <v>41</v>
      </c>
      <c r="D7037" s="1">
        <v>46210.187627314815</v>
      </c>
      <c r="E7037" t="s">
        <v>42</v>
      </c>
      <c r="F7037" t="s">
        <v>43</v>
      </c>
      <c r="G7037" t="s">
        <v>43</v>
      </c>
      <c r="H7037" t="s">
        <v>43</v>
      </c>
      <c r="I7037" t="s">
        <v>4048</v>
      </c>
      <c r="J7037" t="s">
        <v>43</v>
      </c>
      <c r="K7037" t="s">
        <v>43</v>
      </c>
      <c r="L7037" t="s">
        <v>43</v>
      </c>
      <c r="M7037" t="s">
        <v>43</v>
      </c>
      <c r="N7037" t="s">
        <v>45</v>
      </c>
      <c r="O7037" t="s">
        <v>43</v>
      </c>
      <c r="P7037" t="s">
        <v>43</v>
      </c>
      <c r="Q7037" t="s">
        <v>43</v>
      </c>
      <c r="R7037" t="s">
        <v>43</v>
      </c>
      <c r="S7037" t="s">
        <v>43</v>
      </c>
      <c r="T7037" t="s">
        <v>43</v>
      </c>
      <c r="U7037" t="s">
        <v>43</v>
      </c>
      <c r="V7037" t="s">
        <v>43</v>
      </c>
      <c r="W7037" t="s">
        <v>43</v>
      </c>
      <c r="X7037" t="s">
        <v>43</v>
      </c>
      <c r="Y7037" t="s">
        <v>43</v>
      </c>
      <c r="Z7037" t="s">
        <v>43</v>
      </c>
      <c r="AA7037" t="s">
        <v>43</v>
      </c>
      <c r="AB7037" t="s">
        <v>43</v>
      </c>
      <c r="AC7037" t="s">
        <v>43</v>
      </c>
      <c r="AD7037" t="s">
        <v>43</v>
      </c>
      <c r="AE7037" t="s">
        <v>43</v>
      </c>
      <c r="AF7037" t="s">
        <v>43</v>
      </c>
      <c r="AG7037" t="s">
        <v>43</v>
      </c>
      <c r="AH7037" t="s">
        <v>43</v>
      </c>
      <c r="AI7037" t="s">
        <v>43</v>
      </c>
      <c r="AJ7037" t="s">
        <v>43</v>
      </c>
      <c r="AK7037" t="s">
        <v>43</v>
      </c>
      <c r="AL7037" t="s">
        <v>43</v>
      </c>
      <c r="AM7037" t="s">
        <v>43</v>
      </c>
      <c r="AN7037" t="str">
        <f>HYPERLINK("https://www.google.com/maps?q=10.78965664,79.57879639","Open Location")</f>
        <v>Open Location</v>
      </c>
    </row>
    <row r="7038" spans="1:40" x14ac:dyDescent="0.3">
      <c r="A7038" s="1">
        <v>46210.18472222222</v>
      </c>
      <c r="B7038" t="s">
        <v>40</v>
      </c>
      <c r="C7038" t="s">
        <v>41</v>
      </c>
      <c r="D7038" s="1">
        <v>46210.187615740739</v>
      </c>
      <c r="E7038" t="s">
        <v>42</v>
      </c>
      <c r="F7038" t="s">
        <v>43</v>
      </c>
      <c r="G7038" t="s">
        <v>43</v>
      </c>
      <c r="H7038" t="s">
        <v>43</v>
      </c>
      <c r="I7038" t="s">
        <v>4098</v>
      </c>
      <c r="J7038" t="s">
        <v>43</v>
      </c>
      <c r="K7038" t="s">
        <v>43</v>
      </c>
      <c r="L7038" t="s">
        <v>43</v>
      </c>
      <c r="M7038" t="s">
        <v>43</v>
      </c>
      <c r="N7038" t="s">
        <v>45</v>
      </c>
      <c r="O7038" t="s">
        <v>43</v>
      </c>
      <c r="P7038" t="s">
        <v>43</v>
      </c>
      <c r="Q7038" t="s">
        <v>43</v>
      </c>
      <c r="R7038" t="s">
        <v>43</v>
      </c>
      <c r="S7038" t="s">
        <v>43</v>
      </c>
      <c r="T7038" t="s">
        <v>43</v>
      </c>
      <c r="U7038" t="s">
        <v>43</v>
      </c>
      <c r="V7038" t="s">
        <v>43</v>
      </c>
      <c r="W7038" t="s">
        <v>43</v>
      </c>
      <c r="X7038" t="s">
        <v>43</v>
      </c>
      <c r="Y7038" t="s">
        <v>43</v>
      </c>
      <c r="Z7038" t="s">
        <v>43</v>
      </c>
      <c r="AA7038" t="s">
        <v>43</v>
      </c>
      <c r="AB7038" t="s">
        <v>43</v>
      </c>
      <c r="AC7038" t="s">
        <v>43</v>
      </c>
      <c r="AD7038" t="s">
        <v>43</v>
      </c>
      <c r="AE7038" t="s">
        <v>43</v>
      </c>
      <c r="AF7038" t="s">
        <v>43</v>
      </c>
      <c r="AG7038" t="s">
        <v>43</v>
      </c>
      <c r="AH7038" t="s">
        <v>43</v>
      </c>
      <c r="AI7038" t="s">
        <v>43</v>
      </c>
      <c r="AJ7038" t="s">
        <v>43</v>
      </c>
      <c r="AK7038" t="s">
        <v>43</v>
      </c>
      <c r="AL7038" t="s">
        <v>43</v>
      </c>
      <c r="AM7038" t="s">
        <v>43</v>
      </c>
      <c r="AN7038" t="str">
        <f>HYPERLINK("https://www.google.com/maps?q=10.78965569,79.57881165","Open Location")</f>
        <v>Open Location</v>
      </c>
    </row>
    <row r="7039" spans="1:40" x14ac:dyDescent="0.3">
      <c r="A7039" s="1">
        <v>46210.184606481482</v>
      </c>
      <c r="B7039" t="s">
        <v>40</v>
      </c>
      <c r="C7039" t="s">
        <v>41</v>
      </c>
      <c r="D7039" s="1">
        <v>46210.187511574077</v>
      </c>
      <c r="E7039" t="s">
        <v>42</v>
      </c>
      <c r="F7039" t="s">
        <v>43</v>
      </c>
      <c r="G7039" t="s">
        <v>43</v>
      </c>
      <c r="H7039" t="s">
        <v>43</v>
      </c>
      <c r="I7039" t="s">
        <v>4099</v>
      </c>
      <c r="J7039" t="s">
        <v>43</v>
      </c>
      <c r="K7039" t="s">
        <v>43</v>
      </c>
      <c r="L7039" t="s">
        <v>43</v>
      </c>
      <c r="M7039" t="s">
        <v>43</v>
      </c>
      <c r="N7039" t="s">
        <v>45</v>
      </c>
      <c r="O7039" t="s">
        <v>43</v>
      </c>
      <c r="P7039" t="s">
        <v>43</v>
      </c>
      <c r="Q7039" t="s">
        <v>43</v>
      </c>
      <c r="R7039" t="s">
        <v>43</v>
      </c>
      <c r="S7039" t="s">
        <v>43</v>
      </c>
      <c r="T7039" t="s">
        <v>43</v>
      </c>
      <c r="U7039" t="s">
        <v>43</v>
      </c>
      <c r="V7039" t="s">
        <v>43</v>
      </c>
      <c r="W7039" t="s">
        <v>43</v>
      </c>
      <c r="X7039" t="s">
        <v>43</v>
      </c>
      <c r="Y7039" t="s">
        <v>43</v>
      </c>
      <c r="Z7039" t="s">
        <v>43</v>
      </c>
      <c r="AA7039" t="s">
        <v>43</v>
      </c>
      <c r="AB7039" t="s">
        <v>43</v>
      </c>
      <c r="AC7039" t="s">
        <v>43</v>
      </c>
      <c r="AD7039" t="s">
        <v>43</v>
      </c>
      <c r="AE7039" t="s">
        <v>43</v>
      </c>
      <c r="AF7039" t="s">
        <v>43</v>
      </c>
      <c r="AG7039" t="s">
        <v>43</v>
      </c>
      <c r="AH7039" t="s">
        <v>43</v>
      </c>
      <c r="AI7039" t="s">
        <v>43</v>
      </c>
      <c r="AJ7039" t="s">
        <v>43</v>
      </c>
      <c r="AK7039" t="s">
        <v>43</v>
      </c>
      <c r="AL7039" t="s">
        <v>43</v>
      </c>
      <c r="AM7039" t="s">
        <v>43</v>
      </c>
      <c r="AN7039" t="str">
        <f>HYPERLINK("https://www.google.com/maps?q=10.78965759,79.57881165","Open Location")</f>
        <v>Open Location</v>
      </c>
    </row>
    <row r="7040" spans="1:40" x14ac:dyDescent="0.3">
      <c r="A7040" s="1">
        <v>46210.184490740743</v>
      </c>
      <c r="B7040" t="s">
        <v>40</v>
      </c>
      <c r="C7040" t="s">
        <v>41</v>
      </c>
      <c r="D7040" s="1">
        <v>46210.187384259261</v>
      </c>
      <c r="E7040" t="s">
        <v>42</v>
      </c>
      <c r="F7040" t="s">
        <v>43</v>
      </c>
      <c r="G7040" t="s">
        <v>43</v>
      </c>
      <c r="H7040" t="s">
        <v>43</v>
      </c>
      <c r="I7040" t="s">
        <v>4100</v>
      </c>
      <c r="J7040" t="s">
        <v>43</v>
      </c>
      <c r="K7040" t="s">
        <v>43</v>
      </c>
      <c r="L7040" t="s">
        <v>43</v>
      </c>
      <c r="M7040" t="s">
        <v>43</v>
      </c>
      <c r="N7040" t="s">
        <v>45</v>
      </c>
      <c r="O7040" t="s">
        <v>43</v>
      </c>
      <c r="P7040" t="s">
        <v>43</v>
      </c>
      <c r="Q7040" t="s">
        <v>43</v>
      </c>
      <c r="R7040" t="s">
        <v>43</v>
      </c>
      <c r="S7040" t="s">
        <v>43</v>
      </c>
      <c r="T7040" t="s">
        <v>43</v>
      </c>
      <c r="U7040" t="s">
        <v>43</v>
      </c>
      <c r="V7040" t="s">
        <v>43</v>
      </c>
      <c r="W7040" t="s">
        <v>43</v>
      </c>
      <c r="X7040" t="s">
        <v>43</v>
      </c>
      <c r="Y7040" t="s">
        <v>43</v>
      </c>
      <c r="Z7040" t="s">
        <v>43</v>
      </c>
      <c r="AA7040" t="s">
        <v>43</v>
      </c>
      <c r="AB7040" t="s">
        <v>43</v>
      </c>
      <c r="AC7040" t="s">
        <v>43</v>
      </c>
      <c r="AD7040" t="s">
        <v>43</v>
      </c>
      <c r="AE7040" t="s">
        <v>43</v>
      </c>
      <c r="AF7040" t="s">
        <v>43</v>
      </c>
      <c r="AG7040" t="s">
        <v>43</v>
      </c>
      <c r="AH7040" t="s">
        <v>43</v>
      </c>
      <c r="AI7040" t="s">
        <v>43</v>
      </c>
      <c r="AJ7040" t="s">
        <v>43</v>
      </c>
      <c r="AK7040" t="s">
        <v>43</v>
      </c>
      <c r="AL7040" t="s">
        <v>43</v>
      </c>
      <c r="AM7040" t="s">
        <v>43</v>
      </c>
      <c r="AN7040" t="str">
        <f>HYPERLINK("https://www.google.com/maps?q=10.78965664,79.57881165","Open Location")</f>
        <v>Open Location</v>
      </c>
    </row>
    <row r="7041" spans="1:40" x14ac:dyDescent="0.3">
      <c r="A7041" s="1">
        <v>46210.184374999997</v>
      </c>
      <c r="B7041" t="s">
        <v>40</v>
      </c>
      <c r="C7041" t="s">
        <v>41</v>
      </c>
      <c r="D7041" s="1">
        <v>46210.1872337963</v>
      </c>
      <c r="E7041" t="s">
        <v>42</v>
      </c>
      <c r="F7041" t="s">
        <v>43</v>
      </c>
      <c r="G7041" t="s">
        <v>43</v>
      </c>
      <c r="H7041" t="s">
        <v>43</v>
      </c>
      <c r="I7041" t="s">
        <v>4098</v>
      </c>
      <c r="J7041" t="s">
        <v>43</v>
      </c>
      <c r="K7041" t="s">
        <v>43</v>
      </c>
      <c r="L7041" t="s">
        <v>43</v>
      </c>
      <c r="M7041" t="s">
        <v>43</v>
      </c>
      <c r="N7041" t="s">
        <v>45</v>
      </c>
      <c r="O7041" t="s">
        <v>43</v>
      </c>
      <c r="P7041" t="s">
        <v>43</v>
      </c>
      <c r="Q7041" t="s">
        <v>43</v>
      </c>
      <c r="R7041" t="s">
        <v>43</v>
      </c>
      <c r="S7041" t="s">
        <v>43</v>
      </c>
      <c r="T7041" t="s">
        <v>43</v>
      </c>
      <c r="U7041" t="s">
        <v>43</v>
      </c>
      <c r="V7041" t="s">
        <v>43</v>
      </c>
      <c r="W7041" t="s">
        <v>43</v>
      </c>
      <c r="X7041" t="s">
        <v>43</v>
      </c>
      <c r="Y7041" t="s">
        <v>43</v>
      </c>
      <c r="Z7041" t="s">
        <v>43</v>
      </c>
      <c r="AA7041" t="s">
        <v>43</v>
      </c>
      <c r="AB7041" t="s">
        <v>43</v>
      </c>
      <c r="AC7041" t="s">
        <v>43</v>
      </c>
      <c r="AD7041" t="s">
        <v>43</v>
      </c>
      <c r="AE7041" t="s">
        <v>43</v>
      </c>
      <c r="AF7041" t="s">
        <v>43</v>
      </c>
      <c r="AG7041" t="s">
        <v>43</v>
      </c>
      <c r="AH7041" t="s">
        <v>43</v>
      </c>
      <c r="AI7041" t="s">
        <v>43</v>
      </c>
      <c r="AJ7041" t="s">
        <v>43</v>
      </c>
      <c r="AK7041" t="s">
        <v>43</v>
      </c>
      <c r="AL7041" t="s">
        <v>43</v>
      </c>
      <c r="AM7041" t="s">
        <v>43</v>
      </c>
      <c r="AN7041" t="str">
        <f>HYPERLINK("https://www.google.com/maps?q=10.78965569,79.57881165","Open Location")</f>
        <v>Open Location</v>
      </c>
    </row>
    <row r="7042" spans="1:40" x14ac:dyDescent="0.3">
      <c r="A7042" s="1">
        <v>46210.184259259258</v>
      </c>
      <c r="B7042" t="s">
        <v>40</v>
      </c>
      <c r="C7042" t="s">
        <v>41</v>
      </c>
      <c r="D7042" s="1">
        <v>46210.1872337963</v>
      </c>
      <c r="E7042" t="s">
        <v>42</v>
      </c>
      <c r="F7042" t="s">
        <v>43</v>
      </c>
      <c r="G7042" t="s">
        <v>43</v>
      </c>
      <c r="H7042" t="s">
        <v>43</v>
      </c>
      <c r="I7042" t="s">
        <v>43</v>
      </c>
      <c r="J7042" t="s">
        <v>43</v>
      </c>
      <c r="K7042" t="s">
        <v>43</v>
      </c>
      <c r="L7042" t="s">
        <v>43</v>
      </c>
      <c r="M7042" t="s">
        <v>43</v>
      </c>
      <c r="N7042" t="s">
        <v>45</v>
      </c>
      <c r="O7042" t="s">
        <v>43</v>
      </c>
      <c r="P7042" t="s">
        <v>43</v>
      </c>
      <c r="Q7042" t="s">
        <v>43</v>
      </c>
      <c r="R7042" t="s">
        <v>43</v>
      </c>
      <c r="S7042" t="s">
        <v>43</v>
      </c>
      <c r="T7042" t="s">
        <v>43</v>
      </c>
      <c r="U7042" t="s">
        <v>43</v>
      </c>
      <c r="V7042" t="s">
        <v>43</v>
      </c>
      <c r="W7042" t="s">
        <v>43</v>
      </c>
      <c r="X7042" t="s">
        <v>43</v>
      </c>
      <c r="Y7042" t="s">
        <v>43</v>
      </c>
      <c r="Z7042" t="s">
        <v>43</v>
      </c>
      <c r="AA7042" t="s">
        <v>43</v>
      </c>
      <c r="AB7042" t="s">
        <v>43</v>
      </c>
      <c r="AC7042" t="s">
        <v>43</v>
      </c>
      <c r="AD7042" t="s">
        <v>43</v>
      </c>
      <c r="AE7042" t="s">
        <v>43</v>
      </c>
      <c r="AF7042" t="s">
        <v>43</v>
      </c>
      <c r="AG7042" t="s">
        <v>43</v>
      </c>
      <c r="AH7042" t="s">
        <v>43</v>
      </c>
      <c r="AI7042" t="s">
        <v>43</v>
      </c>
      <c r="AJ7042" t="s">
        <v>43</v>
      </c>
      <c r="AK7042" t="s">
        <v>43</v>
      </c>
      <c r="AL7042" t="s">
        <v>43</v>
      </c>
      <c r="AM7042" t="s">
        <v>43</v>
      </c>
      <c r="AN7042" t="s">
        <v>43</v>
      </c>
    </row>
    <row r="7043" spans="1:40" x14ac:dyDescent="0.3">
      <c r="A7043" s="1">
        <v>46210.18414351852</v>
      </c>
      <c r="B7043" t="s">
        <v>40</v>
      </c>
      <c r="C7043" t="s">
        <v>41</v>
      </c>
      <c r="D7043" s="1">
        <v>46210.187245370369</v>
      </c>
      <c r="E7043" t="s">
        <v>42</v>
      </c>
      <c r="F7043" t="s">
        <v>43</v>
      </c>
      <c r="G7043" t="s">
        <v>43</v>
      </c>
      <c r="H7043" t="s">
        <v>43</v>
      </c>
      <c r="I7043" t="s">
        <v>4101</v>
      </c>
      <c r="J7043" t="s">
        <v>43</v>
      </c>
      <c r="K7043" t="s">
        <v>43</v>
      </c>
      <c r="L7043" t="s">
        <v>43</v>
      </c>
      <c r="M7043" t="s">
        <v>43</v>
      </c>
      <c r="N7043" t="s">
        <v>45</v>
      </c>
      <c r="O7043" t="s">
        <v>43</v>
      </c>
      <c r="P7043" t="s">
        <v>43</v>
      </c>
      <c r="Q7043" t="s">
        <v>43</v>
      </c>
      <c r="R7043" t="s">
        <v>43</v>
      </c>
      <c r="S7043" t="s">
        <v>43</v>
      </c>
      <c r="T7043" t="s">
        <v>43</v>
      </c>
      <c r="U7043" t="s">
        <v>43</v>
      </c>
      <c r="V7043" t="s">
        <v>43</v>
      </c>
      <c r="W7043" t="s">
        <v>43</v>
      </c>
      <c r="X7043" t="s">
        <v>43</v>
      </c>
      <c r="Y7043" t="s">
        <v>43</v>
      </c>
      <c r="Z7043" t="s">
        <v>43</v>
      </c>
      <c r="AA7043" t="s">
        <v>43</v>
      </c>
      <c r="AB7043" t="s">
        <v>43</v>
      </c>
      <c r="AC7043" t="s">
        <v>43</v>
      </c>
      <c r="AD7043" t="s">
        <v>43</v>
      </c>
      <c r="AE7043" t="s">
        <v>43</v>
      </c>
      <c r="AF7043" t="s">
        <v>43</v>
      </c>
      <c r="AG7043" t="s">
        <v>43</v>
      </c>
      <c r="AH7043" t="s">
        <v>43</v>
      </c>
      <c r="AI7043" t="s">
        <v>43</v>
      </c>
      <c r="AJ7043" t="s">
        <v>43</v>
      </c>
      <c r="AK7043" t="s">
        <v>43</v>
      </c>
      <c r="AL7043" t="s">
        <v>43</v>
      </c>
      <c r="AM7043" t="s">
        <v>43</v>
      </c>
      <c r="AN7043" t="str">
        <f>HYPERLINK("https://www.google.com/maps?q=10.78965473,79.57881927","Open Location")</f>
        <v>Open Location</v>
      </c>
    </row>
    <row r="7044" spans="1:40" x14ac:dyDescent="0.3">
      <c r="A7044" s="1">
        <v>46210.184027777781</v>
      </c>
      <c r="B7044" t="s">
        <v>40</v>
      </c>
      <c r="C7044" t="s">
        <v>41</v>
      </c>
      <c r="D7044" s="1">
        <v>46210.187118055554</v>
      </c>
      <c r="E7044" t="s">
        <v>42</v>
      </c>
      <c r="F7044" t="s">
        <v>43</v>
      </c>
      <c r="G7044" t="s">
        <v>43</v>
      </c>
      <c r="H7044" t="s">
        <v>43</v>
      </c>
      <c r="I7044" t="s">
        <v>4063</v>
      </c>
      <c r="J7044" t="s">
        <v>43</v>
      </c>
      <c r="K7044" t="s">
        <v>43</v>
      </c>
      <c r="L7044" t="s">
        <v>43</v>
      </c>
      <c r="M7044" t="s">
        <v>43</v>
      </c>
      <c r="N7044" t="s">
        <v>45</v>
      </c>
      <c r="O7044" t="s">
        <v>43</v>
      </c>
      <c r="P7044" t="s">
        <v>43</v>
      </c>
      <c r="Q7044" t="s">
        <v>43</v>
      </c>
      <c r="R7044" t="s">
        <v>43</v>
      </c>
      <c r="S7044" t="s">
        <v>43</v>
      </c>
      <c r="T7044" t="s">
        <v>43</v>
      </c>
      <c r="U7044" t="s">
        <v>43</v>
      </c>
      <c r="V7044" t="s">
        <v>43</v>
      </c>
      <c r="W7044" t="s">
        <v>43</v>
      </c>
      <c r="X7044" t="s">
        <v>43</v>
      </c>
      <c r="Y7044" t="s">
        <v>43</v>
      </c>
      <c r="Z7044" t="s">
        <v>43</v>
      </c>
      <c r="AA7044" t="s">
        <v>43</v>
      </c>
      <c r="AB7044" t="s">
        <v>43</v>
      </c>
      <c r="AC7044" t="s">
        <v>43</v>
      </c>
      <c r="AD7044" t="s">
        <v>43</v>
      </c>
      <c r="AE7044" t="s">
        <v>43</v>
      </c>
      <c r="AF7044" t="s">
        <v>43</v>
      </c>
      <c r="AG7044" t="s">
        <v>43</v>
      </c>
      <c r="AH7044" t="s">
        <v>43</v>
      </c>
      <c r="AI7044" t="s">
        <v>43</v>
      </c>
      <c r="AJ7044" t="s">
        <v>43</v>
      </c>
      <c r="AK7044" t="s">
        <v>43</v>
      </c>
      <c r="AL7044" t="s">
        <v>43</v>
      </c>
      <c r="AM7044" t="s">
        <v>43</v>
      </c>
      <c r="AN7044" t="str">
        <f>HYPERLINK("https://www.google.com/maps?q=10.78965664,79.5788269","Open Location")</f>
        <v>Open Location</v>
      </c>
    </row>
    <row r="7045" spans="1:40" x14ac:dyDescent="0.3">
      <c r="A7045" s="1">
        <v>46210.183912037035</v>
      </c>
      <c r="B7045" t="s">
        <v>40</v>
      </c>
      <c r="C7045" t="s">
        <v>41</v>
      </c>
      <c r="D7045" s="1">
        <v>46210.186863425923</v>
      </c>
      <c r="E7045" t="s">
        <v>42</v>
      </c>
      <c r="F7045" t="s">
        <v>43</v>
      </c>
      <c r="G7045" t="s">
        <v>43</v>
      </c>
      <c r="H7045" t="s">
        <v>43</v>
      </c>
      <c r="I7045" t="s">
        <v>3930</v>
      </c>
      <c r="J7045" t="s">
        <v>43</v>
      </c>
      <c r="K7045" t="s">
        <v>43</v>
      </c>
      <c r="L7045" t="s">
        <v>43</v>
      </c>
      <c r="M7045" t="s">
        <v>43</v>
      </c>
      <c r="N7045" t="s">
        <v>45</v>
      </c>
      <c r="O7045" t="s">
        <v>43</v>
      </c>
      <c r="P7045" t="s">
        <v>43</v>
      </c>
      <c r="Q7045" t="s">
        <v>43</v>
      </c>
      <c r="R7045" t="s">
        <v>43</v>
      </c>
      <c r="S7045" t="s">
        <v>43</v>
      </c>
      <c r="T7045" t="s">
        <v>43</v>
      </c>
      <c r="U7045" t="s">
        <v>43</v>
      </c>
      <c r="V7045" t="s">
        <v>43</v>
      </c>
      <c r="W7045" t="s">
        <v>43</v>
      </c>
      <c r="X7045" t="s">
        <v>43</v>
      </c>
      <c r="Y7045" t="s">
        <v>43</v>
      </c>
      <c r="Z7045" t="s">
        <v>43</v>
      </c>
      <c r="AA7045" t="s">
        <v>43</v>
      </c>
      <c r="AB7045" t="s">
        <v>43</v>
      </c>
      <c r="AC7045" t="s">
        <v>43</v>
      </c>
      <c r="AD7045" t="s">
        <v>43</v>
      </c>
      <c r="AE7045" t="s">
        <v>43</v>
      </c>
      <c r="AF7045" t="s">
        <v>43</v>
      </c>
      <c r="AG7045" t="s">
        <v>43</v>
      </c>
      <c r="AH7045" t="s">
        <v>43</v>
      </c>
      <c r="AI7045" t="s">
        <v>43</v>
      </c>
      <c r="AJ7045" t="s">
        <v>43</v>
      </c>
      <c r="AK7045" t="s">
        <v>43</v>
      </c>
      <c r="AL7045" t="s">
        <v>43</v>
      </c>
      <c r="AM7045" t="s">
        <v>43</v>
      </c>
      <c r="AN7045" t="str">
        <f>HYPERLINK("https://www.google.com/maps?q=10.78965759,79.57881927","Open Location")</f>
        <v>Open Location</v>
      </c>
    </row>
    <row r="7046" spans="1:40" x14ac:dyDescent="0.3">
      <c r="A7046" s="1">
        <v>46210.183796296296</v>
      </c>
      <c r="B7046" t="s">
        <v>40</v>
      </c>
      <c r="C7046" t="s">
        <v>41</v>
      </c>
      <c r="D7046" s="1">
        <v>46210.186874999999</v>
      </c>
      <c r="E7046" t="s">
        <v>42</v>
      </c>
      <c r="F7046" t="s">
        <v>43</v>
      </c>
      <c r="G7046" t="s">
        <v>43</v>
      </c>
      <c r="H7046" t="s">
        <v>43</v>
      </c>
      <c r="I7046" t="s">
        <v>4093</v>
      </c>
      <c r="J7046" t="s">
        <v>43</v>
      </c>
      <c r="K7046" t="s">
        <v>43</v>
      </c>
      <c r="L7046" t="s">
        <v>43</v>
      </c>
      <c r="M7046" t="s">
        <v>43</v>
      </c>
      <c r="N7046" t="s">
        <v>45</v>
      </c>
      <c r="O7046" t="s">
        <v>43</v>
      </c>
      <c r="P7046" t="s">
        <v>43</v>
      </c>
      <c r="Q7046" t="s">
        <v>43</v>
      </c>
      <c r="R7046" t="s">
        <v>43</v>
      </c>
      <c r="S7046" t="s">
        <v>43</v>
      </c>
      <c r="T7046" t="s">
        <v>43</v>
      </c>
      <c r="U7046" t="s">
        <v>43</v>
      </c>
      <c r="V7046" t="s">
        <v>43</v>
      </c>
      <c r="W7046" t="s">
        <v>43</v>
      </c>
      <c r="X7046" t="s">
        <v>43</v>
      </c>
      <c r="Y7046" t="s">
        <v>43</v>
      </c>
      <c r="Z7046" t="s">
        <v>43</v>
      </c>
      <c r="AA7046" t="s">
        <v>43</v>
      </c>
      <c r="AB7046" t="s">
        <v>43</v>
      </c>
      <c r="AC7046" t="s">
        <v>43</v>
      </c>
      <c r="AD7046" t="s">
        <v>43</v>
      </c>
      <c r="AE7046" t="s">
        <v>43</v>
      </c>
      <c r="AF7046" t="s">
        <v>43</v>
      </c>
      <c r="AG7046" t="s">
        <v>43</v>
      </c>
      <c r="AH7046" t="s">
        <v>43</v>
      </c>
      <c r="AI7046" t="s">
        <v>43</v>
      </c>
      <c r="AJ7046" t="s">
        <v>43</v>
      </c>
      <c r="AK7046" t="s">
        <v>43</v>
      </c>
      <c r="AL7046" t="s">
        <v>43</v>
      </c>
      <c r="AM7046" t="s">
        <v>43</v>
      </c>
      <c r="AN7046" t="str">
        <f>HYPERLINK("https://www.google.com/maps?q=10.78965855,79.5788269","Open Location")</f>
        <v>Open Location</v>
      </c>
    </row>
    <row r="7047" spans="1:40" x14ac:dyDescent="0.3">
      <c r="A7047" s="1">
        <v>46210.183680555558</v>
      </c>
      <c r="B7047" t="s">
        <v>40</v>
      </c>
      <c r="C7047" t="s">
        <v>41</v>
      </c>
      <c r="D7047" s="1">
        <v>46210.18650462963</v>
      </c>
      <c r="E7047" t="s">
        <v>42</v>
      </c>
      <c r="F7047" t="s">
        <v>43</v>
      </c>
      <c r="G7047" t="s">
        <v>43</v>
      </c>
      <c r="H7047" t="s">
        <v>43</v>
      </c>
      <c r="I7047" t="s">
        <v>4064</v>
      </c>
      <c r="J7047" t="s">
        <v>43</v>
      </c>
      <c r="K7047" t="s">
        <v>43</v>
      </c>
      <c r="L7047" t="s">
        <v>43</v>
      </c>
      <c r="M7047" t="s">
        <v>43</v>
      </c>
      <c r="N7047" t="s">
        <v>45</v>
      </c>
      <c r="O7047" t="s">
        <v>43</v>
      </c>
      <c r="P7047" t="s">
        <v>43</v>
      </c>
      <c r="Q7047" t="s">
        <v>43</v>
      </c>
      <c r="R7047" t="s">
        <v>43</v>
      </c>
      <c r="S7047" t="s">
        <v>43</v>
      </c>
      <c r="T7047" t="s">
        <v>43</v>
      </c>
      <c r="U7047" t="s">
        <v>43</v>
      </c>
      <c r="V7047" t="s">
        <v>43</v>
      </c>
      <c r="W7047" t="s">
        <v>43</v>
      </c>
      <c r="X7047" t="s">
        <v>43</v>
      </c>
      <c r="Y7047" t="s">
        <v>43</v>
      </c>
      <c r="Z7047" t="s">
        <v>43</v>
      </c>
      <c r="AA7047" t="s">
        <v>43</v>
      </c>
      <c r="AB7047" t="s">
        <v>43</v>
      </c>
      <c r="AC7047" t="s">
        <v>43</v>
      </c>
      <c r="AD7047" t="s">
        <v>43</v>
      </c>
      <c r="AE7047" t="s">
        <v>43</v>
      </c>
      <c r="AF7047" t="s">
        <v>43</v>
      </c>
      <c r="AG7047" t="s">
        <v>43</v>
      </c>
      <c r="AH7047" t="s">
        <v>43</v>
      </c>
      <c r="AI7047" t="s">
        <v>43</v>
      </c>
      <c r="AJ7047" t="s">
        <v>43</v>
      </c>
      <c r="AK7047" t="s">
        <v>43</v>
      </c>
      <c r="AL7047" t="s">
        <v>43</v>
      </c>
      <c r="AM7047" t="s">
        <v>43</v>
      </c>
      <c r="AN7047" t="str">
        <f>HYPERLINK("https://www.google.com/maps?q=10.78966236,79.5788269","Open Location")</f>
        <v>Open Location</v>
      </c>
    </row>
    <row r="7048" spans="1:40" x14ac:dyDescent="0.3">
      <c r="A7048" s="1">
        <v>46210.183564814812</v>
      </c>
      <c r="B7048" t="s">
        <v>40</v>
      </c>
      <c r="C7048" t="s">
        <v>41</v>
      </c>
      <c r="D7048" s="1">
        <v>46210.186481481483</v>
      </c>
      <c r="E7048" t="s">
        <v>42</v>
      </c>
      <c r="F7048" t="s">
        <v>43</v>
      </c>
      <c r="G7048" t="s">
        <v>43</v>
      </c>
      <c r="H7048" t="s">
        <v>43</v>
      </c>
      <c r="I7048" t="s">
        <v>43</v>
      </c>
      <c r="J7048" t="s">
        <v>43</v>
      </c>
      <c r="K7048" t="s">
        <v>43</v>
      </c>
      <c r="L7048" t="s">
        <v>43</v>
      </c>
      <c r="M7048" t="s">
        <v>43</v>
      </c>
      <c r="N7048" t="s">
        <v>45</v>
      </c>
      <c r="O7048" t="s">
        <v>43</v>
      </c>
      <c r="P7048" t="s">
        <v>43</v>
      </c>
      <c r="Q7048" t="s">
        <v>43</v>
      </c>
      <c r="R7048" t="s">
        <v>43</v>
      </c>
      <c r="S7048" t="s">
        <v>43</v>
      </c>
      <c r="T7048" t="s">
        <v>43</v>
      </c>
      <c r="U7048" t="s">
        <v>43</v>
      </c>
      <c r="V7048" t="s">
        <v>43</v>
      </c>
      <c r="W7048" t="s">
        <v>43</v>
      </c>
      <c r="X7048" t="s">
        <v>43</v>
      </c>
      <c r="Y7048" t="s">
        <v>43</v>
      </c>
      <c r="Z7048" t="s">
        <v>43</v>
      </c>
      <c r="AA7048" t="s">
        <v>43</v>
      </c>
      <c r="AB7048" t="s">
        <v>43</v>
      </c>
      <c r="AC7048" t="s">
        <v>43</v>
      </c>
      <c r="AD7048" t="s">
        <v>43</v>
      </c>
      <c r="AE7048" t="s">
        <v>43</v>
      </c>
      <c r="AF7048" t="s">
        <v>43</v>
      </c>
      <c r="AG7048" t="s">
        <v>43</v>
      </c>
      <c r="AH7048" t="s">
        <v>43</v>
      </c>
      <c r="AI7048" t="s">
        <v>43</v>
      </c>
      <c r="AJ7048" t="s">
        <v>43</v>
      </c>
      <c r="AK7048" t="s">
        <v>43</v>
      </c>
      <c r="AL7048" t="s">
        <v>43</v>
      </c>
      <c r="AM7048" t="s">
        <v>43</v>
      </c>
      <c r="AN7048" t="s">
        <v>43</v>
      </c>
    </row>
    <row r="7049" spans="1:40" x14ac:dyDescent="0.3">
      <c r="A7049" s="1">
        <v>46210.183449074073</v>
      </c>
      <c r="B7049" t="s">
        <v>40</v>
      </c>
      <c r="C7049" t="s">
        <v>41</v>
      </c>
      <c r="D7049" s="1">
        <v>46210.186076388891</v>
      </c>
      <c r="E7049" t="s">
        <v>42</v>
      </c>
      <c r="F7049" t="s">
        <v>43</v>
      </c>
      <c r="G7049" t="s">
        <v>43</v>
      </c>
      <c r="H7049" t="s">
        <v>43</v>
      </c>
      <c r="I7049" t="s">
        <v>3932</v>
      </c>
      <c r="J7049" t="s">
        <v>43</v>
      </c>
      <c r="K7049" t="s">
        <v>43</v>
      </c>
      <c r="L7049" t="s">
        <v>43</v>
      </c>
      <c r="M7049" t="s">
        <v>43</v>
      </c>
      <c r="N7049" t="s">
        <v>45</v>
      </c>
      <c r="O7049" t="s">
        <v>43</v>
      </c>
      <c r="P7049" t="s">
        <v>43</v>
      </c>
      <c r="Q7049" t="s">
        <v>43</v>
      </c>
      <c r="R7049" t="s">
        <v>43</v>
      </c>
      <c r="S7049" t="s">
        <v>43</v>
      </c>
      <c r="T7049" t="s">
        <v>43</v>
      </c>
      <c r="U7049" t="s">
        <v>43</v>
      </c>
      <c r="V7049" t="s">
        <v>43</v>
      </c>
      <c r="W7049" t="s">
        <v>43</v>
      </c>
      <c r="X7049" t="s">
        <v>43</v>
      </c>
      <c r="Y7049" t="s">
        <v>43</v>
      </c>
      <c r="Z7049" t="s">
        <v>43</v>
      </c>
      <c r="AA7049" t="s">
        <v>43</v>
      </c>
      <c r="AB7049" t="s">
        <v>43</v>
      </c>
      <c r="AC7049" t="s">
        <v>43</v>
      </c>
      <c r="AD7049" t="s">
        <v>43</v>
      </c>
      <c r="AE7049" t="s">
        <v>43</v>
      </c>
      <c r="AF7049" t="s">
        <v>43</v>
      </c>
      <c r="AG7049" t="s">
        <v>43</v>
      </c>
      <c r="AH7049" t="s">
        <v>43</v>
      </c>
      <c r="AI7049" t="s">
        <v>43</v>
      </c>
      <c r="AJ7049" t="s">
        <v>43</v>
      </c>
      <c r="AK7049" t="s">
        <v>43</v>
      </c>
      <c r="AL7049" t="s">
        <v>43</v>
      </c>
      <c r="AM7049" t="s">
        <v>43</v>
      </c>
      <c r="AN7049" t="str">
        <f>HYPERLINK("https://www.google.com/maps?q=10.78966522,79.57881927","Open Location")</f>
        <v>Open Location</v>
      </c>
    </row>
    <row r="7050" spans="1:40" x14ac:dyDescent="0.3">
      <c r="A7050" s="1">
        <v>46210.183333333334</v>
      </c>
      <c r="B7050" t="s">
        <v>40</v>
      </c>
      <c r="C7050" t="s">
        <v>41</v>
      </c>
      <c r="D7050" s="1">
        <v>46210.186481481483</v>
      </c>
      <c r="E7050" t="s">
        <v>42</v>
      </c>
      <c r="F7050" t="s">
        <v>43</v>
      </c>
      <c r="G7050" t="s">
        <v>43</v>
      </c>
      <c r="H7050" t="s">
        <v>43</v>
      </c>
      <c r="I7050" t="s">
        <v>4096</v>
      </c>
      <c r="J7050" t="s">
        <v>43</v>
      </c>
      <c r="K7050" t="s">
        <v>43</v>
      </c>
      <c r="L7050" t="s">
        <v>43</v>
      </c>
      <c r="M7050" t="s">
        <v>43</v>
      </c>
      <c r="N7050" t="s">
        <v>45</v>
      </c>
      <c r="O7050" t="s">
        <v>43</v>
      </c>
      <c r="P7050" t="s">
        <v>43</v>
      </c>
      <c r="Q7050" t="s">
        <v>43</v>
      </c>
      <c r="R7050" t="s">
        <v>43</v>
      </c>
      <c r="S7050" t="s">
        <v>43</v>
      </c>
      <c r="T7050" t="s">
        <v>43</v>
      </c>
      <c r="U7050" t="s">
        <v>43</v>
      </c>
      <c r="V7050" t="s">
        <v>43</v>
      </c>
      <c r="W7050" t="s">
        <v>43</v>
      </c>
      <c r="X7050" t="s">
        <v>43</v>
      </c>
      <c r="Y7050" t="s">
        <v>43</v>
      </c>
      <c r="Z7050" t="s">
        <v>43</v>
      </c>
      <c r="AA7050" t="s">
        <v>43</v>
      </c>
      <c r="AB7050" t="s">
        <v>43</v>
      </c>
      <c r="AC7050" t="s">
        <v>43</v>
      </c>
      <c r="AD7050" t="s">
        <v>43</v>
      </c>
      <c r="AE7050" t="s">
        <v>43</v>
      </c>
      <c r="AF7050" t="s">
        <v>43</v>
      </c>
      <c r="AG7050" t="s">
        <v>43</v>
      </c>
      <c r="AH7050" t="s">
        <v>43</v>
      </c>
      <c r="AI7050" t="s">
        <v>43</v>
      </c>
      <c r="AJ7050" t="s">
        <v>43</v>
      </c>
      <c r="AK7050" t="s">
        <v>43</v>
      </c>
      <c r="AL7050" t="s">
        <v>43</v>
      </c>
      <c r="AM7050" t="s">
        <v>43</v>
      </c>
      <c r="AN7050" t="str">
        <f>HYPERLINK("https://www.google.com/maps?q=10.78966331,79.57881165","Open Location")</f>
        <v>Open Location</v>
      </c>
    </row>
    <row r="7051" spans="1:40" x14ac:dyDescent="0.3">
      <c r="A7051" s="1">
        <v>46210.183217592596</v>
      </c>
      <c r="B7051" t="s">
        <v>40</v>
      </c>
      <c r="C7051" t="s">
        <v>41</v>
      </c>
      <c r="D7051" s="1">
        <v>46210.186122685183</v>
      </c>
      <c r="E7051" t="s">
        <v>42</v>
      </c>
      <c r="F7051" t="s">
        <v>43</v>
      </c>
      <c r="G7051" t="s">
        <v>43</v>
      </c>
      <c r="H7051" t="s">
        <v>43</v>
      </c>
      <c r="I7051" t="s">
        <v>3932</v>
      </c>
      <c r="J7051" t="s">
        <v>43</v>
      </c>
      <c r="K7051" t="s">
        <v>43</v>
      </c>
      <c r="L7051" t="s">
        <v>43</v>
      </c>
      <c r="M7051" t="s">
        <v>43</v>
      </c>
      <c r="N7051" t="s">
        <v>45</v>
      </c>
      <c r="O7051" t="s">
        <v>43</v>
      </c>
      <c r="P7051" t="s">
        <v>43</v>
      </c>
      <c r="Q7051" t="s">
        <v>43</v>
      </c>
      <c r="R7051" t="s">
        <v>43</v>
      </c>
      <c r="S7051" t="s">
        <v>43</v>
      </c>
      <c r="T7051" t="s">
        <v>43</v>
      </c>
      <c r="U7051" t="s">
        <v>43</v>
      </c>
      <c r="V7051" t="s">
        <v>43</v>
      </c>
      <c r="W7051" t="s">
        <v>43</v>
      </c>
      <c r="X7051" t="s">
        <v>43</v>
      </c>
      <c r="Y7051" t="s">
        <v>43</v>
      </c>
      <c r="Z7051" t="s">
        <v>43</v>
      </c>
      <c r="AA7051" t="s">
        <v>43</v>
      </c>
      <c r="AB7051" t="s">
        <v>43</v>
      </c>
      <c r="AC7051" t="s">
        <v>43</v>
      </c>
      <c r="AD7051" t="s">
        <v>43</v>
      </c>
      <c r="AE7051" t="s">
        <v>43</v>
      </c>
      <c r="AF7051" t="s">
        <v>43</v>
      </c>
      <c r="AG7051" t="s">
        <v>43</v>
      </c>
      <c r="AH7051" t="s">
        <v>43</v>
      </c>
      <c r="AI7051" t="s">
        <v>43</v>
      </c>
      <c r="AJ7051" t="s">
        <v>43</v>
      </c>
      <c r="AK7051" t="s">
        <v>43</v>
      </c>
      <c r="AL7051" t="s">
        <v>43</v>
      </c>
      <c r="AM7051" t="s">
        <v>43</v>
      </c>
      <c r="AN7051" t="str">
        <f>HYPERLINK("https://www.google.com/maps?q=10.78966522,79.57881927","Open Location")</f>
        <v>Open Location</v>
      </c>
    </row>
    <row r="7052" spans="1:40" x14ac:dyDescent="0.3">
      <c r="A7052" s="1">
        <v>46210.18310185185</v>
      </c>
      <c r="B7052" t="s">
        <v>40</v>
      </c>
      <c r="C7052" t="s">
        <v>41</v>
      </c>
      <c r="D7052" s="1">
        <v>46210.186122685183</v>
      </c>
      <c r="E7052" t="s">
        <v>42</v>
      </c>
      <c r="F7052" t="s">
        <v>43</v>
      </c>
      <c r="G7052" t="s">
        <v>43</v>
      </c>
      <c r="H7052" t="s">
        <v>43</v>
      </c>
      <c r="I7052" t="s">
        <v>3927</v>
      </c>
      <c r="J7052" t="s">
        <v>43</v>
      </c>
      <c r="K7052" t="s">
        <v>43</v>
      </c>
      <c r="L7052" t="s">
        <v>43</v>
      </c>
      <c r="M7052" t="s">
        <v>43</v>
      </c>
      <c r="N7052" t="s">
        <v>45</v>
      </c>
      <c r="O7052" t="s">
        <v>43</v>
      </c>
      <c r="P7052" t="s">
        <v>43</v>
      </c>
      <c r="Q7052" t="s">
        <v>43</v>
      </c>
      <c r="R7052" t="s">
        <v>43</v>
      </c>
      <c r="S7052" t="s">
        <v>43</v>
      </c>
      <c r="T7052" t="s">
        <v>43</v>
      </c>
      <c r="U7052" t="s">
        <v>43</v>
      </c>
      <c r="V7052" t="s">
        <v>43</v>
      </c>
      <c r="W7052" t="s">
        <v>43</v>
      </c>
      <c r="X7052" t="s">
        <v>43</v>
      </c>
      <c r="Y7052" t="s">
        <v>43</v>
      </c>
      <c r="Z7052" t="s">
        <v>43</v>
      </c>
      <c r="AA7052" t="s">
        <v>43</v>
      </c>
      <c r="AB7052" t="s">
        <v>43</v>
      </c>
      <c r="AC7052" t="s">
        <v>43</v>
      </c>
      <c r="AD7052" t="s">
        <v>43</v>
      </c>
      <c r="AE7052" t="s">
        <v>43</v>
      </c>
      <c r="AF7052" t="s">
        <v>43</v>
      </c>
      <c r="AG7052" t="s">
        <v>43</v>
      </c>
      <c r="AH7052" t="s">
        <v>43</v>
      </c>
      <c r="AI7052" t="s">
        <v>43</v>
      </c>
      <c r="AJ7052" t="s">
        <v>43</v>
      </c>
      <c r="AK7052" t="s">
        <v>43</v>
      </c>
      <c r="AL7052" t="s">
        <v>43</v>
      </c>
      <c r="AM7052" t="s">
        <v>43</v>
      </c>
      <c r="AN7052" t="str">
        <f>HYPERLINK("https://www.google.com/maps?q=10.78966141,79.57881165","Open Location")</f>
        <v>Open Location</v>
      </c>
    </row>
    <row r="7053" spans="1:40" x14ac:dyDescent="0.3">
      <c r="A7053" s="1">
        <v>46210.182986111111</v>
      </c>
      <c r="B7053" t="s">
        <v>40</v>
      </c>
      <c r="C7053" t="s">
        <v>41</v>
      </c>
      <c r="D7053" s="1">
        <v>46210.186076388891</v>
      </c>
      <c r="E7053" t="s">
        <v>42</v>
      </c>
      <c r="F7053" t="s">
        <v>43</v>
      </c>
      <c r="G7053" t="s">
        <v>43</v>
      </c>
      <c r="H7053" t="s">
        <v>43</v>
      </c>
      <c r="I7053" t="s">
        <v>43</v>
      </c>
      <c r="J7053" t="s">
        <v>43</v>
      </c>
      <c r="K7053" t="s">
        <v>43</v>
      </c>
      <c r="L7053" t="s">
        <v>43</v>
      </c>
      <c r="M7053" t="s">
        <v>43</v>
      </c>
      <c r="N7053" t="s">
        <v>45</v>
      </c>
      <c r="O7053" t="s">
        <v>43</v>
      </c>
      <c r="P7053" t="s">
        <v>43</v>
      </c>
      <c r="Q7053" t="s">
        <v>43</v>
      </c>
      <c r="R7053" t="s">
        <v>43</v>
      </c>
      <c r="S7053" t="s">
        <v>43</v>
      </c>
      <c r="T7053" t="s">
        <v>43</v>
      </c>
      <c r="U7053" t="s">
        <v>43</v>
      </c>
      <c r="V7053" t="s">
        <v>43</v>
      </c>
      <c r="W7053" t="s">
        <v>43</v>
      </c>
      <c r="X7053" t="s">
        <v>43</v>
      </c>
      <c r="Y7053" t="s">
        <v>43</v>
      </c>
      <c r="Z7053" t="s">
        <v>43</v>
      </c>
      <c r="AA7053" t="s">
        <v>43</v>
      </c>
      <c r="AB7053" t="s">
        <v>43</v>
      </c>
      <c r="AC7053" t="s">
        <v>43</v>
      </c>
      <c r="AD7053" t="s">
        <v>43</v>
      </c>
      <c r="AE7053" t="s">
        <v>43</v>
      </c>
      <c r="AF7053" t="s">
        <v>43</v>
      </c>
      <c r="AG7053" t="s">
        <v>43</v>
      </c>
      <c r="AH7053" t="s">
        <v>43</v>
      </c>
      <c r="AI7053" t="s">
        <v>43</v>
      </c>
      <c r="AJ7053" t="s">
        <v>43</v>
      </c>
      <c r="AK7053" t="s">
        <v>43</v>
      </c>
      <c r="AL7053" t="s">
        <v>43</v>
      </c>
      <c r="AM7053" t="s">
        <v>43</v>
      </c>
      <c r="AN7053" t="s">
        <v>43</v>
      </c>
    </row>
    <row r="7054" spans="1:40" x14ac:dyDescent="0.3">
      <c r="A7054" s="1">
        <v>46210.182870370372</v>
      </c>
      <c r="B7054" t="s">
        <v>40</v>
      </c>
      <c r="C7054" t="s">
        <v>41</v>
      </c>
      <c r="D7054" s="1">
        <v>46210.186122685183</v>
      </c>
      <c r="E7054" t="s">
        <v>42</v>
      </c>
      <c r="F7054" t="s">
        <v>43</v>
      </c>
      <c r="G7054" t="s">
        <v>43</v>
      </c>
      <c r="H7054" t="s">
        <v>43</v>
      </c>
      <c r="I7054" t="s">
        <v>4097</v>
      </c>
      <c r="J7054" t="s">
        <v>43</v>
      </c>
      <c r="K7054" t="s">
        <v>43</v>
      </c>
      <c r="L7054" t="s">
        <v>43</v>
      </c>
      <c r="M7054" t="s">
        <v>43</v>
      </c>
      <c r="N7054" t="s">
        <v>45</v>
      </c>
      <c r="O7054" t="s">
        <v>43</v>
      </c>
      <c r="P7054" t="s">
        <v>43</v>
      </c>
      <c r="Q7054" t="s">
        <v>43</v>
      </c>
      <c r="R7054" t="s">
        <v>43</v>
      </c>
      <c r="S7054" t="s">
        <v>43</v>
      </c>
      <c r="T7054" t="s">
        <v>43</v>
      </c>
      <c r="U7054" t="s">
        <v>43</v>
      </c>
      <c r="V7054" t="s">
        <v>43</v>
      </c>
      <c r="W7054" t="s">
        <v>43</v>
      </c>
      <c r="X7054" t="s">
        <v>43</v>
      </c>
      <c r="Y7054" t="s">
        <v>43</v>
      </c>
      <c r="Z7054" t="s">
        <v>43</v>
      </c>
      <c r="AA7054" t="s">
        <v>43</v>
      </c>
      <c r="AB7054" t="s">
        <v>43</v>
      </c>
      <c r="AC7054" t="s">
        <v>43</v>
      </c>
      <c r="AD7054" t="s">
        <v>43</v>
      </c>
      <c r="AE7054" t="s">
        <v>43</v>
      </c>
      <c r="AF7054" t="s">
        <v>43</v>
      </c>
      <c r="AG7054" t="s">
        <v>43</v>
      </c>
      <c r="AH7054" t="s">
        <v>43</v>
      </c>
      <c r="AI7054" t="s">
        <v>43</v>
      </c>
      <c r="AJ7054" t="s">
        <v>43</v>
      </c>
      <c r="AK7054" t="s">
        <v>43</v>
      </c>
      <c r="AL7054" t="s">
        <v>43</v>
      </c>
      <c r="AM7054" t="s">
        <v>43</v>
      </c>
      <c r="AN7054" t="str">
        <f>HYPERLINK("https://www.google.com/maps?q=10.78965378,79.57879639","Open Location")</f>
        <v>Open Location</v>
      </c>
    </row>
    <row r="7055" spans="1:40" x14ac:dyDescent="0.3">
      <c r="A7055" s="1">
        <v>46210.182754629626</v>
      </c>
      <c r="B7055" t="s">
        <v>40</v>
      </c>
      <c r="C7055" t="s">
        <v>41</v>
      </c>
      <c r="D7055" s="1">
        <v>46210.185717592591</v>
      </c>
      <c r="E7055" t="s">
        <v>42</v>
      </c>
      <c r="F7055" t="s">
        <v>43</v>
      </c>
      <c r="G7055" t="s">
        <v>43</v>
      </c>
      <c r="H7055" t="s">
        <v>43</v>
      </c>
      <c r="I7055" t="s">
        <v>3901</v>
      </c>
      <c r="J7055" t="s">
        <v>43</v>
      </c>
      <c r="K7055" t="s">
        <v>43</v>
      </c>
      <c r="L7055" t="s">
        <v>43</v>
      </c>
      <c r="M7055" t="s">
        <v>43</v>
      </c>
      <c r="N7055" t="s">
        <v>45</v>
      </c>
      <c r="O7055" t="s">
        <v>43</v>
      </c>
      <c r="P7055" t="s">
        <v>43</v>
      </c>
      <c r="Q7055" t="s">
        <v>43</v>
      </c>
      <c r="R7055" t="s">
        <v>43</v>
      </c>
      <c r="S7055" t="s">
        <v>43</v>
      </c>
      <c r="T7055" t="s">
        <v>43</v>
      </c>
      <c r="U7055" t="s">
        <v>43</v>
      </c>
      <c r="V7055" t="s">
        <v>43</v>
      </c>
      <c r="W7055" t="s">
        <v>43</v>
      </c>
      <c r="X7055" t="s">
        <v>43</v>
      </c>
      <c r="Y7055" t="s">
        <v>43</v>
      </c>
      <c r="Z7055" t="s">
        <v>43</v>
      </c>
      <c r="AA7055" t="s">
        <v>43</v>
      </c>
      <c r="AB7055" t="s">
        <v>43</v>
      </c>
      <c r="AC7055" t="s">
        <v>43</v>
      </c>
      <c r="AD7055" t="s">
        <v>43</v>
      </c>
      <c r="AE7055" t="s">
        <v>43</v>
      </c>
      <c r="AF7055" t="s">
        <v>43</v>
      </c>
      <c r="AG7055" t="s">
        <v>43</v>
      </c>
      <c r="AH7055" t="s">
        <v>43</v>
      </c>
      <c r="AI7055" t="s">
        <v>43</v>
      </c>
      <c r="AJ7055" t="s">
        <v>43</v>
      </c>
      <c r="AK7055" t="s">
        <v>43</v>
      </c>
      <c r="AL7055" t="s">
        <v>43</v>
      </c>
      <c r="AM7055" t="s">
        <v>43</v>
      </c>
      <c r="AN7055" t="str">
        <f>HYPERLINK("https://www.google.com/maps?q=10.78965092,79.57879639","Open Location")</f>
        <v>Open Location</v>
      </c>
    </row>
    <row r="7056" spans="1:40" x14ac:dyDescent="0.3">
      <c r="A7056" s="1">
        <v>46210.182638888888</v>
      </c>
      <c r="B7056" t="s">
        <v>40</v>
      </c>
      <c r="C7056" t="s">
        <v>41</v>
      </c>
      <c r="D7056" s="1">
        <v>46210.185717592591</v>
      </c>
      <c r="E7056" t="s">
        <v>42</v>
      </c>
      <c r="F7056" t="s">
        <v>43</v>
      </c>
      <c r="G7056" t="s">
        <v>43</v>
      </c>
      <c r="H7056" t="s">
        <v>43</v>
      </c>
      <c r="I7056" t="s">
        <v>3903</v>
      </c>
      <c r="J7056" t="s">
        <v>43</v>
      </c>
      <c r="K7056" t="s">
        <v>43</v>
      </c>
      <c r="L7056" t="s">
        <v>43</v>
      </c>
      <c r="M7056" t="s">
        <v>43</v>
      </c>
      <c r="N7056" t="s">
        <v>45</v>
      </c>
      <c r="O7056" t="s">
        <v>43</v>
      </c>
      <c r="P7056" t="s">
        <v>43</v>
      </c>
      <c r="Q7056" t="s">
        <v>43</v>
      </c>
      <c r="R7056" t="s">
        <v>43</v>
      </c>
      <c r="S7056" t="s">
        <v>43</v>
      </c>
      <c r="T7056" t="s">
        <v>43</v>
      </c>
      <c r="U7056" t="s">
        <v>43</v>
      </c>
      <c r="V7056" t="s">
        <v>43</v>
      </c>
      <c r="W7056" t="s">
        <v>43</v>
      </c>
      <c r="X7056" t="s">
        <v>43</v>
      </c>
      <c r="Y7056" t="s">
        <v>43</v>
      </c>
      <c r="Z7056" t="s">
        <v>43</v>
      </c>
      <c r="AA7056" t="s">
        <v>43</v>
      </c>
      <c r="AB7056" t="s">
        <v>43</v>
      </c>
      <c r="AC7056" t="s">
        <v>43</v>
      </c>
      <c r="AD7056" t="s">
        <v>43</v>
      </c>
      <c r="AE7056" t="s">
        <v>43</v>
      </c>
      <c r="AF7056" t="s">
        <v>43</v>
      </c>
      <c r="AG7056" t="s">
        <v>43</v>
      </c>
      <c r="AH7056" t="s">
        <v>43</v>
      </c>
      <c r="AI7056" t="s">
        <v>43</v>
      </c>
      <c r="AJ7056" t="s">
        <v>43</v>
      </c>
      <c r="AK7056" t="s">
        <v>43</v>
      </c>
      <c r="AL7056" t="s">
        <v>43</v>
      </c>
      <c r="AM7056" t="s">
        <v>43</v>
      </c>
      <c r="AN7056" t="str">
        <f>HYPERLINK("https://www.google.com/maps?q=10.78964996,79.57881165","Open Location")</f>
        <v>Open Location</v>
      </c>
    </row>
    <row r="7057" spans="1:40" x14ac:dyDescent="0.3">
      <c r="A7057" s="1">
        <v>46210.182523148149</v>
      </c>
      <c r="B7057" t="s">
        <v>40</v>
      </c>
      <c r="C7057" t="s">
        <v>41</v>
      </c>
      <c r="D7057" s="1">
        <v>46210.18540509259</v>
      </c>
      <c r="E7057" t="s">
        <v>42</v>
      </c>
      <c r="F7057" t="s">
        <v>43</v>
      </c>
      <c r="G7057" t="s">
        <v>43</v>
      </c>
      <c r="H7057" t="s">
        <v>43</v>
      </c>
      <c r="I7057" t="s">
        <v>4102</v>
      </c>
      <c r="J7057" t="s">
        <v>43</v>
      </c>
      <c r="K7057" t="s">
        <v>43</v>
      </c>
      <c r="L7057" t="s">
        <v>43</v>
      </c>
      <c r="M7057" t="s">
        <v>43</v>
      </c>
      <c r="N7057" t="s">
        <v>45</v>
      </c>
      <c r="O7057" t="s">
        <v>43</v>
      </c>
      <c r="P7057" t="s">
        <v>43</v>
      </c>
      <c r="Q7057" t="s">
        <v>43</v>
      </c>
      <c r="R7057" t="s">
        <v>43</v>
      </c>
      <c r="S7057" t="s">
        <v>43</v>
      </c>
      <c r="T7057" t="s">
        <v>43</v>
      </c>
      <c r="U7057" t="s">
        <v>43</v>
      </c>
      <c r="V7057" t="s">
        <v>43</v>
      </c>
      <c r="W7057" t="s">
        <v>43</v>
      </c>
      <c r="X7057" t="s">
        <v>43</v>
      </c>
      <c r="Y7057" t="s">
        <v>43</v>
      </c>
      <c r="Z7057" t="s">
        <v>43</v>
      </c>
      <c r="AA7057" t="s">
        <v>43</v>
      </c>
      <c r="AB7057" t="s">
        <v>43</v>
      </c>
      <c r="AC7057" t="s">
        <v>43</v>
      </c>
      <c r="AD7057" t="s">
        <v>43</v>
      </c>
      <c r="AE7057" t="s">
        <v>43</v>
      </c>
      <c r="AF7057" t="s">
        <v>43</v>
      </c>
      <c r="AG7057" t="s">
        <v>43</v>
      </c>
      <c r="AH7057" t="s">
        <v>43</v>
      </c>
      <c r="AI7057" t="s">
        <v>43</v>
      </c>
      <c r="AJ7057" t="s">
        <v>43</v>
      </c>
      <c r="AK7057" t="s">
        <v>43</v>
      </c>
      <c r="AL7057" t="s">
        <v>43</v>
      </c>
      <c r="AM7057" t="s">
        <v>43</v>
      </c>
      <c r="AN7057" t="str">
        <f>HYPERLINK("https://www.google.com/maps?q=10.78964806,79.57879639","Open Location")</f>
        <v>Open Location</v>
      </c>
    </row>
    <row r="7058" spans="1:40" x14ac:dyDescent="0.3">
      <c r="A7058" s="1">
        <v>46210.18240740741</v>
      </c>
      <c r="B7058" t="s">
        <v>40</v>
      </c>
      <c r="C7058" t="s">
        <v>41</v>
      </c>
      <c r="D7058" s="1">
        <v>46210.185393518521</v>
      </c>
      <c r="E7058" t="s">
        <v>42</v>
      </c>
      <c r="F7058" t="s">
        <v>43</v>
      </c>
      <c r="G7058" t="s">
        <v>43</v>
      </c>
      <c r="H7058" t="s">
        <v>43</v>
      </c>
      <c r="I7058" t="s">
        <v>4102</v>
      </c>
      <c r="J7058" t="s">
        <v>43</v>
      </c>
      <c r="K7058" t="s">
        <v>43</v>
      </c>
      <c r="L7058" t="s">
        <v>43</v>
      </c>
      <c r="M7058" t="s">
        <v>43</v>
      </c>
      <c r="N7058" t="s">
        <v>45</v>
      </c>
      <c r="O7058" t="s">
        <v>43</v>
      </c>
      <c r="P7058" t="s">
        <v>43</v>
      </c>
      <c r="Q7058" t="s">
        <v>43</v>
      </c>
      <c r="R7058" t="s">
        <v>43</v>
      </c>
      <c r="S7058" t="s">
        <v>43</v>
      </c>
      <c r="T7058" t="s">
        <v>43</v>
      </c>
      <c r="U7058" t="s">
        <v>43</v>
      </c>
      <c r="V7058" t="s">
        <v>43</v>
      </c>
      <c r="W7058" t="s">
        <v>43</v>
      </c>
      <c r="X7058" t="s">
        <v>43</v>
      </c>
      <c r="Y7058" t="s">
        <v>43</v>
      </c>
      <c r="Z7058" t="s">
        <v>43</v>
      </c>
      <c r="AA7058" t="s">
        <v>43</v>
      </c>
      <c r="AB7058" t="s">
        <v>43</v>
      </c>
      <c r="AC7058" t="s">
        <v>43</v>
      </c>
      <c r="AD7058" t="s">
        <v>43</v>
      </c>
      <c r="AE7058" t="s">
        <v>43</v>
      </c>
      <c r="AF7058" t="s">
        <v>43</v>
      </c>
      <c r="AG7058" t="s">
        <v>43</v>
      </c>
      <c r="AH7058" t="s">
        <v>43</v>
      </c>
      <c r="AI7058" t="s">
        <v>43</v>
      </c>
      <c r="AJ7058" t="s">
        <v>43</v>
      </c>
      <c r="AK7058" t="s">
        <v>43</v>
      </c>
      <c r="AL7058" t="s">
        <v>43</v>
      </c>
      <c r="AM7058" t="s">
        <v>43</v>
      </c>
      <c r="AN7058" t="str">
        <f>HYPERLINK("https://www.google.com/maps?q=10.78964806,79.57879639","Open Location")</f>
        <v>Open Location</v>
      </c>
    </row>
    <row r="7059" spans="1:40" x14ac:dyDescent="0.3">
      <c r="A7059" s="1">
        <v>46210.182291666664</v>
      </c>
      <c r="B7059" t="s">
        <v>40</v>
      </c>
      <c r="C7059" t="s">
        <v>41</v>
      </c>
      <c r="D7059" s="1">
        <v>46210.185011574074</v>
      </c>
      <c r="E7059" t="s">
        <v>42</v>
      </c>
      <c r="F7059" t="s">
        <v>43</v>
      </c>
      <c r="G7059" t="s">
        <v>43</v>
      </c>
      <c r="H7059" t="s">
        <v>43</v>
      </c>
      <c r="I7059" t="s">
        <v>43</v>
      </c>
      <c r="J7059" t="s">
        <v>43</v>
      </c>
      <c r="K7059" t="s">
        <v>43</v>
      </c>
      <c r="L7059" t="s">
        <v>43</v>
      </c>
      <c r="M7059" t="s">
        <v>43</v>
      </c>
      <c r="N7059" t="s">
        <v>45</v>
      </c>
      <c r="O7059" t="s">
        <v>43</v>
      </c>
      <c r="P7059" t="s">
        <v>43</v>
      </c>
      <c r="Q7059" t="s">
        <v>43</v>
      </c>
      <c r="R7059" t="s">
        <v>43</v>
      </c>
      <c r="S7059" t="s">
        <v>43</v>
      </c>
      <c r="T7059" t="s">
        <v>43</v>
      </c>
      <c r="U7059" t="s">
        <v>43</v>
      </c>
      <c r="V7059" t="s">
        <v>43</v>
      </c>
      <c r="W7059" t="s">
        <v>43</v>
      </c>
      <c r="X7059" t="s">
        <v>43</v>
      </c>
      <c r="Y7059" t="s">
        <v>43</v>
      </c>
      <c r="Z7059" t="s">
        <v>43</v>
      </c>
      <c r="AA7059" t="s">
        <v>43</v>
      </c>
      <c r="AB7059" t="s">
        <v>43</v>
      </c>
      <c r="AC7059" t="s">
        <v>43</v>
      </c>
      <c r="AD7059" t="s">
        <v>43</v>
      </c>
      <c r="AE7059" t="s">
        <v>43</v>
      </c>
      <c r="AF7059" t="s">
        <v>43</v>
      </c>
      <c r="AG7059" t="s">
        <v>43</v>
      </c>
      <c r="AH7059" t="s">
        <v>43</v>
      </c>
      <c r="AI7059" t="s">
        <v>43</v>
      </c>
      <c r="AJ7059" t="s">
        <v>43</v>
      </c>
      <c r="AK7059" t="s">
        <v>43</v>
      </c>
      <c r="AL7059" t="s">
        <v>43</v>
      </c>
      <c r="AM7059" t="s">
        <v>43</v>
      </c>
      <c r="AN7059" t="s">
        <v>43</v>
      </c>
    </row>
    <row r="7060" spans="1:40" x14ac:dyDescent="0.3">
      <c r="A7060" s="1">
        <v>46210.182175925926</v>
      </c>
      <c r="B7060" t="s">
        <v>40</v>
      </c>
      <c r="C7060" t="s">
        <v>41</v>
      </c>
      <c r="D7060" s="1">
        <v>46210.185393518521</v>
      </c>
      <c r="E7060" t="s">
        <v>42</v>
      </c>
      <c r="F7060" t="s">
        <v>43</v>
      </c>
      <c r="G7060" t="s">
        <v>43</v>
      </c>
      <c r="H7060" t="s">
        <v>43</v>
      </c>
      <c r="I7060" t="s">
        <v>3916</v>
      </c>
      <c r="J7060" t="s">
        <v>43</v>
      </c>
      <c r="K7060" t="s">
        <v>43</v>
      </c>
      <c r="L7060" t="s">
        <v>43</v>
      </c>
      <c r="M7060" t="s">
        <v>43</v>
      </c>
      <c r="N7060" t="s">
        <v>45</v>
      </c>
      <c r="O7060" t="s">
        <v>43</v>
      </c>
      <c r="P7060" t="s">
        <v>43</v>
      </c>
      <c r="Q7060" t="s">
        <v>43</v>
      </c>
      <c r="R7060" t="s">
        <v>43</v>
      </c>
      <c r="S7060" t="s">
        <v>43</v>
      </c>
      <c r="T7060" t="s">
        <v>43</v>
      </c>
      <c r="U7060" t="s">
        <v>43</v>
      </c>
      <c r="V7060" t="s">
        <v>43</v>
      </c>
      <c r="W7060" t="s">
        <v>43</v>
      </c>
      <c r="X7060" t="s">
        <v>43</v>
      </c>
      <c r="Y7060" t="s">
        <v>43</v>
      </c>
      <c r="Z7060" t="s">
        <v>43</v>
      </c>
      <c r="AA7060" t="s">
        <v>43</v>
      </c>
      <c r="AB7060" t="s">
        <v>43</v>
      </c>
      <c r="AC7060" t="s">
        <v>43</v>
      </c>
      <c r="AD7060" t="s">
        <v>43</v>
      </c>
      <c r="AE7060" t="s">
        <v>43</v>
      </c>
      <c r="AF7060" t="s">
        <v>43</v>
      </c>
      <c r="AG7060" t="s">
        <v>43</v>
      </c>
      <c r="AH7060" t="s">
        <v>43</v>
      </c>
      <c r="AI7060" t="s">
        <v>43</v>
      </c>
      <c r="AJ7060" t="s">
        <v>43</v>
      </c>
      <c r="AK7060" t="s">
        <v>43</v>
      </c>
      <c r="AL7060" t="s">
        <v>43</v>
      </c>
      <c r="AM7060" t="s">
        <v>43</v>
      </c>
      <c r="AN7060" t="str">
        <f>HYPERLINK("https://www.google.com/maps?q=10.7896471,79.57879639","Open Location")</f>
        <v>Open Location</v>
      </c>
    </row>
    <row r="7061" spans="1:40" x14ac:dyDescent="0.3">
      <c r="A7061" s="1">
        <v>46210.182060185187</v>
      </c>
      <c r="B7061" t="s">
        <v>40</v>
      </c>
      <c r="C7061" t="s">
        <v>41</v>
      </c>
      <c r="D7061" s="1">
        <v>46210.184907407405</v>
      </c>
      <c r="E7061" t="s">
        <v>42</v>
      </c>
      <c r="F7061" t="s">
        <v>43</v>
      </c>
      <c r="G7061" t="s">
        <v>43</v>
      </c>
      <c r="H7061" t="s">
        <v>43</v>
      </c>
      <c r="I7061" t="s">
        <v>3916</v>
      </c>
      <c r="J7061" t="s">
        <v>43</v>
      </c>
      <c r="K7061" t="s">
        <v>43</v>
      </c>
      <c r="L7061" t="s">
        <v>43</v>
      </c>
      <c r="M7061" t="s">
        <v>43</v>
      </c>
      <c r="N7061" t="s">
        <v>45</v>
      </c>
      <c r="O7061" t="s">
        <v>43</v>
      </c>
      <c r="P7061" t="s">
        <v>43</v>
      </c>
      <c r="Q7061" t="s">
        <v>43</v>
      </c>
      <c r="R7061" t="s">
        <v>43</v>
      </c>
      <c r="S7061" t="s">
        <v>43</v>
      </c>
      <c r="T7061" t="s">
        <v>43</v>
      </c>
      <c r="U7061" t="s">
        <v>43</v>
      </c>
      <c r="V7061" t="s">
        <v>43</v>
      </c>
      <c r="W7061" t="s">
        <v>43</v>
      </c>
      <c r="X7061" t="s">
        <v>43</v>
      </c>
      <c r="Y7061" t="s">
        <v>43</v>
      </c>
      <c r="Z7061" t="s">
        <v>43</v>
      </c>
      <c r="AA7061" t="s">
        <v>43</v>
      </c>
      <c r="AB7061" t="s">
        <v>43</v>
      </c>
      <c r="AC7061" t="s">
        <v>43</v>
      </c>
      <c r="AD7061" t="s">
        <v>43</v>
      </c>
      <c r="AE7061" t="s">
        <v>43</v>
      </c>
      <c r="AF7061" t="s">
        <v>43</v>
      </c>
      <c r="AG7061" t="s">
        <v>43</v>
      </c>
      <c r="AH7061" t="s">
        <v>43</v>
      </c>
      <c r="AI7061" t="s">
        <v>43</v>
      </c>
      <c r="AJ7061" t="s">
        <v>43</v>
      </c>
      <c r="AK7061" t="s">
        <v>43</v>
      </c>
      <c r="AL7061" t="s">
        <v>43</v>
      </c>
      <c r="AM7061" t="s">
        <v>43</v>
      </c>
      <c r="AN7061" t="str">
        <f>HYPERLINK("https://www.google.com/maps?q=10.7896471,79.57879639","Open Location")</f>
        <v>Open Location</v>
      </c>
    </row>
    <row r="7062" spans="1:40" x14ac:dyDescent="0.3">
      <c r="A7062" s="1">
        <v>46210.181944444441</v>
      </c>
      <c r="B7062" t="s">
        <v>40</v>
      </c>
      <c r="C7062" t="s">
        <v>41</v>
      </c>
      <c r="D7062" s="1">
        <v>46210.184965277775</v>
      </c>
      <c r="E7062" t="s">
        <v>42</v>
      </c>
      <c r="F7062" t="s">
        <v>43</v>
      </c>
      <c r="G7062" t="s">
        <v>43</v>
      </c>
      <c r="H7062" t="s">
        <v>43</v>
      </c>
      <c r="I7062" t="s">
        <v>3916</v>
      </c>
      <c r="J7062" t="s">
        <v>43</v>
      </c>
      <c r="K7062" t="s">
        <v>43</v>
      </c>
      <c r="L7062" t="s">
        <v>43</v>
      </c>
      <c r="M7062" t="s">
        <v>43</v>
      </c>
      <c r="N7062" t="s">
        <v>45</v>
      </c>
      <c r="O7062" t="s">
        <v>43</v>
      </c>
      <c r="P7062" t="s">
        <v>43</v>
      </c>
      <c r="Q7062" t="s">
        <v>43</v>
      </c>
      <c r="R7062" t="s">
        <v>43</v>
      </c>
      <c r="S7062" t="s">
        <v>43</v>
      </c>
      <c r="T7062" t="s">
        <v>43</v>
      </c>
      <c r="U7062" t="s">
        <v>43</v>
      </c>
      <c r="V7062" t="s">
        <v>43</v>
      </c>
      <c r="W7062" t="s">
        <v>43</v>
      </c>
      <c r="X7062" t="s">
        <v>43</v>
      </c>
      <c r="Y7062" t="s">
        <v>43</v>
      </c>
      <c r="Z7062" t="s">
        <v>43</v>
      </c>
      <c r="AA7062" t="s">
        <v>43</v>
      </c>
      <c r="AB7062" t="s">
        <v>43</v>
      </c>
      <c r="AC7062" t="s">
        <v>43</v>
      </c>
      <c r="AD7062" t="s">
        <v>43</v>
      </c>
      <c r="AE7062" t="s">
        <v>43</v>
      </c>
      <c r="AF7062" t="s">
        <v>43</v>
      </c>
      <c r="AG7062" t="s">
        <v>43</v>
      </c>
      <c r="AH7062" t="s">
        <v>43</v>
      </c>
      <c r="AI7062" t="s">
        <v>43</v>
      </c>
      <c r="AJ7062" t="s">
        <v>43</v>
      </c>
      <c r="AK7062" t="s">
        <v>43</v>
      </c>
      <c r="AL7062" t="s">
        <v>43</v>
      </c>
      <c r="AM7062" t="s">
        <v>43</v>
      </c>
      <c r="AN7062" t="str">
        <f>HYPERLINK("https://www.google.com/maps?q=10.7896471,79.57879639","Open Location")</f>
        <v>Open Location</v>
      </c>
    </row>
    <row r="7063" spans="1:40" x14ac:dyDescent="0.3">
      <c r="A7063" s="1">
        <v>46210.181828703702</v>
      </c>
      <c r="B7063" t="s">
        <v>40</v>
      </c>
      <c r="C7063" t="s">
        <v>41</v>
      </c>
      <c r="D7063" s="1">
        <v>46210.184641203705</v>
      </c>
      <c r="E7063" t="s">
        <v>42</v>
      </c>
      <c r="F7063" t="s">
        <v>43</v>
      </c>
      <c r="G7063" t="s">
        <v>43</v>
      </c>
      <c r="H7063" t="s">
        <v>43</v>
      </c>
      <c r="I7063" t="s">
        <v>4103</v>
      </c>
      <c r="J7063" t="s">
        <v>43</v>
      </c>
      <c r="K7063" t="s">
        <v>43</v>
      </c>
      <c r="L7063" t="s">
        <v>43</v>
      </c>
      <c r="M7063" t="s">
        <v>43</v>
      </c>
      <c r="N7063" t="s">
        <v>45</v>
      </c>
      <c r="O7063" t="s">
        <v>43</v>
      </c>
      <c r="P7063" t="s">
        <v>43</v>
      </c>
      <c r="Q7063" t="s">
        <v>43</v>
      </c>
      <c r="R7063" t="s">
        <v>43</v>
      </c>
      <c r="S7063" t="s">
        <v>43</v>
      </c>
      <c r="T7063" t="s">
        <v>43</v>
      </c>
      <c r="U7063" t="s">
        <v>43</v>
      </c>
      <c r="V7063" t="s">
        <v>43</v>
      </c>
      <c r="W7063" t="s">
        <v>43</v>
      </c>
      <c r="X7063" t="s">
        <v>43</v>
      </c>
      <c r="Y7063" t="s">
        <v>43</v>
      </c>
      <c r="Z7063" t="s">
        <v>43</v>
      </c>
      <c r="AA7063" t="s">
        <v>43</v>
      </c>
      <c r="AB7063" t="s">
        <v>43</v>
      </c>
      <c r="AC7063" t="s">
        <v>43</v>
      </c>
      <c r="AD7063" t="s">
        <v>43</v>
      </c>
      <c r="AE7063" t="s">
        <v>43</v>
      </c>
      <c r="AF7063" t="s">
        <v>43</v>
      </c>
      <c r="AG7063" t="s">
        <v>43</v>
      </c>
      <c r="AH7063" t="s">
        <v>43</v>
      </c>
      <c r="AI7063" t="s">
        <v>43</v>
      </c>
      <c r="AJ7063" t="s">
        <v>43</v>
      </c>
      <c r="AK7063" t="s">
        <v>43</v>
      </c>
      <c r="AL7063" t="s">
        <v>43</v>
      </c>
      <c r="AM7063" t="s">
        <v>43</v>
      </c>
      <c r="AN7063" t="str">
        <f>HYPERLINK("https://www.google.com/maps?q=10.78964329,79.57879639","Open Location")</f>
        <v>Open Location</v>
      </c>
    </row>
    <row r="7064" spans="1:40" x14ac:dyDescent="0.3">
      <c r="A7064" s="1">
        <v>46210.181712962964</v>
      </c>
      <c r="B7064" t="s">
        <v>40</v>
      </c>
      <c r="C7064" t="s">
        <v>41</v>
      </c>
      <c r="D7064" s="1">
        <v>46210.184629629628</v>
      </c>
      <c r="E7064" t="s">
        <v>42</v>
      </c>
      <c r="F7064" t="s">
        <v>43</v>
      </c>
      <c r="G7064" t="s">
        <v>43</v>
      </c>
      <c r="H7064" t="s">
        <v>43</v>
      </c>
      <c r="I7064" t="s">
        <v>4104</v>
      </c>
      <c r="J7064" t="s">
        <v>43</v>
      </c>
      <c r="K7064" t="s">
        <v>43</v>
      </c>
      <c r="L7064" t="s">
        <v>43</v>
      </c>
      <c r="M7064" t="s">
        <v>43</v>
      </c>
      <c r="N7064" t="s">
        <v>45</v>
      </c>
      <c r="O7064" t="s">
        <v>43</v>
      </c>
      <c r="P7064" t="s">
        <v>43</v>
      </c>
      <c r="Q7064" t="s">
        <v>43</v>
      </c>
      <c r="R7064" t="s">
        <v>43</v>
      </c>
      <c r="S7064" t="s">
        <v>43</v>
      </c>
      <c r="T7064" t="s">
        <v>43</v>
      </c>
      <c r="U7064" t="s">
        <v>43</v>
      </c>
      <c r="V7064" t="s">
        <v>43</v>
      </c>
      <c r="W7064" t="s">
        <v>43</v>
      </c>
      <c r="X7064" t="s">
        <v>43</v>
      </c>
      <c r="Y7064" t="s">
        <v>43</v>
      </c>
      <c r="Z7064" t="s">
        <v>43</v>
      </c>
      <c r="AA7064" t="s">
        <v>43</v>
      </c>
      <c r="AB7064" t="s">
        <v>43</v>
      </c>
      <c r="AC7064" t="s">
        <v>43</v>
      </c>
      <c r="AD7064" t="s">
        <v>43</v>
      </c>
      <c r="AE7064" t="s">
        <v>43</v>
      </c>
      <c r="AF7064" t="s">
        <v>43</v>
      </c>
      <c r="AG7064" t="s">
        <v>43</v>
      </c>
      <c r="AH7064" t="s">
        <v>43</v>
      </c>
      <c r="AI7064" t="s">
        <v>43</v>
      </c>
      <c r="AJ7064" t="s">
        <v>43</v>
      </c>
      <c r="AK7064" t="s">
        <v>43</v>
      </c>
      <c r="AL7064" t="s">
        <v>43</v>
      </c>
      <c r="AM7064" t="s">
        <v>43</v>
      </c>
      <c r="AN7064" t="str">
        <f>HYPERLINK("https://www.google.com/maps?q=10.78964043,79.57879639","Open Location")</f>
        <v>Open Location</v>
      </c>
    </row>
    <row r="7065" spans="1:40" x14ac:dyDescent="0.3">
      <c r="A7065" s="1">
        <v>46210.181597222225</v>
      </c>
      <c r="B7065" t="s">
        <v>40</v>
      </c>
      <c r="C7065" t="s">
        <v>41</v>
      </c>
      <c r="D7065" s="1">
        <v>46210.184421296297</v>
      </c>
      <c r="E7065" t="s">
        <v>42</v>
      </c>
      <c r="F7065" t="s">
        <v>43</v>
      </c>
      <c r="G7065" t="s">
        <v>43</v>
      </c>
      <c r="H7065" t="s">
        <v>43</v>
      </c>
      <c r="I7065" t="s">
        <v>43</v>
      </c>
      <c r="J7065" t="s">
        <v>43</v>
      </c>
      <c r="K7065" t="s">
        <v>43</v>
      </c>
      <c r="L7065" t="s">
        <v>43</v>
      </c>
      <c r="M7065" t="s">
        <v>43</v>
      </c>
      <c r="N7065" t="s">
        <v>45</v>
      </c>
      <c r="O7065" t="s">
        <v>43</v>
      </c>
      <c r="P7065" t="s">
        <v>43</v>
      </c>
      <c r="Q7065" t="s">
        <v>43</v>
      </c>
      <c r="R7065" t="s">
        <v>43</v>
      </c>
      <c r="S7065" t="s">
        <v>43</v>
      </c>
      <c r="T7065" t="s">
        <v>43</v>
      </c>
      <c r="U7065" t="s">
        <v>43</v>
      </c>
      <c r="V7065" t="s">
        <v>43</v>
      </c>
      <c r="W7065" t="s">
        <v>43</v>
      </c>
      <c r="X7065" t="s">
        <v>43</v>
      </c>
      <c r="Y7065" t="s">
        <v>43</v>
      </c>
      <c r="Z7065" t="s">
        <v>43</v>
      </c>
      <c r="AA7065" t="s">
        <v>43</v>
      </c>
      <c r="AB7065" t="s">
        <v>43</v>
      </c>
      <c r="AC7065" t="s">
        <v>43</v>
      </c>
      <c r="AD7065" t="s">
        <v>43</v>
      </c>
      <c r="AE7065" t="s">
        <v>43</v>
      </c>
      <c r="AF7065" t="s">
        <v>43</v>
      </c>
      <c r="AG7065" t="s">
        <v>43</v>
      </c>
      <c r="AH7065" t="s">
        <v>43</v>
      </c>
      <c r="AI7065" t="s">
        <v>43</v>
      </c>
      <c r="AJ7065" t="s">
        <v>43</v>
      </c>
      <c r="AK7065" t="s">
        <v>43</v>
      </c>
      <c r="AL7065" t="s">
        <v>43</v>
      </c>
      <c r="AM7065" t="s">
        <v>43</v>
      </c>
      <c r="AN7065" t="s">
        <v>43</v>
      </c>
    </row>
    <row r="7066" spans="1:40" x14ac:dyDescent="0.3">
      <c r="A7066" s="1">
        <v>46210.181481481479</v>
      </c>
      <c r="B7066" t="s">
        <v>40</v>
      </c>
      <c r="C7066" t="s">
        <v>41</v>
      </c>
      <c r="D7066" s="1">
        <v>46210.184606481482</v>
      </c>
      <c r="E7066" t="s">
        <v>42</v>
      </c>
      <c r="F7066" t="s">
        <v>43</v>
      </c>
      <c r="G7066" t="s">
        <v>43</v>
      </c>
      <c r="H7066" t="s">
        <v>43</v>
      </c>
      <c r="I7066" t="s">
        <v>4105</v>
      </c>
      <c r="J7066" t="s">
        <v>43</v>
      </c>
      <c r="K7066" t="s">
        <v>43</v>
      </c>
      <c r="L7066" t="s">
        <v>43</v>
      </c>
      <c r="M7066" t="s">
        <v>43</v>
      </c>
      <c r="N7066" t="s">
        <v>45</v>
      </c>
      <c r="O7066" t="s">
        <v>43</v>
      </c>
      <c r="P7066" t="s">
        <v>43</v>
      </c>
      <c r="Q7066" t="s">
        <v>43</v>
      </c>
      <c r="R7066" t="s">
        <v>43</v>
      </c>
      <c r="S7066" t="s">
        <v>43</v>
      </c>
      <c r="T7066" t="s">
        <v>43</v>
      </c>
      <c r="U7066" t="s">
        <v>43</v>
      </c>
      <c r="V7066" t="s">
        <v>43</v>
      </c>
      <c r="W7066" t="s">
        <v>43</v>
      </c>
      <c r="X7066" t="s">
        <v>43</v>
      </c>
      <c r="Y7066" t="s">
        <v>43</v>
      </c>
      <c r="Z7066" t="s">
        <v>43</v>
      </c>
      <c r="AA7066" t="s">
        <v>43</v>
      </c>
      <c r="AB7066" t="s">
        <v>43</v>
      </c>
      <c r="AC7066" t="s">
        <v>43</v>
      </c>
      <c r="AD7066" t="s">
        <v>43</v>
      </c>
      <c r="AE7066" t="s">
        <v>43</v>
      </c>
      <c r="AF7066" t="s">
        <v>43</v>
      </c>
      <c r="AG7066" t="s">
        <v>43</v>
      </c>
      <c r="AH7066" t="s">
        <v>43</v>
      </c>
      <c r="AI7066" t="s">
        <v>43</v>
      </c>
      <c r="AJ7066" t="s">
        <v>43</v>
      </c>
      <c r="AK7066" t="s">
        <v>43</v>
      </c>
      <c r="AL7066" t="s">
        <v>43</v>
      </c>
      <c r="AM7066" t="s">
        <v>43</v>
      </c>
      <c r="AN7066" t="str">
        <f>HYPERLINK("https://www.google.com/maps?q=10.78963757,79.57879639","Open Location")</f>
        <v>Open Location</v>
      </c>
    </row>
    <row r="7067" spans="1:40" x14ac:dyDescent="0.3">
      <c r="A7067" s="1">
        <v>46210.18136574074</v>
      </c>
      <c r="B7067" t="s">
        <v>40</v>
      </c>
      <c r="C7067" t="s">
        <v>41</v>
      </c>
      <c r="D7067" s="1">
        <v>46210.184201388889</v>
      </c>
      <c r="E7067" t="s">
        <v>42</v>
      </c>
      <c r="F7067" t="s">
        <v>43</v>
      </c>
      <c r="G7067" t="s">
        <v>43</v>
      </c>
      <c r="H7067" t="s">
        <v>43</v>
      </c>
      <c r="I7067" t="s">
        <v>4106</v>
      </c>
      <c r="J7067" t="s">
        <v>43</v>
      </c>
      <c r="K7067" t="s">
        <v>43</v>
      </c>
      <c r="L7067" t="s">
        <v>43</v>
      </c>
      <c r="M7067" t="s">
        <v>43</v>
      </c>
      <c r="N7067" t="s">
        <v>45</v>
      </c>
      <c r="O7067" t="s">
        <v>43</v>
      </c>
      <c r="P7067" t="s">
        <v>43</v>
      </c>
      <c r="Q7067" t="s">
        <v>43</v>
      </c>
      <c r="R7067" t="s">
        <v>43</v>
      </c>
      <c r="S7067" t="s">
        <v>43</v>
      </c>
      <c r="T7067" t="s">
        <v>43</v>
      </c>
      <c r="U7067" t="s">
        <v>43</v>
      </c>
      <c r="V7067" t="s">
        <v>43</v>
      </c>
      <c r="W7067" t="s">
        <v>43</v>
      </c>
      <c r="X7067" t="s">
        <v>43</v>
      </c>
      <c r="Y7067" t="s">
        <v>43</v>
      </c>
      <c r="Z7067" t="s">
        <v>43</v>
      </c>
      <c r="AA7067" t="s">
        <v>43</v>
      </c>
      <c r="AB7067" t="s">
        <v>43</v>
      </c>
      <c r="AC7067" t="s">
        <v>43</v>
      </c>
      <c r="AD7067" t="s">
        <v>43</v>
      </c>
      <c r="AE7067" t="s">
        <v>43</v>
      </c>
      <c r="AF7067" t="s">
        <v>43</v>
      </c>
      <c r="AG7067" t="s">
        <v>43</v>
      </c>
      <c r="AH7067" t="s">
        <v>43</v>
      </c>
      <c r="AI7067" t="s">
        <v>43</v>
      </c>
      <c r="AJ7067" t="s">
        <v>43</v>
      </c>
      <c r="AK7067" t="s">
        <v>43</v>
      </c>
      <c r="AL7067" t="s">
        <v>43</v>
      </c>
      <c r="AM7067" t="s">
        <v>43</v>
      </c>
      <c r="AN7067" t="str">
        <f>HYPERLINK("https://www.google.com/maps?q=10.78963566,79.57879639","Open Location")</f>
        <v>Open Location</v>
      </c>
    </row>
    <row r="7068" spans="1:40" x14ac:dyDescent="0.3">
      <c r="A7068" s="1">
        <v>46210.181250000001</v>
      </c>
      <c r="B7068" t="s">
        <v>40</v>
      </c>
      <c r="C7068" t="s">
        <v>41</v>
      </c>
      <c r="D7068" s="1">
        <v>46210.184236111112</v>
      </c>
      <c r="E7068" t="s">
        <v>42</v>
      </c>
      <c r="F7068" t="s">
        <v>43</v>
      </c>
      <c r="G7068" t="s">
        <v>43</v>
      </c>
      <c r="H7068" t="s">
        <v>43</v>
      </c>
      <c r="I7068" t="s">
        <v>4107</v>
      </c>
      <c r="J7068" t="s">
        <v>43</v>
      </c>
      <c r="K7068" t="s">
        <v>43</v>
      </c>
      <c r="L7068" t="s">
        <v>43</v>
      </c>
      <c r="M7068" t="s">
        <v>43</v>
      </c>
      <c r="N7068" t="s">
        <v>45</v>
      </c>
      <c r="O7068" t="s">
        <v>43</v>
      </c>
      <c r="P7068" t="s">
        <v>43</v>
      </c>
      <c r="Q7068" t="s">
        <v>43</v>
      </c>
      <c r="R7068" t="s">
        <v>43</v>
      </c>
      <c r="S7068" t="s">
        <v>43</v>
      </c>
      <c r="T7068" t="s">
        <v>43</v>
      </c>
      <c r="U7068" t="s">
        <v>43</v>
      </c>
      <c r="V7068" t="s">
        <v>43</v>
      </c>
      <c r="W7068" t="s">
        <v>43</v>
      </c>
      <c r="X7068" t="s">
        <v>43</v>
      </c>
      <c r="Y7068" t="s">
        <v>43</v>
      </c>
      <c r="Z7068" t="s">
        <v>43</v>
      </c>
      <c r="AA7068" t="s">
        <v>43</v>
      </c>
      <c r="AB7068" t="s">
        <v>43</v>
      </c>
      <c r="AC7068" t="s">
        <v>43</v>
      </c>
      <c r="AD7068" t="s">
        <v>43</v>
      </c>
      <c r="AE7068" t="s">
        <v>43</v>
      </c>
      <c r="AF7068" t="s">
        <v>43</v>
      </c>
      <c r="AG7068" t="s">
        <v>43</v>
      </c>
      <c r="AH7068" t="s">
        <v>43</v>
      </c>
      <c r="AI7068" t="s">
        <v>43</v>
      </c>
      <c r="AJ7068" t="s">
        <v>43</v>
      </c>
      <c r="AK7068" t="s">
        <v>43</v>
      </c>
      <c r="AL7068" t="s">
        <v>43</v>
      </c>
      <c r="AM7068" t="s">
        <v>43</v>
      </c>
      <c r="AN7068" t="str">
        <f>HYPERLINK("https://www.google.com/maps?q=10.7896328,79.57879639","Open Location")</f>
        <v>Open Location</v>
      </c>
    </row>
    <row r="7069" spans="1:40" x14ac:dyDescent="0.3">
      <c r="A7069" s="1">
        <v>46210.181134259263</v>
      </c>
      <c r="B7069" t="s">
        <v>40</v>
      </c>
      <c r="C7069" t="s">
        <v>41</v>
      </c>
      <c r="D7069" s="1">
        <v>46210.183958333335</v>
      </c>
      <c r="E7069" t="s">
        <v>42</v>
      </c>
      <c r="F7069" t="s">
        <v>43</v>
      </c>
      <c r="G7069" t="s">
        <v>43</v>
      </c>
      <c r="H7069" t="s">
        <v>43</v>
      </c>
      <c r="I7069" t="s">
        <v>4108</v>
      </c>
      <c r="J7069" t="s">
        <v>43</v>
      </c>
      <c r="K7069" t="s">
        <v>43</v>
      </c>
      <c r="L7069" t="s">
        <v>43</v>
      </c>
      <c r="M7069" t="s">
        <v>43</v>
      </c>
      <c r="N7069" t="s">
        <v>45</v>
      </c>
      <c r="O7069" t="s">
        <v>43</v>
      </c>
      <c r="P7069" t="s">
        <v>43</v>
      </c>
      <c r="Q7069" t="s">
        <v>43</v>
      </c>
      <c r="R7069" t="s">
        <v>43</v>
      </c>
      <c r="S7069" t="s">
        <v>43</v>
      </c>
      <c r="T7069" t="s">
        <v>43</v>
      </c>
      <c r="U7069" t="s">
        <v>43</v>
      </c>
      <c r="V7069" t="s">
        <v>43</v>
      </c>
      <c r="W7069" t="s">
        <v>43</v>
      </c>
      <c r="X7069" t="s">
        <v>43</v>
      </c>
      <c r="Y7069" t="s">
        <v>43</v>
      </c>
      <c r="Z7069" t="s">
        <v>43</v>
      </c>
      <c r="AA7069" t="s">
        <v>43</v>
      </c>
      <c r="AB7069" t="s">
        <v>43</v>
      </c>
      <c r="AC7069" t="s">
        <v>43</v>
      </c>
      <c r="AD7069" t="s">
        <v>43</v>
      </c>
      <c r="AE7069" t="s">
        <v>43</v>
      </c>
      <c r="AF7069" t="s">
        <v>43</v>
      </c>
      <c r="AG7069" t="s">
        <v>43</v>
      </c>
      <c r="AH7069" t="s">
        <v>43</v>
      </c>
      <c r="AI7069" t="s">
        <v>43</v>
      </c>
      <c r="AJ7069" t="s">
        <v>43</v>
      </c>
      <c r="AK7069" t="s">
        <v>43</v>
      </c>
      <c r="AL7069" t="s">
        <v>43</v>
      </c>
      <c r="AM7069" t="s">
        <v>43</v>
      </c>
      <c r="AN7069" t="str">
        <f>HYPERLINK("https://www.google.com/maps?q=10.7896204,79.57879639","Open Location")</f>
        <v>Open Location</v>
      </c>
    </row>
    <row r="7070" spans="1:40" x14ac:dyDescent="0.3">
      <c r="A7070" s="1">
        <v>46210.181018518517</v>
      </c>
      <c r="B7070" t="s">
        <v>40</v>
      </c>
      <c r="C7070" t="s">
        <v>41</v>
      </c>
      <c r="D7070" s="1">
        <v>46210.184247685182</v>
      </c>
      <c r="E7070" t="s">
        <v>42</v>
      </c>
      <c r="F7070" t="s">
        <v>43</v>
      </c>
      <c r="G7070" t="s">
        <v>43</v>
      </c>
      <c r="H7070" t="s">
        <v>43</v>
      </c>
      <c r="I7070" t="s">
        <v>43</v>
      </c>
      <c r="J7070" t="s">
        <v>43</v>
      </c>
      <c r="K7070" t="s">
        <v>43</v>
      </c>
      <c r="L7070" t="s">
        <v>43</v>
      </c>
      <c r="M7070" t="s">
        <v>43</v>
      </c>
      <c r="N7070" t="s">
        <v>45</v>
      </c>
      <c r="O7070" t="s">
        <v>43</v>
      </c>
      <c r="P7070" t="s">
        <v>43</v>
      </c>
      <c r="Q7070" t="s">
        <v>43</v>
      </c>
      <c r="R7070" t="s">
        <v>43</v>
      </c>
      <c r="S7070" t="s">
        <v>43</v>
      </c>
      <c r="T7070" t="s">
        <v>43</v>
      </c>
      <c r="U7070" t="s">
        <v>43</v>
      </c>
      <c r="V7070" t="s">
        <v>43</v>
      </c>
      <c r="W7070" t="s">
        <v>43</v>
      </c>
      <c r="X7070" t="s">
        <v>43</v>
      </c>
      <c r="Y7070" t="s">
        <v>43</v>
      </c>
      <c r="Z7070" t="s">
        <v>43</v>
      </c>
      <c r="AA7070" t="s">
        <v>43</v>
      </c>
      <c r="AB7070" t="s">
        <v>43</v>
      </c>
      <c r="AC7070" t="s">
        <v>43</v>
      </c>
      <c r="AD7070" t="s">
        <v>43</v>
      </c>
      <c r="AE7070" t="s">
        <v>43</v>
      </c>
      <c r="AF7070" t="s">
        <v>43</v>
      </c>
      <c r="AG7070" t="s">
        <v>43</v>
      </c>
      <c r="AH7070" t="s">
        <v>43</v>
      </c>
      <c r="AI7070" t="s">
        <v>43</v>
      </c>
      <c r="AJ7070" t="s">
        <v>43</v>
      </c>
      <c r="AK7070" t="s">
        <v>43</v>
      </c>
      <c r="AL7070" t="s">
        <v>43</v>
      </c>
      <c r="AM7070" t="s">
        <v>43</v>
      </c>
      <c r="AN7070" t="s">
        <v>43</v>
      </c>
    </row>
    <row r="7071" spans="1:40" x14ac:dyDescent="0.3">
      <c r="A7071" s="1">
        <v>46210.180902777778</v>
      </c>
      <c r="B7071" t="s">
        <v>40</v>
      </c>
      <c r="C7071" t="s">
        <v>41</v>
      </c>
      <c r="D7071" s="1">
        <v>46210.183634259258</v>
      </c>
      <c r="E7071" t="s">
        <v>42</v>
      </c>
      <c r="F7071" t="s">
        <v>43</v>
      </c>
      <c r="G7071" t="s">
        <v>43</v>
      </c>
      <c r="H7071" t="s">
        <v>43</v>
      </c>
      <c r="I7071" t="s">
        <v>4109</v>
      </c>
      <c r="J7071" t="s">
        <v>43</v>
      </c>
      <c r="K7071" t="s">
        <v>43</v>
      </c>
      <c r="L7071" t="s">
        <v>43</v>
      </c>
      <c r="M7071" t="s">
        <v>43</v>
      </c>
      <c r="N7071" t="s">
        <v>45</v>
      </c>
      <c r="O7071" t="s">
        <v>43</v>
      </c>
      <c r="P7071" t="s">
        <v>43</v>
      </c>
      <c r="Q7071" t="s">
        <v>43</v>
      </c>
      <c r="R7071" t="s">
        <v>43</v>
      </c>
      <c r="S7071" t="s">
        <v>43</v>
      </c>
      <c r="T7071" t="s">
        <v>43</v>
      </c>
      <c r="U7071" t="s">
        <v>43</v>
      </c>
      <c r="V7071" t="s">
        <v>43</v>
      </c>
      <c r="W7071" t="s">
        <v>43</v>
      </c>
      <c r="X7071" t="s">
        <v>43</v>
      </c>
      <c r="Y7071" t="s">
        <v>43</v>
      </c>
      <c r="Z7071" t="s">
        <v>43</v>
      </c>
      <c r="AA7071" t="s">
        <v>43</v>
      </c>
      <c r="AB7071" t="s">
        <v>43</v>
      </c>
      <c r="AC7071" t="s">
        <v>43</v>
      </c>
      <c r="AD7071" t="s">
        <v>43</v>
      </c>
      <c r="AE7071" t="s">
        <v>43</v>
      </c>
      <c r="AF7071" t="s">
        <v>43</v>
      </c>
      <c r="AG7071" t="s">
        <v>43</v>
      </c>
      <c r="AH7071" t="s">
        <v>43</v>
      </c>
      <c r="AI7071" t="s">
        <v>43</v>
      </c>
      <c r="AJ7071" t="s">
        <v>43</v>
      </c>
      <c r="AK7071" t="s">
        <v>43</v>
      </c>
      <c r="AL7071" t="s">
        <v>43</v>
      </c>
      <c r="AM7071" t="s">
        <v>43</v>
      </c>
      <c r="AN7071" t="str">
        <f>HYPERLINK("https://www.google.com/maps?q=10.78962421,79.57881165","Open Location")</f>
        <v>Open Location</v>
      </c>
    </row>
    <row r="7072" spans="1:40" x14ac:dyDescent="0.3">
      <c r="A7072" s="1">
        <v>46210.180787037039</v>
      </c>
      <c r="B7072" t="s">
        <v>40</v>
      </c>
      <c r="C7072" t="s">
        <v>41</v>
      </c>
      <c r="D7072" s="1">
        <v>46210.183865740742</v>
      </c>
      <c r="E7072" t="s">
        <v>42</v>
      </c>
      <c r="F7072" t="s">
        <v>43</v>
      </c>
      <c r="G7072" t="s">
        <v>43</v>
      </c>
      <c r="H7072" t="s">
        <v>43</v>
      </c>
      <c r="I7072" t="s">
        <v>4110</v>
      </c>
      <c r="J7072" t="s">
        <v>43</v>
      </c>
      <c r="K7072" t="s">
        <v>43</v>
      </c>
      <c r="L7072" t="s">
        <v>43</v>
      </c>
      <c r="M7072" t="s">
        <v>43</v>
      </c>
      <c r="N7072" t="s">
        <v>45</v>
      </c>
      <c r="O7072" t="s">
        <v>43</v>
      </c>
      <c r="P7072" t="s">
        <v>43</v>
      </c>
      <c r="Q7072" t="s">
        <v>43</v>
      </c>
      <c r="R7072" t="s">
        <v>43</v>
      </c>
      <c r="S7072" t="s">
        <v>43</v>
      </c>
      <c r="T7072" t="s">
        <v>43</v>
      </c>
      <c r="U7072" t="s">
        <v>43</v>
      </c>
      <c r="V7072" t="s">
        <v>43</v>
      </c>
      <c r="W7072" t="s">
        <v>43</v>
      </c>
      <c r="X7072" t="s">
        <v>43</v>
      </c>
      <c r="Y7072" t="s">
        <v>43</v>
      </c>
      <c r="Z7072" t="s">
        <v>43</v>
      </c>
      <c r="AA7072" t="s">
        <v>43</v>
      </c>
      <c r="AB7072" t="s">
        <v>43</v>
      </c>
      <c r="AC7072" t="s">
        <v>43</v>
      </c>
      <c r="AD7072" t="s">
        <v>43</v>
      </c>
      <c r="AE7072" t="s">
        <v>43</v>
      </c>
      <c r="AF7072" t="s">
        <v>43</v>
      </c>
      <c r="AG7072" t="s">
        <v>43</v>
      </c>
      <c r="AH7072" t="s">
        <v>43</v>
      </c>
      <c r="AI7072" t="s">
        <v>43</v>
      </c>
      <c r="AJ7072" t="s">
        <v>43</v>
      </c>
      <c r="AK7072" t="s">
        <v>43</v>
      </c>
      <c r="AL7072" t="s">
        <v>43</v>
      </c>
      <c r="AM7072" t="s">
        <v>43</v>
      </c>
      <c r="AN7072" t="str">
        <f>HYPERLINK("https://www.google.com/maps?q=10.78962708,79.57881165","Open Location")</f>
        <v>Open Location</v>
      </c>
    </row>
    <row r="7073" spans="1:40" x14ac:dyDescent="0.3">
      <c r="A7073" s="1">
        <v>46210.180671296293</v>
      </c>
      <c r="B7073" t="s">
        <v>40</v>
      </c>
      <c r="C7073" t="s">
        <v>41</v>
      </c>
      <c r="D7073" s="1">
        <v>46210.183842592596</v>
      </c>
      <c r="E7073" t="s">
        <v>42</v>
      </c>
      <c r="F7073" t="s">
        <v>43</v>
      </c>
      <c r="G7073" t="s">
        <v>43</v>
      </c>
      <c r="H7073" t="s">
        <v>43</v>
      </c>
      <c r="I7073" t="s">
        <v>4111</v>
      </c>
      <c r="J7073" t="s">
        <v>43</v>
      </c>
      <c r="K7073" t="s">
        <v>43</v>
      </c>
      <c r="L7073" t="s">
        <v>43</v>
      </c>
      <c r="M7073" t="s">
        <v>43</v>
      </c>
      <c r="N7073" t="s">
        <v>45</v>
      </c>
      <c r="O7073" t="s">
        <v>43</v>
      </c>
      <c r="P7073" t="s">
        <v>43</v>
      </c>
      <c r="Q7073" t="s">
        <v>43</v>
      </c>
      <c r="R7073" t="s">
        <v>43</v>
      </c>
      <c r="S7073" t="s">
        <v>43</v>
      </c>
      <c r="T7073" t="s">
        <v>43</v>
      </c>
      <c r="U7073" t="s">
        <v>43</v>
      </c>
      <c r="V7073" t="s">
        <v>43</v>
      </c>
      <c r="W7073" t="s">
        <v>43</v>
      </c>
      <c r="X7073" t="s">
        <v>43</v>
      </c>
      <c r="Y7073" t="s">
        <v>43</v>
      </c>
      <c r="Z7073" t="s">
        <v>43</v>
      </c>
      <c r="AA7073" t="s">
        <v>43</v>
      </c>
      <c r="AB7073" t="s">
        <v>43</v>
      </c>
      <c r="AC7073" t="s">
        <v>43</v>
      </c>
      <c r="AD7073" t="s">
        <v>43</v>
      </c>
      <c r="AE7073" t="s">
        <v>43</v>
      </c>
      <c r="AF7073" t="s">
        <v>43</v>
      </c>
      <c r="AG7073" t="s">
        <v>43</v>
      </c>
      <c r="AH7073" t="s">
        <v>43</v>
      </c>
      <c r="AI7073" t="s">
        <v>43</v>
      </c>
      <c r="AJ7073" t="s">
        <v>43</v>
      </c>
      <c r="AK7073" t="s">
        <v>43</v>
      </c>
      <c r="AL7073" t="s">
        <v>43</v>
      </c>
      <c r="AM7073" t="s">
        <v>43</v>
      </c>
      <c r="AN7073" t="str">
        <f>HYPERLINK("https://www.google.com/maps?q=10.78963184,79.57881165","Open Location")</f>
        <v>Open Location</v>
      </c>
    </row>
    <row r="7074" spans="1:40" x14ac:dyDescent="0.3">
      <c r="A7074" s="1">
        <v>46210.180555555555</v>
      </c>
      <c r="B7074" t="s">
        <v>40</v>
      </c>
      <c r="C7074" t="s">
        <v>41</v>
      </c>
      <c r="D7074" s="1">
        <v>46210.183842592596</v>
      </c>
      <c r="E7074" t="s">
        <v>42</v>
      </c>
      <c r="F7074" t="s">
        <v>43</v>
      </c>
      <c r="G7074" t="s">
        <v>43</v>
      </c>
      <c r="H7074" t="s">
        <v>43</v>
      </c>
      <c r="I7074" t="s">
        <v>4112</v>
      </c>
      <c r="J7074" t="s">
        <v>43</v>
      </c>
      <c r="K7074" t="s">
        <v>43</v>
      </c>
      <c r="L7074" t="s">
        <v>43</v>
      </c>
      <c r="M7074" t="s">
        <v>43</v>
      </c>
      <c r="N7074" t="s">
        <v>45</v>
      </c>
      <c r="O7074" t="s">
        <v>43</v>
      </c>
      <c r="P7074" t="s">
        <v>43</v>
      </c>
      <c r="Q7074" t="s">
        <v>43</v>
      </c>
      <c r="R7074" t="s">
        <v>43</v>
      </c>
      <c r="S7074" t="s">
        <v>43</v>
      </c>
      <c r="T7074" t="s">
        <v>43</v>
      </c>
      <c r="U7074" t="s">
        <v>43</v>
      </c>
      <c r="V7074" t="s">
        <v>43</v>
      </c>
      <c r="W7074" t="s">
        <v>43</v>
      </c>
      <c r="X7074" t="s">
        <v>43</v>
      </c>
      <c r="Y7074" t="s">
        <v>43</v>
      </c>
      <c r="Z7074" t="s">
        <v>43</v>
      </c>
      <c r="AA7074" t="s">
        <v>43</v>
      </c>
      <c r="AB7074" t="s">
        <v>43</v>
      </c>
      <c r="AC7074" t="s">
        <v>43</v>
      </c>
      <c r="AD7074" t="s">
        <v>43</v>
      </c>
      <c r="AE7074" t="s">
        <v>43</v>
      </c>
      <c r="AF7074" t="s">
        <v>43</v>
      </c>
      <c r="AG7074" t="s">
        <v>43</v>
      </c>
      <c r="AH7074" t="s">
        <v>43</v>
      </c>
      <c r="AI7074" t="s">
        <v>43</v>
      </c>
      <c r="AJ7074" t="s">
        <v>43</v>
      </c>
      <c r="AK7074" t="s">
        <v>43</v>
      </c>
      <c r="AL7074" t="s">
        <v>43</v>
      </c>
      <c r="AM7074" t="s">
        <v>43</v>
      </c>
      <c r="AN7074" t="str">
        <f>HYPERLINK("https://www.google.com/maps?q=10.78963375,79.57881165","Open Location")</f>
        <v>Open Location</v>
      </c>
    </row>
    <row r="7075" spans="1:40" x14ac:dyDescent="0.3">
      <c r="A7075" s="1">
        <v>46210.180439814816</v>
      </c>
      <c r="B7075" t="s">
        <v>40</v>
      </c>
      <c r="C7075" t="s">
        <v>41</v>
      </c>
      <c r="D7075" s="1">
        <v>46210.18346064815</v>
      </c>
      <c r="E7075" t="s">
        <v>42</v>
      </c>
      <c r="F7075" t="s">
        <v>43</v>
      </c>
      <c r="G7075" t="s">
        <v>43</v>
      </c>
      <c r="H7075" t="s">
        <v>43</v>
      </c>
      <c r="I7075" t="s">
        <v>4113</v>
      </c>
      <c r="J7075" t="s">
        <v>43</v>
      </c>
      <c r="K7075" t="s">
        <v>43</v>
      </c>
      <c r="L7075" t="s">
        <v>43</v>
      </c>
      <c r="M7075" t="s">
        <v>43</v>
      </c>
      <c r="N7075" t="s">
        <v>45</v>
      </c>
      <c r="O7075" t="s">
        <v>43</v>
      </c>
      <c r="P7075" t="s">
        <v>43</v>
      </c>
      <c r="Q7075" t="s">
        <v>43</v>
      </c>
      <c r="R7075" t="s">
        <v>43</v>
      </c>
      <c r="S7075" t="s">
        <v>43</v>
      </c>
      <c r="T7075" t="s">
        <v>43</v>
      </c>
      <c r="U7075" t="s">
        <v>43</v>
      </c>
      <c r="V7075" t="s">
        <v>43</v>
      </c>
      <c r="W7075" t="s">
        <v>43</v>
      </c>
      <c r="X7075" t="s">
        <v>43</v>
      </c>
      <c r="Y7075" t="s">
        <v>43</v>
      </c>
      <c r="Z7075" t="s">
        <v>43</v>
      </c>
      <c r="AA7075" t="s">
        <v>43</v>
      </c>
      <c r="AB7075" t="s">
        <v>43</v>
      </c>
      <c r="AC7075" t="s">
        <v>43</v>
      </c>
      <c r="AD7075" t="s">
        <v>43</v>
      </c>
      <c r="AE7075" t="s">
        <v>43</v>
      </c>
      <c r="AF7075" t="s">
        <v>43</v>
      </c>
      <c r="AG7075" t="s">
        <v>43</v>
      </c>
      <c r="AH7075" t="s">
        <v>43</v>
      </c>
      <c r="AI7075" t="s">
        <v>43</v>
      </c>
      <c r="AJ7075" t="s">
        <v>43</v>
      </c>
      <c r="AK7075" t="s">
        <v>43</v>
      </c>
      <c r="AL7075" t="s">
        <v>43</v>
      </c>
      <c r="AM7075" t="s">
        <v>43</v>
      </c>
      <c r="AN7075" t="str">
        <f>HYPERLINK("https://www.google.com/maps?q=10.78963661,79.57881165","Open Location")</f>
        <v>Open Location</v>
      </c>
    </row>
    <row r="7076" spans="1:40" x14ac:dyDescent="0.3">
      <c r="A7076" s="1">
        <v>46210.180324074077</v>
      </c>
      <c r="B7076" t="s">
        <v>40</v>
      </c>
      <c r="C7076" t="s">
        <v>41</v>
      </c>
      <c r="D7076" s="1">
        <v>46210.18346064815</v>
      </c>
      <c r="E7076" t="s">
        <v>42</v>
      </c>
      <c r="F7076" t="s">
        <v>43</v>
      </c>
      <c r="G7076" t="s">
        <v>43</v>
      </c>
      <c r="H7076" t="s">
        <v>43</v>
      </c>
      <c r="I7076" t="s">
        <v>43</v>
      </c>
      <c r="J7076" t="s">
        <v>43</v>
      </c>
      <c r="K7076" t="s">
        <v>43</v>
      </c>
      <c r="L7076" t="s">
        <v>43</v>
      </c>
      <c r="M7076" t="s">
        <v>43</v>
      </c>
      <c r="N7076" t="s">
        <v>45</v>
      </c>
      <c r="O7076" t="s">
        <v>43</v>
      </c>
      <c r="P7076" t="s">
        <v>43</v>
      </c>
      <c r="Q7076" t="s">
        <v>43</v>
      </c>
      <c r="R7076" t="s">
        <v>43</v>
      </c>
      <c r="S7076" t="s">
        <v>43</v>
      </c>
      <c r="T7076" t="s">
        <v>43</v>
      </c>
      <c r="U7076" t="s">
        <v>43</v>
      </c>
      <c r="V7076" t="s">
        <v>43</v>
      </c>
      <c r="W7076" t="s">
        <v>43</v>
      </c>
      <c r="X7076" t="s">
        <v>43</v>
      </c>
      <c r="Y7076" t="s">
        <v>43</v>
      </c>
      <c r="Z7076" t="s">
        <v>43</v>
      </c>
      <c r="AA7076" t="s">
        <v>43</v>
      </c>
      <c r="AB7076" t="s">
        <v>43</v>
      </c>
      <c r="AC7076" t="s">
        <v>43</v>
      </c>
      <c r="AD7076" t="s">
        <v>43</v>
      </c>
      <c r="AE7076" t="s">
        <v>43</v>
      </c>
      <c r="AF7076" t="s">
        <v>43</v>
      </c>
      <c r="AG7076" t="s">
        <v>43</v>
      </c>
      <c r="AH7076" t="s">
        <v>43</v>
      </c>
      <c r="AI7076" t="s">
        <v>43</v>
      </c>
      <c r="AJ7076" t="s">
        <v>43</v>
      </c>
      <c r="AK7076" t="s">
        <v>43</v>
      </c>
      <c r="AL7076" t="s">
        <v>43</v>
      </c>
      <c r="AM7076" t="s">
        <v>43</v>
      </c>
      <c r="AN7076" t="s">
        <v>43</v>
      </c>
    </row>
    <row r="7077" spans="1:40" x14ac:dyDescent="0.3">
      <c r="A7077" s="1">
        <v>46210.180208333331</v>
      </c>
      <c r="B7077" t="s">
        <v>40</v>
      </c>
      <c r="C7077" t="s">
        <v>41</v>
      </c>
      <c r="D7077" s="1">
        <v>46210.183055555557</v>
      </c>
      <c r="E7077" t="s">
        <v>42</v>
      </c>
      <c r="F7077" t="s">
        <v>43</v>
      </c>
      <c r="G7077" t="s">
        <v>43</v>
      </c>
      <c r="H7077" t="s">
        <v>43</v>
      </c>
      <c r="I7077" t="s">
        <v>4114</v>
      </c>
      <c r="J7077" t="s">
        <v>43</v>
      </c>
      <c r="K7077" t="s">
        <v>43</v>
      </c>
      <c r="L7077" t="s">
        <v>43</v>
      </c>
      <c r="M7077" t="s">
        <v>43</v>
      </c>
      <c r="N7077" t="s">
        <v>45</v>
      </c>
      <c r="O7077" t="s">
        <v>43</v>
      </c>
      <c r="P7077" t="s">
        <v>43</v>
      </c>
      <c r="Q7077" t="s">
        <v>43</v>
      </c>
      <c r="R7077" t="s">
        <v>43</v>
      </c>
      <c r="S7077" t="s">
        <v>43</v>
      </c>
      <c r="T7077" t="s">
        <v>43</v>
      </c>
      <c r="U7077" t="s">
        <v>43</v>
      </c>
      <c r="V7077" t="s">
        <v>43</v>
      </c>
      <c r="W7077" t="s">
        <v>43</v>
      </c>
      <c r="X7077" t="s">
        <v>43</v>
      </c>
      <c r="Y7077" t="s">
        <v>43</v>
      </c>
      <c r="Z7077" t="s">
        <v>43</v>
      </c>
      <c r="AA7077" t="s">
        <v>43</v>
      </c>
      <c r="AB7077" t="s">
        <v>43</v>
      </c>
      <c r="AC7077" t="s">
        <v>43</v>
      </c>
      <c r="AD7077" t="s">
        <v>43</v>
      </c>
      <c r="AE7077" t="s">
        <v>43</v>
      </c>
      <c r="AF7077" t="s">
        <v>43</v>
      </c>
      <c r="AG7077" t="s">
        <v>43</v>
      </c>
      <c r="AH7077" t="s">
        <v>43</v>
      </c>
      <c r="AI7077" t="s">
        <v>43</v>
      </c>
      <c r="AJ7077" t="s">
        <v>43</v>
      </c>
      <c r="AK7077" t="s">
        <v>43</v>
      </c>
      <c r="AL7077" t="s">
        <v>43</v>
      </c>
      <c r="AM7077" t="s">
        <v>43</v>
      </c>
      <c r="AN7077" t="str">
        <f>HYPERLINK("https://www.google.com/maps?q=10.78964043,79.57881165","Open Location")</f>
        <v>Open Location</v>
      </c>
    </row>
    <row r="7078" spans="1:40" x14ac:dyDescent="0.3">
      <c r="A7078" s="1">
        <v>46210.180092592593</v>
      </c>
      <c r="B7078" t="s">
        <v>40</v>
      </c>
      <c r="C7078" t="s">
        <v>41</v>
      </c>
      <c r="D7078" s="1">
        <v>46210.18310185185</v>
      </c>
      <c r="E7078" t="s">
        <v>42</v>
      </c>
      <c r="F7078" t="s">
        <v>43</v>
      </c>
      <c r="G7078" t="s">
        <v>43</v>
      </c>
      <c r="H7078" t="s">
        <v>43</v>
      </c>
      <c r="I7078" t="s">
        <v>4113</v>
      </c>
      <c r="J7078" t="s">
        <v>43</v>
      </c>
      <c r="K7078" t="s">
        <v>43</v>
      </c>
      <c r="L7078" t="s">
        <v>43</v>
      </c>
      <c r="M7078" t="s">
        <v>43</v>
      </c>
      <c r="N7078" t="s">
        <v>45</v>
      </c>
      <c r="O7078" t="s">
        <v>43</v>
      </c>
      <c r="P7078" t="s">
        <v>43</v>
      </c>
      <c r="Q7078" t="s">
        <v>43</v>
      </c>
      <c r="R7078" t="s">
        <v>43</v>
      </c>
      <c r="S7078" t="s">
        <v>43</v>
      </c>
      <c r="T7078" t="s">
        <v>43</v>
      </c>
      <c r="U7078" t="s">
        <v>43</v>
      </c>
      <c r="V7078" t="s">
        <v>43</v>
      </c>
      <c r="W7078" t="s">
        <v>43</v>
      </c>
      <c r="X7078" t="s">
        <v>43</v>
      </c>
      <c r="Y7078" t="s">
        <v>43</v>
      </c>
      <c r="Z7078" t="s">
        <v>43</v>
      </c>
      <c r="AA7078" t="s">
        <v>43</v>
      </c>
      <c r="AB7078" t="s">
        <v>43</v>
      </c>
      <c r="AC7078" t="s">
        <v>43</v>
      </c>
      <c r="AD7078" t="s">
        <v>43</v>
      </c>
      <c r="AE7078" t="s">
        <v>43</v>
      </c>
      <c r="AF7078" t="s">
        <v>43</v>
      </c>
      <c r="AG7078" t="s">
        <v>43</v>
      </c>
      <c r="AH7078" t="s">
        <v>43</v>
      </c>
      <c r="AI7078" t="s">
        <v>43</v>
      </c>
      <c r="AJ7078" t="s">
        <v>43</v>
      </c>
      <c r="AK7078" t="s">
        <v>43</v>
      </c>
      <c r="AL7078" t="s">
        <v>43</v>
      </c>
      <c r="AM7078" t="s">
        <v>43</v>
      </c>
      <c r="AN7078" t="str">
        <f>HYPERLINK("https://www.google.com/maps?q=10.78963661,79.57881165","Open Location")</f>
        <v>Open Location</v>
      </c>
    </row>
    <row r="7079" spans="1:40" x14ac:dyDescent="0.3">
      <c r="A7079" s="1">
        <v>46210.179976851854</v>
      </c>
      <c r="B7079" t="s">
        <v>40</v>
      </c>
      <c r="C7079" t="s">
        <v>41</v>
      </c>
      <c r="D7079" s="1">
        <v>46210.18310185185</v>
      </c>
      <c r="E7079" t="s">
        <v>42</v>
      </c>
      <c r="F7079" t="s">
        <v>43</v>
      </c>
      <c r="G7079" t="s">
        <v>43</v>
      </c>
      <c r="H7079" t="s">
        <v>43</v>
      </c>
      <c r="I7079" t="s">
        <v>4115</v>
      </c>
      <c r="J7079" t="s">
        <v>43</v>
      </c>
      <c r="K7079" t="s">
        <v>43</v>
      </c>
      <c r="L7079" t="s">
        <v>43</v>
      </c>
      <c r="M7079" t="s">
        <v>43</v>
      </c>
      <c r="N7079" t="s">
        <v>45</v>
      </c>
      <c r="O7079" t="s">
        <v>43</v>
      </c>
      <c r="P7079" t="s">
        <v>43</v>
      </c>
      <c r="Q7079" t="s">
        <v>43</v>
      </c>
      <c r="R7079" t="s">
        <v>43</v>
      </c>
      <c r="S7079" t="s">
        <v>43</v>
      </c>
      <c r="T7079" t="s">
        <v>43</v>
      </c>
      <c r="U7079" t="s">
        <v>43</v>
      </c>
      <c r="V7079" t="s">
        <v>43</v>
      </c>
      <c r="W7079" t="s">
        <v>43</v>
      </c>
      <c r="X7079" t="s">
        <v>43</v>
      </c>
      <c r="Y7079" t="s">
        <v>43</v>
      </c>
      <c r="Z7079" t="s">
        <v>43</v>
      </c>
      <c r="AA7079" t="s">
        <v>43</v>
      </c>
      <c r="AB7079" t="s">
        <v>43</v>
      </c>
      <c r="AC7079" t="s">
        <v>43</v>
      </c>
      <c r="AD7079" t="s">
        <v>43</v>
      </c>
      <c r="AE7079" t="s">
        <v>43</v>
      </c>
      <c r="AF7079" t="s">
        <v>43</v>
      </c>
      <c r="AG7079" t="s">
        <v>43</v>
      </c>
      <c r="AH7079" t="s">
        <v>43</v>
      </c>
      <c r="AI7079" t="s">
        <v>43</v>
      </c>
      <c r="AJ7079" t="s">
        <v>43</v>
      </c>
      <c r="AK7079" t="s">
        <v>43</v>
      </c>
      <c r="AL7079" t="s">
        <v>43</v>
      </c>
      <c r="AM7079" t="s">
        <v>43</v>
      </c>
      <c r="AN7079" t="str">
        <f>HYPERLINK("https://www.google.com/maps?q=10.78963566,79.57881165","Open Location")</f>
        <v>Open Location</v>
      </c>
    </row>
    <row r="7080" spans="1:40" x14ac:dyDescent="0.3">
      <c r="A7080" s="1">
        <v>46210.179861111108</v>
      </c>
      <c r="B7080" t="s">
        <v>40</v>
      </c>
      <c r="C7080" t="s">
        <v>41</v>
      </c>
      <c r="D7080" s="1">
        <v>46210.183067129627</v>
      </c>
      <c r="E7080" t="s">
        <v>42</v>
      </c>
      <c r="F7080" t="s">
        <v>43</v>
      </c>
      <c r="G7080" t="s">
        <v>43</v>
      </c>
      <c r="H7080" t="s">
        <v>43</v>
      </c>
      <c r="I7080" t="s">
        <v>4113</v>
      </c>
      <c r="J7080" t="s">
        <v>43</v>
      </c>
      <c r="K7080" t="s">
        <v>43</v>
      </c>
      <c r="L7080" t="s">
        <v>43</v>
      </c>
      <c r="M7080" t="s">
        <v>43</v>
      </c>
      <c r="N7080" t="s">
        <v>45</v>
      </c>
      <c r="O7080" t="s">
        <v>43</v>
      </c>
      <c r="P7080" t="s">
        <v>43</v>
      </c>
      <c r="Q7080" t="s">
        <v>43</v>
      </c>
      <c r="R7080" t="s">
        <v>43</v>
      </c>
      <c r="S7080" t="s">
        <v>43</v>
      </c>
      <c r="T7080" t="s">
        <v>43</v>
      </c>
      <c r="U7080" t="s">
        <v>43</v>
      </c>
      <c r="V7080" t="s">
        <v>43</v>
      </c>
      <c r="W7080" t="s">
        <v>43</v>
      </c>
      <c r="X7080" t="s">
        <v>43</v>
      </c>
      <c r="Y7080" t="s">
        <v>43</v>
      </c>
      <c r="Z7080" t="s">
        <v>43</v>
      </c>
      <c r="AA7080" t="s">
        <v>43</v>
      </c>
      <c r="AB7080" t="s">
        <v>43</v>
      </c>
      <c r="AC7080" t="s">
        <v>43</v>
      </c>
      <c r="AD7080" t="s">
        <v>43</v>
      </c>
      <c r="AE7080" t="s">
        <v>43</v>
      </c>
      <c r="AF7080" t="s">
        <v>43</v>
      </c>
      <c r="AG7080" t="s">
        <v>43</v>
      </c>
      <c r="AH7080" t="s">
        <v>43</v>
      </c>
      <c r="AI7080" t="s">
        <v>43</v>
      </c>
      <c r="AJ7080" t="s">
        <v>43</v>
      </c>
      <c r="AK7080" t="s">
        <v>43</v>
      </c>
      <c r="AL7080" t="s">
        <v>43</v>
      </c>
      <c r="AM7080" t="s">
        <v>43</v>
      </c>
      <c r="AN7080" t="str">
        <f>HYPERLINK("https://www.google.com/maps?q=10.78963661,79.57881165","Open Location")</f>
        <v>Open Location</v>
      </c>
    </row>
    <row r="7081" spans="1:40" x14ac:dyDescent="0.3">
      <c r="A7081" s="1">
        <v>46210.179745370369</v>
      </c>
      <c r="B7081" t="s">
        <v>40</v>
      </c>
      <c r="C7081" t="s">
        <v>41</v>
      </c>
      <c r="D7081" s="1">
        <v>46210.182696759257</v>
      </c>
      <c r="E7081" t="s">
        <v>42</v>
      </c>
      <c r="F7081" t="s">
        <v>43</v>
      </c>
      <c r="G7081" t="s">
        <v>43</v>
      </c>
      <c r="H7081" t="s">
        <v>43</v>
      </c>
      <c r="I7081" t="s">
        <v>4116</v>
      </c>
      <c r="J7081" t="s">
        <v>43</v>
      </c>
      <c r="K7081" t="s">
        <v>43</v>
      </c>
      <c r="L7081" t="s">
        <v>43</v>
      </c>
      <c r="M7081" t="s">
        <v>43</v>
      </c>
      <c r="N7081" t="s">
        <v>45</v>
      </c>
      <c r="O7081" t="s">
        <v>43</v>
      </c>
      <c r="P7081" t="s">
        <v>43</v>
      </c>
      <c r="Q7081" t="s">
        <v>43</v>
      </c>
      <c r="R7081" t="s">
        <v>43</v>
      </c>
      <c r="S7081" t="s">
        <v>43</v>
      </c>
      <c r="T7081" t="s">
        <v>43</v>
      </c>
      <c r="U7081" t="s">
        <v>43</v>
      </c>
      <c r="V7081" t="s">
        <v>43</v>
      </c>
      <c r="W7081" t="s">
        <v>43</v>
      </c>
      <c r="X7081" t="s">
        <v>43</v>
      </c>
      <c r="Y7081" t="s">
        <v>43</v>
      </c>
      <c r="Z7081" t="s">
        <v>43</v>
      </c>
      <c r="AA7081" t="s">
        <v>43</v>
      </c>
      <c r="AB7081" t="s">
        <v>43</v>
      </c>
      <c r="AC7081" t="s">
        <v>43</v>
      </c>
      <c r="AD7081" t="s">
        <v>43</v>
      </c>
      <c r="AE7081" t="s">
        <v>43</v>
      </c>
      <c r="AF7081" t="s">
        <v>43</v>
      </c>
      <c r="AG7081" t="s">
        <v>43</v>
      </c>
      <c r="AH7081" t="s">
        <v>43</v>
      </c>
      <c r="AI7081" t="s">
        <v>43</v>
      </c>
      <c r="AJ7081" t="s">
        <v>43</v>
      </c>
      <c r="AK7081" t="s">
        <v>43</v>
      </c>
      <c r="AL7081" t="s">
        <v>43</v>
      </c>
      <c r="AM7081" t="s">
        <v>43</v>
      </c>
      <c r="AN7081" t="str">
        <f>HYPERLINK("https://www.google.com/maps?q=10.78964138,79.57881165","Open Location")</f>
        <v>Open Location</v>
      </c>
    </row>
    <row r="7082" spans="1:40" x14ac:dyDescent="0.3">
      <c r="A7082" s="1">
        <v>46210.179629629631</v>
      </c>
      <c r="B7082" t="s">
        <v>40</v>
      </c>
      <c r="C7082" t="s">
        <v>41</v>
      </c>
      <c r="D7082" s="1">
        <v>46210.182708333334</v>
      </c>
      <c r="E7082" t="s">
        <v>42</v>
      </c>
      <c r="F7082" t="s">
        <v>43</v>
      </c>
      <c r="G7082" t="s">
        <v>43</v>
      </c>
      <c r="H7082" t="s">
        <v>43</v>
      </c>
      <c r="I7082" t="s">
        <v>43</v>
      </c>
      <c r="J7082" t="s">
        <v>43</v>
      </c>
      <c r="K7082" t="s">
        <v>43</v>
      </c>
      <c r="L7082" t="s">
        <v>43</v>
      </c>
      <c r="M7082" t="s">
        <v>43</v>
      </c>
      <c r="N7082" t="s">
        <v>45</v>
      </c>
      <c r="O7082" t="s">
        <v>43</v>
      </c>
      <c r="P7082" t="s">
        <v>43</v>
      </c>
      <c r="Q7082" t="s">
        <v>43</v>
      </c>
      <c r="R7082" t="s">
        <v>43</v>
      </c>
      <c r="S7082" t="s">
        <v>43</v>
      </c>
      <c r="T7082" t="s">
        <v>43</v>
      </c>
      <c r="U7082" t="s">
        <v>43</v>
      </c>
      <c r="V7082" t="s">
        <v>43</v>
      </c>
      <c r="W7082" t="s">
        <v>43</v>
      </c>
      <c r="X7082" t="s">
        <v>43</v>
      </c>
      <c r="Y7082" t="s">
        <v>43</v>
      </c>
      <c r="Z7082" t="s">
        <v>43</v>
      </c>
      <c r="AA7082" t="s">
        <v>43</v>
      </c>
      <c r="AB7082" t="s">
        <v>43</v>
      </c>
      <c r="AC7082" t="s">
        <v>43</v>
      </c>
      <c r="AD7082" t="s">
        <v>43</v>
      </c>
      <c r="AE7082" t="s">
        <v>43</v>
      </c>
      <c r="AF7082" t="s">
        <v>43</v>
      </c>
      <c r="AG7082" t="s">
        <v>43</v>
      </c>
      <c r="AH7082" t="s">
        <v>43</v>
      </c>
      <c r="AI7082" t="s">
        <v>43</v>
      </c>
      <c r="AJ7082" t="s">
        <v>43</v>
      </c>
      <c r="AK7082" t="s">
        <v>43</v>
      </c>
      <c r="AL7082" t="s">
        <v>43</v>
      </c>
      <c r="AM7082" t="s">
        <v>43</v>
      </c>
      <c r="AN7082" t="s">
        <v>43</v>
      </c>
    </row>
    <row r="7083" spans="1:40" x14ac:dyDescent="0.3">
      <c r="A7083" s="1">
        <v>46210.179513888892</v>
      </c>
      <c r="B7083" t="s">
        <v>40</v>
      </c>
      <c r="C7083" t="s">
        <v>41</v>
      </c>
      <c r="D7083" s="1">
        <v>46210.182303240741</v>
      </c>
      <c r="E7083" t="s">
        <v>42</v>
      </c>
      <c r="F7083" t="s">
        <v>43</v>
      </c>
      <c r="G7083" t="s">
        <v>43</v>
      </c>
      <c r="H7083" t="s">
        <v>43</v>
      </c>
      <c r="I7083" t="s">
        <v>4053</v>
      </c>
      <c r="J7083" t="s">
        <v>43</v>
      </c>
      <c r="K7083" t="s">
        <v>43</v>
      </c>
      <c r="L7083" t="s">
        <v>43</v>
      </c>
      <c r="M7083" t="s">
        <v>43</v>
      </c>
      <c r="N7083" t="s">
        <v>45</v>
      </c>
      <c r="O7083" t="s">
        <v>43</v>
      </c>
      <c r="P7083" t="s">
        <v>43</v>
      </c>
      <c r="Q7083" t="s">
        <v>43</v>
      </c>
      <c r="R7083" t="s">
        <v>43</v>
      </c>
      <c r="S7083" t="s">
        <v>43</v>
      </c>
      <c r="T7083" t="s">
        <v>43</v>
      </c>
      <c r="U7083" t="s">
        <v>43</v>
      </c>
      <c r="V7083" t="s">
        <v>43</v>
      </c>
      <c r="W7083" t="s">
        <v>43</v>
      </c>
      <c r="X7083" t="s">
        <v>43</v>
      </c>
      <c r="Y7083" t="s">
        <v>43</v>
      </c>
      <c r="Z7083" t="s">
        <v>43</v>
      </c>
      <c r="AA7083" t="s">
        <v>43</v>
      </c>
      <c r="AB7083" t="s">
        <v>43</v>
      </c>
      <c r="AC7083" t="s">
        <v>43</v>
      </c>
      <c r="AD7083" t="s">
        <v>43</v>
      </c>
      <c r="AE7083" t="s">
        <v>43</v>
      </c>
      <c r="AF7083" t="s">
        <v>43</v>
      </c>
      <c r="AG7083" t="s">
        <v>43</v>
      </c>
      <c r="AH7083" t="s">
        <v>43</v>
      </c>
      <c r="AI7083" t="s">
        <v>43</v>
      </c>
      <c r="AJ7083" t="s">
        <v>43</v>
      </c>
      <c r="AK7083" t="s">
        <v>43</v>
      </c>
      <c r="AL7083" t="s">
        <v>43</v>
      </c>
      <c r="AM7083" t="s">
        <v>43</v>
      </c>
      <c r="AN7083" t="str">
        <f>HYPERLINK("https://www.google.com/maps?q=10.78964329,79.57881165","Open Location")</f>
        <v>Open Location</v>
      </c>
    </row>
    <row r="7084" spans="1:40" x14ac:dyDescent="0.3">
      <c r="A7084" s="1">
        <v>46210.179398148146</v>
      </c>
      <c r="B7084" t="s">
        <v>40</v>
      </c>
      <c r="C7084" t="s">
        <v>41</v>
      </c>
      <c r="D7084" s="1">
        <v>46210.182314814818</v>
      </c>
      <c r="E7084" t="s">
        <v>42</v>
      </c>
      <c r="F7084" t="s">
        <v>43</v>
      </c>
      <c r="G7084" t="s">
        <v>43</v>
      </c>
      <c r="H7084" t="s">
        <v>43</v>
      </c>
      <c r="I7084" t="s">
        <v>4117</v>
      </c>
      <c r="J7084" t="s">
        <v>43</v>
      </c>
      <c r="K7084" t="s">
        <v>43</v>
      </c>
      <c r="L7084" t="s">
        <v>43</v>
      </c>
      <c r="M7084" t="s">
        <v>43</v>
      </c>
      <c r="N7084" t="s">
        <v>45</v>
      </c>
      <c r="O7084" t="s">
        <v>43</v>
      </c>
      <c r="P7084" t="s">
        <v>43</v>
      </c>
      <c r="Q7084" t="s">
        <v>43</v>
      </c>
      <c r="R7084" t="s">
        <v>43</v>
      </c>
      <c r="S7084" t="s">
        <v>43</v>
      </c>
      <c r="T7084" t="s">
        <v>43</v>
      </c>
      <c r="U7084" t="s">
        <v>43</v>
      </c>
      <c r="V7084" t="s">
        <v>43</v>
      </c>
      <c r="W7084" t="s">
        <v>43</v>
      </c>
      <c r="X7084" t="s">
        <v>43</v>
      </c>
      <c r="Y7084" t="s">
        <v>43</v>
      </c>
      <c r="Z7084" t="s">
        <v>43</v>
      </c>
      <c r="AA7084" t="s">
        <v>43</v>
      </c>
      <c r="AB7084" t="s">
        <v>43</v>
      </c>
      <c r="AC7084" t="s">
        <v>43</v>
      </c>
      <c r="AD7084" t="s">
        <v>43</v>
      </c>
      <c r="AE7084" t="s">
        <v>43</v>
      </c>
      <c r="AF7084" t="s">
        <v>43</v>
      </c>
      <c r="AG7084" t="s">
        <v>43</v>
      </c>
      <c r="AH7084" t="s">
        <v>43</v>
      </c>
      <c r="AI7084" t="s">
        <v>43</v>
      </c>
      <c r="AJ7084" t="s">
        <v>43</v>
      </c>
      <c r="AK7084" t="s">
        <v>43</v>
      </c>
      <c r="AL7084" t="s">
        <v>43</v>
      </c>
      <c r="AM7084" t="s">
        <v>43</v>
      </c>
      <c r="AN7084" t="str">
        <f>HYPERLINK("https://www.google.com/maps?q=10.78964043,79.57881927","Open Location")</f>
        <v>Open Location</v>
      </c>
    </row>
    <row r="7085" spans="1:40" x14ac:dyDescent="0.3">
      <c r="A7085" s="1">
        <v>46210.179282407407</v>
      </c>
      <c r="B7085" t="s">
        <v>40</v>
      </c>
      <c r="C7085" t="s">
        <v>41</v>
      </c>
      <c r="D7085" s="1">
        <v>46210.182326388887</v>
      </c>
      <c r="E7085" t="s">
        <v>42</v>
      </c>
      <c r="F7085" t="s">
        <v>43</v>
      </c>
      <c r="G7085" t="s">
        <v>43</v>
      </c>
      <c r="H7085" t="s">
        <v>43</v>
      </c>
      <c r="I7085" t="s">
        <v>4118</v>
      </c>
      <c r="J7085" t="s">
        <v>43</v>
      </c>
      <c r="K7085" t="s">
        <v>43</v>
      </c>
      <c r="L7085" t="s">
        <v>43</v>
      </c>
      <c r="M7085" t="s">
        <v>43</v>
      </c>
      <c r="N7085" t="s">
        <v>45</v>
      </c>
      <c r="O7085" t="s">
        <v>43</v>
      </c>
      <c r="P7085" t="s">
        <v>43</v>
      </c>
      <c r="Q7085" t="s">
        <v>43</v>
      </c>
      <c r="R7085" t="s">
        <v>43</v>
      </c>
      <c r="S7085" t="s">
        <v>43</v>
      </c>
      <c r="T7085" t="s">
        <v>43</v>
      </c>
      <c r="U7085" t="s">
        <v>43</v>
      </c>
      <c r="V7085" t="s">
        <v>43</v>
      </c>
      <c r="W7085" t="s">
        <v>43</v>
      </c>
      <c r="X7085" t="s">
        <v>43</v>
      </c>
      <c r="Y7085" t="s">
        <v>43</v>
      </c>
      <c r="Z7085" t="s">
        <v>43</v>
      </c>
      <c r="AA7085" t="s">
        <v>43</v>
      </c>
      <c r="AB7085" t="s">
        <v>43</v>
      </c>
      <c r="AC7085" t="s">
        <v>43</v>
      </c>
      <c r="AD7085" t="s">
        <v>43</v>
      </c>
      <c r="AE7085" t="s">
        <v>43</v>
      </c>
      <c r="AF7085" t="s">
        <v>43</v>
      </c>
      <c r="AG7085" t="s">
        <v>43</v>
      </c>
      <c r="AH7085" t="s">
        <v>43</v>
      </c>
      <c r="AI7085" t="s">
        <v>43</v>
      </c>
      <c r="AJ7085" t="s">
        <v>43</v>
      </c>
      <c r="AK7085" t="s">
        <v>43</v>
      </c>
      <c r="AL7085" t="s">
        <v>43</v>
      </c>
      <c r="AM7085" t="s">
        <v>43</v>
      </c>
      <c r="AN7085" t="str">
        <f>HYPERLINK("https://www.google.com/maps?q=10.7896347,79.57879639","Open Location")</f>
        <v>Open Location</v>
      </c>
    </row>
    <row r="7086" spans="1:40" x14ac:dyDescent="0.3">
      <c r="A7086" s="1">
        <v>46210.179166666669</v>
      </c>
      <c r="B7086" t="s">
        <v>40</v>
      </c>
      <c r="C7086" t="s">
        <v>41</v>
      </c>
      <c r="D7086" s="1">
        <v>46210.182326388887</v>
      </c>
      <c r="E7086" t="s">
        <v>42</v>
      </c>
      <c r="F7086" t="s">
        <v>43</v>
      </c>
      <c r="G7086" t="s">
        <v>43</v>
      </c>
      <c r="H7086" t="s">
        <v>43</v>
      </c>
      <c r="I7086" t="s">
        <v>4119</v>
      </c>
      <c r="J7086" t="s">
        <v>43</v>
      </c>
      <c r="K7086" t="s">
        <v>43</v>
      </c>
      <c r="L7086" t="s">
        <v>43</v>
      </c>
      <c r="M7086" t="s">
        <v>43</v>
      </c>
      <c r="N7086" t="s">
        <v>45</v>
      </c>
      <c r="O7086" t="s">
        <v>43</v>
      </c>
      <c r="P7086" t="s">
        <v>43</v>
      </c>
      <c r="Q7086" t="s">
        <v>43</v>
      </c>
      <c r="R7086" t="s">
        <v>43</v>
      </c>
      <c r="S7086" t="s">
        <v>43</v>
      </c>
      <c r="T7086" t="s">
        <v>43</v>
      </c>
      <c r="U7086" t="s">
        <v>43</v>
      </c>
      <c r="V7086" t="s">
        <v>43</v>
      </c>
      <c r="W7086" t="s">
        <v>43</v>
      </c>
      <c r="X7086" t="s">
        <v>43</v>
      </c>
      <c r="Y7086" t="s">
        <v>43</v>
      </c>
      <c r="Z7086" t="s">
        <v>43</v>
      </c>
      <c r="AA7086" t="s">
        <v>43</v>
      </c>
      <c r="AB7086" t="s">
        <v>43</v>
      </c>
      <c r="AC7086" t="s">
        <v>43</v>
      </c>
      <c r="AD7086" t="s">
        <v>43</v>
      </c>
      <c r="AE7086" t="s">
        <v>43</v>
      </c>
      <c r="AF7086" t="s">
        <v>43</v>
      </c>
      <c r="AG7086" t="s">
        <v>43</v>
      </c>
      <c r="AH7086" t="s">
        <v>43</v>
      </c>
      <c r="AI7086" t="s">
        <v>43</v>
      </c>
      <c r="AJ7086" t="s">
        <v>43</v>
      </c>
      <c r="AK7086" t="s">
        <v>43</v>
      </c>
      <c r="AL7086" t="s">
        <v>43</v>
      </c>
      <c r="AM7086" t="s">
        <v>43</v>
      </c>
      <c r="AN7086" t="str">
        <f>HYPERLINK("https://www.google.com/maps?q=10.78963184,79.57878876","Open Location")</f>
        <v>Open Location</v>
      </c>
    </row>
    <row r="7087" spans="1:40" x14ac:dyDescent="0.3">
      <c r="A7087" s="1">
        <v>46210.179050925923</v>
      </c>
      <c r="B7087" t="s">
        <v>40</v>
      </c>
      <c r="C7087" t="s">
        <v>41</v>
      </c>
      <c r="D7087" s="1">
        <v>46210.181898148148</v>
      </c>
      <c r="E7087" t="s">
        <v>42</v>
      </c>
      <c r="F7087" t="s">
        <v>43</v>
      </c>
      <c r="G7087" t="s">
        <v>43</v>
      </c>
      <c r="H7087" t="s">
        <v>43</v>
      </c>
      <c r="I7087" t="s">
        <v>4120</v>
      </c>
      <c r="J7087" t="s">
        <v>43</v>
      </c>
      <c r="K7087" t="s">
        <v>43</v>
      </c>
      <c r="L7087" t="s">
        <v>43</v>
      </c>
      <c r="M7087" t="s">
        <v>43</v>
      </c>
      <c r="N7087" t="s">
        <v>45</v>
      </c>
      <c r="O7087" t="s">
        <v>43</v>
      </c>
      <c r="P7087" t="s">
        <v>43</v>
      </c>
      <c r="Q7087" t="s">
        <v>43</v>
      </c>
      <c r="R7087" t="s">
        <v>43</v>
      </c>
      <c r="S7087" t="s">
        <v>43</v>
      </c>
      <c r="T7087" t="s">
        <v>43</v>
      </c>
      <c r="U7087" t="s">
        <v>43</v>
      </c>
      <c r="V7087" t="s">
        <v>43</v>
      </c>
      <c r="W7087" t="s">
        <v>43</v>
      </c>
      <c r="X7087" t="s">
        <v>43</v>
      </c>
      <c r="Y7087" t="s">
        <v>43</v>
      </c>
      <c r="Z7087" t="s">
        <v>43</v>
      </c>
      <c r="AA7087" t="s">
        <v>43</v>
      </c>
      <c r="AB7087" t="s">
        <v>43</v>
      </c>
      <c r="AC7087" t="s">
        <v>43</v>
      </c>
      <c r="AD7087" t="s">
        <v>43</v>
      </c>
      <c r="AE7087" t="s">
        <v>43</v>
      </c>
      <c r="AF7087" t="s">
        <v>43</v>
      </c>
      <c r="AG7087" t="s">
        <v>43</v>
      </c>
      <c r="AH7087" t="s">
        <v>43</v>
      </c>
      <c r="AI7087" t="s">
        <v>43</v>
      </c>
      <c r="AJ7087" t="s">
        <v>43</v>
      </c>
      <c r="AK7087" t="s">
        <v>43</v>
      </c>
      <c r="AL7087" t="s">
        <v>43</v>
      </c>
      <c r="AM7087" t="s">
        <v>43</v>
      </c>
      <c r="AN7087" t="str">
        <f>HYPERLINK("https://www.google.com/maps?q=10.78963184,79.5787735","Open Location")</f>
        <v>Open Location</v>
      </c>
    </row>
    <row r="7088" spans="1:40" x14ac:dyDescent="0.3">
      <c r="A7088" s="1">
        <v>46210.178935185184</v>
      </c>
      <c r="B7088" t="s">
        <v>40</v>
      </c>
      <c r="C7088" t="s">
        <v>41</v>
      </c>
      <c r="D7088" s="1">
        <v>46210.181932870371</v>
      </c>
      <c r="E7088" t="s">
        <v>42</v>
      </c>
      <c r="F7088" t="s">
        <v>43</v>
      </c>
      <c r="G7088" t="s">
        <v>43</v>
      </c>
      <c r="H7088" t="s">
        <v>43</v>
      </c>
      <c r="I7088" t="s">
        <v>43</v>
      </c>
      <c r="J7088" t="s">
        <v>43</v>
      </c>
      <c r="K7088" t="s">
        <v>43</v>
      </c>
      <c r="L7088" t="s">
        <v>43</v>
      </c>
      <c r="M7088" t="s">
        <v>43</v>
      </c>
      <c r="N7088" t="s">
        <v>45</v>
      </c>
      <c r="O7088" t="s">
        <v>43</v>
      </c>
      <c r="P7088" t="s">
        <v>43</v>
      </c>
      <c r="Q7088" t="s">
        <v>43</v>
      </c>
      <c r="R7088" t="s">
        <v>43</v>
      </c>
      <c r="S7088" t="s">
        <v>43</v>
      </c>
      <c r="T7088" t="s">
        <v>43</v>
      </c>
      <c r="U7088" t="s">
        <v>43</v>
      </c>
      <c r="V7088" t="s">
        <v>43</v>
      </c>
      <c r="W7088" t="s">
        <v>43</v>
      </c>
      <c r="X7088" t="s">
        <v>43</v>
      </c>
      <c r="Y7088" t="s">
        <v>43</v>
      </c>
      <c r="Z7088" t="s">
        <v>43</v>
      </c>
      <c r="AA7088" t="s">
        <v>43</v>
      </c>
      <c r="AB7088" t="s">
        <v>43</v>
      </c>
      <c r="AC7088" t="s">
        <v>43</v>
      </c>
      <c r="AD7088" t="s">
        <v>43</v>
      </c>
      <c r="AE7088" t="s">
        <v>43</v>
      </c>
      <c r="AF7088" t="s">
        <v>43</v>
      </c>
      <c r="AG7088" t="s">
        <v>43</v>
      </c>
      <c r="AH7088" t="s">
        <v>43</v>
      </c>
      <c r="AI7088" t="s">
        <v>43</v>
      </c>
      <c r="AJ7088" t="s">
        <v>43</v>
      </c>
      <c r="AK7088" t="s">
        <v>43</v>
      </c>
      <c r="AL7088" t="s">
        <v>43</v>
      </c>
      <c r="AM7088" t="s">
        <v>43</v>
      </c>
      <c r="AN7088" t="s">
        <v>43</v>
      </c>
    </row>
    <row r="7089" spans="1:40" x14ac:dyDescent="0.3">
      <c r="A7089" s="1">
        <v>46210.178819444445</v>
      </c>
      <c r="B7089" t="s">
        <v>40</v>
      </c>
      <c r="C7089" t="s">
        <v>41</v>
      </c>
      <c r="D7089" s="1">
        <v>46210.181921296295</v>
      </c>
      <c r="E7089" t="s">
        <v>42</v>
      </c>
      <c r="F7089" t="s">
        <v>43</v>
      </c>
      <c r="G7089" t="s">
        <v>43</v>
      </c>
      <c r="H7089" t="s">
        <v>43</v>
      </c>
      <c r="I7089" t="s">
        <v>4121</v>
      </c>
      <c r="J7089" t="s">
        <v>43</v>
      </c>
      <c r="K7089" t="s">
        <v>43</v>
      </c>
      <c r="L7089" t="s">
        <v>43</v>
      </c>
      <c r="M7089" t="s">
        <v>43</v>
      </c>
      <c r="N7089" t="s">
        <v>45</v>
      </c>
      <c r="O7089" t="s">
        <v>43</v>
      </c>
      <c r="P7089" t="s">
        <v>43</v>
      </c>
      <c r="Q7089" t="s">
        <v>43</v>
      </c>
      <c r="R7089" t="s">
        <v>43</v>
      </c>
      <c r="S7089" t="s">
        <v>43</v>
      </c>
      <c r="T7089" t="s">
        <v>43</v>
      </c>
      <c r="U7089" t="s">
        <v>43</v>
      </c>
      <c r="V7089" t="s">
        <v>43</v>
      </c>
      <c r="W7089" t="s">
        <v>43</v>
      </c>
      <c r="X7089" t="s">
        <v>43</v>
      </c>
      <c r="Y7089" t="s">
        <v>43</v>
      </c>
      <c r="Z7089" t="s">
        <v>43</v>
      </c>
      <c r="AA7089" t="s">
        <v>43</v>
      </c>
      <c r="AB7089" t="s">
        <v>43</v>
      </c>
      <c r="AC7089" t="s">
        <v>43</v>
      </c>
      <c r="AD7089" t="s">
        <v>43</v>
      </c>
      <c r="AE7089" t="s">
        <v>43</v>
      </c>
      <c r="AF7089" t="s">
        <v>43</v>
      </c>
      <c r="AG7089" t="s">
        <v>43</v>
      </c>
      <c r="AH7089" t="s">
        <v>43</v>
      </c>
      <c r="AI7089" t="s">
        <v>43</v>
      </c>
      <c r="AJ7089" t="s">
        <v>43</v>
      </c>
      <c r="AK7089" t="s">
        <v>43</v>
      </c>
      <c r="AL7089" t="s">
        <v>43</v>
      </c>
      <c r="AM7089" t="s">
        <v>43</v>
      </c>
      <c r="AN7089" t="str">
        <f>HYPERLINK("https://www.google.com/maps?q=10.78963566,79.57878113","Open Location")</f>
        <v>Open Location</v>
      </c>
    </row>
    <row r="7090" spans="1:40" x14ac:dyDescent="0.3">
      <c r="A7090" s="1">
        <v>46210.178703703707</v>
      </c>
      <c r="B7090" t="s">
        <v>40</v>
      </c>
      <c r="C7090" t="s">
        <v>41</v>
      </c>
      <c r="D7090" s="1">
        <v>46210.181932870371</v>
      </c>
      <c r="E7090" t="s">
        <v>42</v>
      </c>
      <c r="F7090" t="s">
        <v>43</v>
      </c>
      <c r="G7090" t="s">
        <v>43</v>
      </c>
      <c r="H7090" t="s">
        <v>43</v>
      </c>
      <c r="I7090" t="s">
        <v>4122</v>
      </c>
      <c r="J7090" t="s">
        <v>43</v>
      </c>
      <c r="K7090" t="s">
        <v>43</v>
      </c>
      <c r="L7090" t="s">
        <v>43</v>
      </c>
      <c r="M7090" t="s">
        <v>43</v>
      </c>
      <c r="N7090" t="s">
        <v>45</v>
      </c>
      <c r="O7090" t="s">
        <v>43</v>
      </c>
      <c r="P7090" t="s">
        <v>43</v>
      </c>
      <c r="Q7090" t="s">
        <v>43</v>
      </c>
      <c r="R7090" t="s">
        <v>43</v>
      </c>
      <c r="S7090" t="s">
        <v>43</v>
      </c>
      <c r="T7090" t="s">
        <v>43</v>
      </c>
      <c r="U7090" t="s">
        <v>43</v>
      </c>
      <c r="V7090" t="s">
        <v>43</v>
      </c>
      <c r="W7090" t="s">
        <v>43</v>
      </c>
      <c r="X7090" t="s">
        <v>43</v>
      </c>
      <c r="Y7090" t="s">
        <v>43</v>
      </c>
      <c r="Z7090" t="s">
        <v>43</v>
      </c>
      <c r="AA7090" t="s">
        <v>43</v>
      </c>
      <c r="AB7090" t="s">
        <v>43</v>
      </c>
      <c r="AC7090" t="s">
        <v>43</v>
      </c>
      <c r="AD7090" t="s">
        <v>43</v>
      </c>
      <c r="AE7090" t="s">
        <v>43</v>
      </c>
      <c r="AF7090" t="s">
        <v>43</v>
      </c>
      <c r="AG7090" t="s">
        <v>43</v>
      </c>
      <c r="AH7090" t="s">
        <v>43</v>
      </c>
      <c r="AI7090" t="s">
        <v>43</v>
      </c>
      <c r="AJ7090" t="s">
        <v>43</v>
      </c>
      <c r="AK7090" t="s">
        <v>43</v>
      </c>
      <c r="AL7090" t="s">
        <v>43</v>
      </c>
      <c r="AM7090" t="s">
        <v>43</v>
      </c>
      <c r="AN7090" t="str">
        <f>HYPERLINK("https://www.google.com/maps?q=10.78963947,79.57878876","Open Location")</f>
        <v>Open Location</v>
      </c>
    </row>
    <row r="7091" spans="1:40" x14ac:dyDescent="0.3">
      <c r="A7091" s="1">
        <v>46210.178587962961</v>
      </c>
      <c r="B7091" t="s">
        <v>40</v>
      </c>
      <c r="C7091" t="s">
        <v>41</v>
      </c>
      <c r="D7091" s="1">
        <v>46210.181539351855</v>
      </c>
      <c r="E7091" t="s">
        <v>42</v>
      </c>
      <c r="F7091" t="s">
        <v>43</v>
      </c>
      <c r="G7091" t="s">
        <v>43</v>
      </c>
      <c r="H7091" t="s">
        <v>43</v>
      </c>
      <c r="I7091" t="s">
        <v>3905</v>
      </c>
      <c r="J7091" t="s">
        <v>43</v>
      </c>
      <c r="K7091" t="s">
        <v>43</v>
      </c>
      <c r="L7091" t="s">
        <v>43</v>
      </c>
      <c r="M7091" t="s">
        <v>43</v>
      </c>
      <c r="N7091" t="s">
        <v>45</v>
      </c>
      <c r="O7091" t="s">
        <v>43</v>
      </c>
      <c r="P7091" t="s">
        <v>43</v>
      </c>
      <c r="Q7091" t="s">
        <v>43</v>
      </c>
      <c r="R7091" t="s">
        <v>43</v>
      </c>
      <c r="S7091" t="s">
        <v>43</v>
      </c>
      <c r="T7091" t="s">
        <v>43</v>
      </c>
      <c r="U7091" t="s">
        <v>43</v>
      </c>
      <c r="V7091" t="s">
        <v>43</v>
      </c>
      <c r="W7091" t="s">
        <v>43</v>
      </c>
      <c r="X7091" t="s">
        <v>43</v>
      </c>
      <c r="Y7091" t="s">
        <v>43</v>
      </c>
      <c r="Z7091" t="s">
        <v>43</v>
      </c>
      <c r="AA7091" t="s">
        <v>43</v>
      </c>
      <c r="AB7091" t="s">
        <v>43</v>
      </c>
      <c r="AC7091" t="s">
        <v>43</v>
      </c>
      <c r="AD7091" t="s">
        <v>43</v>
      </c>
      <c r="AE7091" t="s">
        <v>43</v>
      </c>
      <c r="AF7091" t="s">
        <v>43</v>
      </c>
      <c r="AG7091" t="s">
        <v>43</v>
      </c>
      <c r="AH7091" t="s">
        <v>43</v>
      </c>
      <c r="AI7091" t="s">
        <v>43</v>
      </c>
      <c r="AJ7091" t="s">
        <v>43</v>
      </c>
      <c r="AK7091" t="s">
        <v>43</v>
      </c>
      <c r="AL7091" t="s">
        <v>43</v>
      </c>
      <c r="AM7091" t="s">
        <v>43</v>
      </c>
      <c r="AN7091" t="str">
        <f>HYPERLINK("https://www.google.com/maps?q=10.7896452,79.57878876","Open Location")</f>
        <v>Open Location</v>
      </c>
    </row>
    <row r="7092" spans="1:40" x14ac:dyDescent="0.3">
      <c r="A7092" s="1">
        <v>46210.178472222222</v>
      </c>
      <c r="B7092" t="s">
        <v>40</v>
      </c>
      <c r="C7092" t="s">
        <v>41</v>
      </c>
      <c r="D7092" s="1">
        <v>46210.181388888886</v>
      </c>
      <c r="E7092" t="s">
        <v>42</v>
      </c>
      <c r="F7092" t="s">
        <v>43</v>
      </c>
      <c r="G7092" t="s">
        <v>43</v>
      </c>
      <c r="H7092" t="s">
        <v>43</v>
      </c>
      <c r="I7092" t="s">
        <v>3910</v>
      </c>
      <c r="J7092" t="s">
        <v>43</v>
      </c>
      <c r="K7092" t="s">
        <v>43</v>
      </c>
      <c r="L7092" t="s">
        <v>43</v>
      </c>
      <c r="M7092" t="s">
        <v>43</v>
      </c>
      <c r="N7092" t="s">
        <v>45</v>
      </c>
      <c r="O7092" t="s">
        <v>43</v>
      </c>
      <c r="P7092" t="s">
        <v>43</v>
      </c>
      <c r="Q7092" t="s">
        <v>43</v>
      </c>
      <c r="R7092" t="s">
        <v>43</v>
      </c>
      <c r="S7092" t="s">
        <v>43</v>
      </c>
      <c r="T7092" t="s">
        <v>43</v>
      </c>
      <c r="U7092" t="s">
        <v>43</v>
      </c>
      <c r="V7092" t="s">
        <v>43</v>
      </c>
      <c r="W7092" t="s">
        <v>43</v>
      </c>
      <c r="X7092" t="s">
        <v>43</v>
      </c>
      <c r="Y7092" t="s">
        <v>43</v>
      </c>
      <c r="Z7092" t="s">
        <v>43</v>
      </c>
      <c r="AA7092" t="s">
        <v>43</v>
      </c>
      <c r="AB7092" t="s">
        <v>43</v>
      </c>
      <c r="AC7092" t="s">
        <v>43</v>
      </c>
      <c r="AD7092" t="s">
        <v>43</v>
      </c>
      <c r="AE7092" t="s">
        <v>43</v>
      </c>
      <c r="AF7092" t="s">
        <v>43</v>
      </c>
      <c r="AG7092" t="s">
        <v>43</v>
      </c>
      <c r="AH7092" t="s">
        <v>43</v>
      </c>
      <c r="AI7092" t="s">
        <v>43</v>
      </c>
      <c r="AJ7092" t="s">
        <v>43</v>
      </c>
      <c r="AK7092" t="s">
        <v>43</v>
      </c>
      <c r="AL7092" t="s">
        <v>43</v>
      </c>
      <c r="AM7092" t="s">
        <v>43</v>
      </c>
      <c r="AN7092" t="str">
        <f>HYPERLINK("https://www.google.com/maps?q=10.78964806,79.57878876","Open Location")</f>
        <v>Open Location</v>
      </c>
    </row>
    <row r="7093" spans="1:40" x14ac:dyDescent="0.3">
      <c r="A7093" s="1">
        <v>46210.178356481483</v>
      </c>
      <c r="B7093" t="s">
        <v>40</v>
      </c>
      <c r="C7093" t="s">
        <v>41</v>
      </c>
      <c r="D7093" s="1">
        <v>46210.181157407409</v>
      </c>
      <c r="E7093" t="s">
        <v>42</v>
      </c>
      <c r="F7093" t="s">
        <v>43</v>
      </c>
      <c r="G7093" t="s">
        <v>43</v>
      </c>
      <c r="H7093" t="s">
        <v>43</v>
      </c>
      <c r="I7093" t="s">
        <v>43</v>
      </c>
      <c r="J7093" t="s">
        <v>43</v>
      </c>
      <c r="K7093" t="s">
        <v>43</v>
      </c>
      <c r="L7093" t="s">
        <v>43</v>
      </c>
      <c r="M7093" t="s">
        <v>43</v>
      </c>
      <c r="N7093" t="s">
        <v>45</v>
      </c>
      <c r="O7093" t="s">
        <v>43</v>
      </c>
      <c r="P7093" t="s">
        <v>43</v>
      </c>
      <c r="Q7093" t="s">
        <v>43</v>
      </c>
      <c r="R7093" t="s">
        <v>43</v>
      </c>
      <c r="S7093" t="s">
        <v>43</v>
      </c>
      <c r="T7093" t="s">
        <v>43</v>
      </c>
      <c r="U7093" t="s">
        <v>43</v>
      </c>
      <c r="V7093" t="s">
        <v>43</v>
      </c>
      <c r="W7093" t="s">
        <v>43</v>
      </c>
      <c r="X7093" t="s">
        <v>43</v>
      </c>
      <c r="Y7093" t="s">
        <v>43</v>
      </c>
      <c r="Z7093" t="s">
        <v>43</v>
      </c>
      <c r="AA7093" t="s">
        <v>43</v>
      </c>
      <c r="AB7093" t="s">
        <v>43</v>
      </c>
      <c r="AC7093" t="s">
        <v>43</v>
      </c>
      <c r="AD7093" t="s">
        <v>43</v>
      </c>
      <c r="AE7093" t="s">
        <v>43</v>
      </c>
      <c r="AF7093" t="s">
        <v>43</v>
      </c>
      <c r="AG7093" t="s">
        <v>43</v>
      </c>
      <c r="AH7093" t="s">
        <v>43</v>
      </c>
      <c r="AI7093" t="s">
        <v>43</v>
      </c>
      <c r="AJ7093" t="s">
        <v>43</v>
      </c>
      <c r="AK7093" t="s">
        <v>43</v>
      </c>
      <c r="AL7093" t="s">
        <v>43</v>
      </c>
      <c r="AM7093" t="s">
        <v>43</v>
      </c>
      <c r="AN7093" t="s">
        <v>43</v>
      </c>
    </row>
    <row r="7094" spans="1:40" x14ac:dyDescent="0.3">
      <c r="A7094" s="1">
        <v>46210.178240740737</v>
      </c>
      <c r="B7094" t="s">
        <v>40</v>
      </c>
      <c r="C7094" t="s">
        <v>41</v>
      </c>
      <c r="D7094" s="1">
        <v>46210.181134259263</v>
      </c>
      <c r="E7094" t="s">
        <v>42</v>
      </c>
      <c r="F7094" t="s">
        <v>43</v>
      </c>
      <c r="G7094" t="s">
        <v>43</v>
      </c>
      <c r="H7094" t="s">
        <v>43</v>
      </c>
      <c r="I7094" t="s">
        <v>3982</v>
      </c>
      <c r="J7094" t="s">
        <v>43</v>
      </c>
      <c r="K7094" t="s">
        <v>43</v>
      </c>
      <c r="L7094" t="s">
        <v>43</v>
      </c>
      <c r="M7094" t="s">
        <v>43</v>
      </c>
      <c r="N7094" t="s">
        <v>45</v>
      </c>
      <c r="O7094" t="s">
        <v>43</v>
      </c>
      <c r="P7094" t="s">
        <v>43</v>
      </c>
      <c r="Q7094" t="s">
        <v>43</v>
      </c>
      <c r="R7094" t="s">
        <v>43</v>
      </c>
      <c r="S7094" t="s">
        <v>43</v>
      </c>
      <c r="T7094" t="s">
        <v>43</v>
      </c>
      <c r="U7094" t="s">
        <v>43</v>
      </c>
      <c r="V7094" t="s">
        <v>43</v>
      </c>
      <c r="W7094" t="s">
        <v>43</v>
      </c>
      <c r="X7094" t="s">
        <v>43</v>
      </c>
      <c r="Y7094" t="s">
        <v>43</v>
      </c>
      <c r="Z7094" t="s">
        <v>43</v>
      </c>
      <c r="AA7094" t="s">
        <v>43</v>
      </c>
      <c r="AB7094" t="s">
        <v>43</v>
      </c>
      <c r="AC7094" t="s">
        <v>43</v>
      </c>
      <c r="AD7094" t="s">
        <v>43</v>
      </c>
      <c r="AE7094" t="s">
        <v>43</v>
      </c>
      <c r="AF7094" t="s">
        <v>43</v>
      </c>
      <c r="AG7094" t="s">
        <v>43</v>
      </c>
      <c r="AH7094" t="s">
        <v>43</v>
      </c>
      <c r="AI7094" t="s">
        <v>43</v>
      </c>
      <c r="AJ7094" t="s">
        <v>43</v>
      </c>
      <c r="AK7094" t="s">
        <v>43</v>
      </c>
      <c r="AL7094" t="s">
        <v>43</v>
      </c>
      <c r="AM7094" t="s">
        <v>43</v>
      </c>
      <c r="AN7094" t="str">
        <f>HYPERLINK("https://www.google.com/maps?q=10.78965092,79.57878113","Open Location")</f>
        <v>Open Location</v>
      </c>
    </row>
    <row r="7095" spans="1:40" x14ac:dyDescent="0.3">
      <c r="A7095" s="1">
        <v>46210.178124999999</v>
      </c>
      <c r="B7095" t="s">
        <v>40</v>
      </c>
      <c r="C7095" t="s">
        <v>41</v>
      </c>
      <c r="D7095" s="1">
        <v>46210.181168981479</v>
      </c>
      <c r="E7095" t="s">
        <v>42</v>
      </c>
      <c r="F7095" t="s">
        <v>43</v>
      </c>
      <c r="G7095" t="s">
        <v>43</v>
      </c>
      <c r="H7095" t="s">
        <v>43</v>
      </c>
      <c r="I7095" t="s">
        <v>3951</v>
      </c>
      <c r="J7095" t="s">
        <v>43</v>
      </c>
      <c r="K7095" t="s">
        <v>43</v>
      </c>
      <c r="L7095" t="s">
        <v>43</v>
      </c>
      <c r="M7095" t="s">
        <v>43</v>
      </c>
      <c r="N7095" t="s">
        <v>45</v>
      </c>
      <c r="O7095" t="s">
        <v>43</v>
      </c>
      <c r="P7095" t="s">
        <v>43</v>
      </c>
      <c r="Q7095" t="s">
        <v>43</v>
      </c>
      <c r="R7095" t="s">
        <v>43</v>
      </c>
      <c r="S7095" t="s">
        <v>43</v>
      </c>
      <c r="T7095" t="s">
        <v>43</v>
      </c>
      <c r="U7095" t="s">
        <v>43</v>
      </c>
      <c r="V7095" t="s">
        <v>43</v>
      </c>
      <c r="W7095" t="s">
        <v>43</v>
      </c>
      <c r="X7095" t="s">
        <v>43</v>
      </c>
      <c r="Y7095" t="s">
        <v>43</v>
      </c>
      <c r="Z7095" t="s">
        <v>43</v>
      </c>
      <c r="AA7095" t="s">
        <v>43</v>
      </c>
      <c r="AB7095" t="s">
        <v>43</v>
      </c>
      <c r="AC7095" t="s">
        <v>43</v>
      </c>
      <c r="AD7095" t="s">
        <v>43</v>
      </c>
      <c r="AE7095" t="s">
        <v>43</v>
      </c>
      <c r="AF7095" t="s">
        <v>43</v>
      </c>
      <c r="AG7095" t="s">
        <v>43</v>
      </c>
      <c r="AH7095" t="s">
        <v>43</v>
      </c>
      <c r="AI7095" t="s">
        <v>43</v>
      </c>
      <c r="AJ7095" t="s">
        <v>43</v>
      </c>
      <c r="AK7095" t="s">
        <v>43</v>
      </c>
      <c r="AL7095" t="s">
        <v>43</v>
      </c>
      <c r="AM7095" t="s">
        <v>43</v>
      </c>
      <c r="AN7095" t="str">
        <f>HYPERLINK("https://www.google.com/maps?q=10.7896471,79.5787735","Open Location")</f>
        <v>Open Location</v>
      </c>
    </row>
    <row r="7096" spans="1:40" x14ac:dyDescent="0.3">
      <c r="A7096" s="1">
        <v>46210.17800925926</v>
      </c>
      <c r="B7096" t="s">
        <v>40</v>
      </c>
      <c r="C7096" t="s">
        <v>41</v>
      </c>
      <c r="D7096" s="1">
        <v>46210.180810185186</v>
      </c>
      <c r="E7096" t="s">
        <v>42</v>
      </c>
      <c r="F7096" t="s">
        <v>43</v>
      </c>
      <c r="G7096" t="s">
        <v>43</v>
      </c>
      <c r="H7096" t="s">
        <v>43</v>
      </c>
      <c r="I7096" t="s">
        <v>4123</v>
      </c>
      <c r="J7096" t="s">
        <v>43</v>
      </c>
      <c r="K7096" t="s">
        <v>43</v>
      </c>
      <c r="L7096" t="s">
        <v>43</v>
      </c>
      <c r="M7096" t="s">
        <v>43</v>
      </c>
      <c r="N7096" t="s">
        <v>45</v>
      </c>
      <c r="O7096" t="s">
        <v>43</v>
      </c>
      <c r="P7096" t="s">
        <v>43</v>
      </c>
      <c r="Q7096" t="s">
        <v>43</v>
      </c>
      <c r="R7096" t="s">
        <v>43</v>
      </c>
      <c r="S7096" t="s">
        <v>43</v>
      </c>
      <c r="T7096" t="s">
        <v>43</v>
      </c>
      <c r="U7096" t="s">
        <v>43</v>
      </c>
      <c r="V7096" t="s">
        <v>43</v>
      </c>
      <c r="W7096" t="s">
        <v>43</v>
      </c>
      <c r="X7096" t="s">
        <v>43</v>
      </c>
      <c r="Y7096" t="s">
        <v>43</v>
      </c>
      <c r="Z7096" t="s">
        <v>43</v>
      </c>
      <c r="AA7096" t="s">
        <v>43</v>
      </c>
      <c r="AB7096" t="s">
        <v>43</v>
      </c>
      <c r="AC7096" t="s">
        <v>43</v>
      </c>
      <c r="AD7096" t="s">
        <v>43</v>
      </c>
      <c r="AE7096" t="s">
        <v>43</v>
      </c>
      <c r="AF7096" t="s">
        <v>43</v>
      </c>
      <c r="AG7096" t="s">
        <v>43</v>
      </c>
      <c r="AH7096" t="s">
        <v>43</v>
      </c>
      <c r="AI7096" t="s">
        <v>43</v>
      </c>
      <c r="AJ7096" t="s">
        <v>43</v>
      </c>
      <c r="AK7096" t="s">
        <v>43</v>
      </c>
      <c r="AL7096" t="s">
        <v>43</v>
      </c>
      <c r="AM7096" t="s">
        <v>43</v>
      </c>
      <c r="AN7096" t="str">
        <f>HYPERLINK("https://www.google.com/maps?q=10.78964806,79.5787735","Open Location")</f>
        <v>Open Location</v>
      </c>
    </row>
    <row r="7097" spans="1:40" x14ac:dyDescent="0.3">
      <c r="A7097" s="1">
        <v>46210.177893518521</v>
      </c>
      <c r="B7097" t="s">
        <v>40</v>
      </c>
      <c r="C7097" t="s">
        <v>41</v>
      </c>
      <c r="D7097" s="1">
        <v>46210.180659722224</v>
      </c>
      <c r="E7097" t="s">
        <v>42</v>
      </c>
      <c r="F7097" t="s">
        <v>43</v>
      </c>
      <c r="G7097" t="s">
        <v>43</v>
      </c>
      <c r="H7097" t="s">
        <v>43</v>
      </c>
      <c r="I7097" t="s">
        <v>4123</v>
      </c>
      <c r="J7097" t="s">
        <v>43</v>
      </c>
      <c r="K7097" t="s">
        <v>43</v>
      </c>
      <c r="L7097" t="s">
        <v>43</v>
      </c>
      <c r="M7097" t="s">
        <v>43</v>
      </c>
      <c r="N7097" t="s">
        <v>45</v>
      </c>
      <c r="O7097" t="s">
        <v>43</v>
      </c>
      <c r="P7097" t="s">
        <v>43</v>
      </c>
      <c r="Q7097" t="s">
        <v>43</v>
      </c>
      <c r="R7097" t="s">
        <v>43</v>
      </c>
      <c r="S7097" t="s">
        <v>43</v>
      </c>
      <c r="T7097" t="s">
        <v>43</v>
      </c>
      <c r="U7097" t="s">
        <v>43</v>
      </c>
      <c r="V7097" t="s">
        <v>43</v>
      </c>
      <c r="W7097" t="s">
        <v>43</v>
      </c>
      <c r="X7097" t="s">
        <v>43</v>
      </c>
      <c r="Y7097" t="s">
        <v>43</v>
      </c>
      <c r="Z7097" t="s">
        <v>43</v>
      </c>
      <c r="AA7097" t="s">
        <v>43</v>
      </c>
      <c r="AB7097" t="s">
        <v>43</v>
      </c>
      <c r="AC7097" t="s">
        <v>43</v>
      </c>
      <c r="AD7097" t="s">
        <v>43</v>
      </c>
      <c r="AE7097" t="s">
        <v>43</v>
      </c>
      <c r="AF7097" t="s">
        <v>43</v>
      </c>
      <c r="AG7097" t="s">
        <v>43</v>
      </c>
      <c r="AH7097" t="s">
        <v>43</v>
      </c>
      <c r="AI7097" t="s">
        <v>43</v>
      </c>
      <c r="AJ7097" t="s">
        <v>43</v>
      </c>
      <c r="AK7097" t="s">
        <v>43</v>
      </c>
      <c r="AL7097" t="s">
        <v>43</v>
      </c>
      <c r="AM7097" t="s">
        <v>43</v>
      </c>
      <c r="AN7097" t="str">
        <f>HYPERLINK("https://www.google.com/maps?q=10.78964806,79.5787735","Open Location")</f>
        <v>Open Location</v>
      </c>
    </row>
    <row r="7098" spans="1:40" x14ac:dyDescent="0.3">
      <c r="A7098" s="1">
        <v>46210.177777777775</v>
      </c>
      <c r="B7098" t="s">
        <v>40</v>
      </c>
      <c r="C7098" t="s">
        <v>41</v>
      </c>
      <c r="D7098" s="1">
        <v>46210.180787037039</v>
      </c>
      <c r="E7098" t="s">
        <v>42</v>
      </c>
      <c r="F7098" t="s">
        <v>43</v>
      </c>
      <c r="G7098" t="s">
        <v>43</v>
      </c>
      <c r="H7098" t="s">
        <v>43</v>
      </c>
      <c r="I7098" t="s">
        <v>4124</v>
      </c>
      <c r="J7098" t="s">
        <v>43</v>
      </c>
      <c r="K7098" t="s">
        <v>43</v>
      </c>
      <c r="L7098" t="s">
        <v>43</v>
      </c>
      <c r="M7098" t="s">
        <v>43</v>
      </c>
      <c r="N7098" t="s">
        <v>45</v>
      </c>
      <c r="O7098" t="s">
        <v>43</v>
      </c>
      <c r="P7098" t="s">
        <v>43</v>
      </c>
      <c r="Q7098" t="s">
        <v>43</v>
      </c>
      <c r="R7098" t="s">
        <v>43</v>
      </c>
      <c r="S7098" t="s">
        <v>43</v>
      </c>
      <c r="T7098" t="s">
        <v>43</v>
      </c>
      <c r="U7098" t="s">
        <v>43</v>
      </c>
      <c r="V7098" t="s">
        <v>43</v>
      </c>
      <c r="W7098" t="s">
        <v>43</v>
      </c>
      <c r="X7098" t="s">
        <v>43</v>
      </c>
      <c r="Y7098" t="s">
        <v>43</v>
      </c>
      <c r="Z7098" t="s">
        <v>43</v>
      </c>
      <c r="AA7098" t="s">
        <v>43</v>
      </c>
      <c r="AB7098" t="s">
        <v>43</v>
      </c>
      <c r="AC7098" t="s">
        <v>43</v>
      </c>
      <c r="AD7098" t="s">
        <v>43</v>
      </c>
      <c r="AE7098" t="s">
        <v>43</v>
      </c>
      <c r="AF7098" t="s">
        <v>43</v>
      </c>
      <c r="AG7098" t="s">
        <v>43</v>
      </c>
      <c r="AH7098" t="s">
        <v>43</v>
      </c>
      <c r="AI7098" t="s">
        <v>43</v>
      </c>
      <c r="AJ7098" t="s">
        <v>43</v>
      </c>
      <c r="AK7098" t="s">
        <v>43</v>
      </c>
      <c r="AL7098" t="s">
        <v>43</v>
      </c>
      <c r="AM7098" t="s">
        <v>43</v>
      </c>
      <c r="AN7098" t="str">
        <f>HYPERLINK("https://www.google.com/maps?q=10.78964901,79.5787735","Open Location")</f>
        <v>Open Location</v>
      </c>
    </row>
    <row r="7099" spans="1:40" x14ac:dyDescent="0.3">
      <c r="A7099" s="1">
        <v>46210.177662037036</v>
      </c>
      <c r="B7099" t="s">
        <v>40</v>
      </c>
      <c r="C7099" t="s">
        <v>41</v>
      </c>
      <c r="D7099" s="1">
        <v>46210.180405092593</v>
      </c>
      <c r="E7099" t="s">
        <v>42</v>
      </c>
      <c r="F7099" t="s">
        <v>43</v>
      </c>
      <c r="G7099" t="s">
        <v>43</v>
      </c>
      <c r="H7099" t="s">
        <v>43</v>
      </c>
      <c r="I7099" t="s">
        <v>43</v>
      </c>
      <c r="J7099" t="s">
        <v>43</v>
      </c>
      <c r="K7099" t="s">
        <v>43</v>
      </c>
      <c r="L7099" t="s">
        <v>43</v>
      </c>
      <c r="M7099" t="s">
        <v>43</v>
      </c>
      <c r="N7099" t="s">
        <v>45</v>
      </c>
      <c r="O7099" t="s">
        <v>43</v>
      </c>
      <c r="P7099" t="s">
        <v>43</v>
      </c>
      <c r="Q7099" t="s">
        <v>43</v>
      </c>
      <c r="R7099" t="s">
        <v>43</v>
      </c>
      <c r="S7099" t="s">
        <v>43</v>
      </c>
      <c r="T7099" t="s">
        <v>43</v>
      </c>
      <c r="U7099" t="s">
        <v>43</v>
      </c>
      <c r="V7099" t="s">
        <v>43</v>
      </c>
      <c r="W7099" t="s">
        <v>43</v>
      </c>
      <c r="X7099" t="s">
        <v>43</v>
      </c>
      <c r="Y7099" t="s">
        <v>43</v>
      </c>
      <c r="Z7099" t="s">
        <v>43</v>
      </c>
      <c r="AA7099" t="s">
        <v>43</v>
      </c>
      <c r="AB7099" t="s">
        <v>43</v>
      </c>
      <c r="AC7099" t="s">
        <v>43</v>
      </c>
      <c r="AD7099" t="s">
        <v>43</v>
      </c>
      <c r="AE7099" t="s">
        <v>43</v>
      </c>
      <c r="AF7099" t="s">
        <v>43</v>
      </c>
      <c r="AG7099" t="s">
        <v>43</v>
      </c>
      <c r="AH7099" t="s">
        <v>43</v>
      </c>
      <c r="AI7099" t="s">
        <v>43</v>
      </c>
      <c r="AJ7099" t="s">
        <v>43</v>
      </c>
      <c r="AK7099" t="s">
        <v>43</v>
      </c>
      <c r="AL7099" t="s">
        <v>43</v>
      </c>
      <c r="AM7099" t="s">
        <v>43</v>
      </c>
      <c r="AN7099" t="s">
        <v>43</v>
      </c>
    </row>
    <row r="7100" spans="1:40" x14ac:dyDescent="0.3">
      <c r="A7100" s="1">
        <v>46210.177546296298</v>
      </c>
      <c r="B7100" t="s">
        <v>40</v>
      </c>
      <c r="C7100" t="s">
        <v>41</v>
      </c>
      <c r="D7100" s="1">
        <v>46210.18041666667</v>
      </c>
      <c r="E7100" t="s">
        <v>42</v>
      </c>
      <c r="F7100" t="s">
        <v>43</v>
      </c>
      <c r="G7100" t="s">
        <v>43</v>
      </c>
      <c r="H7100" t="s">
        <v>43</v>
      </c>
      <c r="I7100" t="s">
        <v>3980</v>
      </c>
      <c r="J7100" t="s">
        <v>43</v>
      </c>
      <c r="K7100" t="s">
        <v>43</v>
      </c>
      <c r="L7100" t="s">
        <v>43</v>
      </c>
      <c r="M7100" t="s">
        <v>43</v>
      </c>
      <c r="N7100" t="s">
        <v>45</v>
      </c>
      <c r="O7100" t="s">
        <v>43</v>
      </c>
      <c r="P7100" t="s">
        <v>43</v>
      </c>
      <c r="Q7100" t="s">
        <v>43</v>
      </c>
      <c r="R7100" t="s">
        <v>43</v>
      </c>
      <c r="S7100" t="s">
        <v>43</v>
      </c>
      <c r="T7100" t="s">
        <v>43</v>
      </c>
      <c r="U7100" t="s">
        <v>43</v>
      </c>
      <c r="V7100" t="s">
        <v>43</v>
      </c>
      <c r="W7100" t="s">
        <v>43</v>
      </c>
      <c r="X7100" t="s">
        <v>43</v>
      </c>
      <c r="Y7100" t="s">
        <v>43</v>
      </c>
      <c r="Z7100" t="s">
        <v>43</v>
      </c>
      <c r="AA7100" t="s">
        <v>43</v>
      </c>
      <c r="AB7100" t="s">
        <v>43</v>
      </c>
      <c r="AC7100" t="s">
        <v>43</v>
      </c>
      <c r="AD7100" t="s">
        <v>43</v>
      </c>
      <c r="AE7100" t="s">
        <v>43</v>
      </c>
      <c r="AF7100" t="s">
        <v>43</v>
      </c>
      <c r="AG7100" t="s">
        <v>43</v>
      </c>
      <c r="AH7100" t="s">
        <v>43</v>
      </c>
      <c r="AI7100" t="s">
        <v>43</v>
      </c>
      <c r="AJ7100" t="s">
        <v>43</v>
      </c>
      <c r="AK7100" t="s">
        <v>43</v>
      </c>
      <c r="AL7100" t="s">
        <v>43</v>
      </c>
      <c r="AM7100" t="s">
        <v>43</v>
      </c>
      <c r="AN7100" t="str">
        <f>HYPERLINK("https://www.google.com/maps?q=10.78965092,79.5787735","Open Location")</f>
        <v>Open Location</v>
      </c>
    </row>
    <row r="7101" spans="1:40" x14ac:dyDescent="0.3">
      <c r="A7101" s="1">
        <v>46210.177430555559</v>
      </c>
      <c r="B7101" t="s">
        <v>40</v>
      </c>
      <c r="C7101" t="s">
        <v>41</v>
      </c>
      <c r="D7101" s="1">
        <v>46210.180069444446</v>
      </c>
      <c r="E7101" t="s">
        <v>42</v>
      </c>
      <c r="F7101" t="s">
        <v>43</v>
      </c>
      <c r="G7101" t="s">
        <v>43</v>
      </c>
      <c r="H7101" t="s">
        <v>43</v>
      </c>
      <c r="I7101" t="s">
        <v>4124</v>
      </c>
      <c r="J7101" t="s">
        <v>43</v>
      </c>
      <c r="K7101" t="s">
        <v>43</v>
      </c>
      <c r="L7101" t="s">
        <v>43</v>
      </c>
      <c r="M7101" t="s">
        <v>43</v>
      </c>
      <c r="N7101" t="s">
        <v>45</v>
      </c>
      <c r="O7101" t="s">
        <v>43</v>
      </c>
      <c r="P7101" t="s">
        <v>43</v>
      </c>
      <c r="Q7101" t="s">
        <v>43</v>
      </c>
      <c r="R7101" t="s">
        <v>43</v>
      </c>
      <c r="S7101" t="s">
        <v>43</v>
      </c>
      <c r="T7101" t="s">
        <v>43</v>
      </c>
      <c r="U7101" t="s">
        <v>43</v>
      </c>
      <c r="V7101" t="s">
        <v>43</v>
      </c>
      <c r="W7101" t="s">
        <v>43</v>
      </c>
      <c r="X7101" t="s">
        <v>43</v>
      </c>
      <c r="Y7101" t="s">
        <v>43</v>
      </c>
      <c r="Z7101" t="s">
        <v>43</v>
      </c>
      <c r="AA7101" t="s">
        <v>43</v>
      </c>
      <c r="AB7101" t="s">
        <v>43</v>
      </c>
      <c r="AC7101" t="s">
        <v>43</v>
      </c>
      <c r="AD7101" t="s">
        <v>43</v>
      </c>
      <c r="AE7101" t="s">
        <v>43</v>
      </c>
      <c r="AF7101" t="s">
        <v>43</v>
      </c>
      <c r="AG7101" t="s">
        <v>43</v>
      </c>
      <c r="AH7101" t="s">
        <v>43</v>
      </c>
      <c r="AI7101" t="s">
        <v>43</v>
      </c>
      <c r="AJ7101" t="s">
        <v>43</v>
      </c>
      <c r="AK7101" t="s">
        <v>43</v>
      </c>
      <c r="AL7101" t="s">
        <v>43</v>
      </c>
      <c r="AM7101" t="s">
        <v>43</v>
      </c>
      <c r="AN7101" t="str">
        <f>HYPERLINK("https://www.google.com/maps?q=10.78964901,79.5787735","Open Location")</f>
        <v>Open Location</v>
      </c>
    </row>
    <row r="7102" spans="1:40" x14ac:dyDescent="0.3">
      <c r="A7102" s="1">
        <v>46210.177314814813</v>
      </c>
      <c r="B7102" t="s">
        <v>40</v>
      </c>
      <c r="C7102" t="s">
        <v>41</v>
      </c>
      <c r="D7102" s="1">
        <v>46210.180439814816</v>
      </c>
      <c r="E7102" t="s">
        <v>42</v>
      </c>
      <c r="F7102" t="s">
        <v>43</v>
      </c>
      <c r="G7102" t="s">
        <v>43</v>
      </c>
      <c r="H7102" t="s">
        <v>43</v>
      </c>
      <c r="I7102" t="s">
        <v>3960</v>
      </c>
      <c r="J7102" t="s">
        <v>43</v>
      </c>
      <c r="K7102" t="s">
        <v>43</v>
      </c>
      <c r="L7102" t="s">
        <v>43</v>
      </c>
      <c r="M7102" t="s">
        <v>43</v>
      </c>
      <c r="N7102" t="s">
        <v>45</v>
      </c>
      <c r="O7102" t="s">
        <v>43</v>
      </c>
      <c r="P7102" t="s">
        <v>43</v>
      </c>
      <c r="Q7102" t="s">
        <v>43</v>
      </c>
      <c r="R7102" t="s">
        <v>43</v>
      </c>
      <c r="S7102" t="s">
        <v>43</v>
      </c>
      <c r="T7102" t="s">
        <v>43</v>
      </c>
      <c r="U7102" t="s">
        <v>43</v>
      </c>
      <c r="V7102" t="s">
        <v>43</v>
      </c>
      <c r="W7102" t="s">
        <v>43</v>
      </c>
      <c r="X7102" t="s">
        <v>43</v>
      </c>
      <c r="Y7102" t="s">
        <v>43</v>
      </c>
      <c r="Z7102" t="s">
        <v>43</v>
      </c>
      <c r="AA7102" t="s">
        <v>43</v>
      </c>
      <c r="AB7102" t="s">
        <v>43</v>
      </c>
      <c r="AC7102" t="s">
        <v>43</v>
      </c>
      <c r="AD7102" t="s">
        <v>43</v>
      </c>
      <c r="AE7102" t="s">
        <v>43</v>
      </c>
      <c r="AF7102" t="s">
        <v>43</v>
      </c>
      <c r="AG7102" t="s">
        <v>43</v>
      </c>
      <c r="AH7102" t="s">
        <v>43</v>
      </c>
      <c r="AI7102" t="s">
        <v>43</v>
      </c>
      <c r="AJ7102" t="s">
        <v>43</v>
      </c>
      <c r="AK7102" t="s">
        <v>43</v>
      </c>
      <c r="AL7102" t="s">
        <v>43</v>
      </c>
      <c r="AM7102" t="s">
        <v>43</v>
      </c>
      <c r="AN7102" t="str">
        <f>HYPERLINK("https://www.google.com/maps?q=10.78964996,79.57876587","Open Location")</f>
        <v>Open Location</v>
      </c>
    </row>
    <row r="7103" spans="1:40" x14ac:dyDescent="0.3">
      <c r="A7103" s="1">
        <v>46210.177199074074</v>
      </c>
      <c r="B7103" t="s">
        <v>40</v>
      </c>
      <c r="C7103" t="s">
        <v>41</v>
      </c>
      <c r="D7103" s="1">
        <v>46210.180034722223</v>
      </c>
      <c r="E7103" t="s">
        <v>42</v>
      </c>
      <c r="F7103" t="s">
        <v>43</v>
      </c>
      <c r="G7103" t="s">
        <v>43</v>
      </c>
      <c r="H7103" t="s">
        <v>43</v>
      </c>
      <c r="I7103" t="s">
        <v>4125</v>
      </c>
      <c r="J7103" t="s">
        <v>43</v>
      </c>
      <c r="K7103" t="s">
        <v>43</v>
      </c>
      <c r="L7103" t="s">
        <v>43</v>
      </c>
      <c r="M7103" t="s">
        <v>43</v>
      </c>
      <c r="N7103" t="s">
        <v>45</v>
      </c>
      <c r="O7103" t="s">
        <v>43</v>
      </c>
      <c r="P7103" t="s">
        <v>43</v>
      </c>
      <c r="Q7103" t="s">
        <v>43</v>
      </c>
      <c r="R7103" t="s">
        <v>43</v>
      </c>
      <c r="S7103" t="s">
        <v>43</v>
      </c>
      <c r="T7103" t="s">
        <v>43</v>
      </c>
      <c r="U7103" t="s">
        <v>43</v>
      </c>
      <c r="V7103" t="s">
        <v>43</v>
      </c>
      <c r="W7103" t="s">
        <v>43</v>
      </c>
      <c r="X7103" t="s">
        <v>43</v>
      </c>
      <c r="Y7103" t="s">
        <v>43</v>
      </c>
      <c r="Z7103" t="s">
        <v>43</v>
      </c>
      <c r="AA7103" t="s">
        <v>43</v>
      </c>
      <c r="AB7103" t="s">
        <v>43</v>
      </c>
      <c r="AC7103" t="s">
        <v>43</v>
      </c>
      <c r="AD7103" t="s">
        <v>43</v>
      </c>
      <c r="AE7103" t="s">
        <v>43</v>
      </c>
      <c r="AF7103" t="s">
        <v>43</v>
      </c>
      <c r="AG7103" t="s">
        <v>43</v>
      </c>
      <c r="AH7103" t="s">
        <v>43</v>
      </c>
      <c r="AI7103" t="s">
        <v>43</v>
      </c>
      <c r="AJ7103" t="s">
        <v>43</v>
      </c>
      <c r="AK7103" t="s">
        <v>43</v>
      </c>
      <c r="AL7103" t="s">
        <v>43</v>
      </c>
      <c r="AM7103" t="s">
        <v>43</v>
      </c>
      <c r="AN7103" t="str">
        <f>HYPERLINK("https://www.google.com/maps?q=10.78964996,79.57875824","Open Location")</f>
        <v>Open Location</v>
      </c>
    </row>
    <row r="7104" spans="1:40" x14ac:dyDescent="0.3">
      <c r="A7104" s="1">
        <v>46210.177083333336</v>
      </c>
      <c r="B7104" t="s">
        <v>40</v>
      </c>
      <c r="C7104" t="s">
        <v>41</v>
      </c>
      <c r="D7104" s="1">
        <v>46210.18</v>
      </c>
      <c r="E7104" t="s">
        <v>42</v>
      </c>
      <c r="F7104" t="s">
        <v>43</v>
      </c>
      <c r="G7104" t="s">
        <v>43</v>
      </c>
      <c r="H7104" t="s">
        <v>43</v>
      </c>
      <c r="I7104" t="s">
        <v>4126</v>
      </c>
      <c r="J7104" t="s">
        <v>43</v>
      </c>
      <c r="K7104" t="s">
        <v>43</v>
      </c>
      <c r="L7104" t="s">
        <v>43</v>
      </c>
      <c r="M7104" t="s">
        <v>43</v>
      </c>
      <c r="N7104" t="s">
        <v>45</v>
      </c>
      <c r="O7104" t="s">
        <v>43</v>
      </c>
      <c r="P7104" t="s">
        <v>43</v>
      </c>
      <c r="Q7104" t="s">
        <v>43</v>
      </c>
      <c r="R7104" t="s">
        <v>43</v>
      </c>
      <c r="S7104" t="s">
        <v>43</v>
      </c>
      <c r="T7104" t="s">
        <v>43</v>
      </c>
      <c r="U7104" t="s">
        <v>43</v>
      </c>
      <c r="V7104" t="s">
        <v>43</v>
      </c>
      <c r="W7104" t="s">
        <v>43</v>
      </c>
      <c r="X7104" t="s">
        <v>43</v>
      </c>
      <c r="Y7104" t="s">
        <v>43</v>
      </c>
      <c r="Z7104" t="s">
        <v>43</v>
      </c>
      <c r="AA7104" t="s">
        <v>43</v>
      </c>
      <c r="AB7104" t="s">
        <v>43</v>
      </c>
      <c r="AC7104" t="s">
        <v>43</v>
      </c>
      <c r="AD7104" t="s">
        <v>43</v>
      </c>
      <c r="AE7104" t="s">
        <v>43</v>
      </c>
      <c r="AF7104" t="s">
        <v>43</v>
      </c>
      <c r="AG7104" t="s">
        <v>43</v>
      </c>
      <c r="AH7104" t="s">
        <v>43</v>
      </c>
      <c r="AI7104" t="s">
        <v>43</v>
      </c>
      <c r="AJ7104" t="s">
        <v>43</v>
      </c>
      <c r="AK7104" t="s">
        <v>43</v>
      </c>
      <c r="AL7104" t="s">
        <v>43</v>
      </c>
      <c r="AM7104" t="s">
        <v>43</v>
      </c>
      <c r="AN7104" t="str">
        <f>HYPERLINK("https://www.google.com/maps?q=10.78964329,79.57875824","Open Location")</f>
        <v>Open Location</v>
      </c>
    </row>
    <row r="7105" spans="1:40" x14ac:dyDescent="0.3">
      <c r="A7105" s="1">
        <v>46210.17696759259</v>
      </c>
      <c r="B7105" t="s">
        <v>40</v>
      </c>
      <c r="C7105" t="s">
        <v>41</v>
      </c>
      <c r="D7105" s="1">
        <v>46210.179664351854</v>
      </c>
      <c r="E7105" t="s">
        <v>42</v>
      </c>
      <c r="F7105" t="s">
        <v>43</v>
      </c>
      <c r="G7105" t="s">
        <v>43</v>
      </c>
      <c r="H7105" t="s">
        <v>43</v>
      </c>
      <c r="I7105" t="s">
        <v>43</v>
      </c>
      <c r="J7105" t="s">
        <v>43</v>
      </c>
      <c r="K7105" t="s">
        <v>43</v>
      </c>
      <c r="L7105" t="s">
        <v>43</v>
      </c>
      <c r="M7105" t="s">
        <v>43</v>
      </c>
      <c r="N7105" t="s">
        <v>45</v>
      </c>
      <c r="O7105" t="s">
        <v>43</v>
      </c>
      <c r="P7105" t="s">
        <v>43</v>
      </c>
      <c r="Q7105" t="s">
        <v>43</v>
      </c>
      <c r="R7105" t="s">
        <v>43</v>
      </c>
      <c r="S7105" t="s">
        <v>43</v>
      </c>
      <c r="T7105" t="s">
        <v>43</v>
      </c>
      <c r="U7105" t="s">
        <v>43</v>
      </c>
      <c r="V7105" t="s">
        <v>43</v>
      </c>
      <c r="W7105" t="s">
        <v>43</v>
      </c>
      <c r="X7105" t="s">
        <v>43</v>
      </c>
      <c r="Y7105" t="s">
        <v>43</v>
      </c>
      <c r="Z7105" t="s">
        <v>43</v>
      </c>
      <c r="AA7105" t="s">
        <v>43</v>
      </c>
      <c r="AB7105" t="s">
        <v>43</v>
      </c>
      <c r="AC7105" t="s">
        <v>43</v>
      </c>
      <c r="AD7105" t="s">
        <v>43</v>
      </c>
      <c r="AE7105" t="s">
        <v>43</v>
      </c>
      <c r="AF7105" t="s">
        <v>43</v>
      </c>
      <c r="AG7105" t="s">
        <v>43</v>
      </c>
      <c r="AH7105" t="s">
        <v>43</v>
      </c>
      <c r="AI7105" t="s">
        <v>43</v>
      </c>
      <c r="AJ7105" t="s">
        <v>43</v>
      </c>
      <c r="AK7105" t="s">
        <v>43</v>
      </c>
      <c r="AL7105" t="s">
        <v>43</v>
      </c>
      <c r="AM7105" t="s">
        <v>43</v>
      </c>
      <c r="AN7105" t="s">
        <v>43</v>
      </c>
    </row>
    <row r="7106" spans="1:40" x14ac:dyDescent="0.3">
      <c r="A7106" s="1">
        <v>46210.176851851851</v>
      </c>
      <c r="B7106" t="s">
        <v>40</v>
      </c>
      <c r="C7106" t="s">
        <v>41</v>
      </c>
      <c r="D7106" s="1">
        <v>46210.179675925923</v>
      </c>
      <c r="E7106" t="s">
        <v>42</v>
      </c>
      <c r="F7106" t="s">
        <v>43</v>
      </c>
      <c r="G7106" t="s">
        <v>43</v>
      </c>
      <c r="H7106" t="s">
        <v>43</v>
      </c>
      <c r="I7106" t="s">
        <v>4127</v>
      </c>
      <c r="J7106" t="s">
        <v>43</v>
      </c>
      <c r="K7106" t="s">
        <v>43</v>
      </c>
      <c r="L7106" t="s">
        <v>43</v>
      </c>
      <c r="M7106" t="s">
        <v>43</v>
      </c>
      <c r="N7106" t="s">
        <v>45</v>
      </c>
      <c r="O7106" t="s">
        <v>43</v>
      </c>
      <c r="P7106" t="s">
        <v>43</v>
      </c>
      <c r="Q7106" t="s">
        <v>43</v>
      </c>
      <c r="R7106" t="s">
        <v>43</v>
      </c>
      <c r="S7106" t="s">
        <v>43</v>
      </c>
      <c r="T7106" t="s">
        <v>43</v>
      </c>
      <c r="U7106" t="s">
        <v>43</v>
      </c>
      <c r="V7106" t="s">
        <v>43</v>
      </c>
      <c r="W7106" t="s">
        <v>43</v>
      </c>
      <c r="X7106" t="s">
        <v>43</v>
      </c>
      <c r="Y7106" t="s">
        <v>43</v>
      </c>
      <c r="Z7106" t="s">
        <v>43</v>
      </c>
      <c r="AA7106" t="s">
        <v>43</v>
      </c>
      <c r="AB7106" t="s">
        <v>43</v>
      </c>
      <c r="AC7106" t="s">
        <v>43</v>
      </c>
      <c r="AD7106" t="s">
        <v>43</v>
      </c>
      <c r="AE7106" t="s">
        <v>43</v>
      </c>
      <c r="AF7106" t="s">
        <v>43</v>
      </c>
      <c r="AG7106" t="s">
        <v>43</v>
      </c>
      <c r="AH7106" t="s">
        <v>43</v>
      </c>
      <c r="AI7106" t="s">
        <v>43</v>
      </c>
      <c r="AJ7106" t="s">
        <v>43</v>
      </c>
      <c r="AK7106" t="s">
        <v>43</v>
      </c>
      <c r="AL7106" t="s">
        <v>43</v>
      </c>
      <c r="AM7106" t="s">
        <v>43</v>
      </c>
      <c r="AN7106" t="str">
        <f>HYPERLINK("https://www.google.com/maps?q=10.78964233,79.57875824","Open Location")</f>
        <v>Open Location</v>
      </c>
    </row>
    <row r="7107" spans="1:40" x14ac:dyDescent="0.3">
      <c r="A7107" s="1">
        <v>46210.176736111112</v>
      </c>
      <c r="B7107" t="s">
        <v>40</v>
      </c>
      <c r="C7107" t="s">
        <v>41</v>
      </c>
      <c r="D7107" s="1">
        <v>46210.179675925923</v>
      </c>
      <c r="E7107" t="s">
        <v>42</v>
      </c>
      <c r="F7107" t="s">
        <v>43</v>
      </c>
      <c r="G7107" t="s">
        <v>43</v>
      </c>
      <c r="H7107" t="s">
        <v>43</v>
      </c>
      <c r="I7107" t="s">
        <v>4128</v>
      </c>
      <c r="J7107" t="s">
        <v>43</v>
      </c>
      <c r="K7107" t="s">
        <v>43</v>
      </c>
      <c r="L7107" t="s">
        <v>43</v>
      </c>
      <c r="M7107" t="s">
        <v>43</v>
      </c>
      <c r="N7107" t="s">
        <v>45</v>
      </c>
      <c r="O7107" t="s">
        <v>43</v>
      </c>
      <c r="P7107" t="s">
        <v>43</v>
      </c>
      <c r="Q7107" t="s">
        <v>43</v>
      </c>
      <c r="R7107" t="s">
        <v>43</v>
      </c>
      <c r="S7107" t="s">
        <v>43</v>
      </c>
      <c r="T7107" t="s">
        <v>43</v>
      </c>
      <c r="U7107" t="s">
        <v>43</v>
      </c>
      <c r="V7107" t="s">
        <v>43</v>
      </c>
      <c r="W7107" t="s">
        <v>43</v>
      </c>
      <c r="X7107" t="s">
        <v>43</v>
      </c>
      <c r="Y7107" t="s">
        <v>43</v>
      </c>
      <c r="Z7107" t="s">
        <v>43</v>
      </c>
      <c r="AA7107" t="s">
        <v>43</v>
      </c>
      <c r="AB7107" t="s">
        <v>43</v>
      </c>
      <c r="AC7107" t="s">
        <v>43</v>
      </c>
      <c r="AD7107" t="s">
        <v>43</v>
      </c>
      <c r="AE7107" t="s">
        <v>43</v>
      </c>
      <c r="AF7107" t="s">
        <v>43</v>
      </c>
      <c r="AG7107" t="s">
        <v>43</v>
      </c>
      <c r="AH7107" t="s">
        <v>43</v>
      </c>
      <c r="AI7107" t="s">
        <v>43</v>
      </c>
      <c r="AJ7107" t="s">
        <v>43</v>
      </c>
      <c r="AK7107" t="s">
        <v>43</v>
      </c>
      <c r="AL7107" t="s">
        <v>43</v>
      </c>
      <c r="AM7107" t="s">
        <v>43</v>
      </c>
      <c r="AN7107" t="str">
        <f>HYPERLINK("https://www.google.com/maps?q=10.78964043,79.57876587","Open Location")</f>
        <v>Open Location</v>
      </c>
    </row>
    <row r="7108" spans="1:40" x14ac:dyDescent="0.3">
      <c r="A7108" s="1">
        <v>46210.176620370374</v>
      </c>
      <c r="B7108" t="s">
        <v>40</v>
      </c>
      <c r="C7108" t="s">
        <v>41</v>
      </c>
      <c r="D7108" s="1">
        <v>46210.179675925923</v>
      </c>
      <c r="E7108" t="s">
        <v>42</v>
      </c>
      <c r="F7108" t="s">
        <v>43</v>
      </c>
      <c r="G7108" t="s">
        <v>43</v>
      </c>
      <c r="H7108" t="s">
        <v>43</v>
      </c>
      <c r="I7108" t="s">
        <v>4129</v>
      </c>
      <c r="J7108" t="s">
        <v>43</v>
      </c>
      <c r="K7108" t="s">
        <v>43</v>
      </c>
      <c r="L7108" t="s">
        <v>43</v>
      </c>
      <c r="M7108" t="s">
        <v>43</v>
      </c>
      <c r="N7108" t="s">
        <v>45</v>
      </c>
      <c r="O7108" t="s">
        <v>43</v>
      </c>
      <c r="P7108" t="s">
        <v>43</v>
      </c>
      <c r="Q7108" t="s">
        <v>43</v>
      </c>
      <c r="R7108" t="s">
        <v>43</v>
      </c>
      <c r="S7108" t="s">
        <v>43</v>
      </c>
      <c r="T7108" t="s">
        <v>43</v>
      </c>
      <c r="U7108" t="s">
        <v>43</v>
      </c>
      <c r="V7108" t="s">
        <v>43</v>
      </c>
      <c r="W7108" t="s">
        <v>43</v>
      </c>
      <c r="X7108" t="s">
        <v>43</v>
      </c>
      <c r="Y7108" t="s">
        <v>43</v>
      </c>
      <c r="Z7108" t="s">
        <v>43</v>
      </c>
      <c r="AA7108" t="s">
        <v>43</v>
      </c>
      <c r="AB7108" t="s">
        <v>43</v>
      </c>
      <c r="AC7108" t="s">
        <v>43</v>
      </c>
      <c r="AD7108" t="s">
        <v>43</v>
      </c>
      <c r="AE7108" t="s">
        <v>43</v>
      </c>
      <c r="AF7108" t="s">
        <v>43</v>
      </c>
      <c r="AG7108" t="s">
        <v>43</v>
      </c>
      <c r="AH7108" t="s">
        <v>43</v>
      </c>
      <c r="AI7108" t="s">
        <v>43</v>
      </c>
      <c r="AJ7108" t="s">
        <v>43</v>
      </c>
      <c r="AK7108" t="s">
        <v>43</v>
      </c>
      <c r="AL7108" t="s">
        <v>43</v>
      </c>
      <c r="AM7108" t="s">
        <v>43</v>
      </c>
      <c r="AN7108" t="str">
        <f>HYPERLINK("https://www.google.com/maps?q=10.78963375,79.5787735","Open Location")</f>
        <v>Open Location</v>
      </c>
    </row>
    <row r="7109" spans="1:40" x14ac:dyDescent="0.3">
      <c r="A7109" s="1">
        <v>46210.176504629628</v>
      </c>
      <c r="B7109" t="s">
        <v>40</v>
      </c>
      <c r="C7109" t="s">
        <v>41</v>
      </c>
      <c r="D7109" s="1">
        <v>46210.179270833331</v>
      </c>
      <c r="E7109" t="s">
        <v>42</v>
      </c>
      <c r="F7109" t="s">
        <v>43</v>
      </c>
      <c r="G7109" t="s">
        <v>43</v>
      </c>
      <c r="H7109" t="s">
        <v>43</v>
      </c>
      <c r="I7109" t="s">
        <v>4129</v>
      </c>
      <c r="J7109" t="s">
        <v>43</v>
      </c>
      <c r="K7109" t="s">
        <v>43</v>
      </c>
      <c r="L7109" t="s">
        <v>43</v>
      </c>
      <c r="M7109" t="s">
        <v>43</v>
      </c>
      <c r="N7109" t="s">
        <v>45</v>
      </c>
      <c r="O7109" t="s">
        <v>43</v>
      </c>
      <c r="P7109" t="s">
        <v>43</v>
      </c>
      <c r="Q7109" t="s">
        <v>43</v>
      </c>
      <c r="R7109" t="s">
        <v>43</v>
      </c>
      <c r="S7109" t="s">
        <v>43</v>
      </c>
      <c r="T7109" t="s">
        <v>43</v>
      </c>
      <c r="U7109" t="s">
        <v>43</v>
      </c>
      <c r="V7109" t="s">
        <v>43</v>
      </c>
      <c r="W7109" t="s">
        <v>43</v>
      </c>
      <c r="X7109" t="s">
        <v>43</v>
      </c>
      <c r="Y7109" t="s">
        <v>43</v>
      </c>
      <c r="Z7109" t="s">
        <v>43</v>
      </c>
      <c r="AA7109" t="s">
        <v>43</v>
      </c>
      <c r="AB7109" t="s">
        <v>43</v>
      </c>
      <c r="AC7109" t="s">
        <v>43</v>
      </c>
      <c r="AD7109" t="s">
        <v>43</v>
      </c>
      <c r="AE7109" t="s">
        <v>43</v>
      </c>
      <c r="AF7109" t="s">
        <v>43</v>
      </c>
      <c r="AG7109" t="s">
        <v>43</v>
      </c>
      <c r="AH7109" t="s">
        <v>43</v>
      </c>
      <c r="AI7109" t="s">
        <v>43</v>
      </c>
      <c r="AJ7109" t="s">
        <v>43</v>
      </c>
      <c r="AK7109" t="s">
        <v>43</v>
      </c>
      <c r="AL7109" t="s">
        <v>43</v>
      </c>
      <c r="AM7109" t="s">
        <v>43</v>
      </c>
      <c r="AN7109" t="str">
        <f>HYPERLINK("https://www.google.com/maps?q=10.78963375,79.5787735","Open Location")</f>
        <v>Open Location</v>
      </c>
    </row>
    <row r="7110" spans="1:40" x14ac:dyDescent="0.3">
      <c r="A7110" s="1">
        <v>46210.176388888889</v>
      </c>
      <c r="B7110" t="s">
        <v>40</v>
      </c>
      <c r="C7110" t="s">
        <v>41</v>
      </c>
      <c r="D7110" s="1">
        <v>46210.179247685184</v>
      </c>
      <c r="E7110" t="s">
        <v>42</v>
      </c>
      <c r="F7110" t="s">
        <v>43</v>
      </c>
      <c r="G7110" t="s">
        <v>43</v>
      </c>
      <c r="H7110" t="s">
        <v>43</v>
      </c>
      <c r="I7110" t="s">
        <v>43</v>
      </c>
      <c r="J7110" t="s">
        <v>43</v>
      </c>
      <c r="K7110" t="s">
        <v>43</v>
      </c>
      <c r="L7110" t="s">
        <v>43</v>
      </c>
      <c r="M7110" t="s">
        <v>43</v>
      </c>
      <c r="N7110" t="s">
        <v>45</v>
      </c>
      <c r="O7110" t="s">
        <v>43</v>
      </c>
      <c r="P7110" t="s">
        <v>43</v>
      </c>
      <c r="Q7110" t="s">
        <v>43</v>
      </c>
      <c r="R7110" t="s">
        <v>43</v>
      </c>
      <c r="S7110" t="s">
        <v>43</v>
      </c>
      <c r="T7110" t="s">
        <v>43</v>
      </c>
      <c r="U7110" t="s">
        <v>43</v>
      </c>
      <c r="V7110" t="s">
        <v>43</v>
      </c>
      <c r="W7110" t="s">
        <v>43</v>
      </c>
      <c r="X7110" t="s">
        <v>43</v>
      </c>
      <c r="Y7110" t="s">
        <v>43</v>
      </c>
      <c r="Z7110" t="s">
        <v>43</v>
      </c>
      <c r="AA7110" t="s">
        <v>43</v>
      </c>
      <c r="AB7110" t="s">
        <v>43</v>
      </c>
      <c r="AC7110" t="s">
        <v>43</v>
      </c>
      <c r="AD7110" t="s">
        <v>43</v>
      </c>
      <c r="AE7110" t="s">
        <v>43</v>
      </c>
      <c r="AF7110" t="s">
        <v>43</v>
      </c>
      <c r="AG7110" t="s">
        <v>43</v>
      </c>
      <c r="AH7110" t="s">
        <v>43</v>
      </c>
      <c r="AI7110" t="s">
        <v>43</v>
      </c>
      <c r="AJ7110" t="s">
        <v>43</v>
      </c>
      <c r="AK7110" t="s">
        <v>43</v>
      </c>
      <c r="AL7110" t="s">
        <v>43</v>
      </c>
      <c r="AM7110" t="s">
        <v>43</v>
      </c>
      <c r="AN7110" t="s">
        <v>43</v>
      </c>
    </row>
    <row r="7111" spans="1:40" x14ac:dyDescent="0.3">
      <c r="A7111" s="1">
        <v>46210.17627314815</v>
      </c>
      <c r="B7111" t="s">
        <v>40</v>
      </c>
      <c r="C7111" t="s">
        <v>41</v>
      </c>
      <c r="D7111" s="1">
        <v>46210.179328703707</v>
      </c>
      <c r="E7111" t="s">
        <v>42</v>
      </c>
      <c r="F7111" t="s">
        <v>43</v>
      </c>
      <c r="G7111" t="s">
        <v>43</v>
      </c>
      <c r="H7111" t="s">
        <v>43</v>
      </c>
      <c r="I7111" t="s">
        <v>4130</v>
      </c>
      <c r="J7111" t="s">
        <v>43</v>
      </c>
      <c r="K7111" t="s">
        <v>43</v>
      </c>
      <c r="L7111" t="s">
        <v>43</v>
      </c>
      <c r="M7111" t="s">
        <v>43</v>
      </c>
      <c r="N7111" t="s">
        <v>45</v>
      </c>
      <c r="O7111" t="s">
        <v>43</v>
      </c>
      <c r="P7111" t="s">
        <v>43</v>
      </c>
      <c r="Q7111" t="s">
        <v>43</v>
      </c>
      <c r="R7111" t="s">
        <v>43</v>
      </c>
      <c r="S7111" t="s">
        <v>43</v>
      </c>
      <c r="T7111" t="s">
        <v>43</v>
      </c>
      <c r="U7111" t="s">
        <v>43</v>
      </c>
      <c r="V7111" t="s">
        <v>43</v>
      </c>
      <c r="W7111" t="s">
        <v>43</v>
      </c>
      <c r="X7111" t="s">
        <v>43</v>
      </c>
      <c r="Y7111" t="s">
        <v>43</v>
      </c>
      <c r="Z7111" t="s">
        <v>43</v>
      </c>
      <c r="AA7111" t="s">
        <v>43</v>
      </c>
      <c r="AB7111" t="s">
        <v>43</v>
      </c>
      <c r="AC7111" t="s">
        <v>43</v>
      </c>
      <c r="AD7111" t="s">
        <v>43</v>
      </c>
      <c r="AE7111" t="s">
        <v>43</v>
      </c>
      <c r="AF7111" t="s">
        <v>43</v>
      </c>
      <c r="AG7111" t="s">
        <v>43</v>
      </c>
      <c r="AH7111" t="s">
        <v>43</v>
      </c>
      <c r="AI7111" t="s">
        <v>43</v>
      </c>
      <c r="AJ7111" t="s">
        <v>43</v>
      </c>
      <c r="AK7111" t="s">
        <v>43</v>
      </c>
      <c r="AL7111" t="s">
        <v>43</v>
      </c>
      <c r="AM7111" t="s">
        <v>43</v>
      </c>
      <c r="AN7111" t="str">
        <f>HYPERLINK("https://www.google.com/maps?q=10.78962803,79.57878113","Open Location")</f>
        <v>Open Location</v>
      </c>
    </row>
    <row r="7112" spans="1:40" x14ac:dyDescent="0.3">
      <c r="A7112" s="1">
        <v>46210.176157407404</v>
      </c>
      <c r="B7112" t="s">
        <v>40</v>
      </c>
      <c r="C7112" t="s">
        <v>41</v>
      </c>
      <c r="D7112" s="1">
        <v>46210.17931712963</v>
      </c>
      <c r="E7112" t="s">
        <v>42</v>
      </c>
      <c r="F7112" t="s">
        <v>43</v>
      </c>
      <c r="G7112" t="s">
        <v>43</v>
      </c>
      <c r="H7112" t="s">
        <v>43</v>
      </c>
      <c r="I7112" t="s">
        <v>4131</v>
      </c>
      <c r="J7112" t="s">
        <v>43</v>
      </c>
      <c r="K7112" t="s">
        <v>43</v>
      </c>
      <c r="L7112" t="s">
        <v>43</v>
      </c>
      <c r="M7112" t="s">
        <v>43</v>
      </c>
      <c r="N7112" t="s">
        <v>45</v>
      </c>
      <c r="O7112" t="s">
        <v>43</v>
      </c>
      <c r="P7112" t="s">
        <v>43</v>
      </c>
      <c r="Q7112" t="s">
        <v>43</v>
      </c>
      <c r="R7112" t="s">
        <v>43</v>
      </c>
      <c r="S7112" t="s">
        <v>43</v>
      </c>
      <c r="T7112" t="s">
        <v>43</v>
      </c>
      <c r="U7112" t="s">
        <v>43</v>
      </c>
      <c r="V7112" t="s">
        <v>43</v>
      </c>
      <c r="W7112" t="s">
        <v>43</v>
      </c>
      <c r="X7112" t="s">
        <v>43</v>
      </c>
      <c r="Y7112" t="s">
        <v>43</v>
      </c>
      <c r="Z7112" t="s">
        <v>43</v>
      </c>
      <c r="AA7112" t="s">
        <v>43</v>
      </c>
      <c r="AB7112" t="s">
        <v>43</v>
      </c>
      <c r="AC7112" t="s">
        <v>43</v>
      </c>
      <c r="AD7112" t="s">
        <v>43</v>
      </c>
      <c r="AE7112" t="s">
        <v>43</v>
      </c>
      <c r="AF7112" t="s">
        <v>43</v>
      </c>
      <c r="AG7112" t="s">
        <v>43</v>
      </c>
      <c r="AH7112" t="s">
        <v>43</v>
      </c>
      <c r="AI7112" t="s">
        <v>43</v>
      </c>
      <c r="AJ7112" t="s">
        <v>43</v>
      </c>
      <c r="AK7112" t="s">
        <v>43</v>
      </c>
      <c r="AL7112" t="s">
        <v>43</v>
      </c>
      <c r="AM7112" t="s">
        <v>43</v>
      </c>
      <c r="AN7112" t="str">
        <f>HYPERLINK("https://www.google.com/maps?q=10.78962231,79.57878876","Open Location")</f>
        <v>Open Location</v>
      </c>
    </row>
    <row r="7113" spans="1:40" x14ac:dyDescent="0.3">
      <c r="A7113" s="1">
        <v>46210.176041666666</v>
      </c>
      <c r="B7113" t="s">
        <v>40</v>
      </c>
      <c r="C7113" t="s">
        <v>41</v>
      </c>
      <c r="D7113" s="1">
        <v>46210.17895833333</v>
      </c>
      <c r="E7113" t="s">
        <v>42</v>
      </c>
      <c r="F7113" t="s">
        <v>43</v>
      </c>
      <c r="G7113" t="s">
        <v>43</v>
      </c>
      <c r="H7113" t="s">
        <v>43</v>
      </c>
      <c r="I7113" t="s">
        <v>4132</v>
      </c>
      <c r="J7113" t="s">
        <v>43</v>
      </c>
      <c r="K7113" t="s">
        <v>43</v>
      </c>
      <c r="L7113" t="s">
        <v>43</v>
      </c>
      <c r="M7113" t="s">
        <v>43</v>
      </c>
      <c r="N7113" t="s">
        <v>45</v>
      </c>
      <c r="O7113" t="s">
        <v>43</v>
      </c>
      <c r="P7113" t="s">
        <v>43</v>
      </c>
      <c r="Q7113" t="s">
        <v>43</v>
      </c>
      <c r="R7113" t="s">
        <v>43</v>
      </c>
      <c r="S7113" t="s">
        <v>43</v>
      </c>
      <c r="T7113" t="s">
        <v>43</v>
      </c>
      <c r="U7113" t="s">
        <v>43</v>
      </c>
      <c r="V7113" t="s">
        <v>43</v>
      </c>
      <c r="W7113" t="s">
        <v>43</v>
      </c>
      <c r="X7113" t="s">
        <v>43</v>
      </c>
      <c r="Y7113" t="s">
        <v>43</v>
      </c>
      <c r="Z7113" t="s">
        <v>43</v>
      </c>
      <c r="AA7113" t="s">
        <v>43</v>
      </c>
      <c r="AB7113" t="s">
        <v>43</v>
      </c>
      <c r="AC7113" t="s">
        <v>43</v>
      </c>
      <c r="AD7113" t="s">
        <v>43</v>
      </c>
      <c r="AE7113" t="s">
        <v>43</v>
      </c>
      <c r="AF7113" t="s">
        <v>43</v>
      </c>
      <c r="AG7113" t="s">
        <v>43</v>
      </c>
      <c r="AH7113" t="s">
        <v>43</v>
      </c>
      <c r="AI7113" t="s">
        <v>43</v>
      </c>
      <c r="AJ7113" t="s">
        <v>43</v>
      </c>
      <c r="AK7113" t="s">
        <v>43</v>
      </c>
      <c r="AL7113" t="s">
        <v>43</v>
      </c>
      <c r="AM7113" t="s">
        <v>43</v>
      </c>
      <c r="AN7113" t="str">
        <f>HYPERLINK("https://www.google.com/maps?q=10.78961086,79.57879639","Open Location")</f>
        <v>Open Location</v>
      </c>
    </row>
    <row r="7114" spans="1:40" x14ac:dyDescent="0.3">
      <c r="A7114" s="1">
        <v>46210.175925925927</v>
      </c>
      <c r="B7114" t="s">
        <v>40</v>
      </c>
      <c r="C7114" t="s">
        <v>41</v>
      </c>
      <c r="D7114" s="1">
        <v>46210.17895833333</v>
      </c>
      <c r="E7114" t="s">
        <v>42</v>
      </c>
      <c r="F7114" t="s">
        <v>43</v>
      </c>
      <c r="G7114" t="s">
        <v>43</v>
      </c>
      <c r="H7114" t="s">
        <v>43</v>
      </c>
      <c r="I7114" t="s">
        <v>4133</v>
      </c>
      <c r="J7114" t="s">
        <v>43</v>
      </c>
      <c r="K7114" t="s">
        <v>43</v>
      </c>
      <c r="L7114" t="s">
        <v>43</v>
      </c>
      <c r="M7114" t="s">
        <v>43</v>
      </c>
      <c r="N7114" t="s">
        <v>45</v>
      </c>
      <c r="O7114" t="s">
        <v>43</v>
      </c>
      <c r="P7114" t="s">
        <v>43</v>
      </c>
      <c r="Q7114" t="s">
        <v>43</v>
      </c>
      <c r="R7114" t="s">
        <v>43</v>
      </c>
      <c r="S7114" t="s">
        <v>43</v>
      </c>
      <c r="T7114" t="s">
        <v>43</v>
      </c>
      <c r="U7114" t="s">
        <v>43</v>
      </c>
      <c r="V7114" t="s">
        <v>43</v>
      </c>
      <c r="W7114" t="s">
        <v>43</v>
      </c>
      <c r="X7114" t="s">
        <v>43</v>
      </c>
      <c r="Y7114" t="s">
        <v>43</v>
      </c>
      <c r="Z7114" t="s">
        <v>43</v>
      </c>
      <c r="AA7114" t="s">
        <v>43</v>
      </c>
      <c r="AB7114" t="s">
        <v>43</v>
      </c>
      <c r="AC7114" t="s">
        <v>43</v>
      </c>
      <c r="AD7114" t="s">
        <v>43</v>
      </c>
      <c r="AE7114" t="s">
        <v>43</v>
      </c>
      <c r="AF7114" t="s">
        <v>43</v>
      </c>
      <c r="AG7114" t="s">
        <v>43</v>
      </c>
      <c r="AH7114" t="s">
        <v>43</v>
      </c>
      <c r="AI7114" t="s">
        <v>43</v>
      </c>
      <c r="AJ7114" t="s">
        <v>43</v>
      </c>
      <c r="AK7114" t="s">
        <v>43</v>
      </c>
      <c r="AL7114" t="s">
        <v>43</v>
      </c>
      <c r="AM7114" t="s">
        <v>43</v>
      </c>
      <c r="AN7114" t="str">
        <f>HYPERLINK("https://www.google.com/maps?q=10.78960514,79.57879639","Open Location")</f>
        <v>Open Location</v>
      </c>
    </row>
    <row r="7115" spans="1:40" x14ac:dyDescent="0.3">
      <c r="A7115" s="1">
        <v>46210.175810185188</v>
      </c>
      <c r="B7115" t="s">
        <v>40</v>
      </c>
      <c r="C7115" t="s">
        <v>41</v>
      </c>
      <c r="D7115" s="1">
        <v>46210.178587962961</v>
      </c>
      <c r="E7115" t="s">
        <v>42</v>
      </c>
      <c r="F7115" t="s">
        <v>43</v>
      </c>
      <c r="G7115" t="s">
        <v>43</v>
      </c>
      <c r="H7115" t="s">
        <v>43</v>
      </c>
      <c r="I7115" t="s">
        <v>4133</v>
      </c>
      <c r="J7115" t="s">
        <v>43</v>
      </c>
      <c r="K7115" t="s">
        <v>43</v>
      </c>
      <c r="L7115" t="s">
        <v>43</v>
      </c>
      <c r="M7115" t="s">
        <v>43</v>
      </c>
      <c r="N7115" t="s">
        <v>45</v>
      </c>
      <c r="O7115" t="s">
        <v>43</v>
      </c>
      <c r="P7115" t="s">
        <v>43</v>
      </c>
      <c r="Q7115" t="s">
        <v>43</v>
      </c>
      <c r="R7115" t="s">
        <v>43</v>
      </c>
      <c r="S7115" t="s">
        <v>43</v>
      </c>
      <c r="T7115" t="s">
        <v>43</v>
      </c>
      <c r="U7115" t="s">
        <v>43</v>
      </c>
      <c r="V7115" t="s">
        <v>43</v>
      </c>
      <c r="W7115" t="s">
        <v>43</v>
      </c>
      <c r="X7115" t="s">
        <v>43</v>
      </c>
      <c r="Y7115" t="s">
        <v>43</v>
      </c>
      <c r="Z7115" t="s">
        <v>43</v>
      </c>
      <c r="AA7115" t="s">
        <v>43</v>
      </c>
      <c r="AB7115" t="s">
        <v>43</v>
      </c>
      <c r="AC7115" t="s">
        <v>43</v>
      </c>
      <c r="AD7115" t="s">
        <v>43</v>
      </c>
      <c r="AE7115" t="s">
        <v>43</v>
      </c>
      <c r="AF7115" t="s">
        <v>43</v>
      </c>
      <c r="AG7115" t="s">
        <v>43</v>
      </c>
      <c r="AH7115" t="s">
        <v>43</v>
      </c>
      <c r="AI7115" t="s">
        <v>43</v>
      </c>
      <c r="AJ7115" t="s">
        <v>43</v>
      </c>
      <c r="AK7115" t="s">
        <v>43</v>
      </c>
      <c r="AL7115" t="s">
        <v>43</v>
      </c>
      <c r="AM7115" t="s">
        <v>43</v>
      </c>
      <c r="AN7115" t="str">
        <f>HYPERLINK("https://www.google.com/maps?q=10.78960514,79.57879639","Open Location")</f>
        <v>Open Location</v>
      </c>
    </row>
    <row r="7116" spans="1:40" x14ac:dyDescent="0.3">
      <c r="A7116" s="1">
        <v>46210.175694444442</v>
      </c>
      <c r="B7116" t="s">
        <v>40</v>
      </c>
      <c r="C7116" t="s">
        <v>41</v>
      </c>
      <c r="D7116" s="1">
        <v>46210.178587962961</v>
      </c>
      <c r="E7116" t="s">
        <v>42</v>
      </c>
      <c r="F7116" t="s">
        <v>43</v>
      </c>
      <c r="G7116" t="s">
        <v>43</v>
      </c>
      <c r="H7116" t="s">
        <v>43</v>
      </c>
      <c r="I7116" t="s">
        <v>43</v>
      </c>
      <c r="J7116" t="s">
        <v>43</v>
      </c>
      <c r="K7116" t="s">
        <v>43</v>
      </c>
      <c r="L7116" t="s">
        <v>43</v>
      </c>
      <c r="M7116" t="s">
        <v>43</v>
      </c>
      <c r="N7116" t="s">
        <v>45</v>
      </c>
      <c r="O7116" t="s">
        <v>43</v>
      </c>
      <c r="P7116" t="s">
        <v>43</v>
      </c>
      <c r="Q7116" t="s">
        <v>43</v>
      </c>
      <c r="R7116" t="s">
        <v>43</v>
      </c>
      <c r="S7116" t="s">
        <v>43</v>
      </c>
      <c r="T7116" t="s">
        <v>43</v>
      </c>
      <c r="U7116" t="s">
        <v>43</v>
      </c>
      <c r="V7116" t="s">
        <v>43</v>
      </c>
      <c r="W7116" t="s">
        <v>43</v>
      </c>
      <c r="X7116" t="s">
        <v>43</v>
      </c>
      <c r="Y7116" t="s">
        <v>43</v>
      </c>
      <c r="Z7116" t="s">
        <v>43</v>
      </c>
      <c r="AA7116" t="s">
        <v>43</v>
      </c>
      <c r="AB7116" t="s">
        <v>43</v>
      </c>
      <c r="AC7116" t="s">
        <v>43</v>
      </c>
      <c r="AD7116" t="s">
        <v>43</v>
      </c>
      <c r="AE7116" t="s">
        <v>43</v>
      </c>
      <c r="AF7116" t="s">
        <v>43</v>
      </c>
      <c r="AG7116" t="s">
        <v>43</v>
      </c>
      <c r="AH7116" t="s">
        <v>43</v>
      </c>
      <c r="AI7116" t="s">
        <v>43</v>
      </c>
      <c r="AJ7116" t="s">
        <v>43</v>
      </c>
      <c r="AK7116" t="s">
        <v>43</v>
      </c>
      <c r="AL7116" t="s">
        <v>43</v>
      </c>
      <c r="AM7116" t="s">
        <v>43</v>
      </c>
      <c r="AN7116" t="s">
        <v>43</v>
      </c>
    </row>
    <row r="7117" spans="1:40" x14ac:dyDescent="0.3">
      <c r="A7117" s="1">
        <v>46210.175578703704</v>
      </c>
      <c r="B7117" t="s">
        <v>40</v>
      </c>
      <c r="C7117" t="s">
        <v>41</v>
      </c>
      <c r="D7117" s="1">
        <v>46210.178217592591</v>
      </c>
      <c r="E7117" t="s">
        <v>42</v>
      </c>
      <c r="F7117" t="s">
        <v>43</v>
      </c>
      <c r="G7117" t="s">
        <v>43</v>
      </c>
      <c r="H7117" t="s">
        <v>43</v>
      </c>
      <c r="I7117" t="s">
        <v>4134</v>
      </c>
      <c r="J7117" t="s">
        <v>43</v>
      </c>
      <c r="K7117" t="s">
        <v>43</v>
      </c>
      <c r="L7117" t="s">
        <v>43</v>
      </c>
      <c r="M7117" t="s">
        <v>43</v>
      </c>
      <c r="N7117" t="s">
        <v>45</v>
      </c>
      <c r="O7117" t="s">
        <v>43</v>
      </c>
      <c r="P7117" t="s">
        <v>43</v>
      </c>
      <c r="Q7117" t="s">
        <v>43</v>
      </c>
      <c r="R7117" t="s">
        <v>43</v>
      </c>
      <c r="S7117" t="s">
        <v>43</v>
      </c>
      <c r="T7117" t="s">
        <v>43</v>
      </c>
      <c r="U7117" t="s">
        <v>43</v>
      </c>
      <c r="V7117" t="s">
        <v>43</v>
      </c>
      <c r="W7117" t="s">
        <v>43</v>
      </c>
      <c r="X7117" t="s">
        <v>43</v>
      </c>
      <c r="Y7117" t="s">
        <v>43</v>
      </c>
      <c r="Z7117" t="s">
        <v>43</v>
      </c>
      <c r="AA7117" t="s">
        <v>43</v>
      </c>
      <c r="AB7117" t="s">
        <v>43</v>
      </c>
      <c r="AC7117" t="s">
        <v>43</v>
      </c>
      <c r="AD7117" t="s">
        <v>43</v>
      </c>
      <c r="AE7117" t="s">
        <v>43</v>
      </c>
      <c r="AF7117" t="s">
        <v>43</v>
      </c>
      <c r="AG7117" t="s">
        <v>43</v>
      </c>
      <c r="AH7117" t="s">
        <v>43</v>
      </c>
      <c r="AI7117" t="s">
        <v>43</v>
      </c>
      <c r="AJ7117" t="s">
        <v>43</v>
      </c>
      <c r="AK7117" t="s">
        <v>43</v>
      </c>
      <c r="AL7117" t="s">
        <v>43</v>
      </c>
      <c r="AM7117" t="s">
        <v>43</v>
      </c>
      <c r="AN7117" t="str">
        <f>HYPERLINK("https://www.google.com/maps?q=10.78961468,79.57878876","Open Location")</f>
        <v>Open Location</v>
      </c>
    </row>
    <row r="7118" spans="1:40" x14ac:dyDescent="0.3">
      <c r="A7118" s="1">
        <v>46210.175462962965</v>
      </c>
      <c r="B7118" t="s">
        <v>40</v>
      </c>
      <c r="C7118" t="s">
        <v>41</v>
      </c>
      <c r="D7118" s="1">
        <v>46210.178182870368</v>
      </c>
      <c r="E7118" t="s">
        <v>42</v>
      </c>
      <c r="F7118" t="s">
        <v>43</v>
      </c>
      <c r="G7118" t="s">
        <v>43</v>
      </c>
      <c r="H7118" t="s">
        <v>43</v>
      </c>
      <c r="I7118" t="s">
        <v>4135</v>
      </c>
      <c r="J7118" t="s">
        <v>43</v>
      </c>
      <c r="K7118" t="s">
        <v>43</v>
      </c>
      <c r="L7118" t="s">
        <v>43</v>
      </c>
      <c r="M7118" t="s">
        <v>43</v>
      </c>
      <c r="N7118" t="s">
        <v>45</v>
      </c>
      <c r="O7118" t="s">
        <v>43</v>
      </c>
      <c r="P7118" t="s">
        <v>43</v>
      </c>
      <c r="Q7118" t="s">
        <v>43</v>
      </c>
      <c r="R7118" t="s">
        <v>43</v>
      </c>
      <c r="S7118" t="s">
        <v>43</v>
      </c>
      <c r="T7118" t="s">
        <v>43</v>
      </c>
      <c r="U7118" t="s">
        <v>43</v>
      </c>
      <c r="V7118" t="s">
        <v>43</v>
      </c>
      <c r="W7118" t="s">
        <v>43</v>
      </c>
      <c r="X7118" t="s">
        <v>43</v>
      </c>
      <c r="Y7118" t="s">
        <v>43</v>
      </c>
      <c r="Z7118" t="s">
        <v>43</v>
      </c>
      <c r="AA7118" t="s">
        <v>43</v>
      </c>
      <c r="AB7118" t="s">
        <v>43</v>
      </c>
      <c r="AC7118" t="s">
        <v>43</v>
      </c>
      <c r="AD7118" t="s">
        <v>43</v>
      </c>
      <c r="AE7118" t="s">
        <v>43</v>
      </c>
      <c r="AF7118" t="s">
        <v>43</v>
      </c>
      <c r="AG7118" t="s">
        <v>43</v>
      </c>
      <c r="AH7118" t="s">
        <v>43</v>
      </c>
      <c r="AI7118" t="s">
        <v>43</v>
      </c>
      <c r="AJ7118" t="s">
        <v>43</v>
      </c>
      <c r="AK7118" t="s">
        <v>43</v>
      </c>
      <c r="AL7118" t="s">
        <v>43</v>
      </c>
      <c r="AM7118" t="s">
        <v>43</v>
      </c>
      <c r="AN7118" t="str">
        <f>HYPERLINK("https://www.google.com/maps?q=10.78961658,79.57878876","Open Location")</f>
        <v>Open Location</v>
      </c>
    </row>
    <row r="7119" spans="1:40" x14ac:dyDescent="0.3">
      <c r="A7119" s="1">
        <v>46210.175347222219</v>
      </c>
      <c r="B7119" t="s">
        <v>40</v>
      </c>
      <c r="C7119" t="s">
        <v>41</v>
      </c>
      <c r="D7119" s="1">
        <v>46210.178240740737</v>
      </c>
      <c r="E7119" t="s">
        <v>42</v>
      </c>
      <c r="F7119" t="s">
        <v>43</v>
      </c>
      <c r="G7119" t="s">
        <v>43</v>
      </c>
      <c r="H7119" t="s">
        <v>43</v>
      </c>
      <c r="I7119" t="s">
        <v>4136</v>
      </c>
      <c r="J7119" t="s">
        <v>43</v>
      </c>
      <c r="K7119" t="s">
        <v>43</v>
      </c>
      <c r="L7119" t="s">
        <v>43</v>
      </c>
      <c r="M7119" t="s">
        <v>43</v>
      </c>
      <c r="N7119" t="s">
        <v>45</v>
      </c>
      <c r="O7119" t="s">
        <v>43</v>
      </c>
      <c r="P7119" t="s">
        <v>43</v>
      </c>
      <c r="Q7119" t="s">
        <v>43</v>
      </c>
      <c r="R7119" t="s">
        <v>43</v>
      </c>
      <c r="S7119" t="s">
        <v>43</v>
      </c>
      <c r="T7119" t="s">
        <v>43</v>
      </c>
      <c r="U7119" t="s">
        <v>43</v>
      </c>
      <c r="V7119" t="s">
        <v>43</v>
      </c>
      <c r="W7119" t="s">
        <v>43</v>
      </c>
      <c r="X7119" t="s">
        <v>43</v>
      </c>
      <c r="Y7119" t="s">
        <v>43</v>
      </c>
      <c r="Z7119" t="s">
        <v>43</v>
      </c>
      <c r="AA7119" t="s">
        <v>43</v>
      </c>
      <c r="AB7119" t="s">
        <v>43</v>
      </c>
      <c r="AC7119" t="s">
        <v>43</v>
      </c>
      <c r="AD7119" t="s">
        <v>43</v>
      </c>
      <c r="AE7119" t="s">
        <v>43</v>
      </c>
      <c r="AF7119" t="s">
        <v>43</v>
      </c>
      <c r="AG7119" t="s">
        <v>43</v>
      </c>
      <c r="AH7119" t="s">
        <v>43</v>
      </c>
      <c r="AI7119" t="s">
        <v>43</v>
      </c>
      <c r="AJ7119" t="s">
        <v>43</v>
      </c>
      <c r="AK7119" t="s">
        <v>43</v>
      </c>
      <c r="AL7119" t="s">
        <v>43</v>
      </c>
      <c r="AM7119" t="s">
        <v>43</v>
      </c>
      <c r="AN7119" t="str">
        <f>HYPERLINK("https://www.google.com/maps?q=10.78962708,79.57878876","Open Location")</f>
        <v>Open Location</v>
      </c>
    </row>
    <row r="7120" spans="1:40" x14ac:dyDescent="0.3">
      <c r="A7120" s="1">
        <v>46210.17523148148</v>
      </c>
      <c r="B7120" t="s">
        <v>40</v>
      </c>
      <c r="C7120" t="s">
        <v>41</v>
      </c>
      <c r="D7120" s="1">
        <v>46210.178148148145</v>
      </c>
      <c r="E7120" t="s">
        <v>42</v>
      </c>
      <c r="F7120" t="s">
        <v>43</v>
      </c>
      <c r="G7120" t="s">
        <v>43</v>
      </c>
      <c r="H7120" t="s">
        <v>43</v>
      </c>
      <c r="I7120" t="s">
        <v>4137</v>
      </c>
      <c r="J7120" t="s">
        <v>43</v>
      </c>
      <c r="K7120" t="s">
        <v>43</v>
      </c>
      <c r="L7120" t="s">
        <v>43</v>
      </c>
      <c r="M7120" t="s">
        <v>43</v>
      </c>
      <c r="N7120" t="s">
        <v>45</v>
      </c>
      <c r="O7120" t="s">
        <v>43</v>
      </c>
      <c r="P7120" t="s">
        <v>43</v>
      </c>
      <c r="Q7120" t="s">
        <v>43</v>
      </c>
      <c r="R7120" t="s">
        <v>43</v>
      </c>
      <c r="S7120" t="s">
        <v>43</v>
      </c>
      <c r="T7120" t="s">
        <v>43</v>
      </c>
      <c r="U7120" t="s">
        <v>43</v>
      </c>
      <c r="V7120" t="s">
        <v>43</v>
      </c>
      <c r="W7120" t="s">
        <v>43</v>
      </c>
      <c r="X7120" t="s">
        <v>43</v>
      </c>
      <c r="Y7120" t="s">
        <v>43</v>
      </c>
      <c r="Z7120" t="s">
        <v>43</v>
      </c>
      <c r="AA7120" t="s">
        <v>43</v>
      </c>
      <c r="AB7120" t="s">
        <v>43</v>
      </c>
      <c r="AC7120" t="s">
        <v>43</v>
      </c>
      <c r="AD7120" t="s">
        <v>43</v>
      </c>
      <c r="AE7120" t="s">
        <v>43</v>
      </c>
      <c r="AF7120" t="s">
        <v>43</v>
      </c>
      <c r="AG7120" t="s">
        <v>43</v>
      </c>
      <c r="AH7120" t="s">
        <v>43</v>
      </c>
      <c r="AI7120" t="s">
        <v>43</v>
      </c>
      <c r="AJ7120" t="s">
        <v>43</v>
      </c>
      <c r="AK7120" t="s">
        <v>43</v>
      </c>
      <c r="AL7120" t="s">
        <v>43</v>
      </c>
      <c r="AM7120" t="s">
        <v>43</v>
      </c>
      <c r="AN7120" t="str">
        <f>HYPERLINK("https://www.google.com/maps?q=10.7896347,79.57878876","Open Location")</f>
        <v>Open Location</v>
      </c>
    </row>
    <row r="7121" spans="1:40" x14ac:dyDescent="0.3">
      <c r="A7121" s="1">
        <v>46210.175115740742</v>
      </c>
      <c r="B7121" t="s">
        <v>40</v>
      </c>
      <c r="C7121" t="s">
        <v>41</v>
      </c>
      <c r="D7121" s="1">
        <v>46210.178217592591</v>
      </c>
      <c r="E7121" t="s">
        <v>42</v>
      </c>
      <c r="F7121" t="s">
        <v>43</v>
      </c>
      <c r="G7121" t="s">
        <v>43</v>
      </c>
      <c r="H7121" t="s">
        <v>43</v>
      </c>
      <c r="I7121" t="s">
        <v>4138</v>
      </c>
      <c r="J7121" t="s">
        <v>43</v>
      </c>
      <c r="K7121" t="s">
        <v>43</v>
      </c>
      <c r="L7121" t="s">
        <v>43</v>
      </c>
      <c r="M7121" t="s">
        <v>43</v>
      </c>
      <c r="N7121" t="s">
        <v>45</v>
      </c>
      <c r="O7121" t="s">
        <v>43</v>
      </c>
      <c r="P7121" t="s">
        <v>43</v>
      </c>
      <c r="Q7121" t="s">
        <v>43</v>
      </c>
      <c r="R7121" t="s">
        <v>43</v>
      </c>
      <c r="S7121" t="s">
        <v>43</v>
      </c>
      <c r="T7121" t="s">
        <v>43</v>
      </c>
      <c r="U7121" t="s">
        <v>43</v>
      </c>
      <c r="V7121" t="s">
        <v>43</v>
      </c>
      <c r="W7121" t="s">
        <v>43</v>
      </c>
      <c r="X7121" t="s">
        <v>43</v>
      </c>
      <c r="Y7121" t="s">
        <v>43</v>
      </c>
      <c r="Z7121" t="s">
        <v>43</v>
      </c>
      <c r="AA7121" t="s">
        <v>43</v>
      </c>
      <c r="AB7121" t="s">
        <v>43</v>
      </c>
      <c r="AC7121" t="s">
        <v>43</v>
      </c>
      <c r="AD7121" t="s">
        <v>43</v>
      </c>
      <c r="AE7121" t="s">
        <v>43</v>
      </c>
      <c r="AF7121" t="s">
        <v>43</v>
      </c>
      <c r="AG7121" t="s">
        <v>43</v>
      </c>
      <c r="AH7121" t="s">
        <v>43</v>
      </c>
      <c r="AI7121" t="s">
        <v>43</v>
      </c>
      <c r="AJ7121" t="s">
        <v>43</v>
      </c>
      <c r="AK7121" t="s">
        <v>43</v>
      </c>
      <c r="AL7121" t="s">
        <v>43</v>
      </c>
      <c r="AM7121" t="s">
        <v>43</v>
      </c>
      <c r="AN7121" t="str">
        <f>HYPERLINK("https://www.google.com/maps?q=10.7896347,79.57878113","Open Location")</f>
        <v>Open Location</v>
      </c>
    </row>
    <row r="7122" spans="1:40" x14ac:dyDescent="0.3">
      <c r="A7122" s="1">
        <v>46210.175000000003</v>
      </c>
      <c r="B7122" t="s">
        <v>40</v>
      </c>
      <c r="C7122" t="s">
        <v>41</v>
      </c>
      <c r="D7122" s="1">
        <v>46210.177858796298</v>
      </c>
      <c r="E7122" t="s">
        <v>42</v>
      </c>
      <c r="F7122" t="s">
        <v>43</v>
      </c>
      <c r="G7122" t="s">
        <v>43</v>
      </c>
      <c r="H7122" t="s">
        <v>43</v>
      </c>
      <c r="I7122" t="s">
        <v>43</v>
      </c>
      <c r="J7122" t="s">
        <v>43</v>
      </c>
      <c r="K7122" t="s">
        <v>43</v>
      </c>
      <c r="L7122" t="s">
        <v>43</v>
      </c>
      <c r="M7122" t="s">
        <v>43</v>
      </c>
      <c r="N7122" t="s">
        <v>45</v>
      </c>
      <c r="O7122" t="s">
        <v>43</v>
      </c>
      <c r="P7122" t="s">
        <v>43</v>
      </c>
      <c r="Q7122" t="s">
        <v>43</v>
      </c>
      <c r="R7122" t="s">
        <v>43</v>
      </c>
      <c r="S7122" t="s">
        <v>43</v>
      </c>
      <c r="T7122" t="s">
        <v>43</v>
      </c>
      <c r="U7122" t="s">
        <v>43</v>
      </c>
      <c r="V7122" t="s">
        <v>43</v>
      </c>
      <c r="W7122" t="s">
        <v>43</v>
      </c>
      <c r="X7122" t="s">
        <v>43</v>
      </c>
      <c r="Y7122" t="s">
        <v>43</v>
      </c>
      <c r="Z7122" t="s">
        <v>43</v>
      </c>
      <c r="AA7122" t="s">
        <v>43</v>
      </c>
      <c r="AB7122" t="s">
        <v>43</v>
      </c>
      <c r="AC7122" t="s">
        <v>43</v>
      </c>
      <c r="AD7122" t="s">
        <v>43</v>
      </c>
      <c r="AE7122" t="s">
        <v>43</v>
      </c>
      <c r="AF7122" t="s">
        <v>43</v>
      </c>
      <c r="AG7122" t="s">
        <v>43</v>
      </c>
      <c r="AH7122" t="s">
        <v>43</v>
      </c>
      <c r="AI7122" t="s">
        <v>43</v>
      </c>
      <c r="AJ7122" t="s">
        <v>43</v>
      </c>
      <c r="AK7122" t="s">
        <v>43</v>
      </c>
      <c r="AL7122" t="s">
        <v>43</v>
      </c>
      <c r="AM7122" t="s">
        <v>43</v>
      </c>
      <c r="AN7122" t="s">
        <v>43</v>
      </c>
    </row>
    <row r="7123" spans="1:40" x14ac:dyDescent="0.3">
      <c r="A7123" s="1">
        <v>46210.174884259257</v>
      </c>
      <c r="B7123" t="s">
        <v>40</v>
      </c>
      <c r="C7123" t="s">
        <v>41</v>
      </c>
      <c r="D7123" s="1">
        <v>46210.177870370368</v>
      </c>
      <c r="E7123" t="s">
        <v>42</v>
      </c>
      <c r="F7123" t="s">
        <v>43</v>
      </c>
      <c r="G7123" t="s">
        <v>43</v>
      </c>
      <c r="H7123" t="s">
        <v>43</v>
      </c>
      <c r="I7123" t="s">
        <v>4139</v>
      </c>
      <c r="J7123" t="s">
        <v>43</v>
      </c>
      <c r="K7123" t="s">
        <v>43</v>
      </c>
      <c r="L7123" t="s">
        <v>43</v>
      </c>
      <c r="M7123" t="s">
        <v>43</v>
      </c>
      <c r="N7123" t="s">
        <v>45</v>
      </c>
      <c r="O7123" t="s">
        <v>43</v>
      </c>
      <c r="P7123" t="s">
        <v>43</v>
      </c>
      <c r="Q7123" t="s">
        <v>43</v>
      </c>
      <c r="R7123" t="s">
        <v>43</v>
      </c>
      <c r="S7123" t="s">
        <v>43</v>
      </c>
      <c r="T7123" t="s">
        <v>43</v>
      </c>
      <c r="U7123" t="s">
        <v>43</v>
      </c>
      <c r="V7123" t="s">
        <v>43</v>
      </c>
      <c r="W7123" t="s">
        <v>43</v>
      </c>
      <c r="X7123" t="s">
        <v>43</v>
      </c>
      <c r="Y7123" t="s">
        <v>43</v>
      </c>
      <c r="Z7123" t="s">
        <v>43</v>
      </c>
      <c r="AA7123" t="s">
        <v>43</v>
      </c>
      <c r="AB7123" t="s">
        <v>43</v>
      </c>
      <c r="AC7123" t="s">
        <v>43</v>
      </c>
      <c r="AD7123" t="s">
        <v>43</v>
      </c>
      <c r="AE7123" t="s">
        <v>43</v>
      </c>
      <c r="AF7123" t="s">
        <v>43</v>
      </c>
      <c r="AG7123" t="s">
        <v>43</v>
      </c>
      <c r="AH7123" t="s">
        <v>43</v>
      </c>
      <c r="AI7123" t="s">
        <v>43</v>
      </c>
      <c r="AJ7123" t="s">
        <v>43</v>
      </c>
      <c r="AK7123" t="s">
        <v>43</v>
      </c>
      <c r="AL7123" t="s">
        <v>43</v>
      </c>
      <c r="AM7123" t="s">
        <v>43</v>
      </c>
      <c r="AN7123" t="str">
        <f>HYPERLINK("https://www.google.com/maps?q=10.78962708,79.57879639","Open Location")</f>
        <v>Open Location</v>
      </c>
    </row>
    <row r="7124" spans="1:40" x14ac:dyDescent="0.3">
      <c r="A7124" s="1">
        <v>46210.174768518518</v>
      </c>
      <c r="B7124" t="s">
        <v>40</v>
      </c>
      <c r="C7124" t="s">
        <v>41</v>
      </c>
      <c r="D7124" s="1">
        <v>46210.177858796298</v>
      </c>
      <c r="E7124" t="s">
        <v>42</v>
      </c>
      <c r="F7124" t="s">
        <v>43</v>
      </c>
      <c r="G7124" t="s">
        <v>43</v>
      </c>
      <c r="H7124" t="s">
        <v>43</v>
      </c>
      <c r="I7124" t="s">
        <v>4140</v>
      </c>
      <c r="J7124" t="s">
        <v>43</v>
      </c>
      <c r="K7124" t="s">
        <v>43</v>
      </c>
      <c r="L7124" t="s">
        <v>43</v>
      </c>
      <c r="M7124" t="s">
        <v>43</v>
      </c>
      <c r="N7124" t="s">
        <v>45</v>
      </c>
      <c r="O7124" t="s">
        <v>43</v>
      </c>
      <c r="P7124" t="s">
        <v>43</v>
      </c>
      <c r="Q7124" t="s">
        <v>43</v>
      </c>
      <c r="R7124" t="s">
        <v>43</v>
      </c>
      <c r="S7124" t="s">
        <v>43</v>
      </c>
      <c r="T7124" t="s">
        <v>43</v>
      </c>
      <c r="U7124" t="s">
        <v>43</v>
      </c>
      <c r="V7124" t="s">
        <v>43</v>
      </c>
      <c r="W7124" t="s">
        <v>43</v>
      </c>
      <c r="X7124" t="s">
        <v>43</v>
      </c>
      <c r="Y7124" t="s">
        <v>43</v>
      </c>
      <c r="Z7124" t="s">
        <v>43</v>
      </c>
      <c r="AA7124" t="s">
        <v>43</v>
      </c>
      <c r="AB7124" t="s">
        <v>43</v>
      </c>
      <c r="AC7124" t="s">
        <v>43</v>
      </c>
      <c r="AD7124" t="s">
        <v>43</v>
      </c>
      <c r="AE7124" t="s">
        <v>43</v>
      </c>
      <c r="AF7124" t="s">
        <v>43</v>
      </c>
      <c r="AG7124" t="s">
        <v>43</v>
      </c>
      <c r="AH7124" t="s">
        <v>43</v>
      </c>
      <c r="AI7124" t="s">
        <v>43</v>
      </c>
      <c r="AJ7124" t="s">
        <v>43</v>
      </c>
      <c r="AK7124" t="s">
        <v>43</v>
      </c>
      <c r="AL7124" t="s">
        <v>43</v>
      </c>
      <c r="AM7124" t="s">
        <v>43</v>
      </c>
      <c r="AN7124" t="str">
        <f>HYPERLINK("https://www.google.com/maps?q=10.78962994,79.57879639","Open Location")</f>
        <v>Open Location</v>
      </c>
    </row>
    <row r="7125" spans="1:40" x14ac:dyDescent="0.3">
      <c r="A7125" s="1">
        <v>46210.17465277778</v>
      </c>
      <c r="B7125" t="s">
        <v>40</v>
      </c>
      <c r="C7125" t="s">
        <v>41</v>
      </c>
      <c r="D7125" s="1">
        <v>46210.177488425928</v>
      </c>
      <c r="E7125" t="s">
        <v>42</v>
      </c>
      <c r="F7125" t="s">
        <v>43</v>
      </c>
      <c r="G7125" t="s">
        <v>43</v>
      </c>
      <c r="H7125" t="s">
        <v>43</v>
      </c>
      <c r="I7125" t="s">
        <v>4141</v>
      </c>
      <c r="J7125" t="s">
        <v>43</v>
      </c>
      <c r="K7125" t="s">
        <v>43</v>
      </c>
      <c r="L7125" t="s">
        <v>43</v>
      </c>
      <c r="M7125" t="s">
        <v>43</v>
      </c>
      <c r="N7125" t="s">
        <v>45</v>
      </c>
      <c r="O7125" t="s">
        <v>43</v>
      </c>
      <c r="P7125" t="s">
        <v>43</v>
      </c>
      <c r="Q7125" t="s">
        <v>43</v>
      </c>
      <c r="R7125" t="s">
        <v>43</v>
      </c>
      <c r="S7125" t="s">
        <v>43</v>
      </c>
      <c r="T7125" t="s">
        <v>43</v>
      </c>
      <c r="U7125" t="s">
        <v>43</v>
      </c>
      <c r="V7125" t="s">
        <v>43</v>
      </c>
      <c r="W7125" t="s">
        <v>43</v>
      </c>
      <c r="X7125" t="s">
        <v>43</v>
      </c>
      <c r="Y7125" t="s">
        <v>43</v>
      </c>
      <c r="Z7125" t="s">
        <v>43</v>
      </c>
      <c r="AA7125" t="s">
        <v>43</v>
      </c>
      <c r="AB7125" t="s">
        <v>43</v>
      </c>
      <c r="AC7125" t="s">
        <v>43</v>
      </c>
      <c r="AD7125" t="s">
        <v>43</v>
      </c>
      <c r="AE7125" t="s">
        <v>43</v>
      </c>
      <c r="AF7125" t="s">
        <v>43</v>
      </c>
      <c r="AG7125" t="s">
        <v>43</v>
      </c>
      <c r="AH7125" t="s">
        <v>43</v>
      </c>
      <c r="AI7125" t="s">
        <v>43</v>
      </c>
      <c r="AJ7125" t="s">
        <v>43</v>
      </c>
      <c r="AK7125" t="s">
        <v>43</v>
      </c>
      <c r="AL7125" t="s">
        <v>43</v>
      </c>
      <c r="AM7125" t="s">
        <v>43</v>
      </c>
      <c r="AN7125" t="str">
        <f>HYPERLINK("https://www.google.com/maps?q=10.78963184,79.57879639","Open Location")</f>
        <v>Open Location</v>
      </c>
    </row>
    <row r="7126" spans="1:40" x14ac:dyDescent="0.3">
      <c r="A7126" s="1">
        <v>46210.174537037034</v>
      </c>
      <c r="B7126" t="s">
        <v>40</v>
      </c>
      <c r="C7126" t="s">
        <v>41</v>
      </c>
      <c r="D7126" s="1">
        <v>46210.177418981482</v>
      </c>
      <c r="E7126" t="s">
        <v>42</v>
      </c>
      <c r="F7126" t="s">
        <v>43</v>
      </c>
      <c r="G7126" t="s">
        <v>43</v>
      </c>
      <c r="H7126" t="s">
        <v>43</v>
      </c>
      <c r="I7126" t="s">
        <v>4142</v>
      </c>
      <c r="J7126" t="s">
        <v>43</v>
      </c>
      <c r="K7126" t="s">
        <v>43</v>
      </c>
      <c r="L7126" t="s">
        <v>43</v>
      </c>
      <c r="M7126" t="s">
        <v>43</v>
      </c>
      <c r="N7126" t="s">
        <v>45</v>
      </c>
      <c r="O7126" t="s">
        <v>43</v>
      </c>
      <c r="P7126" t="s">
        <v>43</v>
      </c>
      <c r="Q7126" t="s">
        <v>43</v>
      </c>
      <c r="R7126" t="s">
        <v>43</v>
      </c>
      <c r="S7126" t="s">
        <v>43</v>
      </c>
      <c r="T7126" t="s">
        <v>43</v>
      </c>
      <c r="U7126" t="s">
        <v>43</v>
      </c>
      <c r="V7126" t="s">
        <v>43</v>
      </c>
      <c r="W7126" t="s">
        <v>43</v>
      </c>
      <c r="X7126" t="s">
        <v>43</v>
      </c>
      <c r="Y7126" t="s">
        <v>43</v>
      </c>
      <c r="Z7126" t="s">
        <v>43</v>
      </c>
      <c r="AA7126" t="s">
        <v>43</v>
      </c>
      <c r="AB7126" t="s">
        <v>43</v>
      </c>
      <c r="AC7126" t="s">
        <v>43</v>
      </c>
      <c r="AD7126" t="s">
        <v>43</v>
      </c>
      <c r="AE7126" t="s">
        <v>43</v>
      </c>
      <c r="AF7126" t="s">
        <v>43</v>
      </c>
      <c r="AG7126" t="s">
        <v>43</v>
      </c>
      <c r="AH7126" t="s">
        <v>43</v>
      </c>
      <c r="AI7126" t="s">
        <v>43</v>
      </c>
      <c r="AJ7126" t="s">
        <v>43</v>
      </c>
      <c r="AK7126" t="s">
        <v>43</v>
      </c>
      <c r="AL7126" t="s">
        <v>43</v>
      </c>
      <c r="AM7126" t="s">
        <v>43</v>
      </c>
      <c r="AN7126" t="str">
        <f>HYPERLINK("https://www.google.com/maps?q=10.78962898,79.57881165","Open Location")</f>
        <v>Open Location</v>
      </c>
    </row>
    <row r="7127" spans="1:40" x14ac:dyDescent="0.3">
      <c r="A7127" s="1">
        <v>46210.174421296295</v>
      </c>
      <c r="B7127" t="s">
        <v>40</v>
      </c>
      <c r="C7127" t="s">
        <v>41</v>
      </c>
      <c r="D7127" s="1">
        <v>46210.177488425928</v>
      </c>
      <c r="E7127" t="s">
        <v>42</v>
      </c>
      <c r="F7127" t="s">
        <v>43</v>
      </c>
      <c r="G7127" t="s">
        <v>43</v>
      </c>
      <c r="H7127" t="s">
        <v>43</v>
      </c>
      <c r="I7127" t="s">
        <v>43</v>
      </c>
      <c r="J7127" t="s">
        <v>43</v>
      </c>
      <c r="K7127" t="s">
        <v>43</v>
      </c>
      <c r="L7127" t="s">
        <v>43</v>
      </c>
      <c r="M7127" t="s">
        <v>43</v>
      </c>
      <c r="N7127" t="s">
        <v>45</v>
      </c>
      <c r="O7127" t="s">
        <v>43</v>
      </c>
      <c r="P7127" t="s">
        <v>43</v>
      </c>
      <c r="Q7127" t="s">
        <v>43</v>
      </c>
      <c r="R7127" t="s">
        <v>43</v>
      </c>
      <c r="S7127" t="s">
        <v>43</v>
      </c>
      <c r="T7127" t="s">
        <v>43</v>
      </c>
      <c r="U7127" t="s">
        <v>43</v>
      </c>
      <c r="V7127" t="s">
        <v>43</v>
      </c>
      <c r="W7127" t="s">
        <v>43</v>
      </c>
      <c r="X7127" t="s">
        <v>43</v>
      </c>
      <c r="Y7127" t="s">
        <v>43</v>
      </c>
      <c r="Z7127" t="s">
        <v>43</v>
      </c>
      <c r="AA7127" t="s">
        <v>43</v>
      </c>
      <c r="AB7127" t="s">
        <v>43</v>
      </c>
      <c r="AC7127" t="s">
        <v>43</v>
      </c>
      <c r="AD7127" t="s">
        <v>43</v>
      </c>
      <c r="AE7127" t="s">
        <v>43</v>
      </c>
      <c r="AF7127" t="s">
        <v>43</v>
      </c>
      <c r="AG7127" t="s">
        <v>43</v>
      </c>
      <c r="AH7127" t="s">
        <v>43</v>
      </c>
      <c r="AI7127" t="s">
        <v>43</v>
      </c>
      <c r="AJ7127" t="s">
        <v>43</v>
      </c>
      <c r="AK7127" t="s">
        <v>43</v>
      </c>
      <c r="AL7127" t="s">
        <v>43</v>
      </c>
      <c r="AM7127" t="s">
        <v>43</v>
      </c>
      <c r="AN7127" t="s">
        <v>43</v>
      </c>
    </row>
    <row r="7128" spans="1:40" x14ac:dyDescent="0.3">
      <c r="A7128" s="1">
        <v>46210.174305555556</v>
      </c>
      <c r="B7128" t="s">
        <v>40</v>
      </c>
      <c r="C7128" t="s">
        <v>41</v>
      </c>
      <c r="D7128" s="1">
        <v>46210.177268518521</v>
      </c>
      <c r="E7128" t="s">
        <v>42</v>
      </c>
      <c r="F7128" t="s">
        <v>43</v>
      </c>
      <c r="G7128" t="s">
        <v>43</v>
      </c>
      <c r="H7128" t="s">
        <v>43</v>
      </c>
      <c r="I7128" t="s">
        <v>4106</v>
      </c>
      <c r="J7128" t="s">
        <v>43</v>
      </c>
      <c r="K7128" t="s">
        <v>43</v>
      </c>
      <c r="L7128" t="s">
        <v>43</v>
      </c>
      <c r="M7128" t="s">
        <v>43</v>
      </c>
      <c r="N7128" t="s">
        <v>45</v>
      </c>
      <c r="O7128" t="s">
        <v>43</v>
      </c>
      <c r="P7128" t="s">
        <v>43</v>
      </c>
      <c r="Q7128" t="s">
        <v>43</v>
      </c>
      <c r="R7128" t="s">
        <v>43</v>
      </c>
      <c r="S7128" t="s">
        <v>43</v>
      </c>
      <c r="T7128" t="s">
        <v>43</v>
      </c>
      <c r="U7128" t="s">
        <v>43</v>
      </c>
      <c r="V7128" t="s">
        <v>43</v>
      </c>
      <c r="W7128" t="s">
        <v>43</v>
      </c>
      <c r="X7128" t="s">
        <v>43</v>
      </c>
      <c r="Y7128" t="s">
        <v>43</v>
      </c>
      <c r="Z7128" t="s">
        <v>43</v>
      </c>
      <c r="AA7128" t="s">
        <v>43</v>
      </c>
      <c r="AB7128" t="s">
        <v>43</v>
      </c>
      <c r="AC7128" t="s">
        <v>43</v>
      </c>
      <c r="AD7128" t="s">
        <v>43</v>
      </c>
      <c r="AE7128" t="s">
        <v>43</v>
      </c>
      <c r="AF7128" t="s">
        <v>43</v>
      </c>
      <c r="AG7128" t="s">
        <v>43</v>
      </c>
      <c r="AH7128" t="s">
        <v>43</v>
      </c>
      <c r="AI7128" t="s">
        <v>43</v>
      </c>
      <c r="AJ7128" t="s">
        <v>43</v>
      </c>
      <c r="AK7128" t="s">
        <v>43</v>
      </c>
      <c r="AL7128" t="s">
        <v>43</v>
      </c>
      <c r="AM7128" t="s">
        <v>43</v>
      </c>
      <c r="AN7128" t="str">
        <f>HYPERLINK("https://www.google.com/maps?q=10.78963566,79.57879639","Open Location")</f>
        <v>Open Location</v>
      </c>
    </row>
    <row r="7129" spans="1:40" x14ac:dyDescent="0.3">
      <c r="A7129" s="1">
        <v>46210.174189814818</v>
      </c>
      <c r="B7129" t="s">
        <v>40</v>
      </c>
      <c r="C7129" t="s">
        <v>41</v>
      </c>
      <c r="D7129" s="1">
        <v>46210.177048611113</v>
      </c>
      <c r="E7129" t="s">
        <v>42</v>
      </c>
      <c r="F7129" t="s">
        <v>43</v>
      </c>
      <c r="G7129" t="s">
        <v>43</v>
      </c>
      <c r="H7129" t="s">
        <v>43</v>
      </c>
      <c r="I7129" t="s">
        <v>4143</v>
      </c>
      <c r="J7129" t="s">
        <v>43</v>
      </c>
      <c r="K7129" t="s">
        <v>43</v>
      </c>
      <c r="L7129" t="s">
        <v>43</v>
      </c>
      <c r="M7129" t="s">
        <v>43</v>
      </c>
      <c r="N7129" t="s">
        <v>45</v>
      </c>
      <c r="O7129" t="s">
        <v>43</v>
      </c>
      <c r="P7129" t="s">
        <v>43</v>
      </c>
      <c r="Q7129" t="s">
        <v>43</v>
      </c>
      <c r="R7129" t="s">
        <v>43</v>
      </c>
      <c r="S7129" t="s">
        <v>43</v>
      </c>
      <c r="T7129" t="s">
        <v>43</v>
      </c>
      <c r="U7129" t="s">
        <v>43</v>
      </c>
      <c r="V7129" t="s">
        <v>43</v>
      </c>
      <c r="W7129" t="s">
        <v>43</v>
      </c>
      <c r="X7129" t="s">
        <v>43</v>
      </c>
      <c r="Y7129" t="s">
        <v>43</v>
      </c>
      <c r="Z7129" t="s">
        <v>43</v>
      </c>
      <c r="AA7129" t="s">
        <v>43</v>
      </c>
      <c r="AB7129" t="s">
        <v>43</v>
      </c>
      <c r="AC7129" t="s">
        <v>43</v>
      </c>
      <c r="AD7129" t="s">
        <v>43</v>
      </c>
      <c r="AE7129" t="s">
        <v>43</v>
      </c>
      <c r="AF7129" t="s">
        <v>43</v>
      </c>
      <c r="AG7129" t="s">
        <v>43</v>
      </c>
      <c r="AH7129" t="s">
        <v>43</v>
      </c>
      <c r="AI7129" t="s">
        <v>43</v>
      </c>
      <c r="AJ7129" t="s">
        <v>43</v>
      </c>
      <c r="AK7129" t="s">
        <v>43</v>
      </c>
      <c r="AL7129" t="s">
        <v>43</v>
      </c>
      <c r="AM7129" t="s">
        <v>43</v>
      </c>
      <c r="AN7129" t="str">
        <f>HYPERLINK("https://www.google.com/maps?q=10.78963947,79.57881165","Open Location")</f>
        <v>Open Location</v>
      </c>
    </row>
    <row r="7130" spans="1:40" x14ac:dyDescent="0.3">
      <c r="A7130" s="1">
        <v>46210.174074074072</v>
      </c>
      <c r="B7130" t="s">
        <v>40</v>
      </c>
      <c r="C7130" t="s">
        <v>41</v>
      </c>
      <c r="D7130" s="1">
        <v>46210.177048611113</v>
      </c>
      <c r="E7130" t="s">
        <v>42</v>
      </c>
      <c r="F7130" t="s">
        <v>43</v>
      </c>
      <c r="G7130" t="s">
        <v>43</v>
      </c>
      <c r="H7130" t="s">
        <v>43</v>
      </c>
      <c r="I7130" t="s">
        <v>4144</v>
      </c>
      <c r="J7130" t="s">
        <v>43</v>
      </c>
      <c r="K7130" t="s">
        <v>43</v>
      </c>
      <c r="L7130" t="s">
        <v>43</v>
      </c>
      <c r="M7130" t="s">
        <v>43</v>
      </c>
      <c r="N7130" t="s">
        <v>45</v>
      </c>
      <c r="O7130" t="s">
        <v>43</v>
      </c>
      <c r="P7130" t="s">
        <v>43</v>
      </c>
      <c r="Q7130" t="s">
        <v>43</v>
      </c>
      <c r="R7130" t="s">
        <v>43</v>
      </c>
      <c r="S7130" t="s">
        <v>43</v>
      </c>
      <c r="T7130" t="s">
        <v>43</v>
      </c>
      <c r="U7130" t="s">
        <v>43</v>
      </c>
      <c r="V7130" t="s">
        <v>43</v>
      </c>
      <c r="W7130" t="s">
        <v>43</v>
      </c>
      <c r="X7130" t="s">
        <v>43</v>
      </c>
      <c r="Y7130" t="s">
        <v>43</v>
      </c>
      <c r="Z7130" t="s">
        <v>43</v>
      </c>
      <c r="AA7130" t="s">
        <v>43</v>
      </c>
      <c r="AB7130" t="s">
        <v>43</v>
      </c>
      <c r="AC7130" t="s">
        <v>43</v>
      </c>
      <c r="AD7130" t="s">
        <v>43</v>
      </c>
      <c r="AE7130" t="s">
        <v>43</v>
      </c>
      <c r="AF7130" t="s">
        <v>43</v>
      </c>
      <c r="AG7130" t="s">
        <v>43</v>
      </c>
      <c r="AH7130" t="s">
        <v>43</v>
      </c>
      <c r="AI7130" t="s">
        <v>43</v>
      </c>
      <c r="AJ7130" t="s">
        <v>43</v>
      </c>
      <c r="AK7130" t="s">
        <v>43</v>
      </c>
      <c r="AL7130" t="s">
        <v>43</v>
      </c>
      <c r="AM7130" t="s">
        <v>43</v>
      </c>
      <c r="AN7130" t="str">
        <f>HYPERLINK("https://www.google.com/maps?q=10.78964233,79.57881165","Open Location")</f>
        <v>Open Location</v>
      </c>
    </row>
    <row r="7131" spans="1:40" x14ac:dyDescent="0.3">
      <c r="A7131" s="1">
        <v>46210.173958333333</v>
      </c>
      <c r="B7131" t="s">
        <v>40</v>
      </c>
      <c r="C7131" t="s">
        <v>41</v>
      </c>
      <c r="D7131" s="1">
        <v>46210.176689814813</v>
      </c>
      <c r="E7131" t="s">
        <v>42</v>
      </c>
      <c r="F7131" t="s">
        <v>43</v>
      </c>
      <c r="G7131" t="s">
        <v>43</v>
      </c>
      <c r="H7131" t="s">
        <v>43</v>
      </c>
      <c r="I7131" t="s">
        <v>4145</v>
      </c>
      <c r="J7131" t="s">
        <v>43</v>
      </c>
      <c r="K7131" t="s">
        <v>43</v>
      </c>
      <c r="L7131" t="s">
        <v>43</v>
      </c>
      <c r="M7131" t="s">
        <v>43</v>
      </c>
      <c r="N7131" t="s">
        <v>45</v>
      </c>
      <c r="O7131" t="s">
        <v>43</v>
      </c>
      <c r="P7131" t="s">
        <v>43</v>
      </c>
      <c r="Q7131" t="s">
        <v>43</v>
      </c>
      <c r="R7131" t="s">
        <v>43</v>
      </c>
      <c r="S7131" t="s">
        <v>43</v>
      </c>
      <c r="T7131" t="s">
        <v>43</v>
      </c>
      <c r="U7131" t="s">
        <v>43</v>
      </c>
      <c r="V7131" t="s">
        <v>43</v>
      </c>
      <c r="W7131" t="s">
        <v>43</v>
      </c>
      <c r="X7131" t="s">
        <v>43</v>
      </c>
      <c r="Y7131" t="s">
        <v>43</v>
      </c>
      <c r="Z7131" t="s">
        <v>43</v>
      </c>
      <c r="AA7131" t="s">
        <v>43</v>
      </c>
      <c r="AB7131" t="s">
        <v>43</v>
      </c>
      <c r="AC7131" t="s">
        <v>43</v>
      </c>
      <c r="AD7131" t="s">
        <v>43</v>
      </c>
      <c r="AE7131" t="s">
        <v>43</v>
      </c>
      <c r="AF7131" t="s">
        <v>43</v>
      </c>
      <c r="AG7131" t="s">
        <v>43</v>
      </c>
      <c r="AH7131" t="s">
        <v>43</v>
      </c>
      <c r="AI7131" t="s">
        <v>43</v>
      </c>
      <c r="AJ7131" t="s">
        <v>43</v>
      </c>
      <c r="AK7131" t="s">
        <v>43</v>
      </c>
      <c r="AL7131" t="s">
        <v>43</v>
      </c>
      <c r="AM7131" t="s">
        <v>43</v>
      </c>
      <c r="AN7131" t="str">
        <f>HYPERLINK("https://www.google.com/maps?q=10.7896452,79.57881165","Open Location")</f>
        <v>Open Location</v>
      </c>
    </row>
    <row r="7132" spans="1:40" x14ac:dyDescent="0.3">
      <c r="A7132" s="1">
        <v>46210.173842592594</v>
      </c>
      <c r="B7132" t="s">
        <v>40</v>
      </c>
      <c r="C7132" t="s">
        <v>41</v>
      </c>
      <c r="D7132" s="1">
        <v>46210.176736111112</v>
      </c>
      <c r="E7132" t="s">
        <v>42</v>
      </c>
      <c r="F7132" t="s">
        <v>43</v>
      </c>
      <c r="G7132" t="s">
        <v>43</v>
      </c>
      <c r="H7132" t="s">
        <v>43</v>
      </c>
      <c r="I7132" t="s">
        <v>4145</v>
      </c>
      <c r="J7132" t="s">
        <v>43</v>
      </c>
      <c r="K7132" t="s">
        <v>43</v>
      </c>
      <c r="L7132" t="s">
        <v>43</v>
      </c>
      <c r="M7132" t="s">
        <v>43</v>
      </c>
      <c r="N7132" t="s">
        <v>45</v>
      </c>
      <c r="O7132" t="s">
        <v>43</v>
      </c>
      <c r="P7132" t="s">
        <v>43</v>
      </c>
      <c r="Q7132" t="s">
        <v>43</v>
      </c>
      <c r="R7132" t="s">
        <v>43</v>
      </c>
      <c r="S7132" t="s">
        <v>43</v>
      </c>
      <c r="T7132" t="s">
        <v>43</v>
      </c>
      <c r="U7132" t="s">
        <v>43</v>
      </c>
      <c r="V7132" t="s">
        <v>43</v>
      </c>
      <c r="W7132" t="s">
        <v>43</v>
      </c>
      <c r="X7132" t="s">
        <v>43</v>
      </c>
      <c r="Y7132" t="s">
        <v>43</v>
      </c>
      <c r="Z7132" t="s">
        <v>43</v>
      </c>
      <c r="AA7132" t="s">
        <v>43</v>
      </c>
      <c r="AB7132" t="s">
        <v>43</v>
      </c>
      <c r="AC7132" t="s">
        <v>43</v>
      </c>
      <c r="AD7132" t="s">
        <v>43</v>
      </c>
      <c r="AE7132" t="s">
        <v>43</v>
      </c>
      <c r="AF7132" t="s">
        <v>43</v>
      </c>
      <c r="AG7132" t="s">
        <v>43</v>
      </c>
      <c r="AH7132" t="s">
        <v>43</v>
      </c>
      <c r="AI7132" t="s">
        <v>43</v>
      </c>
      <c r="AJ7132" t="s">
        <v>43</v>
      </c>
      <c r="AK7132" t="s">
        <v>43</v>
      </c>
      <c r="AL7132" t="s">
        <v>43</v>
      </c>
      <c r="AM7132" t="s">
        <v>43</v>
      </c>
      <c r="AN7132" t="str">
        <f>HYPERLINK("https://www.google.com/maps?q=10.7896452,79.57881165","Open Location")</f>
        <v>Open Location</v>
      </c>
    </row>
    <row r="7133" spans="1:40" x14ac:dyDescent="0.3">
      <c r="A7133" s="1">
        <v>46210.173726851855</v>
      </c>
      <c r="B7133" t="s">
        <v>40</v>
      </c>
      <c r="C7133" t="s">
        <v>41</v>
      </c>
      <c r="D7133" s="1">
        <v>46210.176365740743</v>
      </c>
      <c r="E7133" t="s">
        <v>42</v>
      </c>
      <c r="F7133" t="s">
        <v>43</v>
      </c>
      <c r="G7133" t="s">
        <v>43</v>
      </c>
      <c r="H7133" t="s">
        <v>43</v>
      </c>
      <c r="I7133" t="s">
        <v>43</v>
      </c>
      <c r="J7133" t="s">
        <v>43</v>
      </c>
      <c r="K7133" t="s">
        <v>43</v>
      </c>
      <c r="L7133" t="s">
        <v>43</v>
      </c>
      <c r="M7133" t="s">
        <v>43</v>
      </c>
      <c r="N7133" t="s">
        <v>45</v>
      </c>
      <c r="O7133" t="s">
        <v>43</v>
      </c>
      <c r="P7133" t="s">
        <v>43</v>
      </c>
      <c r="Q7133" t="s">
        <v>43</v>
      </c>
      <c r="R7133" t="s">
        <v>43</v>
      </c>
      <c r="S7133" t="s">
        <v>43</v>
      </c>
      <c r="T7133" t="s">
        <v>43</v>
      </c>
      <c r="U7133" t="s">
        <v>43</v>
      </c>
      <c r="V7133" t="s">
        <v>43</v>
      </c>
      <c r="W7133" t="s">
        <v>43</v>
      </c>
      <c r="X7133" t="s">
        <v>43</v>
      </c>
      <c r="Y7133" t="s">
        <v>43</v>
      </c>
      <c r="Z7133" t="s">
        <v>43</v>
      </c>
      <c r="AA7133" t="s">
        <v>43</v>
      </c>
      <c r="AB7133" t="s">
        <v>43</v>
      </c>
      <c r="AC7133" t="s">
        <v>43</v>
      </c>
      <c r="AD7133" t="s">
        <v>43</v>
      </c>
      <c r="AE7133" t="s">
        <v>43</v>
      </c>
      <c r="AF7133" t="s">
        <v>43</v>
      </c>
      <c r="AG7133" t="s">
        <v>43</v>
      </c>
      <c r="AH7133" t="s">
        <v>43</v>
      </c>
      <c r="AI7133" t="s">
        <v>43</v>
      </c>
      <c r="AJ7133" t="s">
        <v>43</v>
      </c>
      <c r="AK7133" t="s">
        <v>43</v>
      </c>
      <c r="AL7133" t="s">
        <v>43</v>
      </c>
      <c r="AM7133" t="s">
        <v>43</v>
      </c>
      <c r="AN7133" t="s">
        <v>43</v>
      </c>
    </row>
    <row r="7134" spans="1:40" x14ac:dyDescent="0.3">
      <c r="A7134" s="1">
        <v>46210.173611111109</v>
      </c>
      <c r="B7134" t="s">
        <v>40</v>
      </c>
      <c r="C7134" t="s">
        <v>41</v>
      </c>
      <c r="D7134" s="1">
        <v>46210.17633101852</v>
      </c>
      <c r="E7134" t="s">
        <v>42</v>
      </c>
      <c r="F7134" t="s">
        <v>43</v>
      </c>
      <c r="G7134" t="s">
        <v>43</v>
      </c>
      <c r="H7134" t="s">
        <v>43</v>
      </c>
      <c r="I7134" t="s">
        <v>4146</v>
      </c>
      <c r="J7134" t="s">
        <v>43</v>
      </c>
      <c r="K7134" t="s">
        <v>43</v>
      </c>
      <c r="L7134" t="s">
        <v>43</v>
      </c>
      <c r="M7134" t="s">
        <v>43</v>
      </c>
      <c r="N7134" t="s">
        <v>45</v>
      </c>
      <c r="O7134" t="s">
        <v>43</v>
      </c>
      <c r="P7134" t="s">
        <v>43</v>
      </c>
      <c r="Q7134" t="s">
        <v>43</v>
      </c>
      <c r="R7134" t="s">
        <v>43</v>
      </c>
      <c r="S7134" t="s">
        <v>43</v>
      </c>
      <c r="T7134" t="s">
        <v>43</v>
      </c>
      <c r="U7134" t="s">
        <v>43</v>
      </c>
      <c r="V7134" t="s">
        <v>43</v>
      </c>
      <c r="W7134" t="s">
        <v>43</v>
      </c>
      <c r="X7134" t="s">
        <v>43</v>
      </c>
      <c r="Y7134" t="s">
        <v>43</v>
      </c>
      <c r="Z7134" t="s">
        <v>43</v>
      </c>
      <c r="AA7134" t="s">
        <v>43</v>
      </c>
      <c r="AB7134" t="s">
        <v>43</v>
      </c>
      <c r="AC7134" t="s">
        <v>43</v>
      </c>
      <c r="AD7134" t="s">
        <v>43</v>
      </c>
      <c r="AE7134" t="s">
        <v>43</v>
      </c>
      <c r="AF7134" t="s">
        <v>43</v>
      </c>
      <c r="AG7134" t="s">
        <v>43</v>
      </c>
      <c r="AH7134" t="s">
        <v>43</v>
      </c>
      <c r="AI7134" t="s">
        <v>43</v>
      </c>
      <c r="AJ7134" t="s">
        <v>43</v>
      </c>
      <c r="AK7134" t="s">
        <v>43</v>
      </c>
      <c r="AL7134" t="s">
        <v>43</v>
      </c>
      <c r="AM7134" t="s">
        <v>43</v>
      </c>
      <c r="AN7134" t="str">
        <f>HYPERLINK("https://www.google.com/maps?q=10.78964424,79.57881165","Open Location")</f>
        <v>Open Location</v>
      </c>
    </row>
    <row r="7135" spans="1:40" x14ac:dyDescent="0.3">
      <c r="A7135" s="1">
        <v>46210.173495370371</v>
      </c>
      <c r="B7135" t="s">
        <v>40</v>
      </c>
      <c r="C7135" t="s">
        <v>41</v>
      </c>
      <c r="D7135" s="1">
        <v>46210.176342592589</v>
      </c>
      <c r="E7135" t="s">
        <v>42</v>
      </c>
      <c r="F7135" t="s">
        <v>43</v>
      </c>
      <c r="G7135" t="s">
        <v>43</v>
      </c>
      <c r="H7135" t="s">
        <v>43</v>
      </c>
      <c r="I7135" t="s">
        <v>4144</v>
      </c>
      <c r="J7135" t="s">
        <v>43</v>
      </c>
      <c r="K7135" t="s">
        <v>43</v>
      </c>
      <c r="L7135" t="s">
        <v>43</v>
      </c>
      <c r="M7135" t="s">
        <v>43</v>
      </c>
      <c r="N7135" t="s">
        <v>45</v>
      </c>
      <c r="O7135" t="s">
        <v>43</v>
      </c>
      <c r="P7135" t="s">
        <v>43</v>
      </c>
      <c r="Q7135" t="s">
        <v>43</v>
      </c>
      <c r="R7135" t="s">
        <v>43</v>
      </c>
      <c r="S7135" t="s">
        <v>43</v>
      </c>
      <c r="T7135" t="s">
        <v>43</v>
      </c>
      <c r="U7135" t="s">
        <v>43</v>
      </c>
      <c r="V7135" t="s">
        <v>43</v>
      </c>
      <c r="W7135" t="s">
        <v>43</v>
      </c>
      <c r="X7135" t="s">
        <v>43</v>
      </c>
      <c r="Y7135" t="s">
        <v>43</v>
      </c>
      <c r="Z7135" t="s">
        <v>43</v>
      </c>
      <c r="AA7135" t="s">
        <v>43</v>
      </c>
      <c r="AB7135" t="s">
        <v>43</v>
      </c>
      <c r="AC7135" t="s">
        <v>43</v>
      </c>
      <c r="AD7135" t="s">
        <v>43</v>
      </c>
      <c r="AE7135" t="s">
        <v>43</v>
      </c>
      <c r="AF7135" t="s">
        <v>43</v>
      </c>
      <c r="AG7135" t="s">
        <v>43</v>
      </c>
      <c r="AH7135" t="s">
        <v>43</v>
      </c>
      <c r="AI7135" t="s">
        <v>43</v>
      </c>
      <c r="AJ7135" t="s">
        <v>43</v>
      </c>
      <c r="AK7135" t="s">
        <v>43</v>
      </c>
      <c r="AL7135" t="s">
        <v>43</v>
      </c>
      <c r="AM7135" t="s">
        <v>43</v>
      </c>
      <c r="AN7135" t="str">
        <f>HYPERLINK("https://www.google.com/maps?q=10.78964233,79.57881165","Open Location")</f>
        <v>Open Location</v>
      </c>
    </row>
    <row r="7136" spans="1:40" x14ac:dyDescent="0.3">
      <c r="A7136" s="1">
        <v>46210.173379629632</v>
      </c>
      <c r="B7136" t="s">
        <v>40</v>
      </c>
      <c r="C7136" t="s">
        <v>41</v>
      </c>
      <c r="D7136" s="1">
        <v>46210.17633101852</v>
      </c>
      <c r="E7136" t="s">
        <v>42</v>
      </c>
      <c r="F7136" t="s">
        <v>43</v>
      </c>
      <c r="G7136" t="s">
        <v>43</v>
      </c>
      <c r="H7136" t="s">
        <v>43</v>
      </c>
      <c r="I7136" t="s">
        <v>4116</v>
      </c>
      <c r="J7136" t="s">
        <v>43</v>
      </c>
      <c r="K7136" t="s">
        <v>43</v>
      </c>
      <c r="L7136" t="s">
        <v>43</v>
      </c>
      <c r="M7136" t="s">
        <v>43</v>
      </c>
      <c r="N7136" t="s">
        <v>45</v>
      </c>
      <c r="O7136" t="s">
        <v>43</v>
      </c>
      <c r="P7136" t="s">
        <v>43</v>
      </c>
      <c r="Q7136" t="s">
        <v>43</v>
      </c>
      <c r="R7136" t="s">
        <v>43</v>
      </c>
      <c r="S7136" t="s">
        <v>43</v>
      </c>
      <c r="T7136" t="s">
        <v>43</v>
      </c>
      <c r="U7136" t="s">
        <v>43</v>
      </c>
      <c r="V7136" t="s">
        <v>43</v>
      </c>
      <c r="W7136" t="s">
        <v>43</v>
      </c>
      <c r="X7136" t="s">
        <v>43</v>
      </c>
      <c r="Y7136" t="s">
        <v>43</v>
      </c>
      <c r="Z7136" t="s">
        <v>43</v>
      </c>
      <c r="AA7136" t="s">
        <v>43</v>
      </c>
      <c r="AB7136" t="s">
        <v>43</v>
      </c>
      <c r="AC7136" t="s">
        <v>43</v>
      </c>
      <c r="AD7136" t="s">
        <v>43</v>
      </c>
      <c r="AE7136" t="s">
        <v>43</v>
      </c>
      <c r="AF7136" t="s">
        <v>43</v>
      </c>
      <c r="AG7136" t="s">
        <v>43</v>
      </c>
      <c r="AH7136" t="s">
        <v>43</v>
      </c>
      <c r="AI7136" t="s">
        <v>43</v>
      </c>
      <c r="AJ7136" t="s">
        <v>43</v>
      </c>
      <c r="AK7136" t="s">
        <v>43</v>
      </c>
      <c r="AL7136" t="s">
        <v>43</v>
      </c>
      <c r="AM7136" t="s">
        <v>43</v>
      </c>
      <c r="AN7136" t="str">
        <f>HYPERLINK("https://www.google.com/maps?q=10.78964138,79.57881165","Open Location")</f>
        <v>Open Location</v>
      </c>
    </row>
    <row r="7137" spans="1:40" x14ac:dyDescent="0.3">
      <c r="A7137" s="1">
        <v>46210.173263888886</v>
      </c>
      <c r="B7137" t="s">
        <v>40</v>
      </c>
      <c r="C7137" t="s">
        <v>41</v>
      </c>
      <c r="D7137" s="1">
        <v>46210.17597222222</v>
      </c>
      <c r="E7137" t="s">
        <v>42</v>
      </c>
      <c r="F7137" t="s">
        <v>43</v>
      </c>
      <c r="G7137" t="s">
        <v>43</v>
      </c>
      <c r="H7137" t="s">
        <v>43</v>
      </c>
      <c r="I7137" t="s">
        <v>4147</v>
      </c>
      <c r="J7137" t="s">
        <v>43</v>
      </c>
      <c r="K7137" t="s">
        <v>43</v>
      </c>
      <c r="L7137" t="s">
        <v>43</v>
      </c>
      <c r="M7137" t="s">
        <v>43</v>
      </c>
      <c r="N7137" t="s">
        <v>45</v>
      </c>
      <c r="O7137" t="s">
        <v>43</v>
      </c>
      <c r="P7137" t="s">
        <v>43</v>
      </c>
      <c r="Q7137" t="s">
        <v>43</v>
      </c>
      <c r="R7137" t="s">
        <v>43</v>
      </c>
      <c r="S7137" t="s">
        <v>43</v>
      </c>
      <c r="T7137" t="s">
        <v>43</v>
      </c>
      <c r="U7137" t="s">
        <v>43</v>
      </c>
      <c r="V7137" t="s">
        <v>43</v>
      </c>
      <c r="W7137" t="s">
        <v>43</v>
      </c>
      <c r="X7137" t="s">
        <v>43</v>
      </c>
      <c r="Y7137" t="s">
        <v>43</v>
      </c>
      <c r="Z7137" t="s">
        <v>43</v>
      </c>
      <c r="AA7137" t="s">
        <v>43</v>
      </c>
      <c r="AB7137" t="s">
        <v>43</v>
      </c>
      <c r="AC7137" t="s">
        <v>43</v>
      </c>
      <c r="AD7137" t="s">
        <v>43</v>
      </c>
      <c r="AE7137" t="s">
        <v>43</v>
      </c>
      <c r="AF7137" t="s">
        <v>43</v>
      </c>
      <c r="AG7137" t="s">
        <v>43</v>
      </c>
      <c r="AH7137" t="s">
        <v>43</v>
      </c>
      <c r="AI7137" t="s">
        <v>43</v>
      </c>
      <c r="AJ7137" t="s">
        <v>43</v>
      </c>
      <c r="AK7137" t="s">
        <v>43</v>
      </c>
      <c r="AL7137" t="s">
        <v>43</v>
      </c>
      <c r="AM7137" t="s">
        <v>43</v>
      </c>
      <c r="AN7137" t="str">
        <f>HYPERLINK("https://www.google.com/maps?q=10.78963757,79.57881165","Open Location")</f>
        <v>Open Location</v>
      </c>
    </row>
    <row r="7138" spans="1:40" x14ac:dyDescent="0.3">
      <c r="A7138" s="1">
        <v>46210.173148148147</v>
      </c>
      <c r="B7138" t="s">
        <v>40</v>
      </c>
      <c r="C7138" t="s">
        <v>41</v>
      </c>
      <c r="D7138" s="1">
        <v>46210.17597222222</v>
      </c>
      <c r="E7138" t="s">
        <v>42</v>
      </c>
      <c r="F7138" t="s">
        <v>43</v>
      </c>
      <c r="G7138" t="s">
        <v>43</v>
      </c>
      <c r="H7138" t="s">
        <v>43</v>
      </c>
      <c r="I7138" t="s">
        <v>43</v>
      </c>
      <c r="J7138" t="s">
        <v>43</v>
      </c>
      <c r="K7138" t="s">
        <v>43</v>
      </c>
      <c r="L7138" t="s">
        <v>43</v>
      </c>
      <c r="M7138" t="s">
        <v>43</v>
      </c>
      <c r="N7138" t="s">
        <v>45</v>
      </c>
      <c r="O7138" t="s">
        <v>43</v>
      </c>
      <c r="P7138" t="s">
        <v>43</v>
      </c>
      <c r="Q7138" t="s">
        <v>43</v>
      </c>
      <c r="R7138" t="s">
        <v>43</v>
      </c>
      <c r="S7138" t="s">
        <v>43</v>
      </c>
      <c r="T7138" t="s">
        <v>43</v>
      </c>
      <c r="U7138" t="s">
        <v>43</v>
      </c>
      <c r="V7138" t="s">
        <v>43</v>
      </c>
      <c r="W7138" t="s">
        <v>43</v>
      </c>
      <c r="X7138" t="s">
        <v>43</v>
      </c>
      <c r="Y7138" t="s">
        <v>43</v>
      </c>
      <c r="Z7138" t="s">
        <v>43</v>
      </c>
      <c r="AA7138" t="s">
        <v>43</v>
      </c>
      <c r="AB7138" t="s">
        <v>43</v>
      </c>
      <c r="AC7138" t="s">
        <v>43</v>
      </c>
      <c r="AD7138" t="s">
        <v>43</v>
      </c>
      <c r="AE7138" t="s">
        <v>43</v>
      </c>
      <c r="AF7138" t="s">
        <v>43</v>
      </c>
      <c r="AG7138" t="s">
        <v>43</v>
      </c>
      <c r="AH7138" t="s">
        <v>43</v>
      </c>
      <c r="AI7138" t="s">
        <v>43</v>
      </c>
      <c r="AJ7138" t="s">
        <v>43</v>
      </c>
      <c r="AK7138" t="s">
        <v>43</v>
      </c>
      <c r="AL7138" t="s">
        <v>43</v>
      </c>
      <c r="AM7138" t="s">
        <v>43</v>
      </c>
      <c r="AN7138" t="s">
        <v>43</v>
      </c>
    </row>
    <row r="7139" spans="1:40" x14ac:dyDescent="0.3">
      <c r="A7139" s="1">
        <v>46210.173032407409</v>
      </c>
      <c r="B7139" t="s">
        <v>40</v>
      </c>
      <c r="C7139" t="s">
        <v>41</v>
      </c>
      <c r="D7139" s="1">
        <v>46210.175613425927</v>
      </c>
      <c r="E7139" t="s">
        <v>42</v>
      </c>
      <c r="F7139" t="s">
        <v>43</v>
      </c>
      <c r="G7139" t="s">
        <v>43</v>
      </c>
      <c r="H7139" t="s">
        <v>43</v>
      </c>
      <c r="I7139" t="s">
        <v>43</v>
      </c>
      <c r="J7139" t="s">
        <v>43</v>
      </c>
      <c r="K7139" t="s">
        <v>43</v>
      </c>
      <c r="L7139" t="s">
        <v>43</v>
      </c>
      <c r="M7139" t="s">
        <v>43</v>
      </c>
      <c r="N7139" t="s">
        <v>45</v>
      </c>
      <c r="O7139" t="s">
        <v>43</v>
      </c>
      <c r="P7139" t="s">
        <v>43</v>
      </c>
      <c r="Q7139" t="s">
        <v>43</v>
      </c>
      <c r="R7139" t="s">
        <v>43</v>
      </c>
      <c r="S7139" t="s">
        <v>43</v>
      </c>
      <c r="T7139" t="s">
        <v>43</v>
      </c>
      <c r="U7139" t="s">
        <v>43</v>
      </c>
      <c r="V7139" t="s">
        <v>43</v>
      </c>
      <c r="W7139" t="s">
        <v>43</v>
      </c>
      <c r="X7139" t="s">
        <v>43</v>
      </c>
      <c r="Y7139" t="s">
        <v>43</v>
      </c>
      <c r="Z7139" t="s">
        <v>43</v>
      </c>
      <c r="AA7139" t="s">
        <v>43</v>
      </c>
      <c r="AB7139" t="s">
        <v>43</v>
      </c>
      <c r="AC7139" t="s">
        <v>43</v>
      </c>
      <c r="AD7139" t="s">
        <v>43</v>
      </c>
      <c r="AE7139" t="s">
        <v>43</v>
      </c>
      <c r="AF7139" t="s">
        <v>43</v>
      </c>
      <c r="AG7139" t="s">
        <v>43</v>
      </c>
      <c r="AH7139" t="s">
        <v>43</v>
      </c>
      <c r="AI7139" t="s">
        <v>43</v>
      </c>
      <c r="AJ7139" t="s">
        <v>43</v>
      </c>
      <c r="AK7139" t="s">
        <v>43</v>
      </c>
      <c r="AL7139" t="s">
        <v>43</v>
      </c>
      <c r="AM7139" t="s">
        <v>43</v>
      </c>
      <c r="AN7139" t="s">
        <v>43</v>
      </c>
    </row>
    <row r="7140" spans="1:40" x14ac:dyDescent="0.3">
      <c r="A7140" s="1">
        <v>46210.17291666667</v>
      </c>
      <c r="B7140" t="s">
        <v>40</v>
      </c>
      <c r="C7140" t="s">
        <v>41</v>
      </c>
      <c r="D7140" s="1">
        <v>46210.17597222222</v>
      </c>
      <c r="E7140" t="s">
        <v>42</v>
      </c>
      <c r="F7140" t="s">
        <v>43</v>
      </c>
      <c r="G7140" t="s">
        <v>43</v>
      </c>
      <c r="H7140" t="s">
        <v>43</v>
      </c>
      <c r="I7140" t="s">
        <v>4052</v>
      </c>
      <c r="J7140" t="s">
        <v>43</v>
      </c>
      <c r="K7140" t="s">
        <v>43</v>
      </c>
      <c r="L7140" t="s">
        <v>43</v>
      </c>
      <c r="M7140" t="s">
        <v>43</v>
      </c>
      <c r="N7140" t="s">
        <v>45</v>
      </c>
      <c r="O7140" t="s">
        <v>43</v>
      </c>
      <c r="P7140" t="s">
        <v>43</v>
      </c>
      <c r="Q7140" t="s">
        <v>43</v>
      </c>
      <c r="R7140" t="s">
        <v>43</v>
      </c>
      <c r="S7140" t="s">
        <v>43</v>
      </c>
      <c r="T7140" t="s">
        <v>43</v>
      </c>
      <c r="U7140" t="s">
        <v>43</v>
      </c>
      <c r="V7140" t="s">
        <v>43</v>
      </c>
      <c r="W7140" t="s">
        <v>43</v>
      </c>
      <c r="X7140" t="s">
        <v>43</v>
      </c>
      <c r="Y7140" t="s">
        <v>43</v>
      </c>
      <c r="Z7140" t="s">
        <v>43</v>
      </c>
      <c r="AA7140" t="s">
        <v>43</v>
      </c>
      <c r="AB7140" t="s">
        <v>43</v>
      </c>
      <c r="AC7140" t="s">
        <v>43</v>
      </c>
      <c r="AD7140" t="s">
        <v>43</v>
      </c>
      <c r="AE7140" t="s">
        <v>43</v>
      </c>
      <c r="AF7140" t="s">
        <v>43</v>
      </c>
      <c r="AG7140" t="s">
        <v>43</v>
      </c>
      <c r="AH7140" t="s">
        <v>43</v>
      </c>
      <c r="AI7140" t="s">
        <v>43</v>
      </c>
      <c r="AJ7140" t="s">
        <v>43</v>
      </c>
      <c r="AK7140" t="s">
        <v>43</v>
      </c>
      <c r="AL7140" t="s">
        <v>43</v>
      </c>
      <c r="AM7140" t="s">
        <v>43</v>
      </c>
      <c r="AN7140" t="str">
        <f>HYPERLINK("https://www.google.com/maps?q=10.7896471,79.57881165","Open Location")</f>
        <v>Open Location</v>
      </c>
    </row>
    <row r="7141" spans="1:40" x14ac:dyDescent="0.3">
      <c r="A7141" s="1">
        <v>46210.172800925924</v>
      </c>
      <c r="B7141" t="s">
        <v>40</v>
      </c>
      <c r="C7141" t="s">
        <v>41</v>
      </c>
      <c r="D7141" s="1">
        <v>46210.175613425927</v>
      </c>
      <c r="E7141" t="s">
        <v>42</v>
      </c>
      <c r="F7141" t="s">
        <v>43</v>
      </c>
      <c r="G7141" t="s">
        <v>43</v>
      </c>
      <c r="H7141" t="s">
        <v>43</v>
      </c>
      <c r="I7141" t="s">
        <v>4095</v>
      </c>
      <c r="J7141" t="s">
        <v>43</v>
      </c>
      <c r="K7141" t="s">
        <v>43</v>
      </c>
      <c r="L7141" t="s">
        <v>43</v>
      </c>
      <c r="M7141" t="s">
        <v>43</v>
      </c>
      <c r="N7141" t="s">
        <v>45</v>
      </c>
      <c r="O7141" t="s">
        <v>43</v>
      </c>
      <c r="P7141" t="s">
        <v>43</v>
      </c>
      <c r="Q7141" t="s">
        <v>43</v>
      </c>
      <c r="R7141" t="s">
        <v>43</v>
      </c>
      <c r="S7141" t="s">
        <v>43</v>
      </c>
      <c r="T7141" t="s">
        <v>43</v>
      </c>
      <c r="U7141" t="s">
        <v>43</v>
      </c>
      <c r="V7141" t="s">
        <v>43</v>
      </c>
      <c r="W7141" t="s">
        <v>43</v>
      </c>
      <c r="X7141" t="s">
        <v>43</v>
      </c>
      <c r="Y7141" t="s">
        <v>43</v>
      </c>
      <c r="Z7141" t="s">
        <v>43</v>
      </c>
      <c r="AA7141" t="s">
        <v>43</v>
      </c>
      <c r="AB7141" t="s">
        <v>43</v>
      </c>
      <c r="AC7141" t="s">
        <v>43</v>
      </c>
      <c r="AD7141" t="s">
        <v>43</v>
      </c>
      <c r="AE7141" t="s">
        <v>43</v>
      </c>
      <c r="AF7141" t="s">
        <v>43</v>
      </c>
      <c r="AG7141" t="s">
        <v>43</v>
      </c>
      <c r="AH7141" t="s">
        <v>43</v>
      </c>
      <c r="AI7141" t="s">
        <v>43</v>
      </c>
      <c r="AJ7141" t="s">
        <v>43</v>
      </c>
      <c r="AK7141" t="s">
        <v>43</v>
      </c>
      <c r="AL7141" t="s">
        <v>43</v>
      </c>
      <c r="AM7141" t="s">
        <v>43</v>
      </c>
      <c r="AN7141" t="str">
        <f>HYPERLINK("https://www.google.com/maps?q=10.78965569,79.57881927","Open Location")</f>
        <v>Open Location</v>
      </c>
    </row>
    <row r="7142" spans="1:40" x14ac:dyDescent="0.3">
      <c r="A7142" s="1">
        <v>46210.172685185185</v>
      </c>
      <c r="B7142" t="s">
        <v>40</v>
      </c>
      <c r="C7142" t="s">
        <v>41</v>
      </c>
      <c r="D7142" s="1">
        <v>46210.175555555557</v>
      </c>
      <c r="E7142" t="s">
        <v>42</v>
      </c>
      <c r="F7142" t="s">
        <v>43</v>
      </c>
      <c r="G7142" t="s">
        <v>43</v>
      </c>
      <c r="H7142" t="s">
        <v>43</v>
      </c>
      <c r="I7142" t="s">
        <v>43</v>
      </c>
      <c r="J7142" t="s">
        <v>43</v>
      </c>
      <c r="K7142" t="s">
        <v>43</v>
      </c>
      <c r="L7142" t="s">
        <v>43</v>
      </c>
      <c r="M7142" t="s">
        <v>43</v>
      </c>
      <c r="N7142" t="s">
        <v>45</v>
      </c>
      <c r="O7142" t="s">
        <v>43</v>
      </c>
      <c r="P7142" t="s">
        <v>43</v>
      </c>
      <c r="Q7142" t="s">
        <v>43</v>
      </c>
      <c r="R7142" t="s">
        <v>43</v>
      </c>
      <c r="S7142" t="s">
        <v>43</v>
      </c>
      <c r="T7142" t="s">
        <v>43</v>
      </c>
      <c r="U7142" t="s">
        <v>43</v>
      </c>
      <c r="V7142" t="s">
        <v>43</v>
      </c>
      <c r="W7142" t="s">
        <v>43</v>
      </c>
      <c r="X7142" t="s">
        <v>43</v>
      </c>
      <c r="Y7142" t="s">
        <v>43</v>
      </c>
      <c r="Z7142" t="s">
        <v>43</v>
      </c>
      <c r="AA7142" t="s">
        <v>43</v>
      </c>
      <c r="AB7142" t="s">
        <v>43</v>
      </c>
      <c r="AC7142" t="s">
        <v>43</v>
      </c>
      <c r="AD7142" t="s">
        <v>43</v>
      </c>
      <c r="AE7142" t="s">
        <v>43</v>
      </c>
      <c r="AF7142" t="s">
        <v>43</v>
      </c>
      <c r="AG7142" t="s">
        <v>43</v>
      </c>
      <c r="AH7142" t="s">
        <v>43</v>
      </c>
      <c r="AI7142" t="s">
        <v>43</v>
      </c>
      <c r="AJ7142" t="s">
        <v>43</v>
      </c>
      <c r="AK7142" t="s">
        <v>43</v>
      </c>
      <c r="AL7142" t="s">
        <v>43</v>
      </c>
      <c r="AM7142" t="s">
        <v>43</v>
      </c>
      <c r="AN7142" t="s">
        <v>43</v>
      </c>
    </row>
    <row r="7143" spans="1:40" x14ac:dyDescent="0.3">
      <c r="A7143" s="1">
        <v>46210.172569444447</v>
      </c>
      <c r="B7143" t="s">
        <v>40</v>
      </c>
      <c r="C7143" t="s">
        <v>41</v>
      </c>
      <c r="D7143" s="1">
        <v>46210.175613425927</v>
      </c>
      <c r="E7143" t="s">
        <v>42</v>
      </c>
      <c r="F7143" t="s">
        <v>43</v>
      </c>
      <c r="G7143" t="s">
        <v>43</v>
      </c>
      <c r="H7143" t="s">
        <v>43</v>
      </c>
      <c r="I7143" t="s">
        <v>4148</v>
      </c>
      <c r="J7143" t="s">
        <v>43</v>
      </c>
      <c r="K7143" t="s">
        <v>43</v>
      </c>
      <c r="L7143" t="s">
        <v>43</v>
      </c>
      <c r="M7143" t="s">
        <v>43</v>
      </c>
      <c r="N7143" t="s">
        <v>45</v>
      </c>
      <c r="O7143" t="s">
        <v>43</v>
      </c>
      <c r="P7143" t="s">
        <v>43</v>
      </c>
      <c r="Q7143" t="s">
        <v>43</v>
      </c>
      <c r="R7143" t="s">
        <v>43</v>
      </c>
      <c r="S7143" t="s">
        <v>43</v>
      </c>
      <c r="T7143" t="s">
        <v>43</v>
      </c>
      <c r="U7143" t="s">
        <v>43</v>
      </c>
      <c r="V7143" t="s">
        <v>43</v>
      </c>
      <c r="W7143" t="s">
        <v>43</v>
      </c>
      <c r="X7143" t="s">
        <v>43</v>
      </c>
      <c r="Y7143" t="s">
        <v>43</v>
      </c>
      <c r="Z7143" t="s">
        <v>43</v>
      </c>
      <c r="AA7143" t="s">
        <v>43</v>
      </c>
      <c r="AB7143" t="s">
        <v>43</v>
      </c>
      <c r="AC7143" t="s">
        <v>43</v>
      </c>
      <c r="AD7143" t="s">
        <v>43</v>
      </c>
      <c r="AE7143" t="s">
        <v>43</v>
      </c>
      <c r="AF7143" t="s">
        <v>43</v>
      </c>
      <c r="AG7143" t="s">
        <v>43</v>
      </c>
      <c r="AH7143" t="s">
        <v>43</v>
      </c>
      <c r="AI7143" t="s">
        <v>43</v>
      </c>
      <c r="AJ7143" t="s">
        <v>43</v>
      </c>
      <c r="AK7143" t="s">
        <v>43</v>
      </c>
      <c r="AL7143" t="s">
        <v>43</v>
      </c>
      <c r="AM7143" t="s">
        <v>43</v>
      </c>
      <c r="AN7143" t="str">
        <f>HYPERLINK("https://www.google.com/maps?q=10.78966236,79.57881927","Open Location")</f>
        <v>Open Location</v>
      </c>
    </row>
    <row r="7144" spans="1:40" x14ac:dyDescent="0.3">
      <c r="A7144" s="1">
        <v>46210.172453703701</v>
      </c>
      <c r="B7144" t="s">
        <v>40</v>
      </c>
      <c r="C7144" t="s">
        <v>41</v>
      </c>
      <c r="D7144" s="1">
        <v>46210.175486111111</v>
      </c>
      <c r="E7144" t="s">
        <v>42</v>
      </c>
      <c r="F7144" t="s">
        <v>43</v>
      </c>
      <c r="G7144" t="s">
        <v>43</v>
      </c>
      <c r="H7144" t="s">
        <v>43</v>
      </c>
      <c r="I7144" t="s">
        <v>3923</v>
      </c>
      <c r="J7144" t="s">
        <v>43</v>
      </c>
      <c r="K7144" t="s">
        <v>43</v>
      </c>
      <c r="L7144" t="s">
        <v>43</v>
      </c>
      <c r="M7144" t="s">
        <v>43</v>
      </c>
      <c r="N7144" t="s">
        <v>45</v>
      </c>
      <c r="O7144" t="s">
        <v>43</v>
      </c>
      <c r="P7144" t="s">
        <v>43</v>
      </c>
      <c r="Q7144" t="s">
        <v>43</v>
      </c>
      <c r="R7144" t="s">
        <v>43</v>
      </c>
      <c r="S7144" t="s">
        <v>43</v>
      </c>
      <c r="T7144" t="s">
        <v>43</v>
      </c>
      <c r="U7144" t="s">
        <v>43</v>
      </c>
      <c r="V7144" t="s">
        <v>43</v>
      </c>
      <c r="W7144" t="s">
        <v>43</v>
      </c>
      <c r="X7144" t="s">
        <v>43</v>
      </c>
      <c r="Y7144" t="s">
        <v>43</v>
      </c>
      <c r="Z7144" t="s">
        <v>43</v>
      </c>
      <c r="AA7144" t="s">
        <v>43</v>
      </c>
      <c r="AB7144" t="s">
        <v>43</v>
      </c>
      <c r="AC7144" t="s">
        <v>43</v>
      </c>
      <c r="AD7144" t="s">
        <v>43</v>
      </c>
      <c r="AE7144" t="s">
        <v>43</v>
      </c>
      <c r="AF7144" t="s">
        <v>43</v>
      </c>
      <c r="AG7144" t="s">
        <v>43</v>
      </c>
      <c r="AH7144" t="s">
        <v>43</v>
      </c>
      <c r="AI7144" t="s">
        <v>43</v>
      </c>
      <c r="AJ7144" t="s">
        <v>43</v>
      </c>
      <c r="AK7144" t="s">
        <v>43</v>
      </c>
      <c r="AL7144" t="s">
        <v>43</v>
      </c>
      <c r="AM7144" t="s">
        <v>43</v>
      </c>
      <c r="AN7144" t="str">
        <f>HYPERLINK("https://www.google.com/maps?q=10.78966045,79.57881927","Open Location")</f>
        <v>Open Location</v>
      </c>
    </row>
    <row r="7145" spans="1:40" x14ac:dyDescent="0.3">
      <c r="A7145" s="1">
        <v>46210.172337962962</v>
      </c>
      <c r="B7145" t="s">
        <v>40</v>
      </c>
      <c r="C7145" t="s">
        <v>41</v>
      </c>
      <c r="D7145" s="1">
        <v>46210.175254629627</v>
      </c>
      <c r="E7145" t="s">
        <v>42</v>
      </c>
      <c r="F7145" t="s">
        <v>43</v>
      </c>
      <c r="G7145" t="s">
        <v>43</v>
      </c>
      <c r="H7145" t="s">
        <v>43</v>
      </c>
      <c r="I7145" t="s">
        <v>4010</v>
      </c>
      <c r="J7145" t="s">
        <v>43</v>
      </c>
      <c r="K7145" t="s">
        <v>43</v>
      </c>
      <c r="L7145" t="s">
        <v>43</v>
      </c>
      <c r="M7145" t="s">
        <v>43</v>
      </c>
      <c r="N7145" t="s">
        <v>45</v>
      </c>
      <c r="O7145" t="s">
        <v>43</v>
      </c>
      <c r="P7145" t="s">
        <v>43</v>
      </c>
      <c r="Q7145" t="s">
        <v>43</v>
      </c>
      <c r="R7145" t="s">
        <v>43</v>
      </c>
      <c r="S7145" t="s">
        <v>43</v>
      </c>
      <c r="T7145" t="s">
        <v>43</v>
      </c>
      <c r="U7145" t="s">
        <v>43</v>
      </c>
      <c r="V7145" t="s">
        <v>43</v>
      </c>
      <c r="W7145" t="s">
        <v>43</v>
      </c>
      <c r="X7145" t="s">
        <v>43</v>
      </c>
      <c r="Y7145" t="s">
        <v>43</v>
      </c>
      <c r="Z7145" t="s">
        <v>43</v>
      </c>
      <c r="AA7145" t="s">
        <v>43</v>
      </c>
      <c r="AB7145" t="s">
        <v>43</v>
      </c>
      <c r="AC7145" t="s">
        <v>43</v>
      </c>
      <c r="AD7145" t="s">
        <v>43</v>
      </c>
      <c r="AE7145" t="s">
        <v>43</v>
      </c>
      <c r="AF7145" t="s">
        <v>43</v>
      </c>
      <c r="AG7145" t="s">
        <v>43</v>
      </c>
      <c r="AH7145" t="s">
        <v>43</v>
      </c>
      <c r="AI7145" t="s">
        <v>43</v>
      </c>
      <c r="AJ7145" t="s">
        <v>43</v>
      </c>
      <c r="AK7145" t="s">
        <v>43</v>
      </c>
      <c r="AL7145" t="s">
        <v>43</v>
      </c>
      <c r="AM7145" t="s">
        <v>43</v>
      </c>
      <c r="AN7145" t="str">
        <f>HYPERLINK("https://www.google.com/maps?q=10.78966331,79.57881927","Open Location")</f>
        <v>Open Location</v>
      </c>
    </row>
    <row r="7146" spans="1:40" x14ac:dyDescent="0.3">
      <c r="A7146" s="1">
        <v>46210.172222222223</v>
      </c>
      <c r="B7146" t="s">
        <v>40</v>
      </c>
      <c r="C7146" t="s">
        <v>41</v>
      </c>
      <c r="D7146" s="1">
        <v>46210.175115740742</v>
      </c>
      <c r="E7146" t="s">
        <v>42</v>
      </c>
      <c r="F7146" t="s">
        <v>43</v>
      </c>
      <c r="G7146" t="s">
        <v>43</v>
      </c>
      <c r="H7146" t="s">
        <v>43</v>
      </c>
      <c r="I7146" t="s">
        <v>4009</v>
      </c>
      <c r="J7146" t="s">
        <v>43</v>
      </c>
      <c r="K7146" t="s">
        <v>43</v>
      </c>
      <c r="L7146" t="s">
        <v>43</v>
      </c>
      <c r="M7146" t="s">
        <v>43</v>
      </c>
      <c r="N7146" t="s">
        <v>45</v>
      </c>
      <c r="O7146" t="s">
        <v>43</v>
      </c>
      <c r="P7146" t="s">
        <v>43</v>
      </c>
      <c r="Q7146" t="s">
        <v>43</v>
      </c>
      <c r="R7146" t="s">
        <v>43</v>
      </c>
      <c r="S7146" t="s">
        <v>43</v>
      </c>
      <c r="T7146" t="s">
        <v>43</v>
      </c>
      <c r="U7146" t="s">
        <v>43</v>
      </c>
      <c r="V7146" t="s">
        <v>43</v>
      </c>
      <c r="W7146" t="s">
        <v>43</v>
      </c>
      <c r="X7146" t="s">
        <v>43</v>
      </c>
      <c r="Y7146" t="s">
        <v>43</v>
      </c>
      <c r="Z7146" t="s">
        <v>43</v>
      </c>
      <c r="AA7146" t="s">
        <v>43</v>
      </c>
      <c r="AB7146" t="s">
        <v>43</v>
      </c>
      <c r="AC7146" t="s">
        <v>43</v>
      </c>
      <c r="AD7146" t="s">
        <v>43</v>
      </c>
      <c r="AE7146" t="s">
        <v>43</v>
      </c>
      <c r="AF7146" t="s">
        <v>43</v>
      </c>
      <c r="AG7146" t="s">
        <v>43</v>
      </c>
      <c r="AH7146" t="s">
        <v>43</v>
      </c>
      <c r="AI7146" t="s">
        <v>43</v>
      </c>
      <c r="AJ7146" t="s">
        <v>43</v>
      </c>
      <c r="AK7146" t="s">
        <v>43</v>
      </c>
      <c r="AL7146" t="s">
        <v>43</v>
      </c>
      <c r="AM7146" t="s">
        <v>43</v>
      </c>
      <c r="AN7146" t="str">
        <f>HYPERLINK("https://www.google.com/maps?q=10.78966618,79.57881927","Open Location")</f>
        <v>Open Location</v>
      </c>
    </row>
    <row r="7147" spans="1:40" x14ac:dyDescent="0.3">
      <c r="A7147" s="1">
        <v>46210.172106481485</v>
      </c>
      <c r="B7147" t="s">
        <v>40</v>
      </c>
      <c r="C7147" t="s">
        <v>41</v>
      </c>
      <c r="D7147" s="1">
        <v>46210.174895833334</v>
      </c>
      <c r="E7147" t="s">
        <v>42</v>
      </c>
      <c r="F7147" t="s">
        <v>43</v>
      </c>
      <c r="G7147" t="s">
        <v>43</v>
      </c>
      <c r="H7147" t="s">
        <v>43</v>
      </c>
      <c r="I7147" t="s">
        <v>43</v>
      </c>
      <c r="J7147" t="s">
        <v>43</v>
      </c>
      <c r="K7147" t="s">
        <v>43</v>
      </c>
      <c r="L7147" t="s">
        <v>43</v>
      </c>
      <c r="M7147" t="s">
        <v>43</v>
      </c>
      <c r="N7147" t="s">
        <v>45</v>
      </c>
      <c r="O7147" t="s">
        <v>43</v>
      </c>
      <c r="P7147" t="s">
        <v>43</v>
      </c>
      <c r="Q7147" t="s">
        <v>43</v>
      </c>
      <c r="R7147" t="s">
        <v>43</v>
      </c>
      <c r="S7147" t="s">
        <v>43</v>
      </c>
      <c r="T7147" t="s">
        <v>43</v>
      </c>
      <c r="U7147" t="s">
        <v>43</v>
      </c>
      <c r="V7147" t="s">
        <v>43</v>
      </c>
      <c r="W7147" t="s">
        <v>43</v>
      </c>
      <c r="X7147" t="s">
        <v>43</v>
      </c>
      <c r="Y7147" t="s">
        <v>43</v>
      </c>
      <c r="Z7147" t="s">
        <v>43</v>
      </c>
      <c r="AA7147" t="s">
        <v>43</v>
      </c>
      <c r="AB7147" t="s">
        <v>43</v>
      </c>
      <c r="AC7147" t="s">
        <v>43</v>
      </c>
      <c r="AD7147" t="s">
        <v>43</v>
      </c>
      <c r="AE7147" t="s">
        <v>43</v>
      </c>
      <c r="AF7147" t="s">
        <v>43</v>
      </c>
      <c r="AG7147" t="s">
        <v>43</v>
      </c>
      <c r="AH7147" t="s">
        <v>43</v>
      </c>
      <c r="AI7147" t="s">
        <v>43</v>
      </c>
      <c r="AJ7147" t="s">
        <v>43</v>
      </c>
      <c r="AK7147" t="s">
        <v>43</v>
      </c>
      <c r="AL7147" t="s">
        <v>43</v>
      </c>
      <c r="AM7147" t="s">
        <v>43</v>
      </c>
      <c r="AN7147" t="s">
        <v>43</v>
      </c>
    </row>
    <row r="7148" spans="1:40" x14ac:dyDescent="0.3">
      <c r="A7148" s="1">
        <v>46210.171990740739</v>
      </c>
      <c r="B7148" t="s">
        <v>40</v>
      </c>
      <c r="C7148" t="s">
        <v>41</v>
      </c>
      <c r="D7148" s="1">
        <v>46210.174884259257</v>
      </c>
      <c r="E7148" t="s">
        <v>42</v>
      </c>
      <c r="F7148" t="s">
        <v>43</v>
      </c>
      <c r="G7148" t="s">
        <v>43</v>
      </c>
      <c r="H7148" t="s">
        <v>43</v>
      </c>
      <c r="I7148" t="s">
        <v>4149</v>
      </c>
      <c r="J7148" t="s">
        <v>43</v>
      </c>
      <c r="K7148" t="s">
        <v>43</v>
      </c>
      <c r="L7148" t="s">
        <v>43</v>
      </c>
      <c r="M7148" t="s">
        <v>43</v>
      </c>
      <c r="N7148" t="s">
        <v>45</v>
      </c>
      <c r="O7148" t="s">
        <v>43</v>
      </c>
      <c r="P7148" t="s">
        <v>43</v>
      </c>
      <c r="Q7148" t="s">
        <v>43</v>
      </c>
      <c r="R7148" t="s">
        <v>43</v>
      </c>
      <c r="S7148" t="s">
        <v>43</v>
      </c>
      <c r="T7148" t="s">
        <v>43</v>
      </c>
      <c r="U7148" t="s">
        <v>43</v>
      </c>
      <c r="V7148" t="s">
        <v>43</v>
      </c>
      <c r="W7148" t="s">
        <v>43</v>
      </c>
      <c r="X7148" t="s">
        <v>43</v>
      </c>
      <c r="Y7148" t="s">
        <v>43</v>
      </c>
      <c r="Z7148" t="s">
        <v>43</v>
      </c>
      <c r="AA7148" t="s">
        <v>43</v>
      </c>
      <c r="AB7148" t="s">
        <v>43</v>
      </c>
      <c r="AC7148" t="s">
        <v>43</v>
      </c>
      <c r="AD7148" t="s">
        <v>43</v>
      </c>
      <c r="AE7148" t="s">
        <v>43</v>
      </c>
      <c r="AF7148" t="s">
        <v>43</v>
      </c>
      <c r="AG7148" t="s">
        <v>43</v>
      </c>
      <c r="AH7148" t="s">
        <v>43</v>
      </c>
      <c r="AI7148" t="s">
        <v>43</v>
      </c>
      <c r="AJ7148" t="s">
        <v>43</v>
      </c>
      <c r="AK7148" t="s">
        <v>43</v>
      </c>
      <c r="AL7148" t="s">
        <v>43</v>
      </c>
      <c r="AM7148" t="s">
        <v>43</v>
      </c>
      <c r="AN7148" t="str">
        <f>HYPERLINK("https://www.google.com/maps?q=10.78966522,79.5788269","Open Location")</f>
        <v>Open Location</v>
      </c>
    </row>
    <row r="7149" spans="1:40" x14ac:dyDescent="0.3">
      <c r="A7149" s="1">
        <v>46210.171875</v>
      </c>
      <c r="B7149" t="s">
        <v>40</v>
      </c>
      <c r="C7149" t="s">
        <v>41</v>
      </c>
      <c r="D7149" s="1">
        <v>46210.174884259257</v>
      </c>
      <c r="E7149" t="s">
        <v>42</v>
      </c>
      <c r="F7149" t="s">
        <v>43</v>
      </c>
      <c r="G7149" t="s">
        <v>43</v>
      </c>
      <c r="H7149" t="s">
        <v>43</v>
      </c>
      <c r="I7149" t="s">
        <v>4150</v>
      </c>
      <c r="J7149" t="s">
        <v>43</v>
      </c>
      <c r="K7149" t="s">
        <v>43</v>
      </c>
      <c r="L7149" t="s">
        <v>43</v>
      </c>
      <c r="M7149" t="s">
        <v>43</v>
      </c>
      <c r="N7149" t="s">
        <v>45</v>
      </c>
      <c r="O7149" t="s">
        <v>43</v>
      </c>
      <c r="P7149" t="s">
        <v>43</v>
      </c>
      <c r="Q7149" t="s">
        <v>43</v>
      </c>
      <c r="R7149" t="s">
        <v>43</v>
      </c>
      <c r="S7149" t="s">
        <v>43</v>
      </c>
      <c r="T7149" t="s">
        <v>43</v>
      </c>
      <c r="U7149" t="s">
        <v>43</v>
      </c>
      <c r="V7149" t="s">
        <v>43</v>
      </c>
      <c r="W7149" t="s">
        <v>43</v>
      </c>
      <c r="X7149" t="s">
        <v>43</v>
      </c>
      <c r="Y7149" t="s">
        <v>43</v>
      </c>
      <c r="Z7149" t="s">
        <v>43</v>
      </c>
      <c r="AA7149" t="s">
        <v>43</v>
      </c>
      <c r="AB7149" t="s">
        <v>43</v>
      </c>
      <c r="AC7149" t="s">
        <v>43</v>
      </c>
      <c r="AD7149" t="s">
        <v>43</v>
      </c>
      <c r="AE7149" t="s">
        <v>43</v>
      </c>
      <c r="AF7149" t="s">
        <v>43</v>
      </c>
      <c r="AG7149" t="s">
        <v>43</v>
      </c>
      <c r="AH7149" t="s">
        <v>43</v>
      </c>
      <c r="AI7149" t="s">
        <v>43</v>
      </c>
      <c r="AJ7149" t="s">
        <v>43</v>
      </c>
      <c r="AK7149" t="s">
        <v>43</v>
      </c>
      <c r="AL7149" t="s">
        <v>43</v>
      </c>
      <c r="AM7149" t="s">
        <v>43</v>
      </c>
      <c r="AN7149" t="str">
        <f>HYPERLINK("https://www.google.com/maps?q=10.78967667,79.57881927","Open Location")</f>
        <v>Open Location</v>
      </c>
    </row>
    <row r="7150" spans="1:40" x14ac:dyDescent="0.3">
      <c r="A7150" s="1">
        <v>46210.171759259261</v>
      </c>
      <c r="B7150" t="s">
        <v>40</v>
      </c>
      <c r="C7150" t="s">
        <v>41</v>
      </c>
      <c r="D7150" s="1">
        <v>46210.174872685187</v>
      </c>
      <c r="E7150" t="s">
        <v>42</v>
      </c>
      <c r="F7150" t="s">
        <v>43</v>
      </c>
      <c r="G7150" t="s">
        <v>43</v>
      </c>
      <c r="H7150" t="s">
        <v>43</v>
      </c>
      <c r="I7150" t="s">
        <v>4151</v>
      </c>
      <c r="J7150" t="s">
        <v>43</v>
      </c>
      <c r="K7150" t="s">
        <v>43</v>
      </c>
      <c r="L7150" t="s">
        <v>43</v>
      </c>
      <c r="M7150" t="s">
        <v>43</v>
      </c>
      <c r="N7150" t="s">
        <v>45</v>
      </c>
      <c r="O7150" t="s">
        <v>43</v>
      </c>
      <c r="P7150" t="s">
        <v>43</v>
      </c>
      <c r="Q7150" t="s">
        <v>43</v>
      </c>
      <c r="R7150" t="s">
        <v>43</v>
      </c>
      <c r="S7150" t="s">
        <v>43</v>
      </c>
      <c r="T7150" t="s">
        <v>43</v>
      </c>
      <c r="U7150" t="s">
        <v>43</v>
      </c>
      <c r="V7150" t="s">
        <v>43</v>
      </c>
      <c r="W7150" t="s">
        <v>43</v>
      </c>
      <c r="X7150" t="s">
        <v>43</v>
      </c>
      <c r="Y7150" t="s">
        <v>43</v>
      </c>
      <c r="Z7150" t="s">
        <v>43</v>
      </c>
      <c r="AA7150" t="s">
        <v>43</v>
      </c>
      <c r="AB7150" t="s">
        <v>43</v>
      </c>
      <c r="AC7150" t="s">
        <v>43</v>
      </c>
      <c r="AD7150" t="s">
        <v>43</v>
      </c>
      <c r="AE7150" t="s">
        <v>43</v>
      </c>
      <c r="AF7150" t="s">
        <v>43</v>
      </c>
      <c r="AG7150" t="s">
        <v>43</v>
      </c>
      <c r="AH7150" t="s">
        <v>43</v>
      </c>
      <c r="AI7150" t="s">
        <v>43</v>
      </c>
      <c r="AJ7150" t="s">
        <v>43</v>
      </c>
      <c r="AK7150" t="s">
        <v>43</v>
      </c>
      <c r="AL7150" t="s">
        <v>43</v>
      </c>
      <c r="AM7150" t="s">
        <v>43</v>
      </c>
      <c r="AN7150" t="str">
        <f>HYPERLINK("https://www.google.com/maps?q=10.78968525,79.57881165","Open Location")</f>
        <v>Open Location</v>
      </c>
    </row>
    <row r="7151" spans="1:40" x14ac:dyDescent="0.3">
      <c r="A7151" s="1">
        <v>46210.171643518515</v>
      </c>
      <c r="B7151" t="s">
        <v>40</v>
      </c>
      <c r="C7151" t="s">
        <v>41</v>
      </c>
      <c r="D7151" s="1">
        <v>46210.174502314818</v>
      </c>
      <c r="E7151" t="s">
        <v>42</v>
      </c>
      <c r="F7151" t="s">
        <v>43</v>
      </c>
      <c r="G7151" t="s">
        <v>43</v>
      </c>
      <c r="H7151" t="s">
        <v>43</v>
      </c>
      <c r="I7151" t="s">
        <v>4084</v>
      </c>
      <c r="J7151" t="s">
        <v>43</v>
      </c>
      <c r="K7151" t="s">
        <v>43</v>
      </c>
      <c r="L7151" t="s">
        <v>43</v>
      </c>
      <c r="M7151" t="s">
        <v>43</v>
      </c>
      <c r="N7151" t="s">
        <v>45</v>
      </c>
      <c r="O7151" t="s">
        <v>43</v>
      </c>
      <c r="P7151" t="s">
        <v>43</v>
      </c>
      <c r="Q7151" t="s">
        <v>43</v>
      </c>
      <c r="R7151" t="s">
        <v>43</v>
      </c>
      <c r="S7151" t="s">
        <v>43</v>
      </c>
      <c r="T7151" t="s">
        <v>43</v>
      </c>
      <c r="U7151" t="s">
        <v>43</v>
      </c>
      <c r="V7151" t="s">
        <v>43</v>
      </c>
      <c r="W7151" t="s">
        <v>43</v>
      </c>
      <c r="X7151" t="s">
        <v>43</v>
      </c>
      <c r="Y7151" t="s">
        <v>43</v>
      </c>
      <c r="Z7151" t="s">
        <v>43</v>
      </c>
      <c r="AA7151" t="s">
        <v>43</v>
      </c>
      <c r="AB7151" t="s">
        <v>43</v>
      </c>
      <c r="AC7151" t="s">
        <v>43</v>
      </c>
      <c r="AD7151" t="s">
        <v>43</v>
      </c>
      <c r="AE7151" t="s">
        <v>43</v>
      </c>
      <c r="AF7151" t="s">
        <v>43</v>
      </c>
      <c r="AG7151" t="s">
        <v>43</v>
      </c>
      <c r="AH7151" t="s">
        <v>43</v>
      </c>
      <c r="AI7151" t="s">
        <v>43</v>
      </c>
      <c r="AJ7151" t="s">
        <v>43</v>
      </c>
      <c r="AK7151" t="s">
        <v>43</v>
      </c>
      <c r="AL7151" t="s">
        <v>43</v>
      </c>
      <c r="AM7151" t="s">
        <v>43</v>
      </c>
      <c r="AN7151" t="str">
        <f>HYPERLINK("https://www.google.com/maps?q=10.78969002,79.57881165","Open Location")</f>
        <v>Open Location</v>
      </c>
    </row>
    <row r="7152" spans="1:40" x14ac:dyDescent="0.3">
      <c r="A7152" s="1">
        <v>46210.171527777777</v>
      </c>
      <c r="B7152" t="s">
        <v>40</v>
      </c>
      <c r="C7152" t="s">
        <v>41</v>
      </c>
      <c r="D7152" s="1">
        <v>46210.174502314818</v>
      </c>
      <c r="E7152" t="s">
        <v>42</v>
      </c>
      <c r="F7152" t="s">
        <v>43</v>
      </c>
      <c r="G7152" t="s">
        <v>43</v>
      </c>
      <c r="H7152" t="s">
        <v>43</v>
      </c>
      <c r="I7152" t="s">
        <v>4152</v>
      </c>
      <c r="J7152" t="s">
        <v>43</v>
      </c>
      <c r="K7152" t="s">
        <v>43</v>
      </c>
      <c r="L7152" t="s">
        <v>43</v>
      </c>
      <c r="M7152" t="s">
        <v>43</v>
      </c>
      <c r="N7152" t="s">
        <v>45</v>
      </c>
      <c r="O7152" t="s">
        <v>43</v>
      </c>
      <c r="P7152" t="s">
        <v>43</v>
      </c>
      <c r="Q7152" t="s">
        <v>43</v>
      </c>
      <c r="R7152" t="s">
        <v>43</v>
      </c>
      <c r="S7152" t="s">
        <v>43</v>
      </c>
      <c r="T7152" t="s">
        <v>43</v>
      </c>
      <c r="U7152" t="s">
        <v>43</v>
      </c>
      <c r="V7152" t="s">
        <v>43</v>
      </c>
      <c r="W7152" t="s">
        <v>43</v>
      </c>
      <c r="X7152" t="s">
        <v>43</v>
      </c>
      <c r="Y7152" t="s">
        <v>43</v>
      </c>
      <c r="Z7152" t="s">
        <v>43</v>
      </c>
      <c r="AA7152" t="s">
        <v>43</v>
      </c>
      <c r="AB7152" t="s">
        <v>43</v>
      </c>
      <c r="AC7152" t="s">
        <v>43</v>
      </c>
      <c r="AD7152" t="s">
        <v>43</v>
      </c>
      <c r="AE7152" t="s">
        <v>43</v>
      </c>
      <c r="AF7152" t="s">
        <v>43</v>
      </c>
      <c r="AG7152" t="s">
        <v>43</v>
      </c>
      <c r="AH7152" t="s">
        <v>43</v>
      </c>
      <c r="AI7152" t="s">
        <v>43</v>
      </c>
      <c r="AJ7152" t="s">
        <v>43</v>
      </c>
      <c r="AK7152" t="s">
        <v>43</v>
      </c>
      <c r="AL7152" t="s">
        <v>43</v>
      </c>
      <c r="AM7152" t="s">
        <v>43</v>
      </c>
      <c r="AN7152" t="str">
        <f>HYPERLINK("https://www.google.com/maps?q=10.78969574,79.57879639","Open Location")</f>
        <v>Open Location</v>
      </c>
    </row>
    <row r="7153" spans="1:40" x14ac:dyDescent="0.3">
      <c r="A7153" s="1">
        <v>46210.171412037038</v>
      </c>
      <c r="B7153" t="s">
        <v>40</v>
      </c>
      <c r="C7153" t="s">
        <v>41</v>
      </c>
      <c r="D7153" s="1">
        <v>46210.174131944441</v>
      </c>
      <c r="E7153" t="s">
        <v>42</v>
      </c>
      <c r="F7153" t="s">
        <v>43</v>
      </c>
      <c r="G7153" t="s">
        <v>43</v>
      </c>
      <c r="H7153" t="s">
        <v>43</v>
      </c>
      <c r="I7153" t="s">
        <v>43</v>
      </c>
      <c r="J7153" t="s">
        <v>43</v>
      </c>
      <c r="K7153" t="s">
        <v>43</v>
      </c>
      <c r="L7153" t="s">
        <v>43</v>
      </c>
      <c r="M7153" t="s">
        <v>43</v>
      </c>
      <c r="N7153" t="s">
        <v>45</v>
      </c>
      <c r="O7153" t="s">
        <v>43</v>
      </c>
      <c r="P7153" t="s">
        <v>43</v>
      </c>
      <c r="Q7153" t="s">
        <v>43</v>
      </c>
      <c r="R7153" t="s">
        <v>43</v>
      </c>
      <c r="S7153" t="s">
        <v>43</v>
      </c>
      <c r="T7153" t="s">
        <v>43</v>
      </c>
      <c r="U7153" t="s">
        <v>43</v>
      </c>
      <c r="V7153" t="s">
        <v>43</v>
      </c>
      <c r="W7153" t="s">
        <v>43</v>
      </c>
      <c r="X7153" t="s">
        <v>43</v>
      </c>
      <c r="Y7153" t="s">
        <v>43</v>
      </c>
      <c r="Z7153" t="s">
        <v>43</v>
      </c>
      <c r="AA7153" t="s">
        <v>43</v>
      </c>
      <c r="AB7153" t="s">
        <v>43</v>
      </c>
      <c r="AC7153" t="s">
        <v>43</v>
      </c>
      <c r="AD7153" t="s">
        <v>43</v>
      </c>
      <c r="AE7153" t="s">
        <v>43</v>
      </c>
      <c r="AF7153" t="s">
        <v>43</v>
      </c>
      <c r="AG7153" t="s">
        <v>43</v>
      </c>
      <c r="AH7153" t="s">
        <v>43</v>
      </c>
      <c r="AI7153" t="s">
        <v>43</v>
      </c>
      <c r="AJ7153" t="s">
        <v>43</v>
      </c>
      <c r="AK7153" t="s">
        <v>43</v>
      </c>
      <c r="AL7153" t="s">
        <v>43</v>
      </c>
      <c r="AM7153" t="s">
        <v>43</v>
      </c>
      <c r="AN7153" t="s">
        <v>43</v>
      </c>
    </row>
    <row r="7154" spans="1:40" x14ac:dyDescent="0.3">
      <c r="A7154" s="1">
        <v>46210.171296296299</v>
      </c>
      <c r="B7154" t="s">
        <v>40</v>
      </c>
      <c r="C7154" t="s">
        <v>41</v>
      </c>
      <c r="D7154" s="1">
        <v>46210.174120370371</v>
      </c>
      <c r="E7154" t="s">
        <v>42</v>
      </c>
      <c r="F7154" t="s">
        <v>43</v>
      </c>
      <c r="G7154" t="s">
        <v>43</v>
      </c>
      <c r="H7154" t="s">
        <v>43</v>
      </c>
      <c r="I7154" t="s">
        <v>4153</v>
      </c>
      <c r="J7154" t="s">
        <v>43</v>
      </c>
      <c r="K7154" t="s">
        <v>43</v>
      </c>
      <c r="L7154" t="s">
        <v>43</v>
      </c>
      <c r="M7154" t="s">
        <v>43</v>
      </c>
      <c r="N7154" t="s">
        <v>45</v>
      </c>
      <c r="O7154" t="s">
        <v>43</v>
      </c>
      <c r="P7154" t="s">
        <v>43</v>
      </c>
      <c r="Q7154" t="s">
        <v>43</v>
      </c>
      <c r="R7154" t="s">
        <v>43</v>
      </c>
      <c r="S7154" t="s">
        <v>43</v>
      </c>
      <c r="T7154" t="s">
        <v>43</v>
      </c>
      <c r="U7154" t="s">
        <v>43</v>
      </c>
      <c r="V7154" t="s">
        <v>43</v>
      </c>
      <c r="W7154" t="s">
        <v>43</v>
      </c>
      <c r="X7154" t="s">
        <v>43</v>
      </c>
      <c r="Y7154" t="s">
        <v>43</v>
      </c>
      <c r="Z7154" t="s">
        <v>43</v>
      </c>
      <c r="AA7154" t="s">
        <v>43</v>
      </c>
      <c r="AB7154" t="s">
        <v>43</v>
      </c>
      <c r="AC7154" t="s">
        <v>43</v>
      </c>
      <c r="AD7154" t="s">
        <v>43</v>
      </c>
      <c r="AE7154" t="s">
        <v>43</v>
      </c>
      <c r="AF7154" t="s">
        <v>43</v>
      </c>
      <c r="AG7154" t="s">
        <v>43</v>
      </c>
      <c r="AH7154" t="s">
        <v>43</v>
      </c>
      <c r="AI7154" t="s">
        <v>43</v>
      </c>
      <c r="AJ7154" t="s">
        <v>43</v>
      </c>
      <c r="AK7154" t="s">
        <v>43</v>
      </c>
      <c r="AL7154" t="s">
        <v>43</v>
      </c>
      <c r="AM7154" t="s">
        <v>43</v>
      </c>
      <c r="AN7154" t="str">
        <f>HYPERLINK("https://www.google.com/maps?q=10.78969479,79.57878876","Open Location")</f>
        <v>Open Location</v>
      </c>
    </row>
    <row r="7155" spans="1:40" x14ac:dyDescent="0.3">
      <c r="A7155" s="1">
        <v>46210.171180555553</v>
      </c>
      <c r="B7155" t="s">
        <v>40</v>
      </c>
      <c r="C7155" t="s">
        <v>41</v>
      </c>
      <c r="D7155" s="1">
        <v>46210.174143518518</v>
      </c>
      <c r="E7155" t="s">
        <v>42</v>
      </c>
      <c r="F7155" t="s">
        <v>43</v>
      </c>
      <c r="G7155" t="s">
        <v>43</v>
      </c>
      <c r="H7155" t="s">
        <v>43</v>
      </c>
      <c r="I7155" t="s">
        <v>4154</v>
      </c>
      <c r="J7155" t="s">
        <v>43</v>
      </c>
      <c r="K7155" t="s">
        <v>43</v>
      </c>
      <c r="L7155" t="s">
        <v>43</v>
      </c>
      <c r="M7155" t="s">
        <v>43</v>
      </c>
      <c r="N7155" t="s">
        <v>45</v>
      </c>
      <c r="O7155" t="s">
        <v>43</v>
      </c>
      <c r="P7155" t="s">
        <v>43</v>
      </c>
      <c r="Q7155" t="s">
        <v>43</v>
      </c>
      <c r="R7155" t="s">
        <v>43</v>
      </c>
      <c r="S7155" t="s">
        <v>43</v>
      </c>
      <c r="T7155" t="s">
        <v>43</v>
      </c>
      <c r="U7155" t="s">
        <v>43</v>
      </c>
      <c r="V7155" t="s">
        <v>43</v>
      </c>
      <c r="W7155" t="s">
        <v>43</v>
      </c>
      <c r="X7155" t="s">
        <v>43</v>
      </c>
      <c r="Y7155" t="s">
        <v>43</v>
      </c>
      <c r="Z7155" t="s">
        <v>43</v>
      </c>
      <c r="AA7155" t="s">
        <v>43</v>
      </c>
      <c r="AB7155" t="s">
        <v>43</v>
      </c>
      <c r="AC7155" t="s">
        <v>43</v>
      </c>
      <c r="AD7155" t="s">
        <v>43</v>
      </c>
      <c r="AE7155" t="s">
        <v>43</v>
      </c>
      <c r="AF7155" t="s">
        <v>43</v>
      </c>
      <c r="AG7155" t="s">
        <v>43</v>
      </c>
      <c r="AH7155" t="s">
        <v>43</v>
      </c>
      <c r="AI7155" t="s">
        <v>43</v>
      </c>
      <c r="AJ7155" t="s">
        <v>43</v>
      </c>
      <c r="AK7155" t="s">
        <v>43</v>
      </c>
      <c r="AL7155" t="s">
        <v>43</v>
      </c>
      <c r="AM7155" t="s">
        <v>43</v>
      </c>
      <c r="AN7155" t="str">
        <f>HYPERLINK("https://www.google.com/maps?q=10.78969097,79.57878876","Open Location")</f>
        <v>Open Location</v>
      </c>
    </row>
    <row r="7156" spans="1:40" x14ac:dyDescent="0.3">
      <c r="A7156" s="1">
        <v>46210.171064814815</v>
      </c>
      <c r="B7156" t="s">
        <v>40</v>
      </c>
      <c r="C7156" t="s">
        <v>41</v>
      </c>
      <c r="D7156" s="1">
        <v>46210.174143518518</v>
      </c>
      <c r="E7156" t="s">
        <v>42</v>
      </c>
      <c r="F7156" t="s">
        <v>43</v>
      </c>
      <c r="G7156" t="s">
        <v>43</v>
      </c>
      <c r="H7156" t="s">
        <v>43</v>
      </c>
      <c r="I7156" t="s">
        <v>4088</v>
      </c>
      <c r="J7156" t="s">
        <v>43</v>
      </c>
      <c r="K7156" t="s">
        <v>43</v>
      </c>
      <c r="L7156" t="s">
        <v>43</v>
      </c>
      <c r="M7156" t="s">
        <v>43</v>
      </c>
      <c r="N7156" t="s">
        <v>45</v>
      </c>
      <c r="O7156" t="s">
        <v>43</v>
      </c>
      <c r="P7156" t="s">
        <v>43</v>
      </c>
      <c r="Q7156" t="s">
        <v>43</v>
      </c>
      <c r="R7156" t="s">
        <v>43</v>
      </c>
      <c r="S7156" t="s">
        <v>43</v>
      </c>
      <c r="T7156" t="s">
        <v>43</v>
      </c>
      <c r="U7156" t="s">
        <v>43</v>
      </c>
      <c r="V7156" t="s">
        <v>43</v>
      </c>
      <c r="W7156" t="s">
        <v>43</v>
      </c>
      <c r="X7156" t="s">
        <v>43</v>
      </c>
      <c r="Y7156" t="s">
        <v>43</v>
      </c>
      <c r="Z7156" t="s">
        <v>43</v>
      </c>
      <c r="AA7156" t="s">
        <v>43</v>
      </c>
      <c r="AB7156" t="s">
        <v>43</v>
      </c>
      <c r="AC7156" t="s">
        <v>43</v>
      </c>
      <c r="AD7156" t="s">
        <v>43</v>
      </c>
      <c r="AE7156" t="s">
        <v>43</v>
      </c>
      <c r="AF7156" t="s">
        <v>43</v>
      </c>
      <c r="AG7156" t="s">
        <v>43</v>
      </c>
      <c r="AH7156" t="s">
        <v>43</v>
      </c>
      <c r="AI7156" t="s">
        <v>43</v>
      </c>
      <c r="AJ7156" t="s">
        <v>43</v>
      </c>
      <c r="AK7156" t="s">
        <v>43</v>
      </c>
      <c r="AL7156" t="s">
        <v>43</v>
      </c>
      <c r="AM7156" t="s">
        <v>43</v>
      </c>
      <c r="AN7156" t="str">
        <f>HYPERLINK("https://www.google.com/maps?q=10.78968716,79.57879639","Open Location")</f>
        <v>Open Location</v>
      </c>
    </row>
    <row r="7157" spans="1:40" x14ac:dyDescent="0.3">
      <c r="A7157" s="1">
        <v>46210.170949074076</v>
      </c>
      <c r="B7157" t="s">
        <v>40</v>
      </c>
      <c r="C7157" t="s">
        <v>41</v>
      </c>
      <c r="D7157" s="1">
        <v>46210.173761574071</v>
      </c>
      <c r="E7157" t="s">
        <v>42</v>
      </c>
      <c r="F7157" t="s">
        <v>43</v>
      </c>
      <c r="G7157" t="s">
        <v>43</v>
      </c>
      <c r="H7157" t="s">
        <v>43</v>
      </c>
      <c r="I7157" t="s">
        <v>4088</v>
      </c>
      <c r="J7157" t="s">
        <v>43</v>
      </c>
      <c r="K7157" t="s">
        <v>43</v>
      </c>
      <c r="L7157" t="s">
        <v>43</v>
      </c>
      <c r="M7157" t="s">
        <v>43</v>
      </c>
      <c r="N7157" t="s">
        <v>45</v>
      </c>
      <c r="O7157" t="s">
        <v>43</v>
      </c>
      <c r="P7157" t="s">
        <v>43</v>
      </c>
      <c r="Q7157" t="s">
        <v>43</v>
      </c>
      <c r="R7157" t="s">
        <v>43</v>
      </c>
      <c r="S7157" t="s">
        <v>43</v>
      </c>
      <c r="T7157" t="s">
        <v>43</v>
      </c>
      <c r="U7157" t="s">
        <v>43</v>
      </c>
      <c r="V7157" t="s">
        <v>43</v>
      </c>
      <c r="W7157" t="s">
        <v>43</v>
      </c>
      <c r="X7157" t="s">
        <v>43</v>
      </c>
      <c r="Y7157" t="s">
        <v>43</v>
      </c>
      <c r="Z7157" t="s">
        <v>43</v>
      </c>
      <c r="AA7157" t="s">
        <v>43</v>
      </c>
      <c r="AB7157" t="s">
        <v>43</v>
      </c>
      <c r="AC7157" t="s">
        <v>43</v>
      </c>
      <c r="AD7157" t="s">
        <v>43</v>
      </c>
      <c r="AE7157" t="s">
        <v>43</v>
      </c>
      <c r="AF7157" t="s">
        <v>43</v>
      </c>
      <c r="AG7157" t="s">
        <v>43</v>
      </c>
      <c r="AH7157" t="s">
        <v>43</v>
      </c>
      <c r="AI7157" t="s">
        <v>43</v>
      </c>
      <c r="AJ7157" t="s">
        <v>43</v>
      </c>
      <c r="AK7157" t="s">
        <v>43</v>
      </c>
      <c r="AL7157" t="s">
        <v>43</v>
      </c>
      <c r="AM7157" t="s">
        <v>43</v>
      </c>
      <c r="AN7157" t="str">
        <f>HYPERLINK("https://www.google.com/maps?q=10.78968716,79.57879639","Open Location")</f>
        <v>Open Location</v>
      </c>
    </row>
    <row r="7158" spans="1:40" x14ac:dyDescent="0.3">
      <c r="A7158" s="1">
        <v>46210.17083333333</v>
      </c>
      <c r="B7158" t="s">
        <v>40</v>
      </c>
      <c r="C7158" t="s">
        <v>41</v>
      </c>
      <c r="D7158" s="1">
        <v>46210.173761574071</v>
      </c>
      <c r="E7158" t="s">
        <v>42</v>
      </c>
      <c r="F7158" t="s">
        <v>43</v>
      </c>
      <c r="G7158" t="s">
        <v>43</v>
      </c>
      <c r="H7158" t="s">
        <v>43</v>
      </c>
      <c r="I7158" t="s">
        <v>4087</v>
      </c>
      <c r="J7158" t="s">
        <v>43</v>
      </c>
      <c r="K7158" t="s">
        <v>43</v>
      </c>
      <c r="L7158" t="s">
        <v>43</v>
      </c>
      <c r="M7158" t="s">
        <v>43</v>
      </c>
      <c r="N7158" t="s">
        <v>45</v>
      </c>
      <c r="O7158" t="s">
        <v>43</v>
      </c>
      <c r="P7158" t="s">
        <v>43</v>
      </c>
      <c r="Q7158" t="s">
        <v>43</v>
      </c>
      <c r="R7158" t="s">
        <v>43</v>
      </c>
      <c r="S7158" t="s">
        <v>43</v>
      </c>
      <c r="T7158" t="s">
        <v>43</v>
      </c>
      <c r="U7158" t="s">
        <v>43</v>
      </c>
      <c r="V7158" t="s">
        <v>43</v>
      </c>
      <c r="W7158" t="s">
        <v>43</v>
      </c>
      <c r="X7158" t="s">
        <v>43</v>
      </c>
      <c r="Y7158" t="s">
        <v>43</v>
      </c>
      <c r="Z7158" t="s">
        <v>43</v>
      </c>
      <c r="AA7158" t="s">
        <v>43</v>
      </c>
      <c r="AB7158" t="s">
        <v>43</v>
      </c>
      <c r="AC7158" t="s">
        <v>43</v>
      </c>
      <c r="AD7158" t="s">
        <v>43</v>
      </c>
      <c r="AE7158" t="s">
        <v>43</v>
      </c>
      <c r="AF7158" t="s">
        <v>43</v>
      </c>
      <c r="AG7158" t="s">
        <v>43</v>
      </c>
      <c r="AH7158" t="s">
        <v>43</v>
      </c>
      <c r="AI7158" t="s">
        <v>43</v>
      </c>
      <c r="AJ7158" t="s">
        <v>43</v>
      </c>
      <c r="AK7158" t="s">
        <v>43</v>
      </c>
      <c r="AL7158" t="s">
        <v>43</v>
      </c>
      <c r="AM7158" t="s">
        <v>43</v>
      </c>
      <c r="AN7158" t="str">
        <f>HYPERLINK("https://www.google.com/maps?q=10.7896862,79.57879639","Open Location")</f>
        <v>Open Location</v>
      </c>
    </row>
    <row r="7159" spans="1:40" x14ac:dyDescent="0.3">
      <c r="A7159" s="1">
        <v>46210.170717592591</v>
      </c>
      <c r="B7159" t="s">
        <v>40</v>
      </c>
      <c r="C7159" t="s">
        <v>41</v>
      </c>
      <c r="D7159" s="1">
        <v>46210.173414351855</v>
      </c>
      <c r="E7159" t="s">
        <v>42</v>
      </c>
      <c r="F7159" t="s">
        <v>43</v>
      </c>
      <c r="G7159" t="s">
        <v>43</v>
      </c>
      <c r="H7159" t="s">
        <v>43</v>
      </c>
      <c r="I7159" t="s">
        <v>43</v>
      </c>
      <c r="J7159" t="s">
        <v>43</v>
      </c>
      <c r="K7159" t="s">
        <v>43</v>
      </c>
      <c r="L7159" t="s">
        <v>43</v>
      </c>
      <c r="M7159" t="s">
        <v>43</v>
      </c>
      <c r="N7159" t="s">
        <v>45</v>
      </c>
      <c r="O7159" t="s">
        <v>43</v>
      </c>
      <c r="P7159" t="s">
        <v>43</v>
      </c>
      <c r="Q7159" t="s">
        <v>43</v>
      </c>
      <c r="R7159" t="s">
        <v>43</v>
      </c>
      <c r="S7159" t="s">
        <v>43</v>
      </c>
      <c r="T7159" t="s">
        <v>43</v>
      </c>
      <c r="U7159" t="s">
        <v>43</v>
      </c>
      <c r="V7159" t="s">
        <v>43</v>
      </c>
      <c r="W7159" t="s">
        <v>43</v>
      </c>
      <c r="X7159" t="s">
        <v>43</v>
      </c>
      <c r="Y7159" t="s">
        <v>43</v>
      </c>
      <c r="Z7159" t="s">
        <v>43</v>
      </c>
      <c r="AA7159" t="s">
        <v>43</v>
      </c>
      <c r="AB7159" t="s">
        <v>43</v>
      </c>
      <c r="AC7159" t="s">
        <v>43</v>
      </c>
      <c r="AD7159" t="s">
        <v>43</v>
      </c>
      <c r="AE7159" t="s">
        <v>43</v>
      </c>
      <c r="AF7159" t="s">
        <v>43</v>
      </c>
      <c r="AG7159" t="s">
        <v>43</v>
      </c>
      <c r="AH7159" t="s">
        <v>43</v>
      </c>
      <c r="AI7159" t="s">
        <v>43</v>
      </c>
      <c r="AJ7159" t="s">
        <v>43</v>
      </c>
      <c r="AK7159" t="s">
        <v>43</v>
      </c>
      <c r="AL7159" t="s">
        <v>43</v>
      </c>
      <c r="AM7159" t="s">
        <v>43</v>
      </c>
      <c r="AN7159" t="s">
        <v>43</v>
      </c>
    </row>
    <row r="7160" spans="1:40" x14ac:dyDescent="0.3">
      <c r="A7160" s="1">
        <v>46210.170601851853</v>
      </c>
      <c r="B7160" t="s">
        <v>40</v>
      </c>
      <c r="C7160" t="s">
        <v>41</v>
      </c>
      <c r="D7160" s="1">
        <v>46210.173414351855</v>
      </c>
      <c r="E7160" t="s">
        <v>42</v>
      </c>
      <c r="F7160" t="s">
        <v>43</v>
      </c>
      <c r="G7160" t="s">
        <v>43</v>
      </c>
      <c r="H7160" t="s">
        <v>43</v>
      </c>
      <c r="I7160" t="s">
        <v>4155</v>
      </c>
      <c r="J7160" t="s">
        <v>43</v>
      </c>
      <c r="K7160" t="s">
        <v>43</v>
      </c>
      <c r="L7160" t="s">
        <v>43</v>
      </c>
      <c r="M7160" t="s">
        <v>43</v>
      </c>
      <c r="N7160" t="s">
        <v>45</v>
      </c>
      <c r="O7160" t="s">
        <v>43</v>
      </c>
      <c r="P7160" t="s">
        <v>43</v>
      </c>
      <c r="Q7160" t="s">
        <v>43</v>
      </c>
      <c r="R7160" t="s">
        <v>43</v>
      </c>
      <c r="S7160" t="s">
        <v>43</v>
      </c>
      <c r="T7160" t="s">
        <v>43</v>
      </c>
      <c r="U7160" t="s">
        <v>43</v>
      </c>
      <c r="V7160" t="s">
        <v>43</v>
      </c>
      <c r="W7160" t="s">
        <v>43</v>
      </c>
      <c r="X7160" t="s">
        <v>43</v>
      </c>
      <c r="Y7160" t="s">
        <v>43</v>
      </c>
      <c r="Z7160" t="s">
        <v>43</v>
      </c>
      <c r="AA7160" t="s">
        <v>43</v>
      </c>
      <c r="AB7160" t="s">
        <v>43</v>
      </c>
      <c r="AC7160" t="s">
        <v>43</v>
      </c>
      <c r="AD7160" t="s">
        <v>43</v>
      </c>
      <c r="AE7160" t="s">
        <v>43</v>
      </c>
      <c r="AF7160" t="s">
        <v>43</v>
      </c>
      <c r="AG7160" t="s">
        <v>43</v>
      </c>
      <c r="AH7160" t="s">
        <v>43</v>
      </c>
      <c r="AI7160" t="s">
        <v>43</v>
      </c>
      <c r="AJ7160" t="s">
        <v>43</v>
      </c>
      <c r="AK7160" t="s">
        <v>43</v>
      </c>
      <c r="AL7160" t="s">
        <v>43</v>
      </c>
      <c r="AM7160" t="s">
        <v>43</v>
      </c>
      <c r="AN7160" t="str">
        <f>HYPERLINK("https://www.google.com/maps?q=10.78968334,79.57878876","Open Location")</f>
        <v>Open Location</v>
      </c>
    </row>
    <row r="7161" spans="1:40" x14ac:dyDescent="0.3">
      <c r="A7161" s="1">
        <v>46210.170486111114</v>
      </c>
      <c r="B7161" t="s">
        <v>40</v>
      </c>
      <c r="C7161" t="s">
        <v>41</v>
      </c>
      <c r="D7161" s="1">
        <v>46210.173391203702</v>
      </c>
      <c r="E7161" t="s">
        <v>42</v>
      </c>
      <c r="F7161" t="s">
        <v>43</v>
      </c>
      <c r="G7161" t="s">
        <v>43</v>
      </c>
      <c r="H7161" t="s">
        <v>43</v>
      </c>
      <c r="I7161" t="s">
        <v>4156</v>
      </c>
      <c r="J7161" t="s">
        <v>43</v>
      </c>
      <c r="K7161" t="s">
        <v>43</v>
      </c>
      <c r="L7161" t="s">
        <v>43</v>
      </c>
      <c r="M7161" t="s">
        <v>43</v>
      </c>
      <c r="N7161" t="s">
        <v>45</v>
      </c>
      <c r="O7161" t="s">
        <v>43</v>
      </c>
      <c r="P7161" t="s">
        <v>43</v>
      </c>
      <c r="Q7161" t="s">
        <v>43</v>
      </c>
      <c r="R7161" t="s">
        <v>43</v>
      </c>
      <c r="S7161" t="s">
        <v>43</v>
      </c>
      <c r="T7161" t="s">
        <v>43</v>
      </c>
      <c r="U7161" t="s">
        <v>43</v>
      </c>
      <c r="V7161" t="s">
        <v>43</v>
      </c>
      <c r="W7161" t="s">
        <v>43</v>
      </c>
      <c r="X7161" t="s">
        <v>43</v>
      </c>
      <c r="Y7161" t="s">
        <v>43</v>
      </c>
      <c r="Z7161" t="s">
        <v>43</v>
      </c>
      <c r="AA7161" t="s">
        <v>43</v>
      </c>
      <c r="AB7161" t="s">
        <v>43</v>
      </c>
      <c r="AC7161" t="s">
        <v>43</v>
      </c>
      <c r="AD7161" t="s">
        <v>43</v>
      </c>
      <c r="AE7161" t="s">
        <v>43</v>
      </c>
      <c r="AF7161" t="s">
        <v>43</v>
      </c>
      <c r="AG7161" t="s">
        <v>43</v>
      </c>
      <c r="AH7161" t="s">
        <v>43</v>
      </c>
      <c r="AI7161" t="s">
        <v>43</v>
      </c>
      <c r="AJ7161" t="s">
        <v>43</v>
      </c>
      <c r="AK7161" t="s">
        <v>43</v>
      </c>
      <c r="AL7161" t="s">
        <v>43</v>
      </c>
      <c r="AM7161" t="s">
        <v>43</v>
      </c>
      <c r="AN7161" t="str">
        <f>HYPERLINK("https://www.google.com/maps?q=10.78967094,79.57879639","Open Location")</f>
        <v>Open Location</v>
      </c>
    </row>
    <row r="7162" spans="1:40" x14ac:dyDescent="0.3">
      <c r="A7162" s="1">
        <v>46210.170370370368</v>
      </c>
      <c r="B7162" t="s">
        <v>40</v>
      </c>
      <c r="C7162" t="s">
        <v>41</v>
      </c>
      <c r="D7162" s="1">
        <v>46210.173356481479</v>
      </c>
      <c r="E7162" t="s">
        <v>42</v>
      </c>
      <c r="F7162" t="s">
        <v>43</v>
      </c>
      <c r="G7162" t="s">
        <v>43</v>
      </c>
      <c r="H7162" t="s">
        <v>43</v>
      </c>
      <c r="I7162" t="s">
        <v>4157</v>
      </c>
      <c r="J7162" t="s">
        <v>43</v>
      </c>
      <c r="K7162" t="s">
        <v>43</v>
      </c>
      <c r="L7162" t="s">
        <v>43</v>
      </c>
      <c r="M7162" t="s">
        <v>43</v>
      </c>
      <c r="N7162" t="s">
        <v>45</v>
      </c>
      <c r="O7162" t="s">
        <v>43</v>
      </c>
      <c r="P7162" t="s">
        <v>43</v>
      </c>
      <c r="Q7162" t="s">
        <v>43</v>
      </c>
      <c r="R7162" t="s">
        <v>43</v>
      </c>
      <c r="S7162" t="s">
        <v>43</v>
      </c>
      <c r="T7162" t="s">
        <v>43</v>
      </c>
      <c r="U7162" t="s">
        <v>43</v>
      </c>
      <c r="V7162" t="s">
        <v>43</v>
      </c>
      <c r="W7162" t="s">
        <v>43</v>
      </c>
      <c r="X7162" t="s">
        <v>43</v>
      </c>
      <c r="Y7162" t="s">
        <v>43</v>
      </c>
      <c r="Z7162" t="s">
        <v>43</v>
      </c>
      <c r="AA7162" t="s">
        <v>43</v>
      </c>
      <c r="AB7162" t="s">
        <v>43</v>
      </c>
      <c r="AC7162" t="s">
        <v>43</v>
      </c>
      <c r="AD7162" t="s">
        <v>43</v>
      </c>
      <c r="AE7162" t="s">
        <v>43</v>
      </c>
      <c r="AF7162" t="s">
        <v>43</v>
      </c>
      <c r="AG7162" t="s">
        <v>43</v>
      </c>
      <c r="AH7162" t="s">
        <v>43</v>
      </c>
      <c r="AI7162" t="s">
        <v>43</v>
      </c>
      <c r="AJ7162" t="s">
        <v>43</v>
      </c>
      <c r="AK7162" t="s">
        <v>43</v>
      </c>
      <c r="AL7162" t="s">
        <v>43</v>
      </c>
      <c r="AM7162" t="s">
        <v>43</v>
      </c>
      <c r="AN7162" t="str">
        <f>HYPERLINK("https://www.google.com/maps?q=10.78966618,79.57879639","Open Location")</f>
        <v>Open Location</v>
      </c>
    </row>
    <row r="7163" spans="1:40" x14ac:dyDescent="0.3">
      <c r="A7163" s="1">
        <v>46210.170254629629</v>
      </c>
      <c r="B7163" t="s">
        <v>40</v>
      </c>
      <c r="C7163" t="s">
        <v>41</v>
      </c>
      <c r="D7163" s="1">
        <v>46210.173032407409</v>
      </c>
      <c r="E7163" t="s">
        <v>42</v>
      </c>
      <c r="F7163" t="s">
        <v>43</v>
      </c>
      <c r="G7163" t="s">
        <v>43</v>
      </c>
      <c r="H7163" t="s">
        <v>43</v>
      </c>
      <c r="I7163" t="s">
        <v>4000</v>
      </c>
      <c r="J7163" t="s">
        <v>43</v>
      </c>
      <c r="K7163" t="s">
        <v>43</v>
      </c>
      <c r="L7163" t="s">
        <v>43</v>
      </c>
      <c r="M7163" t="s">
        <v>43</v>
      </c>
      <c r="N7163" t="s">
        <v>45</v>
      </c>
      <c r="O7163" t="s">
        <v>43</v>
      </c>
      <c r="P7163" t="s">
        <v>43</v>
      </c>
      <c r="Q7163" t="s">
        <v>43</v>
      </c>
      <c r="R7163" t="s">
        <v>43</v>
      </c>
      <c r="S7163" t="s">
        <v>43</v>
      </c>
      <c r="T7163" t="s">
        <v>43</v>
      </c>
      <c r="U7163" t="s">
        <v>43</v>
      </c>
      <c r="V7163" t="s">
        <v>43</v>
      </c>
      <c r="W7163" t="s">
        <v>43</v>
      </c>
      <c r="X7163" t="s">
        <v>43</v>
      </c>
      <c r="Y7163" t="s">
        <v>43</v>
      </c>
      <c r="Z7163" t="s">
        <v>43</v>
      </c>
      <c r="AA7163" t="s">
        <v>43</v>
      </c>
      <c r="AB7163" t="s">
        <v>43</v>
      </c>
      <c r="AC7163" t="s">
        <v>43</v>
      </c>
      <c r="AD7163" t="s">
        <v>43</v>
      </c>
      <c r="AE7163" t="s">
        <v>43</v>
      </c>
      <c r="AF7163" t="s">
        <v>43</v>
      </c>
      <c r="AG7163" t="s">
        <v>43</v>
      </c>
      <c r="AH7163" t="s">
        <v>43</v>
      </c>
      <c r="AI7163" t="s">
        <v>43</v>
      </c>
      <c r="AJ7163" t="s">
        <v>43</v>
      </c>
      <c r="AK7163" t="s">
        <v>43</v>
      </c>
      <c r="AL7163" t="s">
        <v>43</v>
      </c>
      <c r="AM7163" t="s">
        <v>43</v>
      </c>
      <c r="AN7163" t="str">
        <f>HYPERLINK("https://www.google.com/maps?q=10.78966045,79.57879639","Open Location")</f>
        <v>Open Location</v>
      </c>
    </row>
    <row r="7164" spans="1:40" x14ac:dyDescent="0.3">
      <c r="A7164" s="1">
        <v>46210.170138888891</v>
      </c>
      <c r="B7164" t="s">
        <v>40</v>
      </c>
      <c r="C7164" t="s">
        <v>41</v>
      </c>
      <c r="D7164" s="1">
        <v>46210.173032407409</v>
      </c>
      <c r="E7164" t="s">
        <v>42</v>
      </c>
      <c r="F7164" t="s">
        <v>43</v>
      </c>
      <c r="G7164" t="s">
        <v>43</v>
      </c>
      <c r="H7164" t="s">
        <v>43</v>
      </c>
      <c r="I7164" t="s">
        <v>43</v>
      </c>
      <c r="J7164" t="s">
        <v>43</v>
      </c>
      <c r="K7164" t="s">
        <v>43</v>
      </c>
      <c r="L7164" t="s">
        <v>43</v>
      </c>
      <c r="M7164" t="s">
        <v>43</v>
      </c>
      <c r="N7164" t="s">
        <v>45</v>
      </c>
      <c r="O7164" t="s">
        <v>43</v>
      </c>
      <c r="P7164" t="s">
        <v>43</v>
      </c>
      <c r="Q7164" t="s">
        <v>43</v>
      </c>
      <c r="R7164" t="s">
        <v>43</v>
      </c>
      <c r="S7164" t="s">
        <v>43</v>
      </c>
      <c r="T7164" t="s">
        <v>43</v>
      </c>
      <c r="U7164" t="s">
        <v>43</v>
      </c>
      <c r="V7164" t="s">
        <v>43</v>
      </c>
      <c r="W7164" t="s">
        <v>43</v>
      </c>
      <c r="X7164" t="s">
        <v>43</v>
      </c>
      <c r="Y7164" t="s">
        <v>43</v>
      </c>
      <c r="Z7164" t="s">
        <v>43</v>
      </c>
      <c r="AA7164" t="s">
        <v>43</v>
      </c>
      <c r="AB7164" t="s">
        <v>43</v>
      </c>
      <c r="AC7164" t="s">
        <v>43</v>
      </c>
      <c r="AD7164" t="s">
        <v>43</v>
      </c>
      <c r="AE7164" t="s">
        <v>43</v>
      </c>
      <c r="AF7164" t="s">
        <v>43</v>
      </c>
      <c r="AG7164" t="s">
        <v>43</v>
      </c>
      <c r="AH7164" t="s">
        <v>43</v>
      </c>
      <c r="AI7164" t="s">
        <v>43</v>
      </c>
      <c r="AJ7164" t="s">
        <v>43</v>
      </c>
      <c r="AK7164" t="s">
        <v>43</v>
      </c>
      <c r="AL7164" t="s">
        <v>43</v>
      </c>
      <c r="AM7164" t="s">
        <v>43</v>
      </c>
      <c r="AN7164" t="s">
        <v>43</v>
      </c>
    </row>
    <row r="7165" spans="1:40" x14ac:dyDescent="0.3">
      <c r="A7165" s="1">
        <v>46210.170023148145</v>
      </c>
      <c r="B7165" t="s">
        <v>40</v>
      </c>
      <c r="C7165" t="s">
        <v>41</v>
      </c>
      <c r="D7165" s="1">
        <v>46210.173020833332</v>
      </c>
      <c r="E7165" t="s">
        <v>42</v>
      </c>
      <c r="F7165" t="s">
        <v>43</v>
      </c>
      <c r="G7165" t="s">
        <v>43</v>
      </c>
      <c r="H7165" t="s">
        <v>43</v>
      </c>
      <c r="I7165" t="s">
        <v>3937</v>
      </c>
      <c r="J7165" t="s">
        <v>43</v>
      </c>
      <c r="K7165" t="s">
        <v>43</v>
      </c>
      <c r="L7165" t="s">
        <v>43</v>
      </c>
      <c r="M7165" t="s">
        <v>43</v>
      </c>
      <c r="N7165" t="s">
        <v>45</v>
      </c>
      <c r="O7165" t="s">
        <v>43</v>
      </c>
      <c r="P7165" t="s">
        <v>43</v>
      </c>
      <c r="Q7165" t="s">
        <v>43</v>
      </c>
      <c r="R7165" t="s">
        <v>43</v>
      </c>
      <c r="S7165" t="s">
        <v>43</v>
      </c>
      <c r="T7165" t="s">
        <v>43</v>
      </c>
      <c r="U7165" t="s">
        <v>43</v>
      </c>
      <c r="V7165" t="s">
        <v>43</v>
      </c>
      <c r="W7165" t="s">
        <v>43</v>
      </c>
      <c r="X7165" t="s">
        <v>43</v>
      </c>
      <c r="Y7165" t="s">
        <v>43</v>
      </c>
      <c r="Z7165" t="s">
        <v>43</v>
      </c>
      <c r="AA7165" t="s">
        <v>43</v>
      </c>
      <c r="AB7165" t="s">
        <v>43</v>
      </c>
      <c r="AC7165" t="s">
        <v>43</v>
      </c>
      <c r="AD7165" t="s">
        <v>43</v>
      </c>
      <c r="AE7165" t="s">
        <v>43</v>
      </c>
      <c r="AF7165" t="s">
        <v>43</v>
      </c>
      <c r="AG7165" t="s">
        <v>43</v>
      </c>
      <c r="AH7165" t="s">
        <v>43</v>
      </c>
      <c r="AI7165" t="s">
        <v>43</v>
      </c>
      <c r="AJ7165" t="s">
        <v>43</v>
      </c>
      <c r="AK7165" t="s">
        <v>43</v>
      </c>
      <c r="AL7165" t="s">
        <v>43</v>
      </c>
      <c r="AM7165" t="s">
        <v>43</v>
      </c>
      <c r="AN7165" t="str">
        <f>HYPERLINK("https://www.google.com/maps?q=10.78965664,79.57881927","Open Location")</f>
        <v>Open Location</v>
      </c>
    </row>
    <row r="7166" spans="1:40" x14ac:dyDescent="0.3">
      <c r="A7166" s="1">
        <v>46210.169907407406</v>
      </c>
      <c r="B7166" t="s">
        <v>40</v>
      </c>
      <c r="C7166" t="s">
        <v>41</v>
      </c>
      <c r="D7166" s="1">
        <v>46210.172881944447</v>
      </c>
      <c r="E7166" t="s">
        <v>42</v>
      </c>
      <c r="F7166" t="s">
        <v>43</v>
      </c>
      <c r="G7166" t="s">
        <v>43</v>
      </c>
      <c r="H7166" t="s">
        <v>43</v>
      </c>
      <c r="I7166" t="s">
        <v>3919</v>
      </c>
      <c r="J7166" t="s">
        <v>43</v>
      </c>
      <c r="K7166" t="s">
        <v>43</v>
      </c>
      <c r="L7166" t="s">
        <v>43</v>
      </c>
      <c r="M7166" t="s">
        <v>43</v>
      </c>
      <c r="N7166" t="s">
        <v>45</v>
      </c>
      <c r="O7166" t="s">
        <v>43</v>
      </c>
      <c r="P7166" t="s">
        <v>43</v>
      </c>
      <c r="Q7166" t="s">
        <v>43</v>
      </c>
      <c r="R7166" t="s">
        <v>43</v>
      </c>
      <c r="S7166" t="s">
        <v>43</v>
      </c>
      <c r="T7166" t="s">
        <v>43</v>
      </c>
      <c r="U7166" t="s">
        <v>43</v>
      </c>
      <c r="V7166" t="s">
        <v>43</v>
      </c>
      <c r="W7166" t="s">
        <v>43</v>
      </c>
      <c r="X7166" t="s">
        <v>43</v>
      </c>
      <c r="Y7166" t="s">
        <v>43</v>
      </c>
      <c r="Z7166" t="s">
        <v>43</v>
      </c>
      <c r="AA7166" t="s">
        <v>43</v>
      </c>
      <c r="AB7166" t="s">
        <v>43</v>
      </c>
      <c r="AC7166" t="s">
        <v>43</v>
      </c>
      <c r="AD7166" t="s">
        <v>43</v>
      </c>
      <c r="AE7166" t="s">
        <v>43</v>
      </c>
      <c r="AF7166" t="s">
        <v>43</v>
      </c>
      <c r="AG7166" t="s">
        <v>43</v>
      </c>
      <c r="AH7166" t="s">
        <v>43</v>
      </c>
      <c r="AI7166" t="s">
        <v>43</v>
      </c>
      <c r="AJ7166" t="s">
        <v>43</v>
      </c>
      <c r="AK7166" t="s">
        <v>43</v>
      </c>
      <c r="AL7166" t="s">
        <v>43</v>
      </c>
      <c r="AM7166" t="s">
        <v>43</v>
      </c>
      <c r="AN7166" t="str">
        <f>HYPERLINK("https://www.google.com/maps?q=10.78965378,79.57881927","Open Location")</f>
        <v>Open Location</v>
      </c>
    </row>
    <row r="7167" spans="1:40" x14ac:dyDescent="0.3">
      <c r="A7167" s="1">
        <v>46210.169791666667</v>
      </c>
      <c r="B7167" t="s">
        <v>40</v>
      </c>
      <c r="C7167" t="s">
        <v>41</v>
      </c>
      <c r="D7167" s="1">
        <v>46210.172662037039</v>
      </c>
      <c r="E7167" t="s">
        <v>42</v>
      </c>
      <c r="F7167" t="s">
        <v>43</v>
      </c>
      <c r="G7167" t="s">
        <v>43</v>
      </c>
      <c r="H7167" t="s">
        <v>43</v>
      </c>
      <c r="I7167" t="s">
        <v>4148</v>
      </c>
      <c r="J7167" t="s">
        <v>43</v>
      </c>
      <c r="K7167" t="s">
        <v>43</v>
      </c>
      <c r="L7167" t="s">
        <v>43</v>
      </c>
      <c r="M7167" t="s">
        <v>43</v>
      </c>
      <c r="N7167" t="s">
        <v>45</v>
      </c>
      <c r="O7167" t="s">
        <v>43</v>
      </c>
      <c r="P7167" t="s">
        <v>43</v>
      </c>
      <c r="Q7167" t="s">
        <v>43</v>
      </c>
      <c r="R7167" t="s">
        <v>43</v>
      </c>
      <c r="S7167" t="s">
        <v>43</v>
      </c>
      <c r="T7167" t="s">
        <v>43</v>
      </c>
      <c r="U7167" t="s">
        <v>43</v>
      </c>
      <c r="V7167" t="s">
        <v>43</v>
      </c>
      <c r="W7167" t="s">
        <v>43</v>
      </c>
      <c r="X7167" t="s">
        <v>43</v>
      </c>
      <c r="Y7167" t="s">
        <v>43</v>
      </c>
      <c r="Z7167" t="s">
        <v>43</v>
      </c>
      <c r="AA7167" t="s">
        <v>43</v>
      </c>
      <c r="AB7167" t="s">
        <v>43</v>
      </c>
      <c r="AC7167" t="s">
        <v>43</v>
      </c>
      <c r="AD7167" t="s">
        <v>43</v>
      </c>
      <c r="AE7167" t="s">
        <v>43</v>
      </c>
      <c r="AF7167" t="s">
        <v>43</v>
      </c>
      <c r="AG7167" t="s">
        <v>43</v>
      </c>
      <c r="AH7167" t="s">
        <v>43</v>
      </c>
      <c r="AI7167" t="s">
        <v>43</v>
      </c>
      <c r="AJ7167" t="s">
        <v>43</v>
      </c>
      <c r="AK7167" t="s">
        <v>43</v>
      </c>
      <c r="AL7167" t="s">
        <v>43</v>
      </c>
      <c r="AM7167" t="s">
        <v>43</v>
      </c>
      <c r="AN7167" t="str">
        <f>HYPERLINK("https://www.google.com/maps?q=10.78966236,79.57881927","Open Location")</f>
        <v>Open Location</v>
      </c>
    </row>
    <row r="7168" spans="1:40" x14ac:dyDescent="0.3">
      <c r="A7168" s="1">
        <v>46210.169675925928</v>
      </c>
      <c r="B7168" t="s">
        <v>40</v>
      </c>
      <c r="C7168" t="s">
        <v>41</v>
      </c>
      <c r="D7168" s="1">
        <v>46210.172662037039</v>
      </c>
      <c r="E7168" t="s">
        <v>42</v>
      </c>
      <c r="F7168" t="s">
        <v>43</v>
      </c>
      <c r="G7168" t="s">
        <v>43</v>
      </c>
      <c r="H7168" t="s">
        <v>43</v>
      </c>
      <c r="I7168" t="s">
        <v>4148</v>
      </c>
      <c r="J7168" t="s">
        <v>43</v>
      </c>
      <c r="K7168" t="s">
        <v>43</v>
      </c>
      <c r="L7168" t="s">
        <v>43</v>
      </c>
      <c r="M7168" t="s">
        <v>43</v>
      </c>
      <c r="N7168" t="s">
        <v>45</v>
      </c>
      <c r="O7168" t="s">
        <v>43</v>
      </c>
      <c r="P7168" t="s">
        <v>43</v>
      </c>
      <c r="Q7168" t="s">
        <v>43</v>
      </c>
      <c r="R7168" t="s">
        <v>43</v>
      </c>
      <c r="S7168" t="s">
        <v>43</v>
      </c>
      <c r="T7168" t="s">
        <v>43</v>
      </c>
      <c r="U7168" t="s">
        <v>43</v>
      </c>
      <c r="V7168" t="s">
        <v>43</v>
      </c>
      <c r="W7168" t="s">
        <v>43</v>
      </c>
      <c r="X7168" t="s">
        <v>43</v>
      </c>
      <c r="Y7168" t="s">
        <v>43</v>
      </c>
      <c r="Z7168" t="s">
        <v>43</v>
      </c>
      <c r="AA7168" t="s">
        <v>43</v>
      </c>
      <c r="AB7168" t="s">
        <v>43</v>
      </c>
      <c r="AC7168" t="s">
        <v>43</v>
      </c>
      <c r="AD7168" t="s">
        <v>43</v>
      </c>
      <c r="AE7168" t="s">
        <v>43</v>
      </c>
      <c r="AF7168" t="s">
        <v>43</v>
      </c>
      <c r="AG7168" t="s">
        <v>43</v>
      </c>
      <c r="AH7168" t="s">
        <v>43</v>
      </c>
      <c r="AI7168" t="s">
        <v>43</v>
      </c>
      <c r="AJ7168" t="s">
        <v>43</v>
      </c>
      <c r="AK7168" t="s">
        <v>43</v>
      </c>
      <c r="AL7168" t="s">
        <v>43</v>
      </c>
      <c r="AM7168" t="s">
        <v>43</v>
      </c>
      <c r="AN7168" t="str">
        <f>HYPERLINK("https://www.google.com/maps?q=10.78966236,79.57881927","Open Location")</f>
        <v>Open Location</v>
      </c>
    </row>
    <row r="7169" spans="1:40" x14ac:dyDescent="0.3">
      <c r="A7169" s="1">
        <v>46210.169560185182</v>
      </c>
      <c r="B7169" t="s">
        <v>40</v>
      </c>
      <c r="C7169" t="s">
        <v>41</v>
      </c>
      <c r="D7169" s="1">
        <v>46210.172303240739</v>
      </c>
      <c r="E7169" t="s">
        <v>42</v>
      </c>
      <c r="F7169" t="s">
        <v>43</v>
      </c>
      <c r="G7169" t="s">
        <v>43</v>
      </c>
      <c r="H7169" t="s">
        <v>43</v>
      </c>
      <c r="I7169" t="s">
        <v>4158</v>
      </c>
      <c r="J7169" t="s">
        <v>43</v>
      </c>
      <c r="K7169" t="s">
        <v>43</v>
      </c>
      <c r="L7169" t="s">
        <v>43</v>
      </c>
      <c r="M7169" t="s">
        <v>43</v>
      </c>
      <c r="N7169" t="s">
        <v>45</v>
      </c>
      <c r="O7169" t="s">
        <v>43</v>
      </c>
      <c r="P7169" t="s">
        <v>43</v>
      </c>
      <c r="Q7169" t="s">
        <v>43</v>
      </c>
      <c r="R7169" t="s">
        <v>43</v>
      </c>
      <c r="S7169" t="s">
        <v>43</v>
      </c>
      <c r="T7169" t="s">
        <v>43</v>
      </c>
      <c r="U7169" t="s">
        <v>43</v>
      </c>
      <c r="V7169" t="s">
        <v>43</v>
      </c>
      <c r="W7169" t="s">
        <v>43</v>
      </c>
      <c r="X7169" t="s">
        <v>43</v>
      </c>
      <c r="Y7169" t="s">
        <v>43</v>
      </c>
      <c r="Z7169" t="s">
        <v>43</v>
      </c>
      <c r="AA7169" t="s">
        <v>43</v>
      </c>
      <c r="AB7169" t="s">
        <v>43</v>
      </c>
      <c r="AC7169" t="s">
        <v>43</v>
      </c>
      <c r="AD7169" t="s">
        <v>43</v>
      </c>
      <c r="AE7169" t="s">
        <v>43</v>
      </c>
      <c r="AF7169" t="s">
        <v>43</v>
      </c>
      <c r="AG7169" t="s">
        <v>43</v>
      </c>
      <c r="AH7169" t="s">
        <v>43</v>
      </c>
      <c r="AI7169" t="s">
        <v>43</v>
      </c>
      <c r="AJ7169" t="s">
        <v>43</v>
      </c>
      <c r="AK7169" t="s">
        <v>43</v>
      </c>
      <c r="AL7169" t="s">
        <v>43</v>
      </c>
      <c r="AM7169" t="s">
        <v>43</v>
      </c>
      <c r="AN7169" t="str">
        <f>HYPERLINK("https://www.google.com/maps?q=10.78966808,79.57881927","Open Location")</f>
        <v>Open Location</v>
      </c>
    </row>
    <row r="7170" spans="1:40" x14ac:dyDescent="0.3">
      <c r="A7170" s="1">
        <v>46210.169444444444</v>
      </c>
      <c r="B7170" t="s">
        <v>40</v>
      </c>
      <c r="C7170" t="s">
        <v>41</v>
      </c>
      <c r="D7170" s="1">
        <v>46210.172638888886</v>
      </c>
      <c r="E7170" t="s">
        <v>42</v>
      </c>
      <c r="F7170" t="s">
        <v>43</v>
      </c>
      <c r="G7170" t="s">
        <v>43</v>
      </c>
      <c r="H7170" t="s">
        <v>43</v>
      </c>
      <c r="I7170" t="s">
        <v>43</v>
      </c>
      <c r="J7170" t="s">
        <v>43</v>
      </c>
      <c r="K7170" t="s">
        <v>43</v>
      </c>
      <c r="L7170" t="s">
        <v>43</v>
      </c>
      <c r="M7170" t="s">
        <v>43</v>
      </c>
      <c r="N7170" t="s">
        <v>45</v>
      </c>
      <c r="O7170" t="s">
        <v>43</v>
      </c>
      <c r="P7170" t="s">
        <v>43</v>
      </c>
      <c r="Q7170" t="s">
        <v>43</v>
      </c>
      <c r="R7170" t="s">
        <v>43</v>
      </c>
      <c r="S7170" t="s">
        <v>43</v>
      </c>
      <c r="T7170" t="s">
        <v>43</v>
      </c>
      <c r="U7170" t="s">
        <v>43</v>
      </c>
      <c r="V7170" t="s">
        <v>43</v>
      </c>
      <c r="W7170" t="s">
        <v>43</v>
      </c>
      <c r="X7170" t="s">
        <v>43</v>
      </c>
      <c r="Y7170" t="s">
        <v>43</v>
      </c>
      <c r="Z7170" t="s">
        <v>43</v>
      </c>
      <c r="AA7170" t="s">
        <v>43</v>
      </c>
      <c r="AB7170" t="s">
        <v>43</v>
      </c>
      <c r="AC7170" t="s">
        <v>43</v>
      </c>
      <c r="AD7170" t="s">
        <v>43</v>
      </c>
      <c r="AE7170" t="s">
        <v>43</v>
      </c>
      <c r="AF7170" t="s">
        <v>43</v>
      </c>
      <c r="AG7170" t="s">
        <v>43</v>
      </c>
      <c r="AH7170" t="s">
        <v>43</v>
      </c>
      <c r="AI7170" t="s">
        <v>43</v>
      </c>
      <c r="AJ7170" t="s">
        <v>43</v>
      </c>
      <c r="AK7170" t="s">
        <v>43</v>
      </c>
      <c r="AL7170" t="s">
        <v>43</v>
      </c>
      <c r="AM7170" t="s">
        <v>43</v>
      </c>
      <c r="AN7170" t="s">
        <v>43</v>
      </c>
    </row>
    <row r="7171" spans="1:40" x14ac:dyDescent="0.3">
      <c r="A7171" s="1">
        <v>46210.169328703705</v>
      </c>
      <c r="B7171" t="s">
        <v>40</v>
      </c>
      <c r="C7171" t="s">
        <v>41</v>
      </c>
      <c r="D7171" s="1">
        <v>46210.172256944446</v>
      </c>
      <c r="E7171" t="s">
        <v>42</v>
      </c>
      <c r="F7171" t="s">
        <v>43</v>
      </c>
      <c r="G7171" t="s">
        <v>43</v>
      </c>
      <c r="H7171" t="s">
        <v>43</v>
      </c>
      <c r="I7171" t="s">
        <v>4159</v>
      </c>
      <c r="J7171" t="s">
        <v>43</v>
      </c>
      <c r="K7171" t="s">
        <v>43</v>
      </c>
      <c r="L7171" t="s">
        <v>43</v>
      </c>
      <c r="M7171" t="s">
        <v>43</v>
      </c>
      <c r="N7171" t="s">
        <v>45</v>
      </c>
      <c r="O7171" t="s">
        <v>43</v>
      </c>
      <c r="P7171" t="s">
        <v>43</v>
      </c>
      <c r="Q7171" t="s">
        <v>43</v>
      </c>
      <c r="R7171" t="s">
        <v>43</v>
      </c>
      <c r="S7171" t="s">
        <v>43</v>
      </c>
      <c r="T7171" t="s">
        <v>43</v>
      </c>
      <c r="U7171" t="s">
        <v>43</v>
      </c>
      <c r="V7171" t="s">
        <v>43</v>
      </c>
      <c r="W7171" t="s">
        <v>43</v>
      </c>
      <c r="X7171" t="s">
        <v>43</v>
      </c>
      <c r="Y7171" t="s">
        <v>43</v>
      </c>
      <c r="Z7171" t="s">
        <v>43</v>
      </c>
      <c r="AA7171" t="s">
        <v>43</v>
      </c>
      <c r="AB7171" t="s">
        <v>43</v>
      </c>
      <c r="AC7171" t="s">
        <v>43</v>
      </c>
      <c r="AD7171" t="s">
        <v>43</v>
      </c>
      <c r="AE7171" t="s">
        <v>43</v>
      </c>
      <c r="AF7171" t="s">
        <v>43</v>
      </c>
      <c r="AG7171" t="s">
        <v>43</v>
      </c>
      <c r="AH7171" t="s">
        <v>43</v>
      </c>
      <c r="AI7171" t="s">
        <v>43</v>
      </c>
      <c r="AJ7171" t="s">
        <v>43</v>
      </c>
      <c r="AK7171" t="s">
        <v>43</v>
      </c>
      <c r="AL7171" t="s">
        <v>43</v>
      </c>
      <c r="AM7171" t="s">
        <v>43</v>
      </c>
      <c r="AN7171" t="str">
        <f>HYPERLINK("https://www.google.com/maps?q=10.78967285,79.57881165","Open Location")</f>
        <v>Open Location</v>
      </c>
    </row>
    <row r="7172" spans="1:40" x14ac:dyDescent="0.3">
      <c r="A7172" s="1">
        <v>46210.169212962966</v>
      </c>
      <c r="B7172" t="s">
        <v>40</v>
      </c>
      <c r="C7172" t="s">
        <v>41</v>
      </c>
      <c r="D7172" s="1">
        <v>46210.172268518516</v>
      </c>
      <c r="E7172" t="s">
        <v>42</v>
      </c>
      <c r="F7172" t="s">
        <v>43</v>
      </c>
      <c r="G7172" t="s">
        <v>43</v>
      </c>
      <c r="H7172" t="s">
        <v>43</v>
      </c>
      <c r="I7172" t="s">
        <v>4160</v>
      </c>
      <c r="J7172" t="s">
        <v>43</v>
      </c>
      <c r="K7172" t="s">
        <v>43</v>
      </c>
      <c r="L7172" t="s">
        <v>43</v>
      </c>
      <c r="M7172" t="s">
        <v>43</v>
      </c>
      <c r="N7172" t="s">
        <v>45</v>
      </c>
      <c r="O7172" t="s">
        <v>43</v>
      </c>
      <c r="P7172" t="s">
        <v>43</v>
      </c>
      <c r="Q7172" t="s">
        <v>43</v>
      </c>
      <c r="R7172" t="s">
        <v>43</v>
      </c>
      <c r="S7172" t="s">
        <v>43</v>
      </c>
      <c r="T7172" t="s">
        <v>43</v>
      </c>
      <c r="U7172" t="s">
        <v>43</v>
      </c>
      <c r="V7172" t="s">
        <v>43</v>
      </c>
      <c r="W7172" t="s">
        <v>43</v>
      </c>
      <c r="X7172" t="s">
        <v>43</v>
      </c>
      <c r="Y7172" t="s">
        <v>43</v>
      </c>
      <c r="Z7172" t="s">
        <v>43</v>
      </c>
      <c r="AA7172" t="s">
        <v>43</v>
      </c>
      <c r="AB7172" t="s">
        <v>43</v>
      </c>
      <c r="AC7172" t="s">
        <v>43</v>
      </c>
      <c r="AD7172" t="s">
        <v>43</v>
      </c>
      <c r="AE7172" t="s">
        <v>43</v>
      </c>
      <c r="AF7172" t="s">
        <v>43</v>
      </c>
      <c r="AG7172" t="s">
        <v>43</v>
      </c>
      <c r="AH7172" t="s">
        <v>43</v>
      </c>
      <c r="AI7172" t="s">
        <v>43</v>
      </c>
      <c r="AJ7172" t="s">
        <v>43</v>
      </c>
      <c r="AK7172" t="s">
        <v>43</v>
      </c>
      <c r="AL7172" t="s">
        <v>43</v>
      </c>
      <c r="AM7172" t="s">
        <v>43</v>
      </c>
      <c r="AN7172" t="str">
        <f>HYPERLINK("https://www.google.com/maps?q=10.78967667,79.57879639","Open Location")</f>
        <v>Open Location</v>
      </c>
    </row>
    <row r="7173" spans="1:40" x14ac:dyDescent="0.3">
      <c r="A7173" s="1">
        <v>46210.16909722222</v>
      </c>
      <c r="B7173" t="s">
        <v>40</v>
      </c>
      <c r="C7173" t="s">
        <v>41</v>
      </c>
      <c r="D7173" s="1">
        <v>46210.1719212963</v>
      </c>
      <c r="E7173" t="s">
        <v>42</v>
      </c>
      <c r="F7173" t="s">
        <v>43</v>
      </c>
      <c r="G7173" t="s">
        <v>43</v>
      </c>
      <c r="H7173" t="s">
        <v>43</v>
      </c>
      <c r="I7173" t="s">
        <v>4161</v>
      </c>
      <c r="J7173" t="s">
        <v>43</v>
      </c>
      <c r="K7173" t="s">
        <v>43</v>
      </c>
      <c r="L7173" t="s">
        <v>43</v>
      </c>
      <c r="M7173" t="s">
        <v>43</v>
      </c>
      <c r="N7173" t="s">
        <v>45</v>
      </c>
      <c r="O7173" t="s">
        <v>43</v>
      </c>
      <c r="P7173" t="s">
        <v>43</v>
      </c>
      <c r="Q7173" t="s">
        <v>43</v>
      </c>
      <c r="R7173" t="s">
        <v>43</v>
      </c>
      <c r="S7173" t="s">
        <v>43</v>
      </c>
      <c r="T7173" t="s">
        <v>43</v>
      </c>
      <c r="U7173" t="s">
        <v>43</v>
      </c>
      <c r="V7173" t="s">
        <v>43</v>
      </c>
      <c r="W7173" t="s">
        <v>43</v>
      </c>
      <c r="X7173" t="s">
        <v>43</v>
      </c>
      <c r="Y7173" t="s">
        <v>43</v>
      </c>
      <c r="Z7173" t="s">
        <v>43</v>
      </c>
      <c r="AA7173" t="s">
        <v>43</v>
      </c>
      <c r="AB7173" t="s">
        <v>43</v>
      </c>
      <c r="AC7173" t="s">
        <v>43</v>
      </c>
      <c r="AD7173" t="s">
        <v>43</v>
      </c>
      <c r="AE7173" t="s">
        <v>43</v>
      </c>
      <c r="AF7173" t="s">
        <v>43</v>
      </c>
      <c r="AG7173" t="s">
        <v>43</v>
      </c>
      <c r="AH7173" t="s">
        <v>43</v>
      </c>
      <c r="AI7173" t="s">
        <v>43</v>
      </c>
      <c r="AJ7173" t="s">
        <v>43</v>
      </c>
      <c r="AK7173" t="s">
        <v>43</v>
      </c>
      <c r="AL7173" t="s">
        <v>43</v>
      </c>
      <c r="AM7173" t="s">
        <v>43</v>
      </c>
      <c r="AN7173" t="str">
        <f>HYPERLINK("https://www.google.com/maps?q=10.78967762,79.57879639","Open Location")</f>
        <v>Open Location</v>
      </c>
    </row>
    <row r="7174" spans="1:40" x14ac:dyDescent="0.3">
      <c r="A7174" s="1">
        <v>46210.168981481482</v>
      </c>
      <c r="B7174" t="s">
        <v>40</v>
      </c>
      <c r="C7174" t="s">
        <v>41</v>
      </c>
      <c r="D7174" s="1">
        <v>46210.171909722223</v>
      </c>
      <c r="E7174" t="s">
        <v>42</v>
      </c>
      <c r="F7174" t="s">
        <v>43</v>
      </c>
      <c r="G7174" t="s">
        <v>43</v>
      </c>
      <c r="H7174" t="s">
        <v>43</v>
      </c>
      <c r="I7174" t="s">
        <v>4160</v>
      </c>
      <c r="J7174" t="s">
        <v>43</v>
      </c>
      <c r="K7174" t="s">
        <v>43</v>
      </c>
      <c r="L7174" t="s">
        <v>43</v>
      </c>
      <c r="M7174" t="s">
        <v>43</v>
      </c>
      <c r="N7174" t="s">
        <v>45</v>
      </c>
      <c r="O7174" t="s">
        <v>43</v>
      </c>
      <c r="P7174" t="s">
        <v>43</v>
      </c>
      <c r="Q7174" t="s">
        <v>43</v>
      </c>
      <c r="R7174" t="s">
        <v>43</v>
      </c>
      <c r="S7174" t="s">
        <v>43</v>
      </c>
      <c r="T7174" t="s">
        <v>43</v>
      </c>
      <c r="U7174" t="s">
        <v>43</v>
      </c>
      <c r="V7174" t="s">
        <v>43</v>
      </c>
      <c r="W7174" t="s">
        <v>43</v>
      </c>
      <c r="X7174" t="s">
        <v>43</v>
      </c>
      <c r="Y7174" t="s">
        <v>43</v>
      </c>
      <c r="Z7174" t="s">
        <v>43</v>
      </c>
      <c r="AA7174" t="s">
        <v>43</v>
      </c>
      <c r="AB7174" t="s">
        <v>43</v>
      </c>
      <c r="AC7174" t="s">
        <v>43</v>
      </c>
      <c r="AD7174" t="s">
        <v>43</v>
      </c>
      <c r="AE7174" t="s">
        <v>43</v>
      </c>
      <c r="AF7174" t="s">
        <v>43</v>
      </c>
      <c r="AG7174" t="s">
        <v>43</v>
      </c>
      <c r="AH7174" t="s">
        <v>43</v>
      </c>
      <c r="AI7174" t="s">
        <v>43</v>
      </c>
      <c r="AJ7174" t="s">
        <v>43</v>
      </c>
      <c r="AK7174" t="s">
        <v>43</v>
      </c>
      <c r="AL7174" t="s">
        <v>43</v>
      </c>
      <c r="AM7174" t="s">
        <v>43</v>
      </c>
      <c r="AN7174" t="str">
        <f>HYPERLINK("https://www.google.com/maps?q=10.78967667,79.57879639","Open Location")</f>
        <v>Open Location</v>
      </c>
    </row>
    <row r="7175" spans="1:40" x14ac:dyDescent="0.3">
      <c r="A7175" s="1">
        <v>46210.168865740743</v>
      </c>
      <c r="B7175" t="s">
        <v>40</v>
      </c>
      <c r="C7175" t="s">
        <v>41</v>
      </c>
      <c r="D7175" s="1">
        <v>46210.171527777777</v>
      </c>
      <c r="E7175" t="s">
        <v>42</v>
      </c>
      <c r="F7175" t="s">
        <v>43</v>
      </c>
      <c r="G7175" t="s">
        <v>43</v>
      </c>
      <c r="H7175" t="s">
        <v>43</v>
      </c>
      <c r="I7175" t="s">
        <v>4159</v>
      </c>
      <c r="J7175" t="s">
        <v>43</v>
      </c>
      <c r="K7175" t="s">
        <v>43</v>
      </c>
      <c r="L7175" t="s">
        <v>43</v>
      </c>
      <c r="M7175" t="s">
        <v>43</v>
      </c>
      <c r="N7175" t="s">
        <v>45</v>
      </c>
      <c r="O7175" t="s">
        <v>43</v>
      </c>
      <c r="P7175" t="s">
        <v>43</v>
      </c>
      <c r="Q7175" t="s">
        <v>43</v>
      </c>
      <c r="R7175" t="s">
        <v>43</v>
      </c>
      <c r="S7175" t="s">
        <v>43</v>
      </c>
      <c r="T7175" t="s">
        <v>43</v>
      </c>
      <c r="U7175" t="s">
        <v>43</v>
      </c>
      <c r="V7175" t="s">
        <v>43</v>
      </c>
      <c r="W7175" t="s">
        <v>43</v>
      </c>
      <c r="X7175" t="s">
        <v>43</v>
      </c>
      <c r="Y7175" t="s">
        <v>43</v>
      </c>
      <c r="Z7175" t="s">
        <v>43</v>
      </c>
      <c r="AA7175" t="s">
        <v>43</v>
      </c>
      <c r="AB7175" t="s">
        <v>43</v>
      </c>
      <c r="AC7175" t="s">
        <v>43</v>
      </c>
      <c r="AD7175" t="s">
        <v>43</v>
      </c>
      <c r="AE7175" t="s">
        <v>43</v>
      </c>
      <c r="AF7175" t="s">
        <v>43</v>
      </c>
      <c r="AG7175" t="s">
        <v>43</v>
      </c>
      <c r="AH7175" t="s">
        <v>43</v>
      </c>
      <c r="AI7175" t="s">
        <v>43</v>
      </c>
      <c r="AJ7175" t="s">
        <v>43</v>
      </c>
      <c r="AK7175" t="s">
        <v>43</v>
      </c>
      <c r="AL7175" t="s">
        <v>43</v>
      </c>
      <c r="AM7175" t="s">
        <v>43</v>
      </c>
      <c r="AN7175" t="str">
        <f>HYPERLINK("https://www.google.com/maps?q=10.78967285,79.57881165","Open Location")</f>
        <v>Open Location</v>
      </c>
    </row>
    <row r="7176" spans="1:40" x14ac:dyDescent="0.3">
      <c r="A7176" s="1">
        <v>46210.168749999997</v>
      </c>
      <c r="B7176" t="s">
        <v>40</v>
      </c>
      <c r="C7176" t="s">
        <v>41</v>
      </c>
      <c r="D7176" s="1">
        <v>46210.171527777777</v>
      </c>
      <c r="E7176" t="s">
        <v>42</v>
      </c>
      <c r="F7176" t="s">
        <v>43</v>
      </c>
      <c r="G7176" t="s">
        <v>43</v>
      </c>
      <c r="H7176" t="s">
        <v>43</v>
      </c>
      <c r="I7176" t="s">
        <v>43</v>
      </c>
      <c r="J7176" t="s">
        <v>43</v>
      </c>
      <c r="K7176" t="s">
        <v>43</v>
      </c>
      <c r="L7176" t="s">
        <v>43</v>
      </c>
      <c r="M7176" t="s">
        <v>43</v>
      </c>
      <c r="N7176" t="s">
        <v>45</v>
      </c>
      <c r="O7176" t="s">
        <v>43</v>
      </c>
      <c r="P7176" t="s">
        <v>43</v>
      </c>
      <c r="Q7176" t="s">
        <v>43</v>
      </c>
      <c r="R7176" t="s">
        <v>43</v>
      </c>
      <c r="S7176" t="s">
        <v>43</v>
      </c>
      <c r="T7176" t="s">
        <v>43</v>
      </c>
      <c r="U7176" t="s">
        <v>43</v>
      </c>
      <c r="V7176" t="s">
        <v>43</v>
      </c>
      <c r="W7176" t="s">
        <v>43</v>
      </c>
      <c r="X7176" t="s">
        <v>43</v>
      </c>
      <c r="Y7176" t="s">
        <v>43</v>
      </c>
      <c r="Z7176" t="s">
        <v>43</v>
      </c>
      <c r="AA7176" t="s">
        <v>43</v>
      </c>
      <c r="AB7176" t="s">
        <v>43</v>
      </c>
      <c r="AC7176" t="s">
        <v>43</v>
      </c>
      <c r="AD7176" t="s">
        <v>43</v>
      </c>
      <c r="AE7176" t="s">
        <v>43</v>
      </c>
      <c r="AF7176" t="s">
        <v>43</v>
      </c>
      <c r="AG7176" t="s">
        <v>43</v>
      </c>
      <c r="AH7176" t="s">
        <v>43</v>
      </c>
      <c r="AI7176" t="s">
        <v>43</v>
      </c>
      <c r="AJ7176" t="s">
        <v>43</v>
      </c>
      <c r="AK7176" t="s">
        <v>43</v>
      </c>
      <c r="AL7176" t="s">
        <v>43</v>
      </c>
      <c r="AM7176" t="s">
        <v>43</v>
      </c>
      <c r="AN7176" t="s">
        <v>43</v>
      </c>
    </row>
    <row r="7177" spans="1:40" x14ac:dyDescent="0.3">
      <c r="A7177" s="1">
        <v>46210.168634259258</v>
      </c>
      <c r="B7177" t="s">
        <v>40</v>
      </c>
      <c r="C7177" t="s">
        <v>41</v>
      </c>
      <c r="D7177" s="1">
        <v>46210.171516203707</v>
      </c>
      <c r="E7177" t="s">
        <v>42</v>
      </c>
      <c r="F7177" t="s">
        <v>43</v>
      </c>
      <c r="G7177" t="s">
        <v>43</v>
      </c>
      <c r="H7177" t="s">
        <v>43</v>
      </c>
      <c r="I7177" t="s">
        <v>3936</v>
      </c>
      <c r="J7177" t="s">
        <v>43</v>
      </c>
      <c r="K7177" t="s">
        <v>43</v>
      </c>
      <c r="L7177" t="s">
        <v>43</v>
      </c>
      <c r="M7177" t="s">
        <v>43</v>
      </c>
      <c r="N7177" t="s">
        <v>45</v>
      </c>
      <c r="O7177" t="s">
        <v>43</v>
      </c>
      <c r="P7177" t="s">
        <v>43</v>
      </c>
      <c r="Q7177" t="s">
        <v>43</v>
      </c>
      <c r="R7177" t="s">
        <v>43</v>
      </c>
      <c r="S7177" t="s">
        <v>43</v>
      </c>
      <c r="T7177" t="s">
        <v>43</v>
      </c>
      <c r="U7177" t="s">
        <v>43</v>
      </c>
      <c r="V7177" t="s">
        <v>43</v>
      </c>
      <c r="W7177" t="s">
        <v>43</v>
      </c>
      <c r="X7177" t="s">
        <v>43</v>
      </c>
      <c r="Y7177" t="s">
        <v>43</v>
      </c>
      <c r="Z7177" t="s">
        <v>43</v>
      </c>
      <c r="AA7177" t="s">
        <v>43</v>
      </c>
      <c r="AB7177" t="s">
        <v>43</v>
      </c>
      <c r="AC7177" t="s">
        <v>43</v>
      </c>
      <c r="AD7177" t="s">
        <v>43</v>
      </c>
      <c r="AE7177" t="s">
        <v>43</v>
      </c>
      <c r="AF7177" t="s">
        <v>43</v>
      </c>
      <c r="AG7177" t="s">
        <v>43</v>
      </c>
      <c r="AH7177" t="s">
        <v>43</v>
      </c>
      <c r="AI7177" t="s">
        <v>43</v>
      </c>
      <c r="AJ7177" t="s">
        <v>43</v>
      </c>
      <c r="AK7177" t="s">
        <v>43</v>
      </c>
      <c r="AL7177" t="s">
        <v>43</v>
      </c>
      <c r="AM7177" t="s">
        <v>43</v>
      </c>
      <c r="AN7177" t="str">
        <f>HYPERLINK("https://www.google.com/maps?q=10.78965855,79.57881165","Open Location")</f>
        <v>Open Location</v>
      </c>
    </row>
    <row r="7178" spans="1:40" x14ac:dyDescent="0.3">
      <c r="A7178" s="1">
        <v>46210.16851851852</v>
      </c>
      <c r="B7178" t="s">
        <v>40</v>
      </c>
      <c r="C7178" t="s">
        <v>41</v>
      </c>
      <c r="D7178" s="1">
        <v>46210.171527777777</v>
      </c>
      <c r="E7178" t="s">
        <v>42</v>
      </c>
      <c r="F7178" t="s">
        <v>43</v>
      </c>
      <c r="G7178" t="s">
        <v>43</v>
      </c>
      <c r="H7178" t="s">
        <v>43</v>
      </c>
      <c r="I7178" t="s">
        <v>3918</v>
      </c>
      <c r="J7178" t="s">
        <v>43</v>
      </c>
      <c r="K7178" t="s">
        <v>43</v>
      </c>
      <c r="L7178" t="s">
        <v>43</v>
      </c>
      <c r="M7178" t="s">
        <v>43</v>
      </c>
      <c r="N7178" t="s">
        <v>45</v>
      </c>
      <c r="O7178" t="s">
        <v>43</v>
      </c>
      <c r="P7178" t="s">
        <v>43</v>
      </c>
      <c r="Q7178" t="s">
        <v>43</v>
      </c>
      <c r="R7178" t="s">
        <v>43</v>
      </c>
      <c r="S7178" t="s">
        <v>43</v>
      </c>
      <c r="T7178" t="s">
        <v>43</v>
      </c>
      <c r="U7178" t="s">
        <v>43</v>
      </c>
      <c r="V7178" t="s">
        <v>43</v>
      </c>
      <c r="W7178" t="s">
        <v>43</v>
      </c>
      <c r="X7178" t="s">
        <v>43</v>
      </c>
      <c r="Y7178" t="s">
        <v>43</v>
      </c>
      <c r="Z7178" t="s">
        <v>43</v>
      </c>
      <c r="AA7178" t="s">
        <v>43</v>
      </c>
      <c r="AB7178" t="s">
        <v>43</v>
      </c>
      <c r="AC7178" t="s">
        <v>43</v>
      </c>
      <c r="AD7178" t="s">
        <v>43</v>
      </c>
      <c r="AE7178" t="s">
        <v>43</v>
      </c>
      <c r="AF7178" t="s">
        <v>43</v>
      </c>
      <c r="AG7178" t="s">
        <v>43</v>
      </c>
      <c r="AH7178" t="s">
        <v>43</v>
      </c>
      <c r="AI7178" t="s">
        <v>43</v>
      </c>
      <c r="AJ7178" t="s">
        <v>43</v>
      </c>
      <c r="AK7178" t="s">
        <v>43</v>
      </c>
      <c r="AL7178" t="s">
        <v>43</v>
      </c>
      <c r="AM7178" t="s">
        <v>43</v>
      </c>
      <c r="AN7178" t="str">
        <f>HYPERLINK("https://www.google.com/maps?q=10.78965092,79.57881165","Open Location")</f>
        <v>Open Location</v>
      </c>
    </row>
    <row r="7179" spans="1:40" x14ac:dyDescent="0.3">
      <c r="A7179" s="1">
        <v>46210.168402777781</v>
      </c>
      <c r="B7179" t="s">
        <v>40</v>
      </c>
      <c r="C7179" t="s">
        <v>41</v>
      </c>
      <c r="D7179" s="1">
        <v>46210.171157407407</v>
      </c>
      <c r="E7179" t="s">
        <v>42</v>
      </c>
      <c r="F7179" t="s">
        <v>43</v>
      </c>
      <c r="G7179" t="s">
        <v>43</v>
      </c>
      <c r="H7179" t="s">
        <v>43</v>
      </c>
      <c r="I7179" t="s">
        <v>3948</v>
      </c>
      <c r="J7179" t="s">
        <v>43</v>
      </c>
      <c r="K7179" t="s">
        <v>43</v>
      </c>
      <c r="L7179" t="s">
        <v>43</v>
      </c>
      <c r="M7179" t="s">
        <v>43</v>
      </c>
      <c r="N7179" t="s">
        <v>45</v>
      </c>
      <c r="O7179" t="s">
        <v>43</v>
      </c>
      <c r="P7179" t="s">
        <v>43</v>
      </c>
      <c r="Q7179" t="s">
        <v>43</v>
      </c>
      <c r="R7179" t="s">
        <v>43</v>
      </c>
      <c r="S7179" t="s">
        <v>43</v>
      </c>
      <c r="T7179" t="s">
        <v>43</v>
      </c>
      <c r="U7179" t="s">
        <v>43</v>
      </c>
      <c r="V7179" t="s">
        <v>43</v>
      </c>
      <c r="W7179" t="s">
        <v>43</v>
      </c>
      <c r="X7179" t="s">
        <v>43</v>
      </c>
      <c r="Y7179" t="s">
        <v>43</v>
      </c>
      <c r="Z7179" t="s">
        <v>43</v>
      </c>
      <c r="AA7179" t="s">
        <v>43</v>
      </c>
      <c r="AB7179" t="s">
        <v>43</v>
      </c>
      <c r="AC7179" t="s">
        <v>43</v>
      </c>
      <c r="AD7179" t="s">
        <v>43</v>
      </c>
      <c r="AE7179" t="s">
        <v>43</v>
      </c>
      <c r="AF7179" t="s">
        <v>43</v>
      </c>
      <c r="AG7179" t="s">
        <v>43</v>
      </c>
      <c r="AH7179" t="s">
        <v>43</v>
      </c>
      <c r="AI7179" t="s">
        <v>43</v>
      </c>
      <c r="AJ7179" t="s">
        <v>43</v>
      </c>
      <c r="AK7179" t="s">
        <v>43</v>
      </c>
      <c r="AL7179" t="s">
        <v>43</v>
      </c>
      <c r="AM7179" t="s">
        <v>43</v>
      </c>
      <c r="AN7179" t="str">
        <f>HYPERLINK("https://www.google.com/maps?q=10.78964901,79.57881927","Open Location")</f>
        <v>Open Location</v>
      </c>
    </row>
    <row r="7180" spans="1:40" x14ac:dyDescent="0.3">
      <c r="A7180" s="1">
        <v>46210.168287037035</v>
      </c>
      <c r="B7180" t="s">
        <v>40</v>
      </c>
      <c r="C7180" t="s">
        <v>41</v>
      </c>
      <c r="D7180" s="1">
        <v>46210.17114583333</v>
      </c>
      <c r="E7180" t="s">
        <v>42</v>
      </c>
      <c r="F7180" t="s">
        <v>43</v>
      </c>
      <c r="G7180" t="s">
        <v>43</v>
      </c>
      <c r="H7180" t="s">
        <v>43</v>
      </c>
      <c r="I7180" t="s">
        <v>4102</v>
      </c>
      <c r="J7180" t="s">
        <v>43</v>
      </c>
      <c r="K7180" t="s">
        <v>43</v>
      </c>
      <c r="L7180" t="s">
        <v>43</v>
      </c>
      <c r="M7180" t="s">
        <v>43</v>
      </c>
      <c r="N7180" t="s">
        <v>45</v>
      </c>
      <c r="O7180" t="s">
        <v>43</v>
      </c>
      <c r="P7180" t="s">
        <v>43</v>
      </c>
      <c r="Q7180" t="s">
        <v>43</v>
      </c>
      <c r="R7180" t="s">
        <v>43</v>
      </c>
      <c r="S7180" t="s">
        <v>43</v>
      </c>
      <c r="T7180" t="s">
        <v>43</v>
      </c>
      <c r="U7180" t="s">
        <v>43</v>
      </c>
      <c r="V7180" t="s">
        <v>43</v>
      </c>
      <c r="W7180" t="s">
        <v>43</v>
      </c>
      <c r="X7180" t="s">
        <v>43</v>
      </c>
      <c r="Y7180" t="s">
        <v>43</v>
      </c>
      <c r="Z7180" t="s">
        <v>43</v>
      </c>
      <c r="AA7180" t="s">
        <v>43</v>
      </c>
      <c r="AB7180" t="s">
        <v>43</v>
      </c>
      <c r="AC7180" t="s">
        <v>43</v>
      </c>
      <c r="AD7180" t="s">
        <v>43</v>
      </c>
      <c r="AE7180" t="s">
        <v>43</v>
      </c>
      <c r="AF7180" t="s">
        <v>43</v>
      </c>
      <c r="AG7180" t="s">
        <v>43</v>
      </c>
      <c r="AH7180" t="s">
        <v>43</v>
      </c>
      <c r="AI7180" t="s">
        <v>43</v>
      </c>
      <c r="AJ7180" t="s">
        <v>43</v>
      </c>
      <c r="AK7180" t="s">
        <v>43</v>
      </c>
      <c r="AL7180" t="s">
        <v>43</v>
      </c>
      <c r="AM7180" t="s">
        <v>43</v>
      </c>
      <c r="AN7180" t="str">
        <f>HYPERLINK("https://www.google.com/maps?q=10.78964806,79.57879639","Open Location")</f>
        <v>Open Location</v>
      </c>
    </row>
    <row r="7181" spans="1:40" x14ac:dyDescent="0.3">
      <c r="A7181" s="1">
        <v>46210.168171296296</v>
      </c>
      <c r="B7181" t="s">
        <v>40</v>
      </c>
      <c r="C7181" t="s">
        <v>41</v>
      </c>
      <c r="D7181" s="1">
        <v>46210.171157407407</v>
      </c>
      <c r="E7181" t="s">
        <v>42</v>
      </c>
      <c r="F7181" t="s">
        <v>43</v>
      </c>
      <c r="G7181" t="s">
        <v>43</v>
      </c>
      <c r="H7181" t="s">
        <v>43</v>
      </c>
      <c r="I7181" t="s">
        <v>43</v>
      </c>
      <c r="J7181" t="s">
        <v>43</v>
      </c>
      <c r="K7181" t="s">
        <v>43</v>
      </c>
      <c r="L7181" t="s">
        <v>43</v>
      </c>
      <c r="M7181" t="s">
        <v>43</v>
      </c>
      <c r="N7181" t="s">
        <v>45</v>
      </c>
      <c r="O7181" t="s">
        <v>43</v>
      </c>
      <c r="P7181" t="s">
        <v>43</v>
      </c>
      <c r="Q7181" t="s">
        <v>43</v>
      </c>
      <c r="R7181" t="s">
        <v>43</v>
      </c>
      <c r="S7181" t="s">
        <v>43</v>
      </c>
      <c r="T7181" t="s">
        <v>43</v>
      </c>
      <c r="U7181" t="s">
        <v>43</v>
      </c>
      <c r="V7181" t="s">
        <v>43</v>
      </c>
      <c r="W7181" t="s">
        <v>43</v>
      </c>
      <c r="X7181" t="s">
        <v>43</v>
      </c>
      <c r="Y7181" t="s">
        <v>43</v>
      </c>
      <c r="Z7181" t="s">
        <v>43</v>
      </c>
      <c r="AA7181" t="s">
        <v>43</v>
      </c>
      <c r="AB7181" t="s">
        <v>43</v>
      </c>
      <c r="AC7181" t="s">
        <v>43</v>
      </c>
      <c r="AD7181" t="s">
        <v>43</v>
      </c>
      <c r="AE7181" t="s">
        <v>43</v>
      </c>
      <c r="AF7181" t="s">
        <v>43</v>
      </c>
      <c r="AG7181" t="s">
        <v>43</v>
      </c>
      <c r="AH7181" t="s">
        <v>43</v>
      </c>
      <c r="AI7181" t="s">
        <v>43</v>
      </c>
      <c r="AJ7181" t="s">
        <v>43</v>
      </c>
      <c r="AK7181" t="s">
        <v>43</v>
      </c>
      <c r="AL7181" t="s">
        <v>43</v>
      </c>
      <c r="AM7181" t="s">
        <v>43</v>
      </c>
      <c r="AN7181" t="s">
        <v>43</v>
      </c>
    </row>
    <row r="7182" spans="1:40" x14ac:dyDescent="0.3">
      <c r="A7182" s="1">
        <v>46210.168055555558</v>
      </c>
      <c r="B7182" t="s">
        <v>40</v>
      </c>
      <c r="C7182" t="s">
        <v>41</v>
      </c>
      <c r="D7182" s="1">
        <v>46210.171168981484</v>
      </c>
      <c r="E7182" t="s">
        <v>42</v>
      </c>
      <c r="F7182" t="s">
        <v>43</v>
      </c>
      <c r="G7182" t="s">
        <v>43</v>
      </c>
      <c r="H7182" t="s">
        <v>43</v>
      </c>
      <c r="I7182" t="s">
        <v>4146</v>
      </c>
      <c r="J7182" t="s">
        <v>43</v>
      </c>
      <c r="K7182" t="s">
        <v>43</v>
      </c>
      <c r="L7182" t="s">
        <v>43</v>
      </c>
      <c r="M7182" t="s">
        <v>43</v>
      </c>
      <c r="N7182" t="s">
        <v>45</v>
      </c>
      <c r="O7182" t="s">
        <v>43</v>
      </c>
      <c r="P7182" t="s">
        <v>43</v>
      </c>
      <c r="Q7182" t="s">
        <v>43</v>
      </c>
      <c r="R7182" t="s">
        <v>43</v>
      </c>
      <c r="S7182" t="s">
        <v>43</v>
      </c>
      <c r="T7182" t="s">
        <v>43</v>
      </c>
      <c r="U7182" t="s">
        <v>43</v>
      </c>
      <c r="V7182" t="s">
        <v>43</v>
      </c>
      <c r="W7182" t="s">
        <v>43</v>
      </c>
      <c r="X7182" t="s">
        <v>43</v>
      </c>
      <c r="Y7182" t="s">
        <v>43</v>
      </c>
      <c r="Z7182" t="s">
        <v>43</v>
      </c>
      <c r="AA7182" t="s">
        <v>43</v>
      </c>
      <c r="AB7182" t="s">
        <v>43</v>
      </c>
      <c r="AC7182" t="s">
        <v>43</v>
      </c>
      <c r="AD7182" t="s">
        <v>43</v>
      </c>
      <c r="AE7182" t="s">
        <v>43</v>
      </c>
      <c r="AF7182" t="s">
        <v>43</v>
      </c>
      <c r="AG7182" t="s">
        <v>43</v>
      </c>
      <c r="AH7182" t="s">
        <v>43</v>
      </c>
      <c r="AI7182" t="s">
        <v>43</v>
      </c>
      <c r="AJ7182" t="s">
        <v>43</v>
      </c>
      <c r="AK7182" t="s">
        <v>43</v>
      </c>
      <c r="AL7182" t="s">
        <v>43</v>
      </c>
      <c r="AM7182" t="s">
        <v>43</v>
      </c>
      <c r="AN7182" t="str">
        <f>HYPERLINK("https://www.google.com/maps?q=10.78964424,79.57881165","Open Location")</f>
        <v>Open Location</v>
      </c>
    </row>
    <row r="7183" spans="1:40" x14ac:dyDescent="0.3">
      <c r="A7183" s="1">
        <v>46210.167939814812</v>
      </c>
      <c r="B7183" t="s">
        <v>40</v>
      </c>
      <c r="C7183" t="s">
        <v>41</v>
      </c>
      <c r="D7183" s="1">
        <v>46210.170798611114</v>
      </c>
      <c r="E7183" t="s">
        <v>42</v>
      </c>
      <c r="F7183" t="s">
        <v>43</v>
      </c>
      <c r="G7183" t="s">
        <v>43</v>
      </c>
      <c r="H7183" t="s">
        <v>43</v>
      </c>
      <c r="I7183" t="s">
        <v>4162</v>
      </c>
      <c r="J7183" t="s">
        <v>43</v>
      </c>
      <c r="K7183" t="s">
        <v>43</v>
      </c>
      <c r="L7183" t="s">
        <v>43</v>
      </c>
      <c r="M7183" t="s">
        <v>43</v>
      </c>
      <c r="N7183" t="s">
        <v>45</v>
      </c>
      <c r="O7183" t="s">
        <v>43</v>
      </c>
      <c r="P7183" t="s">
        <v>43</v>
      </c>
      <c r="Q7183" t="s">
        <v>43</v>
      </c>
      <c r="R7183" t="s">
        <v>43</v>
      </c>
      <c r="S7183" t="s">
        <v>43</v>
      </c>
      <c r="T7183" t="s">
        <v>43</v>
      </c>
      <c r="U7183" t="s">
        <v>43</v>
      </c>
      <c r="V7183" t="s">
        <v>43</v>
      </c>
      <c r="W7183" t="s">
        <v>43</v>
      </c>
      <c r="X7183" t="s">
        <v>43</v>
      </c>
      <c r="Y7183" t="s">
        <v>43</v>
      </c>
      <c r="Z7183" t="s">
        <v>43</v>
      </c>
      <c r="AA7183" t="s">
        <v>43</v>
      </c>
      <c r="AB7183" t="s">
        <v>43</v>
      </c>
      <c r="AC7183" t="s">
        <v>43</v>
      </c>
      <c r="AD7183" t="s">
        <v>43</v>
      </c>
      <c r="AE7183" t="s">
        <v>43</v>
      </c>
      <c r="AF7183" t="s">
        <v>43</v>
      </c>
      <c r="AG7183" t="s">
        <v>43</v>
      </c>
      <c r="AH7183" t="s">
        <v>43</v>
      </c>
      <c r="AI7183" t="s">
        <v>43</v>
      </c>
      <c r="AJ7183" t="s">
        <v>43</v>
      </c>
      <c r="AK7183" t="s">
        <v>43</v>
      </c>
      <c r="AL7183" t="s">
        <v>43</v>
      </c>
      <c r="AM7183" t="s">
        <v>43</v>
      </c>
      <c r="AN7183" t="str">
        <f>HYPERLINK("https://www.google.com/maps?q=10.78964806,79.5788269","Open Location")</f>
        <v>Open Location</v>
      </c>
    </row>
    <row r="7184" spans="1:40" x14ac:dyDescent="0.3">
      <c r="A7184" s="1">
        <v>46210.167824074073</v>
      </c>
      <c r="B7184" t="s">
        <v>40</v>
      </c>
      <c r="C7184" t="s">
        <v>41</v>
      </c>
      <c r="D7184" s="1">
        <v>46210.170787037037</v>
      </c>
      <c r="E7184" t="s">
        <v>42</v>
      </c>
      <c r="F7184" t="s">
        <v>43</v>
      </c>
      <c r="G7184" t="s">
        <v>43</v>
      </c>
      <c r="H7184" t="s">
        <v>43</v>
      </c>
      <c r="I7184" t="s">
        <v>3932</v>
      </c>
      <c r="J7184" t="s">
        <v>43</v>
      </c>
      <c r="K7184" t="s">
        <v>43</v>
      </c>
      <c r="L7184" t="s">
        <v>43</v>
      </c>
      <c r="M7184" t="s">
        <v>43</v>
      </c>
      <c r="N7184" t="s">
        <v>45</v>
      </c>
      <c r="O7184" t="s">
        <v>43</v>
      </c>
      <c r="P7184" t="s">
        <v>43</v>
      </c>
      <c r="Q7184" t="s">
        <v>43</v>
      </c>
      <c r="R7184" t="s">
        <v>43</v>
      </c>
      <c r="S7184" t="s">
        <v>43</v>
      </c>
      <c r="T7184" t="s">
        <v>43</v>
      </c>
      <c r="U7184" t="s">
        <v>43</v>
      </c>
      <c r="V7184" t="s">
        <v>43</v>
      </c>
      <c r="W7184" t="s">
        <v>43</v>
      </c>
      <c r="X7184" t="s">
        <v>43</v>
      </c>
      <c r="Y7184" t="s">
        <v>43</v>
      </c>
      <c r="Z7184" t="s">
        <v>43</v>
      </c>
      <c r="AA7184" t="s">
        <v>43</v>
      </c>
      <c r="AB7184" t="s">
        <v>43</v>
      </c>
      <c r="AC7184" t="s">
        <v>43</v>
      </c>
      <c r="AD7184" t="s">
        <v>43</v>
      </c>
      <c r="AE7184" t="s">
        <v>43</v>
      </c>
      <c r="AF7184" t="s">
        <v>43</v>
      </c>
      <c r="AG7184" t="s">
        <v>43</v>
      </c>
      <c r="AH7184" t="s">
        <v>43</v>
      </c>
      <c r="AI7184" t="s">
        <v>43</v>
      </c>
      <c r="AJ7184" t="s">
        <v>43</v>
      </c>
      <c r="AK7184" t="s">
        <v>43</v>
      </c>
      <c r="AL7184" t="s">
        <v>43</v>
      </c>
      <c r="AM7184" t="s">
        <v>43</v>
      </c>
      <c r="AN7184" t="str">
        <f>HYPERLINK("https://www.google.com/maps?q=10.78966522,79.57881927","Open Location")</f>
        <v>Open Location</v>
      </c>
    </row>
    <row r="7185" spans="1:40" x14ac:dyDescent="0.3">
      <c r="A7185" s="1">
        <v>46210.167708333334</v>
      </c>
      <c r="B7185" t="s">
        <v>40</v>
      </c>
      <c r="C7185" t="s">
        <v>41</v>
      </c>
      <c r="D7185" s="1">
        <v>46210.170439814814</v>
      </c>
      <c r="E7185" t="s">
        <v>42</v>
      </c>
      <c r="F7185" t="s">
        <v>43</v>
      </c>
      <c r="G7185" t="s">
        <v>43</v>
      </c>
      <c r="H7185" t="s">
        <v>43</v>
      </c>
      <c r="I7185" t="s">
        <v>4092</v>
      </c>
      <c r="J7185" t="s">
        <v>43</v>
      </c>
      <c r="K7185" t="s">
        <v>43</v>
      </c>
      <c r="L7185" t="s">
        <v>43</v>
      </c>
      <c r="M7185" t="s">
        <v>43</v>
      </c>
      <c r="N7185" t="s">
        <v>45</v>
      </c>
      <c r="O7185" t="s">
        <v>43</v>
      </c>
      <c r="P7185" t="s">
        <v>43</v>
      </c>
      <c r="Q7185" t="s">
        <v>43</v>
      </c>
      <c r="R7185" t="s">
        <v>43</v>
      </c>
      <c r="S7185" t="s">
        <v>43</v>
      </c>
      <c r="T7185" t="s">
        <v>43</v>
      </c>
      <c r="U7185" t="s">
        <v>43</v>
      </c>
      <c r="V7185" t="s">
        <v>43</v>
      </c>
      <c r="W7185" t="s">
        <v>43</v>
      </c>
      <c r="X7185" t="s">
        <v>43</v>
      </c>
      <c r="Y7185" t="s">
        <v>43</v>
      </c>
      <c r="Z7185" t="s">
        <v>43</v>
      </c>
      <c r="AA7185" t="s">
        <v>43</v>
      </c>
      <c r="AB7185" t="s">
        <v>43</v>
      </c>
      <c r="AC7185" t="s">
        <v>43</v>
      </c>
      <c r="AD7185" t="s">
        <v>43</v>
      </c>
      <c r="AE7185" t="s">
        <v>43</v>
      </c>
      <c r="AF7185" t="s">
        <v>43</v>
      </c>
      <c r="AG7185" t="s">
        <v>43</v>
      </c>
      <c r="AH7185" t="s">
        <v>43</v>
      </c>
      <c r="AI7185" t="s">
        <v>43</v>
      </c>
      <c r="AJ7185" t="s">
        <v>43</v>
      </c>
      <c r="AK7185" t="s">
        <v>43</v>
      </c>
      <c r="AL7185" t="s">
        <v>43</v>
      </c>
      <c r="AM7185" t="s">
        <v>43</v>
      </c>
      <c r="AN7185" t="str">
        <f>HYPERLINK("https://www.google.com/maps?q=10.78966427,79.57881927","Open Location")</f>
        <v>Open Location</v>
      </c>
    </row>
    <row r="7186" spans="1:40" x14ac:dyDescent="0.3">
      <c r="A7186" s="1">
        <v>46210.167592592596</v>
      </c>
      <c r="B7186" t="s">
        <v>40</v>
      </c>
      <c r="C7186" t="s">
        <v>41</v>
      </c>
      <c r="D7186" s="1">
        <v>46210.170451388891</v>
      </c>
      <c r="E7186" t="s">
        <v>42</v>
      </c>
      <c r="F7186" t="s">
        <v>43</v>
      </c>
      <c r="G7186" t="s">
        <v>43</v>
      </c>
      <c r="H7186" t="s">
        <v>43</v>
      </c>
      <c r="I7186" t="s">
        <v>3924</v>
      </c>
      <c r="J7186" t="s">
        <v>43</v>
      </c>
      <c r="K7186" t="s">
        <v>43</v>
      </c>
      <c r="L7186" t="s">
        <v>43</v>
      </c>
      <c r="M7186" t="s">
        <v>43</v>
      </c>
      <c r="N7186" t="s">
        <v>45</v>
      </c>
      <c r="O7186" t="s">
        <v>43</v>
      </c>
      <c r="P7186" t="s">
        <v>43</v>
      </c>
      <c r="Q7186" t="s">
        <v>43</v>
      </c>
      <c r="R7186" t="s">
        <v>43</v>
      </c>
      <c r="S7186" t="s">
        <v>43</v>
      </c>
      <c r="T7186" t="s">
        <v>43</v>
      </c>
      <c r="U7186" t="s">
        <v>43</v>
      </c>
      <c r="V7186" t="s">
        <v>43</v>
      </c>
      <c r="W7186" t="s">
        <v>43</v>
      </c>
      <c r="X7186" t="s">
        <v>43</v>
      </c>
      <c r="Y7186" t="s">
        <v>43</v>
      </c>
      <c r="Z7186" t="s">
        <v>43</v>
      </c>
      <c r="AA7186" t="s">
        <v>43</v>
      </c>
      <c r="AB7186" t="s">
        <v>43</v>
      </c>
      <c r="AC7186" t="s">
        <v>43</v>
      </c>
      <c r="AD7186" t="s">
        <v>43</v>
      </c>
      <c r="AE7186" t="s">
        <v>43</v>
      </c>
      <c r="AF7186" t="s">
        <v>43</v>
      </c>
      <c r="AG7186" t="s">
        <v>43</v>
      </c>
      <c r="AH7186" t="s">
        <v>43</v>
      </c>
      <c r="AI7186" t="s">
        <v>43</v>
      </c>
      <c r="AJ7186" t="s">
        <v>43</v>
      </c>
      <c r="AK7186" t="s">
        <v>43</v>
      </c>
      <c r="AL7186" t="s">
        <v>43</v>
      </c>
      <c r="AM7186" t="s">
        <v>43</v>
      </c>
      <c r="AN7186" t="str">
        <f>HYPERLINK("https://www.google.com/maps?q=10.78966618,79.57881165","Open Location")</f>
        <v>Open Location</v>
      </c>
    </row>
    <row r="7187" spans="1:40" x14ac:dyDescent="0.3">
      <c r="A7187" s="1">
        <v>46210.16747685185</v>
      </c>
      <c r="B7187" t="s">
        <v>40</v>
      </c>
      <c r="C7187" t="s">
        <v>41</v>
      </c>
      <c r="D7187" s="1">
        <v>46210.170416666668</v>
      </c>
      <c r="E7187" t="s">
        <v>42</v>
      </c>
      <c r="F7187" t="s">
        <v>43</v>
      </c>
      <c r="G7187" t="s">
        <v>43</v>
      </c>
      <c r="H7187" t="s">
        <v>43</v>
      </c>
      <c r="I7187" t="s">
        <v>43</v>
      </c>
      <c r="J7187" t="s">
        <v>43</v>
      </c>
      <c r="K7187" t="s">
        <v>43</v>
      </c>
      <c r="L7187" t="s">
        <v>43</v>
      </c>
      <c r="M7187" t="s">
        <v>43</v>
      </c>
      <c r="N7187" t="s">
        <v>45</v>
      </c>
      <c r="O7187" t="s">
        <v>43</v>
      </c>
      <c r="P7187" t="s">
        <v>43</v>
      </c>
      <c r="Q7187" t="s">
        <v>43</v>
      </c>
      <c r="R7187" t="s">
        <v>43</v>
      </c>
      <c r="S7187" t="s">
        <v>43</v>
      </c>
      <c r="T7187" t="s">
        <v>43</v>
      </c>
      <c r="U7187" t="s">
        <v>43</v>
      </c>
      <c r="V7187" t="s">
        <v>43</v>
      </c>
      <c r="W7187" t="s">
        <v>43</v>
      </c>
      <c r="X7187" t="s">
        <v>43</v>
      </c>
      <c r="Y7187" t="s">
        <v>43</v>
      </c>
      <c r="Z7187" t="s">
        <v>43</v>
      </c>
      <c r="AA7187" t="s">
        <v>43</v>
      </c>
      <c r="AB7187" t="s">
        <v>43</v>
      </c>
      <c r="AC7187" t="s">
        <v>43</v>
      </c>
      <c r="AD7187" t="s">
        <v>43</v>
      </c>
      <c r="AE7187" t="s">
        <v>43</v>
      </c>
      <c r="AF7187" t="s">
        <v>43</v>
      </c>
      <c r="AG7187" t="s">
        <v>43</v>
      </c>
      <c r="AH7187" t="s">
        <v>43</v>
      </c>
      <c r="AI7187" t="s">
        <v>43</v>
      </c>
      <c r="AJ7187" t="s">
        <v>43</v>
      </c>
      <c r="AK7187" t="s">
        <v>43</v>
      </c>
      <c r="AL7187" t="s">
        <v>43</v>
      </c>
      <c r="AM7187" t="s">
        <v>43</v>
      </c>
      <c r="AN7187" t="s">
        <v>43</v>
      </c>
    </row>
    <row r="7188" spans="1:40" x14ac:dyDescent="0.3">
      <c r="A7188" s="1">
        <v>46210.167361111111</v>
      </c>
      <c r="B7188" t="s">
        <v>40</v>
      </c>
      <c r="C7188" t="s">
        <v>41</v>
      </c>
      <c r="D7188" s="1">
        <v>46210.170451388891</v>
      </c>
      <c r="E7188" t="s">
        <v>42</v>
      </c>
      <c r="F7188" t="s">
        <v>43</v>
      </c>
      <c r="G7188" t="s">
        <v>43</v>
      </c>
      <c r="H7188" t="s">
        <v>43</v>
      </c>
      <c r="I7188" t="s">
        <v>4006</v>
      </c>
      <c r="J7188" t="s">
        <v>43</v>
      </c>
      <c r="K7188" t="s">
        <v>43</v>
      </c>
      <c r="L7188" t="s">
        <v>43</v>
      </c>
      <c r="M7188" t="s">
        <v>43</v>
      </c>
      <c r="N7188" t="s">
        <v>45</v>
      </c>
      <c r="O7188" t="s">
        <v>43</v>
      </c>
      <c r="P7188" t="s">
        <v>43</v>
      </c>
      <c r="Q7188" t="s">
        <v>43</v>
      </c>
      <c r="R7188" t="s">
        <v>43</v>
      </c>
      <c r="S7188" t="s">
        <v>43</v>
      </c>
      <c r="T7188" t="s">
        <v>43</v>
      </c>
      <c r="U7188" t="s">
        <v>43</v>
      </c>
      <c r="V7188" t="s">
        <v>43</v>
      </c>
      <c r="W7188" t="s">
        <v>43</v>
      </c>
      <c r="X7188" t="s">
        <v>43</v>
      </c>
      <c r="Y7188" t="s">
        <v>43</v>
      </c>
      <c r="Z7188" t="s">
        <v>43</v>
      </c>
      <c r="AA7188" t="s">
        <v>43</v>
      </c>
      <c r="AB7188" t="s">
        <v>43</v>
      </c>
      <c r="AC7188" t="s">
        <v>43</v>
      </c>
      <c r="AD7188" t="s">
        <v>43</v>
      </c>
      <c r="AE7188" t="s">
        <v>43</v>
      </c>
      <c r="AF7188" t="s">
        <v>43</v>
      </c>
      <c r="AG7188" t="s">
        <v>43</v>
      </c>
      <c r="AH7188" t="s">
        <v>43</v>
      </c>
      <c r="AI7188" t="s">
        <v>43</v>
      </c>
      <c r="AJ7188" t="s">
        <v>43</v>
      </c>
      <c r="AK7188" t="s">
        <v>43</v>
      </c>
      <c r="AL7188" t="s">
        <v>43</v>
      </c>
      <c r="AM7188" t="s">
        <v>43</v>
      </c>
      <c r="AN7188" t="str">
        <f>HYPERLINK("https://www.google.com/maps?q=10.78967285,79.57881927","Open Location")</f>
        <v>Open Location</v>
      </c>
    </row>
    <row r="7189" spans="1:40" x14ac:dyDescent="0.3">
      <c r="A7189" s="1">
        <v>46210.167245370372</v>
      </c>
      <c r="B7189" t="s">
        <v>40</v>
      </c>
      <c r="C7189" t="s">
        <v>41</v>
      </c>
      <c r="D7189" s="1">
        <v>46210.170081018521</v>
      </c>
      <c r="E7189" t="s">
        <v>42</v>
      </c>
      <c r="F7189" t="s">
        <v>43</v>
      </c>
      <c r="G7189" t="s">
        <v>43</v>
      </c>
      <c r="H7189" t="s">
        <v>43</v>
      </c>
      <c r="I7189" t="s">
        <v>4090</v>
      </c>
      <c r="J7189" t="s">
        <v>43</v>
      </c>
      <c r="K7189" t="s">
        <v>43</v>
      </c>
      <c r="L7189" t="s">
        <v>43</v>
      </c>
      <c r="M7189" t="s">
        <v>43</v>
      </c>
      <c r="N7189" t="s">
        <v>45</v>
      </c>
      <c r="O7189" t="s">
        <v>43</v>
      </c>
      <c r="P7189" t="s">
        <v>43</v>
      </c>
      <c r="Q7189" t="s">
        <v>43</v>
      </c>
      <c r="R7189" t="s">
        <v>43</v>
      </c>
      <c r="S7189" t="s">
        <v>43</v>
      </c>
      <c r="T7189" t="s">
        <v>43</v>
      </c>
      <c r="U7189" t="s">
        <v>43</v>
      </c>
      <c r="V7189" t="s">
        <v>43</v>
      </c>
      <c r="W7189" t="s">
        <v>43</v>
      </c>
      <c r="X7189" t="s">
        <v>43</v>
      </c>
      <c r="Y7189" t="s">
        <v>43</v>
      </c>
      <c r="Z7189" t="s">
        <v>43</v>
      </c>
      <c r="AA7189" t="s">
        <v>43</v>
      </c>
      <c r="AB7189" t="s">
        <v>43</v>
      </c>
      <c r="AC7189" t="s">
        <v>43</v>
      </c>
      <c r="AD7189" t="s">
        <v>43</v>
      </c>
      <c r="AE7189" t="s">
        <v>43</v>
      </c>
      <c r="AF7189" t="s">
        <v>43</v>
      </c>
      <c r="AG7189" t="s">
        <v>43</v>
      </c>
      <c r="AH7189" t="s">
        <v>43</v>
      </c>
      <c r="AI7189" t="s">
        <v>43</v>
      </c>
      <c r="AJ7189" t="s">
        <v>43</v>
      </c>
      <c r="AK7189" t="s">
        <v>43</v>
      </c>
      <c r="AL7189" t="s">
        <v>43</v>
      </c>
      <c r="AM7189" t="s">
        <v>43</v>
      </c>
      <c r="AN7189" t="str">
        <f>HYPERLINK("https://www.google.com/maps?q=10.78967381,79.57881927","Open Location")</f>
        <v>Open Location</v>
      </c>
    </row>
    <row r="7190" spans="1:40" x14ac:dyDescent="0.3">
      <c r="A7190" s="1">
        <v>46210.167129629626</v>
      </c>
      <c r="B7190" t="s">
        <v>40</v>
      </c>
      <c r="C7190" t="s">
        <v>41</v>
      </c>
      <c r="D7190" s="1">
        <v>46210.170057870368</v>
      </c>
      <c r="E7190" t="s">
        <v>42</v>
      </c>
      <c r="F7190" t="s">
        <v>43</v>
      </c>
      <c r="G7190" t="s">
        <v>43</v>
      </c>
      <c r="H7190" t="s">
        <v>43</v>
      </c>
      <c r="I7190" t="s">
        <v>4163</v>
      </c>
      <c r="J7190" t="s">
        <v>43</v>
      </c>
      <c r="K7190" t="s">
        <v>43</v>
      </c>
      <c r="L7190" t="s">
        <v>43</v>
      </c>
      <c r="M7190" t="s">
        <v>43</v>
      </c>
      <c r="N7190" t="s">
        <v>45</v>
      </c>
      <c r="O7190" t="s">
        <v>43</v>
      </c>
      <c r="P7190" t="s">
        <v>43</v>
      </c>
      <c r="Q7190" t="s">
        <v>43</v>
      </c>
      <c r="R7190" t="s">
        <v>43</v>
      </c>
      <c r="S7190" t="s">
        <v>43</v>
      </c>
      <c r="T7190" t="s">
        <v>43</v>
      </c>
      <c r="U7190" t="s">
        <v>43</v>
      </c>
      <c r="V7190" t="s">
        <v>43</v>
      </c>
      <c r="W7190" t="s">
        <v>43</v>
      </c>
      <c r="X7190" t="s">
        <v>43</v>
      </c>
      <c r="Y7190" t="s">
        <v>43</v>
      </c>
      <c r="Z7190" t="s">
        <v>43</v>
      </c>
      <c r="AA7190" t="s">
        <v>43</v>
      </c>
      <c r="AB7190" t="s">
        <v>43</v>
      </c>
      <c r="AC7190" t="s">
        <v>43</v>
      </c>
      <c r="AD7190" t="s">
        <v>43</v>
      </c>
      <c r="AE7190" t="s">
        <v>43</v>
      </c>
      <c r="AF7190" t="s">
        <v>43</v>
      </c>
      <c r="AG7190" t="s">
        <v>43</v>
      </c>
      <c r="AH7190" t="s">
        <v>43</v>
      </c>
      <c r="AI7190" t="s">
        <v>43</v>
      </c>
      <c r="AJ7190" t="s">
        <v>43</v>
      </c>
      <c r="AK7190" t="s">
        <v>43</v>
      </c>
      <c r="AL7190" t="s">
        <v>43</v>
      </c>
      <c r="AM7190" t="s">
        <v>43</v>
      </c>
      <c r="AN7190" t="str">
        <f>HYPERLINK("https://www.google.com/maps?q=10.78967381,79.5788269","Open Location")</f>
        <v>Open Location</v>
      </c>
    </row>
    <row r="7191" spans="1:40" x14ac:dyDescent="0.3">
      <c r="A7191" s="1">
        <v>46210.167013888888</v>
      </c>
      <c r="B7191" t="s">
        <v>40</v>
      </c>
      <c r="C7191" t="s">
        <v>41</v>
      </c>
      <c r="D7191" s="1">
        <v>46210.170069444444</v>
      </c>
      <c r="E7191" t="s">
        <v>42</v>
      </c>
      <c r="F7191" t="s">
        <v>43</v>
      </c>
      <c r="G7191" t="s">
        <v>43</v>
      </c>
      <c r="H7191" t="s">
        <v>43</v>
      </c>
      <c r="I7191" t="s">
        <v>4164</v>
      </c>
      <c r="J7191" t="s">
        <v>43</v>
      </c>
      <c r="K7191" t="s">
        <v>43</v>
      </c>
      <c r="L7191" t="s">
        <v>43</v>
      </c>
      <c r="M7191" t="s">
        <v>43</v>
      </c>
      <c r="N7191" t="s">
        <v>45</v>
      </c>
      <c r="O7191" t="s">
        <v>43</v>
      </c>
      <c r="P7191" t="s">
        <v>43</v>
      </c>
      <c r="Q7191" t="s">
        <v>43</v>
      </c>
      <c r="R7191" t="s">
        <v>43</v>
      </c>
      <c r="S7191" t="s">
        <v>43</v>
      </c>
      <c r="T7191" t="s">
        <v>43</v>
      </c>
      <c r="U7191" t="s">
        <v>43</v>
      </c>
      <c r="V7191" t="s">
        <v>43</v>
      </c>
      <c r="W7191" t="s">
        <v>43</v>
      </c>
      <c r="X7191" t="s">
        <v>43</v>
      </c>
      <c r="Y7191" t="s">
        <v>43</v>
      </c>
      <c r="Z7191" t="s">
        <v>43</v>
      </c>
      <c r="AA7191" t="s">
        <v>43</v>
      </c>
      <c r="AB7191" t="s">
        <v>43</v>
      </c>
      <c r="AC7191" t="s">
        <v>43</v>
      </c>
      <c r="AD7191" t="s">
        <v>43</v>
      </c>
      <c r="AE7191" t="s">
        <v>43</v>
      </c>
      <c r="AF7191" t="s">
        <v>43</v>
      </c>
      <c r="AG7191" t="s">
        <v>43</v>
      </c>
      <c r="AH7191" t="s">
        <v>43</v>
      </c>
      <c r="AI7191" t="s">
        <v>43</v>
      </c>
      <c r="AJ7191" t="s">
        <v>43</v>
      </c>
      <c r="AK7191" t="s">
        <v>43</v>
      </c>
      <c r="AL7191" t="s">
        <v>43</v>
      </c>
      <c r="AM7191" t="s">
        <v>43</v>
      </c>
      <c r="AN7191" t="str">
        <f>HYPERLINK("https://www.google.com/maps?q=10.78967571,79.57881927","Open Location")</f>
        <v>Open Location</v>
      </c>
    </row>
    <row r="7192" spans="1:40" x14ac:dyDescent="0.3">
      <c r="A7192" s="1">
        <v>46210.166898148149</v>
      </c>
      <c r="B7192" t="s">
        <v>40</v>
      </c>
      <c r="C7192" t="s">
        <v>41</v>
      </c>
      <c r="D7192" s="1">
        <v>46210.169710648152</v>
      </c>
      <c r="E7192" t="s">
        <v>42</v>
      </c>
      <c r="F7192" t="s">
        <v>43</v>
      </c>
      <c r="G7192" t="s">
        <v>43</v>
      </c>
      <c r="H7192" t="s">
        <v>43</v>
      </c>
      <c r="I7192" t="s">
        <v>4165</v>
      </c>
      <c r="J7192" t="s">
        <v>43</v>
      </c>
      <c r="K7192" t="s">
        <v>43</v>
      </c>
      <c r="L7192" t="s">
        <v>43</v>
      </c>
      <c r="M7192" t="s">
        <v>43</v>
      </c>
      <c r="N7192" t="s">
        <v>45</v>
      </c>
      <c r="O7192" t="s">
        <v>43</v>
      </c>
      <c r="P7192" t="s">
        <v>43</v>
      </c>
      <c r="Q7192" t="s">
        <v>43</v>
      </c>
      <c r="R7192" t="s">
        <v>43</v>
      </c>
      <c r="S7192" t="s">
        <v>43</v>
      </c>
      <c r="T7192" t="s">
        <v>43</v>
      </c>
      <c r="U7192" t="s">
        <v>43</v>
      </c>
      <c r="V7192" t="s">
        <v>43</v>
      </c>
      <c r="W7192" t="s">
        <v>43</v>
      </c>
      <c r="X7192" t="s">
        <v>43</v>
      </c>
      <c r="Y7192" t="s">
        <v>43</v>
      </c>
      <c r="Z7192" t="s">
        <v>43</v>
      </c>
      <c r="AA7192" t="s">
        <v>43</v>
      </c>
      <c r="AB7192" t="s">
        <v>43</v>
      </c>
      <c r="AC7192" t="s">
        <v>43</v>
      </c>
      <c r="AD7192" t="s">
        <v>43</v>
      </c>
      <c r="AE7192" t="s">
        <v>43</v>
      </c>
      <c r="AF7192" t="s">
        <v>43</v>
      </c>
      <c r="AG7192" t="s">
        <v>43</v>
      </c>
      <c r="AH7192" t="s">
        <v>43</v>
      </c>
      <c r="AI7192" t="s">
        <v>43</v>
      </c>
      <c r="AJ7192" t="s">
        <v>43</v>
      </c>
      <c r="AK7192" t="s">
        <v>43</v>
      </c>
      <c r="AL7192" t="s">
        <v>43</v>
      </c>
      <c r="AM7192" t="s">
        <v>43</v>
      </c>
      <c r="AN7192" t="str">
        <f>HYPERLINK("https://www.google.com/maps?q=10.78967476,79.57881927","Open Location")</f>
        <v>Open Location</v>
      </c>
    </row>
    <row r="7193" spans="1:40" x14ac:dyDescent="0.3">
      <c r="A7193" s="1">
        <v>46210.16678240741</v>
      </c>
      <c r="B7193" t="s">
        <v>40</v>
      </c>
      <c r="C7193" t="s">
        <v>41</v>
      </c>
      <c r="D7193" s="1">
        <v>46210.169722222221</v>
      </c>
      <c r="E7193" t="s">
        <v>42</v>
      </c>
      <c r="F7193" t="s">
        <v>43</v>
      </c>
      <c r="G7193" t="s">
        <v>43</v>
      </c>
      <c r="H7193" t="s">
        <v>43</v>
      </c>
      <c r="I7193" t="s">
        <v>43</v>
      </c>
      <c r="J7193" t="s">
        <v>43</v>
      </c>
      <c r="K7193" t="s">
        <v>43</v>
      </c>
      <c r="L7193" t="s">
        <v>43</v>
      </c>
      <c r="M7193" t="s">
        <v>43</v>
      </c>
      <c r="N7193" t="s">
        <v>45</v>
      </c>
      <c r="O7193" t="s">
        <v>43</v>
      </c>
      <c r="P7193" t="s">
        <v>43</v>
      </c>
      <c r="Q7193" t="s">
        <v>43</v>
      </c>
      <c r="R7193" t="s">
        <v>43</v>
      </c>
      <c r="S7193" t="s">
        <v>43</v>
      </c>
      <c r="T7193" t="s">
        <v>43</v>
      </c>
      <c r="U7193" t="s">
        <v>43</v>
      </c>
      <c r="V7193" t="s">
        <v>43</v>
      </c>
      <c r="W7193" t="s">
        <v>43</v>
      </c>
      <c r="X7193" t="s">
        <v>43</v>
      </c>
      <c r="Y7193" t="s">
        <v>43</v>
      </c>
      <c r="Z7193" t="s">
        <v>43</v>
      </c>
      <c r="AA7193" t="s">
        <v>43</v>
      </c>
      <c r="AB7193" t="s">
        <v>43</v>
      </c>
      <c r="AC7193" t="s">
        <v>43</v>
      </c>
      <c r="AD7193" t="s">
        <v>43</v>
      </c>
      <c r="AE7193" t="s">
        <v>43</v>
      </c>
      <c r="AF7193" t="s">
        <v>43</v>
      </c>
      <c r="AG7193" t="s">
        <v>43</v>
      </c>
      <c r="AH7193" t="s">
        <v>43</v>
      </c>
      <c r="AI7193" t="s">
        <v>43</v>
      </c>
      <c r="AJ7193" t="s">
        <v>43</v>
      </c>
      <c r="AK7193" t="s">
        <v>43</v>
      </c>
      <c r="AL7193" t="s">
        <v>43</v>
      </c>
      <c r="AM7193" t="s">
        <v>43</v>
      </c>
      <c r="AN7193" t="s">
        <v>43</v>
      </c>
    </row>
    <row r="7194" spans="1:40" x14ac:dyDescent="0.3">
      <c r="A7194" s="1">
        <v>46210.166666666664</v>
      </c>
      <c r="B7194" t="s">
        <v>40</v>
      </c>
      <c r="C7194" t="s">
        <v>41</v>
      </c>
      <c r="D7194" s="1">
        <v>46210.169675925928</v>
      </c>
      <c r="E7194" t="s">
        <v>42</v>
      </c>
      <c r="F7194" t="s">
        <v>43</v>
      </c>
      <c r="G7194" t="s">
        <v>43</v>
      </c>
      <c r="H7194" t="s">
        <v>43</v>
      </c>
      <c r="I7194" t="s">
        <v>4166</v>
      </c>
      <c r="J7194" t="s">
        <v>43</v>
      </c>
      <c r="K7194" t="s">
        <v>43</v>
      </c>
      <c r="L7194" t="s">
        <v>43</v>
      </c>
      <c r="M7194" t="s">
        <v>43</v>
      </c>
      <c r="N7194" t="s">
        <v>45</v>
      </c>
      <c r="O7194" t="s">
        <v>43</v>
      </c>
      <c r="P7194" t="s">
        <v>43</v>
      </c>
      <c r="Q7194" t="s">
        <v>43</v>
      </c>
      <c r="R7194" t="s">
        <v>43</v>
      </c>
      <c r="S7194" t="s">
        <v>43</v>
      </c>
      <c r="T7194" t="s">
        <v>43</v>
      </c>
      <c r="U7194" t="s">
        <v>43</v>
      </c>
      <c r="V7194" t="s">
        <v>43</v>
      </c>
      <c r="W7194" t="s">
        <v>43</v>
      </c>
      <c r="X7194" t="s">
        <v>43</v>
      </c>
      <c r="Y7194" t="s">
        <v>43</v>
      </c>
      <c r="Z7194" t="s">
        <v>43</v>
      </c>
      <c r="AA7194" t="s">
        <v>43</v>
      </c>
      <c r="AB7194" t="s">
        <v>43</v>
      </c>
      <c r="AC7194" t="s">
        <v>43</v>
      </c>
      <c r="AD7194" t="s">
        <v>43</v>
      </c>
      <c r="AE7194" t="s">
        <v>43</v>
      </c>
      <c r="AF7194" t="s">
        <v>43</v>
      </c>
      <c r="AG7194" t="s">
        <v>43</v>
      </c>
      <c r="AH7194" t="s">
        <v>43</v>
      </c>
      <c r="AI7194" t="s">
        <v>43</v>
      </c>
      <c r="AJ7194" t="s">
        <v>43</v>
      </c>
      <c r="AK7194" t="s">
        <v>43</v>
      </c>
      <c r="AL7194" t="s">
        <v>43</v>
      </c>
      <c r="AM7194" t="s">
        <v>43</v>
      </c>
      <c r="AN7194" t="str">
        <f>HYPERLINK("https://www.google.com/maps?q=10.78967571,79.5788269","Open Location")</f>
        <v>Open Location</v>
      </c>
    </row>
    <row r="7195" spans="1:40" x14ac:dyDescent="0.3">
      <c r="A7195" s="1">
        <v>46210.166550925926</v>
      </c>
      <c r="B7195" t="s">
        <v>40</v>
      </c>
      <c r="C7195" t="s">
        <v>41</v>
      </c>
      <c r="D7195" s="1">
        <v>46210.169675925928</v>
      </c>
      <c r="E7195" t="s">
        <v>42</v>
      </c>
      <c r="F7195" t="s">
        <v>43</v>
      </c>
      <c r="G7195" t="s">
        <v>43</v>
      </c>
      <c r="H7195" t="s">
        <v>43</v>
      </c>
      <c r="I7195" t="s">
        <v>4076</v>
      </c>
      <c r="J7195" t="s">
        <v>43</v>
      </c>
      <c r="K7195" t="s">
        <v>43</v>
      </c>
      <c r="L7195" t="s">
        <v>43</v>
      </c>
      <c r="M7195" t="s">
        <v>43</v>
      </c>
      <c r="N7195" t="s">
        <v>45</v>
      </c>
      <c r="O7195" t="s">
        <v>43</v>
      </c>
      <c r="P7195" t="s">
        <v>43</v>
      </c>
      <c r="Q7195" t="s">
        <v>43</v>
      </c>
      <c r="R7195" t="s">
        <v>43</v>
      </c>
      <c r="S7195" t="s">
        <v>43</v>
      </c>
      <c r="T7195" t="s">
        <v>43</v>
      </c>
      <c r="U7195" t="s">
        <v>43</v>
      </c>
      <c r="V7195" t="s">
        <v>43</v>
      </c>
      <c r="W7195" t="s">
        <v>43</v>
      </c>
      <c r="X7195" t="s">
        <v>43</v>
      </c>
      <c r="Y7195" t="s">
        <v>43</v>
      </c>
      <c r="Z7195" t="s">
        <v>43</v>
      </c>
      <c r="AA7195" t="s">
        <v>43</v>
      </c>
      <c r="AB7195" t="s">
        <v>43</v>
      </c>
      <c r="AC7195" t="s">
        <v>43</v>
      </c>
      <c r="AD7195" t="s">
        <v>43</v>
      </c>
      <c r="AE7195" t="s">
        <v>43</v>
      </c>
      <c r="AF7195" t="s">
        <v>43</v>
      </c>
      <c r="AG7195" t="s">
        <v>43</v>
      </c>
      <c r="AH7195" t="s">
        <v>43</v>
      </c>
      <c r="AI7195" t="s">
        <v>43</v>
      </c>
      <c r="AJ7195" t="s">
        <v>43</v>
      </c>
      <c r="AK7195" t="s">
        <v>43</v>
      </c>
      <c r="AL7195" t="s">
        <v>43</v>
      </c>
      <c r="AM7195" t="s">
        <v>43</v>
      </c>
      <c r="AN7195" t="str">
        <f>HYPERLINK("https://www.google.com/maps?q=10.7896719,79.57883453","Open Location")</f>
        <v>Open Location</v>
      </c>
    </row>
    <row r="7196" spans="1:40" x14ac:dyDescent="0.3">
      <c r="A7196" s="1">
        <v>46210.166435185187</v>
      </c>
      <c r="B7196" t="s">
        <v>40</v>
      </c>
      <c r="C7196" t="s">
        <v>41</v>
      </c>
      <c r="D7196" s="1">
        <v>46210.169351851851</v>
      </c>
      <c r="E7196" t="s">
        <v>42</v>
      </c>
      <c r="F7196" t="s">
        <v>43</v>
      </c>
      <c r="G7196" t="s">
        <v>43</v>
      </c>
      <c r="H7196" t="s">
        <v>43</v>
      </c>
      <c r="I7196" t="s">
        <v>4167</v>
      </c>
      <c r="J7196" t="s">
        <v>43</v>
      </c>
      <c r="K7196" t="s">
        <v>43</v>
      </c>
      <c r="L7196" t="s">
        <v>43</v>
      </c>
      <c r="M7196" t="s">
        <v>43</v>
      </c>
      <c r="N7196" t="s">
        <v>45</v>
      </c>
      <c r="O7196" t="s">
        <v>43</v>
      </c>
      <c r="P7196" t="s">
        <v>43</v>
      </c>
      <c r="Q7196" t="s">
        <v>43</v>
      </c>
      <c r="R7196" t="s">
        <v>43</v>
      </c>
      <c r="S7196" t="s">
        <v>43</v>
      </c>
      <c r="T7196" t="s">
        <v>43</v>
      </c>
      <c r="U7196" t="s">
        <v>43</v>
      </c>
      <c r="V7196" t="s">
        <v>43</v>
      </c>
      <c r="W7196" t="s">
        <v>43</v>
      </c>
      <c r="X7196" t="s">
        <v>43</v>
      </c>
      <c r="Y7196" t="s">
        <v>43</v>
      </c>
      <c r="Z7196" t="s">
        <v>43</v>
      </c>
      <c r="AA7196" t="s">
        <v>43</v>
      </c>
      <c r="AB7196" t="s">
        <v>43</v>
      </c>
      <c r="AC7196" t="s">
        <v>43</v>
      </c>
      <c r="AD7196" t="s">
        <v>43</v>
      </c>
      <c r="AE7196" t="s">
        <v>43</v>
      </c>
      <c r="AF7196" t="s">
        <v>43</v>
      </c>
      <c r="AG7196" t="s">
        <v>43</v>
      </c>
      <c r="AH7196" t="s">
        <v>43</v>
      </c>
      <c r="AI7196" t="s">
        <v>43</v>
      </c>
      <c r="AJ7196" t="s">
        <v>43</v>
      </c>
      <c r="AK7196" t="s">
        <v>43</v>
      </c>
      <c r="AL7196" t="s">
        <v>43</v>
      </c>
      <c r="AM7196" t="s">
        <v>43</v>
      </c>
      <c r="AN7196" t="str">
        <f>HYPERLINK("https://www.google.com/maps?q=10.78967476,79.57883453","Open Location")</f>
        <v>Open Location</v>
      </c>
    </row>
    <row r="7197" spans="1:40" x14ac:dyDescent="0.3">
      <c r="A7197" s="1">
        <v>46210.166319444441</v>
      </c>
      <c r="B7197" t="s">
        <v>40</v>
      </c>
      <c r="C7197" t="s">
        <v>41</v>
      </c>
      <c r="D7197" s="1">
        <v>46210.169351851851</v>
      </c>
      <c r="E7197" t="s">
        <v>42</v>
      </c>
      <c r="F7197" t="s">
        <v>43</v>
      </c>
      <c r="G7197" t="s">
        <v>43</v>
      </c>
      <c r="H7197" t="s">
        <v>43</v>
      </c>
      <c r="I7197" t="s">
        <v>4168</v>
      </c>
      <c r="J7197" t="s">
        <v>43</v>
      </c>
      <c r="K7197" t="s">
        <v>43</v>
      </c>
      <c r="L7197" t="s">
        <v>43</v>
      </c>
      <c r="M7197" t="s">
        <v>43</v>
      </c>
      <c r="N7197" t="s">
        <v>45</v>
      </c>
      <c r="O7197" t="s">
        <v>43</v>
      </c>
      <c r="P7197" t="s">
        <v>43</v>
      </c>
      <c r="Q7197" t="s">
        <v>43</v>
      </c>
      <c r="R7197" t="s">
        <v>43</v>
      </c>
      <c r="S7197" t="s">
        <v>43</v>
      </c>
      <c r="T7197" t="s">
        <v>43</v>
      </c>
      <c r="U7197" t="s">
        <v>43</v>
      </c>
      <c r="V7197" t="s">
        <v>43</v>
      </c>
      <c r="W7197" t="s">
        <v>43</v>
      </c>
      <c r="X7197" t="s">
        <v>43</v>
      </c>
      <c r="Y7197" t="s">
        <v>43</v>
      </c>
      <c r="Z7197" t="s">
        <v>43</v>
      </c>
      <c r="AA7197" t="s">
        <v>43</v>
      </c>
      <c r="AB7197" t="s">
        <v>43</v>
      </c>
      <c r="AC7197" t="s">
        <v>43</v>
      </c>
      <c r="AD7197" t="s">
        <v>43</v>
      </c>
      <c r="AE7197" t="s">
        <v>43</v>
      </c>
      <c r="AF7197" t="s">
        <v>43</v>
      </c>
      <c r="AG7197" t="s">
        <v>43</v>
      </c>
      <c r="AH7197" t="s">
        <v>43</v>
      </c>
      <c r="AI7197" t="s">
        <v>43</v>
      </c>
      <c r="AJ7197" t="s">
        <v>43</v>
      </c>
      <c r="AK7197" t="s">
        <v>43</v>
      </c>
      <c r="AL7197" t="s">
        <v>43</v>
      </c>
      <c r="AM7197" t="s">
        <v>43</v>
      </c>
      <c r="AN7197" t="str">
        <f>HYPERLINK("https://www.google.com/maps?q=10.78967571,79.57883453","Open Location")</f>
        <v>Open Location</v>
      </c>
    </row>
    <row r="7198" spans="1:40" x14ac:dyDescent="0.3">
      <c r="A7198" s="1">
        <v>46210.166203703702</v>
      </c>
      <c r="B7198" t="s">
        <v>40</v>
      </c>
      <c r="C7198" t="s">
        <v>41</v>
      </c>
      <c r="D7198" s="1">
        <v>46210.169282407405</v>
      </c>
      <c r="E7198" t="s">
        <v>42</v>
      </c>
      <c r="F7198" t="s">
        <v>43</v>
      </c>
      <c r="G7198" t="s">
        <v>43</v>
      </c>
      <c r="H7198" t="s">
        <v>43</v>
      </c>
      <c r="I7198" t="s">
        <v>43</v>
      </c>
      <c r="J7198" t="s">
        <v>43</v>
      </c>
      <c r="K7198" t="s">
        <v>43</v>
      </c>
      <c r="L7198" t="s">
        <v>43</v>
      </c>
      <c r="M7198" t="s">
        <v>43</v>
      </c>
      <c r="N7198" t="s">
        <v>45</v>
      </c>
      <c r="O7198" t="s">
        <v>43</v>
      </c>
      <c r="P7198" t="s">
        <v>43</v>
      </c>
      <c r="Q7198" t="s">
        <v>43</v>
      </c>
      <c r="R7198" t="s">
        <v>43</v>
      </c>
      <c r="S7198" t="s">
        <v>43</v>
      </c>
      <c r="T7198" t="s">
        <v>43</v>
      </c>
      <c r="U7198" t="s">
        <v>43</v>
      </c>
      <c r="V7198" t="s">
        <v>43</v>
      </c>
      <c r="W7198" t="s">
        <v>43</v>
      </c>
      <c r="X7198" t="s">
        <v>43</v>
      </c>
      <c r="Y7198" t="s">
        <v>43</v>
      </c>
      <c r="Z7198" t="s">
        <v>43</v>
      </c>
      <c r="AA7198" t="s">
        <v>43</v>
      </c>
      <c r="AB7198" t="s">
        <v>43</v>
      </c>
      <c r="AC7198" t="s">
        <v>43</v>
      </c>
      <c r="AD7198" t="s">
        <v>43</v>
      </c>
      <c r="AE7198" t="s">
        <v>43</v>
      </c>
      <c r="AF7198" t="s">
        <v>43</v>
      </c>
      <c r="AG7198" t="s">
        <v>43</v>
      </c>
      <c r="AH7198" t="s">
        <v>43</v>
      </c>
      <c r="AI7198" t="s">
        <v>43</v>
      </c>
      <c r="AJ7198" t="s">
        <v>43</v>
      </c>
      <c r="AK7198" t="s">
        <v>43</v>
      </c>
      <c r="AL7198" t="s">
        <v>43</v>
      </c>
      <c r="AM7198" t="s">
        <v>43</v>
      </c>
      <c r="AN7198" t="s">
        <v>43</v>
      </c>
    </row>
    <row r="7199" spans="1:40" x14ac:dyDescent="0.3">
      <c r="A7199" s="1">
        <v>46210.166087962964</v>
      </c>
      <c r="B7199" t="s">
        <v>40</v>
      </c>
      <c r="C7199" t="s">
        <v>41</v>
      </c>
      <c r="D7199" s="1">
        <v>46210.169305555559</v>
      </c>
      <c r="E7199" t="s">
        <v>42</v>
      </c>
      <c r="F7199" t="s">
        <v>43</v>
      </c>
      <c r="G7199" t="s">
        <v>43</v>
      </c>
      <c r="H7199" t="s">
        <v>43</v>
      </c>
      <c r="I7199" t="s">
        <v>4077</v>
      </c>
      <c r="J7199" t="s">
        <v>43</v>
      </c>
      <c r="K7199" t="s">
        <v>43</v>
      </c>
      <c r="L7199" t="s">
        <v>43</v>
      </c>
      <c r="M7199" t="s">
        <v>43</v>
      </c>
      <c r="N7199" t="s">
        <v>45</v>
      </c>
      <c r="O7199" t="s">
        <v>43</v>
      </c>
      <c r="P7199" t="s">
        <v>43</v>
      </c>
      <c r="Q7199" t="s">
        <v>43</v>
      </c>
      <c r="R7199" t="s">
        <v>43</v>
      </c>
      <c r="S7199" t="s">
        <v>43</v>
      </c>
      <c r="T7199" t="s">
        <v>43</v>
      </c>
      <c r="U7199" t="s">
        <v>43</v>
      </c>
      <c r="V7199" t="s">
        <v>43</v>
      </c>
      <c r="W7199" t="s">
        <v>43</v>
      </c>
      <c r="X7199" t="s">
        <v>43</v>
      </c>
      <c r="Y7199" t="s">
        <v>43</v>
      </c>
      <c r="Z7199" t="s">
        <v>43</v>
      </c>
      <c r="AA7199" t="s">
        <v>43</v>
      </c>
      <c r="AB7199" t="s">
        <v>43</v>
      </c>
      <c r="AC7199" t="s">
        <v>43</v>
      </c>
      <c r="AD7199" t="s">
        <v>43</v>
      </c>
      <c r="AE7199" t="s">
        <v>43</v>
      </c>
      <c r="AF7199" t="s">
        <v>43</v>
      </c>
      <c r="AG7199" t="s">
        <v>43</v>
      </c>
      <c r="AH7199" t="s">
        <v>43</v>
      </c>
      <c r="AI7199" t="s">
        <v>43</v>
      </c>
      <c r="AJ7199" t="s">
        <v>43</v>
      </c>
      <c r="AK7199" t="s">
        <v>43</v>
      </c>
      <c r="AL7199" t="s">
        <v>43</v>
      </c>
      <c r="AM7199" t="s">
        <v>43</v>
      </c>
      <c r="AN7199" t="str">
        <f>HYPERLINK("https://www.google.com/maps?q=10.78967094,79.57883453","Open Location")</f>
        <v>Open Location</v>
      </c>
    </row>
    <row r="7200" spans="1:40" x14ac:dyDescent="0.3">
      <c r="A7200" s="1">
        <v>46210.165972222225</v>
      </c>
      <c r="B7200" t="s">
        <v>40</v>
      </c>
      <c r="C7200" t="s">
        <v>41</v>
      </c>
      <c r="D7200" s="1">
        <v>46210.168993055559</v>
      </c>
      <c r="E7200" t="s">
        <v>42</v>
      </c>
      <c r="F7200" t="s">
        <v>43</v>
      </c>
      <c r="G7200" t="s">
        <v>43</v>
      </c>
      <c r="H7200" t="s">
        <v>43</v>
      </c>
      <c r="I7200" t="s">
        <v>4163</v>
      </c>
      <c r="J7200" t="s">
        <v>43</v>
      </c>
      <c r="K7200" t="s">
        <v>43</v>
      </c>
      <c r="L7200" t="s">
        <v>43</v>
      </c>
      <c r="M7200" t="s">
        <v>43</v>
      </c>
      <c r="N7200" t="s">
        <v>45</v>
      </c>
      <c r="O7200" t="s">
        <v>43</v>
      </c>
      <c r="P7200" t="s">
        <v>43</v>
      </c>
      <c r="Q7200" t="s">
        <v>43</v>
      </c>
      <c r="R7200" t="s">
        <v>43</v>
      </c>
      <c r="S7200" t="s">
        <v>43</v>
      </c>
      <c r="T7200" t="s">
        <v>43</v>
      </c>
      <c r="U7200" t="s">
        <v>43</v>
      </c>
      <c r="V7200" t="s">
        <v>43</v>
      </c>
      <c r="W7200" t="s">
        <v>43</v>
      </c>
      <c r="X7200" t="s">
        <v>43</v>
      </c>
      <c r="Y7200" t="s">
        <v>43</v>
      </c>
      <c r="Z7200" t="s">
        <v>43</v>
      </c>
      <c r="AA7200" t="s">
        <v>43</v>
      </c>
      <c r="AB7200" t="s">
        <v>43</v>
      </c>
      <c r="AC7200" t="s">
        <v>43</v>
      </c>
      <c r="AD7200" t="s">
        <v>43</v>
      </c>
      <c r="AE7200" t="s">
        <v>43</v>
      </c>
      <c r="AF7200" t="s">
        <v>43</v>
      </c>
      <c r="AG7200" t="s">
        <v>43</v>
      </c>
      <c r="AH7200" t="s">
        <v>43</v>
      </c>
      <c r="AI7200" t="s">
        <v>43</v>
      </c>
      <c r="AJ7200" t="s">
        <v>43</v>
      </c>
      <c r="AK7200" t="s">
        <v>43</v>
      </c>
      <c r="AL7200" t="s">
        <v>43</v>
      </c>
      <c r="AM7200" t="s">
        <v>43</v>
      </c>
      <c r="AN7200" t="str">
        <f>HYPERLINK("https://www.google.com/maps?q=10.78967381,79.5788269","Open Location")</f>
        <v>Open Location</v>
      </c>
    </row>
    <row r="7201" spans="1:40" x14ac:dyDescent="0.3">
      <c r="A7201" s="1">
        <v>46210.165856481479</v>
      </c>
      <c r="B7201" t="s">
        <v>40</v>
      </c>
      <c r="C7201" t="s">
        <v>41</v>
      </c>
      <c r="D7201" s="1">
        <v>46210.168981481482</v>
      </c>
      <c r="E7201" t="s">
        <v>42</v>
      </c>
      <c r="F7201" t="s">
        <v>43</v>
      </c>
      <c r="G7201" t="s">
        <v>43</v>
      </c>
      <c r="H7201" t="s">
        <v>43</v>
      </c>
      <c r="I7201" t="s">
        <v>4169</v>
      </c>
      <c r="J7201" t="s">
        <v>43</v>
      </c>
      <c r="K7201" t="s">
        <v>43</v>
      </c>
      <c r="L7201" t="s">
        <v>43</v>
      </c>
      <c r="M7201" t="s">
        <v>43</v>
      </c>
      <c r="N7201" t="s">
        <v>45</v>
      </c>
      <c r="O7201" t="s">
        <v>43</v>
      </c>
      <c r="P7201" t="s">
        <v>43</v>
      </c>
      <c r="Q7201" t="s">
        <v>43</v>
      </c>
      <c r="R7201" t="s">
        <v>43</v>
      </c>
      <c r="S7201" t="s">
        <v>43</v>
      </c>
      <c r="T7201" t="s">
        <v>43</v>
      </c>
      <c r="U7201" t="s">
        <v>43</v>
      </c>
      <c r="V7201" t="s">
        <v>43</v>
      </c>
      <c r="W7201" t="s">
        <v>43</v>
      </c>
      <c r="X7201" t="s">
        <v>43</v>
      </c>
      <c r="Y7201" t="s">
        <v>43</v>
      </c>
      <c r="Z7201" t="s">
        <v>43</v>
      </c>
      <c r="AA7201" t="s">
        <v>43</v>
      </c>
      <c r="AB7201" t="s">
        <v>43</v>
      </c>
      <c r="AC7201" t="s">
        <v>43</v>
      </c>
      <c r="AD7201" t="s">
        <v>43</v>
      </c>
      <c r="AE7201" t="s">
        <v>43</v>
      </c>
      <c r="AF7201" t="s">
        <v>43</v>
      </c>
      <c r="AG7201" t="s">
        <v>43</v>
      </c>
      <c r="AH7201" t="s">
        <v>43</v>
      </c>
      <c r="AI7201" t="s">
        <v>43</v>
      </c>
      <c r="AJ7201" t="s">
        <v>43</v>
      </c>
      <c r="AK7201" t="s">
        <v>43</v>
      </c>
      <c r="AL7201" t="s">
        <v>43</v>
      </c>
      <c r="AM7201" t="s">
        <v>43</v>
      </c>
      <c r="AN7201" t="str">
        <f>HYPERLINK("https://www.google.com/maps?q=10.78966999,79.5788269","Open Location")</f>
        <v>Open Location</v>
      </c>
    </row>
    <row r="7202" spans="1:40" x14ac:dyDescent="0.3">
      <c r="A7202" s="1">
        <v>46210.16574074074</v>
      </c>
      <c r="B7202" t="s">
        <v>40</v>
      </c>
      <c r="C7202" t="s">
        <v>41</v>
      </c>
      <c r="D7202" s="1">
        <v>46210.168611111112</v>
      </c>
      <c r="E7202" t="s">
        <v>42</v>
      </c>
      <c r="F7202" t="s">
        <v>43</v>
      </c>
      <c r="G7202" t="s">
        <v>43</v>
      </c>
      <c r="H7202" t="s">
        <v>43</v>
      </c>
      <c r="I7202" t="s">
        <v>3944</v>
      </c>
      <c r="J7202" t="s">
        <v>43</v>
      </c>
      <c r="K7202" t="s">
        <v>43</v>
      </c>
      <c r="L7202" t="s">
        <v>43</v>
      </c>
      <c r="M7202" t="s">
        <v>43</v>
      </c>
      <c r="N7202" t="s">
        <v>45</v>
      </c>
      <c r="O7202" t="s">
        <v>43</v>
      </c>
      <c r="P7202" t="s">
        <v>43</v>
      </c>
      <c r="Q7202" t="s">
        <v>43</v>
      </c>
      <c r="R7202" t="s">
        <v>43</v>
      </c>
      <c r="S7202" t="s">
        <v>43</v>
      </c>
      <c r="T7202" t="s">
        <v>43</v>
      </c>
      <c r="U7202" t="s">
        <v>43</v>
      </c>
      <c r="V7202" t="s">
        <v>43</v>
      </c>
      <c r="W7202" t="s">
        <v>43</v>
      </c>
      <c r="X7202" t="s">
        <v>43</v>
      </c>
      <c r="Y7202" t="s">
        <v>43</v>
      </c>
      <c r="Z7202" t="s">
        <v>43</v>
      </c>
      <c r="AA7202" t="s">
        <v>43</v>
      </c>
      <c r="AB7202" t="s">
        <v>43</v>
      </c>
      <c r="AC7202" t="s">
        <v>43</v>
      </c>
      <c r="AD7202" t="s">
        <v>43</v>
      </c>
      <c r="AE7202" t="s">
        <v>43</v>
      </c>
      <c r="AF7202" t="s">
        <v>43</v>
      </c>
      <c r="AG7202" t="s">
        <v>43</v>
      </c>
      <c r="AH7202" t="s">
        <v>43</v>
      </c>
      <c r="AI7202" t="s">
        <v>43</v>
      </c>
      <c r="AJ7202" t="s">
        <v>43</v>
      </c>
      <c r="AK7202" t="s">
        <v>43</v>
      </c>
      <c r="AL7202" t="s">
        <v>43</v>
      </c>
      <c r="AM7202" t="s">
        <v>43</v>
      </c>
      <c r="AN7202" t="str">
        <f>HYPERLINK("https://www.google.com/maps?q=10.78966427,79.57883453","Open Location")</f>
        <v>Open Location</v>
      </c>
    </row>
    <row r="7203" spans="1:40" x14ac:dyDescent="0.3">
      <c r="A7203" s="1">
        <v>46210.165625000001</v>
      </c>
      <c r="B7203" t="s">
        <v>40</v>
      </c>
      <c r="C7203" t="s">
        <v>41</v>
      </c>
      <c r="D7203" s="1">
        <v>46210.168553240743</v>
      </c>
      <c r="E7203" t="s">
        <v>42</v>
      </c>
      <c r="F7203" t="s">
        <v>43</v>
      </c>
      <c r="G7203" t="s">
        <v>43</v>
      </c>
      <c r="H7203" t="s">
        <v>43</v>
      </c>
      <c r="I7203" t="s">
        <v>4066</v>
      </c>
      <c r="J7203" t="s">
        <v>43</v>
      </c>
      <c r="K7203" t="s">
        <v>43</v>
      </c>
      <c r="L7203" t="s">
        <v>43</v>
      </c>
      <c r="M7203" t="s">
        <v>43</v>
      </c>
      <c r="N7203" t="s">
        <v>45</v>
      </c>
      <c r="O7203" t="s">
        <v>43</v>
      </c>
      <c r="P7203" t="s">
        <v>43</v>
      </c>
      <c r="Q7203" t="s">
        <v>43</v>
      </c>
      <c r="R7203" t="s">
        <v>43</v>
      </c>
      <c r="S7203" t="s">
        <v>43</v>
      </c>
      <c r="T7203" t="s">
        <v>43</v>
      </c>
      <c r="U7203" t="s">
        <v>43</v>
      </c>
      <c r="V7203" t="s">
        <v>43</v>
      </c>
      <c r="W7203" t="s">
        <v>43</v>
      </c>
      <c r="X7203" t="s">
        <v>43</v>
      </c>
      <c r="Y7203" t="s">
        <v>43</v>
      </c>
      <c r="Z7203" t="s">
        <v>43</v>
      </c>
      <c r="AA7203" t="s">
        <v>43</v>
      </c>
      <c r="AB7203" t="s">
        <v>43</v>
      </c>
      <c r="AC7203" t="s">
        <v>43</v>
      </c>
      <c r="AD7203" t="s">
        <v>43</v>
      </c>
      <c r="AE7203" t="s">
        <v>43</v>
      </c>
      <c r="AF7203" t="s">
        <v>43</v>
      </c>
      <c r="AG7203" t="s">
        <v>43</v>
      </c>
      <c r="AH7203" t="s">
        <v>43</v>
      </c>
      <c r="AI7203" t="s">
        <v>43</v>
      </c>
      <c r="AJ7203" t="s">
        <v>43</v>
      </c>
      <c r="AK7203" t="s">
        <v>43</v>
      </c>
      <c r="AL7203" t="s">
        <v>43</v>
      </c>
      <c r="AM7203" t="s">
        <v>43</v>
      </c>
      <c r="AN7203" t="str">
        <f>HYPERLINK("https://www.google.com/maps?q=10.78966236,79.57883453","Open Location")</f>
        <v>Open Location</v>
      </c>
    </row>
    <row r="7204" spans="1:40" x14ac:dyDescent="0.3">
      <c r="A7204" s="1">
        <v>46210.165509259263</v>
      </c>
      <c r="B7204" t="s">
        <v>40</v>
      </c>
      <c r="C7204" t="s">
        <v>41</v>
      </c>
      <c r="D7204" s="1">
        <v>46210.168553240743</v>
      </c>
      <c r="E7204" t="s">
        <v>42</v>
      </c>
      <c r="F7204" t="s">
        <v>43</v>
      </c>
      <c r="G7204" t="s">
        <v>43</v>
      </c>
      <c r="H7204" t="s">
        <v>43</v>
      </c>
      <c r="I7204" t="s">
        <v>43</v>
      </c>
      <c r="J7204" t="s">
        <v>43</v>
      </c>
      <c r="K7204" t="s">
        <v>43</v>
      </c>
      <c r="L7204" t="s">
        <v>43</v>
      </c>
      <c r="M7204" t="s">
        <v>43</v>
      </c>
      <c r="N7204" t="s">
        <v>45</v>
      </c>
      <c r="O7204" t="s">
        <v>43</v>
      </c>
      <c r="P7204" t="s">
        <v>43</v>
      </c>
      <c r="Q7204" t="s">
        <v>43</v>
      </c>
      <c r="R7204" t="s">
        <v>43</v>
      </c>
      <c r="S7204" t="s">
        <v>43</v>
      </c>
      <c r="T7204" t="s">
        <v>43</v>
      </c>
      <c r="U7204" t="s">
        <v>43</v>
      </c>
      <c r="V7204" t="s">
        <v>43</v>
      </c>
      <c r="W7204" t="s">
        <v>43</v>
      </c>
      <c r="X7204" t="s">
        <v>43</v>
      </c>
      <c r="Y7204" t="s">
        <v>43</v>
      </c>
      <c r="Z7204" t="s">
        <v>43</v>
      </c>
      <c r="AA7204" t="s">
        <v>43</v>
      </c>
      <c r="AB7204" t="s">
        <v>43</v>
      </c>
      <c r="AC7204" t="s">
        <v>43</v>
      </c>
      <c r="AD7204" t="s">
        <v>43</v>
      </c>
      <c r="AE7204" t="s">
        <v>43</v>
      </c>
      <c r="AF7204" t="s">
        <v>43</v>
      </c>
      <c r="AG7204" t="s">
        <v>43</v>
      </c>
      <c r="AH7204" t="s">
        <v>43</v>
      </c>
      <c r="AI7204" t="s">
        <v>43</v>
      </c>
      <c r="AJ7204" t="s">
        <v>43</v>
      </c>
      <c r="AK7204" t="s">
        <v>43</v>
      </c>
      <c r="AL7204" t="s">
        <v>43</v>
      </c>
      <c r="AM7204" t="s">
        <v>43</v>
      </c>
      <c r="AN7204" t="s">
        <v>43</v>
      </c>
    </row>
    <row r="7205" spans="1:40" x14ac:dyDescent="0.3">
      <c r="A7205" s="1">
        <v>46210.165393518517</v>
      </c>
      <c r="B7205" t="s">
        <v>40</v>
      </c>
      <c r="C7205" t="s">
        <v>41</v>
      </c>
      <c r="D7205" s="1">
        <v>46210.168182870373</v>
      </c>
      <c r="E7205" t="s">
        <v>42</v>
      </c>
      <c r="F7205" t="s">
        <v>43</v>
      </c>
      <c r="G7205" t="s">
        <v>43</v>
      </c>
      <c r="H7205" t="s">
        <v>43</v>
      </c>
      <c r="I7205" t="s">
        <v>4004</v>
      </c>
      <c r="J7205" t="s">
        <v>43</v>
      </c>
      <c r="K7205" t="s">
        <v>43</v>
      </c>
      <c r="L7205" t="s">
        <v>43</v>
      </c>
      <c r="M7205" t="s">
        <v>43</v>
      </c>
      <c r="N7205" t="s">
        <v>45</v>
      </c>
      <c r="O7205" t="s">
        <v>43</v>
      </c>
      <c r="P7205" t="s">
        <v>43</v>
      </c>
      <c r="Q7205" t="s">
        <v>43</v>
      </c>
      <c r="R7205" t="s">
        <v>43</v>
      </c>
      <c r="S7205" t="s">
        <v>43</v>
      </c>
      <c r="T7205" t="s">
        <v>43</v>
      </c>
      <c r="U7205" t="s">
        <v>43</v>
      </c>
      <c r="V7205" t="s">
        <v>43</v>
      </c>
      <c r="W7205" t="s">
        <v>43</v>
      </c>
      <c r="X7205" t="s">
        <v>43</v>
      </c>
      <c r="Y7205" t="s">
        <v>43</v>
      </c>
      <c r="Z7205" t="s">
        <v>43</v>
      </c>
      <c r="AA7205" t="s">
        <v>43</v>
      </c>
      <c r="AB7205" t="s">
        <v>43</v>
      </c>
      <c r="AC7205" t="s">
        <v>43</v>
      </c>
      <c r="AD7205" t="s">
        <v>43</v>
      </c>
      <c r="AE7205" t="s">
        <v>43</v>
      </c>
      <c r="AF7205" t="s">
        <v>43</v>
      </c>
      <c r="AG7205" t="s">
        <v>43</v>
      </c>
      <c r="AH7205" t="s">
        <v>43</v>
      </c>
      <c r="AI7205" t="s">
        <v>43</v>
      </c>
      <c r="AJ7205" t="s">
        <v>43</v>
      </c>
      <c r="AK7205" t="s">
        <v>43</v>
      </c>
      <c r="AL7205" t="s">
        <v>43</v>
      </c>
      <c r="AM7205" t="s">
        <v>43</v>
      </c>
      <c r="AN7205" t="str">
        <f>HYPERLINK("https://www.google.com/maps?q=10.78966618,79.5788269","Open Location")</f>
        <v>Open Location</v>
      </c>
    </row>
    <row r="7206" spans="1:40" x14ac:dyDescent="0.3">
      <c r="A7206" s="1">
        <v>46210.165277777778</v>
      </c>
      <c r="B7206" t="s">
        <v>40</v>
      </c>
      <c r="C7206" t="s">
        <v>41</v>
      </c>
      <c r="D7206" s="1">
        <v>46210.168240740742</v>
      </c>
      <c r="E7206" t="s">
        <v>42</v>
      </c>
      <c r="F7206" t="s">
        <v>43</v>
      </c>
      <c r="G7206" t="s">
        <v>43</v>
      </c>
      <c r="H7206" t="s">
        <v>43</v>
      </c>
      <c r="I7206" t="s">
        <v>4004</v>
      </c>
      <c r="J7206" t="s">
        <v>43</v>
      </c>
      <c r="K7206" t="s">
        <v>43</v>
      </c>
      <c r="L7206" t="s">
        <v>43</v>
      </c>
      <c r="M7206" t="s">
        <v>43</v>
      </c>
      <c r="N7206" t="s">
        <v>45</v>
      </c>
      <c r="O7206" t="s">
        <v>43</v>
      </c>
      <c r="P7206" t="s">
        <v>43</v>
      </c>
      <c r="Q7206" t="s">
        <v>43</v>
      </c>
      <c r="R7206" t="s">
        <v>43</v>
      </c>
      <c r="S7206" t="s">
        <v>43</v>
      </c>
      <c r="T7206" t="s">
        <v>43</v>
      </c>
      <c r="U7206" t="s">
        <v>43</v>
      </c>
      <c r="V7206" t="s">
        <v>43</v>
      </c>
      <c r="W7206" t="s">
        <v>43</v>
      </c>
      <c r="X7206" t="s">
        <v>43</v>
      </c>
      <c r="Y7206" t="s">
        <v>43</v>
      </c>
      <c r="Z7206" t="s">
        <v>43</v>
      </c>
      <c r="AA7206" t="s">
        <v>43</v>
      </c>
      <c r="AB7206" t="s">
        <v>43</v>
      </c>
      <c r="AC7206" t="s">
        <v>43</v>
      </c>
      <c r="AD7206" t="s">
        <v>43</v>
      </c>
      <c r="AE7206" t="s">
        <v>43</v>
      </c>
      <c r="AF7206" t="s">
        <v>43</v>
      </c>
      <c r="AG7206" t="s">
        <v>43</v>
      </c>
      <c r="AH7206" t="s">
        <v>43</v>
      </c>
      <c r="AI7206" t="s">
        <v>43</v>
      </c>
      <c r="AJ7206" t="s">
        <v>43</v>
      </c>
      <c r="AK7206" t="s">
        <v>43</v>
      </c>
      <c r="AL7206" t="s">
        <v>43</v>
      </c>
      <c r="AM7206" t="s">
        <v>43</v>
      </c>
      <c r="AN7206" t="str">
        <f>HYPERLINK("https://www.google.com/maps?q=10.78966618,79.5788269","Open Location")</f>
        <v>Open Location</v>
      </c>
    </row>
    <row r="7207" spans="1:40" x14ac:dyDescent="0.3">
      <c r="A7207" s="1">
        <v>46210.165162037039</v>
      </c>
      <c r="B7207" t="s">
        <v>40</v>
      </c>
      <c r="C7207" t="s">
        <v>41</v>
      </c>
      <c r="D7207" s="1">
        <v>46210.168194444443</v>
      </c>
      <c r="E7207" t="s">
        <v>42</v>
      </c>
      <c r="F7207" t="s">
        <v>43</v>
      </c>
      <c r="G7207" t="s">
        <v>43</v>
      </c>
      <c r="H7207" t="s">
        <v>43</v>
      </c>
      <c r="I7207" t="s">
        <v>4169</v>
      </c>
      <c r="J7207" t="s">
        <v>43</v>
      </c>
      <c r="K7207" t="s">
        <v>43</v>
      </c>
      <c r="L7207" t="s">
        <v>43</v>
      </c>
      <c r="M7207" t="s">
        <v>43</v>
      </c>
      <c r="N7207" t="s">
        <v>45</v>
      </c>
      <c r="O7207" t="s">
        <v>43</v>
      </c>
      <c r="P7207" t="s">
        <v>43</v>
      </c>
      <c r="Q7207" t="s">
        <v>43</v>
      </c>
      <c r="R7207" t="s">
        <v>43</v>
      </c>
      <c r="S7207" t="s">
        <v>43</v>
      </c>
      <c r="T7207" t="s">
        <v>43</v>
      </c>
      <c r="U7207" t="s">
        <v>43</v>
      </c>
      <c r="V7207" t="s">
        <v>43</v>
      </c>
      <c r="W7207" t="s">
        <v>43</v>
      </c>
      <c r="X7207" t="s">
        <v>43</v>
      </c>
      <c r="Y7207" t="s">
        <v>43</v>
      </c>
      <c r="Z7207" t="s">
        <v>43</v>
      </c>
      <c r="AA7207" t="s">
        <v>43</v>
      </c>
      <c r="AB7207" t="s">
        <v>43</v>
      </c>
      <c r="AC7207" t="s">
        <v>43</v>
      </c>
      <c r="AD7207" t="s">
        <v>43</v>
      </c>
      <c r="AE7207" t="s">
        <v>43</v>
      </c>
      <c r="AF7207" t="s">
        <v>43</v>
      </c>
      <c r="AG7207" t="s">
        <v>43</v>
      </c>
      <c r="AH7207" t="s">
        <v>43</v>
      </c>
      <c r="AI7207" t="s">
        <v>43</v>
      </c>
      <c r="AJ7207" t="s">
        <v>43</v>
      </c>
      <c r="AK7207" t="s">
        <v>43</v>
      </c>
      <c r="AL7207" t="s">
        <v>43</v>
      </c>
      <c r="AM7207" t="s">
        <v>43</v>
      </c>
      <c r="AN7207" t="str">
        <f>HYPERLINK("https://www.google.com/maps?q=10.78966999,79.5788269","Open Location")</f>
        <v>Open Location</v>
      </c>
    </row>
    <row r="7208" spans="1:40" x14ac:dyDescent="0.3">
      <c r="A7208" s="1">
        <v>46210.165046296293</v>
      </c>
      <c r="B7208" t="s">
        <v>40</v>
      </c>
      <c r="C7208" t="s">
        <v>41</v>
      </c>
      <c r="D7208" s="1">
        <v>46210.168252314812</v>
      </c>
      <c r="E7208" t="s">
        <v>42</v>
      </c>
      <c r="F7208" t="s">
        <v>43</v>
      </c>
      <c r="G7208" t="s">
        <v>43</v>
      </c>
      <c r="H7208" t="s">
        <v>43</v>
      </c>
      <c r="I7208" t="s">
        <v>4008</v>
      </c>
      <c r="J7208" t="s">
        <v>43</v>
      </c>
      <c r="K7208" t="s">
        <v>43</v>
      </c>
      <c r="L7208" t="s">
        <v>43</v>
      </c>
      <c r="M7208" t="s">
        <v>43</v>
      </c>
      <c r="N7208" t="s">
        <v>45</v>
      </c>
      <c r="O7208" t="s">
        <v>43</v>
      </c>
      <c r="P7208" t="s">
        <v>43</v>
      </c>
      <c r="Q7208" t="s">
        <v>43</v>
      </c>
      <c r="R7208" t="s">
        <v>43</v>
      </c>
      <c r="S7208" t="s">
        <v>43</v>
      </c>
      <c r="T7208" t="s">
        <v>43</v>
      </c>
      <c r="U7208" t="s">
        <v>43</v>
      </c>
      <c r="V7208" t="s">
        <v>43</v>
      </c>
      <c r="W7208" t="s">
        <v>43</v>
      </c>
      <c r="X7208" t="s">
        <v>43</v>
      </c>
      <c r="Y7208" t="s">
        <v>43</v>
      </c>
      <c r="Z7208" t="s">
        <v>43</v>
      </c>
      <c r="AA7208" t="s">
        <v>43</v>
      </c>
      <c r="AB7208" t="s">
        <v>43</v>
      </c>
      <c r="AC7208" t="s">
        <v>43</v>
      </c>
      <c r="AD7208" t="s">
        <v>43</v>
      </c>
      <c r="AE7208" t="s">
        <v>43</v>
      </c>
      <c r="AF7208" t="s">
        <v>43</v>
      </c>
      <c r="AG7208" t="s">
        <v>43</v>
      </c>
      <c r="AH7208" t="s">
        <v>43</v>
      </c>
      <c r="AI7208" t="s">
        <v>43</v>
      </c>
      <c r="AJ7208" t="s">
        <v>43</v>
      </c>
      <c r="AK7208" t="s">
        <v>43</v>
      </c>
      <c r="AL7208" t="s">
        <v>43</v>
      </c>
      <c r="AM7208" t="s">
        <v>43</v>
      </c>
      <c r="AN7208" t="str">
        <f>HYPERLINK("https://www.google.com/maps?q=10.78967285,79.5788269","Open Location")</f>
        <v>Open Location</v>
      </c>
    </row>
    <row r="7209" spans="1:40" x14ac:dyDescent="0.3">
      <c r="A7209" s="1">
        <v>46210.164930555555</v>
      </c>
      <c r="B7209" t="s">
        <v>40</v>
      </c>
      <c r="C7209" t="s">
        <v>41</v>
      </c>
      <c r="D7209" s="1">
        <v>46210.167858796296</v>
      </c>
      <c r="E7209" t="s">
        <v>42</v>
      </c>
      <c r="F7209" t="s">
        <v>43</v>
      </c>
      <c r="G7209" t="s">
        <v>43</v>
      </c>
      <c r="H7209" t="s">
        <v>43</v>
      </c>
      <c r="I7209" t="s">
        <v>4076</v>
      </c>
      <c r="J7209" t="s">
        <v>43</v>
      </c>
      <c r="K7209" t="s">
        <v>43</v>
      </c>
      <c r="L7209" t="s">
        <v>43</v>
      </c>
      <c r="M7209" t="s">
        <v>43</v>
      </c>
      <c r="N7209" t="s">
        <v>45</v>
      </c>
      <c r="O7209" t="s">
        <v>43</v>
      </c>
      <c r="P7209" t="s">
        <v>43</v>
      </c>
      <c r="Q7209" t="s">
        <v>43</v>
      </c>
      <c r="R7209" t="s">
        <v>43</v>
      </c>
      <c r="S7209" t="s">
        <v>43</v>
      </c>
      <c r="T7209" t="s">
        <v>43</v>
      </c>
      <c r="U7209" t="s">
        <v>43</v>
      </c>
      <c r="V7209" t="s">
        <v>43</v>
      </c>
      <c r="W7209" t="s">
        <v>43</v>
      </c>
      <c r="X7209" t="s">
        <v>43</v>
      </c>
      <c r="Y7209" t="s">
        <v>43</v>
      </c>
      <c r="Z7209" t="s">
        <v>43</v>
      </c>
      <c r="AA7209" t="s">
        <v>43</v>
      </c>
      <c r="AB7209" t="s">
        <v>43</v>
      </c>
      <c r="AC7209" t="s">
        <v>43</v>
      </c>
      <c r="AD7209" t="s">
        <v>43</v>
      </c>
      <c r="AE7209" t="s">
        <v>43</v>
      </c>
      <c r="AF7209" t="s">
        <v>43</v>
      </c>
      <c r="AG7209" t="s">
        <v>43</v>
      </c>
      <c r="AH7209" t="s">
        <v>43</v>
      </c>
      <c r="AI7209" t="s">
        <v>43</v>
      </c>
      <c r="AJ7209" t="s">
        <v>43</v>
      </c>
      <c r="AK7209" t="s">
        <v>43</v>
      </c>
      <c r="AL7209" t="s">
        <v>43</v>
      </c>
      <c r="AM7209" t="s">
        <v>43</v>
      </c>
      <c r="AN7209" t="str">
        <f>HYPERLINK("https://www.google.com/maps?q=10.7896719,79.57883453","Open Location")</f>
        <v>Open Location</v>
      </c>
    </row>
    <row r="7210" spans="1:40" x14ac:dyDescent="0.3">
      <c r="A7210" s="1">
        <v>46210.164814814816</v>
      </c>
      <c r="B7210" t="s">
        <v>40</v>
      </c>
      <c r="C7210" t="s">
        <v>41</v>
      </c>
      <c r="D7210" s="1">
        <v>46210.167870370373</v>
      </c>
      <c r="E7210" t="s">
        <v>42</v>
      </c>
      <c r="F7210" t="s">
        <v>43</v>
      </c>
      <c r="G7210" t="s">
        <v>43</v>
      </c>
      <c r="H7210" t="s">
        <v>43</v>
      </c>
      <c r="I7210" t="s">
        <v>43</v>
      </c>
      <c r="J7210" t="s">
        <v>43</v>
      </c>
      <c r="K7210" t="s">
        <v>43</v>
      </c>
      <c r="L7210" t="s">
        <v>43</v>
      </c>
      <c r="M7210" t="s">
        <v>43</v>
      </c>
      <c r="N7210" t="s">
        <v>45</v>
      </c>
      <c r="O7210" t="s">
        <v>43</v>
      </c>
      <c r="P7210" t="s">
        <v>43</v>
      </c>
      <c r="Q7210" t="s">
        <v>43</v>
      </c>
      <c r="R7210" t="s">
        <v>43</v>
      </c>
      <c r="S7210" t="s">
        <v>43</v>
      </c>
      <c r="T7210" t="s">
        <v>43</v>
      </c>
      <c r="U7210" t="s">
        <v>43</v>
      </c>
      <c r="V7210" t="s">
        <v>43</v>
      </c>
      <c r="W7210" t="s">
        <v>43</v>
      </c>
      <c r="X7210" t="s">
        <v>43</v>
      </c>
      <c r="Y7210" t="s">
        <v>43</v>
      </c>
      <c r="Z7210" t="s">
        <v>43</v>
      </c>
      <c r="AA7210" t="s">
        <v>43</v>
      </c>
      <c r="AB7210" t="s">
        <v>43</v>
      </c>
      <c r="AC7210" t="s">
        <v>43</v>
      </c>
      <c r="AD7210" t="s">
        <v>43</v>
      </c>
      <c r="AE7210" t="s">
        <v>43</v>
      </c>
      <c r="AF7210" t="s">
        <v>43</v>
      </c>
      <c r="AG7210" t="s">
        <v>43</v>
      </c>
      <c r="AH7210" t="s">
        <v>43</v>
      </c>
      <c r="AI7210" t="s">
        <v>43</v>
      </c>
      <c r="AJ7210" t="s">
        <v>43</v>
      </c>
      <c r="AK7210" t="s">
        <v>43</v>
      </c>
      <c r="AL7210" t="s">
        <v>43</v>
      </c>
      <c r="AM7210" t="s">
        <v>43</v>
      </c>
      <c r="AN7210" t="s">
        <v>43</v>
      </c>
    </row>
    <row r="7211" spans="1:40" x14ac:dyDescent="0.3">
      <c r="A7211" s="1">
        <v>46210.164699074077</v>
      </c>
      <c r="B7211" t="s">
        <v>40</v>
      </c>
      <c r="C7211" t="s">
        <v>41</v>
      </c>
      <c r="D7211" s="1">
        <v>46210.167870370373</v>
      </c>
      <c r="E7211" t="s">
        <v>42</v>
      </c>
      <c r="F7211" t="s">
        <v>43</v>
      </c>
      <c r="G7211" t="s">
        <v>43</v>
      </c>
      <c r="H7211" t="s">
        <v>43</v>
      </c>
      <c r="I7211" t="s">
        <v>4076</v>
      </c>
      <c r="J7211" t="s">
        <v>43</v>
      </c>
      <c r="K7211" t="s">
        <v>43</v>
      </c>
      <c r="L7211" t="s">
        <v>43</v>
      </c>
      <c r="M7211" t="s">
        <v>43</v>
      </c>
      <c r="N7211" t="s">
        <v>45</v>
      </c>
      <c r="O7211" t="s">
        <v>43</v>
      </c>
      <c r="P7211" t="s">
        <v>43</v>
      </c>
      <c r="Q7211" t="s">
        <v>43</v>
      </c>
      <c r="R7211" t="s">
        <v>43</v>
      </c>
      <c r="S7211" t="s">
        <v>43</v>
      </c>
      <c r="T7211" t="s">
        <v>43</v>
      </c>
      <c r="U7211" t="s">
        <v>43</v>
      </c>
      <c r="V7211" t="s">
        <v>43</v>
      </c>
      <c r="W7211" t="s">
        <v>43</v>
      </c>
      <c r="X7211" t="s">
        <v>43</v>
      </c>
      <c r="Y7211" t="s">
        <v>43</v>
      </c>
      <c r="Z7211" t="s">
        <v>43</v>
      </c>
      <c r="AA7211" t="s">
        <v>43</v>
      </c>
      <c r="AB7211" t="s">
        <v>43</v>
      </c>
      <c r="AC7211" t="s">
        <v>43</v>
      </c>
      <c r="AD7211" t="s">
        <v>43</v>
      </c>
      <c r="AE7211" t="s">
        <v>43</v>
      </c>
      <c r="AF7211" t="s">
        <v>43</v>
      </c>
      <c r="AG7211" t="s">
        <v>43</v>
      </c>
      <c r="AH7211" t="s">
        <v>43</v>
      </c>
      <c r="AI7211" t="s">
        <v>43</v>
      </c>
      <c r="AJ7211" t="s">
        <v>43</v>
      </c>
      <c r="AK7211" t="s">
        <v>43</v>
      </c>
      <c r="AL7211" t="s">
        <v>43</v>
      </c>
      <c r="AM7211" t="s">
        <v>43</v>
      </c>
      <c r="AN7211" t="str">
        <f>HYPERLINK("https://www.google.com/maps?q=10.7896719,79.57883453","Open Location")</f>
        <v>Open Location</v>
      </c>
    </row>
    <row r="7212" spans="1:40" x14ac:dyDescent="0.3">
      <c r="A7212" s="1">
        <v>46210.164583333331</v>
      </c>
      <c r="B7212" t="s">
        <v>40</v>
      </c>
      <c r="C7212" t="s">
        <v>41</v>
      </c>
      <c r="D7212" s="1">
        <v>46210.16746527778</v>
      </c>
      <c r="E7212" t="s">
        <v>42</v>
      </c>
      <c r="F7212" t="s">
        <v>43</v>
      </c>
      <c r="G7212" t="s">
        <v>43</v>
      </c>
      <c r="H7212" t="s">
        <v>43</v>
      </c>
      <c r="I7212" t="s">
        <v>4070</v>
      </c>
      <c r="J7212" t="s">
        <v>43</v>
      </c>
      <c r="K7212" t="s">
        <v>43</v>
      </c>
      <c r="L7212" t="s">
        <v>43</v>
      </c>
      <c r="M7212" t="s">
        <v>43</v>
      </c>
      <c r="N7212" t="s">
        <v>45</v>
      </c>
      <c r="O7212" t="s">
        <v>43</v>
      </c>
      <c r="P7212" t="s">
        <v>43</v>
      </c>
      <c r="Q7212" t="s">
        <v>43</v>
      </c>
      <c r="R7212" t="s">
        <v>43</v>
      </c>
      <c r="S7212" t="s">
        <v>43</v>
      </c>
      <c r="T7212" t="s">
        <v>43</v>
      </c>
      <c r="U7212" t="s">
        <v>43</v>
      </c>
      <c r="V7212" t="s">
        <v>43</v>
      </c>
      <c r="W7212" t="s">
        <v>43</v>
      </c>
      <c r="X7212" t="s">
        <v>43</v>
      </c>
      <c r="Y7212" t="s">
        <v>43</v>
      </c>
      <c r="Z7212" t="s">
        <v>43</v>
      </c>
      <c r="AA7212" t="s">
        <v>43</v>
      </c>
      <c r="AB7212" t="s">
        <v>43</v>
      </c>
      <c r="AC7212" t="s">
        <v>43</v>
      </c>
      <c r="AD7212" t="s">
        <v>43</v>
      </c>
      <c r="AE7212" t="s">
        <v>43</v>
      </c>
      <c r="AF7212" t="s">
        <v>43</v>
      </c>
      <c r="AG7212" t="s">
        <v>43</v>
      </c>
      <c r="AH7212" t="s">
        <v>43</v>
      </c>
      <c r="AI7212" t="s">
        <v>43</v>
      </c>
      <c r="AJ7212" t="s">
        <v>43</v>
      </c>
      <c r="AK7212" t="s">
        <v>43</v>
      </c>
      <c r="AL7212" t="s">
        <v>43</v>
      </c>
      <c r="AM7212" t="s">
        <v>43</v>
      </c>
      <c r="AN7212" t="str">
        <f>HYPERLINK("https://www.google.com/maps?q=10.78966141,79.57884216","Open Location")</f>
        <v>Open Location</v>
      </c>
    </row>
    <row r="7213" spans="1:40" x14ac:dyDescent="0.3">
      <c r="A7213" s="1">
        <v>46210.164467592593</v>
      </c>
      <c r="B7213" t="s">
        <v>40</v>
      </c>
      <c r="C7213" t="s">
        <v>41</v>
      </c>
      <c r="D7213" s="1">
        <v>46210.16747685185</v>
      </c>
      <c r="E7213" t="s">
        <v>42</v>
      </c>
      <c r="F7213" t="s">
        <v>43</v>
      </c>
      <c r="G7213" t="s">
        <v>43</v>
      </c>
      <c r="H7213" t="s">
        <v>43</v>
      </c>
      <c r="I7213" t="s">
        <v>4170</v>
      </c>
      <c r="J7213" t="s">
        <v>43</v>
      </c>
      <c r="K7213" t="s">
        <v>43</v>
      </c>
      <c r="L7213" t="s">
        <v>43</v>
      </c>
      <c r="M7213" t="s">
        <v>43</v>
      </c>
      <c r="N7213" t="s">
        <v>45</v>
      </c>
      <c r="O7213" t="s">
        <v>43</v>
      </c>
      <c r="P7213" t="s">
        <v>43</v>
      </c>
      <c r="Q7213" t="s">
        <v>43</v>
      </c>
      <c r="R7213" t="s">
        <v>43</v>
      </c>
      <c r="S7213" t="s">
        <v>43</v>
      </c>
      <c r="T7213" t="s">
        <v>43</v>
      </c>
      <c r="U7213" t="s">
        <v>43</v>
      </c>
      <c r="V7213" t="s">
        <v>43</v>
      </c>
      <c r="W7213" t="s">
        <v>43</v>
      </c>
      <c r="X7213" t="s">
        <v>43</v>
      </c>
      <c r="Y7213" t="s">
        <v>43</v>
      </c>
      <c r="Z7213" t="s">
        <v>43</v>
      </c>
      <c r="AA7213" t="s">
        <v>43</v>
      </c>
      <c r="AB7213" t="s">
        <v>43</v>
      </c>
      <c r="AC7213" t="s">
        <v>43</v>
      </c>
      <c r="AD7213" t="s">
        <v>43</v>
      </c>
      <c r="AE7213" t="s">
        <v>43</v>
      </c>
      <c r="AF7213" t="s">
        <v>43</v>
      </c>
      <c r="AG7213" t="s">
        <v>43</v>
      </c>
      <c r="AH7213" t="s">
        <v>43</v>
      </c>
      <c r="AI7213" t="s">
        <v>43</v>
      </c>
      <c r="AJ7213" t="s">
        <v>43</v>
      </c>
      <c r="AK7213" t="s">
        <v>43</v>
      </c>
      <c r="AL7213" t="s">
        <v>43</v>
      </c>
      <c r="AM7213" t="s">
        <v>43</v>
      </c>
      <c r="AN7213" t="str">
        <f>HYPERLINK("https://www.google.com/maps?q=10.78965759,79.57884979","Open Location")</f>
        <v>Open Location</v>
      </c>
    </row>
    <row r="7214" spans="1:40" x14ac:dyDescent="0.3">
      <c r="A7214" s="1">
        <v>46210.164351851854</v>
      </c>
      <c r="B7214" t="s">
        <v>40</v>
      </c>
      <c r="C7214" t="s">
        <v>41</v>
      </c>
      <c r="D7214" s="1">
        <v>46210.167118055557</v>
      </c>
      <c r="E7214" t="s">
        <v>42</v>
      </c>
      <c r="F7214" t="s">
        <v>43</v>
      </c>
      <c r="G7214" t="s">
        <v>43</v>
      </c>
      <c r="H7214" t="s">
        <v>43</v>
      </c>
      <c r="I7214" t="s">
        <v>4170</v>
      </c>
      <c r="J7214" t="s">
        <v>43</v>
      </c>
      <c r="K7214" t="s">
        <v>43</v>
      </c>
      <c r="L7214" t="s">
        <v>43</v>
      </c>
      <c r="M7214" t="s">
        <v>43</v>
      </c>
      <c r="N7214" t="s">
        <v>45</v>
      </c>
      <c r="O7214" t="s">
        <v>43</v>
      </c>
      <c r="P7214" t="s">
        <v>43</v>
      </c>
      <c r="Q7214" t="s">
        <v>43</v>
      </c>
      <c r="R7214" t="s">
        <v>43</v>
      </c>
      <c r="S7214" t="s">
        <v>43</v>
      </c>
      <c r="T7214" t="s">
        <v>43</v>
      </c>
      <c r="U7214" t="s">
        <v>43</v>
      </c>
      <c r="V7214" t="s">
        <v>43</v>
      </c>
      <c r="W7214" t="s">
        <v>43</v>
      </c>
      <c r="X7214" t="s">
        <v>43</v>
      </c>
      <c r="Y7214" t="s">
        <v>43</v>
      </c>
      <c r="Z7214" t="s">
        <v>43</v>
      </c>
      <c r="AA7214" t="s">
        <v>43</v>
      </c>
      <c r="AB7214" t="s">
        <v>43</v>
      </c>
      <c r="AC7214" t="s">
        <v>43</v>
      </c>
      <c r="AD7214" t="s">
        <v>43</v>
      </c>
      <c r="AE7214" t="s">
        <v>43</v>
      </c>
      <c r="AF7214" t="s">
        <v>43</v>
      </c>
      <c r="AG7214" t="s">
        <v>43</v>
      </c>
      <c r="AH7214" t="s">
        <v>43</v>
      </c>
      <c r="AI7214" t="s">
        <v>43</v>
      </c>
      <c r="AJ7214" t="s">
        <v>43</v>
      </c>
      <c r="AK7214" t="s">
        <v>43</v>
      </c>
      <c r="AL7214" t="s">
        <v>43</v>
      </c>
      <c r="AM7214" t="s">
        <v>43</v>
      </c>
      <c r="AN7214" t="str">
        <f>HYPERLINK("https://www.google.com/maps?q=10.78965759,79.57884979","Open Location")</f>
        <v>Open Location</v>
      </c>
    </row>
    <row r="7215" spans="1:40" x14ac:dyDescent="0.3">
      <c r="A7215" s="1">
        <v>46210.164236111108</v>
      </c>
      <c r="B7215" t="s">
        <v>40</v>
      </c>
      <c r="C7215" t="s">
        <v>41</v>
      </c>
      <c r="D7215" s="1">
        <v>46210.167118055557</v>
      </c>
      <c r="E7215" t="s">
        <v>42</v>
      </c>
      <c r="F7215" t="s">
        <v>43</v>
      </c>
      <c r="G7215" t="s">
        <v>43</v>
      </c>
      <c r="H7215" t="s">
        <v>43</v>
      </c>
      <c r="I7215" t="s">
        <v>43</v>
      </c>
      <c r="J7215" t="s">
        <v>43</v>
      </c>
      <c r="K7215" t="s">
        <v>43</v>
      </c>
      <c r="L7215" t="s">
        <v>43</v>
      </c>
      <c r="M7215" t="s">
        <v>43</v>
      </c>
      <c r="N7215" t="s">
        <v>45</v>
      </c>
      <c r="O7215" t="s">
        <v>43</v>
      </c>
      <c r="P7215" t="s">
        <v>43</v>
      </c>
      <c r="Q7215" t="s">
        <v>43</v>
      </c>
      <c r="R7215" t="s">
        <v>43</v>
      </c>
      <c r="S7215" t="s">
        <v>43</v>
      </c>
      <c r="T7215" t="s">
        <v>43</v>
      </c>
      <c r="U7215" t="s">
        <v>43</v>
      </c>
      <c r="V7215" t="s">
        <v>43</v>
      </c>
      <c r="W7215" t="s">
        <v>43</v>
      </c>
      <c r="X7215" t="s">
        <v>43</v>
      </c>
      <c r="Y7215" t="s">
        <v>43</v>
      </c>
      <c r="Z7215" t="s">
        <v>43</v>
      </c>
      <c r="AA7215" t="s">
        <v>43</v>
      </c>
      <c r="AB7215" t="s">
        <v>43</v>
      </c>
      <c r="AC7215" t="s">
        <v>43</v>
      </c>
      <c r="AD7215" t="s">
        <v>43</v>
      </c>
      <c r="AE7215" t="s">
        <v>43</v>
      </c>
      <c r="AF7215" t="s">
        <v>43</v>
      </c>
      <c r="AG7215" t="s">
        <v>43</v>
      </c>
      <c r="AH7215" t="s">
        <v>43</v>
      </c>
      <c r="AI7215" t="s">
        <v>43</v>
      </c>
      <c r="AJ7215" t="s">
        <v>43</v>
      </c>
      <c r="AK7215" t="s">
        <v>43</v>
      </c>
      <c r="AL7215" t="s">
        <v>43</v>
      </c>
      <c r="AM7215" t="s">
        <v>43</v>
      </c>
      <c r="AN7215" t="s">
        <v>43</v>
      </c>
    </row>
    <row r="7216" spans="1:40" x14ac:dyDescent="0.3">
      <c r="A7216" s="1">
        <v>46210.164120370369</v>
      </c>
      <c r="B7216" t="s">
        <v>40</v>
      </c>
      <c r="C7216" t="s">
        <v>41</v>
      </c>
      <c r="D7216" s="1">
        <v>46210.167118055557</v>
      </c>
      <c r="E7216" t="s">
        <v>42</v>
      </c>
      <c r="F7216" t="s">
        <v>43</v>
      </c>
      <c r="G7216" t="s">
        <v>43</v>
      </c>
      <c r="H7216" t="s">
        <v>43</v>
      </c>
      <c r="I7216" t="s">
        <v>4171</v>
      </c>
      <c r="J7216" t="s">
        <v>43</v>
      </c>
      <c r="K7216" t="s">
        <v>43</v>
      </c>
      <c r="L7216" t="s">
        <v>43</v>
      </c>
      <c r="M7216" t="s">
        <v>43</v>
      </c>
      <c r="N7216" t="s">
        <v>45</v>
      </c>
      <c r="O7216" t="s">
        <v>43</v>
      </c>
      <c r="P7216" t="s">
        <v>43</v>
      </c>
      <c r="Q7216" t="s">
        <v>43</v>
      </c>
      <c r="R7216" t="s">
        <v>43</v>
      </c>
      <c r="S7216" t="s">
        <v>43</v>
      </c>
      <c r="T7216" t="s">
        <v>43</v>
      </c>
      <c r="U7216" t="s">
        <v>43</v>
      </c>
      <c r="V7216" t="s">
        <v>43</v>
      </c>
      <c r="W7216" t="s">
        <v>43</v>
      </c>
      <c r="X7216" t="s">
        <v>43</v>
      </c>
      <c r="Y7216" t="s">
        <v>43</v>
      </c>
      <c r="Z7216" t="s">
        <v>43</v>
      </c>
      <c r="AA7216" t="s">
        <v>43</v>
      </c>
      <c r="AB7216" t="s">
        <v>43</v>
      </c>
      <c r="AC7216" t="s">
        <v>43</v>
      </c>
      <c r="AD7216" t="s">
        <v>43</v>
      </c>
      <c r="AE7216" t="s">
        <v>43</v>
      </c>
      <c r="AF7216" t="s">
        <v>43</v>
      </c>
      <c r="AG7216" t="s">
        <v>43</v>
      </c>
      <c r="AH7216" t="s">
        <v>43</v>
      </c>
      <c r="AI7216" t="s">
        <v>43</v>
      </c>
      <c r="AJ7216" t="s">
        <v>43</v>
      </c>
      <c r="AK7216" t="s">
        <v>43</v>
      </c>
      <c r="AL7216" t="s">
        <v>43</v>
      </c>
      <c r="AM7216" t="s">
        <v>43</v>
      </c>
      <c r="AN7216" t="str">
        <f>HYPERLINK("https://www.google.com/maps?q=10.78965664,79.57884979","Open Location")</f>
        <v>Open Location</v>
      </c>
    </row>
    <row r="7217" spans="1:40" x14ac:dyDescent="0.3">
      <c r="A7217" s="1">
        <v>46210.164004629631</v>
      </c>
      <c r="B7217" t="s">
        <v>40</v>
      </c>
      <c r="C7217" t="s">
        <v>41</v>
      </c>
      <c r="D7217" s="1">
        <v>46210.167094907411</v>
      </c>
      <c r="E7217" t="s">
        <v>42</v>
      </c>
      <c r="F7217" t="s">
        <v>43</v>
      </c>
      <c r="G7217" t="s">
        <v>43</v>
      </c>
      <c r="H7217" t="s">
        <v>43</v>
      </c>
      <c r="I7217" t="s">
        <v>4071</v>
      </c>
      <c r="J7217" t="s">
        <v>43</v>
      </c>
      <c r="K7217" t="s">
        <v>43</v>
      </c>
      <c r="L7217" t="s">
        <v>43</v>
      </c>
      <c r="M7217" t="s">
        <v>43</v>
      </c>
      <c r="N7217" t="s">
        <v>45</v>
      </c>
      <c r="O7217" t="s">
        <v>43</v>
      </c>
      <c r="P7217" t="s">
        <v>43</v>
      </c>
      <c r="Q7217" t="s">
        <v>43</v>
      </c>
      <c r="R7217" t="s">
        <v>43</v>
      </c>
      <c r="S7217" t="s">
        <v>43</v>
      </c>
      <c r="T7217" t="s">
        <v>43</v>
      </c>
      <c r="U7217" t="s">
        <v>43</v>
      </c>
      <c r="V7217" t="s">
        <v>43</v>
      </c>
      <c r="W7217" t="s">
        <v>43</v>
      </c>
      <c r="X7217" t="s">
        <v>43</v>
      </c>
      <c r="Y7217" t="s">
        <v>43</v>
      </c>
      <c r="Z7217" t="s">
        <v>43</v>
      </c>
      <c r="AA7217" t="s">
        <v>43</v>
      </c>
      <c r="AB7217" t="s">
        <v>43</v>
      </c>
      <c r="AC7217" t="s">
        <v>43</v>
      </c>
      <c r="AD7217" t="s">
        <v>43</v>
      </c>
      <c r="AE7217" t="s">
        <v>43</v>
      </c>
      <c r="AF7217" t="s">
        <v>43</v>
      </c>
      <c r="AG7217" t="s">
        <v>43</v>
      </c>
      <c r="AH7217" t="s">
        <v>43</v>
      </c>
      <c r="AI7217" t="s">
        <v>43</v>
      </c>
      <c r="AJ7217" t="s">
        <v>43</v>
      </c>
      <c r="AK7217" t="s">
        <v>43</v>
      </c>
      <c r="AL7217" t="s">
        <v>43</v>
      </c>
      <c r="AM7217" t="s">
        <v>43</v>
      </c>
      <c r="AN7217" t="str">
        <f>HYPERLINK("https://www.google.com/maps?q=10.78966141,79.57884979","Open Location")</f>
        <v>Open Location</v>
      </c>
    </row>
    <row r="7218" spans="1:40" x14ac:dyDescent="0.3">
      <c r="A7218" s="1">
        <v>46210.163888888892</v>
      </c>
      <c r="B7218" t="s">
        <v>40</v>
      </c>
      <c r="C7218" t="s">
        <v>41</v>
      </c>
      <c r="D7218" s="1">
        <v>46210.16673611111</v>
      </c>
      <c r="E7218" t="s">
        <v>42</v>
      </c>
      <c r="F7218" t="s">
        <v>43</v>
      </c>
      <c r="G7218" t="s">
        <v>43</v>
      </c>
      <c r="H7218" t="s">
        <v>43</v>
      </c>
      <c r="I7218" t="s">
        <v>3944</v>
      </c>
      <c r="J7218" t="s">
        <v>43</v>
      </c>
      <c r="K7218" t="s">
        <v>43</v>
      </c>
      <c r="L7218" t="s">
        <v>43</v>
      </c>
      <c r="M7218" t="s">
        <v>43</v>
      </c>
      <c r="N7218" t="s">
        <v>45</v>
      </c>
      <c r="O7218" t="s">
        <v>43</v>
      </c>
      <c r="P7218" t="s">
        <v>43</v>
      </c>
      <c r="Q7218" t="s">
        <v>43</v>
      </c>
      <c r="R7218" t="s">
        <v>43</v>
      </c>
      <c r="S7218" t="s">
        <v>43</v>
      </c>
      <c r="T7218" t="s">
        <v>43</v>
      </c>
      <c r="U7218" t="s">
        <v>43</v>
      </c>
      <c r="V7218" t="s">
        <v>43</v>
      </c>
      <c r="W7218" t="s">
        <v>43</v>
      </c>
      <c r="X7218" t="s">
        <v>43</v>
      </c>
      <c r="Y7218" t="s">
        <v>43</v>
      </c>
      <c r="Z7218" t="s">
        <v>43</v>
      </c>
      <c r="AA7218" t="s">
        <v>43</v>
      </c>
      <c r="AB7218" t="s">
        <v>43</v>
      </c>
      <c r="AC7218" t="s">
        <v>43</v>
      </c>
      <c r="AD7218" t="s">
        <v>43</v>
      </c>
      <c r="AE7218" t="s">
        <v>43</v>
      </c>
      <c r="AF7218" t="s">
        <v>43</v>
      </c>
      <c r="AG7218" t="s">
        <v>43</v>
      </c>
      <c r="AH7218" t="s">
        <v>43</v>
      </c>
      <c r="AI7218" t="s">
        <v>43</v>
      </c>
      <c r="AJ7218" t="s">
        <v>43</v>
      </c>
      <c r="AK7218" t="s">
        <v>43</v>
      </c>
      <c r="AL7218" t="s">
        <v>43</v>
      </c>
      <c r="AM7218" t="s">
        <v>43</v>
      </c>
      <c r="AN7218" t="str">
        <f>HYPERLINK("https://www.google.com/maps?q=10.78966427,79.57883453","Open Location")</f>
        <v>Open Location</v>
      </c>
    </row>
    <row r="7219" spans="1:40" x14ac:dyDescent="0.3">
      <c r="A7219" s="1">
        <v>46210.163773148146</v>
      </c>
      <c r="B7219" t="s">
        <v>40</v>
      </c>
      <c r="C7219" t="s">
        <v>41</v>
      </c>
      <c r="D7219" s="1">
        <v>46210.166724537034</v>
      </c>
      <c r="E7219" t="s">
        <v>42</v>
      </c>
      <c r="F7219" t="s">
        <v>43</v>
      </c>
      <c r="G7219" t="s">
        <v>43</v>
      </c>
      <c r="H7219" t="s">
        <v>43</v>
      </c>
      <c r="I7219" t="s">
        <v>4066</v>
      </c>
      <c r="J7219" t="s">
        <v>43</v>
      </c>
      <c r="K7219" t="s">
        <v>43</v>
      </c>
      <c r="L7219" t="s">
        <v>43</v>
      </c>
      <c r="M7219" t="s">
        <v>43</v>
      </c>
      <c r="N7219" t="s">
        <v>45</v>
      </c>
      <c r="O7219" t="s">
        <v>43</v>
      </c>
      <c r="P7219" t="s">
        <v>43</v>
      </c>
      <c r="Q7219" t="s">
        <v>43</v>
      </c>
      <c r="R7219" t="s">
        <v>43</v>
      </c>
      <c r="S7219" t="s">
        <v>43</v>
      </c>
      <c r="T7219" t="s">
        <v>43</v>
      </c>
      <c r="U7219" t="s">
        <v>43</v>
      </c>
      <c r="V7219" t="s">
        <v>43</v>
      </c>
      <c r="W7219" t="s">
        <v>43</v>
      </c>
      <c r="X7219" t="s">
        <v>43</v>
      </c>
      <c r="Y7219" t="s">
        <v>43</v>
      </c>
      <c r="Z7219" t="s">
        <v>43</v>
      </c>
      <c r="AA7219" t="s">
        <v>43</v>
      </c>
      <c r="AB7219" t="s">
        <v>43</v>
      </c>
      <c r="AC7219" t="s">
        <v>43</v>
      </c>
      <c r="AD7219" t="s">
        <v>43</v>
      </c>
      <c r="AE7219" t="s">
        <v>43</v>
      </c>
      <c r="AF7219" t="s">
        <v>43</v>
      </c>
      <c r="AG7219" t="s">
        <v>43</v>
      </c>
      <c r="AH7219" t="s">
        <v>43</v>
      </c>
      <c r="AI7219" t="s">
        <v>43</v>
      </c>
      <c r="AJ7219" t="s">
        <v>43</v>
      </c>
      <c r="AK7219" t="s">
        <v>43</v>
      </c>
      <c r="AL7219" t="s">
        <v>43</v>
      </c>
      <c r="AM7219" t="s">
        <v>43</v>
      </c>
      <c r="AN7219" t="str">
        <f>HYPERLINK("https://www.google.com/maps?q=10.78966236,79.57883453","Open Location")</f>
        <v>Open Location</v>
      </c>
    </row>
    <row r="7220" spans="1:40" x14ac:dyDescent="0.3">
      <c r="A7220" s="1">
        <v>46210.163657407407</v>
      </c>
      <c r="B7220" t="s">
        <v>40</v>
      </c>
      <c r="C7220" t="s">
        <v>41</v>
      </c>
      <c r="D7220" s="1">
        <v>46210.166724537034</v>
      </c>
      <c r="E7220" t="s">
        <v>42</v>
      </c>
      <c r="F7220" t="s">
        <v>43</v>
      </c>
      <c r="G7220" t="s">
        <v>43</v>
      </c>
      <c r="H7220" t="s">
        <v>43</v>
      </c>
      <c r="I7220" t="s">
        <v>4172</v>
      </c>
      <c r="J7220" t="s">
        <v>43</v>
      </c>
      <c r="K7220" t="s">
        <v>43</v>
      </c>
      <c r="L7220" t="s">
        <v>43</v>
      </c>
      <c r="M7220" t="s">
        <v>43</v>
      </c>
      <c r="N7220" t="s">
        <v>45</v>
      </c>
      <c r="O7220" t="s">
        <v>43</v>
      </c>
      <c r="P7220" t="s">
        <v>43</v>
      </c>
      <c r="Q7220" t="s">
        <v>43</v>
      </c>
      <c r="R7220" t="s">
        <v>43</v>
      </c>
      <c r="S7220" t="s">
        <v>43</v>
      </c>
      <c r="T7220" t="s">
        <v>43</v>
      </c>
      <c r="U7220" t="s">
        <v>43</v>
      </c>
      <c r="V7220" t="s">
        <v>43</v>
      </c>
      <c r="W7220" t="s">
        <v>43</v>
      </c>
      <c r="X7220" t="s">
        <v>43</v>
      </c>
      <c r="Y7220" t="s">
        <v>43</v>
      </c>
      <c r="Z7220" t="s">
        <v>43</v>
      </c>
      <c r="AA7220" t="s">
        <v>43</v>
      </c>
      <c r="AB7220" t="s">
        <v>43</v>
      </c>
      <c r="AC7220" t="s">
        <v>43</v>
      </c>
      <c r="AD7220" t="s">
        <v>43</v>
      </c>
      <c r="AE7220" t="s">
        <v>43</v>
      </c>
      <c r="AF7220" t="s">
        <v>43</v>
      </c>
      <c r="AG7220" t="s">
        <v>43</v>
      </c>
      <c r="AH7220" t="s">
        <v>43</v>
      </c>
      <c r="AI7220" t="s">
        <v>43</v>
      </c>
      <c r="AJ7220" t="s">
        <v>43</v>
      </c>
      <c r="AK7220" t="s">
        <v>43</v>
      </c>
      <c r="AL7220" t="s">
        <v>43</v>
      </c>
      <c r="AM7220" t="s">
        <v>43</v>
      </c>
      <c r="AN7220" t="str">
        <f>HYPERLINK("https://www.google.com/maps?q=10.78966713,79.57883453","Open Location")</f>
        <v>Open Location</v>
      </c>
    </row>
    <row r="7221" spans="1:40" x14ac:dyDescent="0.3">
      <c r="A7221" s="1">
        <v>46210.163541666669</v>
      </c>
      <c r="B7221" t="s">
        <v>40</v>
      </c>
      <c r="C7221" t="s">
        <v>41</v>
      </c>
      <c r="D7221" s="1">
        <v>46210.16673611111</v>
      </c>
      <c r="E7221" t="s">
        <v>42</v>
      </c>
      <c r="F7221" t="s">
        <v>43</v>
      </c>
      <c r="G7221" t="s">
        <v>43</v>
      </c>
      <c r="H7221" t="s">
        <v>43</v>
      </c>
      <c r="I7221" t="s">
        <v>43</v>
      </c>
      <c r="J7221" t="s">
        <v>43</v>
      </c>
      <c r="K7221" t="s">
        <v>43</v>
      </c>
      <c r="L7221" t="s">
        <v>43</v>
      </c>
      <c r="M7221" t="s">
        <v>43</v>
      </c>
      <c r="N7221" t="s">
        <v>45</v>
      </c>
      <c r="O7221" t="s">
        <v>43</v>
      </c>
      <c r="P7221" t="s">
        <v>43</v>
      </c>
      <c r="Q7221" t="s">
        <v>43</v>
      </c>
      <c r="R7221" t="s">
        <v>43</v>
      </c>
      <c r="S7221" t="s">
        <v>43</v>
      </c>
      <c r="T7221" t="s">
        <v>43</v>
      </c>
      <c r="U7221" t="s">
        <v>43</v>
      </c>
      <c r="V7221" t="s">
        <v>43</v>
      </c>
      <c r="W7221" t="s">
        <v>43</v>
      </c>
      <c r="X7221" t="s">
        <v>43</v>
      </c>
      <c r="Y7221" t="s">
        <v>43</v>
      </c>
      <c r="Z7221" t="s">
        <v>43</v>
      </c>
      <c r="AA7221" t="s">
        <v>43</v>
      </c>
      <c r="AB7221" t="s">
        <v>43</v>
      </c>
      <c r="AC7221" t="s">
        <v>43</v>
      </c>
      <c r="AD7221" t="s">
        <v>43</v>
      </c>
      <c r="AE7221" t="s">
        <v>43</v>
      </c>
      <c r="AF7221" t="s">
        <v>43</v>
      </c>
      <c r="AG7221" t="s">
        <v>43</v>
      </c>
      <c r="AH7221" t="s">
        <v>43</v>
      </c>
      <c r="AI7221" t="s">
        <v>43</v>
      </c>
      <c r="AJ7221" t="s">
        <v>43</v>
      </c>
      <c r="AK7221" t="s">
        <v>43</v>
      </c>
      <c r="AL7221" t="s">
        <v>43</v>
      </c>
      <c r="AM7221" t="s">
        <v>43</v>
      </c>
      <c r="AN7221" t="s">
        <v>43</v>
      </c>
    </row>
    <row r="7222" spans="1:40" x14ac:dyDescent="0.3">
      <c r="A7222" s="1">
        <v>46210.163425925923</v>
      </c>
      <c r="B7222" t="s">
        <v>40</v>
      </c>
      <c r="C7222" t="s">
        <v>41</v>
      </c>
      <c r="D7222" s="1">
        <v>46210.166354166664</v>
      </c>
      <c r="E7222" t="s">
        <v>42</v>
      </c>
      <c r="F7222" t="s">
        <v>43</v>
      </c>
      <c r="G7222" t="s">
        <v>43</v>
      </c>
      <c r="H7222" t="s">
        <v>43</v>
      </c>
      <c r="I7222" t="s">
        <v>4169</v>
      </c>
      <c r="J7222" t="s">
        <v>43</v>
      </c>
      <c r="K7222" t="s">
        <v>43</v>
      </c>
      <c r="L7222" t="s">
        <v>43</v>
      </c>
      <c r="M7222" t="s">
        <v>43</v>
      </c>
      <c r="N7222" t="s">
        <v>45</v>
      </c>
      <c r="O7222" t="s">
        <v>43</v>
      </c>
      <c r="P7222" t="s">
        <v>43</v>
      </c>
      <c r="Q7222" t="s">
        <v>43</v>
      </c>
      <c r="R7222" t="s">
        <v>43</v>
      </c>
      <c r="S7222" t="s">
        <v>43</v>
      </c>
      <c r="T7222" t="s">
        <v>43</v>
      </c>
      <c r="U7222" t="s">
        <v>43</v>
      </c>
      <c r="V7222" t="s">
        <v>43</v>
      </c>
      <c r="W7222" t="s">
        <v>43</v>
      </c>
      <c r="X7222" t="s">
        <v>43</v>
      </c>
      <c r="Y7222" t="s">
        <v>43</v>
      </c>
      <c r="Z7222" t="s">
        <v>43</v>
      </c>
      <c r="AA7222" t="s">
        <v>43</v>
      </c>
      <c r="AB7222" t="s">
        <v>43</v>
      </c>
      <c r="AC7222" t="s">
        <v>43</v>
      </c>
      <c r="AD7222" t="s">
        <v>43</v>
      </c>
      <c r="AE7222" t="s">
        <v>43</v>
      </c>
      <c r="AF7222" t="s">
        <v>43</v>
      </c>
      <c r="AG7222" t="s">
        <v>43</v>
      </c>
      <c r="AH7222" t="s">
        <v>43</v>
      </c>
      <c r="AI7222" t="s">
        <v>43</v>
      </c>
      <c r="AJ7222" t="s">
        <v>43</v>
      </c>
      <c r="AK7222" t="s">
        <v>43</v>
      </c>
      <c r="AL7222" t="s">
        <v>43</v>
      </c>
      <c r="AM7222" t="s">
        <v>43</v>
      </c>
      <c r="AN7222" t="str">
        <f>HYPERLINK("https://www.google.com/maps?q=10.78966999,79.5788269","Open Location")</f>
        <v>Open Location</v>
      </c>
    </row>
    <row r="7223" spans="1:40" x14ac:dyDescent="0.3">
      <c r="A7223" s="1">
        <v>46210.163310185184</v>
      </c>
      <c r="B7223" t="s">
        <v>40</v>
      </c>
      <c r="C7223" t="s">
        <v>41</v>
      </c>
      <c r="D7223" s="1">
        <v>46210.166342592594</v>
      </c>
      <c r="E7223" t="s">
        <v>42</v>
      </c>
      <c r="F7223" t="s">
        <v>43</v>
      </c>
      <c r="G7223" t="s">
        <v>43</v>
      </c>
      <c r="H7223" t="s">
        <v>43</v>
      </c>
      <c r="I7223" t="s">
        <v>4173</v>
      </c>
      <c r="J7223" t="s">
        <v>43</v>
      </c>
      <c r="K7223" t="s">
        <v>43</v>
      </c>
      <c r="L7223" t="s">
        <v>43</v>
      </c>
      <c r="M7223" t="s">
        <v>43</v>
      </c>
      <c r="N7223" t="s">
        <v>45</v>
      </c>
      <c r="O7223" t="s">
        <v>43</v>
      </c>
      <c r="P7223" t="s">
        <v>43</v>
      </c>
      <c r="Q7223" t="s">
        <v>43</v>
      </c>
      <c r="R7223" t="s">
        <v>43</v>
      </c>
      <c r="S7223" t="s">
        <v>43</v>
      </c>
      <c r="T7223" t="s">
        <v>43</v>
      </c>
      <c r="U7223" t="s">
        <v>43</v>
      </c>
      <c r="V7223" t="s">
        <v>43</v>
      </c>
      <c r="W7223" t="s">
        <v>43</v>
      </c>
      <c r="X7223" t="s">
        <v>43</v>
      </c>
      <c r="Y7223" t="s">
        <v>43</v>
      </c>
      <c r="Z7223" t="s">
        <v>43</v>
      </c>
      <c r="AA7223" t="s">
        <v>43</v>
      </c>
      <c r="AB7223" t="s">
        <v>43</v>
      </c>
      <c r="AC7223" t="s">
        <v>43</v>
      </c>
      <c r="AD7223" t="s">
        <v>43</v>
      </c>
      <c r="AE7223" t="s">
        <v>43</v>
      </c>
      <c r="AF7223" t="s">
        <v>43</v>
      </c>
      <c r="AG7223" t="s">
        <v>43</v>
      </c>
      <c r="AH7223" t="s">
        <v>43</v>
      </c>
      <c r="AI7223" t="s">
        <v>43</v>
      </c>
      <c r="AJ7223" t="s">
        <v>43</v>
      </c>
      <c r="AK7223" t="s">
        <v>43</v>
      </c>
      <c r="AL7223" t="s">
        <v>43</v>
      </c>
      <c r="AM7223" t="s">
        <v>43</v>
      </c>
      <c r="AN7223" t="str">
        <f>HYPERLINK("https://www.google.com/maps?q=10.78966808,79.5788269","Open Location")</f>
        <v>Open Location</v>
      </c>
    </row>
    <row r="7224" spans="1:40" x14ac:dyDescent="0.3">
      <c r="A7224" s="1">
        <v>46210.163194444445</v>
      </c>
      <c r="B7224" t="s">
        <v>40</v>
      </c>
      <c r="C7224" t="s">
        <v>41</v>
      </c>
      <c r="D7224" s="1">
        <v>46210.166354166664</v>
      </c>
      <c r="E7224" t="s">
        <v>42</v>
      </c>
      <c r="F7224" t="s">
        <v>43</v>
      </c>
      <c r="G7224" t="s">
        <v>43</v>
      </c>
      <c r="H7224" t="s">
        <v>43</v>
      </c>
      <c r="I7224" t="s">
        <v>4065</v>
      </c>
      <c r="J7224" t="s">
        <v>43</v>
      </c>
      <c r="K7224" t="s">
        <v>43</v>
      </c>
      <c r="L7224" t="s">
        <v>43</v>
      </c>
      <c r="M7224" t="s">
        <v>43</v>
      </c>
      <c r="N7224" t="s">
        <v>45</v>
      </c>
      <c r="O7224" t="s">
        <v>43</v>
      </c>
      <c r="P7224" t="s">
        <v>43</v>
      </c>
      <c r="Q7224" t="s">
        <v>43</v>
      </c>
      <c r="R7224" t="s">
        <v>43</v>
      </c>
      <c r="S7224" t="s">
        <v>43</v>
      </c>
      <c r="T7224" t="s">
        <v>43</v>
      </c>
      <c r="U7224" t="s">
        <v>43</v>
      </c>
      <c r="V7224" t="s">
        <v>43</v>
      </c>
      <c r="W7224" t="s">
        <v>43</v>
      </c>
      <c r="X7224" t="s">
        <v>43</v>
      </c>
      <c r="Y7224" t="s">
        <v>43</v>
      </c>
      <c r="Z7224" t="s">
        <v>43</v>
      </c>
      <c r="AA7224" t="s">
        <v>43</v>
      </c>
      <c r="AB7224" t="s">
        <v>43</v>
      </c>
      <c r="AC7224" t="s">
        <v>43</v>
      </c>
      <c r="AD7224" t="s">
        <v>43</v>
      </c>
      <c r="AE7224" t="s">
        <v>43</v>
      </c>
      <c r="AF7224" t="s">
        <v>43</v>
      </c>
      <c r="AG7224" t="s">
        <v>43</v>
      </c>
      <c r="AH7224" t="s">
        <v>43</v>
      </c>
      <c r="AI7224" t="s">
        <v>43</v>
      </c>
      <c r="AJ7224" t="s">
        <v>43</v>
      </c>
      <c r="AK7224" t="s">
        <v>43</v>
      </c>
      <c r="AL7224" t="s">
        <v>43</v>
      </c>
      <c r="AM7224" t="s">
        <v>43</v>
      </c>
      <c r="AN7224" t="str">
        <f>HYPERLINK("https://www.google.com/maps?q=10.78966713,79.5788269","Open Location")</f>
        <v>Open Location</v>
      </c>
    </row>
    <row r="7225" spans="1:40" x14ac:dyDescent="0.3">
      <c r="A7225" s="1">
        <v>46210.163078703707</v>
      </c>
      <c r="B7225" t="s">
        <v>40</v>
      </c>
      <c r="C7225" t="s">
        <v>41</v>
      </c>
      <c r="D7225" s="1">
        <v>46210.166342592594</v>
      </c>
      <c r="E7225" t="s">
        <v>42</v>
      </c>
      <c r="F7225" t="s">
        <v>43</v>
      </c>
      <c r="G7225" t="s">
        <v>43</v>
      </c>
      <c r="H7225" t="s">
        <v>43</v>
      </c>
      <c r="I7225" t="s">
        <v>4065</v>
      </c>
      <c r="J7225" t="s">
        <v>43</v>
      </c>
      <c r="K7225" t="s">
        <v>43</v>
      </c>
      <c r="L7225" t="s">
        <v>43</v>
      </c>
      <c r="M7225" t="s">
        <v>43</v>
      </c>
      <c r="N7225" t="s">
        <v>45</v>
      </c>
      <c r="O7225" t="s">
        <v>43</v>
      </c>
      <c r="P7225" t="s">
        <v>43</v>
      </c>
      <c r="Q7225" t="s">
        <v>43</v>
      </c>
      <c r="R7225" t="s">
        <v>43</v>
      </c>
      <c r="S7225" t="s">
        <v>43</v>
      </c>
      <c r="T7225" t="s">
        <v>43</v>
      </c>
      <c r="U7225" t="s">
        <v>43</v>
      </c>
      <c r="V7225" t="s">
        <v>43</v>
      </c>
      <c r="W7225" t="s">
        <v>43</v>
      </c>
      <c r="X7225" t="s">
        <v>43</v>
      </c>
      <c r="Y7225" t="s">
        <v>43</v>
      </c>
      <c r="Z7225" t="s">
        <v>43</v>
      </c>
      <c r="AA7225" t="s">
        <v>43</v>
      </c>
      <c r="AB7225" t="s">
        <v>43</v>
      </c>
      <c r="AC7225" t="s">
        <v>43</v>
      </c>
      <c r="AD7225" t="s">
        <v>43</v>
      </c>
      <c r="AE7225" t="s">
        <v>43</v>
      </c>
      <c r="AF7225" t="s">
        <v>43</v>
      </c>
      <c r="AG7225" t="s">
        <v>43</v>
      </c>
      <c r="AH7225" t="s">
        <v>43</v>
      </c>
      <c r="AI7225" t="s">
        <v>43</v>
      </c>
      <c r="AJ7225" t="s">
        <v>43</v>
      </c>
      <c r="AK7225" t="s">
        <v>43</v>
      </c>
      <c r="AL7225" t="s">
        <v>43</v>
      </c>
      <c r="AM7225" t="s">
        <v>43</v>
      </c>
      <c r="AN7225" t="str">
        <f>HYPERLINK("https://www.google.com/maps?q=10.78966713,79.5788269","Open Location")</f>
        <v>Open Location</v>
      </c>
    </row>
    <row r="7226" spans="1:40" x14ac:dyDescent="0.3">
      <c r="A7226" s="1">
        <v>46210.162962962961</v>
      </c>
      <c r="B7226" t="s">
        <v>40</v>
      </c>
      <c r="C7226" t="s">
        <v>41</v>
      </c>
      <c r="D7226" s="1">
        <v>46210.165960648148</v>
      </c>
      <c r="E7226" t="s">
        <v>42</v>
      </c>
      <c r="F7226" t="s">
        <v>43</v>
      </c>
      <c r="G7226" t="s">
        <v>43</v>
      </c>
      <c r="H7226" t="s">
        <v>43</v>
      </c>
      <c r="I7226" t="s">
        <v>4174</v>
      </c>
      <c r="J7226" t="s">
        <v>43</v>
      </c>
      <c r="K7226" t="s">
        <v>43</v>
      </c>
      <c r="L7226" t="s">
        <v>43</v>
      </c>
      <c r="M7226" t="s">
        <v>43</v>
      </c>
      <c r="N7226" t="s">
        <v>45</v>
      </c>
      <c r="O7226" t="s">
        <v>43</v>
      </c>
      <c r="P7226" t="s">
        <v>43</v>
      </c>
      <c r="Q7226" t="s">
        <v>43</v>
      </c>
      <c r="R7226" t="s">
        <v>43</v>
      </c>
      <c r="S7226" t="s">
        <v>43</v>
      </c>
      <c r="T7226" t="s">
        <v>43</v>
      </c>
      <c r="U7226" t="s">
        <v>43</v>
      </c>
      <c r="V7226" t="s">
        <v>43</v>
      </c>
      <c r="W7226" t="s">
        <v>43</v>
      </c>
      <c r="X7226" t="s">
        <v>43</v>
      </c>
      <c r="Y7226" t="s">
        <v>43</v>
      </c>
      <c r="Z7226" t="s">
        <v>43</v>
      </c>
      <c r="AA7226" t="s">
        <v>43</v>
      </c>
      <c r="AB7226" t="s">
        <v>43</v>
      </c>
      <c r="AC7226" t="s">
        <v>43</v>
      </c>
      <c r="AD7226" t="s">
        <v>43</v>
      </c>
      <c r="AE7226" t="s">
        <v>43</v>
      </c>
      <c r="AF7226" t="s">
        <v>43</v>
      </c>
      <c r="AG7226" t="s">
        <v>43</v>
      </c>
      <c r="AH7226" t="s">
        <v>43</v>
      </c>
      <c r="AI7226" t="s">
        <v>43</v>
      </c>
      <c r="AJ7226" t="s">
        <v>43</v>
      </c>
      <c r="AK7226" t="s">
        <v>43</v>
      </c>
      <c r="AL7226" t="s">
        <v>43</v>
      </c>
      <c r="AM7226" t="s">
        <v>43</v>
      </c>
      <c r="AN7226" t="str">
        <f>HYPERLINK("https://www.google.com/maps?q=10.78968143,79.57881927","Open Location")</f>
        <v>Open Location</v>
      </c>
    </row>
    <row r="7227" spans="1:40" x14ac:dyDescent="0.3">
      <c r="A7227" s="1">
        <v>46210.162847222222</v>
      </c>
      <c r="B7227" t="s">
        <v>40</v>
      </c>
      <c r="C7227" t="s">
        <v>41</v>
      </c>
      <c r="D7227" s="1">
        <v>46210.165960648148</v>
      </c>
      <c r="E7227" t="s">
        <v>42</v>
      </c>
      <c r="F7227" t="s">
        <v>43</v>
      </c>
      <c r="G7227" t="s">
        <v>43</v>
      </c>
      <c r="H7227" t="s">
        <v>43</v>
      </c>
      <c r="I7227" t="s">
        <v>43</v>
      </c>
      <c r="J7227" t="s">
        <v>43</v>
      </c>
      <c r="K7227" t="s">
        <v>43</v>
      </c>
      <c r="L7227" t="s">
        <v>43</v>
      </c>
      <c r="M7227" t="s">
        <v>43</v>
      </c>
      <c r="N7227" t="s">
        <v>45</v>
      </c>
      <c r="O7227" t="s">
        <v>43</v>
      </c>
      <c r="P7227" t="s">
        <v>43</v>
      </c>
      <c r="Q7227" t="s">
        <v>43</v>
      </c>
      <c r="R7227" t="s">
        <v>43</v>
      </c>
      <c r="S7227" t="s">
        <v>43</v>
      </c>
      <c r="T7227" t="s">
        <v>43</v>
      </c>
      <c r="U7227" t="s">
        <v>43</v>
      </c>
      <c r="V7227" t="s">
        <v>43</v>
      </c>
      <c r="W7227" t="s">
        <v>43</v>
      </c>
      <c r="X7227" t="s">
        <v>43</v>
      </c>
      <c r="Y7227" t="s">
        <v>43</v>
      </c>
      <c r="Z7227" t="s">
        <v>43</v>
      </c>
      <c r="AA7227" t="s">
        <v>43</v>
      </c>
      <c r="AB7227" t="s">
        <v>43</v>
      </c>
      <c r="AC7227" t="s">
        <v>43</v>
      </c>
      <c r="AD7227" t="s">
        <v>43</v>
      </c>
      <c r="AE7227" t="s">
        <v>43</v>
      </c>
      <c r="AF7227" t="s">
        <v>43</v>
      </c>
      <c r="AG7227" t="s">
        <v>43</v>
      </c>
      <c r="AH7227" t="s">
        <v>43</v>
      </c>
      <c r="AI7227" t="s">
        <v>43</v>
      </c>
      <c r="AJ7227" t="s">
        <v>43</v>
      </c>
      <c r="AK7227" t="s">
        <v>43</v>
      </c>
      <c r="AL7227" t="s">
        <v>43</v>
      </c>
      <c r="AM7227" t="s">
        <v>43</v>
      </c>
      <c r="AN7227" t="s">
        <v>43</v>
      </c>
    </row>
    <row r="7228" spans="1:40" x14ac:dyDescent="0.3">
      <c r="A7228" s="1">
        <v>46210.162731481483</v>
      </c>
      <c r="B7228" t="s">
        <v>40</v>
      </c>
      <c r="C7228" t="s">
        <v>41</v>
      </c>
      <c r="D7228" s="1">
        <v>46210.165567129632</v>
      </c>
      <c r="E7228" t="s">
        <v>42</v>
      </c>
      <c r="F7228" t="s">
        <v>43</v>
      </c>
      <c r="G7228" t="s">
        <v>43</v>
      </c>
      <c r="H7228" t="s">
        <v>43</v>
      </c>
      <c r="I7228" t="s">
        <v>4163</v>
      </c>
      <c r="J7228" t="s">
        <v>43</v>
      </c>
      <c r="K7228" t="s">
        <v>43</v>
      </c>
      <c r="L7228" t="s">
        <v>43</v>
      </c>
      <c r="M7228" t="s">
        <v>43</v>
      </c>
      <c r="N7228" t="s">
        <v>45</v>
      </c>
      <c r="O7228" t="s">
        <v>43</v>
      </c>
      <c r="P7228" t="s">
        <v>43</v>
      </c>
      <c r="Q7228" t="s">
        <v>43</v>
      </c>
      <c r="R7228" t="s">
        <v>43</v>
      </c>
      <c r="S7228" t="s">
        <v>43</v>
      </c>
      <c r="T7228" t="s">
        <v>43</v>
      </c>
      <c r="U7228" t="s">
        <v>43</v>
      </c>
      <c r="V7228" t="s">
        <v>43</v>
      </c>
      <c r="W7228" t="s">
        <v>43</v>
      </c>
      <c r="X7228" t="s">
        <v>43</v>
      </c>
      <c r="Y7228" t="s">
        <v>43</v>
      </c>
      <c r="Z7228" t="s">
        <v>43</v>
      </c>
      <c r="AA7228" t="s">
        <v>43</v>
      </c>
      <c r="AB7228" t="s">
        <v>43</v>
      </c>
      <c r="AC7228" t="s">
        <v>43</v>
      </c>
      <c r="AD7228" t="s">
        <v>43</v>
      </c>
      <c r="AE7228" t="s">
        <v>43</v>
      </c>
      <c r="AF7228" t="s">
        <v>43</v>
      </c>
      <c r="AG7228" t="s">
        <v>43</v>
      </c>
      <c r="AH7228" t="s">
        <v>43</v>
      </c>
      <c r="AI7228" t="s">
        <v>43</v>
      </c>
      <c r="AJ7228" t="s">
        <v>43</v>
      </c>
      <c r="AK7228" t="s">
        <v>43</v>
      </c>
      <c r="AL7228" t="s">
        <v>43</v>
      </c>
      <c r="AM7228" t="s">
        <v>43</v>
      </c>
      <c r="AN7228" t="str">
        <f>HYPERLINK("https://www.google.com/maps?q=10.78967381,79.5788269","Open Location")</f>
        <v>Open Location</v>
      </c>
    </row>
    <row r="7229" spans="1:40" x14ac:dyDescent="0.3">
      <c r="A7229" s="1">
        <v>46210.162615740737</v>
      </c>
      <c r="B7229" t="s">
        <v>40</v>
      </c>
      <c r="C7229" t="s">
        <v>41</v>
      </c>
      <c r="D7229" s="1">
        <v>46210.165590277778</v>
      </c>
      <c r="E7229" t="s">
        <v>42</v>
      </c>
      <c r="F7229" t="s">
        <v>43</v>
      </c>
      <c r="G7229" t="s">
        <v>43</v>
      </c>
      <c r="H7229" t="s">
        <v>43</v>
      </c>
      <c r="I7229" t="s">
        <v>4175</v>
      </c>
      <c r="J7229" t="s">
        <v>43</v>
      </c>
      <c r="K7229" t="s">
        <v>43</v>
      </c>
      <c r="L7229" t="s">
        <v>43</v>
      </c>
      <c r="M7229" t="s">
        <v>43</v>
      </c>
      <c r="N7229" t="s">
        <v>45</v>
      </c>
      <c r="O7229" t="s">
        <v>43</v>
      </c>
      <c r="P7229" t="s">
        <v>43</v>
      </c>
      <c r="Q7229" t="s">
        <v>43</v>
      </c>
      <c r="R7229" t="s">
        <v>43</v>
      </c>
      <c r="S7229" t="s">
        <v>43</v>
      </c>
      <c r="T7229" t="s">
        <v>43</v>
      </c>
      <c r="U7229" t="s">
        <v>43</v>
      </c>
      <c r="V7229" t="s">
        <v>43</v>
      </c>
      <c r="W7229" t="s">
        <v>43</v>
      </c>
      <c r="X7229" t="s">
        <v>43</v>
      </c>
      <c r="Y7229" t="s">
        <v>43</v>
      </c>
      <c r="Z7229" t="s">
        <v>43</v>
      </c>
      <c r="AA7229" t="s">
        <v>43</v>
      </c>
      <c r="AB7229" t="s">
        <v>43</v>
      </c>
      <c r="AC7229" t="s">
        <v>43</v>
      </c>
      <c r="AD7229" t="s">
        <v>43</v>
      </c>
      <c r="AE7229" t="s">
        <v>43</v>
      </c>
      <c r="AF7229" t="s">
        <v>43</v>
      </c>
      <c r="AG7229" t="s">
        <v>43</v>
      </c>
      <c r="AH7229" t="s">
        <v>43</v>
      </c>
      <c r="AI7229" t="s">
        <v>43</v>
      </c>
      <c r="AJ7229" t="s">
        <v>43</v>
      </c>
      <c r="AK7229" t="s">
        <v>43</v>
      </c>
      <c r="AL7229" t="s">
        <v>43</v>
      </c>
      <c r="AM7229" t="s">
        <v>43</v>
      </c>
      <c r="AN7229" t="str">
        <f>HYPERLINK("https://www.google.com/maps?q=10.78967094,79.5788269","Open Location")</f>
        <v>Open Location</v>
      </c>
    </row>
    <row r="7230" spans="1:40" x14ac:dyDescent="0.3">
      <c r="A7230" s="1">
        <v>46210.162499999999</v>
      </c>
      <c r="B7230" t="s">
        <v>40</v>
      </c>
      <c r="C7230" t="s">
        <v>41</v>
      </c>
      <c r="D7230" s="1">
        <v>46210.165219907409</v>
      </c>
      <c r="E7230" t="s">
        <v>42</v>
      </c>
      <c r="F7230" t="s">
        <v>43</v>
      </c>
      <c r="G7230" t="s">
        <v>43</v>
      </c>
      <c r="H7230" t="s">
        <v>43</v>
      </c>
      <c r="I7230" t="s">
        <v>4158</v>
      </c>
      <c r="J7230" t="s">
        <v>43</v>
      </c>
      <c r="K7230" t="s">
        <v>43</v>
      </c>
      <c r="L7230" t="s">
        <v>43</v>
      </c>
      <c r="M7230" t="s">
        <v>43</v>
      </c>
      <c r="N7230" t="s">
        <v>45</v>
      </c>
      <c r="O7230" t="s">
        <v>43</v>
      </c>
      <c r="P7230" t="s">
        <v>43</v>
      </c>
      <c r="Q7230" t="s">
        <v>43</v>
      </c>
      <c r="R7230" t="s">
        <v>43</v>
      </c>
      <c r="S7230" t="s">
        <v>43</v>
      </c>
      <c r="T7230" t="s">
        <v>43</v>
      </c>
      <c r="U7230" t="s">
        <v>43</v>
      </c>
      <c r="V7230" t="s">
        <v>43</v>
      </c>
      <c r="W7230" t="s">
        <v>43</v>
      </c>
      <c r="X7230" t="s">
        <v>43</v>
      </c>
      <c r="Y7230" t="s">
        <v>43</v>
      </c>
      <c r="Z7230" t="s">
        <v>43</v>
      </c>
      <c r="AA7230" t="s">
        <v>43</v>
      </c>
      <c r="AB7230" t="s">
        <v>43</v>
      </c>
      <c r="AC7230" t="s">
        <v>43</v>
      </c>
      <c r="AD7230" t="s">
        <v>43</v>
      </c>
      <c r="AE7230" t="s">
        <v>43</v>
      </c>
      <c r="AF7230" t="s">
        <v>43</v>
      </c>
      <c r="AG7230" t="s">
        <v>43</v>
      </c>
      <c r="AH7230" t="s">
        <v>43</v>
      </c>
      <c r="AI7230" t="s">
        <v>43</v>
      </c>
      <c r="AJ7230" t="s">
        <v>43</v>
      </c>
      <c r="AK7230" t="s">
        <v>43</v>
      </c>
      <c r="AL7230" t="s">
        <v>43</v>
      </c>
      <c r="AM7230" t="s">
        <v>43</v>
      </c>
      <c r="AN7230" t="str">
        <f>HYPERLINK("https://www.google.com/maps?q=10.78966808,79.57881927","Open Location")</f>
        <v>Open Location</v>
      </c>
    </row>
    <row r="7231" spans="1:40" x14ac:dyDescent="0.3">
      <c r="A7231" s="1">
        <v>46210.16238425926</v>
      </c>
      <c r="B7231" t="s">
        <v>40</v>
      </c>
      <c r="C7231" t="s">
        <v>41</v>
      </c>
      <c r="D7231" s="1">
        <v>46210.165208333332</v>
      </c>
      <c r="E7231" t="s">
        <v>42</v>
      </c>
      <c r="F7231" t="s">
        <v>43</v>
      </c>
      <c r="G7231" t="s">
        <v>43</v>
      </c>
      <c r="H7231" t="s">
        <v>43</v>
      </c>
      <c r="I7231" t="s">
        <v>4063</v>
      </c>
      <c r="J7231" t="s">
        <v>43</v>
      </c>
      <c r="K7231" t="s">
        <v>43</v>
      </c>
      <c r="L7231" t="s">
        <v>43</v>
      </c>
      <c r="M7231" t="s">
        <v>43</v>
      </c>
      <c r="N7231" t="s">
        <v>45</v>
      </c>
      <c r="O7231" t="s">
        <v>43</v>
      </c>
      <c r="P7231" t="s">
        <v>43</v>
      </c>
      <c r="Q7231" t="s">
        <v>43</v>
      </c>
      <c r="R7231" t="s">
        <v>43</v>
      </c>
      <c r="S7231" t="s">
        <v>43</v>
      </c>
      <c r="T7231" t="s">
        <v>43</v>
      </c>
      <c r="U7231" t="s">
        <v>43</v>
      </c>
      <c r="V7231" t="s">
        <v>43</v>
      </c>
      <c r="W7231" t="s">
        <v>43</v>
      </c>
      <c r="X7231" t="s">
        <v>43</v>
      </c>
      <c r="Y7231" t="s">
        <v>43</v>
      </c>
      <c r="Z7231" t="s">
        <v>43</v>
      </c>
      <c r="AA7231" t="s">
        <v>43</v>
      </c>
      <c r="AB7231" t="s">
        <v>43</v>
      </c>
      <c r="AC7231" t="s">
        <v>43</v>
      </c>
      <c r="AD7231" t="s">
        <v>43</v>
      </c>
      <c r="AE7231" t="s">
        <v>43</v>
      </c>
      <c r="AF7231" t="s">
        <v>43</v>
      </c>
      <c r="AG7231" t="s">
        <v>43</v>
      </c>
      <c r="AH7231" t="s">
        <v>43</v>
      </c>
      <c r="AI7231" t="s">
        <v>43</v>
      </c>
      <c r="AJ7231" t="s">
        <v>43</v>
      </c>
      <c r="AK7231" t="s">
        <v>43</v>
      </c>
      <c r="AL7231" t="s">
        <v>43</v>
      </c>
      <c r="AM7231" t="s">
        <v>43</v>
      </c>
      <c r="AN7231" t="str">
        <f>HYPERLINK("https://www.google.com/maps?q=10.78965664,79.5788269","Open Location")</f>
        <v>Open Location</v>
      </c>
    </row>
    <row r="7232" spans="1:40" x14ac:dyDescent="0.3">
      <c r="A7232" s="1">
        <v>46210.162268518521</v>
      </c>
      <c r="B7232" t="s">
        <v>40</v>
      </c>
      <c r="C7232" t="s">
        <v>41</v>
      </c>
      <c r="D7232" s="1">
        <v>46210.165219907409</v>
      </c>
      <c r="E7232" t="s">
        <v>42</v>
      </c>
      <c r="F7232" t="s">
        <v>43</v>
      </c>
      <c r="G7232" t="s">
        <v>43</v>
      </c>
      <c r="H7232" t="s">
        <v>43</v>
      </c>
      <c r="I7232" t="s">
        <v>43</v>
      </c>
      <c r="J7232" t="s">
        <v>43</v>
      </c>
      <c r="K7232" t="s">
        <v>43</v>
      </c>
      <c r="L7232" t="s">
        <v>43</v>
      </c>
      <c r="M7232" t="s">
        <v>43</v>
      </c>
      <c r="N7232" t="s">
        <v>45</v>
      </c>
      <c r="O7232" t="s">
        <v>43</v>
      </c>
      <c r="P7232" t="s">
        <v>43</v>
      </c>
      <c r="Q7232" t="s">
        <v>43</v>
      </c>
      <c r="R7232" t="s">
        <v>43</v>
      </c>
      <c r="S7232" t="s">
        <v>43</v>
      </c>
      <c r="T7232" t="s">
        <v>43</v>
      </c>
      <c r="U7232" t="s">
        <v>43</v>
      </c>
      <c r="V7232" t="s">
        <v>43</v>
      </c>
      <c r="W7232" t="s">
        <v>43</v>
      </c>
      <c r="X7232" t="s">
        <v>43</v>
      </c>
      <c r="Y7232" t="s">
        <v>43</v>
      </c>
      <c r="Z7232" t="s">
        <v>43</v>
      </c>
      <c r="AA7232" t="s">
        <v>43</v>
      </c>
      <c r="AB7232" t="s">
        <v>43</v>
      </c>
      <c r="AC7232" t="s">
        <v>43</v>
      </c>
      <c r="AD7232" t="s">
        <v>43</v>
      </c>
      <c r="AE7232" t="s">
        <v>43</v>
      </c>
      <c r="AF7232" t="s">
        <v>43</v>
      </c>
      <c r="AG7232" t="s">
        <v>43</v>
      </c>
      <c r="AH7232" t="s">
        <v>43</v>
      </c>
      <c r="AI7232" t="s">
        <v>43</v>
      </c>
      <c r="AJ7232" t="s">
        <v>43</v>
      </c>
      <c r="AK7232" t="s">
        <v>43</v>
      </c>
      <c r="AL7232" t="s">
        <v>43</v>
      </c>
      <c r="AM7232" t="s">
        <v>43</v>
      </c>
      <c r="AN7232" t="s">
        <v>43</v>
      </c>
    </row>
    <row r="7233" spans="1:40" x14ac:dyDescent="0.3">
      <c r="A7233" s="1">
        <v>46210.162152777775</v>
      </c>
      <c r="B7233" t="s">
        <v>40</v>
      </c>
      <c r="C7233" t="s">
        <v>41</v>
      </c>
      <c r="D7233" s="1">
        <v>46210.165219907409</v>
      </c>
      <c r="E7233" t="s">
        <v>42</v>
      </c>
      <c r="F7233" t="s">
        <v>43</v>
      </c>
      <c r="G7233" t="s">
        <v>43</v>
      </c>
      <c r="H7233" t="s">
        <v>43</v>
      </c>
      <c r="I7233" t="s">
        <v>4176</v>
      </c>
      <c r="J7233" t="s">
        <v>43</v>
      </c>
      <c r="K7233" t="s">
        <v>43</v>
      </c>
      <c r="L7233" t="s">
        <v>43</v>
      </c>
      <c r="M7233" t="s">
        <v>43</v>
      </c>
      <c r="N7233" t="s">
        <v>45</v>
      </c>
      <c r="O7233" t="s">
        <v>43</v>
      </c>
      <c r="P7233" t="s">
        <v>43</v>
      </c>
      <c r="Q7233" t="s">
        <v>43</v>
      </c>
      <c r="R7233" t="s">
        <v>43</v>
      </c>
      <c r="S7233" t="s">
        <v>43</v>
      </c>
      <c r="T7233" t="s">
        <v>43</v>
      </c>
      <c r="U7233" t="s">
        <v>43</v>
      </c>
      <c r="V7233" t="s">
        <v>43</v>
      </c>
      <c r="W7233" t="s">
        <v>43</v>
      </c>
      <c r="X7233" t="s">
        <v>43</v>
      </c>
      <c r="Y7233" t="s">
        <v>43</v>
      </c>
      <c r="Z7233" t="s">
        <v>43</v>
      </c>
      <c r="AA7233" t="s">
        <v>43</v>
      </c>
      <c r="AB7233" t="s">
        <v>43</v>
      </c>
      <c r="AC7233" t="s">
        <v>43</v>
      </c>
      <c r="AD7233" t="s">
        <v>43</v>
      </c>
      <c r="AE7233" t="s">
        <v>43</v>
      </c>
      <c r="AF7233" t="s">
        <v>43</v>
      </c>
      <c r="AG7233" t="s">
        <v>43</v>
      </c>
      <c r="AH7233" t="s">
        <v>43</v>
      </c>
      <c r="AI7233" t="s">
        <v>43</v>
      </c>
      <c r="AJ7233" t="s">
        <v>43</v>
      </c>
      <c r="AK7233" t="s">
        <v>43</v>
      </c>
      <c r="AL7233" t="s">
        <v>43</v>
      </c>
      <c r="AM7233" t="s">
        <v>43</v>
      </c>
      <c r="AN7233" t="str">
        <f>HYPERLINK("https://www.google.com/maps?q=10.78964901,79.5788269","Open Location")</f>
        <v>Open Location</v>
      </c>
    </row>
    <row r="7234" spans="1:40" x14ac:dyDescent="0.3">
      <c r="A7234" s="1">
        <v>46210.162037037036</v>
      </c>
      <c r="B7234" t="s">
        <v>40</v>
      </c>
      <c r="C7234" t="s">
        <v>41</v>
      </c>
      <c r="D7234" s="1">
        <v>46210.165208333332</v>
      </c>
      <c r="E7234" t="s">
        <v>42</v>
      </c>
      <c r="F7234" t="s">
        <v>43</v>
      </c>
      <c r="G7234" t="s">
        <v>43</v>
      </c>
      <c r="H7234" t="s">
        <v>43</v>
      </c>
      <c r="I7234" t="s">
        <v>4177</v>
      </c>
      <c r="J7234" t="s">
        <v>43</v>
      </c>
      <c r="K7234" t="s">
        <v>43</v>
      </c>
      <c r="L7234" t="s">
        <v>43</v>
      </c>
      <c r="M7234" t="s">
        <v>43</v>
      </c>
      <c r="N7234" t="s">
        <v>45</v>
      </c>
      <c r="O7234" t="s">
        <v>43</v>
      </c>
      <c r="P7234" t="s">
        <v>43</v>
      </c>
      <c r="Q7234" t="s">
        <v>43</v>
      </c>
      <c r="R7234" t="s">
        <v>43</v>
      </c>
      <c r="S7234" t="s">
        <v>43</v>
      </c>
      <c r="T7234" t="s">
        <v>43</v>
      </c>
      <c r="U7234" t="s">
        <v>43</v>
      </c>
      <c r="V7234" t="s">
        <v>43</v>
      </c>
      <c r="W7234" t="s">
        <v>43</v>
      </c>
      <c r="X7234" t="s">
        <v>43</v>
      </c>
      <c r="Y7234" t="s">
        <v>43</v>
      </c>
      <c r="Z7234" t="s">
        <v>43</v>
      </c>
      <c r="AA7234" t="s">
        <v>43</v>
      </c>
      <c r="AB7234" t="s">
        <v>43</v>
      </c>
      <c r="AC7234" t="s">
        <v>43</v>
      </c>
      <c r="AD7234" t="s">
        <v>43</v>
      </c>
      <c r="AE7234" t="s">
        <v>43</v>
      </c>
      <c r="AF7234" t="s">
        <v>43</v>
      </c>
      <c r="AG7234" t="s">
        <v>43</v>
      </c>
      <c r="AH7234" t="s">
        <v>43</v>
      </c>
      <c r="AI7234" t="s">
        <v>43</v>
      </c>
      <c r="AJ7234" t="s">
        <v>43</v>
      </c>
      <c r="AK7234" t="s">
        <v>43</v>
      </c>
      <c r="AL7234" t="s">
        <v>43</v>
      </c>
      <c r="AM7234" t="s">
        <v>43</v>
      </c>
      <c r="AN7234" t="str">
        <f>HYPERLINK("https://www.google.com/maps?q=10.78964806,79.57883453","Open Location")</f>
        <v>Open Location</v>
      </c>
    </row>
    <row r="7235" spans="1:40" x14ac:dyDescent="0.3">
      <c r="A7235" s="1">
        <v>46210.161921296298</v>
      </c>
      <c r="B7235" t="s">
        <v>40</v>
      </c>
      <c r="C7235" t="s">
        <v>41</v>
      </c>
      <c r="D7235" s="1">
        <v>46210.165208333332</v>
      </c>
      <c r="E7235" t="s">
        <v>42</v>
      </c>
      <c r="F7235" t="s">
        <v>43</v>
      </c>
      <c r="G7235" t="s">
        <v>43</v>
      </c>
      <c r="H7235" t="s">
        <v>43</v>
      </c>
      <c r="I7235" t="s">
        <v>4056</v>
      </c>
      <c r="J7235" t="s">
        <v>43</v>
      </c>
      <c r="K7235" t="s">
        <v>43</v>
      </c>
      <c r="L7235" t="s">
        <v>43</v>
      </c>
      <c r="M7235" t="s">
        <v>43</v>
      </c>
      <c r="N7235" t="s">
        <v>45</v>
      </c>
      <c r="O7235" t="s">
        <v>43</v>
      </c>
      <c r="P7235" t="s">
        <v>43</v>
      </c>
      <c r="Q7235" t="s">
        <v>43</v>
      </c>
      <c r="R7235" t="s">
        <v>43</v>
      </c>
      <c r="S7235" t="s">
        <v>43</v>
      </c>
      <c r="T7235" t="s">
        <v>43</v>
      </c>
      <c r="U7235" t="s">
        <v>43</v>
      </c>
      <c r="V7235" t="s">
        <v>43</v>
      </c>
      <c r="W7235" t="s">
        <v>43</v>
      </c>
      <c r="X7235" t="s">
        <v>43</v>
      </c>
      <c r="Y7235" t="s">
        <v>43</v>
      </c>
      <c r="Z7235" t="s">
        <v>43</v>
      </c>
      <c r="AA7235" t="s">
        <v>43</v>
      </c>
      <c r="AB7235" t="s">
        <v>43</v>
      </c>
      <c r="AC7235" t="s">
        <v>43</v>
      </c>
      <c r="AD7235" t="s">
        <v>43</v>
      </c>
      <c r="AE7235" t="s">
        <v>43</v>
      </c>
      <c r="AF7235" t="s">
        <v>43</v>
      </c>
      <c r="AG7235" t="s">
        <v>43</v>
      </c>
      <c r="AH7235" t="s">
        <v>43</v>
      </c>
      <c r="AI7235" t="s">
        <v>43</v>
      </c>
      <c r="AJ7235" t="s">
        <v>43</v>
      </c>
      <c r="AK7235" t="s">
        <v>43</v>
      </c>
      <c r="AL7235" t="s">
        <v>43</v>
      </c>
      <c r="AM7235" t="s">
        <v>43</v>
      </c>
      <c r="AN7235" t="str">
        <f>HYPERLINK("https://www.google.com/maps?q=10.7896452,79.57883453","Open Location")</f>
        <v>Open Location</v>
      </c>
    </row>
    <row r="7236" spans="1:40" x14ac:dyDescent="0.3">
      <c r="A7236" s="1">
        <v>46210.161805555559</v>
      </c>
      <c r="B7236" t="s">
        <v>40</v>
      </c>
      <c r="C7236" t="s">
        <v>41</v>
      </c>
      <c r="D7236" s="1">
        <v>46210.164861111109</v>
      </c>
      <c r="E7236" t="s">
        <v>42</v>
      </c>
      <c r="F7236" t="s">
        <v>43</v>
      </c>
      <c r="G7236" t="s">
        <v>43</v>
      </c>
      <c r="H7236" t="s">
        <v>43</v>
      </c>
      <c r="I7236" t="s">
        <v>4178</v>
      </c>
      <c r="J7236" t="s">
        <v>43</v>
      </c>
      <c r="K7236" t="s">
        <v>43</v>
      </c>
      <c r="L7236" t="s">
        <v>43</v>
      </c>
      <c r="M7236" t="s">
        <v>43</v>
      </c>
      <c r="N7236" t="s">
        <v>45</v>
      </c>
      <c r="O7236" t="s">
        <v>43</v>
      </c>
      <c r="P7236" t="s">
        <v>43</v>
      </c>
      <c r="Q7236" t="s">
        <v>43</v>
      </c>
      <c r="R7236" t="s">
        <v>43</v>
      </c>
      <c r="S7236" t="s">
        <v>43</v>
      </c>
      <c r="T7236" t="s">
        <v>43</v>
      </c>
      <c r="U7236" t="s">
        <v>43</v>
      </c>
      <c r="V7236" t="s">
        <v>43</v>
      </c>
      <c r="W7236" t="s">
        <v>43</v>
      </c>
      <c r="X7236" t="s">
        <v>43</v>
      </c>
      <c r="Y7236" t="s">
        <v>43</v>
      </c>
      <c r="Z7236" t="s">
        <v>43</v>
      </c>
      <c r="AA7236" t="s">
        <v>43</v>
      </c>
      <c r="AB7236" t="s">
        <v>43</v>
      </c>
      <c r="AC7236" t="s">
        <v>43</v>
      </c>
      <c r="AD7236" t="s">
        <v>43</v>
      </c>
      <c r="AE7236" t="s">
        <v>43</v>
      </c>
      <c r="AF7236" t="s">
        <v>43</v>
      </c>
      <c r="AG7236" t="s">
        <v>43</v>
      </c>
      <c r="AH7236" t="s">
        <v>43</v>
      </c>
      <c r="AI7236" t="s">
        <v>43</v>
      </c>
      <c r="AJ7236" t="s">
        <v>43</v>
      </c>
      <c r="AK7236" t="s">
        <v>43</v>
      </c>
      <c r="AL7236" t="s">
        <v>43</v>
      </c>
      <c r="AM7236" t="s">
        <v>43</v>
      </c>
      <c r="AN7236" t="str">
        <f>HYPERLINK("https://www.google.com/maps?q=10.78964233,79.5788269","Open Location")</f>
        <v>Open Location</v>
      </c>
    </row>
    <row r="7237" spans="1:40" x14ac:dyDescent="0.3">
      <c r="A7237" s="1">
        <v>46210.161689814813</v>
      </c>
      <c r="B7237" t="s">
        <v>40</v>
      </c>
      <c r="C7237" t="s">
        <v>41</v>
      </c>
      <c r="D7237" s="1">
        <v>46210.164849537039</v>
      </c>
      <c r="E7237" t="s">
        <v>42</v>
      </c>
      <c r="F7237" t="s">
        <v>43</v>
      </c>
      <c r="G7237" t="s">
        <v>43</v>
      </c>
      <c r="H7237" t="s">
        <v>43</v>
      </c>
      <c r="I7237" t="s">
        <v>4179</v>
      </c>
      <c r="J7237" t="s">
        <v>43</v>
      </c>
      <c r="K7237" t="s">
        <v>43</v>
      </c>
      <c r="L7237" t="s">
        <v>43</v>
      </c>
      <c r="M7237" t="s">
        <v>43</v>
      </c>
      <c r="N7237" t="s">
        <v>45</v>
      </c>
      <c r="O7237" t="s">
        <v>43</v>
      </c>
      <c r="P7237" t="s">
        <v>43</v>
      </c>
      <c r="Q7237" t="s">
        <v>43</v>
      </c>
      <c r="R7237" t="s">
        <v>43</v>
      </c>
      <c r="S7237" t="s">
        <v>43</v>
      </c>
      <c r="T7237" t="s">
        <v>43</v>
      </c>
      <c r="U7237" t="s">
        <v>43</v>
      </c>
      <c r="V7237" t="s">
        <v>43</v>
      </c>
      <c r="W7237" t="s">
        <v>43</v>
      </c>
      <c r="X7237" t="s">
        <v>43</v>
      </c>
      <c r="Y7237" t="s">
        <v>43</v>
      </c>
      <c r="Z7237" t="s">
        <v>43</v>
      </c>
      <c r="AA7237" t="s">
        <v>43</v>
      </c>
      <c r="AB7237" t="s">
        <v>43</v>
      </c>
      <c r="AC7237" t="s">
        <v>43</v>
      </c>
      <c r="AD7237" t="s">
        <v>43</v>
      </c>
      <c r="AE7237" t="s">
        <v>43</v>
      </c>
      <c r="AF7237" t="s">
        <v>43</v>
      </c>
      <c r="AG7237" t="s">
        <v>43</v>
      </c>
      <c r="AH7237" t="s">
        <v>43</v>
      </c>
      <c r="AI7237" t="s">
        <v>43</v>
      </c>
      <c r="AJ7237" t="s">
        <v>43</v>
      </c>
      <c r="AK7237" t="s">
        <v>43</v>
      </c>
      <c r="AL7237" t="s">
        <v>43</v>
      </c>
      <c r="AM7237" t="s">
        <v>43</v>
      </c>
      <c r="AN7237" t="str">
        <f>HYPERLINK("https://www.google.com/maps?q=10.78963757,79.57883453","Open Location")</f>
        <v>Open Location</v>
      </c>
    </row>
    <row r="7238" spans="1:40" x14ac:dyDescent="0.3">
      <c r="A7238" s="1">
        <v>46210.161574074074</v>
      </c>
      <c r="B7238" t="s">
        <v>40</v>
      </c>
      <c r="C7238" t="s">
        <v>41</v>
      </c>
      <c r="D7238" s="1">
        <v>46210.164490740739</v>
      </c>
      <c r="E7238" t="s">
        <v>42</v>
      </c>
      <c r="F7238" t="s">
        <v>43</v>
      </c>
      <c r="G7238" t="s">
        <v>43</v>
      </c>
      <c r="H7238" t="s">
        <v>43</v>
      </c>
      <c r="I7238" t="s">
        <v>43</v>
      </c>
      <c r="J7238" t="s">
        <v>43</v>
      </c>
      <c r="K7238" t="s">
        <v>43</v>
      </c>
      <c r="L7238" t="s">
        <v>43</v>
      </c>
      <c r="M7238" t="s">
        <v>43</v>
      </c>
      <c r="N7238" t="s">
        <v>45</v>
      </c>
      <c r="O7238" t="s">
        <v>43</v>
      </c>
      <c r="P7238" t="s">
        <v>43</v>
      </c>
      <c r="Q7238" t="s">
        <v>43</v>
      </c>
      <c r="R7238" t="s">
        <v>43</v>
      </c>
      <c r="S7238" t="s">
        <v>43</v>
      </c>
      <c r="T7238" t="s">
        <v>43</v>
      </c>
      <c r="U7238" t="s">
        <v>43</v>
      </c>
      <c r="V7238" t="s">
        <v>43</v>
      </c>
      <c r="W7238" t="s">
        <v>43</v>
      </c>
      <c r="X7238" t="s">
        <v>43</v>
      </c>
      <c r="Y7238" t="s">
        <v>43</v>
      </c>
      <c r="Z7238" t="s">
        <v>43</v>
      </c>
      <c r="AA7238" t="s">
        <v>43</v>
      </c>
      <c r="AB7238" t="s">
        <v>43</v>
      </c>
      <c r="AC7238" t="s">
        <v>43</v>
      </c>
      <c r="AD7238" t="s">
        <v>43</v>
      </c>
      <c r="AE7238" t="s">
        <v>43</v>
      </c>
      <c r="AF7238" t="s">
        <v>43</v>
      </c>
      <c r="AG7238" t="s">
        <v>43</v>
      </c>
      <c r="AH7238" t="s">
        <v>43</v>
      </c>
      <c r="AI7238" t="s">
        <v>43</v>
      </c>
      <c r="AJ7238" t="s">
        <v>43</v>
      </c>
      <c r="AK7238" t="s">
        <v>43</v>
      </c>
      <c r="AL7238" t="s">
        <v>43</v>
      </c>
      <c r="AM7238" t="s">
        <v>43</v>
      </c>
      <c r="AN7238" t="s">
        <v>43</v>
      </c>
    </row>
    <row r="7239" spans="1:40" x14ac:dyDescent="0.3">
      <c r="A7239" s="1">
        <v>46210.161458333336</v>
      </c>
      <c r="B7239" t="s">
        <v>40</v>
      </c>
      <c r="C7239" t="s">
        <v>41</v>
      </c>
      <c r="D7239" s="1">
        <v>46210.164490740739</v>
      </c>
      <c r="E7239" t="s">
        <v>42</v>
      </c>
      <c r="F7239" t="s">
        <v>43</v>
      </c>
      <c r="G7239" t="s">
        <v>43</v>
      </c>
      <c r="H7239" t="s">
        <v>43</v>
      </c>
      <c r="I7239" t="s">
        <v>4179</v>
      </c>
      <c r="J7239" t="s">
        <v>43</v>
      </c>
      <c r="K7239" t="s">
        <v>43</v>
      </c>
      <c r="L7239" t="s">
        <v>43</v>
      </c>
      <c r="M7239" t="s">
        <v>43</v>
      </c>
      <c r="N7239" t="s">
        <v>45</v>
      </c>
      <c r="O7239" t="s">
        <v>43</v>
      </c>
      <c r="P7239" t="s">
        <v>43</v>
      </c>
      <c r="Q7239" t="s">
        <v>43</v>
      </c>
      <c r="R7239" t="s">
        <v>43</v>
      </c>
      <c r="S7239" t="s">
        <v>43</v>
      </c>
      <c r="T7239" t="s">
        <v>43</v>
      </c>
      <c r="U7239" t="s">
        <v>43</v>
      </c>
      <c r="V7239" t="s">
        <v>43</v>
      </c>
      <c r="W7239" t="s">
        <v>43</v>
      </c>
      <c r="X7239" t="s">
        <v>43</v>
      </c>
      <c r="Y7239" t="s">
        <v>43</v>
      </c>
      <c r="Z7239" t="s">
        <v>43</v>
      </c>
      <c r="AA7239" t="s">
        <v>43</v>
      </c>
      <c r="AB7239" t="s">
        <v>43</v>
      </c>
      <c r="AC7239" t="s">
        <v>43</v>
      </c>
      <c r="AD7239" t="s">
        <v>43</v>
      </c>
      <c r="AE7239" t="s">
        <v>43</v>
      </c>
      <c r="AF7239" t="s">
        <v>43</v>
      </c>
      <c r="AG7239" t="s">
        <v>43</v>
      </c>
      <c r="AH7239" t="s">
        <v>43</v>
      </c>
      <c r="AI7239" t="s">
        <v>43</v>
      </c>
      <c r="AJ7239" t="s">
        <v>43</v>
      </c>
      <c r="AK7239" t="s">
        <v>43</v>
      </c>
      <c r="AL7239" t="s">
        <v>43</v>
      </c>
      <c r="AM7239" t="s">
        <v>43</v>
      </c>
      <c r="AN7239" t="str">
        <f>HYPERLINK("https://www.google.com/maps?q=10.78963757,79.57883453","Open Location")</f>
        <v>Open Location</v>
      </c>
    </row>
    <row r="7240" spans="1:40" x14ac:dyDescent="0.3">
      <c r="A7240" s="1">
        <v>46210.16134259259</v>
      </c>
      <c r="B7240" t="s">
        <v>40</v>
      </c>
      <c r="C7240" t="s">
        <v>41</v>
      </c>
      <c r="D7240" s="1">
        <v>46210.1641087963</v>
      </c>
      <c r="E7240" t="s">
        <v>42</v>
      </c>
      <c r="F7240" t="s">
        <v>43</v>
      </c>
      <c r="G7240" t="s">
        <v>43</v>
      </c>
      <c r="H7240" t="s">
        <v>43</v>
      </c>
      <c r="I7240" t="s">
        <v>4180</v>
      </c>
      <c r="J7240" t="s">
        <v>43</v>
      </c>
      <c r="K7240" t="s">
        <v>43</v>
      </c>
      <c r="L7240" t="s">
        <v>43</v>
      </c>
      <c r="M7240" t="s">
        <v>43</v>
      </c>
      <c r="N7240" t="s">
        <v>45</v>
      </c>
      <c r="O7240" t="s">
        <v>43</v>
      </c>
      <c r="P7240" t="s">
        <v>43</v>
      </c>
      <c r="Q7240" t="s">
        <v>43</v>
      </c>
      <c r="R7240" t="s">
        <v>43</v>
      </c>
      <c r="S7240" t="s">
        <v>43</v>
      </c>
      <c r="T7240" t="s">
        <v>43</v>
      </c>
      <c r="U7240" t="s">
        <v>43</v>
      </c>
      <c r="V7240" t="s">
        <v>43</v>
      </c>
      <c r="W7240" t="s">
        <v>43</v>
      </c>
      <c r="X7240" t="s">
        <v>43</v>
      </c>
      <c r="Y7240" t="s">
        <v>43</v>
      </c>
      <c r="Z7240" t="s">
        <v>43</v>
      </c>
      <c r="AA7240" t="s">
        <v>43</v>
      </c>
      <c r="AB7240" t="s">
        <v>43</v>
      </c>
      <c r="AC7240" t="s">
        <v>43</v>
      </c>
      <c r="AD7240" t="s">
        <v>43</v>
      </c>
      <c r="AE7240" t="s">
        <v>43</v>
      </c>
      <c r="AF7240" t="s">
        <v>43</v>
      </c>
      <c r="AG7240" t="s">
        <v>43</v>
      </c>
      <c r="AH7240" t="s">
        <v>43</v>
      </c>
      <c r="AI7240" t="s">
        <v>43</v>
      </c>
      <c r="AJ7240" t="s">
        <v>43</v>
      </c>
      <c r="AK7240" t="s">
        <v>43</v>
      </c>
      <c r="AL7240" t="s">
        <v>43</v>
      </c>
      <c r="AM7240" t="s">
        <v>43</v>
      </c>
      <c r="AN7240" t="str">
        <f>HYPERLINK("https://www.google.com/maps?q=10.78963089,79.57883453","Open Location")</f>
        <v>Open Location</v>
      </c>
    </row>
    <row r="7241" spans="1:40" x14ac:dyDescent="0.3">
      <c r="A7241" s="1">
        <v>46210.161226851851</v>
      </c>
      <c r="B7241" t="s">
        <v>40</v>
      </c>
      <c r="C7241" t="s">
        <v>41</v>
      </c>
      <c r="D7241" s="1">
        <v>46210.164490740739</v>
      </c>
      <c r="E7241" t="s">
        <v>42</v>
      </c>
      <c r="F7241" t="s">
        <v>43</v>
      </c>
      <c r="G7241" t="s">
        <v>43</v>
      </c>
      <c r="H7241" t="s">
        <v>43</v>
      </c>
      <c r="I7241" t="s">
        <v>4181</v>
      </c>
      <c r="J7241" t="s">
        <v>43</v>
      </c>
      <c r="K7241" t="s">
        <v>43</v>
      </c>
      <c r="L7241" t="s">
        <v>43</v>
      </c>
      <c r="M7241" t="s">
        <v>43</v>
      </c>
      <c r="N7241" t="s">
        <v>45</v>
      </c>
      <c r="O7241" t="s">
        <v>43</v>
      </c>
      <c r="P7241" t="s">
        <v>43</v>
      </c>
      <c r="Q7241" t="s">
        <v>43</v>
      </c>
      <c r="R7241" t="s">
        <v>43</v>
      </c>
      <c r="S7241" t="s">
        <v>43</v>
      </c>
      <c r="T7241" t="s">
        <v>43</v>
      </c>
      <c r="U7241" t="s">
        <v>43</v>
      </c>
      <c r="V7241" t="s">
        <v>43</v>
      </c>
      <c r="W7241" t="s">
        <v>43</v>
      </c>
      <c r="X7241" t="s">
        <v>43</v>
      </c>
      <c r="Y7241" t="s">
        <v>43</v>
      </c>
      <c r="Z7241" t="s">
        <v>43</v>
      </c>
      <c r="AA7241" t="s">
        <v>43</v>
      </c>
      <c r="AB7241" t="s">
        <v>43</v>
      </c>
      <c r="AC7241" t="s">
        <v>43</v>
      </c>
      <c r="AD7241" t="s">
        <v>43</v>
      </c>
      <c r="AE7241" t="s">
        <v>43</v>
      </c>
      <c r="AF7241" t="s">
        <v>43</v>
      </c>
      <c r="AG7241" t="s">
        <v>43</v>
      </c>
      <c r="AH7241" t="s">
        <v>43</v>
      </c>
      <c r="AI7241" t="s">
        <v>43</v>
      </c>
      <c r="AJ7241" t="s">
        <v>43</v>
      </c>
      <c r="AK7241" t="s">
        <v>43</v>
      </c>
      <c r="AL7241" t="s">
        <v>43</v>
      </c>
      <c r="AM7241" t="s">
        <v>43</v>
      </c>
      <c r="AN7241" t="str">
        <f>HYPERLINK("https://www.google.com/maps?q=10.78962898,79.57883453","Open Location")</f>
        <v>Open Location</v>
      </c>
    </row>
    <row r="7242" spans="1:40" x14ac:dyDescent="0.3">
      <c r="A7242" s="1">
        <v>46210.161111111112</v>
      </c>
      <c r="B7242" t="s">
        <v>40</v>
      </c>
      <c r="C7242" t="s">
        <v>41</v>
      </c>
      <c r="D7242" s="1">
        <v>46210.164131944446</v>
      </c>
      <c r="E7242" t="s">
        <v>42</v>
      </c>
      <c r="F7242" t="s">
        <v>43</v>
      </c>
      <c r="G7242" t="s">
        <v>43</v>
      </c>
      <c r="H7242" t="s">
        <v>43</v>
      </c>
      <c r="I7242" t="s">
        <v>4182</v>
      </c>
      <c r="J7242" t="s">
        <v>43</v>
      </c>
      <c r="K7242" t="s">
        <v>43</v>
      </c>
      <c r="L7242" t="s">
        <v>43</v>
      </c>
      <c r="M7242" t="s">
        <v>43</v>
      </c>
      <c r="N7242" t="s">
        <v>45</v>
      </c>
      <c r="O7242" t="s">
        <v>43</v>
      </c>
      <c r="P7242" t="s">
        <v>43</v>
      </c>
      <c r="Q7242" t="s">
        <v>43</v>
      </c>
      <c r="R7242" t="s">
        <v>43</v>
      </c>
      <c r="S7242" t="s">
        <v>43</v>
      </c>
      <c r="T7242" t="s">
        <v>43</v>
      </c>
      <c r="U7242" t="s">
        <v>43</v>
      </c>
      <c r="V7242" t="s">
        <v>43</v>
      </c>
      <c r="W7242" t="s">
        <v>43</v>
      </c>
      <c r="X7242" t="s">
        <v>43</v>
      </c>
      <c r="Y7242" t="s">
        <v>43</v>
      </c>
      <c r="Z7242" t="s">
        <v>43</v>
      </c>
      <c r="AA7242" t="s">
        <v>43</v>
      </c>
      <c r="AB7242" t="s">
        <v>43</v>
      </c>
      <c r="AC7242" t="s">
        <v>43</v>
      </c>
      <c r="AD7242" t="s">
        <v>43</v>
      </c>
      <c r="AE7242" t="s">
        <v>43</v>
      </c>
      <c r="AF7242" t="s">
        <v>43</v>
      </c>
      <c r="AG7242" t="s">
        <v>43</v>
      </c>
      <c r="AH7242" t="s">
        <v>43</v>
      </c>
      <c r="AI7242" t="s">
        <v>43</v>
      </c>
      <c r="AJ7242" t="s">
        <v>43</v>
      </c>
      <c r="AK7242" t="s">
        <v>43</v>
      </c>
      <c r="AL7242" t="s">
        <v>43</v>
      </c>
      <c r="AM7242" t="s">
        <v>43</v>
      </c>
      <c r="AN7242" t="str">
        <f>HYPERLINK("https://www.google.com/maps?q=10.78962708,79.57884216","Open Location")</f>
        <v>Open Location</v>
      </c>
    </row>
    <row r="7243" spans="1:40" x14ac:dyDescent="0.3">
      <c r="A7243" s="1">
        <v>46210.160995370374</v>
      </c>
      <c r="B7243" t="s">
        <v>40</v>
      </c>
      <c r="C7243" t="s">
        <v>41</v>
      </c>
      <c r="D7243" s="1">
        <v>46210.1641087963</v>
      </c>
      <c r="E7243" t="s">
        <v>42</v>
      </c>
      <c r="F7243" t="s">
        <v>43</v>
      </c>
      <c r="G7243" t="s">
        <v>43</v>
      </c>
      <c r="H7243" t="s">
        <v>43</v>
      </c>
      <c r="I7243" t="s">
        <v>4183</v>
      </c>
      <c r="J7243" t="s">
        <v>43</v>
      </c>
      <c r="K7243" t="s">
        <v>43</v>
      </c>
      <c r="L7243" t="s">
        <v>43</v>
      </c>
      <c r="M7243" t="s">
        <v>43</v>
      </c>
      <c r="N7243" t="s">
        <v>45</v>
      </c>
      <c r="O7243" t="s">
        <v>43</v>
      </c>
      <c r="P7243" t="s">
        <v>43</v>
      </c>
      <c r="Q7243" t="s">
        <v>43</v>
      </c>
      <c r="R7243" t="s">
        <v>43</v>
      </c>
      <c r="S7243" t="s">
        <v>43</v>
      </c>
      <c r="T7243" t="s">
        <v>43</v>
      </c>
      <c r="U7243" t="s">
        <v>43</v>
      </c>
      <c r="V7243" t="s">
        <v>43</v>
      </c>
      <c r="W7243" t="s">
        <v>43</v>
      </c>
      <c r="X7243" t="s">
        <v>43</v>
      </c>
      <c r="Y7243" t="s">
        <v>43</v>
      </c>
      <c r="Z7243" t="s">
        <v>43</v>
      </c>
      <c r="AA7243" t="s">
        <v>43</v>
      </c>
      <c r="AB7243" t="s">
        <v>43</v>
      </c>
      <c r="AC7243" t="s">
        <v>43</v>
      </c>
      <c r="AD7243" t="s">
        <v>43</v>
      </c>
      <c r="AE7243" t="s">
        <v>43</v>
      </c>
      <c r="AF7243" t="s">
        <v>43</v>
      </c>
      <c r="AG7243" t="s">
        <v>43</v>
      </c>
      <c r="AH7243" t="s">
        <v>43</v>
      </c>
      <c r="AI7243" t="s">
        <v>43</v>
      </c>
      <c r="AJ7243" t="s">
        <v>43</v>
      </c>
      <c r="AK7243" t="s">
        <v>43</v>
      </c>
      <c r="AL7243" t="s">
        <v>43</v>
      </c>
      <c r="AM7243" t="s">
        <v>43</v>
      </c>
      <c r="AN7243" t="str">
        <f>HYPERLINK("https://www.google.com/maps?q=10.78963375,79.57884216","Open Location")</f>
        <v>Open Location</v>
      </c>
    </row>
    <row r="7244" spans="1:40" x14ac:dyDescent="0.3">
      <c r="A7244" s="1">
        <v>46210.160879629628</v>
      </c>
      <c r="B7244" t="s">
        <v>40</v>
      </c>
      <c r="C7244" t="s">
        <v>41</v>
      </c>
      <c r="D7244" s="1">
        <v>46210.163703703707</v>
      </c>
      <c r="E7244" t="s">
        <v>42</v>
      </c>
      <c r="F7244" t="s">
        <v>43</v>
      </c>
      <c r="G7244" t="s">
        <v>43</v>
      </c>
      <c r="H7244" t="s">
        <v>43</v>
      </c>
      <c r="I7244" t="s">
        <v>43</v>
      </c>
      <c r="J7244" t="s">
        <v>43</v>
      </c>
      <c r="K7244" t="s">
        <v>43</v>
      </c>
      <c r="L7244" t="s">
        <v>43</v>
      </c>
      <c r="M7244" t="s">
        <v>43</v>
      </c>
      <c r="N7244" t="s">
        <v>45</v>
      </c>
      <c r="O7244" t="s">
        <v>43</v>
      </c>
      <c r="P7244" t="s">
        <v>43</v>
      </c>
      <c r="Q7244" t="s">
        <v>43</v>
      </c>
      <c r="R7244" t="s">
        <v>43</v>
      </c>
      <c r="S7244" t="s">
        <v>43</v>
      </c>
      <c r="T7244" t="s">
        <v>43</v>
      </c>
      <c r="U7244" t="s">
        <v>43</v>
      </c>
      <c r="V7244" t="s">
        <v>43</v>
      </c>
      <c r="W7244" t="s">
        <v>43</v>
      </c>
      <c r="X7244" t="s">
        <v>43</v>
      </c>
      <c r="Y7244" t="s">
        <v>43</v>
      </c>
      <c r="Z7244" t="s">
        <v>43</v>
      </c>
      <c r="AA7244" t="s">
        <v>43</v>
      </c>
      <c r="AB7244" t="s">
        <v>43</v>
      </c>
      <c r="AC7244" t="s">
        <v>43</v>
      </c>
      <c r="AD7244" t="s">
        <v>43</v>
      </c>
      <c r="AE7244" t="s">
        <v>43</v>
      </c>
      <c r="AF7244" t="s">
        <v>43</v>
      </c>
      <c r="AG7244" t="s">
        <v>43</v>
      </c>
      <c r="AH7244" t="s">
        <v>43</v>
      </c>
      <c r="AI7244" t="s">
        <v>43</v>
      </c>
      <c r="AJ7244" t="s">
        <v>43</v>
      </c>
      <c r="AK7244" t="s">
        <v>43</v>
      </c>
      <c r="AL7244" t="s">
        <v>43</v>
      </c>
      <c r="AM7244" t="s">
        <v>43</v>
      </c>
      <c r="AN7244" t="s">
        <v>43</v>
      </c>
    </row>
    <row r="7245" spans="1:40" x14ac:dyDescent="0.3">
      <c r="A7245" s="1">
        <v>46210.160763888889</v>
      </c>
      <c r="B7245" t="s">
        <v>40</v>
      </c>
      <c r="C7245" t="s">
        <v>41</v>
      </c>
      <c r="D7245" s="1">
        <v>46210.163703703707</v>
      </c>
      <c r="E7245" t="s">
        <v>42</v>
      </c>
      <c r="F7245" t="s">
        <v>43</v>
      </c>
      <c r="G7245" t="s">
        <v>43</v>
      </c>
      <c r="H7245" t="s">
        <v>43</v>
      </c>
      <c r="I7245" t="s">
        <v>4184</v>
      </c>
      <c r="J7245" t="s">
        <v>43</v>
      </c>
      <c r="K7245" t="s">
        <v>43</v>
      </c>
      <c r="L7245" t="s">
        <v>43</v>
      </c>
      <c r="M7245" t="s">
        <v>43</v>
      </c>
      <c r="N7245" t="s">
        <v>45</v>
      </c>
      <c r="O7245" t="s">
        <v>43</v>
      </c>
      <c r="P7245" t="s">
        <v>43</v>
      </c>
      <c r="Q7245" t="s">
        <v>43</v>
      </c>
      <c r="R7245" t="s">
        <v>43</v>
      </c>
      <c r="S7245" t="s">
        <v>43</v>
      </c>
      <c r="T7245" t="s">
        <v>43</v>
      </c>
      <c r="U7245" t="s">
        <v>43</v>
      </c>
      <c r="V7245" t="s">
        <v>43</v>
      </c>
      <c r="W7245" t="s">
        <v>43</v>
      </c>
      <c r="X7245" t="s">
        <v>43</v>
      </c>
      <c r="Y7245" t="s">
        <v>43</v>
      </c>
      <c r="Z7245" t="s">
        <v>43</v>
      </c>
      <c r="AA7245" t="s">
        <v>43</v>
      </c>
      <c r="AB7245" t="s">
        <v>43</v>
      </c>
      <c r="AC7245" t="s">
        <v>43</v>
      </c>
      <c r="AD7245" t="s">
        <v>43</v>
      </c>
      <c r="AE7245" t="s">
        <v>43</v>
      </c>
      <c r="AF7245" t="s">
        <v>43</v>
      </c>
      <c r="AG7245" t="s">
        <v>43</v>
      </c>
      <c r="AH7245" t="s">
        <v>43</v>
      </c>
      <c r="AI7245" t="s">
        <v>43</v>
      </c>
      <c r="AJ7245" t="s">
        <v>43</v>
      </c>
      <c r="AK7245" t="s">
        <v>43</v>
      </c>
      <c r="AL7245" t="s">
        <v>43</v>
      </c>
      <c r="AM7245" t="s">
        <v>43</v>
      </c>
      <c r="AN7245" t="str">
        <f>HYPERLINK("https://www.google.com/maps?q=10.78964043,79.5788269","Open Location")</f>
        <v>Open Location</v>
      </c>
    </row>
    <row r="7246" spans="1:40" x14ac:dyDescent="0.3">
      <c r="A7246" s="1">
        <v>46210.16064814815</v>
      </c>
      <c r="B7246" t="s">
        <v>40</v>
      </c>
      <c r="C7246" t="s">
        <v>41</v>
      </c>
      <c r="D7246" s="1">
        <v>46210.163715277777</v>
      </c>
      <c r="E7246" t="s">
        <v>42</v>
      </c>
      <c r="F7246" t="s">
        <v>43</v>
      </c>
      <c r="G7246" t="s">
        <v>43</v>
      </c>
      <c r="H7246" t="s">
        <v>43</v>
      </c>
      <c r="I7246" t="s">
        <v>4185</v>
      </c>
      <c r="J7246" t="s">
        <v>43</v>
      </c>
      <c r="K7246" t="s">
        <v>43</v>
      </c>
      <c r="L7246" t="s">
        <v>43</v>
      </c>
      <c r="M7246" t="s">
        <v>43</v>
      </c>
      <c r="N7246" t="s">
        <v>45</v>
      </c>
      <c r="O7246" t="s">
        <v>43</v>
      </c>
      <c r="P7246" t="s">
        <v>43</v>
      </c>
      <c r="Q7246" t="s">
        <v>43</v>
      </c>
      <c r="R7246" t="s">
        <v>43</v>
      </c>
      <c r="S7246" t="s">
        <v>43</v>
      </c>
      <c r="T7246" t="s">
        <v>43</v>
      </c>
      <c r="U7246" t="s">
        <v>43</v>
      </c>
      <c r="V7246" t="s">
        <v>43</v>
      </c>
      <c r="W7246" t="s">
        <v>43</v>
      </c>
      <c r="X7246" t="s">
        <v>43</v>
      </c>
      <c r="Y7246" t="s">
        <v>43</v>
      </c>
      <c r="Z7246" t="s">
        <v>43</v>
      </c>
      <c r="AA7246" t="s">
        <v>43</v>
      </c>
      <c r="AB7246" t="s">
        <v>43</v>
      </c>
      <c r="AC7246" t="s">
        <v>43</v>
      </c>
      <c r="AD7246" t="s">
        <v>43</v>
      </c>
      <c r="AE7246" t="s">
        <v>43</v>
      </c>
      <c r="AF7246" t="s">
        <v>43</v>
      </c>
      <c r="AG7246" t="s">
        <v>43</v>
      </c>
      <c r="AH7246" t="s">
        <v>43</v>
      </c>
      <c r="AI7246" t="s">
        <v>43</v>
      </c>
      <c r="AJ7246" t="s">
        <v>43</v>
      </c>
      <c r="AK7246" t="s">
        <v>43</v>
      </c>
      <c r="AL7246" t="s">
        <v>43</v>
      </c>
      <c r="AM7246" t="s">
        <v>43</v>
      </c>
      <c r="AN7246" t="str">
        <f>HYPERLINK("https://www.google.com/maps?q=10.78964043,79.57883453","Open Location")</f>
        <v>Open Location</v>
      </c>
    </row>
    <row r="7247" spans="1:40" x14ac:dyDescent="0.3">
      <c r="A7247" s="1">
        <v>46210.160532407404</v>
      </c>
      <c r="B7247" t="s">
        <v>40</v>
      </c>
      <c r="C7247" t="s">
        <v>41</v>
      </c>
      <c r="D7247" s="1">
        <v>46210.163738425923</v>
      </c>
      <c r="E7247" t="s">
        <v>42</v>
      </c>
      <c r="F7247" t="s">
        <v>43</v>
      </c>
      <c r="G7247" t="s">
        <v>43</v>
      </c>
      <c r="H7247" t="s">
        <v>43</v>
      </c>
      <c r="I7247" t="s">
        <v>4185</v>
      </c>
      <c r="J7247" t="s">
        <v>43</v>
      </c>
      <c r="K7247" t="s">
        <v>43</v>
      </c>
      <c r="L7247" t="s">
        <v>43</v>
      </c>
      <c r="M7247" t="s">
        <v>43</v>
      </c>
      <c r="N7247" t="s">
        <v>45</v>
      </c>
      <c r="O7247" t="s">
        <v>43</v>
      </c>
      <c r="P7247" t="s">
        <v>43</v>
      </c>
      <c r="Q7247" t="s">
        <v>43</v>
      </c>
      <c r="R7247" t="s">
        <v>43</v>
      </c>
      <c r="S7247" t="s">
        <v>43</v>
      </c>
      <c r="T7247" t="s">
        <v>43</v>
      </c>
      <c r="U7247" t="s">
        <v>43</v>
      </c>
      <c r="V7247" t="s">
        <v>43</v>
      </c>
      <c r="W7247" t="s">
        <v>43</v>
      </c>
      <c r="X7247" t="s">
        <v>43</v>
      </c>
      <c r="Y7247" t="s">
        <v>43</v>
      </c>
      <c r="Z7247" t="s">
        <v>43</v>
      </c>
      <c r="AA7247" t="s">
        <v>43</v>
      </c>
      <c r="AB7247" t="s">
        <v>43</v>
      </c>
      <c r="AC7247" t="s">
        <v>43</v>
      </c>
      <c r="AD7247" t="s">
        <v>43</v>
      </c>
      <c r="AE7247" t="s">
        <v>43</v>
      </c>
      <c r="AF7247" t="s">
        <v>43</v>
      </c>
      <c r="AG7247" t="s">
        <v>43</v>
      </c>
      <c r="AH7247" t="s">
        <v>43</v>
      </c>
      <c r="AI7247" t="s">
        <v>43</v>
      </c>
      <c r="AJ7247" t="s">
        <v>43</v>
      </c>
      <c r="AK7247" t="s">
        <v>43</v>
      </c>
      <c r="AL7247" t="s">
        <v>43</v>
      </c>
      <c r="AM7247" t="s">
        <v>43</v>
      </c>
      <c r="AN7247" t="str">
        <f>HYPERLINK("https://www.google.com/maps?q=10.78964043,79.57883453","Open Location")</f>
        <v>Open Location</v>
      </c>
    </row>
    <row r="7248" spans="1:40" x14ac:dyDescent="0.3">
      <c r="A7248" s="1">
        <v>46210.160416666666</v>
      </c>
      <c r="B7248" t="s">
        <v>40</v>
      </c>
      <c r="C7248" t="s">
        <v>41</v>
      </c>
      <c r="D7248" s="1">
        <v>46210.163356481484</v>
      </c>
      <c r="E7248" t="s">
        <v>42</v>
      </c>
      <c r="F7248" t="s">
        <v>43</v>
      </c>
      <c r="G7248" t="s">
        <v>43</v>
      </c>
      <c r="H7248" t="s">
        <v>43</v>
      </c>
      <c r="I7248" t="s">
        <v>4186</v>
      </c>
      <c r="J7248" t="s">
        <v>43</v>
      </c>
      <c r="K7248" t="s">
        <v>43</v>
      </c>
      <c r="L7248" t="s">
        <v>43</v>
      </c>
      <c r="M7248" t="s">
        <v>43</v>
      </c>
      <c r="N7248" t="s">
        <v>45</v>
      </c>
      <c r="O7248" t="s">
        <v>43</v>
      </c>
      <c r="P7248" t="s">
        <v>43</v>
      </c>
      <c r="Q7248" t="s">
        <v>43</v>
      </c>
      <c r="R7248" t="s">
        <v>43</v>
      </c>
      <c r="S7248" t="s">
        <v>43</v>
      </c>
      <c r="T7248" t="s">
        <v>43</v>
      </c>
      <c r="U7248" t="s">
        <v>43</v>
      </c>
      <c r="V7248" t="s">
        <v>43</v>
      </c>
      <c r="W7248" t="s">
        <v>43</v>
      </c>
      <c r="X7248" t="s">
        <v>43</v>
      </c>
      <c r="Y7248" t="s">
        <v>43</v>
      </c>
      <c r="Z7248" t="s">
        <v>43</v>
      </c>
      <c r="AA7248" t="s">
        <v>43</v>
      </c>
      <c r="AB7248" t="s">
        <v>43</v>
      </c>
      <c r="AC7248" t="s">
        <v>43</v>
      </c>
      <c r="AD7248" t="s">
        <v>43</v>
      </c>
      <c r="AE7248" t="s">
        <v>43</v>
      </c>
      <c r="AF7248" t="s">
        <v>43</v>
      </c>
      <c r="AG7248" t="s">
        <v>43</v>
      </c>
      <c r="AH7248" t="s">
        <v>43</v>
      </c>
      <c r="AI7248" t="s">
        <v>43</v>
      </c>
      <c r="AJ7248" t="s">
        <v>43</v>
      </c>
      <c r="AK7248" t="s">
        <v>43</v>
      </c>
      <c r="AL7248" t="s">
        <v>43</v>
      </c>
      <c r="AM7248" t="s">
        <v>43</v>
      </c>
      <c r="AN7248" t="str">
        <f>HYPERLINK("https://www.google.com/maps?q=10.78964996,79.5788269","Open Location")</f>
        <v>Open Location</v>
      </c>
    </row>
    <row r="7249" spans="1:40" x14ac:dyDescent="0.3">
      <c r="A7249" s="1">
        <v>46210.160300925927</v>
      </c>
      <c r="B7249" t="s">
        <v>40</v>
      </c>
      <c r="C7249" t="s">
        <v>41</v>
      </c>
      <c r="D7249" s="1">
        <v>46210.16333333333</v>
      </c>
      <c r="E7249" t="s">
        <v>42</v>
      </c>
      <c r="F7249" t="s">
        <v>43</v>
      </c>
      <c r="G7249" t="s">
        <v>43</v>
      </c>
      <c r="H7249" t="s">
        <v>43</v>
      </c>
      <c r="I7249" t="s">
        <v>43</v>
      </c>
      <c r="J7249" t="s">
        <v>43</v>
      </c>
      <c r="K7249" t="s">
        <v>43</v>
      </c>
      <c r="L7249" t="s">
        <v>43</v>
      </c>
      <c r="M7249" t="s">
        <v>43</v>
      </c>
      <c r="N7249" t="s">
        <v>45</v>
      </c>
      <c r="O7249" t="s">
        <v>43</v>
      </c>
      <c r="P7249" t="s">
        <v>43</v>
      </c>
      <c r="Q7249" t="s">
        <v>43</v>
      </c>
      <c r="R7249" t="s">
        <v>43</v>
      </c>
      <c r="S7249" t="s">
        <v>43</v>
      </c>
      <c r="T7249" t="s">
        <v>43</v>
      </c>
      <c r="U7249" t="s">
        <v>43</v>
      </c>
      <c r="V7249" t="s">
        <v>43</v>
      </c>
      <c r="W7249" t="s">
        <v>43</v>
      </c>
      <c r="X7249" t="s">
        <v>43</v>
      </c>
      <c r="Y7249" t="s">
        <v>43</v>
      </c>
      <c r="Z7249" t="s">
        <v>43</v>
      </c>
      <c r="AA7249" t="s">
        <v>43</v>
      </c>
      <c r="AB7249" t="s">
        <v>43</v>
      </c>
      <c r="AC7249" t="s">
        <v>43</v>
      </c>
      <c r="AD7249" t="s">
        <v>43</v>
      </c>
      <c r="AE7249" t="s">
        <v>43</v>
      </c>
      <c r="AF7249" t="s">
        <v>43</v>
      </c>
      <c r="AG7249" t="s">
        <v>43</v>
      </c>
      <c r="AH7249" t="s">
        <v>43</v>
      </c>
      <c r="AI7249" t="s">
        <v>43</v>
      </c>
      <c r="AJ7249" t="s">
        <v>43</v>
      </c>
      <c r="AK7249" t="s">
        <v>43</v>
      </c>
      <c r="AL7249" t="s">
        <v>43</v>
      </c>
      <c r="AM7249" t="s">
        <v>43</v>
      </c>
      <c r="AN7249" t="s">
        <v>43</v>
      </c>
    </row>
    <row r="7250" spans="1:40" x14ac:dyDescent="0.3">
      <c r="A7250" s="1">
        <v>46210.160185185188</v>
      </c>
      <c r="B7250" t="s">
        <v>40</v>
      </c>
      <c r="C7250" t="s">
        <v>41</v>
      </c>
      <c r="D7250" s="1">
        <v>46210.163321759261</v>
      </c>
      <c r="E7250" t="s">
        <v>42</v>
      </c>
      <c r="F7250" t="s">
        <v>43</v>
      </c>
      <c r="G7250" t="s">
        <v>43</v>
      </c>
      <c r="H7250" t="s">
        <v>43</v>
      </c>
      <c r="I7250" t="s">
        <v>4187</v>
      </c>
      <c r="J7250" t="s">
        <v>43</v>
      </c>
      <c r="K7250" t="s">
        <v>43</v>
      </c>
      <c r="L7250" t="s">
        <v>43</v>
      </c>
      <c r="M7250" t="s">
        <v>43</v>
      </c>
      <c r="N7250" t="s">
        <v>45</v>
      </c>
      <c r="O7250" t="s">
        <v>43</v>
      </c>
      <c r="P7250" t="s">
        <v>43</v>
      </c>
      <c r="Q7250" t="s">
        <v>43</v>
      </c>
      <c r="R7250" t="s">
        <v>43</v>
      </c>
      <c r="S7250" t="s">
        <v>43</v>
      </c>
      <c r="T7250" t="s">
        <v>43</v>
      </c>
      <c r="U7250" t="s">
        <v>43</v>
      </c>
      <c r="V7250" t="s">
        <v>43</v>
      </c>
      <c r="W7250" t="s">
        <v>43</v>
      </c>
      <c r="X7250" t="s">
        <v>43</v>
      </c>
      <c r="Y7250" t="s">
        <v>43</v>
      </c>
      <c r="Z7250" t="s">
        <v>43</v>
      </c>
      <c r="AA7250" t="s">
        <v>43</v>
      </c>
      <c r="AB7250" t="s">
        <v>43</v>
      </c>
      <c r="AC7250" t="s">
        <v>43</v>
      </c>
      <c r="AD7250" t="s">
        <v>43</v>
      </c>
      <c r="AE7250" t="s">
        <v>43</v>
      </c>
      <c r="AF7250" t="s">
        <v>43</v>
      </c>
      <c r="AG7250" t="s">
        <v>43</v>
      </c>
      <c r="AH7250" t="s">
        <v>43</v>
      </c>
      <c r="AI7250" t="s">
        <v>43</v>
      </c>
      <c r="AJ7250" t="s">
        <v>43</v>
      </c>
      <c r="AK7250" t="s">
        <v>43</v>
      </c>
      <c r="AL7250" t="s">
        <v>43</v>
      </c>
      <c r="AM7250" t="s">
        <v>43</v>
      </c>
      <c r="AN7250" t="str">
        <f>HYPERLINK("https://www.google.com/maps?q=10.78964424,79.57881927","Open Location")</f>
        <v>Open Location</v>
      </c>
    </row>
    <row r="7251" spans="1:40" x14ac:dyDescent="0.3">
      <c r="A7251" s="1">
        <v>46210.160069444442</v>
      </c>
      <c r="B7251" t="s">
        <v>40</v>
      </c>
      <c r="C7251" t="s">
        <v>41</v>
      </c>
      <c r="D7251" s="1">
        <v>46210.163356481484</v>
      </c>
      <c r="E7251" t="s">
        <v>42</v>
      </c>
      <c r="F7251" t="s">
        <v>43</v>
      </c>
      <c r="G7251" t="s">
        <v>43</v>
      </c>
      <c r="H7251" t="s">
        <v>43</v>
      </c>
      <c r="I7251" t="s">
        <v>4188</v>
      </c>
      <c r="J7251" t="s">
        <v>43</v>
      </c>
      <c r="K7251" t="s">
        <v>43</v>
      </c>
      <c r="L7251" t="s">
        <v>43</v>
      </c>
      <c r="M7251" t="s">
        <v>43</v>
      </c>
      <c r="N7251" t="s">
        <v>45</v>
      </c>
      <c r="O7251" t="s">
        <v>43</v>
      </c>
      <c r="P7251" t="s">
        <v>43</v>
      </c>
      <c r="Q7251" t="s">
        <v>43</v>
      </c>
      <c r="R7251" t="s">
        <v>43</v>
      </c>
      <c r="S7251" t="s">
        <v>43</v>
      </c>
      <c r="T7251" t="s">
        <v>43</v>
      </c>
      <c r="U7251" t="s">
        <v>43</v>
      </c>
      <c r="V7251" t="s">
        <v>43</v>
      </c>
      <c r="W7251" t="s">
        <v>43</v>
      </c>
      <c r="X7251" t="s">
        <v>43</v>
      </c>
      <c r="Y7251" t="s">
        <v>43</v>
      </c>
      <c r="Z7251" t="s">
        <v>43</v>
      </c>
      <c r="AA7251" t="s">
        <v>43</v>
      </c>
      <c r="AB7251" t="s">
        <v>43</v>
      </c>
      <c r="AC7251" t="s">
        <v>43</v>
      </c>
      <c r="AD7251" t="s">
        <v>43</v>
      </c>
      <c r="AE7251" t="s">
        <v>43</v>
      </c>
      <c r="AF7251" t="s">
        <v>43</v>
      </c>
      <c r="AG7251" t="s">
        <v>43</v>
      </c>
      <c r="AH7251" t="s">
        <v>43</v>
      </c>
      <c r="AI7251" t="s">
        <v>43</v>
      </c>
      <c r="AJ7251" t="s">
        <v>43</v>
      </c>
      <c r="AK7251" t="s">
        <v>43</v>
      </c>
      <c r="AL7251" t="s">
        <v>43</v>
      </c>
      <c r="AM7251" t="s">
        <v>43</v>
      </c>
      <c r="AN7251" t="str">
        <f>HYPERLINK("https://www.google.com/maps?q=10.78963757,79.5788269","Open Location")</f>
        <v>Open Location</v>
      </c>
    </row>
    <row r="7252" spans="1:40" x14ac:dyDescent="0.3">
      <c r="A7252" s="1">
        <v>46210.159953703704</v>
      </c>
      <c r="B7252" t="s">
        <v>40</v>
      </c>
      <c r="C7252" t="s">
        <v>41</v>
      </c>
      <c r="D7252" s="1">
        <v>46210.163032407407</v>
      </c>
      <c r="E7252" t="s">
        <v>42</v>
      </c>
      <c r="F7252" t="s">
        <v>43</v>
      </c>
      <c r="G7252" t="s">
        <v>43</v>
      </c>
      <c r="H7252" t="s">
        <v>43</v>
      </c>
      <c r="I7252" t="s">
        <v>4189</v>
      </c>
      <c r="J7252" t="s">
        <v>43</v>
      </c>
      <c r="K7252" t="s">
        <v>43</v>
      </c>
      <c r="L7252" t="s">
        <v>43</v>
      </c>
      <c r="M7252" t="s">
        <v>43</v>
      </c>
      <c r="N7252" t="s">
        <v>45</v>
      </c>
      <c r="O7252" t="s">
        <v>43</v>
      </c>
      <c r="P7252" t="s">
        <v>43</v>
      </c>
      <c r="Q7252" t="s">
        <v>43</v>
      </c>
      <c r="R7252" t="s">
        <v>43</v>
      </c>
      <c r="S7252" t="s">
        <v>43</v>
      </c>
      <c r="T7252" t="s">
        <v>43</v>
      </c>
      <c r="U7252" t="s">
        <v>43</v>
      </c>
      <c r="V7252" t="s">
        <v>43</v>
      </c>
      <c r="W7252" t="s">
        <v>43</v>
      </c>
      <c r="X7252" t="s">
        <v>43</v>
      </c>
      <c r="Y7252" t="s">
        <v>43</v>
      </c>
      <c r="Z7252" t="s">
        <v>43</v>
      </c>
      <c r="AA7252" t="s">
        <v>43</v>
      </c>
      <c r="AB7252" t="s">
        <v>43</v>
      </c>
      <c r="AC7252" t="s">
        <v>43</v>
      </c>
      <c r="AD7252" t="s">
        <v>43</v>
      </c>
      <c r="AE7252" t="s">
        <v>43</v>
      </c>
      <c r="AF7252" t="s">
        <v>43</v>
      </c>
      <c r="AG7252" t="s">
        <v>43</v>
      </c>
      <c r="AH7252" t="s">
        <v>43</v>
      </c>
      <c r="AI7252" t="s">
        <v>43</v>
      </c>
      <c r="AJ7252" t="s">
        <v>43</v>
      </c>
      <c r="AK7252" t="s">
        <v>43</v>
      </c>
      <c r="AL7252" t="s">
        <v>43</v>
      </c>
      <c r="AM7252" t="s">
        <v>43</v>
      </c>
      <c r="AN7252" t="str">
        <f>HYPERLINK("https://www.google.com/maps?q=10.7896328,79.5788269","Open Location")</f>
        <v>Open Location</v>
      </c>
    </row>
    <row r="7253" spans="1:40" x14ac:dyDescent="0.3">
      <c r="A7253" s="1">
        <v>46210.159837962965</v>
      </c>
      <c r="B7253" t="s">
        <v>40</v>
      </c>
      <c r="C7253" t="s">
        <v>41</v>
      </c>
      <c r="D7253" s="1">
        <v>46210.162916666668</v>
      </c>
      <c r="E7253" t="s">
        <v>42</v>
      </c>
      <c r="F7253" t="s">
        <v>43</v>
      </c>
      <c r="G7253" t="s">
        <v>43</v>
      </c>
      <c r="H7253" t="s">
        <v>43</v>
      </c>
      <c r="I7253" t="s">
        <v>4181</v>
      </c>
      <c r="J7253" t="s">
        <v>43</v>
      </c>
      <c r="K7253" t="s">
        <v>43</v>
      </c>
      <c r="L7253" t="s">
        <v>43</v>
      </c>
      <c r="M7253" t="s">
        <v>43</v>
      </c>
      <c r="N7253" t="s">
        <v>45</v>
      </c>
      <c r="O7253" t="s">
        <v>43</v>
      </c>
      <c r="P7253" t="s">
        <v>43</v>
      </c>
      <c r="Q7253" t="s">
        <v>43</v>
      </c>
      <c r="R7253" t="s">
        <v>43</v>
      </c>
      <c r="S7253" t="s">
        <v>43</v>
      </c>
      <c r="T7253" t="s">
        <v>43</v>
      </c>
      <c r="U7253" t="s">
        <v>43</v>
      </c>
      <c r="V7253" t="s">
        <v>43</v>
      </c>
      <c r="W7253" t="s">
        <v>43</v>
      </c>
      <c r="X7253" t="s">
        <v>43</v>
      </c>
      <c r="Y7253" t="s">
        <v>43</v>
      </c>
      <c r="Z7253" t="s">
        <v>43</v>
      </c>
      <c r="AA7253" t="s">
        <v>43</v>
      </c>
      <c r="AB7253" t="s">
        <v>43</v>
      </c>
      <c r="AC7253" t="s">
        <v>43</v>
      </c>
      <c r="AD7253" t="s">
        <v>43</v>
      </c>
      <c r="AE7253" t="s">
        <v>43</v>
      </c>
      <c r="AF7253" t="s">
        <v>43</v>
      </c>
      <c r="AG7253" t="s">
        <v>43</v>
      </c>
      <c r="AH7253" t="s">
        <v>43</v>
      </c>
      <c r="AI7253" t="s">
        <v>43</v>
      </c>
      <c r="AJ7253" t="s">
        <v>43</v>
      </c>
      <c r="AK7253" t="s">
        <v>43</v>
      </c>
      <c r="AL7253" t="s">
        <v>43</v>
      </c>
      <c r="AM7253" t="s">
        <v>43</v>
      </c>
      <c r="AN7253" t="str">
        <f>HYPERLINK("https://www.google.com/maps?q=10.78962898,79.57883453","Open Location")</f>
        <v>Open Location</v>
      </c>
    </row>
    <row r="7254" spans="1:40" x14ac:dyDescent="0.3">
      <c r="A7254" s="1">
        <v>46210.159722222219</v>
      </c>
      <c r="B7254" t="s">
        <v>40</v>
      </c>
      <c r="C7254" t="s">
        <v>41</v>
      </c>
      <c r="D7254" s="1">
        <v>46210.162546296298</v>
      </c>
      <c r="E7254" t="s">
        <v>42</v>
      </c>
      <c r="F7254" t="s">
        <v>43</v>
      </c>
      <c r="G7254" t="s">
        <v>43</v>
      </c>
      <c r="H7254" t="s">
        <v>43</v>
      </c>
      <c r="I7254" t="s">
        <v>4190</v>
      </c>
      <c r="J7254" t="s">
        <v>43</v>
      </c>
      <c r="K7254" t="s">
        <v>43</v>
      </c>
      <c r="L7254" t="s">
        <v>43</v>
      </c>
      <c r="M7254" t="s">
        <v>43</v>
      </c>
      <c r="N7254" t="s">
        <v>45</v>
      </c>
      <c r="O7254" t="s">
        <v>43</v>
      </c>
      <c r="P7254" t="s">
        <v>43</v>
      </c>
      <c r="Q7254" t="s">
        <v>43</v>
      </c>
      <c r="R7254" t="s">
        <v>43</v>
      </c>
      <c r="S7254" t="s">
        <v>43</v>
      </c>
      <c r="T7254" t="s">
        <v>43</v>
      </c>
      <c r="U7254" t="s">
        <v>43</v>
      </c>
      <c r="V7254" t="s">
        <v>43</v>
      </c>
      <c r="W7254" t="s">
        <v>43</v>
      </c>
      <c r="X7254" t="s">
        <v>43</v>
      </c>
      <c r="Y7254" t="s">
        <v>43</v>
      </c>
      <c r="Z7254" t="s">
        <v>43</v>
      </c>
      <c r="AA7254" t="s">
        <v>43</v>
      </c>
      <c r="AB7254" t="s">
        <v>43</v>
      </c>
      <c r="AC7254" t="s">
        <v>43</v>
      </c>
      <c r="AD7254" t="s">
        <v>43</v>
      </c>
      <c r="AE7254" t="s">
        <v>43</v>
      </c>
      <c r="AF7254" t="s">
        <v>43</v>
      </c>
      <c r="AG7254" t="s">
        <v>43</v>
      </c>
      <c r="AH7254" t="s">
        <v>43</v>
      </c>
      <c r="AI7254" t="s">
        <v>43</v>
      </c>
      <c r="AJ7254" t="s">
        <v>43</v>
      </c>
      <c r="AK7254" t="s">
        <v>43</v>
      </c>
      <c r="AL7254" t="s">
        <v>43</v>
      </c>
      <c r="AM7254" t="s">
        <v>43</v>
      </c>
      <c r="AN7254" t="str">
        <f>HYPERLINK("https://www.google.com/maps?q=10.78962421,79.57884216","Open Location")</f>
        <v>Open Location</v>
      </c>
    </row>
    <row r="7255" spans="1:40" x14ac:dyDescent="0.3">
      <c r="A7255" s="1">
        <v>46210.15960648148</v>
      </c>
      <c r="B7255" t="s">
        <v>40</v>
      </c>
      <c r="C7255" t="s">
        <v>41</v>
      </c>
      <c r="D7255" s="1">
        <v>46210.162569444445</v>
      </c>
      <c r="E7255" t="s">
        <v>42</v>
      </c>
      <c r="F7255" t="s">
        <v>43</v>
      </c>
      <c r="G7255" t="s">
        <v>43</v>
      </c>
      <c r="H7255" t="s">
        <v>43</v>
      </c>
      <c r="I7255" t="s">
        <v>43</v>
      </c>
      <c r="J7255" t="s">
        <v>43</v>
      </c>
      <c r="K7255" t="s">
        <v>43</v>
      </c>
      <c r="L7255" t="s">
        <v>43</v>
      </c>
      <c r="M7255" t="s">
        <v>43</v>
      </c>
      <c r="N7255" t="s">
        <v>45</v>
      </c>
      <c r="O7255" t="s">
        <v>43</v>
      </c>
      <c r="P7255" t="s">
        <v>43</v>
      </c>
      <c r="Q7255" t="s">
        <v>43</v>
      </c>
      <c r="R7255" t="s">
        <v>43</v>
      </c>
      <c r="S7255" t="s">
        <v>43</v>
      </c>
      <c r="T7255" t="s">
        <v>43</v>
      </c>
      <c r="U7255" t="s">
        <v>43</v>
      </c>
      <c r="V7255" t="s">
        <v>43</v>
      </c>
      <c r="W7255" t="s">
        <v>43</v>
      </c>
      <c r="X7255" t="s">
        <v>43</v>
      </c>
      <c r="Y7255" t="s">
        <v>43</v>
      </c>
      <c r="Z7255" t="s">
        <v>43</v>
      </c>
      <c r="AA7255" t="s">
        <v>43</v>
      </c>
      <c r="AB7255" t="s">
        <v>43</v>
      </c>
      <c r="AC7255" t="s">
        <v>43</v>
      </c>
      <c r="AD7255" t="s">
        <v>43</v>
      </c>
      <c r="AE7255" t="s">
        <v>43</v>
      </c>
      <c r="AF7255" t="s">
        <v>43</v>
      </c>
      <c r="AG7255" t="s">
        <v>43</v>
      </c>
      <c r="AH7255" t="s">
        <v>43</v>
      </c>
      <c r="AI7255" t="s">
        <v>43</v>
      </c>
      <c r="AJ7255" t="s">
        <v>43</v>
      </c>
      <c r="AK7255" t="s">
        <v>43</v>
      </c>
      <c r="AL7255" t="s">
        <v>43</v>
      </c>
      <c r="AM7255" t="s">
        <v>43</v>
      </c>
      <c r="AN7255" t="s">
        <v>43</v>
      </c>
    </row>
    <row r="7256" spans="1:40" x14ac:dyDescent="0.3">
      <c r="A7256" s="1">
        <v>46210.159490740742</v>
      </c>
      <c r="B7256" t="s">
        <v>40</v>
      </c>
      <c r="C7256" t="s">
        <v>41</v>
      </c>
      <c r="D7256" s="1">
        <v>46210.162569444445</v>
      </c>
      <c r="E7256" t="s">
        <v>42</v>
      </c>
      <c r="F7256" t="s">
        <v>43</v>
      </c>
      <c r="G7256" t="s">
        <v>43</v>
      </c>
      <c r="H7256" t="s">
        <v>43</v>
      </c>
      <c r="I7256" t="s">
        <v>4191</v>
      </c>
      <c r="J7256" t="s">
        <v>43</v>
      </c>
      <c r="K7256" t="s">
        <v>43</v>
      </c>
      <c r="L7256" t="s">
        <v>43</v>
      </c>
      <c r="M7256" t="s">
        <v>43</v>
      </c>
      <c r="N7256" t="s">
        <v>45</v>
      </c>
      <c r="O7256" t="s">
        <v>43</v>
      </c>
      <c r="P7256" t="s">
        <v>43</v>
      </c>
      <c r="Q7256" t="s">
        <v>43</v>
      </c>
      <c r="R7256" t="s">
        <v>43</v>
      </c>
      <c r="S7256" t="s">
        <v>43</v>
      </c>
      <c r="T7256" t="s">
        <v>43</v>
      </c>
      <c r="U7256" t="s">
        <v>43</v>
      </c>
      <c r="V7256" t="s">
        <v>43</v>
      </c>
      <c r="W7256" t="s">
        <v>43</v>
      </c>
      <c r="X7256" t="s">
        <v>43</v>
      </c>
      <c r="Y7256" t="s">
        <v>43</v>
      </c>
      <c r="Z7256" t="s">
        <v>43</v>
      </c>
      <c r="AA7256" t="s">
        <v>43</v>
      </c>
      <c r="AB7256" t="s">
        <v>43</v>
      </c>
      <c r="AC7256" t="s">
        <v>43</v>
      </c>
      <c r="AD7256" t="s">
        <v>43</v>
      </c>
      <c r="AE7256" t="s">
        <v>43</v>
      </c>
      <c r="AF7256" t="s">
        <v>43</v>
      </c>
      <c r="AG7256" t="s">
        <v>43</v>
      </c>
      <c r="AH7256" t="s">
        <v>43</v>
      </c>
      <c r="AI7256" t="s">
        <v>43</v>
      </c>
      <c r="AJ7256" t="s">
        <v>43</v>
      </c>
      <c r="AK7256" t="s">
        <v>43</v>
      </c>
      <c r="AL7256" t="s">
        <v>43</v>
      </c>
      <c r="AM7256" t="s">
        <v>43</v>
      </c>
      <c r="AN7256" t="str">
        <f>HYPERLINK("https://www.google.com/maps?q=10.7896204,79.57883453","Open Location")</f>
        <v>Open Location</v>
      </c>
    </row>
    <row r="7257" spans="1:40" x14ac:dyDescent="0.3">
      <c r="A7257" s="1">
        <v>46210.159375000003</v>
      </c>
      <c r="B7257" t="s">
        <v>40</v>
      </c>
      <c r="C7257" t="s">
        <v>41</v>
      </c>
      <c r="D7257" s="1">
        <v>46210.162581018521</v>
      </c>
      <c r="E7257" t="s">
        <v>42</v>
      </c>
      <c r="F7257" t="s">
        <v>43</v>
      </c>
      <c r="G7257" t="s">
        <v>43</v>
      </c>
      <c r="H7257" t="s">
        <v>43</v>
      </c>
      <c r="I7257" t="s">
        <v>4192</v>
      </c>
      <c r="J7257" t="s">
        <v>43</v>
      </c>
      <c r="K7257" t="s">
        <v>43</v>
      </c>
      <c r="L7257" t="s">
        <v>43</v>
      </c>
      <c r="M7257" t="s">
        <v>43</v>
      </c>
      <c r="N7257" t="s">
        <v>45</v>
      </c>
      <c r="O7257" t="s">
        <v>43</v>
      </c>
      <c r="P7257" t="s">
        <v>43</v>
      </c>
      <c r="Q7257" t="s">
        <v>43</v>
      </c>
      <c r="R7257" t="s">
        <v>43</v>
      </c>
      <c r="S7257" t="s">
        <v>43</v>
      </c>
      <c r="T7257" t="s">
        <v>43</v>
      </c>
      <c r="U7257" t="s">
        <v>43</v>
      </c>
      <c r="V7257" t="s">
        <v>43</v>
      </c>
      <c r="W7257" t="s">
        <v>43</v>
      </c>
      <c r="X7257" t="s">
        <v>43</v>
      </c>
      <c r="Y7257" t="s">
        <v>43</v>
      </c>
      <c r="Z7257" t="s">
        <v>43</v>
      </c>
      <c r="AA7257" t="s">
        <v>43</v>
      </c>
      <c r="AB7257" t="s">
        <v>43</v>
      </c>
      <c r="AC7257" t="s">
        <v>43</v>
      </c>
      <c r="AD7257" t="s">
        <v>43</v>
      </c>
      <c r="AE7257" t="s">
        <v>43</v>
      </c>
      <c r="AF7257" t="s">
        <v>43</v>
      </c>
      <c r="AG7257" t="s">
        <v>43</v>
      </c>
      <c r="AH7257" t="s">
        <v>43</v>
      </c>
      <c r="AI7257" t="s">
        <v>43</v>
      </c>
      <c r="AJ7257" t="s">
        <v>43</v>
      </c>
      <c r="AK7257" t="s">
        <v>43</v>
      </c>
      <c r="AL7257" t="s">
        <v>43</v>
      </c>
      <c r="AM7257" t="s">
        <v>43</v>
      </c>
      <c r="AN7257" t="str">
        <f>HYPERLINK("https://www.google.com/maps?q=10.78962612,79.57883453","Open Location")</f>
        <v>Open Location</v>
      </c>
    </row>
    <row r="7258" spans="1:40" x14ac:dyDescent="0.3">
      <c r="A7258" s="1">
        <v>46210.159259259257</v>
      </c>
      <c r="B7258" t="s">
        <v>40</v>
      </c>
      <c r="C7258" t="s">
        <v>41</v>
      </c>
      <c r="D7258" s="1">
        <v>46210.162199074075</v>
      </c>
      <c r="E7258" t="s">
        <v>42</v>
      </c>
      <c r="F7258" t="s">
        <v>43</v>
      </c>
      <c r="G7258" t="s">
        <v>43</v>
      </c>
      <c r="H7258" t="s">
        <v>43</v>
      </c>
      <c r="I7258" t="s">
        <v>4193</v>
      </c>
      <c r="J7258" t="s">
        <v>43</v>
      </c>
      <c r="K7258" t="s">
        <v>43</v>
      </c>
      <c r="L7258" t="s">
        <v>43</v>
      </c>
      <c r="M7258" t="s">
        <v>43</v>
      </c>
      <c r="N7258" t="s">
        <v>45</v>
      </c>
      <c r="O7258" t="s">
        <v>43</v>
      </c>
      <c r="P7258" t="s">
        <v>43</v>
      </c>
      <c r="Q7258" t="s">
        <v>43</v>
      </c>
      <c r="R7258" t="s">
        <v>43</v>
      </c>
      <c r="S7258" t="s">
        <v>43</v>
      </c>
      <c r="T7258" t="s">
        <v>43</v>
      </c>
      <c r="U7258" t="s">
        <v>43</v>
      </c>
      <c r="V7258" t="s">
        <v>43</v>
      </c>
      <c r="W7258" t="s">
        <v>43</v>
      </c>
      <c r="X7258" t="s">
        <v>43</v>
      </c>
      <c r="Y7258" t="s">
        <v>43</v>
      </c>
      <c r="Z7258" t="s">
        <v>43</v>
      </c>
      <c r="AA7258" t="s">
        <v>43</v>
      </c>
      <c r="AB7258" t="s">
        <v>43</v>
      </c>
      <c r="AC7258" t="s">
        <v>43</v>
      </c>
      <c r="AD7258" t="s">
        <v>43</v>
      </c>
      <c r="AE7258" t="s">
        <v>43</v>
      </c>
      <c r="AF7258" t="s">
        <v>43</v>
      </c>
      <c r="AG7258" t="s">
        <v>43</v>
      </c>
      <c r="AH7258" t="s">
        <v>43</v>
      </c>
      <c r="AI7258" t="s">
        <v>43</v>
      </c>
      <c r="AJ7258" t="s">
        <v>43</v>
      </c>
      <c r="AK7258" t="s">
        <v>43</v>
      </c>
      <c r="AL7258" t="s">
        <v>43</v>
      </c>
      <c r="AM7258" t="s">
        <v>43</v>
      </c>
      <c r="AN7258" t="str">
        <f>HYPERLINK("https://www.google.com/maps?q=10.78962803,79.57883453","Open Location")</f>
        <v>Open Location</v>
      </c>
    </row>
    <row r="7259" spans="1:40" x14ac:dyDescent="0.3">
      <c r="A7259" s="1">
        <v>46210.159143518518</v>
      </c>
      <c r="B7259" t="s">
        <v>40</v>
      </c>
      <c r="C7259" t="s">
        <v>41</v>
      </c>
      <c r="D7259" s="1">
        <v>46210.162314814814</v>
      </c>
      <c r="E7259" t="s">
        <v>42</v>
      </c>
      <c r="F7259" t="s">
        <v>43</v>
      </c>
      <c r="G7259" t="s">
        <v>43</v>
      </c>
      <c r="H7259" t="s">
        <v>43</v>
      </c>
      <c r="I7259" t="s">
        <v>4181</v>
      </c>
      <c r="J7259" t="s">
        <v>43</v>
      </c>
      <c r="K7259" t="s">
        <v>43</v>
      </c>
      <c r="L7259" t="s">
        <v>43</v>
      </c>
      <c r="M7259" t="s">
        <v>43</v>
      </c>
      <c r="N7259" t="s">
        <v>45</v>
      </c>
      <c r="O7259" t="s">
        <v>43</v>
      </c>
      <c r="P7259" t="s">
        <v>43</v>
      </c>
      <c r="Q7259" t="s">
        <v>43</v>
      </c>
      <c r="R7259" t="s">
        <v>43</v>
      </c>
      <c r="S7259" t="s">
        <v>43</v>
      </c>
      <c r="T7259" t="s">
        <v>43</v>
      </c>
      <c r="U7259" t="s">
        <v>43</v>
      </c>
      <c r="V7259" t="s">
        <v>43</v>
      </c>
      <c r="W7259" t="s">
        <v>43</v>
      </c>
      <c r="X7259" t="s">
        <v>43</v>
      </c>
      <c r="Y7259" t="s">
        <v>43</v>
      </c>
      <c r="Z7259" t="s">
        <v>43</v>
      </c>
      <c r="AA7259" t="s">
        <v>43</v>
      </c>
      <c r="AB7259" t="s">
        <v>43</v>
      </c>
      <c r="AC7259" t="s">
        <v>43</v>
      </c>
      <c r="AD7259" t="s">
        <v>43</v>
      </c>
      <c r="AE7259" t="s">
        <v>43</v>
      </c>
      <c r="AF7259" t="s">
        <v>43</v>
      </c>
      <c r="AG7259" t="s">
        <v>43</v>
      </c>
      <c r="AH7259" t="s">
        <v>43</v>
      </c>
      <c r="AI7259" t="s">
        <v>43</v>
      </c>
      <c r="AJ7259" t="s">
        <v>43</v>
      </c>
      <c r="AK7259" t="s">
        <v>43</v>
      </c>
      <c r="AL7259" t="s">
        <v>43</v>
      </c>
      <c r="AM7259" t="s">
        <v>43</v>
      </c>
      <c r="AN7259" t="str">
        <f>HYPERLINK("https://www.google.com/maps?q=10.78962898,79.57883453","Open Location")</f>
        <v>Open Location</v>
      </c>
    </row>
    <row r="7260" spans="1:40" x14ac:dyDescent="0.3">
      <c r="A7260" s="1">
        <v>46210.15902777778</v>
      </c>
      <c r="B7260" t="s">
        <v>40</v>
      </c>
      <c r="C7260" t="s">
        <v>41</v>
      </c>
      <c r="D7260" s="1">
        <v>46210.161828703705</v>
      </c>
      <c r="E7260" t="s">
        <v>42</v>
      </c>
      <c r="F7260" t="s">
        <v>43</v>
      </c>
      <c r="G7260" t="s">
        <v>43</v>
      </c>
      <c r="H7260" t="s">
        <v>43</v>
      </c>
      <c r="I7260" t="s">
        <v>4194</v>
      </c>
      <c r="J7260" t="s">
        <v>43</v>
      </c>
      <c r="K7260" t="s">
        <v>43</v>
      </c>
      <c r="L7260" t="s">
        <v>43</v>
      </c>
      <c r="M7260" t="s">
        <v>43</v>
      </c>
      <c r="N7260" t="s">
        <v>45</v>
      </c>
      <c r="O7260" t="s">
        <v>43</v>
      </c>
      <c r="P7260" t="s">
        <v>43</v>
      </c>
      <c r="Q7260" t="s">
        <v>43</v>
      </c>
      <c r="R7260" t="s">
        <v>43</v>
      </c>
      <c r="S7260" t="s">
        <v>43</v>
      </c>
      <c r="T7260" t="s">
        <v>43</v>
      </c>
      <c r="U7260" t="s">
        <v>43</v>
      </c>
      <c r="V7260" t="s">
        <v>43</v>
      </c>
      <c r="W7260" t="s">
        <v>43</v>
      </c>
      <c r="X7260" t="s">
        <v>43</v>
      </c>
      <c r="Y7260" t="s">
        <v>43</v>
      </c>
      <c r="Z7260" t="s">
        <v>43</v>
      </c>
      <c r="AA7260" t="s">
        <v>43</v>
      </c>
      <c r="AB7260" t="s">
        <v>43</v>
      </c>
      <c r="AC7260" t="s">
        <v>43</v>
      </c>
      <c r="AD7260" t="s">
        <v>43</v>
      </c>
      <c r="AE7260" t="s">
        <v>43</v>
      </c>
      <c r="AF7260" t="s">
        <v>43</v>
      </c>
      <c r="AG7260" t="s">
        <v>43</v>
      </c>
      <c r="AH7260" t="s">
        <v>43</v>
      </c>
      <c r="AI7260" t="s">
        <v>43</v>
      </c>
      <c r="AJ7260" t="s">
        <v>43</v>
      </c>
      <c r="AK7260" t="s">
        <v>43</v>
      </c>
      <c r="AL7260" t="s">
        <v>43</v>
      </c>
      <c r="AM7260" t="s">
        <v>43</v>
      </c>
      <c r="AN7260" t="str">
        <f>HYPERLINK("https://www.google.com/maps?q=10.78962421,79.57883453","Open Location")</f>
        <v>Open Location</v>
      </c>
    </row>
    <row r="7261" spans="1:40" x14ac:dyDescent="0.3">
      <c r="A7261" s="1">
        <v>46210.158912037034</v>
      </c>
      <c r="B7261" t="s">
        <v>40</v>
      </c>
      <c r="C7261" t="s">
        <v>41</v>
      </c>
      <c r="D7261" s="1">
        <v>46210.161944444444</v>
      </c>
      <c r="E7261" t="s">
        <v>42</v>
      </c>
      <c r="F7261" t="s">
        <v>43</v>
      </c>
      <c r="G7261" t="s">
        <v>43</v>
      </c>
      <c r="H7261" t="s">
        <v>43</v>
      </c>
      <c r="I7261" t="s">
        <v>43</v>
      </c>
      <c r="J7261" t="s">
        <v>43</v>
      </c>
      <c r="K7261" t="s">
        <v>43</v>
      </c>
      <c r="L7261" t="s">
        <v>43</v>
      </c>
      <c r="M7261" t="s">
        <v>43</v>
      </c>
      <c r="N7261" t="s">
        <v>45</v>
      </c>
      <c r="O7261" t="s">
        <v>43</v>
      </c>
      <c r="P7261" t="s">
        <v>43</v>
      </c>
      <c r="Q7261" t="s">
        <v>43</v>
      </c>
      <c r="R7261" t="s">
        <v>43</v>
      </c>
      <c r="S7261" t="s">
        <v>43</v>
      </c>
      <c r="T7261" t="s">
        <v>43</v>
      </c>
      <c r="U7261" t="s">
        <v>43</v>
      </c>
      <c r="V7261" t="s">
        <v>43</v>
      </c>
      <c r="W7261" t="s">
        <v>43</v>
      </c>
      <c r="X7261" t="s">
        <v>43</v>
      </c>
      <c r="Y7261" t="s">
        <v>43</v>
      </c>
      <c r="Z7261" t="s">
        <v>43</v>
      </c>
      <c r="AA7261" t="s">
        <v>43</v>
      </c>
      <c r="AB7261" t="s">
        <v>43</v>
      </c>
      <c r="AC7261" t="s">
        <v>43</v>
      </c>
      <c r="AD7261" t="s">
        <v>43</v>
      </c>
      <c r="AE7261" t="s">
        <v>43</v>
      </c>
      <c r="AF7261" t="s">
        <v>43</v>
      </c>
      <c r="AG7261" t="s">
        <v>43</v>
      </c>
      <c r="AH7261" t="s">
        <v>43</v>
      </c>
      <c r="AI7261" t="s">
        <v>43</v>
      </c>
      <c r="AJ7261" t="s">
        <v>43</v>
      </c>
      <c r="AK7261" t="s">
        <v>43</v>
      </c>
      <c r="AL7261" t="s">
        <v>43</v>
      </c>
      <c r="AM7261" t="s">
        <v>43</v>
      </c>
      <c r="AN7261" t="s">
        <v>43</v>
      </c>
    </row>
    <row r="7262" spans="1:40" x14ac:dyDescent="0.3">
      <c r="A7262" s="1">
        <v>46210.158796296295</v>
      </c>
      <c r="B7262" t="s">
        <v>40</v>
      </c>
      <c r="C7262" t="s">
        <v>41</v>
      </c>
      <c r="D7262" s="1">
        <v>46210.161828703705</v>
      </c>
      <c r="E7262" t="s">
        <v>42</v>
      </c>
      <c r="F7262" t="s">
        <v>43</v>
      </c>
      <c r="G7262" t="s">
        <v>43</v>
      </c>
      <c r="H7262" t="s">
        <v>43</v>
      </c>
      <c r="I7262" t="s">
        <v>4193</v>
      </c>
      <c r="J7262" t="s">
        <v>43</v>
      </c>
      <c r="K7262" t="s">
        <v>43</v>
      </c>
      <c r="L7262" t="s">
        <v>43</v>
      </c>
      <c r="M7262" t="s">
        <v>43</v>
      </c>
      <c r="N7262" t="s">
        <v>45</v>
      </c>
      <c r="O7262" t="s">
        <v>43</v>
      </c>
      <c r="P7262" t="s">
        <v>43</v>
      </c>
      <c r="Q7262" t="s">
        <v>43</v>
      </c>
      <c r="R7262" t="s">
        <v>43</v>
      </c>
      <c r="S7262" t="s">
        <v>43</v>
      </c>
      <c r="T7262" t="s">
        <v>43</v>
      </c>
      <c r="U7262" t="s">
        <v>43</v>
      </c>
      <c r="V7262" t="s">
        <v>43</v>
      </c>
      <c r="W7262" t="s">
        <v>43</v>
      </c>
      <c r="X7262" t="s">
        <v>43</v>
      </c>
      <c r="Y7262" t="s">
        <v>43</v>
      </c>
      <c r="Z7262" t="s">
        <v>43</v>
      </c>
      <c r="AA7262" t="s">
        <v>43</v>
      </c>
      <c r="AB7262" t="s">
        <v>43</v>
      </c>
      <c r="AC7262" t="s">
        <v>43</v>
      </c>
      <c r="AD7262" t="s">
        <v>43</v>
      </c>
      <c r="AE7262" t="s">
        <v>43</v>
      </c>
      <c r="AF7262" t="s">
        <v>43</v>
      </c>
      <c r="AG7262" t="s">
        <v>43</v>
      </c>
      <c r="AH7262" t="s">
        <v>43</v>
      </c>
      <c r="AI7262" t="s">
        <v>43</v>
      </c>
      <c r="AJ7262" t="s">
        <v>43</v>
      </c>
      <c r="AK7262" t="s">
        <v>43</v>
      </c>
      <c r="AL7262" t="s">
        <v>43</v>
      </c>
      <c r="AM7262" t="s">
        <v>43</v>
      </c>
      <c r="AN7262" t="str">
        <f>HYPERLINK("https://www.google.com/maps?q=10.78962803,79.57883453","Open Location")</f>
        <v>Open Location</v>
      </c>
    </row>
    <row r="7263" spans="1:40" x14ac:dyDescent="0.3">
      <c r="A7263" s="1">
        <v>46210.158680555556</v>
      </c>
      <c r="B7263" t="s">
        <v>40</v>
      </c>
      <c r="C7263" t="s">
        <v>41</v>
      </c>
      <c r="D7263" s="1">
        <v>46210.161782407406</v>
      </c>
      <c r="E7263" t="s">
        <v>42</v>
      </c>
      <c r="F7263" t="s">
        <v>43</v>
      </c>
      <c r="G7263" t="s">
        <v>43</v>
      </c>
      <c r="H7263" t="s">
        <v>43</v>
      </c>
      <c r="I7263" t="s">
        <v>4195</v>
      </c>
      <c r="J7263" t="s">
        <v>43</v>
      </c>
      <c r="K7263" t="s">
        <v>43</v>
      </c>
      <c r="L7263" t="s">
        <v>43</v>
      </c>
      <c r="M7263" t="s">
        <v>43</v>
      </c>
      <c r="N7263" t="s">
        <v>45</v>
      </c>
      <c r="O7263" t="s">
        <v>43</v>
      </c>
      <c r="P7263" t="s">
        <v>43</v>
      </c>
      <c r="Q7263" t="s">
        <v>43</v>
      </c>
      <c r="R7263" t="s">
        <v>43</v>
      </c>
      <c r="S7263" t="s">
        <v>43</v>
      </c>
      <c r="T7263" t="s">
        <v>43</v>
      </c>
      <c r="U7263" t="s">
        <v>43</v>
      </c>
      <c r="V7263" t="s">
        <v>43</v>
      </c>
      <c r="W7263" t="s">
        <v>43</v>
      </c>
      <c r="X7263" t="s">
        <v>43</v>
      </c>
      <c r="Y7263" t="s">
        <v>43</v>
      </c>
      <c r="Z7263" t="s">
        <v>43</v>
      </c>
      <c r="AA7263" t="s">
        <v>43</v>
      </c>
      <c r="AB7263" t="s">
        <v>43</v>
      </c>
      <c r="AC7263" t="s">
        <v>43</v>
      </c>
      <c r="AD7263" t="s">
        <v>43</v>
      </c>
      <c r="AE7263" t="s">
        <v>43</v>
      </c>
      <c r="AF7263" t="s">
        <v>43</v>
      </c>
      <c r="AG7263" t="s">
        <v>43</v>
      </c>
      <c r="AH7263" t="s">
        <v>43</v>
      </c>
      <c r="AI7263" t="s">
        <v>43</v>
      </c>
      <c r="AJ7263" t="s">
        <v>43</v>
      </c>
      <c r="AK7263" t="s">
        <v>43</v>
      </c>
      <c r="AL7263" t="s">
        <v>43</v>
      </c>
      <c r="AM7263" t="s">
        <v>43</v>
      </c>
      <c r="AN7263" t="str">
        <f>HYPERLINK("https://www.google.com/maps?q=10.78963184,79.57881927","Open Location")</f>
        <v>Open Location</v>
      </c>
    </row>
    <row r="7264" spans="1:40" x14ac:dyDescent="0.3">
      <c r="A7264" s="1">
        <v>46210.158564814818</v>
      </c>
      <c r="B7264" t="s">
        <v>40</v>
      </c>
      <c r="C7264" t="s">
        <v>41</v>
      </c>
      <c r="D7264" s="1">
        <v>46210.161469907405</v>
      </c>
      <c r="E7264" t="s">
        <v>42</v>
      </c>
      <c r="F7264" t="s">
        <v>43</v>
      </c>
      <c r="G7264" t="s">
        <v>43</v>
      </c>
      <c r="H7264" t="s">
        <v>43</v>
      </c>
      <c r="I7264" t="s">
        <v>4196</v>
      </c>
      <c r="J7264" t="s">
        <v>43</v>
      </c>
      <c r="K7264" t="s">
        <v>43</v>
      </c>
      <c r="L7264" t="s">
        <v>43</v>
      </c>
      <c r="M7264" t="s">
        <v>43</v>
      </c>
      <c r="N7264" t="s">
        <v>45</v>
      </c>
      <c r="O7264" t="s">
        <v>43</v>
      </c>
      <c r="P7264" t="s">
        <v>43</v>
      </c>
      <c r="Q7264" t="s">
        <v>43</v>
      </c>
      <c r="R7264" t="s">
        <v>43</v>
      </c>
      <c r="S7264" t="s">
        <v>43</v>
      </c>
      <c r="T7264" t="s">
        <v>43</v>
      </c>
      <c r="U7264" t="s">
        <v>43</v>
      </c>
      <c r="V7264" t="s">
        <v>43</v>
      </c>
      <c r="W7264" t="s">
        <v>43</v>
      </c>
      <c r="X7264" t="s">
        <v>43</v>
      </c>
      <c r="Y7264" t="s">
        <v>43</v>
      </c>
      <c r="Z7264" t="s">
        <v>43</v>
      </c>
      <c r="AA7264" t="s">
        <v>43</v>
      </c>
      <c r="AB7264" t="s">
        <v>43</v>
      </c>
      <c r="AC7264" t="s">
        <v>43</v>
      </c>
      <c r="AD7264" t="s">
        <v>43</v>
      </c>
      <c r="AE7264" t="s">
        <v>43</v>
      </c>
      <c r="AF7264" t="s">
        <v>43</v>
      </c>
      <c r="AG7264" t="s">
        <v>43</v>
      </c>
      <c r="AH7264" t="s">
        <v>43</v>
      </c>
      <c r="AI7264" t="s">
        <v>43</v>
      </c>
      <c r="AJ7264" t="s">
        <v>43</v>
      </c>
      <c r="AK7264" t="s">
        <v>43</v>
      </c>
      <c r="AL7264" t="s">
        <v>43</v>
      </c>
      <c r="AM7264" t="s">
        <v>43</v>
      </c>
      <c r="AN7264" t="str">
        <f>HYPERLINK("https://www.google.com/maps?q=10.78962803,79.57881927","Open Location")</f>
        <v>Open Location</v>
      </c>
    </row>
    <row r="7265" spans="1:40" x14ac:dyDescent="0.3">
      <c r="A7265" s="1">
        <v>46210.158449074072</v>
      </c>
      <c r="B7265" t="s">
        <v>40</v>
      </c>
      <c r="C7265" t="s">
        <v>41</v>
      </c>
      <c r="D7265" s="1">
        <v>46210.161469907405</v>
      </c>
      <c r="E7265" t="s">
        <v>42</v>
      </c>
      <c r="F7265" t="s">
        <v>43</v>
      </c>
      <c r="G7265" t="s">
        <v>43</v>
      </c>
      <c r="H7265" t="s">
        <v>43</v>
      </c>
      <c r="I7265" t="s">
        <v>4197</v>
      </c>
      <c r="J7265" t="s">
        <v>43</v>
      </c>
      <c r="K7265" t="s">
        <v>43</v>
      </c>
      <c r="L7265" t="s">
        <v>43</v>
      </c>
      <c r="M7265" t="s">
        <v>43</v>
      </c>
      <c r="N7265" t="s">
        <v>45</v>
      </c>
      <c r="O7265" t="s">
        <v>43</v>
      </c>
      <c r="P7265" t="s">
        <v>43</v>
      </c>
      <c r="Q7265" t="s">
        <v>43</v>
      </c>
      <c r="R7265" t="s">
        <v>43</v>
      </c>
      <c r="S7265" t="s">
        <v>43</v>
      </c>
      <c r="T7265" t="s">
        <v>43</v>
      </c>
      <c r="U7265" t="s">
        <v>43</v>
      </c>
      <c r="V7265" t="s">
        <v>43</v>
      </c>
      <c r="W7265" t="s">
        <v>43</v>
      </c>
      <c r="X7265" t="s">
        <v>43</v>
      </c>
      <c r="Y7265" t="s">
        <v>43</v>
      </c>
      <c r="Z7265" t="s">
        <v>43</v>
      </c>
      <c r="AA7265" t="s">
        <v>43</v>
      </c>
      <c r="AB7265" t="s">
        <v>43</v>
      </c>
      <c r="AC7265" t="s">
        <v>43</v>
      </c>
      <c r="AD7265" t="s">
        <v>43</v>
      </c>
      <c r="AE7265" t="s">
        <v>43</v>
      </c>
      <c r="AF7265" t="s">
        <v>43</v>
      </c>
      <c r="AG7265" t="s">
        <v>43</v>
      </c>
      <c r="AH7265" t="s">
        <v>43</v>
      </c>
      <c r="AI7265" t="s">
        <v>43</v>
      </c>
      <c r="AJ7265" t="s">
        <v>43</v>
      </c>
      <c r="AK7265" t="s">
        <v>43</v>
      </c>
      <c r="AL7265" t="s">
        <v>43</v>
      </c>
      <c r="AM7265" t="s">
        <v>43</v>
      </c>
      <c r="AN7265" t="str">
        <f>HYPERLINK("https://www.google.com/maps?q=10.78962612,79.57881927","Open Location")</f>
        <v>Open Location</v>
      </c>
    </row>
    <row r="7266" spans="1:40" x14ac:dyDescent="0.3">
      <c r="A7266" s="1">
        <v>46210.158333333333</v>
      </c>
      <c r="B7266" t="s">
        <v>40</v>
      </c>
      <c r="C7266" t="s">
        <v>41</v>
      </c>
      <c r="D7266" s="1">
        <v>46210.161469907405</v>
      </c>
      <c r="E7266" t="s">
        <v>42</v>
      </c>
      <c r="F7266" t="s">
        <v>43</v>
      </c>
      <c r="G7266" t="s">
        <v>43</v>
      </c>
      <c r="H7266" t="s">
        <v>43</v>
      </c>
      <c r="I7266" t="s">
        <v>43</v>
      </c>
      <c r="J7266" t="s">
        <v>43</v>
      </c>
      <c r="K7266" t="s">
        <v>43</v>
      </c>
      <c r="L7266" t="s">
        <v>43</v>
      </c>
      <c r="M7266" t="s">
        <v>43</v>
      </c>
      <c r="N7266" t="s">
        <v>45</v>
      </c>
      <c r="O7266" t="s">
        <v>43</v>
      </c>
      <c r="P7266" t="s">
        <v>43</v>
      </c>
      <c r="Q7266" t="s">
        <v>43</v>
      </c>
      <c r="R7266" t="s">
        <v>43</v>
      </c>
      <c r="S7266" t="s">
        <v>43</v>
      </c>
      <c r="T7266" t="s">
        <v>43</v>
      </c>
      <c r="U7266" t="s">
        <v>43</v>
      </c>
      <c r="V7266" t="s">
        <v>43</v>
      </c>
      <c r="W7266" t="s">
        <v>43</v>
      </c>
      <c r="X7266" t="s">
        <v>43</v>
      </c>
      <c r="Y7266" t="s">
        <v>43</v>
      </c>
      <c r="Z7266" t="s">
        <v>43</v>
      </c>
      <c r="AA7266" t="s">
        <v>43</v>
      </c>
      <c r="AB7266" t="s">
        <v>43</v>
      </c>
      <c r="AC7266" t="s">
        <v>43</v>
      </c>
      <c r="AD7266" t="s">
        <v>43</v>
      </c>
      <c r="AE7266" t="s">
        <v>43</v>
      </c>
      <c r="AF7266" t="s">
        <v>43</v>
      </c>
      <c r="AG7266" t="s">
        <v>43</v>
      </c>
      <c r="AH7266" t="s">
        <v>43</v>
      </c>
      <c r="AI7266" t="s">
        <v>43</v>
      </c>
      <c r="AJ7266" t="s">
        <v>43</v>
      </c>
      <c r="AK7266" t="s">
        <v>43</v>
      </c>
      <c r="AL7266" t="s">
        <v>43</v>
      </c>
      <c r="AM7266" t="s">
        <v>43</v>
      </c>
      <c r="AN7266" t="s">
        <v>43</v>
      </c>
    </row>
    <row r="7267" spans="1:40" x14ac:dyDescent="0.3">
      <c r="A7267" s="1">
        <v>46210.158217592594</v>
      </c>
      <c r="B7267" t="s">
        <v>40</v>
      </c>
      <c r="C7267" t="s">
        <v>41</v>
      </c>
      <c r="D7267" s="1">
        <v>46210.161585648151</v>
      </c>
      <c r="E7267" t="s">
        <v>42</v>
      </c>
      <c r="F7267" t="s">
        <v>43</v>
      </c>
      <c r="G7267" t="s">
        <v>43</v>
      </c>
      <c r="H7267" t="s">
        <v>43</v>
      </c>
      <c r="I7267" t="s">
        <v>4198</v>
      </c>
      <c r="J7267" t="s">
        <v>43</v>
      </c>
      <c r="K7267" t="s">
        <v>43</v>
      </c>
      <c r="L7267" t="s">
        <v>43</v>
      </c>
      <c r="M7267" t="s">
        <v>43</v>
      </c>
      <c r="N7267" t="s">
        <v>45</v>
      </c>
      <c r="O7267" t="s">
        <v>43</v>
      </c>
      <c r="P7267" t="s">
        <v>43</v>
      </c>
      <c r="Q7267" t="s">
        <v>43</v>
      </c>
      <c r="R7267" t="s">
        <v>43</v>
      </c>
      <c r="S7267" t="s">
        <v>43</v>
      </c>
      <c r="T7267" t="s">
        <v>43</v>
      </c>
      <c r="U7267" t="s">
        <v>43</v>
      </c>
      <c r="V7267" t="s">
        <v>43</v>
      </c>
      <c r="W7267" t="s">
        <v>43</v>
      </c>
      <c r="X7267" t="s">
        <v>43</v>
      </c>
      <c r="Y7267" t="s">
        <v>43</v>
      </c>
      <c r="Z7267" t="s">
        <v>43</v>
      </c>
      <c r="AA7267" t="s">
        <v>43</v>
      </c>
      <c r="AB7267" t="s">
        <v>43</v>
      </c>
      <c r="AC7267" t="s">
        <v>43</v>
      </c>
      <c r="AD7267" t="s">
        <v>43</v>
      </c>
      <c r="AE7267" t="s">
        <v>43</v>
      </c>
      <c r="AF7267" t="s">
        <v>43</v>
      </c>
      <c r="AG7267" t="s">
        <v>43</v>
      </c>
      <c r="AH7267" t="s">
        <v>43</v>
      </c>
      <c r="AI7267" t="s">
        <v>43</v>
      </c>
      <c r="AJ7267" t="s">
        <v>43</v>
      </c>
      <c r="AK7267" t="s">
        <v>43</v>
      </c>
      <c r="AL7267" t="s">
        <v>43</v>
      </c>
      <c r="AM7267" t="s">
        <v>43</v>
      </c>
      <c r="AN7267" t="str">
        <f>HYPERLINK("https://www.google.com/maps?q=10.78962803,79.57881165","Open Location")</f>
        <v>Open Location</v>
      </c>
    </row>
    <row r="7268" spans="1:40" x14ac:dyDescent="0.3">
      <c r="A7268" s="1">
        <v>46210.158101851855</v>
      </c>
      <c r="B7268" t="s">
        <v>40</v>
      </c>
      <c r="C7268" t="s">
        <v>41</v>
      </c>
      <c r="D7268" s="1">
        <v>46210.160844907405</v>
      </c>
      <c r="E7268" t="s">
        <v>42</v>
      </c>
      <c r="F7268" t="s">
        <v>43</v>
      </c>
      <c r="G7268" t="s">
        <v>43</v>
      </c>
      <c r="H7268" t="s">
        <v>43</v>
      </c>
      <c r="I7268" t="s">
        <v>4199</v>
      </c>
      <c r="J7268" t="s">
        <v>43</v>
      </c>
      <c r="K7268" t="s">
        <v>43</v>
      </c>
      <c r="L7268" t="s">
        <v>43</v>
      </c>
      <c r="M7268" t="s">
        <v>43</v>
      </c>
      <c r="N7268" t="s">
        <v>45</v>
      </c>
      <c r="O7268" t="s">
        <v>43</v>
      </c>
      <c r="P7268" t="s">
        <v>43</v>
      </c>
      <c r="Q7268" t="s">
        <v>43</v>
      </c>
      <c r="R7268" t="s">
        <v>43</v>
      </c>
      <c r="S7268" t="s">
        <v>43</v>
      </c>
      <c r="T7268" t="s">
        <v>43</v>
      </c>
      <c r="U7268" t="s">
        <v>43</v>
      </c>
      <c r="V7268" t="s">
        <v>43</v>
      </c>
      <c r="W7268" t="s">
        <v>43</v>
      </c>
      <c r="X7268" t="s">
        <v>43</v>
      </c>
      <c r="Y7268" t="s">
        <v>43</v>
      </c>
      <c r="Z7268" t="s">
        <v>43</v>
      </c>
      <c r="AA7268" t="s">
        <v>43</v>
      </c>
      <c r="AB7268" t="s">
        <v>43</v>
      </c>
      <c r="AC7268" t="s">
        <v>43</v>
      </c>
      <c r="AD7268" t="s">
        <v>43</v>
      </c>
      <c r="AE7268" t="s">
        <v>43</v>
      </c>
      <c r="AF7268" t="s">
        <v>43</v>
      </c>
      <c r="AG7268" t="s">
        <v>43</v>
      </c>
      <c r="AH7268" t="s">
        <v>43</v>
      </c>
      <c r="AI7268" t="s">
        <v>43</v>
      </c>
      <c r="AJ7268" t="s">
        <v>43</v>
      </c>
      <c r="AK7268" t="s">
        <v>43</v>
      </c>
      <c r="AL7268" t="s">
        <v>43</v>
      </c>
      <c r="AM7268" t="s">
        <v>43</v>
      </c>
      <c r="AN7268" t="str">
        <f>HYPERLINK("https://www.google.com/maps?q=10.78962994,79.57881165","Open Location")</f>
        <v>Open Location</v>
      </c>
    </row>
    <row r="7269" spans="1:40" x14ac:dyDescent="0.3">
      <c r="A7269" s="1">
        <v>46210.157986111109</v>
      </c>
      <c r="B7269" t="s">
        <v>40</v>
      </c>
      <c r="C7269" t="s">
        <v>41</v>
      </c>
      <c r="D7269" s="1">
        <v>46210.161076388889</v>
      </c>
      <c r="E7269" t="s">
        <v>42</v>
      </c>
      <c r="F7269" t="s">
        <v>43</v>
      </c>
      <c r="G7269" t="s">
        <v>43</v>
      </c>
      <c r="H7269" t="s">
        <v>43</v>
      </c>
      <c r="I7269" t="s">
        <v>4200</v>
      </c>
      <c r="J7269" t="s">
        <v>43</v>
      </c>
      <c r="K7269" t="s">
        <v>43</v>
      </c>
      <c r="L7269" t="s">
        <v>43</v>
      </c>
      <c r="M7269" t="s">
        <v>43</v>
      </c>
      <c r="N7269" t="s">
        <v>45</v>
      </c>
      <c r="O7269" t="s">
        <v>43</v>
      </c>
      <c r="P7269" t="s">
        <v>43</v>
      </c>
      <c r="Q7269" t="s">
        <v>43</v>
      </c>
      <c r="R7269" t="s">
        <v>43</v>
      </c>
      <c r="S7269" t="s">
        <v>43</v>
      </c>
      <c r="T7269" t="s">
        <v>43</v>
      </c>
      <c r="U7269" t="s">
        <v>43</v>
      </c>
      <c r="V7269" t="s">
        <v>43</v>
      </c>
      <c r="W7269" t="s">
        <v>43</v>
      </c>
      <c r="X7269" t="s">
        <v>43</v>
      </c>
      <c r="Y7269" t="s">
        <v>43</v>
      </c>
      <c r="Z7269" t="s">
        <v>43</v>
      </c>
      <c r="AA7269" t="s">
        <v>43</v>
      </c>
      <c r="AB7269" t="s">
        <v>43</v>
      </c>
      <c r="AC7269" t="s">
        <v>43</v>
      </c>
      <c r="AD7269" t="s">
        <v>43</v>
      </c>
      <c r="AE7269" t="s">
        <v>43</v>
      </c>
      <c r="AF7269" t="s">
        <v>43</v>
      </c>
      <c r="AG7269" t="s">
        <v>43</v>
      </c>
      <c r="AH7269" t="s">
        <v>43</v>
      </c>
      <c r="AI7269" t="s">
        <v>43</v>
      </c>
      <c r="AJ7269" t="s">
        <v>43</v>
      </c>
      <c r="AK7269" t="s">
        <v>43</v>
      </c>
      <c r="AL7269" t="s">
        <v>43</v>
      </c>
      <c r="AM7269" t="s">
        <v>43</v>
      </c>
      <c r="AN7269" t="str">
        <f>HYPERLINK("https://www.google.com/maps?q=10.7896347,79.57881927","Open Location")</f>
        <v>Open Location</v>
      </c>
    </row>
    <row r="7270" spans="1:40" x14ac:dyDescent="0.3">
      <c r="A7270" s="1">
        <v>46210.157870370371</v>
      </c>
      <c r="B7270" t="s">
        <v>40</v>
      </c>
      <c r="C7270" t="s">
        <v>41</v>
      </c>
      <c r="D7270" s="1">
        <v>46210.160856481481</v>
      </c>
      <c r="E7270" t="s">
        <v>42</v>
      </c>
      <c r="F7270" t="s">
        <v>43</v>
      </c>
      <c r="G7270" t="s">
        <v>43</v>
      </c>
      <c r="H7270" t="s">
        <v>43</v>
      </c>
      <c r="I7270" t="s">
        <v>4106</v>
      </c>
      <c r="J7270" t="s">
        <v>43</v>
      </c>
      <c r="K7270" t="s">
        <v>43</v>
      </c>
      <c r="L7270" t="s">
        <v>43</v>
      </c>
      <c r="M7270" t="s">
        <v>43</v>
      </c>
      <c r="N7270" t="s">
        <v>45</v>
      </c>
      <c r="O7270" t="s">
        <v>43</v>
      </c>
      <c r="P7270" t="s">
        <v>43</v>
      </c>
      <c r="Q7270" t="s">
        <v>43</v>
      </c>
      <c r="R7270" t="s">
        <v>43</v>
      </c>
      <c r="S7270" t="s">
        <v>43</v>
      </c>
      <c r="T7270" t="s">
        <v>43</v>
      </c>
      <c r="U7270" t="s">
        <v>43</v>
      </c>
      <c r="V7270" t="s">
        <v>43</v>
      </c>
      <c r="W7270" t="s">
        <v>43</v>
      </c>
      <c r="X7270" t="s">
        <v>43</v>
      </c>
      <c r="Y7270" t="s">
        <v>43</v>
      </c>
      <c r="Z7270" t="s">
        <v>43</v>
      </c>
      <c r="AA7270" t="s">
        <v>43</v>
      </c>
      <c r="AB7270" t="s">
        <v>43</v>
      </c>
      <c r="AC7270" t="s">
        <v>43</v>
      </c>
      <c r="AD7270" t="s">
        <v>43</v>
      </c>
      <c r="AE7270" t="s">
        <v>43</v>
      </c>
      <c r="AF7270" t="s">
        <v>43</v>
      </c>
      <c r="AG7270" t="s">
        <v>43</v>
      </c>
      <c r="AH7270" t="s">
        <v>43</v>
      </c>
      <c r="AI7270" t="s">
        <v>43</v>
      </c>
      <c r="AJ7270" t="s">
        <v>43</v>
      </c>
      <c r="AK7270" t="s">
        <v>43</v>
      </c>
      <c r="AL7270" t="s">
        <v>43</v>
      </c>
      <c r="AM7270" t="s">
        <v>43</v>
      </c>
      <c r="AN7270" t="str">
        <f>HYPERLINK("https://www.google.com/maps?q=10.78963566,79.57879639","Open Location")</f>
        <v>Open Location</v>
      </c>
    </row>
    <row r="7271" spans="1:40" x14ac:dyDescent="0.3">
      <c r="A7271" s="1">
        <v>46210.157754629632</v>
      </c>
      <c r="B7271" t="s">
        <v>40</v>
      </c>
      <c r="C7271" t="s">
        <v>41</v>
      </c>
      <c r="D7271" s="1">
        <v>46210.160671296297</v>
      </c>
      <c r="E7271" t="s">
        <v>42</v>
      </c>
      <c r="F7271" t="s">
        <v>43</v>
      </c>
      <c r="G7271" t="s">
        <v>43</v>
      </c>
      <c r="H7271" t="s">
        <v>43</v>
      </c>
      <c r="I7271" t="s">
        <v>4201</v>
      </c>
      <c r="J7271" t="s">
        <v>43</v>
      </c>
      <c r="K7271" t="s">
        <v>43</v>
      </c>
      <c r="L7271" t="s">
        <v>43</v>
      </c>
      <c r="M7271" t="s">
        <v>43</v>
      </c>
      <c r="N7271" t="s">
        <v>45</v>
      </c>
      <c r="O7271" t="s">
        <v>43</v>
      </c>
      <c r="P7271" t="s">
        <v>43</v>
      </c>
      <c r="Q7271" t="s">
        <v>43</v>
      </c>
      <c r="R7271" t="s">
        <v>43</v>
      </c>
      <c r="S7271" t="s">
        <v>43</v>
      </c>
      <c r="T7271" t="s">
        <v>43</v>
      </c>
      <c r="U7271" t="s">
        <v>43</v>
      </c>
      <c r="V7271" t="s">
        <v>43</v>
      </c>
      <c r="W7271" t="s">
        <v>43</v>
      </c>
      <c r="X7271" t="s">
        <v>43</v>
      </c>
      <c r="Y7271" t="s">
        <v>43</v>
      </c>
      <c r="Z7271" t="s">
        <v>43</v>
      </c>
      <c r="AA7271" t="s">
        <v>43</v>
      </c>
      <c r="AB7271" t="s">
        <v>43</v>
      </c>
      <c r="AC7271" t="s">
        <v>43</v>
      </c>
      <c r="AD7271" t="s">
        <v>43</v>
      </c>
      <c r="AE7271" t="s">
        <v>43</v>
      </c>
      <c r="AF7271" t="s">
        <v>43</v>
      </c>
      <c r="AG7271" t="s">
        <v>43</v>
      </c>
      <c r="AH7271" t="s">
        <v>43</v>
      </c>
      <c r="AI7271" t="s">
        <v>43</v>
      </c>
      <c r="AJ7271" t="s">
        <v>43</v>
      </c>
      <c r="AK7271" t="s">
        <v>43</v>
      </c>
      <c r="AL7271" t="s">
        <v>43</v>
      </c>
      <c r="AM7271" t="s">
        <v>43</v>
      </c>
      <c r="AN7271" t="str">
        <f>HYPERLINK("https://www.google.com/maps?q=10.78964329,79.57878876","Open Location")</f>
        <v>Open Location</v>
      </c>
    </row>
    <row r="7272" spans="1:40" x14ac:dyDescent="0.3">
      <c r="A7272" s="1">
        <v>46210.157638888886</v>
      </c>
      <c r="B7272" t="s">
        <v>40</v>
      </c>
      <c r="C7272" t="s">
        <v>41</v>
      </c>
      <c r="D7272" s="1">
        <v>46210.160567129627</v>
      </c>
      <c r="E7272" t="s">
        <v>42</v>
      </c>
      <c r="F7272" t="s">
        <v>43</v>
      </c>
      <c r="G7272" t="s">
        <v>43</v>
      </c>
      <c r="H7272" t="s">
        <v>43</v>
      </c>
      <c r="I7272" t="s">
        <v>43</v>
      </c>
      <c r="J7272" t="s">
        <v>43</v>
      </c>
      <c r="K7272" t="s">
        <v>43</v>
      </c>
      <c r="L7272" t="s">
        <v>43</v>
      </c>
      <c r="M7272" t="s">
        <v>43</v>
      </c>
      <c r="N7272" t="s">
        <v>45</v>
      </c>
      <c r="O7272" t="s">
        <v>43</v>
      </c>
      <c r="P7272" t="s">
        <v>43</v>
      </c>
      <c r="Q7272" t="s">
        <v>43</v>
      </c>
      <c r="R7272" t="s">
        <v>43</v>
      </c>
      <c r="S7272" t="s">
        <v>43</v>
      </c>
      <c r="T7272" t="s">
        <v>43</v>
      </c>
      <c r="U7272" t="s">
        <v>43</v>
      </c>
      <c r="V7272" t="s">
        <v>43</v>
      </c>
      <c r="W7272" t="s">
        <v>43</v>
      </c>
      <c r="X7272" t="s">
        <v>43</v>
      </c>
      <c r="Y7272" t="s">
        <v>43</v>
      </c>
      <c r="Z7272" t="s">
        <v>43</v>
      </c>
      <c r="AA7272" t="s">
        <v>43</v>
      </c>
      <c r="AB7272" t="s">
        <v>43</v>
      </c>
      <c r="AC7272" t="s">
        <v>43</v>
      </c>
      <c r="AD7272" t="s">
        <v>43</v>
      </c>
      <c r="AE7272" t="s">
        <v>43</v>
      </c>
      <c r="AF7272" t="s">
        <v>43</v>
      </c>
      <c r="AG7272" t="s">
        <v>43</v>
      </c>
      <c r="AH7272" t="s">
        <v>43</v>
      </c>
      <c r="AI7272" t="s">
        <v>43</v>
      </c>
      <c r="AJ7272" t="s">
        <v>43</v>
      </c>
      <c r="AK7272" t="s">
        <v>43</v>
      </c>
      <c r="AL7272" t="s">
        <v>43</v>
      </c>
      <c r="AM7272" t="s">
        <v>43</v>
      </c>
      <c r="AN7272" t="s">
        <v>43</v>
      </c>
    </row>
    <row r="7273" spans="1:40" x14ac:dyDescent="0.3">
      <c r="A7273" s="1">
        <v>46210.157523148147</v>
      </c>
      <c r="B7273" t="s">
        <v>40</v>
      </c>
      <c r="C7273" t="s">
        <v>41</v>
      </c>
      <c r="D7273" s="1">
        <v>46210.160682870373</v>
      </c>
      <c r="E7273" t="s">
        <v>42</v>
      </c>
      <c r="F7273" t="s">
        <v>43</v>
      </c>
      <c r="G7273" t="s">
        <v>43</v>
      </c>
      <c r="H7273" t="s">
        <v>43</v>
      </c>
      <c r="I7273" t="s">
        <v>3910</v>
      </c>
      <c r="J7273" t="s">
        <v>43</v>
      </c>
      <c r="K7273" t="s">
        <v>43</v>
      </c>
      <c r="L7273" t="s">
        <v>43</v>
      </c>
      <c r="M7273" t="s">
        <v>43</v>
      </c>
      <c r="N7273" t="s">
        <v>45</v>
      </c>
      <c r="O7273" t="s">
        <v>43</v>
      </c>
      <c r="P7273" t="s">
        <v>43</v>
      </c>
      <c r="Q7273" t="s">
        <v>43</v>
      </c>
      <c r="R7273" t="s">
        <v>43</v>
      </c>
      <c r="S7273" t="s">
        <v>43</v>
      </c>
      <c r="T7273" t="s">
        <v>43</v>
      </c>
      <c r="U7273" t="s">
        <v>43</v>
      </c>
      <c r="V7273" t="s">
        <v>43</v>
      </c>
      <c r="W7273" t="s">
        <v>43</v>
      </c>
      <c r="X7273" t="s">
        <v>43</v>
      </c>
      <c r="Y7273" t="s">
        <v>43</v>
      </c>
      <c r="Z7273" t="s">
        <v>43</v>
      </c>
      <c r="AA7273" t="s">
        <v>43</v>
      </c>
      <c r="AB7273" t="s">
        <v>43</v>
      </c>
      <c r="AC7273" t="s">
        <v>43</v>
      </c>
      <c r="AD7273" t="s">
        <v>43</v>
      </c>
      <c r="AE7273" t="s">
        <v>43</v>
      </c>
      <c r="AF7273" t="s">
        <v>43</v>
      </c>
      <c r="AG7273" t="s">
        <v>43</v>
      </c>
      <c r="AH7273" t="s">
        <v>43</v>
      </c>
      <c r="AI7273" t="s">
        <v>43</v>
      </c>
      <c r="AJ7273" t="s">
        <v>43</v>
      </c>
      <c r="AK7273" t="s">
        <v>43</v>
      </c>
      <c r="AL7273" t="s">
        <v>43</v>
      </c>
      <c r="AM7273" t="s">
        <v>43</v>
      </c>
      <c r="AN7273" t="str">
        <f>HYPERLINK("https://www.google.com/maps?q=10.78964806,79.57878876","Open Location")</f>
        <v>Open Location</v>
      </c>
    </row>
    <row r="7274" spans="1:40" x14ac:dyDescent="0.3">
      <c r="A7274" s="1">
        <v>46210.157407407409</v>
      </c>
      <c r="B7274" t="s">
        <v>40</v>
      </c>
      <c r="C7274" t="s">
        <v>41</v>
      </c>
      <c r="D7274" s="1">
        <v>46210.16028935185</v>
      </c>
      <c r="E7274" t="s">
        <v>42</v>
      </c>
      <c r="F7274" t="s">
        <v>43</v>
      </c>
      <c r="G7274" t="s">
        <v>43</v>
      </c>
      <c r="H7274" t="s">
        <v>43</v>
      </c>
      <c r="I7274" t="s">
        <v>4202</v>
      </c>
      <c r="J7274" t="s">
        <v>43</v>
      </c>
      <c r="K7274" t="s">
        <v>43</v>
      </c>
      <c r="L7274" t="s">
        <v>43</v>
      </c>
      <c r="M7274" t="s">
        <v>43</v>
      </c>
      <c r="N7274" t="s">
        <v>45</v>
      </c>
      <c r="O7274" t="s">
        <v>43</v>
      </c>
      <c r="P7274" t="s">
        <v>43</v>
      </c>
      <c r="Q7274" t="s">
        <v>43</v>
      </c>
      <c r="R7274" t="s">
        <v>43</v>
      </c>
      <c r="S7274" t="s">
        <v>43</v>
      </c>
      <c r="T7274" t="s">
        <v>43</v>
      </c>
      <c r="U7274" t="s">
        <v>43</v>
      </c>
      <c r="V7274" t="s">
        <v>43</v>
      </c>
      <c r="W7274" t="s">
        <v>43</v>
      </c>
      <c r="X7274" t="s">
        <v>43</v>
      </c>
      <c r="Y7274" t="s">
        <v>43</v>
      </c>
      <c r="Z7274" t="s">
        <v>43</v>
      </c>
      <c r="AA7274" t="s">
        <v>43</v>
      </c>
      <c r="AB7274" t="s">
        <v>43</v>
      </c>
      <c r="AC7274" t="s">
        <v>43</v>
      </c>
      <c r="AD7274" t="s">
        <v>43</v>
      </c>
      <c r="AE7274" t="s">
        <v>43</v>
      </c>
      <c r="AF7274" t="s">
        <v>43</v>
      </c>
      <c r="AG7274" t="s">
        <v>43</v>
      </c>
      <c r="AH7274" t="s">
        <v>43</v>
      </c>
      <c r="AI7274" t="s">
        <v>43</v>
      </c>
      <c r="AJ7274" t="s">
        <v>43</v>
      </c>
      <c r="AK7274" t="s">
        <v>43</v>
      </c>
      <c r="AL7274" t="s">
        <v>43</v>
      </c>
      <c r="AM7274" t="s">
        <v>43</v>
      </c>
      <c r="AN7274" t="str">
        <f>HYPERLINK("https://www.google.com/maps?q=10.78965569,79.57878876","Open Location")</f>
        <v>Open Location</v>
      </c>
    </row>
    <row r="7275" spans="1:40" x14ac:dyDescent="0.3">
      <c r="A7275" s="1">
        <v>46210.15729166667</v>
      </c>
      <c r="B7275" t="s">
        <v>40</v>
      </c>
      <c r="C7275" t="s">
        <v>41</v>
      </c>
      <c r="D7275" s="1">
        <v>46210.160277777781</v>
      </c>
      <c r="E7275" t="s">
        <v>42</v>
      </c>
      <c r="F7275" t="s">
        <v>43</v>
      </c>
      <c r="G7275" t="s">
        <v>43</v>
      </c>
      <c r="H7275" t="s">
        <v>43</v>
      </c>
      <c r="I7275" t="s">
        <v>3917</v>
      </c>
      <c r="J7275" t="s">
        <v>43</v>
      </c>
      <c r="K7275" t="s">
        <v>43</v>
      </c>
      <c r="L7275" t="s">
        <v>43</v>
      </c>
      <c r="M7275" t="s">
        <v>43</v>
      </c>
      <c r="N7275" t="s">
        <v>45</v>
      </c>
      <c r="O7275" t="s">
        <v>43</v>
      </c>
      <c r="P7275" t="s">
        <v>43</v>
      </c>
      <c r="Q7275" t="s">
        <v>43</v>
      </c>
      <c r="R7275" t="s">
        <v>43</v>
      </c>
      <c r="S7275" t="s">
        <v>43</v>
      </c>
      <c r="T7275" t="s">
        <v>43</v>
      </c>
      <c r="U7275" t="s">
        <v>43</v>
      </c>
      <c r="V7275" t="s">
        <v>43</v>
      </c>
      <c r="W7275" t="s">
        <v>43</v>
      </c>
      <c r="X7275" t="s">
        <v>43</v>
      </c>
      <c r="Y7275" t="s">
        <v>43</v>
      </c>
      <c r="Z7275" t="s">
        <v>43</v>
      </c>
      <c r="AA7275" t="s">
        <v>43</v>
      </c>
      <c r="AB7275" t="s">
        <v>43</v>
      </c>
      <c r="AC7275" t="s">
        <v>43</v>
      </c>
      <c r="AD7275" t="s">
        <v>43</v>
      </c>
      <c r="AE7275" t="s">
        <v>43</v>
      </c>
      <c r="AF7275" t="s">
        <v>43</v>
      </c>
      <c r="AG7275" t="s">
        <v>43</v>
      </c>
      <c r="AH7275" t="s">
        <v>43</v>
      </c>
      <c r="AI7275" t="s">
        <v>43</v>
      </c>
      <c r="AJ7275" t="s">
        <v>43</v>
      </c>
      <c r="AK7275" t="s">
        <v>43</v>
      </c>
      <c r="AL7275" t="s">
        <v>43</v>
      </c>
      <c r="AM7275" t="s">
        <v>43</v>
      </c>
      <c r="AN7275" t="str">
        <f>HYPERLINK("https://www.google.com/maps?q=10.78965473,79.57879639","Open Location")</f>
        <v>Open Location</v>
      </c>
    </row>
    <row r="7276" spans="1:40" x14ac:dyDescent="0.3">
      <c r="A7276" s="1">
        <v>46210.157175925924</v>
      </c>
      <c r="B7276" t="s">
        <v>40</v>
      </c>
      <c r="C7276" t="s">
        <v>41</v>
      </c>
      <c r="D7276" s="1">
        <v>46210.160127314812</v>
      </c>
      <c r="E7276" t="s">
        <v>42</v>
      </c>
      <c r="F7276" t="s">
        <v>43</v>
      </c>
      <c r="G7276" t="s">
        <v>43</v>
      </c>
      <c r="H7276" t="s">
        <v>43</v>
      </c>
      <c r="I7276" t="s">
        <v>3899</v>
      </c>
      <c r="J7276" t="s">
        <v>43</v>
      </c>
      <c r="K7276" t="s">
        <v>43</v>
      </c>
      <c r="L7276" t="s">
        <v>43</v>
      </c>
      <c r="M7276" t="s">
        <v>43</v>
      </c>
      <c r="N7276" t="s">
        <v>45</v>
      </c>
      <c r="O7276" t="s">
        <v>43</v>
      </c>
      <c r="P7276" t="s">
        <v>43</v>
      </c>
      <c r="Q7276" t="s">
        <v>43</v>
      </c>
      <c r="R7276" t="s">
        <v>43</v>
      </c>
      <c r="S7276" t="s">
        <v>43</v>
      </c>
      <c r="T7276" t="s">
        <v>43</v>
      </c>
      <c r="U7276" t="s">
        <v>43</v>
      </c>
      <c r="V7276" t="s">
        <v>43</v>
      </c>
      <c r="W7276" t="s">
        <v>43</v>
      </c>
      <c r="X7276" t="s">
        <v>43</v>
      </c>
      <c r="Y7276" t="s">
        <v>43</v>
      </c>
      <c r="Z7276" t="s">
        <v>43</v>
      </c>
      <c r="AA7276" t="s">
        <v>43</v>
      </c>
      <c r="AB7276" t="s">
        <v>43</v>
      </c>
      <c r="AC7276" t="s">
        <v>43</v>
      </c>
      <c r="AD7276" t="s">
        <v>43</v>
      </c>
      <c r="AE7276" t="s">
        <v>43</v>
      </c>
      <c r="AF7276" t="s">
        <v>43</v>
      </c>
      <c r="AG7276" t="s">
        <v>43</v>
      </c>
      <c r="AH7276" t="s">
        <v>43</v>
      </c>
      <c r="AI7276" t="s">
        <v>43</v>
      </c>
      <c r="AJ7276" t="s">
        <v>43</v>
      </c>
      <c r="AK7276" t="s">
        <v>43</v>
      </c>
      <c r="AL7276" t="s">
        <v>43</v>
      </c>
      <c r="AM7276" t="s">
        <v>43</v>
      </c>
      <c r="AN7276" t="str">
        <f>HYPERLINK("https://www.google.com/maps?q=10.78965473,79.57878876","Open Location")</f>
        <v>Open Location</v>
      </c>
    </row>
    <row r="7277" spans="1:40" x14ac:dyDescent="0.3">
      <c r="A7277" s="1">
        <v>46210.157060185185</v>
      </c>
      <c r="B7277" t="s">
        <v>40</v>
      </c>
      <c r="C7277" t="s">
        <v>41</v>
      </c>
      <c r="D7277" s="1">
        <v>46210.16028935185</v>
      </c>
      <c r="E7277" t="s">
        <v>42</v>
      </c>
      <c r="F7277" t="s">
        <v>43</v>
      </c>
      <c r="G7277" t="s">
        <v>43</v>
      </c>
      <c r="H7277" t="s">
        <v>43</v>
      </c>
      <c r="I7277" t="s">
        <v>4203</v>
      </c>
      <c r="J7277" t="s">
        <v>43</v>
      </c>
      <c r="K7277" t="s">
        <v>43</v>
      </c>
      <c r="L7277" t="s">
        <v>43</v>
      </c>
      <c r="M7277" t="s">
        <v>43</v>
      </c>
      <c r="N7277" t="s">
        <v>45</v>
      </c>
      <c r="O7277" t="s">
        <v>43</v>
      </c>
      <c r="P7277" t="s">
        <v>43</v>
      </c>
      <c r="Q7277" t="s">
        <v>43</v>
      </c>
      <c r="R7277" t="s">
        <v>43</v>
      </c>
      <c r="S7277" t="s">
        <v>43</v>
      </c>
      <c r="T7277" t="s">
        <v>43</v>
      </c>
      <c r="U7277" t="s">
        <v>43</v>
      </c>
      <c r="V7277" t="s">
        <v>43</v>
      </c>
      <c r="W7277" t="s">
        <v>43</v>
      </c>
      <c r="X7277" t="s">
        <v>43</v>
      </c>
      <c r="Y7277" t="s">
        <v>43</v>
      </c>
      <c r="Z7277" t="s">
        <v>43</v>
      </c>
      <c r="AA7277" t="s">
        <v>43</v>
      </c>
      <c r="AB7277" t="s">
        <v>43</v>
      </c>
      <c r="AC7277" t="s">
        <v>43</v>
      </c>
      <c r="AD7277" t="s">
        <v>43</v>
      </c>
      <c r="AE7277" t="s">
        <v>43</v>
      </c>
      <c r="AF7277" t="s">
        <v>43</v>
      </c>
      <c r="AG7277" t="s">
        <v>43</v>
      </c>
      <c r="AH7277" t="s">
        <v>43</v>
      </c>
      <c r="AI7277" t="s">
        <v>43</v>
      </c>
      <c r="AJ7277" t="s">
        <v>43</v>
      </c>
      <c r="AK7277" t="s">
        <v>43</v>
      </c>
      <c r="AL7277" t="s">
        <v>43</v>
      </c>
      <c r="AM7277" t="s">
        <v>43</v>
      </c>
      <c r="AN7277" t="str">
        <f>HYPERLINK("https://www.google.com/maps?q=10.78965569,79.57879639","Open Location")</f>
        <v>Open Location</v>
      </c>
    </row>
    <row r="7278" spans="1:40" x14ac:dyDescent="0.3">
      <c r="A7278" s="1">
        <v>46210.156944444447</v>
      </c>
      <c r="B7278" t="s">
        <v>40</v>
      </c>
      <c r="C7278" t="s">
        <v>41</v>
      </c>
      <c r="D7278" s="1">
        <v>46210.159907407404</v>
      </c>
      <c r="E7278" t="s">
        <v>42</v>
      </c>
      <c r="F7278" t="s">
        <v>43</v>
      </c>
      <c r="G7278" t="s">
        <v>43</v>
      </c>
      <c r="H7278" t="s">
        <v>43</v>
      </c>
      <c r="I7278" t="s">
        <v>43</v>
      </c>
      <c r="J7278" t="s">
        <v>43</v>
      </c>
      <c r="K7278" t="s">
        <v>43</v>
      </c>
      <c r="L7278" t="s">
        <v>43</v>
      </c>
      <c r="M7278" t="s">
        <v>43</v>
      </c>
      <c r="N7278" t="s">
        <v>45</v>
      </c>
      <c r="O7278" t="s">
        <v>43</v>
      </c>
      <c r="P7278" t="s">
        <v>43</v>
      </c>
      <c r="Q7278" t="s">
        <v>43</v>
      </c>
      <c r="R7278" t="s">
        <v>43</v>
      </c>
      <c r="S7278" t="s">
        <v>43</v>
      </c>
      <c r="T7278" t="s">
        <v>43</v>
      </c>
      <c r="U7278" t="s">
        <v>43</v>
      </c>
      <c r="V7278" t="s">
        <v>43</v>
      </c>
      <c r="W7278" t="s">
        <v>43</v>
      </c>
      <c r="X7278" t="s">
        <v>43</v>
      </c>
      <c r="Y7278" t="s">
        <v>43</v>
      </c>
      <c r="Z7278" t="s">
        <v>43</v>
      </c>
      <c r="AA7278" t="s">
        <v>43</v>
      </c>
      <c r="AB7278" t="s">
        <v>43</v>
      </c>
      <c r="AC7278" t="s">
        <v>43</v>
      </c>
      <c r="AD7278" t="s">
        <v>43</v>
      </c>
      <c r="AE7278" t="s">
        <v>43</v>
      </c>
      <c r="AF7278" t="s">
        <v>43</v>
      </c>
      <c r="AG7278" t="s">
        <v>43</v>
      </c>
      <c r="AH7278" t="s">
        <v>43</v>
      </c>
      <c r="AI7278" t="s">
        <v>43</v>
      </c>
      <c r="AJ7278" t="s">
        <v>43</v>
      </c>
      <c r="AK7278" t="s">
        <v>43</v>
      </c>
      <c r="AL7278" t="s">
        <v>43</v>
      </c>
      <c r="AM7278" t="s">
        <v>43</v>
      </c>
      <c r="AN7278" t="s">
        <v>43</v>
      </c>
    </row>
    <row r="7279" spans="1:40" x14ac:dyDescent="0.3">
      <c r="A7279" s="1">
        <v>46210.156828703701</v>
      </c>
      <c r="B7279" t="s">
        <v>40</v>
      </c>
      <c r="C7279" t="s">
        <v>41</v>
      </c>
      <c r="D7279" s="1">
        <v>46210.159768518519</v>
      </c>
      <c r="E7279" t="s">
        <v>42</v>
      </c>
      <c r="F7279" t="s">
        <v>43</v>
      </c>
      <c r="G7279" t="s">
        <v>43</v>
      </c>
      <c r="H7279" t="s">
        <v>43</v>
      </c>
      <c r="I7279" t="s">
        <v>3916</v>
      </c>
      <c r="J7279" t="s">
        <v>43</v>
      </c>
      <c r="K7279" t="s">
        <v>43</v>
      </c>
      <c r="L7279" t="s">
        <v>43</v>
      </c>
      <c r="M7279" t="s">
        <v>43</v>
      </c>
      <c r="N7279" t="s">
        <v>45</v>
      </c>
      <c r="O7279" t="s">
        <v>43</v>
      </c>
      <c r="P7279" t="s">
        <v>43</v>
      </c>
      <c r="Q7279" t="s">
        <v>43</v>
      </c>
      <c r="R7279" t="s">
        <v>43</v>
      </c>
      <c r="S7279" t="s">
        <v>43</v>
      </c>
      <c r="T7279" t="s">
        <v>43</v>
      </c>
      <c r="U7279" t="s">
        <v>43</v>
      </c>
      <c r="V7279" t="s">
        <v>43</v>
      </c>
      <c r="W7279" t="s">
        <v>43</v>
      </c>
      <c r="X7279" t="s">
        <v>43</v>
      </c>
      <c r="Y7279" t="s">
        <v>43</v>
      </c>
      <c r="Z7279" t="s">
        <v>43</v>
      </c>
      <c r="AA7279" t="s">
        <v>43</v>
      </c>
      <c r="AB7279" t="s">
        <v>43</v>
      </c>
      <c r="AC7279" t="s">
        <v>43</v>
      </c>
      <c r="AD7279" t="s">
        <v>43</v>
      </c>
      <c r="AE7279" t="s">
        <v>43</v>
      </c>
      <c r="AF7279" t="s">
        <v>43</v>
      </c>
      <c r="AG7279" t="s">
        <v>43</v>
      </c>
      <c r="AH7279" t="s">
        <v>43</v>
      </c>
      <c r="AI7279" t="s">
        <v>43</v>
      </c>
      <c r="AJ7279" t="s">
        <v>43</v>
      </c>
      <c r="AK7279" t="s">
        <v>43</v>
      </c>
      <c r="AL7279" t="s">
        <v>43</v>
      </c>
      <c r="AM7279" t="s">
        <v>43</v>
      </c>
      <c r="AN7279" t="str">
        <f>HYPERLINK("https://www.google.com/maps?q=10.7896471,79.57879639","Open Location")</f>
        <v>Open Location</v>
      </c>
    </row>
    <row r="7280" spans="1:40" x14ac:dyDescent="0.3">
      <c r="A7280" s="1">
        <v>46210.156712962962</v>
      </c>
      <c r="B7280" t="s">
        <v>40</v>
      </c>
      <c r="C7280" t="s">
        <v>41</v>
      </c>
      <c r="D7280" s="1">
        <v>46210.159502314818</v>
      </c>
      <c r="E7280" t="s">
        <v>42</v>
      </c>
      <c r="F7280" t="s">
        <v>43</v>
      </c>
      <c r="G7280" t="s">
        <v>43</v>
      </c>
      <c r="H7280" t="s">
        <v>43</v>
      </c>
      <c r="I7280" t="s">
        <v>4051</v>
      </c>
      <c r="J7280" t="s">
        <v>43</v>
      </c>
      <c r="K7280" t="s">
        <v>43</v>
      </c>
      <c r="L7280" t="s">
        <v>43</v>
      </c>
      <c r="M7280" t="s">
        <v>43</v>
      </c>
      <c r="N7280" t="s">
        <v>45</v>
      </c>
      <c r="O7280" t="s">
        <v>43</v>
      </c>
      <c r="P7280" t="s">
        <v>43</v>
      </c>
      <c r="Q7280" t="s">
        <v>43</v>
      </c>
      <c r="R7280" t="s">
        <v>43</v>
      </c>
      <c r="S7280" t="s">
        <v>43</v>
      </c>
      <c r="T7280" t="s">
        <v>43</v>
      </c>
      <c r="U7280" t="s">
        <v>43</v>
      </c>
      <c r="V7280" t="s">
        <v>43</v>
      </c>
      <c r="W7280" t="s">
        <v>43</v>
      </c>
      <c r="X7280" t="s">
        <v>43</v>
      </c>
      <c r="Y7280" t="s">
        <v>43</v>
      </c>
      <c r="Z7280" t="s">
        <v>43</v>
      </c>
      <c r="AA7280" t="s">
        <v>43</v>
      </c>
      <c r="AB7280" t="s">
        <v>43</v>
      </c>
      <c r="AC7280" t="s">
        <v>43</v>
      </c>
      <c r="AD7280" t="s">
        <v>43</v>
      </c>
      <c r="AE7280" t="s">
        <v>43</v>
      </c>
      <c r="AF7280" t="s">
        <v>43</v>
      </c>
      <c r="AG7280" t="s">
        <v>43</v>
      </c>
      <c r="AH7280" t="s">
        <v>43</v>
      </c>
      <c r="AI7280" t="s">
        <v>43</v>
      </c>
      <c r="AJ7280" t="s">
        <v>43</v>
      </c>
      <c r="AK7280" t="s">
        <v>43</v>
      </c>
      <c r="AL7280" t="s">
        <v>43</v>
      </c>
      <c r="AM7280" t="s">
        <v>43</v>
      </c>
      <c r="AN7280" t="str">
        <f>HYPERLINK("https://www.google.com/maps?q=10.78964996,79.57879639","Open Location")</f>
        <v>Open Location</v>
      </c>
    </row>
    <row r="7281" spans="1:40" x14ac:dyDescent="0.3">
      <c r="A7281" s="1">
        <v>46210.156597222223</v>
      </c>
      <c r="B7281" t="s">
        <v>40</v>
      </c>
      <c r="C7281" t="s">
        <v>41</v>
      </c>
      <c r="D7281" s="1">
        <v>46210.159768518519</v>
      </c>
      <c r="E7281" t="s">
        <v>42</v>
      </c>
      <c r="F7281" t="s">
        <v>43</v>
      </c>
      <c r="G7281" t="s">
        <v>43</v>
      </c>
      <c r="H7281" t="s">
        <v>43</v>
      </c>
      <c r="I7281" t="s">
        <v>4144</v>
      </c>
      <c r="J7281" t="s">
        <v>43</v>
      </c>
      <c r="K7281" t="s">
        <v>43</v>
      </c>
      <c r="L7281" t="s">
        <v>43</v>
      </c>
      <c r="M7281" t="s">
        <v>43</v>
      </c>
      <c r="N7281" t="s">
        <v>45</v>
      </c>
      <c r="O7281" t="s">
        <v>43</v>
      </c>
      <c r="P7281" t="s">
        <v>43</v>
      </c>
      <c r="Q7281" t="s">
        <v>43</v>
      </c>
      <c r="R7281" t="s">
        <v>43</v>
      </c>
      <c r="S7281" t="s">
        <v>43</v>
      </c>
      <c r="T7281" t="s">
        <v>43</v>
      </c>
      <c r="U7281" t="s">
        <v>43</v>
      </c>
      <c r="V7281" t="s">
        <v>43</v>
      </c>
      <c r="W7281" t="s">
        <v>43</v>
      </c>
      <c r="X7281" t="s">
        <v>43</v>
      </c>
      <c r="Y7281" t="s">
        <v>43</v>
      </c>
      <c r="Z7281" t="s">
        <v>43</v>
      </c>
      <c r="AA7281" t="s">
        <v>43</v>
      </c>
      <c r="AB7281" t="s">
        <v>43</v>
      </c>
      <c r="AC7281" t="s">
        <v>43</v>
      </c>
      <c r="AD7281" t="s">
        <v>43</v>
      </c>
      <c r="AE7281" t="s">
        <v>43</v>
      </c>
      <c r="AF7281" t="s">
        <v>43</v>
      </c>
      <c r="AG7281" t="s">
        <v>43</v>
      </c>
      <c r="AH7281" t="s">
        <v>43</v>
      </c>
      <c r="AI7281" t="s">
        <v>43</v>
      </c>
      <c r="AJ7281" t="s">
        <v>43</v>
      </c>
      <c r="AK7281" t="s">
        <v>43</v>
      </c>
      <c r="AL7281" t="s">
        <v>43</v>
      </c>
      <c r="AM7281" t="s">
        <v>43</v>
      </c>
      <c r="AN7281" t="str">
        <f>HYPERLINK("https://www.google.com/maps?q=10.78964233,79.57881165","Open Location")</f>
        <v>Open Location</v>
      </c>
    </row>
    <row r="7282" spans="1:40" x14ac:dyDescent="0.3">
      <c r="A7282" s="1">
        <v>46210.156481481485</v>
      </c>
      <c r="B7282" t="s">
        <v>40</v>
      </c>
      <c r="C7282" t="s">
        <v>41</v>
      </c>
      <c r="D7282" s="1">
        <v>46210.159502314818</v>
      </c>
      <c r="E7282" t="s">
        <v>42</v>
      </c>
      <c r="F7282" t="s">
        <v>43</v>
      </c>
      <c r="G7282" t="s">
        <v>43</v>
      </c>
      <c r="H7282" t="s">
        <v>43</v>
      </c>
      <c r="I7282" t="s">
        <v>4144</v>
      </c>
      <c r="J7282" t="s">
        <v>43</v>
      </c>
      <c r="K7282" t="s">
        <v>43</v>
      </c>
      <c r="L7282" t="s">
        <v>43</v>
      </c>
      <c r="M7282" t="s">
        <v>43</v>
      </c>
      <c r="N7282" t="s">
        <v>45</v>
      </c>
      <c r="O7282" t="s">
        <v>43</v>
      </c>
      <c r="P7282" t="s">
        <v>43</v>
      </c>
      <c r="Q7282" t="s">
        <v>43</v>
      </c>
      <c r="R7282" t="s">
        <v>43</v>
      </c>
      <c r="S7282" t="s">
        <v>43</v>
      </c>
      <c r="T7282" t="s">
        <v>43</v>
      </c>
      <c r="U7282" t="s">
        <v>43</v>
      </c>
      <c r="V7282" t="s">
        <v>43</v>
      </c>
      <c r="W7282" t="s">
        <v>43</v>
      </c>
      <c r="X7282" t="s">
        <v>43</v>
      </c>
      <c r="Y7282" t="s">
        <v>43</v>
      </c>
      <c r="Z7282" t="s">
        <v>43</v>
      </c>
      <c r="AA7282" t="s">
        <v>43</v>
      </c>
      <c r="AB7282" t="s">
        <v>43</v>
      </c>
      <c r="AC7282" t="s">
        <v>43</v>
      </c>
      <c r="AD7282" t="s">
        <v>43</v>
      </c>
      <c r="AE7282" t="s">
        <v>43</v>
      </c>
      <c r="AF7282" t="s">
        <v>43</v>
      </c>
      <c r="AG7282" t="s">
        <v>43</v>
      </c>
      <c r="AH7282" t="s">
        <v>43</v>
      </c>
      <c r="AI7282" t="s">
        <v>43</v>
      </c>
      <c r="AJ7282" t="s">
        <v>43</v>
      </c>
      <c r="AK7282" t="s">
        <v>43</v>
      </c>
      <c r="AL7282" t="s">
        <v>43</v>
      </c>
      <c r="AM7282" t="s">
        <v>43</v>
      </c>
      <c r="AN7282" t="str">
        <f>HYPERLINK("https://www.google.com/maps?q=10.78964233,79.57881165","Open Location")</f>
        <v>Open Location</v>
      </c>
    </row>
    <row r="7283" spans="1:40" x14ac:dyDescent="0.3">
      <c r="A7283" s="1">
        <v>46210.156365740739</v>
      </c>
      <c r="B7283" t="s">
        <v>40</v>
      </c>
      <c r="C7283" t="s">
        <v>41</v>
      </c>
      <c r="D7283" s="1">
        <v>46210.159502314818</v>
      </c>
      <c r="E7283" t="s">
        <v>42</v>
      </c>
      <c r="F7283" t="s">
        <v>43</v>
      </c>
      <c r="G7283" t="s">
        <v>43</v>
      </c>
      <c r="H7283" t="s">
        <v>43</v>
      </c>
      <c r="I7283" t="s">
        <v>43</v>
      </c>
      <c r="J7283" t="s">
        <v>43</v>
      </c>
      <c r="K7283" t="s">
        <v>43</v>
      </c>
      <c r="L7283" t="s">
        <v>43</v>
      </c>
      <c r="M7283" t="s">
        <v>43</v>
      </c>
      <c r="N7283" t="s">
        <v>45</v>
      </c>
      <c r="O7283" t="s">
        <v>43</v>
      </c>
      <c r="P7283" t="s">
        <v>43</v>
      </c>
      <c r="Q7283" t="s">
        <v>43</v>
      </c>
      <c r="R7283" t="s">
        <v>43</v>
      </c>
      <c r="S7283" t="s">
        <v>43</v>
      </c>
      <c r="T7283" t="s">
        <v>43</v>
      </c>
      <c r="U7283" t="s">
        <v>43</v>
      </c>
      <c r="V7283" t="s">
        <v>43</v>
      </c>
      <c r="W7283" t="s">
        <v>43</v>
      </c>
      <c r="X7283" t="s">
        <v>43</v>
      </c>
      <c r="Y7283" t="s">
        <v>43</v>
      </c>
      <c r="Z7283" t="s">
        <v>43</v>
      </c>
      <c r="AA7283" t="s">
        <v>43</v>
      </c>
      <c r="AB7283" t="s">
        <v>43</v>
      </c>
      <c r="AC7283" t="s">
        <v>43</v>
      </c>
      <c r="AD7283" t="s">
        <v>43</v>
      </c>
      <c r="AE7283" t="s">
        <v>43</v>
      </c>
      <c r="AF7283" t="s">
        <v>43</v>
      </c>
      <c r="AG7283" t="s">
        <v>43</v>
      </c>
      <c r="AH7283" t="s">
        <v>43</v>
      </c>
      <c r="AI7283" t="s">
        <v>43</v>
      </c>
      <c r="AJ7283" t="s">
        <v>43</v>
      </c>
      <c r="AK7283" t="s">
        <v>43</v>
      </c>
      <c r="AL7283" t="s">
        <v>43</v>
      </c>
      <c r="AM7283" t="s">
        <v>43</v>
      </c>
      <c r="AN7283" t="s">
        <v>43</v>
      </c>
    </row>
    <row r="7284" spans="1:40" x14ac:dyDescent="0.3">
      <c r="A7284" s="1">
        <v>46210.15625</v>
      </c>
      <c r="B7284" t="s">
        <v>40</v>
      </c>
      <c r="C7284" t="s">
        <v>41</v>
      </c>
      <c r="D7284" s="1">
        <v>46210.159143518518</v>
      </c>
      <c r="E7284" t="s">
        <v>42</v>
      </c>
      <c r="F7284" t="s">
        <v>43</v>
      </c>
      <c r="G7284" t="s">
        <v>43</v>
      </c>
      <c r="H7284" t="s">
        <v>43</v>
      </c>
      <c r="I7284" t="s">
        <v>3910</v>
      </c>
      <c r="J7284" t="s">
        <v>43</v>
      </c>
      <c r="K7284" t="s">
        <v>43</v>
      </c>
      <c r="L7284" t="s">
        <v>43</v>
      </c>
      <c r="M7284" t="s">
        <v>43</v>
      </c>
      <c r="N7284" t="s">
        <v>45</v>
      </c>
      <c r="O7284" t="s">
        <v>43</v>
      </c>
      <c r="P7284" t="s">
        <v>43</v>
      </c>
      <c r="Q7284" t="s">
        <v>43</v>
      </c>
      <c r="R7284" t="s">
        <v>43</v>
      </c>
      <c r="S7284" t="s">
        <v>43</v>
      </c>
      <c r="T7284" t="s">
        <v>43</v>
      </c>
      <c r="U7284" t="s">
        <v>43</v>
      </c>
      <c r="V7284" t="s">
        <v>43</v>
      </c>
      <c r="W7284" t="s">
        <v>43</v>
      </c>
      <c r="X7284" t="s">
        <v>43</v>
      </c>
      <c r="Y7284" t="s">
        <v>43</v>
      </c>
      <c r="Z7284" t="s">
        <v>43</v>
      </c>
      <c r="AA7284" t="s">
        <v>43</v>
      </c>
      <c r="AB7284" t="s">
        <v>43</v>
      </c>
      <c r="AC7284" t="s">
        <v>43</v>
      </c>
      <c r="AD7284" t="s">
        <v>43</v>
      </c>
      <c r="AE7284" t="s">
        <v>43</v>
      </c>
      <c r="AF7284" t="s">
        <v>43</v>
      </c>
      <c r="AG7284" t="s">
        <v>43</v>
      </c>
      <c r="AH7284" t="s">
        <v>43</v>
      </c>
      <c r="AI7284" t="s">
        <v>43</v>
      </c>
      <c r="AJ7284" t="s">
        <v>43</v>
      </c>
      <c r="AK7284" t="s">
        <v>43</v>
      </c>
      <c r="AL7284" t="s">
        <v>43</v>
      </c>
      <c r="AM7284" t="s">
        <v>43</v>
      </c>
      <c r="AN7284" t="str">
        <f>HYPERLINK("https://www.google.com/maps?q=10.78964806,79.57878876","Open Location")</f>
        <v>Open Location</v>
      </c>
    </row>
    <row r="7285" spans="1:40" x14ac:dyDescent="0.3">
      <c r="A7285" s="1">
        <v>46210.156134259261</v>
      </c>
      <c r="B7285" t="s">
        <v>40</v>
      </c>
      <c r="C7285" t="s">
        <v>41</v>
      </c>
      <c r="D7285" s="1">
        <v>46210.159004629626</v>
      </c>
      <c r="E7285" t="s">
        <v>42</v>
      </c>
      <c r="F7285" t="s">
        <v>43</v>
      </c>
      <c r="G7285" t="s">
        <v>43</v>
      </c>
      <c r="H7285" t="s">
        <v>43</v>
      </c>
      <c r="I7285" t="s">
        <v>3978</v>
      </c>
      <c r="J7285" t="s">
        <v>43</v>
      </c>
      <c r="K7285" t="s">
        <v>43</v>
      </c>
      <c r="L7285" t="s">
        <v>43</v>
      </c>
      <c r="M7285" t="s">
        <v>43</v>
      </c>
      <c r="N7285" t="s">
        <v>45</v>
      </c>
      <c r="O7285" t="s">
        <v>43</v>
      </c>
      <c r="P7285" t="s">
        <v>43</v>
      </c>
      <c r="Q7285" t="s">
        <v>43</v>
      </c>
      <c r="R7285" t="s">
        <v>43</v>
      </c>
      <c r="S7285" t="s">
        <v>43</v>
      </c>
      <c r="T7285" t="s">
        <v>43</v>
      </c>
      <c r="U7285" t="s">
        <v>43</v>
      </c>
      <c r="V7285" t="s">
        <v>43</v>
      </c>
      <c r="W7285" t="s">
        <v>43</v>
      </c>
      <c r="X7285" t="s">
        <v>43</v>
      </c>
      <c r="Y7285" t="s">
        <v>43</v>
      </c>
      <c r="Z7285" t="s">
        <v>43</v>
      </c>
      <c r="AA7285" t="s">
        <v>43</v>
      </c>
      <c r="AB7285" t="s">
        <v>43</v>
      </c>
      <c r="AC7285" t="s">
        <v>43</v>
      </c>
      <c r="AD7285" t="s">
        <v>43</v>
      </c>
      <c r="AE7285" t="s">
        <v>43</v>
      </c>
      <c r="AF7285" t="s">
        <v>43</v>
      </c>
      <c r="AG7285" t="s">
        <v>43</v>
      </c>
      <c r="AH7285" t="s">
        <v>43</v>
      </c>
      <c r="AI7285" t="s">
        <v>43</v>
      </c>
      <c r="AJ7285" t="s">
        <v>43</v>
      </c>
      <c r="AK7285" t="s">
        <v>43</v>
      </c>
      <c r="AL7285" t="s">
        <v>43</v>
      </c>
      <c r="AM7285" t="s">
        <v>43</v>
      </c>
      <c r="AN7285" t="str">
        <f>HYPERLINK("https://www.google.com/maps?q=10.78965282,79.57878113","Open Location")</f>
        <v>Open Location</v>
      </c>
    </row>
    <row r="7286" spans="1:40" x14ac:dyDescent="0.3">
      <c r="A7286" s="1">
        <v>46210.156018518515</v>
      </c>
      <c r="B7286" t="s">
        <v>40</v>
      </c>
      <c r="C7286" t="s">
        <v>41</v>
      </c>
      <c r="D7286" s="1">
        <v>46210.159004629626</v>
      </c>
      <c r="E7286" t="s">
        <v>42</v>
      </c>
      <c r="F7286" t="s">
        <v>43</v>
      </c>
      <c r="G7286" t="s">
        <v>43</v>
      </c>
      <c r="H7286" t="s">
        <v>43</v>
      </c>
      <c r="I7286" t="s">
        <v>4204</v>
      </c>
      <c r="J7286" t="s">
        <v>43</v>
      </c>
      <c r="K7286" t="s">
        <v>43</v>
      </c>
      <c r="L7286" t="s">
        <v>43</v>
      </c>
      <c r="M7286" t="s">
        <v>43</v>
      </c>
      <c r="N7286" t="s">
        <v>45</v>
      </c>
      <c r="O7286" t="s">
        <v>43</v>
      </c>
      <c r="P7286" t="s">
        <v>43</v>
      </c>
      <c r="Q7286" t="s">
        <v>43</v>
      </c>
      <c r="R7286" t="s">
        <v>43</v>
      </c>
      <c r="S7286" t="s">
        <v>43</v>
      </c>
      <c r="T7286" t="s">
        <v>43</v>
      </c>
      <c r="U7286" t="s">
        <v>43</v>
      </c>
      <c r="V7286" t="s">
        <v>43</v>
      </c>
      <c r="W7286" t="s">
        <v>43</v>
      </c>
      <c r="X7286" t="s">
        <v>43</v>
      </c>
      <c r="Y7286" t="s">
        <v>43</v>
      </c>
      <c r="Z7286" t="s">
        <v>43</v>
      </c>
      <c r="AA7286" t="s">
        <v>43</v>
      </c>
      <c r="AB7286" t="s">
        <v>43</v>
      </c>
      <c r="AC7286" t="s">
        <v>43</v>
      </c>
      <c r="AD7286" t="s">
        <v>43</v>
      </c>
      <c r="AE7286" t="s">
        <v>43</v>
      </c>
      <c r="AF7286" t="s">
        <v>43</v>
      </c>
      <c r="AG7286" t="s">
        <v>43</v>
      </c>
      <c r="AH7286" t="s">
        <v>43</v>
      </c>
      <c r="AI7286" t="s">
        <v>43</v>
      </c>
      <c r="AJ7286" t="s">
        <v>43</v>
      </c>
      <c r="AK7286" t="s">
        <v>43</v>
      </c>
      <c r="AL7286" t="s">
        <v>43</v>
      </c>
      <c r="AM7286" t="s">
        <v>43</v>
      </c>
      <c r="AN7286" t="str">
        <f>HYPERLINK("https://www.google.com/maps?q=10.78966331,79.5787735","Open Location")</f>
        <v>Open Location</v>
      </c>
    </row>
    <row r="7287" spans="1:40" x14ac:dyDescent="0.3">
      <c r="A7287" s="1">
        <v>46210.155902777777</v>
      </c>
      <c r="B7287" t="s">
        <v>40</v>
      </c>
      <c r="C7287" t="s">
        <v>41</v>
      </c>
      <c r="D7287" s="1">
        <v>46210.159016203703</v>
      </c>
      <c r="E7287" t="s">
        <v>42</v>
      </c>
      <c r="F7287" t="s">
        <v>43</v>
      </c>
      <c r="G7287" t="s">
        <v>43</v>
      </c>
      <c r="H7287" t="s">
        <v>43</v>
      </c>
      <c r="I7287" t="s">
        <v>4044</v>
      </c>
      <c r="J7287" t="s">
        <v>43</v>
      </c>
      <c r="K7287" t="s">
        <v>43</v>
      </c>
      <c r="L7287" t="s">
        <v>43</v>
      </c>
      <c r="M7287" t="s">
        <v>43</v>
      </c>
      <c r="N7287" t="s">
        <v>45</v>
      </c>
      <c r="O7287" t="s">
        <v>43</v>
      </c>
      <c r="P7287" t="s">
        <v>43</v>
      </c>
      <c r="Q7287" t="s">
        <v>43</v>
      </c>
      <c r="R7287" t="s">
        <v>43</v>
      </c>
      <c r="S7287" t="s">
        <v>43</v>
      </c>
      <c r="T7287" t="s">
        <v>43</v>
      </c>
      <c r="U7287" t="s">
        <v>43</v>
      </c>
      <c r="V7287" t="s">
        <v>43</v>
      </c>
      <c r="W7287" t="s">
        <v>43</v>
      </c>
      <c r="X7287" t="s">
        <v>43</v>
      </c>
      <c r="Y7287" t="s">
        <v>43</v>
      </c>
      <c r="Z7287" t="s">
        <v>43</v>
      </c>
      <c r="AA7287" t="s">
        <v>43</v>
      </c>
      <c r="AB7287" t="s">
        <v>43</v>
      </c>
      <c r="AC7287" t="s">
        <v>43</v>
      </c>
      <c r="AD7287" t="s">
        <v>43</v>
      </c>
      <c r="AE7287" t="s">
        <v>43</v>
      </c>
      <c r="AF7287" t="s">
        <v>43</v>
      </c>
      <c r="AG7287" t="s">
        <v>43</v>
      </c>
      <c r="AH7287" t="s">
        <v>43</v>
      </c>
      <c r="AI7287" t="s">
        <v>43</v>
      </c>
      <c r="AJ7287" t="s">
        <v>43</v>
      </c>
      <c r="AK7287" t="s">
        <v>43</v>
      </c>
      <c r="AL7287" t="s">
        <v>43</v>
      </c>
      <c r="AM7287" t="s">
        <v>43</v>
      </c>
      <c r="AN7287" t="str">
        <f>HYPERLINK("https://www.google.com/maps?q=10.78966618,79.57876587","Open Location")</f>
        <v>Open Location</v>
      </c>
    </row>
    <row r="7288" spans="1:40" x14ac:dyDescent="0.3">
      <c r="A7288" s="1">
        <v>46210.155787037038</v>
      </c>
      <c r="B7288" t="s">
        <v>40</v>
      </c>
      <c r="C7288" t="s">
        <v>41</v>
      </c>
      <c r="D7288" s="1">
        <v>46210.158761574072</v>
      </c>
      <c r="E7288" t="s">
        <v>42</v>
      </c>
      <c r="F7288" t="s">
        <v>43</v>
      </c>
      <c r="G7288" t="s">
        <v>43</v>
      </c>
      <c r="H7288" t="s">
        <v>43</v>
      </c>
      <c r="I7288" t="s">
        <v>4205</v>
      </c>
      <c r="J7288" t="s">
        <v>43</v>
      </c>
      <c r="K7288" t="s">
        <v>43</v>
      </c>
      <c r="L7288" t="s">
        <v>43</v>
      </c>
      <c r="M7288" t="s">
        <v>43</v>
      </c>
      <c r="N7288" t="s">
        <v>45</v>
      </c>
      <c r="O7288" t="s">
        <v>43</v>
      </c>
      <c r="P7288" t="s">
        <v>43</v>
      </c>
      <c r="Q7288" t="s">
        <v>43</v>
      </c>
      <c r="R7288" t="s">
        <v>43</v>
      </c>
      <c r="S7288" t="s">
        <v>43</v>
      </c>
      <c r="T7288" t="s">
        <v>43</v>
      </c>
      <c r="U7288" t="s">
        <v>43</v>
      </c>
      <c r="V7288" t="s">
        <v>43</v>
      </c>
      <c r="W7288" t="s">
        <v>43</v>
      </c>
      <c r="X7288" t="s">
        <v>43</v>
      </c>
      <c r="Y7288" t="s">
        <v>43</v>
      </c>
      <c r="Z7288" t="s">
        <v>43</v>
      </c>
      <c r="AA7288" t="s">
        <v>43</v>
      </c>
      <c r="AB7288" t="s">
        <v>43</v>
      </c>
      <c r="AC7288" t="s">
        <v>43</v>
      </c>
      <c r="AD7288" t="s">
        <v>43</v>
      </c>
      <c r="AE7288" t="s">
        <v>43</v>
      </c>
      <c r="AF7288" t="s">
        <v>43</v>
      </c>
      <c r="AG7288" t="s">
        <v>43</v>
      </c>
      <c r="AH7288" t="s">
        <v>43</v>
      </c>
      <c r="AI7288" t="s">
        <v>43</v>
      </c>
      <c r="AJ7288" t="s">
        <v>43</v>
      </c>
      <c r="AK7288" t="s">
        <v>43</v>
      </c>
      <c r="AL7288" t="s">
        <v>43</v>
      </c>
      <c r="AM7288" t="s">
        <v>43</v>
      </c>
      <c r="AN7288" t="str">
        <f>HYPERLINK("https://www.google.com/maps?q=10.78966999,79.57876587","Open Location")</f>
        <v>Open Location</v>
      </c>
    </row>
    <row r="7289" spans="1:40" x14ac:dyDescent="0.3">
      <c r="A7289" s="1">
        <v>46210.155671296299</v>
      </c>
      <c r="B7289" t="s">
        <v>40</v>
      </c>
      <c r="C7289" t="s">
        <v>41</v>
      </c>
      <c r="D7289" s="1">
        <v>46210.158703703702</v>
      </c>
      <c r="E7289" t="s">
        <v>42</v>
      </c>
      <c r="F7289" t="s">
        <v>43</v>
      </c>
      <c r="G7289" t="s">
        <v>43</v>
      </c>
      <c r="H7289" t="s">
        <v>43</v>
      </c>
      <c r="I7289" t="s">
        <v>43</v>
      </c>
      <c r="J7289" t="s">
        <v>43</v>
      </c>
      <c r="K7289" t="s">
        <v>43</v>
      </c>
      <c r="L7289" t="s">
        <v>43</v>
      </c>
      <c r="M7289" t="s">
        <v>43</v>
      </c>
      <c r="N7289" t="s">
        <v>45</v>
      </c>
      <c r="O7289" t="s">
        <v>43</v>
      </c>
      <c r="P7289" t="s">
        <v>43</v>
      </c>
      <c r="Q7289" t="s">
        <v>43</v>
      </c>
      <c r="R7289" t="s">
        <v>43</v>
      </c>
      <c r="S7289" t="s">
        <v>43</v>
      </c>
      <c r="T7289" t="s">
        <v>43</v>
      </c>
      <c r="U7289" t="s">
        <v>43</v>
      </c>
      <c r="V7289" t="s">
        <v>43</v>
      </c>
      <c r="W7289" t="s">
        <v>43</v>
      </c>
      <c r="X7289" t="s">
        <v>43</v>
      </c>
      <c r="Y7289" t="s">
        <v>43</v>
      </c>
      <c r="Z7289" t="s">
        <v>43</v>
      </c>
      <c r="AA7289" t="s">
        <v>43</v>
      </c>
      <c r="AB7289" t="s">
        <v>43</v>
      </c>
      <c r="AC7289" t="s">
        <v>43</v>
      </c>
      <c r="AD7289" t="s">
        <v>43</v>
      </c>
      <c r="AE7289" t="s">
        <v>43</v>
      </c>
      <c r="AF7289" t="s">
        <v>43</v>
      </c>
      <c r="AG7289" t="s">
        <v>43</v>
      </c>
      <c r="AH7289" t="s">
        <v>43</v>
      </c>
      <c r="AI7289" t="s">
        <v>43</v>
      </c>
      <c r="AJ7289" t="s">
        <v>43</v>
      </c>
      <c r="AK7289" t="s">
        <v>43</v>
      </c>
      <c r="AL7289" t="s">
        <v>43</v>
      </c>
      <c r="AM7289" t="s">
        <v>43</v>
      </c>
      <c r="AN7289" t="s">
        <v>43</v>
      </c>
    </row>
    <row r="7290" spans="1:40" x14ac:dyDescent="0.3">
      <c r="A7290" s="1">
        <v>46210.155555555553</v>
      </c>
      <c r="B7290" t="s">
        <v>40</v>
      </c>
      <c r="C7290" t="s">
        <v>41</v>
      </c>
      <c r="D7290" s="1">
        <v>46210.158391203702</v>
      </c>
      <c r="E7290" t="s">
        <v>42</v>
      </c>
      <c r="F7290" t="s">
        <v>43</v>
      </c>
      <c r="G7290" t="s">
        <v>43</v>
      </c>
      <c r="H7290" t="s">
        <v>43</v>
      </c>
      <c r="I7290" t="s">
        <v>4206</v>
      </c>
      <c r="J7290" t="s">
        <v>43</v>
      </c>
      <c r="K7290" t="s">
        <v>43</v>
      </c>
      <c r="L7290" t="s">
        <v>43</v>
      </c>
      <c r="M7290" t="s">
        <v>43</v>
      </c>
      <c r="N7290" t="s">
        <v>45</v>
      </c>
      <c r="O7290" t="s">
        <v>43</v>
      </c>
      <c r="P7290" t="s">
        <v>43</v>
      </c>
      <c r="Q7290" t="s">
        <v>43</v>
      </c>
      <c r="R7290" t="s">
        <v>43</v>
      </c>
      <c r="S7290" t="s">
        <v>43</v>
      </c>
      <c r="T7290" t="s">
        <v>43</v>
      </c>
      <c r="U7290" t="s">
        <v>43</v>
      </c>
      <c r="V7290" t="s">
        <v>43</v>
      </c>
      <c r="W7290" t="s">
        <v>43</v>
      </c>
      <c r="X7290" t="s">
        <v>43</v>
      </c>
      <c r="Y7290" t="s">
        <v>43</v>
      </c>
      <c r="Z7290" t="s">
        <v>43</v>
      </c>
      <c r="AA7290" t="s">
        <v>43</v>
      </c>
      <c r="AB7290" t="s">
        <v>43</v>
      </c>
      <c r="AC7290" t="s">
        <v>43</v>
      </c>
      <c r="AD7290" t="s">
        <v>43</v>
      </c>
      <c r="AE7290" t="s">
        <v>43</v>
      </c>
      <c r="AF7290" t="s">
        <v>43</v>
      </c>
      <c r="AG7290" t="s">
        <v>43</v>
      </c>
      <c r="AH7290" t="s">
        <v>43</v>
      </c>
      <c r="AI7290" t="s">
        <v>43</v>
      </c>
      <c r="AJ7290" t="s">
        <v>43</v>
      </c>
      <c r="AK7290" t="s">
        <v>43</v>
      </c>
      <c r="AL7290" t="s">
        <v>43</v>
      </c>
      <c r="AM7290" t="s">
        <v>43</v>
      </c>
      <c r="AN7290" t="str">
        <f>HYPERLINK("https://www.google.com/maps?q=10.7896719,79.5787735","Open Location")</f>
        <v>Open Location</v>
      </c>
    </row>
    <row r="7291" spans="1:40" x14ac:dyDescent="0.3">
      <c r="A7291" s="1">
        <v>46210.155439814815</v>
      </c>
      <c r="B7291" t="s">
        <v>40</v>
      </c>
      <c r="C7291" t="s">
        <v>41</v>
      </c>
      <c r="D7291" s="1">
        <v>46210.158333333333</v>
      </c>
      <c r="E7291" t="s">
        <v>42</v>
      </c>
      <c r="F7291" t="s">
        <v>43</v>
      </c>
      <c r="G7291" t="s">
        <v>43</v>
      </c>
      <c r="H7291" t="s">
        <v>43</v>
      </c>
      <c r="I7291" t="s">
        <v>4023</v>
      </c>
      <c r="J7291" t="s">
        <v>43</v>
      </c>
      <c r="K7291" t="s">
        <v>43</v>
      </c>
      <c r="L7291" t="s">
        <v>43</v>
      </c>
      <c r="M7291" t="s">
        <v>43</v>
      </c>
      <c r="N7291" t="s">
        <v>45</v>
      </c>
      <c r="O7291" t="s">
        <v>43</v>
      </c>
      <c r="P7291" t="s">
        <v>43</v>
      </c>
      <c r="Q7291" t="s">
        <v>43</v>
      </c>
      <c r="R7291" t="s">
        <v>43</v>
      </c>
      <c r="S7291" t="s">
        <v>43</v>
      </c>
      <c r="T7291" t="s">
        <v>43</v>
      </c>
      <c r="U7291" t="s">
        <v>43</v>
      </c>
      <c r="V7291" t="s">
        <v>43</v>
      </c>
      <c r="W7291" t="s">
        <v>43</v>
      </c>
      <c r="X7291" t="s">
        <v>43</v>
      </c>
      <c r="Y7291" t="s">
        <v>43</v>
      </c>
      <c r="Z7291" t="s">
        <v>43</v>
      </c>
      <c r="AA7291" t="s">
        <v>43</v>
      </c>
      <c r="AB7291" t="s">
        <v>43</v>
      </c>
      <c r="AC7291" t="s">
        <v>43</v>
      </c>
      <c r="AD7291" t="s">
        <v>43</v>
      </c>
      <c r="AE7291" t="s">
        <v>43</v>
      </c>
      <c r="AF7291" t="s">
        <v>43</v>
      </c>
      <c r="AG7291" t="s">
        <v>43</v>
      </c>
      <c r="AH7291" t="s">
        <v>43</v>
      </c>
      <c r="AI7291" t="s">
        <v>43</v>
      </c>
      <c r="AJ7291" t="s">
        <v>43</v>
      </c>
      <c r="AK7291" t="s">
        <v>43</v>
      </c>
      <c r="AL7291" t="s">
        <v>43</v>
      </c>
      <c r="AM7291" t="s">
        <v>43</v>
      </c>
      <c r="AN7291" t="str">
        <f>HYPERLINK("https://www.google.com/maps?q=10.78967285,79.5787735","Open Location")</f>
        <v>Open Location</v>
      </c>
    </row>
    <row r="7292" spans="1:40" x14ac:dyDescent="0.3">
      <c r="A7292" s="1">
        <v>46210.155324074076</v>
      </c>
      <c r="B7292" t="s">
        <v>40</v>
      </c>
      <c r="C7292" t="s">
        <v>41</v>
      </c>
      <c r="D7292" s="1">
        <v>46210.15834490741</v>
      </c>
      <c r="E7292" t="s">
        <v>42</v>
      </c>
      <c r="F7292" t="s">
        <v>43</v>
      </c>
      <c r="G7292" t="s">
        <v>43</v>
      </c>
      <c r="H7292" t="s">
        <v>43</v>
      </c>
      <c r="I7292" t="s">
        <v>4021</v>
      </c>
      <c r="J7292" t="s">
        <v>43</v>
      </c>
      <c r="K7292" t="s">
        <v>43</v>
      </c>
      <c r="L7292" t="s">
        <v>43</v>
      </c>
      <c r="M7292" t="s">
        <v>43</v>
      </c>
      <c r="N7292" t="s">
        <v>45</v>
      </c>
      <c r="O7292" t="s">
        <v>43</v>
      </c>
      <c r="P7292" t="s">
        <v>43</v>
      </c>
      <c r="Q7292" t="s">
        <v>43</v>
      </c>
      <c r="R7292" t="s">
        <v>43</v>
      </c>
      <c r="S7292" t="s">
        <v>43</v>
      </c>
      <c r="T7292" t="s">
        <v>43</v>
      </c>
      <c r="U7292" t="s">
        <v>43</v>
      </c>
      <c r="V7292" t="s">
        <v>43</v>
      </c>
      <c r="W7292" t="s">
        <v>43</v>
      </c>
      <c r="X7292" t="s">
        <v>43</v>
      </c>
      <c r="Y7292" t="s">
        <v>43</v>
      </c>
      <c r="Z7292" t="s">
        <v>43</v>
      </c>
      <c r="AA7292" t="s">
        <v>43</v>
      </c>
      <c r="AB7292" t="s">
        <v>43</v>
      </c>
      <c r="AC7292" t="s">
        <v>43</v>
      </c>
      <c r="AD7292" t="s">
        <v>43</v>
      </c>
      <c r="AE7292" t="s">
        <v>43</v>
      </c>
      <c r="AF7292" t="s">
        <v>43</v>
      </c>
      <c r="AG7292" t="s">
        <v>43</v>
      </c>
      <c r="AH7292" t="s">
        <v>43</v>
      </c>
      <c r="AI7292" t="s">
        <v>43</v>
      </c>
      <c r="AJ7292" t="s">
        <v>43</v>
      </c>
      <c r="AK7292" t="s">
        <v>43</v>
      </c>
      <c r="AL7292" t="s">
        <v>43</v>
      </c>
      <c r="AM7292" t="s">
        <v>43</v>
      </c>
      <c r="AN7292" t="str">
        <f>HYPERLINK("https://www.google.com/maps?q=10.78967857,79.57876587","Open Location")</f>
        <v>Open Location</v>
      </c>
    </row>
    <row r="7293" spans="1:40" x14ac:dyDescent="0.3">
      <c r="A7293" s="1">
        <v>46210.15520833333</v>
      </c>
      <c r="B7293" t="s">
        <v>40</v>
      </c>
      <c r="C7293" t="s">
        <v>41</v>
      </c>
      <c r="D7293" s="1">
        <v>46210.158263888887</v>
      </c>
      <c r="E7293" t="s">
        <v>42</v>
      </c>
      <c r="F7293" t="s">
        <v>43</v>
      </c>
      <c r="G7293" t="s">
        <v>43</v>
      </c>
      <c r="H7293" t="s">
        <v>43</v>
      </c>
      <c r="I7293" t="s">
        <v>4023</v>
      </c>
      <c r="J7293" t="s">
        <v>43</v>
      </c>
      <c r="K7293" t="s">
        <v>43</v>
      </c>
      <c r="L7293" t="s">
        <v>43</v>
      </c>
      <c r="M7293" t="s">
        <v>43</v>
      </c>
      <c r="N7293" t="s">
        <v>45</v>
      </c>
      <c r="O7293" t="s">
        <v>43</v>
      </c>
      <c r="P7293" t="s">
        <v>43</v>
      </c>
      <c r="Q7293" t="s">
        <v>43</v>
      </c>
      <c r="R7293" t="s">
        <v>43</v>
      </c>
      <c r="S7293" t="s">
        <v>43</v>
      </c>
      <c r="T7293" t="s">
        <v>43</v>
      </c>
      <c r="U7293" t="s">
        <v>43</v>
      </c>
      <c r="V7293" t="s">
        <v>43</v>
      </c>
      <c r="W7293" t="s">
        <v>43</v>
      </c>
      <c r="X7293" t="s">
        <v>43</v>
      </c>
      <c r="Y7293" t="s">
        <v>43</v>
      </c>
      <c r="Z7293" t="s">
        <v>43</v>
      </c>
      <c r="AA7293" t="s">
        <v>43</v>
      </c>
      <c r="AB7293" t="s">
        <v>43</v>
      </c>
      <c r="AC7293" t="s">
        <v>43</v>
      </c>
      <c r="AD7293" t="s">
        <v>43</v>
      </c>
      <c r="AE7293" t="s">
        <v>43</v>
      </c>
      <c r="AF7293" t="s">
        <v>43</v>
      </c>
      <c r="AG7293" t="s">
        <v>43</v>
      </c>
      <c r="AH7293" t="s">
        <v>43</v>
      </c>
      <c r="AI7293" t="s">
        <v>43</v>
      </c>
      <c r="AJ7293" t="s">
        <v>43</v>
      </c>
      <c r="AK7293" t="s">
        <v>43</v>
      </c>
      <c r="AL7293" t="s">
        <v>43</v>
      </c>
      <c r="AM7293" t="s">
        <v>43</v>
      </c>
      <c r="AN7293" t="str">
        <f>HYPERLINK("https://www.google.com/maps?q=10.78967285,79.5787735","Open Location")</f>
        <v>Open Location</v>
      </c>
    </row>
    <row r="7294" spans="1:40" x14ac:dyDescent="0.3">
      <c r="A7294" s="1">
        <v>46210.155092592591</v>
      </c>
      <c r="B7294" t="s">
        <v>40</v>
      </c>
      <c r="C7294" t="s">
        <v>41</v>
      </c>
      <c r="D7294" s="1">
        <v>46210.157939814817</v>
      </c>
      <c r="E7294" t="s">
        <v>42</v>
      </c>
      <c r="F7294" t="s">
        <v>43</v>
      </c>
      <c r="G7294" t="s">
        <v>43</v>
      </c>
      <c r="H7294" t="s">
        <v>43</v>
      </c>
      <c r="I7294" t="s">
        <v>4207</v>
      </c>
      <c r="J7294" t="s">
        <v>43</v>
      </c>
      <c r="K7294" t="s">
        <v>43</v>
      </c>
      <c r="L7294" t="s">
        <v>43</v>
      </c>
      <c r="M7294" t="s">
        <v>43</v>
      </c>
      <c r="N7294" t="s">
        <v>45</v>
      </c>
      <c r="O7294" t="s">
        <v>43</v>
      </c>
      <c r="P7294" t="s">
        <v>43</v>
      </c>
      <c r="Q7294" t="s">
        <v>43</v>
      </c>
      <c r="R7294" t="s">
        <v>43</v>
      </c>
      <c r="S7294" t="s">
        <v>43</v>
      </c>
      <c r="T7294" t="s">
        <v>43</v>
      </c>
      <c r="U7294" t="s">
        <v>43</v>
      </c>
      <c r="V7294" t="s">
        <v>43</v>
      </c>
      <c r="W7294" t="s">
        <v>43</v>
      </c>
      <c r="X7294" t="s">
        <v>43</v>
      </c>
      <c r="Y7294" t="s">
        <v>43</v>
      </c>
      <c r="Z7294" t="s">
        <v>43</v>
      </c>
      <c r="AA7294" t="s">
        <v>43</v>
      </c>
      <c r="AB7294" t="s">
        <v>43</v>
      </c>
      <c r="AC7294" t="s">
        <v>43</v>
      </c>
      <c r="AD7294" t="s">
        <v>43</v>
      </c>
      <c r="AE7294" t="s">
        <v>43</v>
      </c>
      <c r="AF7294" t="s">
        <v>43</v>
      </c>
      <c r="AG7294" t="s">
        <v>43</v>
      </c>
      <c r="AH7294" t="s">
        <v>43</v>
      </c>
      <c r="AI7294" t="s">
        <v>43</v>
      </c>
      <c r="AJ7294" t="s">
        <v>43</v>
      </c>
      <c r="AK7294" t="s">
        <v>43</v>
      </c>
      <c r="AL7294" t="s">
        <v>43</v>
      </c>
      <c r="AM7294" t="s">
        <v>43</v>
      </c>
      <c r="AN7294" t="str">
        <f>HYPERLINK("https://www.google.com/maps?q=10.78967762,79.57876587","Open Location")</f>
        <v>Open Location</v>
      </c>
    </row>
    <row r="7295" spans="1:40" x14ac:dyDescent="0.3">
      <c r="A7295" s="1">
        <v>46210.154976851853</v>
      </c>
      <c r="B7295" t="s">
        <v>40</v>
      </c>
      <c r="C7295" t="s">
        <v>41</v>
      </c>
      <c r="D7295" s="1">
        <v>46210.15797453704</v>
      </c>
      <c r="E7295" t="s">
        <v>42</v>
      </c>
      <c r="F7295" t="s">
        <v>43</v>
      </c>
      <c r="G7295" t="s">
        <v>43</v>
      </c>
      <c r="H7295" t="s">
        <v>43</v>
      </c>
      <c r="I7295" t="s">
        <v>43</v>
      </c>
      <c r="J7295" t="s">
        <v>43</v>
      </c>
      <c r="K7295" t="s">
        <v>43</v>
      </c>
      <c r="L7295" t="s">
        <v>43</v>
      </c>
      <c r="M7295" t="s">
        <v>43</v>
      </c>
      <c r="N7295" t="s">
        <v>45</v>
      </c>
      <c r="O7295" t="s">
        <v>43</v>
      </c>
      <c r="P7295" t="s">
        <v>43</v>
      </c>
      <c r="Q7295" t="s">
        <v>43</v>
      </c>
      <c r="R7295" t="s">
        <v>43</v>
      </c>
      <c r="S7295" t="s">
        <v>43</v>
      </c>
      <c r="T7295" t="s">
        <v>43</v>
      </c>
      <c r="U7295" t="s">
        <v>43</v>
      </c>
      <c r="V7295" t="s">
        <v>43</v>
      </c>
      <c r="W7295" t="s">
        <v>43</v>
      </c>
      <c r="X7295" t="s">
        <v>43</v>
      </c>
      <c r="Y7295" t="s">
        <v>43</v>
      </c>
      <c r="Z7295" t="s">
        <v>43</v>
      </c>
      <c r="AA7295" t="s">
        <v>43</v>
      </c>
      <c r="AB7295" t="s">
        <v>43</v>
      </c>
      <c r="AC7295" t="s">
        <v>43</v>
      </c>
      <c r="AD7295" t="s">
        <v>43</v>
      </c>
      <c r="AE7295" t="s">
        <v>43</v>
      </c>
      <c r="AF7295" t="s">
        <v>43</v>
      </c>
      <c r="AG7295" t="s">
        <v>43</v>
      </c>
      <c r="AH7295" t="s">
        <v>43</v>
      </c>
      <c r="AI7295" t="s">
        <v>43</v>
      </c>
      <c r="AJ7295" t="s">
        <v>43</v>
      </c>
      <c r="AK7295" t="s">
        <v>43</v>
      </c>
      <c r="AL7295" t="s">
        <v>43</v>
      </c>
      <c r="AM7295" t="s">
        <v>43</v>
      </c>
      <c r="AN7295" t="s">
        <v>43</v>
      </c>
    </row>
    <row r="7296" spans="1:40" x14ac:dyDescent="0.3">
      <c r="A7296" s="1">
        <v>46210.154861111114</v>
      </c>
      <c r="B7296" t="s">
        <v>40</v>
      </c>
      <c r="C7296" t="s">
        <v>41</v>
      </c>
      <c r="D7296" s="1">
        <v>46210.157916666663</v>
      </c>
      <c r="E7296" t="s">
        <v>42</v>
      </c>
      <c r="F7296" t="s">
        <v>43</v>
      </c>
      <c r="G7296" t="s">
        <v>43</v>
      </c>
      <c r="H7296" t="s">
        <v>43</v>
      </c>
      <c r="I7296" t="s">
        <v>4208</v>
      </c>
      <c r="J7296" t="s">
        <v>43</v>
      </c>
      <c r="K7296" t="s">
        <v>43</v>
      </c>
      <c r="L7296" t="s">
        <v>43</v>
      </c>
      <c r="M7296" t="s">
        <v>43</v>
      </c>
      <c r="N7296" t="s">
        <v>45</v>
      </c>
      <c r="O7296" t="s">
        <v>43</v>
      </c>
      <c r="P7296" t="s">
        <v>43</v>
      </c>
      <c r="Q7296" t="s">
        <v>43</v>
      </c>
      <c r="R7296" t="s">
        <v>43</v>
      </c>
      <c r="S7296" t="s">
        <v>43</v>
      </c>
      <c r="T7296" t="s">
        <v>43</v>
      </c>
      <c r="U7296" t="s">
        <v>43</v>
      </c>
      <c r="V7296" t="s">
        <v>43</v>
      </c>
      <c r="W7296" t="s">
        <v>43</v>
      </c>
      <c r="X7296" t="s">
        <v>43</v>
      </c>
      <c r="Y7296" t="s">
        <v>43</v>
      </c>
      <c r="Z7296" t="s">
        <v>43</v>
      </c>
      <c r="AA7296" t="s">
        <v>43</v>
      </c>
      <c r="AB7296" t="s">
        <v>43</v>
      </c>
      <c r="AC7296" t="s">
        <v>43</v>
      </c>
      <c r="AD7296" t="s">
        <v>43</v>
      </c>
      <c r="AE7296" t="s">
        <v>43</v>
      </c>
      <c r="AF7296" t="s">
        <v>43</v>
      </c>
      <c r="AG7296" t="s">
        <v>43</v>
      </c>
      <c r="AH7296" t="s">
        <v>43</v>
      </c>
      <c r="AI7296" t="s">
        <v>43</v>
      </c>
      <c r="AJ7296" t="s">
        <v>43</v>
      </c>
      <c r="AK7296" t="s">
        <v>43</v>
      </c>
      <c r="AL7296" t="s">
        <v>43</v>
      </c>
      <c r="AM7296" t="s">
        <v>43</v>
      </c>
      <c r="AN7296" t="str">
        <f>HYPERLINK("https://www.google.com/maps?q=10.78968239,79.5787735","Open Location")</f>
        <v>Open Location</v>
      </c>
    </row>
    <row r="7297" spans="1:40" x14ac:dyDescent="0.3">
      <c r="A7297" s="1">
        <v>46210.154745370368</v>
      </c>
      <c r="B7297" t="s">
        <v>40</v>
      </c>
      <c r="C7297" t="s">
        <v>41</v>
      </c>
      <c r="D7297" s="1">
        <v>46210.157673611109</v>
      </c>
      <c r="E7297" t="s">
        <v>42</v>
      </c>
      <c r="F7297" t="s">
        <v>43</v>
      </c>
      <c r="G7297" t="s">
        <v>43</v>
      </c>
      <c r="H7297" t="s">
        <v>43</v>
      </c>
      <c r="I7297" t="s">
        <v>4209</v>
      </c>
      <c r="J7297" t="s">
        <v>43</v>
      </c>
      <c r="K7297" t="s">
        <v>43</v>
      </c>
      <c r="L7297" t="s">
        <v>43</v>
      </c>
      <c r="M7297" t="s">
        <v>43</v>
      </c>
      <c r="N7297" t="s">
        <v>45</v>
      </c>
      <c r="O7297" t="s">
        <v>43</v>
      </c>
      <c r="P7297" t="s">
        <v>43</v>
      </c>
      <c r="Q7297" t="s">
        <v>43</v>
      </c>
      <c r="R7297" t="s">
        <v>43</v>
      </c>
      <c r="S7297" t="s">
        <v>43</v>
      </c>
      <c r="T7297" t="s">
        <v>43</v>
      </c>
      <c r="U7297" t="s">
        <v>43</v>
      </c>
      <c r="V7297" t="s">
        <v>43</v>
      </c>
      <c r="W7297" t="s">
        <v>43</v>
      </c>
      <c r="X7297" t="s">
        <v>43</v>
      </c>
      <c r="Y7297" t="s">
        <v>43</v>
      </c>
      <c r="Z7297" t="s">
        <v>43</v>
      </c>
      <c r="AA7297" t="s">
        <v>43</v>
      </c>
      <c r="AB7297" t="s">
        <v>43</v>
      </c>
      <c r="AC7297" t="s">
        <v>43</v>
      </c>
      <c r="AD7297" t="s">
        <v>43</v>
      </c>
      <c r="AE7297" t="s">
        <v>43</v>
      </c>
      <c r="AF7297" t="s">
        <v>43</v>
      </c>
      <c r="AG7297" t="s">
        <v>43</v>
      </c>
      <c r="AH7297" t="s">
        <v>43</v>
      </c>
      <c r="AI7297" t="s">
        <v>43</v>
      </c>
      <c r="AJ7297" t="s">
        <v>43</v>
      </c>
      <c r="AK7297" t="s">
        <v>43</v>
      </c>
      <c r="AL7297" t="s">
        <v>43</v>
      </c>
      <c r="AM7297" t="s">
        <v>43</v>
      </c>
      <c r="AN7297" t="str">
        <f>HYPERLINK("https://www.google.com/maps?q=10.78968334,79.57876587","Open Location")</f>
        <v>Open Location</v>
      </c>
    </row>
    <row r="7298" spans="1:40" x14ac:dyDescent="0.3">
      <c r="A7298" s="1">
        <v>46210.154629629629</v>
      </c>
      <c r="B7298" t="s">
        <v>40</v>
      </c>
      <c r="C7298" t="s">
        <v>41</v>
      </c>
      <c r="D7298" s="1">
        <v>46210.157546296294</v>
      </c>
      <c r="E7298" t="s">
        <v>42</v>
      </c>
      <c r="F7298" t="s">
        <v>43</v>
      </c>
      <c r="G7298" t="s">
        <v>43</v>
      </c>
      <c r="H7298" t="s">
        <v>43</v>
      </c>
      <c r="I7298" t="s">
        <v>4210</v>
      </c>
      <c r="J7298" t="s">
        <v>43</v>
      </c>
      <c r="K7298" t="s">
        <v>43</v>
      </c>
      <c r="L7298" t="s">
        <v>43</v>
      </c>
      <c r="M7298" t="s">
        <v>43</v>
      </c>
      <c r="N7298" t="s">
        <v>45</v>
      </c>
      <c r="O7298" t="s">
        <v>43</v>
      </c>
      <c r="P7298" t="s">
        <v>43</v>
      </c>
      <c r="Q7298" t="s">
        <v>43</v>
      </c>
      <c r="R7298" t="s">
        <v>43</v>
      </c>
      <c r="S7298" t="s">
        <v>43</v>
      </c>
      <c r="T7298" t="s">
        <v>43</v>
      </c>
      <c r="U7298" t="s">
        <v>43</v>
      </c>
      <c r="V7298" t="s">
        <v>43</v>
      </c>
      <c r="W7298" t="s">
        <v>43</v>
      </c>
      <c r="X7298" t="s">
        <v>43</v>
      </c>
      <c r="Y7298" t="s">
        <v>43</v>
      </c>
      <c r="Z7298" t="s">
        <v>43</v>
      </c>
      <c r="AA7298" t="s">
        <v>43</v>
      </c>
      <c r="AB7298" t="s">
        <v>43</v>
      </c>
      <c r="AC7298" t="s">
        <v>43</v>
      </c>
      <c r="AD7298" t="s">
        <v>43</v>
      </c>
      <c r="AE7298" t="s">
        <v>43</v>
      </c>
      <c r="AF7298" t="s">
        <v>43</v>
      </c>
      <c r="AG7298" t="s">
        <v>43</v>
      </c>
      <c r="AH7298" t="s">
        <v>43</v>
      </c>
      <c r="AI7298" t="s">
        <v>43</v>
      </c>
      <c r="AJ7298" t="s">
        <v>43</v>
      </c>
      <c r="AK7298" t="s">
        <v>43</v>
      </c>
      <c r="AL7298" t="s">
        <v>43</v>
      </c>
      <c r="AM7298" t="s">
        <v>43</v>
      </c>
      <c r="AN7298" t="str">
        <f>HYPERLINK("https://www.google.com/maps?q=10.78968716,79.57876587","Open Location")</f>
        <v>Open Location</v>
      </c>
    </row>
    <row r="7299" spans="1:40" x14ac:dyDescent="0.3">
      <c r="A7299" s="1">
        <v>46210.154513888891</v>
      </c>
      <c r="B7299" t="s">
        <v>40</v>
      </c>
      <c r="C7299" t="s">
        <v>41</v>
      </c>
      <c r="D7299" s="1">
        <v>46210.157557870371</v>
      </c>
      <c r="E7299" t="s">
        <v>42</v>
      </c>
      <c r="F7299" t="s">
        <v>43</v>
      </c>
      <c r="G7299" t="s">
        <v>43</v>
      </c>
      <c r="H7299" t="s">
        <v>43</v>
      </c>
      <c r="I7299" t="s">
        <v>4211</v>
      </c>
      <c r="J7299" t="s">
        <v>43</v>
      </c>
      <c r="K7299" t="s">
        <v>43</v>
      </c>
      <c r="L7299" t="s">
        <v>43</v>
      </c>
      <c r="M7299" t="s">
        <v>43</v>
      </c>
      <c r="N7299" t="s">
        <v>45</v>
      </c>
      <c r="O7299" t="s">
        <v>43</v>
      </c>
      <c r="P7299" t="s">
        <v>43</v>
      </c>
      <c r="Q7299" t="s">
        <v>43</v>
      </c>
      <c r="R7299" t="s">
        <v>43</v>
      </c>
      <c r="S7299" t="s">
        <v>43</v>
      </c>
      <c r="T7299" t="s">
        <v>43</v>
      </c>
      <c r="U7299" t="s">
        <v>43</v>
      </c>
      <c r="V7299" t="s">
        <v>43</v>
      </c>
      <c r="W7299" t="s">
        <v>43</v>
      </c>
      <c r="X7299" t="s">
        <v>43</v>
      </c>
      <c r="Y7299" t="s">
        <v>43</v>
      </c>
      <c r="Z7299" t="s">
        <v>43</v>
      </c>
      <c r="AA7299" t="s">
        <v>43</v>
      </c>
      <c r="AB7299" t="s">
        <v>43</v>
      </c>
      <c r="AC7299" t="s">
        <v>43</v>
      </c>
      <c r="AD7299" t="s">
        <v>43</v>
      </c>
      <c r="AE7299" t="s">
        <v>43</v>
      </c>
      <c r="AF7299" t="s">
        <v>43</v>
      </c>
      <c r="AG7299" t="s">
        <v>43</v>
      </c>
      <c r="AH7299" t="s">
        <v>43</v>
      </c>
      <c r="AI7299" t="s">
        <v>43</v>
      </c>
      <c r="AJ7299" t="s">
        <v>43</v>
      </c>
      <c r="AK7299" t="s">
        <v>43</v>
      </c>
      <c r="AL7299" t="s">
        <v>43</v>
      </c>
      <c r="AM7299" t="s">
        <v>43</v>
      </c>
      <c r="AN7299" t="str">
        <f>HYPERLINK("https://www.google.com/maps?q=10.78969097,79.57878113","Open Location")</f>
        <v>Open Location</v>
      </c>
    </row>
    <row r="7300" spans="1:40" x14ac:dyDescent="0.3">
      <c r="A7300" s="1">
        <v>46210.154398148145</v>
      </c>
      <c r="B7300" t="s">
        <v>40</v>
      </c>
      <c r="C7300" t="s">
        <v>41</v>
      </c>
      <c r="D7300" s="1">
        <v>46210.15730324074</v>
      </c>
      <c r="E7300" t="s">
        <v>42</v>
      </c>
      <c r="F7300" t="s">
        <v>43</v>
      </c>
      <c r="G7300" t="s">
        <v>43</v>
      </c>
      <c r="H7300" t="s">
        <v>43</v>
      </c>
      <c r="I7300" t="s">
        <v>43</v>
      </c>
      <c r="J7300" t="s">
        <v>43</v>
      </c>
      <c r="K7300" t="s">
        <v>43</v>
      </c>
      <c r="L7300" t="s">
        <v>43</v>
      </c>
      <c r="M7300" t="s">
        <v>43</v>
      </c>
      <c r="N7300" t="s">
        <v>45</v>
      </c>
      <c r="O7300" t="s">
        <v>43</v>
      </c>
      <c r="P7300" t="s">
        <v>43</v>
      </c>
      <c r="Q7300" t="s">
        <v>43</v>
      </c>
      <c r="R7300" t="s">
        <v>43</v>
      </c>
      <c r="S7300" t="s">
        <v>43</v>
      </c>
      <c r="T7300" t="s">
        <v>43</v>
      </c>
      <c r="U7300" t="s">
        <v>43</v>
      </c>
      <c r="V7300" t="s">
        <v>43</v>
      </c>
      <c r="W7300" t="s">
        <v>43</v>
      </c>
      <c r="X7300" t="s">
        <v>43</v>
      </c>
      <c r="Y7300" t="s">
        <v>43</v>
      </c>
      <c r="Z7300" t="s">
        <v>43</v>
      </c>
      <c r="AA7300" t="s">
        <v>43</v>
      </c>
      <c r="AB7300" t="s">
        <v>43</v>
      </c>
      <c r="AC7300" t="s">
        <v>43</v>
      </c>
      <c r="AD7300" t="s">
        <v>43</v>
      </c>
      <c r="AE7300" t="s">
        <v>43</v>
      </c>
      <c r="AF7300" t="s">
        <v>43</v>
      </c>
      <c r="AG7300" t="s">
        <v>43</v>
      </c>
      <c r="AH7300" t="s">
        <v>43</v>
      </c>
      <c r="AI7300" t="s">
        <v>43</v>
      </c>
      <c r="AJ7300" t="s">
        <v>43</v>
      </c>
      <c r="AK7300" t="s">
        <v>43</v>
      </c>
      <c r="AL7300" t="s">
        <v>43</v>
      </c>
      <c r="AM7300" t="s">
        <v>43</v>
      </c>
      <c r="AN7300" t="s">
        <v>43</v>
      </c>
    </row>
    <row r="7301" spans="1:40" x14ac:dyDescent="0.3">
      <c r="A7301" s="1">
        <v>46210.154282407406</v>
      </c>
      <c r="B7301" t="s">
        <v>40</v>
      </c>
      <c r="C7301" t="s">
        <v>41</v>
      </c>
      <c r="D7301" s="1">
        <v>46210.157210648147</v>
      </c>
      <c r="E7301" t="s">
        <v>42</v>
      </c>
      <c r="F7301" t="s">
        <v>43</v>
      </c>
      <c r="G7301" t="s">
        <v>43</v>
      </c>
      <c r="H7301" t="s">
        <v>43</v>
      </c>
      <c r="I7301" t="s">
        <v>4212</v>
      </c>
      <c r="J7301" t="s">
        <v>43</v>
      </c>
      <c r="K7301" t="s">
        <v>43</v>
      </c>
      <c r="L7301" t="s">
        <v>43</v>
      </c>
      <c r="M7301" t="s">
        <v>43</v>
      </c>
      <c r="N7301" t="s">
        <v>45</v>
      </c>
      <c r="O7301" t="s">
        <v>43</v>
      </c>
      <c r="P7301" t="s">
        <v>43</v>
      </c>
      <c r="Q7301" t="s">
        <v>43</v>
      </c>
      <c r="R7301" t="s">
        <v>43</v>
      </c>
      <c r="S7301" t="s">
        <v>43</v>
      </c>
      <c r="T7301" t="s">
        <v>43</v>
      </c>
      <c r="U7301" t="s">
        <v>43</v>
      </c>
      <c r="V7301" t="s">
        <v>43</v>
      </c>
      <c r="W7301" t="s">
        <v>43</v>
      </c>
      <c r="X7301" t="s">
        <v>43</v>
      </c>
      <c r="Y7301" t="s">
        <v>43</v>
      </c>
      <c r="Z7301" t="s">
        <v>43</v>
      </c>
      <c r="AA7301" t="s">
        <v>43</v>
      </c>
      <c r="AB7301" t="s">
        <v>43</v>
      </c>
      <c r="AC7301" t="s">
        <v>43</v>
      </c>
      <c r="AD7301" t="s">
        <v>43</v>
      </c>
      <c r="AE7301" t="s">
        <v>43</v>
      </c>
      <c r="AF7301" t="s">
        <v>43</v>
      </c>
      <c r="AG7301" t="s">
        <v>43</v>
      </c>
      <c r="AH7301" t="s">
        <v>43</v>
      </c>
      <c r="AI7301" t="s">
        <v>43</v>
      </c>
      <c r="AJ7301" t="s">
        <v>43</v>
      </c>
      <c r="AK7301" t="s">
        <v>43</v>
      </c>
      <c r="AL7301" t="s">
        <v>43</v>
      </c>
      <c r="AM7301" t="s">
        <v>43</v>
      </c>
      <c r="AN7301" t="str">
        <f>HYPERLINK("https://www.google.com/maps?q=10.78968906,79.57878113","Open Location")</f>
        <v>Open Location</v>
      </c>
    </row>
    <row r="7302" spans="1:40" x14ac:dyDescent="0.3">
      <c r="A7302" s="1">
        <v>46210.154166666667</v>
      </c>
      <c r="B7302" t="s">
        <v>40</v>
      </c>
      <c r="C7302" t="s">
        <v>41</v>
      </c>
      <c r="D7302" s="1">
        <v>46210.15693287037</v>
      </c>
      <c r="E7302" t="s">
        <v>42</v>
      </c>
      <c r="F7302" t="s">
        <v>43</v>
      </c>
      <c r="G7302" t="s">
        <v>43</v>
      </c>
      <c r="H7302" t="s">
        <v>43</v>
      </c>
      <c r="I7302" t="s">
        <v>4213</v>
      </c>
      <c r="J7302" t="s">
        <v>43</v>
      </c>
      <c r="K7302" t="s">
        <v>43</v>
      </c>
      <c r="L7302" t="s">
        <v>43</v>
      </c>
      <c r="M7302" t="s">
        <v>43</v>
      </c>
      <c r="N7302" t="s">
        <v>45</v>
      </c>
      <c r="O7302" t="s">
        <v>43</v>
      </c>
      <c r="P7302" t="s">
        <v>43</v>
      </c>
      <c r="Q7302" t="s">
        <v>43</v>
      </c>
      <c r="R7302" t="s">
        <v>43</v>
      </c>
      <c r="S7302" t="s">
        <v>43</v>
      </c>
      <c r="T7302" t="s">
        <v>43</v>
      </c>
      <c r="U7302" t="s">
        <v>43</v>
      </c>
      <c r="V7302" t="s">
        <v>43</v>
      </c>
      <c r="W7302" t="s">
        <v>43</v>
      </c>
      <c r="X7302" t="s">
        <v>43</v>
      </c>
      <c r="Y7302" t="s">
        <v>43</v>
      </c>
      <c r="Z7302" t="s">
        <v>43</v>
      </c>
      <c r="AA7302" t="s">
        <v>43</v>
      </c>
      <c r="AB7302" t="s">
        <v>43</v>
      </c>
      <c r="AC7302" t="s">
        <v>43</v>
      </c>
      <c r="AD7302" t="s">
        <v>43</v>
      </c>
      <c r="AE7302" t="s">
        <v>43</v>
      </c>
      <c r="AF7302" t="s">
        <v>43</v>
      </c>
      <c r="AG7302" t="s">
        <v>43</v>
      </c>
      <c r="AH7302" t="s">
        <v>43</v>
      </c>
      <c r="AI7302" t="s">
        <v>43</v>
      </c>
      <c r="AJ7302" t="s">
        <v>43</v>
      </c>
      <c r="AK7302" t="s">
        <v>43</v>
      </c>
      <c r="AL7302" t="s">
        <v>43</v>
      </c>
      <c r="AM7302" t="s">
        <v>43</v>
      </c>
      <c r="AN7302" t="str">
        <f>HYPERLINK("https://www.google.com/maps?q=10.7896843,79.57878113","Open Location")</f>
        <v>Open Location</v>
      </c>
    </row>
    <row r="7303" spans="1:40" x14ac:dyDescent="0.3">
      <c r="A7303" s="1">
        <v>46210.154050925928</v>
      </c>
      <c r="B7303" t="s">
        <v>40</v>
      </c>
      <c r="C7303" t="s">
        <v>41</v>
      </c>
      <c r="D7303" s="1">
        <v>46210.157152777778</v>
      </c>
      <c r="E7303" t="s">
        <v>42</v>
      </c>
      <c r="F7303" t="s">
        <v>43</v>
      </c>
      <c r="G7303" t="s">
        <v>43</v>
      </c>
      <c r="H7303" t="s">
        <v>43</v>
      </c>
      <c r="I7303" t="s">
        <v>4214</v>
      </c>
      <c r="J7303" t="s">
        <v>43</v>
      </c>
      <c r="K7303" t="s">
        <v>43</v>
      </c>
      <c r="L7303" t="s">
        <v>43</v>
      </c>
      <c r="M7303" t="s">
        <v>43</v>
      </c>
      <c r="N7303" t="s">
        <v>45</v>
      </c>
      <c r="O7303" t="s">
        <v>43</v>
      </c>
      <c r="P7303" t="s">
        <v>43</v>
      </c>
      <c r="Q7303" t="s">
        <v>43</v>
      </c>
      <c r="R7303" t="s">
        <v>43</v>
      </c>
      <c r="S7303" t="s">
        <v>43</v>
      </c>
      <c r="T7303" t="s">
        <v>43</v>
      </c>
      <c r="U7303" t="s">
        <v>43</v>
      </c>
      <c r="V7303" t="s">
        <v>43</v>
      </c>
      <c r="W7303" t="s">
        <v>43</v>
      </c>
      <c r="X7303" t="s">
        <v>43</v>
      </c>
      <c r="Y7303" t="s">
        <v>43</v>
      </c>
      <c r="Z7303" t="s">
        <v>43</v>
      </c>
      <c r="AA7303" t="s">
        <v>43</v>
      </c>
      <c r="AB7303" t="s">
        <v>43</v>
      </c>
      <c r="AC7303" t="s">
        <v>43</v>
      </c>
      <c r="AD7303" t="s">
        <v>43</v>
      </c>
      <c r="AE7303" t="s">
        <v>43</v>
      </c>
      <c r="AF7303" t="s">
        <v>43</v>
      </c>
      <c r="AG7303" t="s">
        <v>43</v>
      </c>
      <c r="AH7303" t="s">
        <v>43</v>
      </c>
      <c r="AI7303" t="s">
        <v>43</v>
      </c>
      <c r="AJ7303" t="s">
        <v>43</v>
      </c>
      <c r="AK7303" t="s">
        <v>43</v>
      </c>
      <c r="AL7303" t="s">
        <v>43</v>
      </c>
      <c r="AM7303" t="s">
        <v>43</v>
      </c>
      <c r="AN7303" t="str">
        <f>HYPERLINK("https://www.google.com/maps?q=10.78968811,79.57878876","Open Location")</f>
        <v>Open Location</v>
      </c>
    </row>
    <row r="7304" spans="1:40" x14ac:dyDescent="0.3">
      <c r="A7304" s="1">
        <v>46210.153935185182</v>
      </c>
      <c r="B7304" t="s">
        <v>40</v>
      </c>
      <c r="C7304" t="s">
        <v>41</v>
      </c>
      <c r="D7304" s="1">
        <v>46210.156840277778</v>
      </c>
      <c r="E7304" t="s">
        <v>42</v>
      </c>
      <c r="F7304" t="s">
        <v>43</v>
      </c>
      <c r="G7304" t="s">
        <v>43</v>
      </c>
      <c r="H7304" t="s">
        <v>43</v>
      </c>
      <c r="I7304" t="s">
        <v>4161</v>
      </c>
      <c r="J7304" t="s">
        <v>43</v>
      </c>
      <c r="K7304" t="s">
        <v>43</v>
      </c>
      <c r="L7304" t="s">
        <v>43</v>
      </c>
      <c r="M7304" t="s">
        <v>43</v>
      </c>
      <c r="N7304" t="s">
        <v>45</v>
      </c>
      <c r="O7304" t="s">
        <v>43</v>
      </c>
      <c r="P7304" t="s">
        <v>43</v>
      </c>
      <c r="Q7304" t="s">
        <v>43</v>
      </c>
      <c r="R7304" t="s">
        <v>43</v>
      </c>
      <c r="S7304" t="s">
        <v>43</v>
      </c>
      <c r="T7304" t="s">
        <v>43</v>
      </c>
      <c r="U7304" t="s">
        <v>43</v>
      </c>
      <c r="V7304" t="s">
        <v>43</v>
      </c>
      <c r="W7304" t="s">
        <v>43</v>
      </c>
      <c r="X7304" t="s">
        <v>43</v>
      </c>
      <c r="Y7304" t="s">
        <v>43</v>
      </c>
      <c r="Z7304" t="s">
        <v>43</v>
      </c>
      <c r="AA7304" t="s">
        <v>43</v>
      </c>
      <c r="AB7304" t="s">
        <v>43</v>
      </c>
      <c r="AC7304" t="s">
        <v>43</v>
      </c>
      <c r="AD7304" t="s">
        <v>43</v>
      </c>
      <c r="AE7304" t="s">
        <v>43</v>
      </c>
      <c r="AF7304" t="s">
        <v>43</v>
      </c>
      <c r="AG7304" t="s">
        <v>43</v>
      </c>
      <c r="AH7304" t="s">
        <v>43</v>
      </c>
      <c r="AI7304" t="s">
        <v>43</v>
      </c>
      <c r="AJ7304" t="s">
        <v>43</v>
      </c>
      <c r="AK7304" t="s">
        <v>43</v>
      </c>
      <c r="AL7304" t="s">
        <v>43</v>
      </c>
      <c r="AM7304" t="s">
        <v>43</v>
      </c>
      <c r="AN7304" t="str">
        <f>HYPERLINK("https://www.google.com/maps?q=10.78967762,79.57879639","Open Location")</f>
        <v>Open Location</v>
      </c>
    </row>
    <row r="7305" spans="1:40" x14ac:dyDescent="0.3">
      <c r="A7305" s="1">
        <v>46210.153819444444</v>
      </c>
      <c r="B7305" t="s">
        <v>40</v>
      </c>
      <c r="C7305" t="s">
        <v>41</v>
      </c>
      <c r="D7305" s="1">
        <v>46210.15693287037</v>
      </c>
      <c r="E7305" t="s">
        <v>42</v>
      </c>
      <c r="F7305" t="s">
        <v>43</v>
      </c>
      <c r="G7305" t="s">
        <v>43</v>
      </c>
      <c r="H7305" t="s">
        <v>43</v>
      </c>
      <c r="I7305" t="s">
        <v>4215</v>
      </c>
      <c r="J7305" t="s">
        <v>43</v>
      </c>
      <c r="K7305" t="s">
        <v>43</v>
      </c>
      <c r="L7305" t="s">
        <v>43</v>
      </c>
      <c r="M7305" t="s">
        <v>43</v>
      </c>
      <c r="N7305" t="s">
        <v>45</v>
      </c>
      <c r="O7305" t="s">
        <v>43</v>
      </c>
      <c r="P7305" t="s">
        <v>43</v>
      </c>
      <c r="Q7305" t="s">
        <v>43</v>
      </c>
      <c r="R7305" t="s">
        <v>43</v>
      </c>
      <c r="S7305" t="s">
        <v>43</v>
      </c>
      <c r="T7305" t="s">
        <v>43</v>
      </c>
      <c r="U7305" t="s">
        <v>43</v>
      </c>
      <c r="V7305" t="s">
        <v>43</v>
      </c>
      <c r="W7305" t="s">
        <v>43</v>
      </c>
      <c r="X7305" t="s">
        <v>43</v>
      </c>
      <c r="Y7305" t="s">
        <v>43</v>
      </c>
      <c r="Z7305" t="s">
        <v>43</v>
      </c>
      <c r="AA7305" t="s">
        <v>43</v>
      </c>
      <c r="AB7305" t="s">
        <v>43</v>
      </c>
      <c r="AC7305" t="s">
        <v>43</v>
      </c>
      <c r="AD7305" t="s">
        <v>43</v>
      </c>
      <c r="AE7305" t="s">
        <v>43</v>
      </c>
      <c r="AF7305" t="s">
        <v>43</v>
      </c>
      <c r="AG7305" t="s">
        <v>43</v>
      </c>
      <c r="AH7305" t="s">
        <v>43</v>
      </c>
      <c r="AI7305" t="s">
        <v>43</v>
      </c>
      <c r="AJ7305" t="s">
        <v>43</v>
      </c>
      <c r="AK7305" t="s">
        <v>43</v>
      </c>
      <c r="AL7305" t="s">
        <v>43</v>
      </c>
      <c r="AM7305" t="s">
        <v>43</v>
      </c>
      <c r="AN7305" t="str">
        <f>HYPERLINK("https://www.google.com/maps?q=10.78966904,79.57879639","Open Location")</f>
        <v>Open Location</v>
      </c>
    </row>
    <row r="7306" spans="1:40" x14ac:dyDescent="0.3">
      <c r="A7306" s="1">
        <v>46210.153703703705</v>
      </c>
      <c r="B7306" t="s">
        <v>40</v>
      </c>
      <c r="C7306" t="s">
        <v>41</v>
      </c>
      <c r="D7306" s="1">
        <v>46210.156539351854</v>
      </c>
      <c r="E7306" t="s">
        <v>42</v>
      </c>
      <c r="F7306" t="s">
        <v>43</v>
      </c>
      <c r="G7306" t="s">
        <v>43</v>
      </c>
      <c r="H7306" t="s">
        <v>43</v>
      </c>
      <c r="I7306" t="s">
        <v>43</v>
      </c>
      <c r="J7306" t="s">
        <v>43</v>
      </c>
      <c r="K7306" t="s">
        <v>43</v>
      </c>
      <c r="L7306" t="s">
        <v>43</v>
      </c>
      <c r="M7306" t="s">
        <v>43</v>
      </c>
      <c r="N7306" t="s">
        <v>45</v>
      </c>
      <c r="O7306" t="s">
        <v>43</v>
      </c>
      <c r="P7306" t="s">
        <v>43</v>
      </c>
      <c r="Q7306" t="s">
        <v>43</v>
      </c>
      <c r="R7306" t="s">
        <v>43</v>
      </c>
      <c r="S7306" t="s">
        <v>43</v>
      </c>
      <c r="T7306" t="s">
        <v>43</v>
      </c>
      <c r="U7306" t="s">
        <v>43</v>
      </c>
      <c r="V7306" t="s">
        <v>43</v>
      </c>
      <c r="W7306" t="s">
        <v>43</v>
      </c>
      <c r="X7306" t="s">
        <v>43</v>
      </c>
      <c r="Y7306" t="s">
        <v>43</v>
      </c>
      <c r="Z7306" t="s">
        <v>43</v>
      </c>
      <c r="AA7306" t="s">
        <v>43</v>
      </c>
      <c r="AB7306" t="s">
        <v>43</v>
      </c>
      <c r="AC7306" t="s">
        <v>43</v>
      </c>
      <c r="AD7306" t="s">
        <v>43</v>
      </c>
      <c r="AE7306" t="s">
        <v>43</v>
      </c>
      <c r="AF7306" t="s">
        <v>43</v>
      </c>
      <c r="AG7306" t="s">
        <v>43</v>
      </c>
      <c r="AH7306" t="s">
        <v>43</v>
      </c>
      <c r="AI7306" t="s">
        <v>43</v>
      </c>
      <c r="AJ7306" t="s">
        <v>43</v>
      </c>
      <c r="AK7306" t="s">
        <v>43</v>
      </c>
      <c r="AL7306" t="s">
        <v>43</v>
      </c>
      <c r="AM7306" t="s">
        <v>43</v>
      </c>
      <c r="AN7306" t="s">
        <v>43</v>
      </c>
    </row>
    <row r="7307" spans="1:40" x14ac:dyDescent="0.3">
      <c r="A7307" s="1">
        <v>46210.153587962966</v>
      </c>
      <c r="B7307" t="s">
        <v>40</v>
      </c>
      <c r="C7307" t="s">
        <v>41</v>
      </c>
      <c r="D7307" s="1">
        <v>46210.156550925924</v>
      </c>
      <c r="E7307" t="s">
        <v>42</v>
      </c>
      <c r="F7307" t="s">
        <v>43</v>
      </c>
      <c r="G7307" t="s">
        <v>43</v>
      </c>
      <c r="H7307" t="s">
        <v>43</v>
      </c>
      <c r="I7307" t="s">
        <v>3925</v>
      </c>
      <c r="J7307" t="s">
        <v>43</v>
      </c>
      <c r="K7307" t="s">
        <v>43</v>
      </c>
      <c r="L7307" t="s">
        <v>43</v>
      </c>
      <c r="M7307" t="s">
        <v>43</v>
      </c>
      <c r="N7307" t="s">
        <v>45</v>
      </c>
      <c r="O7307" t="s">
        <v>43</v>
      </c>
      <c r="P7307" t="s">
        <v>43</v>
      </c>
      <c r="Q7307" t="s">
        <v>43</v>
      </c>
      <c r="R7307" t="s">
        <v>43</v>
      </c>
      <c r="S7307" t="s">
        <v>43</v>
      </c>
      <c r="T7307" t="s">
        <v>43</v>
      </c>
      <c r="U7307" t="s">
        <v>43</v>
      </c>
      <c r="V7307" t="s">
        <v>43</v>
      </c>
      <c r="W7307" t="s">
        <v>43</v>
      </c>
      <c r="X7307" t="s">
        <v>43</v>
      </c>
      <c r="Y7307" t="s">
        <v>43</v>
      </c>
      <c r="Z7307" t="s">
        <v>43</v>
      </c>
      <c r="AA7307" t="s">
        <v>43</v>
      </c>
      <c r="AB7307" t="s">
        <v>43</v>
      </c>
      <c r="AC7307" t="s">
        <v>43</v>
      </c>
      <c r="AD7307" t="s">
        <v>43</v>
      </c>
      <c r="AE7307" t="s">
        <v>43</v>
      </c>
      <c r="AF7307" t="s">
        <v>43</v>
      </c>
      <c r="AG7307" t="s">
        <v>43</v>
      </c>
      <c r="AH7307" t="s">
        <v>43</v>
      </c>
      <c r="AI7307" t="s">
        <v>43</v>
      </c>
      <c r="AJ7307" t="s">
        <v>43</v>
      </c>
      <c r="AK7307" t="s">
        <v>43</v>
      </c>
      <c r="AL7307" t="s">
        <v>43</v>
      </c>
      <c r="AM7307" t="s">
        <v>43</v>
      </c>
      <c r="AN7307" t="str">
        <f>HYPERLINK("https://www.google.com/maps?q=10.78966999,79.57879639","Open Location")</f>
        <v>Open Location</v>
      </c>
    </row>
    <row r="7308" spans="1:40" x14ac:dyDescent="0.3">
      <c r="A7308" s="1">
        <v>46210.15347222222</v>
      </c>
      <c r="B7308" t="s">
        <v>40</v>
      </c>
      <c r="C7308" t="s">
        <v>41</v>
      </c>
      <c r="D7308" s="1">
        <v>46210.156539351854</v>
      </c>
      <c r="E7308" t="s">
        <v>42</v>
      </c>
      <c r="F7308" t="s">
        <v>43</v>
      </c>
      <c r="G7308" t="s">
        <v>43</v>
      </c>
      <c r="H7308" t="s">
        <v>43</v>
      </c>
      <c r="I7308" t="s">
        <v>4045</v>
      </c>
      <c r="J7308" t="s">
        <v>43</v>
      </c>
      <c r="K7308" t="s">
        <v>43</v>
      </c>
      <c r="L7308" t="s">
        <v>43</v>
      </c>
      <c r="M7308" t="s">
        <v>43</v>
      </c>
      <c r="N7308" t="s">
        <v>45</v>
      </c>
      <c r="O7308" t="s">
        <v>43</v>
      </c>
      <c r="P7308" t="s">
        <v>43</v>
      </c>
      <c r="Q7308" t="s">
        <v>43</v>
      </c>
      <c r="R7308" t="s">
        <v>43</v>
      </c>
      <c r="S7308" t="s">
        <v>43</v>
      </c>
      <c r="T7308" t="s">
        <v>43</v>
      </c>
      <c r="U7308" t="s">
        <v>43</v>
      </c>
      <c r="V7308" t="s">
        <v>43</v>
      </c>
      <c r="W7308" t="s">
        <v>43</v>
      </c>
      <c r="X7308" t="s">
        <v>43</v>
      </c>
      <c r="Y7308" t="s">
        <v>43</v>
      </c>
      <c r="Z7308" t="s">
        <v>43</v>
      </c>
      <c r="AA7308" t="s">
        <v>43</v>
      </c>
      <c r="AB7308" t="s">
        <v>43</v>
      </c>
      <c r="AC7308" t="s">
        <v>43</v>
      </c>
      <c r="AD7308" t="s">
        <v>43</v>
      </c>
      <c r="AE7308" t="s">
        <v>43</v>
      </c>
      <c r="AF7308" t="s">
        <v>43</v>
      </c>
      <c r="AG7308" t="s">
        <v>43</v>
      </c>
      <c r="AH7308" t="s">
        <v>43</v>
      </c>
      <c r="AI7308" t="s">
        <v>43</v>
      </c>
      <c r="AJ7308" t="s">
        <v>43</v>
      </c>
      <c r="AK7308" t="s">
        <v>43</v>
      </c>
      <c r="AL7308" t="s">
        <v>43</v>
      </c>
      <c r="AM7308" t="s">
        <v>43</v>
      </c>
      <c r="AN7308" t="str">
        <f>HYPERLINK("https://www.google.com/maps?q=10.78966904,79.57878876","Open Location")</f>
        <v>Open Location</v>
      </c>
    </row>
    <row r="7309" spans="1:40" x14ac:dyDescent="0.3">
      <c r="A7309" s="1">
        <v>46210.153356481482</v>
      </c>
      <c r="B7309" t="s">
        <v>40</v>
      </c>
      <c r="C7309" t="s">
        <v>41</v>
      </c>
      <c r="D7309" s="1">
        <v>46210.156469907408</v>
      </c>
      <c r="E7309" t="s">
        <v>42</v>
      </c>
      <c r="F7309" t="s">
        <v>43</v>
      </c>
      <c r="G7309" t="s">
        <v>43</v>
      </c>
      <c r="H7309" t="s">
        <v>43</v>
      </c>
      <c r="I7309" t="s">
        <v>4216</v>
      </c>
      <c r="J7309" t="s">
        <v>43</v>
      </c>
      <c r="K7309" t="s">
        <v>43</v>
      </c>
      <c r="L7309" t="s">
        <v>43</v>
      </c>
      <c r="M7309" t="s">
        <v>43</v>
      </c>
      <c r="N7309" t="s">
        <v>45</v>
      </c>
      <c r="O7309" t="s">
        <v>43</v>
      </c>
      <c r="P7309" t="s">
        <v>43</v>
      </c>
      <c r="Q7309" t="s">
        <v>43</v>
      </c>
      <c r="R7309" t="s">
        <v>43</v>
      </c>
      <c r="S7309" t="s">
        <v>43</v>
      </c>
      <c r="T7309" t="s">
        <v>43</v>
      </c>
      <c r="U7309" t="s">
        <v>43</v>
      </c>
      <c r="V7309" t="s">
        <v>43</v>
      </c>
      <c r="W7309" t="s">
        <v>43</v>
      </c>
      <c r="X7309" t="s">
        <v>43</v>
      </c>
      <c r="Y7309" t="s">
        <v>43</v>
      </c>
      <c r="Z7309" t="s">
        <v>43</v>
      </c>
      <c r="AA7309" t="s">
        <v>43</v>
      </c>
      <c r="AB7309" t="s">
        <v>43</v>
      </c>
      <c r="AC7309" t="s">
        <v>43</v>
      </c>
      <c r="AD7309" t="s">
        <v>43</v>
      </c>
      <c r="AE7309" t="s">
        <v>43</v>
      </c>
      <c r="AF7309" t="s">
        <v>43</v>
      </c>
      <c r="AG7309" t="s">
        <v>43</v>
      </c>
      <c r="AH7309" t="s">
        <v>43</v>
      </c>
      <c r="AI7309" t="s">
        <v>43</v>
      </c>
      <c r="AJ7309" t="s">
        <v>43</v>
      </c>
      <c r="AK7309" t="s">
        <v>43</v>
      </c>
      <c r="AL7309" t="s">
        <v>43</v>
      </c>
      <c r="AM7309" t="s">
        <v>43</v>
      </c>
      <c r="AN7309" t="str">
        <f>HYPERLINK("https://www.google.com/maps?q=10.78967285,79.57878876","Open Location")</f>
        <v>Open Location</v>
      </c>
    </row>
    <row r="7310" spans="1:40" x14ac:dyDescent="0.3">
      <c r="A7310" s="1">
        <v>46210.153240740743</v>
      </c>
      <c r="B7310" t="s">
        <v>40</v>
      </c>
      <c r="C7310" t="s">
        <v>41</v>
      </c>
      <c r="D7310" s="1">
        <v>46210.156168981484</v>
      </c>
      <c r="E7310" t="s">
        <v>42</v>
      </c>
      <c r="F7310" t="s">
        <v>43</v>
      </c>
      <c r="G7310" t="s">
        <v>43</v>
      </c>
      <c r="H7310" t="s">
        <v>43</v>
      </c>
      <c r="I7310" t="s">
        <v>4217</v>
      </c>
      <c r="J7310" t="s">
        <v>43</v>
      </c>
      <c r="K7310" t="s">
        <v>43</v>
      </c>
      <c r="L7310" t="s">
        <v>43</v>
      </c>
      <c r="M7310" t="s">
        <v>43</v>
      </c>
      <c r="N7310" t="s">
        <v>45</v>
      </c>
      <c r="O7310" t="s">
        <v>43</v>
      </c>
      <c r="P7310" t="s">
        <v>43</v>
      </c>
      <c r="Q7310" t="s">
        <v>43</v>
      </c>
      <c r="R7310" t="s">
        <v>43</v>
      </c>
      <c r="S7310" t="s">
        <v>43</v>
      </c>
      <c r="T7310" t="s">
        <v>43</v>
      </c>
      <c r="U7310" t="s">
        <v>43</v>
      </c>
      <c r="V7310" t="s">
        <v>43</v>
      </c>
      <c r="W7310" t="s">
        <v>43</v>
      </c>
      <c r="X7310" t="s">
        <v>43</v>
      </c>
      <c r="Y7310" t="s">
        <v>43</v>
      </c>
      <c r="Z7310" t="s">
        <v>43</v>
      </c>
      <c r="AA7310" t="s">
        <v>43</v>
      </c>
      <c r="AB7310" t="s">
        <v>43</v>
      </c>
      <c r="AC7310" t="s">
        <v>43</v>
      </c>
      <c r="AD7310" t="s">
        <v>43</v>
      </c>
      <c r="AE7310" t="s">
        <v>43</v>
      </c>
      <c r="AF7310" t="s">
        <v>43</v>
      </c>
      <c r="AG7310" t="s">
        <v>43</v>
      </c>
      <c r="AH7310" t="s">
        <v>43</v>
      </c>
      <c r="AI7310" t="s">
        <v>43</v>
      </c>
      <c r="AJ7310" t="s">
        <v>43</v>
      </c>
      <c r="AK7310" t="s">
        <v>43</v>
      </c>
      <c r="AL7310" t="s">
        <v>43</v>
      </c>
      <c r="AM7310" t="s">
        <v>43</v>
      </c>
      <c r="AN7310" t="str">
        <f>HYPERLINK("https://www.google.com/maps?q=10.78967476,79.57878876","Open Location")</f>
        <v>Open Location</v>
      </c>
    </row>
    <row r="7311" spans="1:40" x14ac:dyDescent="0.3">
      <c r="A7311" s="1">
        <v>46210.153124999997</v>
      </c>
      <c r="B7311" t="s">
        <v>40</v>
      </c>
      <c r="C7311" t="s">
        <v>41</v>
      </c>
      <c r="D7311" s="1">
        <v>46210.156180555554</v>
      </c>
      <c r="E7311" t="s">
        <v>42</v>
      </c>
      <c r="F7311" t="s">
        <v>43</v>
      </c>
      <c r="G7311" t="s">
        <v>43</v>
      </c>
      <c r="H7311" t="s">
        <v>43</v>
      </c>
      <c r="I7311" t="s">
        <v>4218</v>
      </c>
      <c r="J7311" t="s">
        <v>43</v>
      </c>
      <c r="K7311" t="s">
        <v>43</v>
      </c>
      <c r="L7311" t="s">
        <v>43</v>
      </c>
      <c r="M7311" t="s">
        <v>43</v>
      </c>
      <c r="N7311" t="s">
        <v>45</v>
      </c>
      <c r="O7311" t="s">
        <v>43</v>
      </c>
      <c r="P7311" t="s">
        <v>43</v>
      </c>
      <c r="Q7311" t="s">
        <v>43</v>
      </c>
      <c r="R7311" t="s">
        <v>43</v>
      </c>
      <c r="S7311" t="s">
        <v>43</v>
      </c>
      <c r="T7311" t="s">
        <v>43</v>
      </c>
      <c r="U7311" t="s">
        <v>43</v>
      </c>
      <c r="V7311" t="s">
        <v>43</v>
      </c>
      <c r="W7311" t="s">
        <v>43</v>
      </c>
      <c r="X7311" t="s">
        <v>43</v>
      </c>
      <c r="Y7311" t="s">
        <v>43</v>
      </c>
      <c r="Z7311" t="s">
        <v>43</v>
      </c>
      <c r="AA7311" t="s">
        <v>43</v>
      </c>
      <c r="AB7311" t="s">
        <v>43</v>
      </c>
      <c r="AC7311" t="s">
        <v>43</v>
      </c>
      <c r="AD7311" t="s">
        <v>43</v>
      </c>
      <c r="AE7311" t="s">
        <v>43</v>
      </c>
      <c r="AF7311" t="s">
        <v>43</v>
      </c>
      <c r="AG7311" t="s">
        <v>43</v>
      </c>
      <c r="AH7311" t="s">
        <v>43</v>
      </c>
      <c r="AI7311" t="s">
        <v>43</v>
      </c>
      <c r="AJ7311" t="s">
        <v>43</v>
      </c>
      <c r="AK7311" t="s">
        <v>43</v>
      </c>
      <c r="AL7311" t="s">
        <v>43</v>
      </c>
      <c r="AM7311" t="s">
        <v>43</v>
      </c>
      <c r="AN7311" t="str">
        <f>HYPERLINK("https://www.google.com/maps?q=10.78967285,79.57879639","Open Location")</f>
        <v>Open Location</v>
      </c>
    </row>
    <row r="7312" spans="1:40" x14ac:dyDescent="0.3">
      <c r="A7312" s="1">
        <v>46210.153009259258</v>
      </c>
      <c r="B7312" t="s">
        <v>40</v>
      </c>
      <c r="C7312" t="s">
        <v>41</v>
      </c>
      <c r="D7312" s="1">
        <v>46210.156099537038</v>
      </c>
      <c r="E7312" t="s">
        <v>42</v>
      </c>
      <c r="F7312" t="s">
        <v>43</v>
      </c>
      <c r="G7312" t="s">
        <v>43</v>
      </c>
      <c r="H7312" t="s">
        <v>43</v>
      </c>
      <c r="I7312" t="s">
        <v>43</v>
      </c>
      <c r="J7312" t="s">
        <v>43</v>
      </c>
      <c r="K7312" t="s">
        <v>43</v>
      </c>
      <c r="L7312" t="s">
        <v>43</v>
      </c>
      <c r="M7312" t="s">
        <v>43</v>
      </c>
      <c r="N7312" t="s">
        <v>45</v>
      </c>
      <c r="O7312" t="s">
        <v>43</v>
      </c>
      <c r="P7312" t="s">
        <v>43</v>
      </c>
      <c r="Q7312" t="s">
        <v>43</v>
      </c>
      <c r="R7312" t="s">
        <v>43</v>
      </c>
      <c r="S7312" t="s">
        <v>43</v>
      </c>
      <c r="T7312" t="s">
        <v>43</v>
      </c>
      <c r="U7312" t="s">
        <v>43</v>
      </c>
      <c r="V7312" t="s">
        <v>43</v>
      </c>
      <c r="W7312" t="s">
        <v>43</v>
      </c>
      <c r="X7312" t="s">
        <v>43</v>
      </c>
      <c r="Y7312" t="s">
        <v>43</v>
      </c>
      <c r="Z7312" t="s">
        <v>43</v>
      </c>
      <c r="AA7312" t="s">
        <v>43</v>
      </c>
      <c r="AB7312" t="s">
        <v>43</v>
      </c>
      <c r="AC7312" t="s">
        <v>43</v>
      </c>
      <c r="AD7312" t="s">
        <v>43</v>
      </c>
      <c r="AE7312" t="s">
        <v>43</v>
      </c>
      <c r="AF7312" t="s">
        <v>43</v>
      </c>
      <c r="AG7312" t="s">
        <v>43</v>
      </c>
      <c r="AH7312" t="s">
        <v>43</v>
      </c>
      <c r="AI7312" t="s">
        <v>43</v>
      </c>
      <c r="AJ7312" t="s">
        <v>43</v>
      </c>
      <c r="AK7312" t="s">
        <v>43</v>
      </c>
      <c r="AL7312" t="s">
        <v>43</v>
      </c>
      <c r="AM7312" t="s">
        <v>43</v>
      </c>
      <c r="AN7312" t="s">
        <v>43</v>
      </c>
    </row>
    <row r="7313" spans="1:40" x14ac:dyDescent="0.3">
      <c r="A7313" s="1">
        <v>46210.15289351852</v>
      </c>
      <c r="B7313" t="s">
        <v>40</v>
      </c>
      <c r="C7313" t="s">
        <v>41</v>
      </c>
      <c r="D7313" s="1">
        <v>46210.156099537038</v>
      </c>
      <c r="E7313" t="s">
        <v>42</v>
      </c>
      <c r="F7313" t="s">
        <v>43</v>
      </c>
      <c r="G7313" t="s">
        <v>43</v>
      </c>
      <c r="H7313" t="s">
        <v>43</v>
      </c>
      <c r="I7313" t="s">
        <v>4160</v>
      </c>
      <c r="J7313" t="s">
        <v>43</v>
      </c>
      <c r="K7313" t="s">
        <v>43</v>
      </c>
      <c r="L7313" t="s">
        <v>43</v>
      </c>
      <c r="M7313" t="s">
        <v>43</v>
      </c>
      <c r="N7313" t="s">
        <v>45</v>
      </c>
      <c r="O7313" t="s">
        <v>43</v>
      </c>
      <c r="P7313" t="s">
        <v>43</v>
      </c>
      <c r="Q7313" t="s">
        <v>43</v>
      </c>
      <c r="R7313" t="s">
        <v>43</v>
      </c>
      <c r="S7313" t="s">
        <v>43</v>
      </c>
      <c r="T7313" t="s">
        <v>43</v>
      </c>
      <c r="U7313" t="s">
        <v>43</v>
      </c>
      <c r="V7313" t="s">
        <v>43</v>
      </c>
      <c r="W7313" t="s">
        <v>43</v>
      </c>
      <c r="X7313" t="s">
        <v>43</v>
      </c>
      <c r="Y7313" t="s">
        <v>43</v>
      </c>
      <c r="Z7313" t="s">
        <v>43</v>
      </c>
      <c r="AA7313" t="s">
        <v>43</v>
      </c>
      <c r="AB7313" t="s">
        <v>43</v>
      </c>
      <c r="AC7313" t="s">
        <v>43</v>
      </c>
      <c r="AD7313" t="s">
        <v>43</v>
      </c>
      <c r="AE7313" t="s">
        <v>43</v>
      </c>
      <c r="AF7313" t="s">
        <v>43</v>
      </c>
      <c r="AG7313" t="s">
        <v>43</v>
      </c>
      <c r="AH7313" t="s">
        <v>43</v>
      </c>
      <c r="AI7313" t="s">
        <v>43</v>
      </c>
      <c r="AJ7313" t="s">
        <v>43</v>
      </c>
      <c r="AK7313" t="s">
        <v>43</v>
      </c>
      <c r="AL7313" t="s">
        <v>43</v>
      </c>
      <c r="AM7313" t="s">
        <v>43</v>
      </c>
      <c r="AN7313" t="str">
        <f>HYPERLINK("https://www.google.com/maps?q=10.78967667,79.57879639","Open Location")</f>
        <v>Open Location</v>
      </c>
    </row>
    <row r="7314" spans="1:40" x14ac:dyDescent="0.3">
      <c r="A7314" s="1">
        <v>46210.152777777781</v>
      </c>
      <c r="B7314" t="s">
        <v>40</v>
      </c>
      <c r="C7314" t="s">
        <v>41</v>
      </c>
      <c r="D7314" s="1">
        <v>46210.155740740738</v>
      </c>
      <c r="E7314" t="s">
        <v>42</v>
      </c>
      <c r="F7314" t="s">
        <v>43</v>
      </c>
      <c r="G7314" t="s">
        <v>43</v>
      </c>
      <c r="H7314" t="s">
        <v>43</v>
      </c>
      <c r="I7314" t="s">
        <v>4219</v>
      </c>
      <c r="J7314" t="s">
        <v>43</v>
      </c>
      <c r="K7314" t="s">
        <v>43</v>
      </c>
      <c r="L7314" t="s">
        <v>43</v>
      </c>
      <c r="M7314" t="s">
        <v>43</v>
      </c>
      <c r="N7314" t="s">
        <v>45</v>
      </c>
      <c r="O7314" t="s">
        <v>43</v>
      </c>
      <c r="P7314" t="s">
        <v>43</v>
      </c>
      <c r="Q7314" t="s">
        <v>43</v>
      </c>
      <c r="R7314" t="s">
        <v>43</v>
      </c>
      <c r="S7314" t="s">
        <v>43</v>
      </c>
      <c r="T7314" t="s">
        <v>43</v>
      </c>
      <c r="U7314" t="s">
        <v>43</v>
      </c>
      <c r="V7314" t="s">
        <v>43</v>
      </c>
      <c r="W7314" t="s">
        <v>43</v>
      </c>
      <c r="X7314" t="s">
        <v>43</v>
      </c>
      <c r="Y7314" t="s">
        <v>43</v>
      </c>
      <c r="Z7314" t="s">
        <v>43</v>
      </c>
      <c r="AA7314" t="s">
        <v>43</v>
      </c>
      <c r="AB7314" t="s">
        <v>43</v>
      </c>
      <c r="AC7314" t="s">
        <v>43</v>
      </c>
      <c r="AD7314" t="s">
        <v>43</v>
      </c>
      <c r="AE7314" t="s">
        <v>43</v>
      </c>
      <c r="AF7314" t="s">
        <v>43</v>
      </c>
      <c r="AG7314" t="s">
        <v>43</v>
      </c>
      <c r="AH7314" t="s">
        <v>43</v>
      </c>
      <c r="AI7314" t="s">
        <v>43</v>
      </c>
      <c r="AJ7314" t="s">
        <v>43</v>
      </c>
      <c r="AK7314" t="s">
        <v>43</v>
      </c>
      <c r="AL7314" t="s">
        <v>43</v>
      </c>
      <c r="AM7314" t="s">
        <v>43</v>
      </c>
      <c r="AN7314" t="str">
        <f>HYPERLINK("https://www.google.com/maps?q=10.78967571,79.57879639","Open Location")</f>
        <v>Open Location</v>
      </c>
    </row>
    <row r="7315" spans="1:40" x14ac:dyDescent="0.3">
      <c r="A7315" s="1">
        <v>46210.152662037035</v>
      </c>
      <c r="B7315" t="s">
        <v>40</v>
      </c>
      <c r="C7315" t="s">
        <v>41</v>
      </c>
      <c r="D7315" s="1">
        <v>46210.155740740738</v>
      </c>
      <c r="E7315" t="s">
        <v>42</v>
      </c>
      <c r="F7315" t="s">
        <v>43</v>
      </c>
      <c r="G7315" t="s">
        <v>43</v>
      </c>
      <c r="H7315" t="s">
        <v>43</v>
      </c>
      <c r="I7315" t="s">
        <v>4220</v>
      </c>
      <c r="J7315" t="s">
        <v>43</v>
      </c>
      <c r="K7315" t="s">
        <v>43</v>
      </c>
      <c r="L7315" t="s">
        <v>43</v>
      </c>
      <c r="M7315" t="s">
        <v>43</v>
      </c>
      <c r="N7315" t="s">
        <v>45</v>
      </c>
      <c r="O7315" t="s">
        <v>43</v>
      </c>
      <c r="P7315" t="s">
        <v>43</v>
      </c>
      <c r="Q7315" t="s">
        <v>43</v>
      </c>
      <c r="R7315" t="s">
        <v>43</v>
      </c>
      <c r="S7315" t="s">
        <v>43</v>
      </c>
      <c r="T7315" t="s">
        <v>43</v>
      </c>
      <c r="U7315" t="s">
        <v>43</v>
      </c>
      <c r="V7315" t="s">
        <v>43</v>
      </c>
      <c r="W7315" t="s">
        <v>43</v>
      </c>
      <c r="X7315" t="s">
        <v>43</v>
      </c>
      <c r="Y7315" t="s">
        <v>43</v>
      </c>
      <c r="Z7315" t="s">
        <v>43</v>
      </c>
      <c r="AA7315" t="s">
        <v>43</v>
      </c>
      <c r="AB7315" t="s">
        <v>43</v>
      </c>
      <c r="AC7315" t="s">
        <v>43</v>
      </c>
      <c r="AD7315" t="s">
        <v>43</v>
      </c>
      <c r="AE7315" t="s">
        <v>43</v>
      </c>
      <c r="AF7315" t="s">
        <v>43</v>
      </c>
      <c r="AG7315" t="s">
        <v>43</v>
      </c>
      <c r="AH7315" t="s">
        <v>43</v>
      </c>
      <c r="AI7315" t="s">
        <v>43</v>
      </c>
      <c r="AJ7315" t="s">
        <v>43</v>
      </c>
      <c r="AK7315" t="s">
        <v>43</v>
      </c>
      <c r="AL7315" t="s">
        <v>43</v>
      </c>
      <c r="AM7315" t="s">
        <v>43</v>
      </c>
      <c r="AN7315" t="str">
        <f>HYPERLINK("https://www.google.com/maps?q=10.78968143,79.57878876","Open Location")</f>
        <v>Open Location</v>
      </c>
    </row>
    <row r="7316" spans="1:40" x14ac:dyDescent="0.3">
      <c r="A7316" s="1">
        <v>46210.152546296296</v>
      </c>
      <c r="B7316" t="s">
        <v>40</v>
      </c>
      <c r="C7316" t="s">
        <v>41</v>
      </c>
      <c r="D7316" s="1">
        <v>46210.155740740738</v>
      </c>
      <c r="E7316" t="s">
        <v>42</v>
      </c>
      <c r="F7316" t="s">
        <v>43</v>
      </c>
      <c r="G7316" t="s">
        <v>43</v>
      </c>
      <c r="H7316" t="s">
        <v>43</v>
      </c>
      <c r="I7316" t="s">
        <v>4220</v>
      </c>
      <c r="J7316" t="s">
        <v>43</v>
      </c>
      <c r="K7316" t="s">
        <v>43</v>
      </c>
      <c r="L7316" t="s">
        <v>43</v>
      </c>
      <c r="M7316" t="s">
        <v>43</v>
      </c>
      <c r="N7316" t="s">
        <v>45</v>
      </c>
      <c r="O7316" t="s">
        <v>43</v>
      </c>
      <c r="P7316" t="s">
        <v>43</v>
      </c>
      <c r="Q7316" t="s">
        <v>43</v>
      </c>
      <c r="R7316" t="s">
        <v>43</v>
      </c>
      <c r="S7316" t="s">
        <v>43</v>
      </c>
      <c r="T7316" t="s">
        <v>43</v>
      </c>
      <c r="U7316" t="s">
        <v>43</v>
      </c>
      <c r="V7316" t="s">
        <v>43</v>
      </c>
      <c r="W7316" t="s">
        <v>43</v>
      </c>
      <c r="X7316" t="s">
        <v>43</v>
      </c>
      <c r="Y7316" t="s">
        <v>43</v>
      </c>
      <c r="Z7316" t="s">
        <v>43</v>
      </c>
      <c r="AA7316" t="s">
        <v>43</v>
      </c>
      <c r="AB7316" t="s">
        <v>43</v>
      </c>
      <c r="AC7316" t="s">
        <v>43</v>
      </c>
      <c r="AD7316" t="s">
        <v>43</v>
      </c>
      <c r="AE7316" t="s">
        <v>43</v>
      </c>
      <c r="AF7316" t="s">
        <v>43</v>
      </c>
      <c r="AG7316" t="s">
        <v>43</v>
      </c>
      <c r="AH7316" t="s">
        <v>43</v>
      </c>
      <c r="AI7316" t="s">
        <v>43</v>
      </c>
      <c r="AJ7316" t="s">
        <v>43</v>
      </c>
      <c r="AK7316" t="s">
        <v>43</v>
      </c>
      <c r="AL7316" t="s">
        <v>43</v>
      </c>
      <c r="AM7316" t="s">
        <v>43</v>
      </c>
      <c r="AN7316" t="str">
        <f>HYPERLINK("https://www.google.com/maps?q=10.78968143,79.57878876","Open Location")</f>
        <v>Open Location</v>
      </c>
    </row>
    <row r="7317" spans="1:40" x14ac:dyDescent="0.3">
      <c r="A7317" s="1">
        <v>46210.152430555558</v>
      </c>
      <c r="B7317" t="s">
        <v>40</v>
      </c>
      <c r="C7317" t="s">
        <v>41</v>
      </c>
      <c r="D7317" s="1">
        <v>46210.155393518522</v>
      </c>
      <c r="E7317" t="s">
        <v>42</v>
      </c>
      <c r="F7317" t="s">
        <v>43</v>
      </c>
      <c r="G7317" t="s">
        <v>43</v>
      </c>
      <c r="H7317" t="s">
        <v>43</v>
      </c>
      <c r="I7317" t="s">
        <v>43</v>
      </c>
      <c r="J7317" t="s">
        <v>43</v>
      </c>
      <c r="K7317" t="s">
        <v>43</v>
      </c>
      <c r="L7317" t="s">
        <v>43</v>
      </c>
      <c r="M7317" t="s">
        <v>43</v>
      </c>
      <c r="N7317" t="s">
        <v>45</v>
      </c>
      <c r="O7317" t="s">
        <v>43</v>
      </c>
      <c r="P7317" t="s">
        <v>43</v>
      </c>
      <c r="Q7317" t="s">
        <v>43</v>
      </c>
      <c r="R7317" t="s">
        <v>43</v>
      </c>
      <c r="S7317" t="s">
        <v>43</v>
      </c>
      <c r="T7317" t="s">
        <v>43</v>
      </c>
      <c r="U7317" t="s">
        <v>43</v>
      </c>
      <c r="V7317" t="s">
        <v>43</v>
      </c>
      <c r="W7317" t="s">
        <v>43</v>
      </c>
      <c r="X7317" t="s">
        <v>43</v>
      </c>
      <c r="Y7317" t="s">
        <v>43</v>
      </c>
      <c r="Z7317" t="s">
        <v>43</v>
      </c>
      <c r="AA7317" t="s">
        <v>43</v>
      </c>
      <c r="AB7317" t="s">
        <v>43</v>
      </c>
      <c r="AC7317" t="s">
        <v>43</v>
      </c>
      <c r="AD7317" t="s">
        <v>43</v>
      </c>
      <c r="AE7317" t="s">
        <v>43</v>
      </c>
      <c r="AF7317" t="s">
        <v>43</v>
      </c>
      <c r="AG7317" t="s">
        <v>43</v>
      </c>
      <c r="AH7317" t="s">
        <v>43</v>
      </c>
      <c r="AI7317" t="s">
        <v>43</v>
      </c>
      <c r="AJ7317" t="s">
        <v>43</v>
      </c>
      <c r="AK7317" t="s">
        <v>43</v>
      </c>
      <c r="AL7317" t="s">
        <v>43</v>
      </c>
      <c r="AM7317" t="s">
        <v>43</v>
      </c>
      <c r="AN7317" t="s">
        <v>43</v>
      </c>
    </row>
    <row r="7318" spans="1:40" x14ac:dyDescent="0.3">
      <c r="A7318" s="1">
        <v>46210.152314814812</v>
      </c>
      <c r="B7318" t="s">
        <v>40</v>
      </c>
      <c r="C7318" t="s">
        <v>41</v>
      </c>
      <c r="D7318" s="1">
        <v>46210.155439814815</v>
      </c>
      <c r="E7318" t="s">
        <v>42</v>
      </c>
      <c r="F7318" t="s">
        <v>43</v>
      </c>
      <c r="G7318" t="s">
        <v>43</v>
      </c>
      <c r="H7318" t="s">
        <v>43</v>
      </c>
      <c r="I7318" t="s">
        <v>4030</v>
      </c>
      <c r="J7318" t="s">
        <v>43</v>
      </c>
      <c r="K7318" t="s">
        <v>43</v>
      </c>
      <c r="L7318" t="s">
        <v>43</v>
      </c>
      <c r="M7318" t="s">
        <v>43</v>
      </c>
      <c r="N7318" t="s">
        <v>45</v>
      </c>
      <c r="O7318" t="s">
        <v>43</v>
      </c>
      <c r="P7318" t="s">
        <v>43</v>
      </c>
      <c r="Q7318" t="s">
        <v>43</v>
      </c>
      <c r="R7318" t="s">
        <v>43</v>
      </c>
      <c r="S7318" t="s">
        <v>43</v>
      </c>
      <c r="T7318" t="s">
        <v>43</v>
      </c>
      <c r="U7318" t="s">
        <v>43</v>
      </c>
      <c r="V7318" t="s">
        <v>43</v>
      </c>
      <c r="W7318" t="s">
        <v>43</v>
      </c>
      <c r="X7318" t="s">
        <v>43</v>
      </c>
      <c r="Y7318" t="s">
        <v>43</v>
      </c>
      <c r="Z7318" t="s">
        <v>43</v>
      </c>
      <c r="AA7318" t="s">
        <v>43</v>
      </c>
      <c r="AB7318" t="s">
        <v>43</v>
      </c>
      <c r="AC7318" t="s">
        <v>43</v>
      </c>
      <c r="AD7318" t="s">
        <v>43</v>
      </c>
      <c r="AE7318" t="s">
        <v>43</v>
      </c>
      <c r="AF7318" t="s">
        <v>43</v>
      </c>
      <c r="AG7318" t="s">
        <v>43</v>
      </c>
      <c r="AH7318" t="s">
        <v>43</v>
      </c>
      <c r="AI7318" t="s">
        <v>43</v>
      </c>
      <c r="AJ7318" t="s">
        <v>43</v>
      </c>
      <c r="AK7318" t="s">
        <v>43</v>
      </c>
      <c r="AL7318" t="s">
        <v>43</v>
      </c>
      <c r="AM7318" t="s">
        <v>43</v>
      </c>
      <c r="AN7318" t="str">
        <f>HYPERLINK("https://www.google.com/maps?q=10.78967857,79.57878113","Open Location")</f>
        <v>Open Location</v>
      </c>
    </row>
    <row r="7319" spans="1:40" x14ac:dyDescent="0.3">
      <c r="A7319" s="1">
        <v>46210.152199074073</v>
      </c>
      <c r="B7319" t="s">
        <v>40</v>
      </c>
      <c r="C7319" t="s">
        <v>41</v>
      </c>
      <c r="D7319" s="1">
        <v>46210.155439814815</v>
      </c>
      <c r="E7319" t="s">
        <v>42</v>
      </c>
      <c r="F7319" t="s">
        <v>43</v>
      </c>
      <c r="G7319" t="s">
        <v>43</v>
      </c>
      <c r="H7319" t="s">
        <v>43</v>
      </c>
      <c r="I7319" t="s">
        <v>4013</v>
      </c>
      <c r="J7319" t="s">
        <v>43</v>
      </c>
      <c r="K7319" t="s">
        <v>43</v>
      </c>
      <c r="L7319" t="s">
        <v>43</v>
      </c>
      <c r="M7319" t="s">
        <v>43</v>
      </c>
      <c r="N7319" t="s">
        <v>45</v>
      </c>
      <c r="O7319" t="s">
        <v>43</v>
      </c>
      <c r="P7319" t="s">
        <v>43</v>
      </c>
      <c r="Q7319" t="s">
        <v>43</v>
      </c>
      <c r="R7319" t="s">
        <v>43</v>
      </c>
      <c r="S7319" t="s">
        <v>43</v>
      </c>
      <c r="T7319" t="s">
        <v>43</v>
      </c>
      <c r="U7319" t="s">
        <v>43</v>
      </c>
      <c r="V7319" t="s">
        <v>43</v>
      </c>
      <c r="W7319" t="s">
        <v>43</v>
      </c>
      <c r="X7319" t="s">
        <v>43</v>
      </c>
      <c r="Y7319" t="s">
        <v>43</v>
      </c>
      <c r="Z7319" t="s">
        <v>43</v>
      </c>
      <c r="AA7319" t="s">
        <v>43</v>
      </c>
      <c r="AB7319" t="s">
        <v>43</v>
      </c>
      <c r="AC7319" t="s">
        <v>43</v>
      </c>
      <c r="AD7319" t="s">
        <v>43</v>
      </c>
      <c r="AE7319" t="s">
        <v>43</v>
      </c>
      <c r="AF7319" t="s">
        <v>43</v>
      </c>
      <c r="AG7319" t="s">
        <v>43</v>
      </c>
      <c r="AH7319" t="s">
        <v>43</v>
      </c>
      <c r="AI7319" t="s">
        <v>43</v>
      </c>
      <c r="AJ7319" t="s">
        <v>43</v>
      </c>
      <c r="AK7319" t="s">
        <v>43</v>
      </c>
      <c r="AL7319" t="s">
        <v>43</v>
      </c>
      <c r="AM7319" t="s">
        <v>43</v>
      </c>
      <c r="AN7319" t="str">
        <f>HYPERLINK("https://www.google.com/maps?q=10.78967285,79.57878113","Open Location")</f>
        <v>Open Location</v>
      </c>
    </row>
    <row r="7320" spans="1:40" x14ac:dyDescent="0.3">
      <c r="A7320" s="1">
        <v>46210.152083333334</v>
      </c>
      <c r="B7320" t="s">
        <v>40</v>
      </c>
      <c r="C7320" t="s">
        <v>41</v>
      </c>
      <c r="D7320" s="1">
        <v>46210.155011574076</v>
      </c>
      <c r="E7320" t="s">
        <v>42</v>
      </c>
      <c r="F7320" t="s">
        <v>43</v>
      </c>
      <c r="G7320" t="s">
        <v>43</v>
      </c>
      <c r="H7320" t="s">
        <v>43</v>
      </c>
      <c r="I7320" t="s">
        <v>4221</v>
      </c>
      <c r="J7320" t="s">
        <v>43</v>
      </c>
      <c r="K7320" t="s">
        <v>43</v>
      </c>
      <c r="L7320" t="s">
        <v>43</v>
      </c>
      <c r="M7320" t="s">
        <v>43</v>
      </c>
      <c r="N7320" t="s">
        <v>45</v>
      </c>
      <c r="O7320" t="s">
        <v>43</v>
      </c>
      <c r="P7320" t="s">
        <v>43</v>
      </c>
      <c r="Q7320" t="s">
        <v>43</v>
      </c>
      <c r="R7320" t="s">
        <v>43</v>
      </c>
      <c r="S7320" t="s">
        <v>43</v>
      </c>
      <c r="T7320" t="s">
        <v>43</v>
      </c>
      <c r="U7320" t="s">
        <v>43</v>
      </c>
      <c r="V7320" t="s">
        <v>43</v>
      </c>
      <c r="W7320" t="s">
        <v>43</v>
      </c>
      <c r="X7320" t="s">
        <v>43</v>
      </c>
      <c r="Y7320" t="s">
        <v>43</v>
      </c>
      <c r="Z7320" t="s">
        <v>43</v>
      </c>
      <c r="AA7320" t="s">
        <v>43</v>
      </c>
      <c r="AB7320" t="s">
        <v>43</v>
      </c>
      <c r="AC7320" t="s">
        <v>43</v>
      </c>
      <c r="AD7320" t="s">
        <v>43</v>
      </c>
      <c r="AE7320" t="s">
        <v>43</v>
      </c>
      <c r="AF7320" t="s">
        <v>43</v>
      </c>
      <c r="AG7320" t="s">
        <v>43</v>
      </c>
      <c r="AH7320" t="s">
        <v>43</v>
      </c>
      <c r="AI7320" t="s">
        <v>43</v>
      </c>
      <c r="AJ7320" t="s">
        <v>43</v>
      </c>
      <c r="AK7320" t="s">
        <v>43</v>
      </c>
      <c r="AL7320" t="s">
        <v>43</v>
      </c>
      <c r="AM7320" t="s">
        <v>43</v>
      </c>
      <c r="AN7320" t="str">
        <f>HYPERLINK("https://www.google.com/maps?q=10.78966808,79.57879639","Open Location")</f>
        <v>Open Location</v>
      </c>
    </row>
    <row r="7321" spans="1:40" x14ac:dyDescent="0.3">
      <c r="A7321" s="1">
        <v>46210.151967592596</v>
      </c>
      <c r="B7321" t="s">
        <v>40</v>
      </c>
      <c r="C7321" t="s">
        <v>41</v>
      </c>
      <c r="D7321" s="1">
        <v>46210.155034722222</v>
      </c>
      <c r="E7321" t="s">
        <v>42</v>
      </c>
      <c r="F7321" t="s">
        <v>43</v>
      </c>
      <c r="G7321" t="s">
        <v>43</v>
      </c>
      <c r="H7321" t="s">
        <v>43</v>
      </c>
      <c r="I7321" t="s">
        <v>4158</v>
      </c>
      <c r="J7321" t="s">
        <v>43</v>
      </c>
      <c r="K7321" t="s">
        <v>43</v>
      </c>
      <c r="L7321" t="s">
        <v>43</v>
      </c>
      <c r="M7321" t="s">
        <v>43</v>
      </c>
      <c r="N7321" t="s">
        <v>45</v>
      </c>
      <c r="O7321" t="s">
        <v>43</v>
      </c>
      <c r="P7321" t="s">
        <v>43</v>
      </c>
      <c r="Q7321" t="s">
        <v>43</v>
      </c>
      <c r="R7321" t="s">
        <v>43</v>
      </c>
      <c r="S7321" t="s">
        <v>43</v>
      </c>
      <c r="T7321" t="s">
        <v>43</v>
      </c>
      <c r="U7321" t="s">
        <v>43</v>
      </c>
      <c r="V7321" t="s">
        <v>43</v>
      </c>
      <c r="W7321" t="s">
        <v>43</v>
      </c>
      <c r="X7321" t="s">
        <v>43</v>
      </c>
      <c r="Y7321" t="s">
        <v>43</v>
      </c>
      <c r="Z7321" t="s">
        <v>43</v>
      </c>
      <c r="AA7321" t="s">
        <v>43</v>
      </c>
      <c r="AB7321" t="s">
        <v>43</v>
      </c>
      <c r="AC7321" t="s">
        <v>43</v>
      </c>
      <c r="AD7321" t="s">
        <v>43</v>
      </c>
      <c r="AE7321" t="s">
        <v>43</v>
      </c>
      <c r="AF7321" t="s">
        <v>43</v>
      </c>
      <c r="AG7321" t="s">
        <v>43</v>
      </c>
      <c r="AH7321" t="s">
        <v>43</v>
      </c>
      <c r="AI7321" t="s">
        <v>43</v>
      </c>
      <c r="AJ7321" t="s">
        <v>43</v>
      </c>
      <c r="AK7321" t="s">
        <v>43</v>
      </c>
      <c r="AL7321" t="s">
        <v>43</v>
      </c>
      <c r="AM7321" t="s">
        <v>43</v>
      </c>
      <c r="AN7321" t="str">
        <f>HYPERLINK("https://www.google.com/maps?q=10.78966808,79.57881927","Open Location")</f>
        <v>Open Location</v>
      </c>
    </row>
    <row r="7322" spans="1:40" x14ac:dyDescent="0.3">
      <c r="A7322" s="1">
        <v>46210.15185185185</v>
      </c>
      <c r="B7322" t="s">
        <v>40</v>
      </c>
      <c r="C7322" t="s">
        <v>41</v>
      </c>
      <c r="D7322" s="1">
        <v>46210.154999999999</v>
      </c>
      <c r="E7322" t="s">
        <v>42</v>
      </c>
      <c r="F7322" t="s">
        <v>43</v>
      </c>
      <c r="G7322" t="s">
        <v>43</v>
      </c>
      <c r="H7322" t="s">
        <v>43</v>
      </c>
      <c r="I7322" t="s">
        <v>4222</v>
      </c>
      <c r="J7322" t="s">
        <v>43</v>
      </c>
      <c r="K7322" t="s">
        <v>43</v>
      </c>
      <c r="L7322" t="s">
        <v>43</v>
      </c>
      <c r="M7322" t="s">
        <v>43</v>
      </c>
      <c r="N7322" t="s">
        <v>45</v>
      </c>
      <c r="O7322" t="s">
        <v>43</v>
      </c>
      <c r="P7322" t="s">
        <v>43</v>
      </c>
      <c r="Q7322" t="s">
        <v>43</v>
      </c>
      <c r="R7322" t="s">
        <v>43</v>
      </c>
      <c r="S7322" t="s">
        <v>43</v>
      </c>
      <c r="T7322" t="s">
        <v>43</v>
      </c>
      <c r="U7322" t="s">
        <v>43</v>
      </c>
      <c r="V7322" t="s">
        <v>43</v>
      </c>
      <c r="W7322" t="s">
        <v>43</v>
      </c>
      <c r="X7322" t="s">
        <v>43</v>
      </c>
      <c r="Y7322" t="s">
        <v>43</v>
      </c>
      <c r="Z7322" t="s">
        <v>43</v>
      </c>
      <c r="AA7322" t="s">
        <v>43</v>
      </c>
      <c r="AB7322" t="s">
        <v>43</v>
      </c>
      <c r="AC7322" t="s">
        <v>43</v>
      </c>
      <c r="AD7322" t="s">
        <v>43</v>
      </c>
      <c r="AE7322" t="s">
        <v>43</v>
      </c>
      <c r="AF7322" t="s">
        <v>43</v>
      </c>
      <c r="AG7322" t="s">
        <v>43</v>
      </c>
      <c r="AH7322" t="s">
        <v>43</v>
      </c>
      <c r="AI7322" t="s">
        <v>43</v>
      </c>
      <c r="AJ7322" t="s">
        <v>43</v>
      </c>
      <c r="AK7322" t="s">
        <v>43</v>
      </c>
      <c r="AL7322" t="s">
        <v>43</v>
      </c>
      <c r="AM7322" t="s">
        <v>43</v>
      </c>
      <c r="AN7322" t="str">
        <f>HYPERLINK("https://www.google.com/maps?q=10.78966904,79.57881165","Open Location")</f>
        <v>Open Location</v>
      </c>
    </row>
    <row r="7323" spans="1:40" x14ac:dyDescent="0.3">
      <c r="A7323" s="1">
        <v>46210.151736111111</v>
      </c>
      <c r="B7323" t="s">
        <v>40</v>
      </c>
      <c r="C7323" t="s">
        <v>41</v>
      </c>
      <c r="D7323" s="1">
        <v>46210.155046296299</v>
      </c>
      <c r="E7323" t="s">
        <v>42</v>
      </c>
      <c r="F7323" t="s">
        <v>43</v>
      </c>
      <c r="G7323" t="s">
        <v>43</v>
      </c>
      <c r="H7323" t="s">
        <v>43</v>
      </c>
      <c r="I7323" t="s">
        <v>43</v>
      </c>
      <c r="J7323" t="s">
        <v>43</v>
      </c>
      <c r="K7323" t="s">
        <v>43</v>
      </c>
      <c r="L7323" t="s">
        <v>43</v>
      </c>
      <c r="M7323" t="s">
        <v>43</v>
      </c>
      <c r="N7323" t="s">
        <v>45</v>
      </c>
      <c r="O7323" t="s">
        <v>43</v>
      </c>
      <c r="P7323" t="s">
        <v>43</v>
      </c>
      <c r="Q7323" t="s">
        <v>43</v>
      </c>
      <c r="R7323" t="s">
        <v>43</v>
      </c>
      <c r="S7323" t="s">
        <v>43</v>
      </c>
      <c r="T7323" t="s">
        <v>43</v>
      </c>
      <c r="U7323" t="s">
        <v>43</v>
      </c>
      <c r="V7323" t="s">
        <v>43</v>
      </c>
      <c r="W7323" t="s">
        <v>43</v>
      </c>
      <c r="X7323" t="s">
        <v>43</v>
      </c>
      <c r="Y7323" t="s">
        <v>43</v>
      </c>
      <c r="Z7323" t="s">
        <v>43</v>
      </c>
      <c r="AA7323" t="s">
        <v>43</v>
      </c>
      <c r="AB7323" t="s">
        <v>43</v>
      </c>
      <c r="AC7323" t="s">
        <v>43</v>
      </c>
      <c r="AD7323" t="s">
        <v>43</v>
      </c>
      <c r="AE7323" t="s">
        <v>43</v>
      </c>
      <c r="AF7323" t="s">
        <v>43</v>
      </c>
      <c r="AG7323" t="s">
        <v>43</v>
      </c>
      <c r="AH7323" t="s">
        <v>43</v>
      </c>
      <c r="AI7323" t="s">
        <v>43</v>
      </c>
      <c r="AJ7323" t="s">
        <v>43</v>
      </c>
      <c r="AK7323" t="s">
        <v>43</v>
      </c>
      <c r="AL7323" t="s">
        <v>43</v>
      </c>
      <c r="AM7323" t="s">
        <v>43</v>
      </c>
      <c r="AN7323" t="s">
        <v>43</v>
      </c>
    </row>
    <row r="7324" spans="1:40" x14ac:dyDescent="0.3">
      <c r="A7324" s="1">
        <v>46210.151620370372</v>
      </c>
      <c r="B7324" t="s">
        <v>40</v>
      </c>
      <c r="C7324" t="s">
        <v>41</v>
      </c>
      <c r="D7324" s="1">
        <v>46210.154641203706</v>
      </c>
      <c r="E7324" t="s">
        <v>42</v>
      </c>
      <c r="F7324" t="s">
        <v>43</v>
      </c>
      <c r="G7324" t="s">
        <v>43</v>
      </c>
      <c r="H7324" t="s">
        <v>43</v>
      </c>
      <c r="I7324" t="s">
        <v>4092</v>
      </c>
      <c r="J7324" t="s">
        <v>43</v>
      </c>
      <c r="K7324" t="s">
        <v>43</v>
      </c>
      <c r="L7324" t="s">
        <v>43</v>
      </c>
      <c r="M7324" t="s">
        <v>43</v>
      </c>
      <c r="N7324" t="s">
        <v>45</v>
      </c>
      <c r="O7324" t="s">
        <v>43</v>
      </c>
      <c r="P7324" t="s">
        <v>43</v>
      </c>
      <c r="Q7324" t="s">
        <v>43</v>
      </c>
      <c r="R7324" t="s">
        <v>43</v>
      </c>
      <c r="S7324" t="s">
        <v>43</v>
      </c>
      <c r="T7324" t="s">
        <v>43</v>
      </c>
      <c r="U7324" t="s">
        <v>43</v>
      </c>
      <c r="V7324" t="s">
        <v>43</v>
      </c>
      <c r="W7324" t="s">
        <v>43</v>
      </c>
      <c r="X7324" t="s">
        <v>43</v>
      </c>
      <c r="Y7324" t="s">
        <v>43</v>
      </c>
      <c r="Z7324" t="s">
        <v>43</v>
      </c>
      <c r="AA7324" t="s">
        <v>43</v>
      </c>
      <c r="AB7324" t="s">
        <v>43</v>
      </c>
      <c r="AC7324" t="s">
        <v>43</v>
      </c>
      <c r="AD7324" t="s">
        <v>43</v>
      </c>
      <c r="AE7324" t="s">
        <v>43</v>
      </c>
      <c r="AF7324" t="s">
        <v>43</v>
      </c>
      <c r="AG7324" t="s">
        <v>43</v>
      </c>
      <c r="AH7324" t="s">
        <v>43</v>
      </c>
      <c r="AI7324" t="s">
        <v>43</v>
      </c>
      <c r="AJ7324" t="s">
        <v>43</v>
      </c>
      <c r="AK7324" t="s">
        <v>43</v>
      </c>
      <c r="AL7324" t="s">
        <v>43</v>
      </c>
      <c r="AM7324" t="s">
        <v>43</v>
      </c>
      <c r="AN7324" t="str">
        <f>HYPERLINK("https://www.google.com/maps?q=10.78966427,79.57881927","Open Location")</f>
        <v>Open Location</v>
      </c>
    </row>
    <row r="7325" spans="1:40" x14ac:dyDescent="0.3">
      <c r="A7325" s="1">
        <v>46210.151504629626</v>
      </c>
      <c r="B7325" t="s">
        <v>40</v>
      </c>
      <c r="C7325" t="s">
        <v>41</v>
      </c>
      <c r="D7325" s="1">
        <v>46210.154641203706</v>
      </c>
      <c r="E7325" t="s">
        <v>42</v>
      </c>
      <c r="F7325" t="s">
        <v>43</v>
      </c>
      <c r="G7325" t="s">
        <v>43</v>
      </c>
      <c r="H7325" t="s">
        <v>43</v>
      </c>
      <c r="I7325" t="s">
        <v>4158</v>
      </c>
      <c r="J7325" t="s">
        <v>43</v>
      </c>
      <c r="K7325" t="s">
        <v>43</v>
      </c>
      <c r="L7325" t="s">
        <v>43</v>
      </c>
      <c r="M7325" t="s">
        <v>43</v>
      </c>
      <c r="N7325" t="s">
        <v>45</v>
      </c>
      <c r="O7325" t="s">
        <v>43</v>
      </c>
      <c r="P7325" t="s">
        <v>43</v>
      </c>
      <c r="Q7325" t="s">
        <v>43</v>
      </c>
      <c r="R7325" t="s">
        <v>43</v>
      </c>
      <c r="S7325" t="s">
        <v>43</v>
      </c>
      <c r="T7325" t="s">
        <v>43</v>
      </c>
      <c r="U7325" t="s">
        <v>43</v>
      </c>
      <c r="V7325" t="s">
        <v>43</v>
      </c>
      <c r="W7325" t="s">
        <v>43</v>
      </c>
      <c r="X7325" t="s">
        <v>43</v>
      </c>
      <c r="Y7325" t="s">
        <v>43</v>
      </c>
      <c r="Z7325" t="s">
        <v>43</v>
      </c>
      <c r="AA7325" t="s">
        <v>43</v>
      </c>
      <c r="AB7325" t="s">
        <v>43</v>
      </c>
      <c r="AC7325" t="s">
        <v>43</v>
      </c>
      <c r="AD7325" t="s">
        <v>43</v>
      </c>
      <c r="AE7325" t="s">
        <v>43</v>
      </c>
      <c r="AF7325" t="s">
        <v>43</v>
      </c>
      <c r="AG7325" t="s">
        <v>43</v>
      </c>
      <c r="AH7325" t="s">
        <v>43</v>
      </c>
      <c r="AI7325" t="s">
        <v>43</v>
      </c>
      <c r="AJ7325" t="s">
        <v>43</v>
      </c>
      <c r="AK7325" t="s">
        <v>43</v>
      </c>
      <c r="AL7325" t="s">
        <v>43</v>
      </c>
      <c r="AM7325" t="s">
        <v>43</v>
      </c>
      <c r="AN7325" t="str">
        <f>HYPERLINK("https://www.google.com/maps?q=10.78966808,79.57881927","Open Location")</f>
        <v>Open Location</v>
      </c>
    </row>
    <row r="7326" spans="1:40" x14ac:dyDescent="0.3">
      <c r="A7326" s="1">
        <v>46210.151388888888</v>
      </c>
      <c r="B7326" t="s">
        <v>40</v>
      </c>
      <c r="C7326" t="s">
        <v>41</v>
      </c>
      <c r="D7326" s="1">
        <v>46210.154641203706</v>
      </c>
      <c r="E7326" t="s">
        <v>42</v>
      </c>
      <c r="F7326" t="s">
        <v>43</v>
      </c>
      <c r="G7326" t="s">
        <v>43</v>
      </c>
      <c r="H7326" t="s">
        <v>43</v>
      </c>
      <c r="I7326" t="s">
        <v>4223</v>
      </c>
      <c r="J7326" t="s">
        <v>43</v>
      </c>
      <c r="K7326" t="s">
        <v>43</v>
      </c>
      <c r="L7326" t="s">
        <v>43</v>
      </c>
      <c r="M7326" t="s">
        <v>43</v>
      </c>
      <c r="N7326" t="s">
        <v>45</v>
      </c>
      <c r="O7326" t="s">
        <v>43</v>
      </c>
      <c r="P7326" t="s">
        <v>43</v>
      </c>
      <c r="Q7326" t="s">
        <v>43</v>
      </c>
      <c r="R7326" t="s">
        <v>43</v>
      </c>
      <c r="S7326" t="s">
        <v>43</v>
      </c>
      <c r="T7326" t="s">
        <v>43</v>
      </c>
      <c r="U7326" t="s">
        <v>43</v>
      </c>
      <c r="V7326" t="s">
        <v>43</v>
      </c>
      <c r="W7326" t="s">
        <v>43</v>
      </c>
      <c r="X7326" t="s">
        <v>43</v>
      </c>
      <c r="Y7326" t="s">
        <v>43</v>
      </c>
      <c r="Z7326" t="s">
        <v>43</v>
      </c>
      <c r="AA7326" t="s">
        <v>43</v>
      </c>
      <c r="AB7326" t="s">
        <v>43</v>
      </c>
      <c r="AC7326" t="s">
        <v>43</v>
      </c>
      <c r="AD7326" t="s">
        <v>43</v>
      </c>
      <c r="AE7326" t="s">
        <v>43</v>
      </c>
      <c r="AF7326" t="s">
        <v>43</v>
      </c>
      <c r="AG7326" t="s">
        <v>43</v>
      </c>
      <c r="AH7326" t="s">
        <v>43</v>
      </c>
      <c r="AI7326" t="s">
        <v>43</v>
      </c>
      <c r="AJ7326" t="s">
        <v>43</v>
      </c>
      <c r="AK7326" t="s">
        <v>43</v>
      </c>
      <c r="AL7326" t="s">
        <v>43</v>
      </c>
      <c r="AM7326" t="s">
        <v>43</v>
      </c>
      <c r="AN7326" t="str">
        <f>HYPERLINK("https://www.google.com/maps?q=10.78966713,79.57881165","Open Location")</f>
        <v>Open Location</v>
      </c>
    </row>
    <row r="7327" spans="1:40" x14ac:dyDescent="0.3">
      <c r="A7327" s="1">
        <v>46210.151273148149</v>
      </c>
      <c r="B7327" t="s">
        <v>40</v>
      </c>
      <c r="C7327" t="s">
        <v>41</v>
      </c>
      <c r="D7327" s="1">
        <v>46210.154317129629</v>
      </c>
      <c r="E7327" t="s">
        <v>42</v>
      </c>
      <c r="F7327" t="s">
        <v>43</v>
      </c>
      <c r="G7327" t="s">
        <v>43</v>
      </c>
      <c r="H7327" t="s">
        <v>43</v>
      </c>
      <c r="I7327" t="s">
        <v>4224</v>
      </c>
      <c r="J7327" t="s">
        <v>43</v>
      </c>
      <c r="K7327" t="s">
        <v>43</v>
      </c>
      <c r="L7327" t="s">
        <v>43</v>
      </c>
      <c r="M7327" t="s">
        <v>43</v>
      </c>
      <c r="N7327" t="s">
        <v>45</v>
      </c>
      <c r="O7327" t="s">
        <v>43</v>
      </c>
      <c r="P7327" t="s">
        <v>43</v>
      </c>
      <c r="Q7327" t="s">
        <v>43</v>
      </c>
      <c r="R7327" t="s">
        <v>43</v>
      </c>
      <c r="S7327" t="s">
        <v>43</v>
      </c>
      <c r="T7327" t="s">
        <v>43</v>
      </c>
      <c r="U7327" t="s">
        <v>43</v>
      </c>
      <c r="V7327" t="s">
        <v>43</v>
      </c>
      <c r="W7327" t="s">
        <v>43</v>
      </c>
      <c r="X7327" t="s">
        <v>43</v>
      </c>
      <c r="Y7327" t="s">
        <v>43</v>
      </c>
      <c r="Z7327" t="s">
        <v>43</v>
      </c>
      <c r="AA7327" t="s">
        <v>43</v>
      </c>
      <c r="AB7327" t="s">
        <v>43</v>
      </c>
      <c r="AC7327" t="s">
        <v>43</v>
      </c>
      <c r="AD7327" t="s">
        <v>43</v>
      </c>
      <c r="AE7327" t="s">
        <v>43</v>
      </c>
      <c r="AF7327" t="s">
        <v>43</v>
      </c>
      <c r="AG7327" t="s">
        <v>43</v>
      </c>
      <c r="AH7327" t="s">
        <v>43</v>
      </c>
      <c r="AI7327" t="s">
        <v>43</v>
      </c>
      <c r="AJ7327" t="s">
        <v>43</v>
      </c>
      <c r="AK7327" t="s">
        <v>43</v>
      </c>
      <c r="AL7327" t="s">
        <v>43</v>
      </c>
      <c r="AM7327" t="s">
        <v>43</v>
      </c>
      <c r="AN7327" t="str">
        <f>HYPERLINK("https://www.google.com/maps?q=10.78966808,79.57881165","Open Location")</f>
        <v>Open Location</v>
      </c>
    </row>
    <row r="7328" spans="1:40" x14ac:dyDescent="0.3">
      <c r="A7328" s="1">
        <v>46210.15115740741</v>
      </c>
      <c r="B7328" t="s">
        <v>40</v>
      </c>
      <c r="C7328" t="s">
        <v>41</v>
      </c>
      <c r="D7328" s="1">
        <v>46210.154236111113</v>
      </c>
      <c r="E7328" t="s">
        <v>42</v>
      </c>
      <c r="F7328" t="s">
        <v>43</v>
      </c>
      <c r="G7328" t="s">
        <v>43</v>
      </c>
      <c r="H7328" t="s">
        <v>43</v>
      </c>
      <c r="I7328" t="s">
        <v>3942</v>
      </c>
      <c r="J7328" t="s">
        <v>43</v>
      </c>
      <c r="K7328" t="s">
        <v>43</v>
      </c>
      <c r="L7328" t="s">
        <v>43</v>
      </c>
      <c r="M7328" t="s">
        <v>43</v>
      </c>
      <c r="N7328" t="s">
        <v>45</v>
      </c>
      <c r="O7328" t="s">
        <v>43</v>
      </c>
      <c r="P7328" t="s">
        <v>43</v>
      </c>
      <c r="Q7328" t="s">
        <v>43</v>
      </c>
      <c r="R7328" t="s">
        <v>43</v>
      </c>
      <c r="S7328" t="s">
        <v>43</v>
      </c>
      <c r="T7328" t="s">
        <v>43</v>
      </c>
      <c r="U7328" t="s">
        <v>43</v>
      </c>
      <c r="V7328" t="s">
        <v>43</v>
      </c>
      <c r="W7328" t="s">
        <v>43</v>
      </c>
      <c r="X7328" t="s">
        <v>43</v>
      </c>
      <c r="Y7328" t="s">
        <v>43</v>
      </c>
      <c r="Z7328" t="s">
        <v>43</v>
      </c>
      <c r="AA7328" t="s">
        <v>43</v>
      </c>
      <c r="AB7328" t="s">
        <v>43</v>
      </c>
      <c r="AC7328" t="s">
        <v>43</v>
      </c>
      <c r="AD7328" t="s">
        <v>43</v>
      </c>
      <c r="AE7328" t="s">
        <v>43</v>
      </c>
      <c r="AF7328" t="s">
        <v>43</v>
      </c>
      <c r="AG7328" t="s">
        <v>43</v>
      </c>
      <c r="AH7328" t="s">
        <v>43</v>
      </c>
      <c r="AI7328" t="s">
        <v>43</v>
      </c>
      <c r="AJ7328" t="s">
        <v>43</v>
      </c>
      <c r="AK7328" t="s">
        <v>43</v>
      </c>
      <c r="AL7328" t="s">
        <v>43</v>
      </c>
      <c r="AM7328" t="s">
        <v>43</v>
      </c>
      <c r="AN7328" t="str">
        <f>HYPERLINK("https://www.google.com/maps?q=10.78966713,79.57881927","Open Location")</f>
        <v>Open Location</v>
      </c>
    </row>
    <row r="7329" spans="1:40" x14ac:dyDescent="0.3">
      <c r="A7329" s="1">
        <v>46210.151041666664</v>
      </c>
      <c r="B7329" t="s">
        <v>40</v>
      </c>
      <c r="C7329" t="s">
        <v>41</v>
      </c>
      <c r="D7329" s="1">
        <v>46210.153946759259</v>
      </c>
      <c r="E7329" t="s">
        <v>42</v>
      </c>
      <c r="F7329" t="s">
        <v>43</v>
      </c>
      <c r="G7329" t="s">
        <v>43</v>
      </c>
      <c r="H7329" t="s">
        <v>43</v>
      </c>
      <c r="I7329" t="s">
        <v>43</v>
      </c>
      <c r="J7329" t="s">
        <v>43</v>
      </c>
      <c r="K7329" t="s">
        <v>43</v>
      </c>
      <c r="L7329" t="s">
        <v>43</v>
      </c>
      <c r="M7329" t="s">
        <v>43</v>
      </c>
      <c r="N7329" t="s">
        <v>45</v>
      </c>
      <c r="O7329" t="s">
        <v>43</v>
      </c>
      <c r="P7329" t="s">
        <v>43</v>
      </c>
      <c r="Q7329" t="s">
        <v>43</v>
      </c>
      <c r="R7329" t="s">
        <v>43</v>
      </c>
      <c r="S7329" t="s">
        <v>43</v>
      </c>
      <c r="T7329" t="s">
        <v>43</v>
      </c>
      <c r="U7329" t="s">
        <v>43</v>
      </c>
      <c r="V7329" t="s">
        <v>43</v>
      </c>
      <c r="W7329" t="s">
        <v>43</v>
      </c>
      <c r="X7329" t="s">
        <v>43</v>
      </c>
      <c r="Y7329" t="s">
        <v>43</v>
      </c>
      <c r="Z7329" t="s">
        <v>43</v>
      </c>
      <c r="AA7329" t="s">
        <v>43</v>
      </c>
      <c r="AB7329" t="s">
        <v>43</v>
      </c>
      <c r="AC7329" t="s">
        <v>43</v>
      </c>
      <c r="AD7329" t="s">
        <v>43</v>
      </c>
      <c r="AE7329" t="s">
        <v>43</v>
      </c>
      <c r="AF7329" t="s">
        <v>43</v>
      </c>
      <c r="AG7329" t="s">
        <v>43</v>
      </c>
      <c r="AH7329" t="s">
        <v>43</v>
      </c>
      <c r="AI7329" t="s">
        <v>43</v>
      </c>
      <c r="AJ7329" t="s">
        <v>43</v>
      </c>
      <c r="AK7329" t="s">
        <v>43</v>
      </c>
      <c r="AL7329" t="s">
        <v>43</v>
      </c>
      <c r="AM7329" t="s">
        <v>43</v>
      </c>
      <c r="AN7329" t="s">
        <v>43</v>
      </c>
    </row>
    <row r="7330" spans="1:40" x14ac:dyDescent="0.3">
      <c r="A7330" s="1">
        <v>46210.150925925926</v>
      </c>
      <c r="B7330" t="s">
        <v>40</v>
      </c>
      <c r="C7330" t="s">
        <v>41</v>
      </c>
      <c r="D7330" s="1">
        <v>46210.153946759259</v>
      </c>
      <c r="E7330" t="s">
        <v>42</v>
      </c>
      <c r="F7330" t="s">
        <v>43</v>
      </c>
      <c r="G7330" t="s">
        <v>43</v>
      </c>
      <c r="H7330" t="s">
        <v>43</v>
      </c>
      <c r="I7330" t="s">
        <v>3932</v>
      </c>
      <c r="J7330" t="s">
        <v>43</v>
      </c>
      <c r="K7330" t="s">
        <v>43</v>
      </c>
      <c r="L7330" t="s">
        <v>43</v>
      </c>
      <c r="M7330" t="s">
        <v>43</v>
      </c>
      <c r="N7330" t="s">
        <v>45</v>
      </c>
      <c r="O7330" t="s">
        <v>43</v>
      </c>
      <c r="P7330" t="s">
        <v>43</v>
      </c>
      <c r="Q7330" t="s">
        <v>43</v>
      </c>
      <c r="R7330" t="s">
        <v>43</v>
      </c>
      <c r="S7330" t="s">
        <v>43</v>
      </c>
      <c r="T7330" t="s">
        <v>43</v>
      </c>
      <c r="U7330" t="s">
        <v>43</v>
      </c>
      <c r="V7330" t="s">
        <v>43</v>
      </c>
      <c r="W7330" t="s">
        <v>43</v>
      </c>
      <c r="X7330" t="s">
        <v>43</v>
      </c>
      <c r="Y7330" t="s">
        <v>43</v>
      </c>
      <c r="Z7330" t="s">
        <v>43</v>
      </c>
      <c r="AA7330" t="s">
        <v>43</v>
      </c>
      <c r="AB7330" t="s">
        <v>43</v>
      </c>
      <c r="AC7330" t="s">
        <v>43</v>
      </c>
      <c r="AD7330" t="s">
        <v>43</v>
      </c>
      <c r="AE7330" t="s">
        <v>43</v>
      </c>
      <c r="AF7330" t="s">
        <v>43</v>
      </c>
      <c r="AG7330" t="s">
        <v>43</v>
      </c>
      <c r="AH7330" t="s">
        <v>43</v>
      </c>
      <c r="AI7330" t="s">
        <v>43</v>
      </c>
      <c r="AJ7330" t="s">
        <v>43</v>
      </c>
      <c r="AK7330" t="s">
        <v>43</v>
      </c>
      <c r="AL7330" t="s">
        <v>43</v>
      </c>
      <c r="AM7330" t="s">
        <v>43</v>
      </c>
      <c r="AN7330" t="str">
        <f>HYPERLINK("https://www.google.com/maps?q=10.78966522,79.57881927","Open Location")</f>
        <v>Open Location</v>
      </c>
    </row>
    <row r="7331" spans="1:40" x14ac:dyDescent="0.3">
      <c r="A7331" s="1">
        <v>46210.150810185187</v>
      </c>
      <c r="B7331" t="s">
        <v>40</v>
      </c>
      <c r="C7331" t="s">
        <v>41</v>
      </c>
      <c r="D7331" s="1">
        <v>46210.153854166667</v>
      </c>
      <c r="E7331" t="s">
        <v>42</v>
      </c>
      <c r="F7331" t="s">
        <v>43</v>
      </c>
      <c r="G7331" t="s">
        <v>43</v>
      </c>
      <c r="H7331" t="s">
        <v>43</v>
      </c>
      <c r="I7331" t="s">
        <v>4004</v>
      </c>
      <c r="J7331" t="s">
        <v>43</v>
      </c>
      <c r="K7331" t="s">
        <v>43</v>
      </c>
      <c r="L7331" t="s">
        <v>43</v>
      </c>
      <c r="M7331" t="s">
        <v>43</v>
      </c>
      <c r="N7331" t="s">
        <v>45</v>
      </c>
      <c r="O7331" t="s">
        <v>43</v>
      </c>
      <c r="P7331" t="s">
        <v>43</v>
      </c>
      <c r="Q7331" t="s">
        <v>43</v>
      </c>
      <c r="R7331" t="s">
        <v>43</v>
      </c>
      <c r="S7331" t="s">
        <v>43</v>
      </c>
      <c r="T7331" t="s">
        <v>43</v>
      </c>
      <c r="U7331" t="s">
        <v>43</v>
      </c>
      <c r="V7331" t="s">
        <v>43</v>
      </c>
      <c r="W7331" t="s">
        <v>43</v>
      </c>
      <c r="X7331" t="s">
        <v>43</v>
      </c>
      <c r="Y7331" t="s">
        <v>43</v>
      </c>
      <c r="Z7331" t="s">
        <v>43</v>
      </c>
      <c r="AA7331" t="s">
        <v>43</v>
      </c>
      <c r="AB7331" t="s">
        <v>43</v>
      </c>
      <c r="AC7331" t="s">
        <v>43</v>
      </c>
      <c r="AD7331" t="s">
        <v>43</v>
      </c>
      <c r="AE7331" t="s">
        <v>43</v>
      </c>
      <c r="AF7331" t="s">
        <v>43</v>
      </c>
      <c r="AG7331" t="s">
        <v>43</v>
      </c>
      <c r="AH7331" t="s">
        <v>43</v>
      </c>
      <c r="AI7331" t="s">
        <v>43</v>
      </c>
      <c r="AJ7331" t="s">
        <v>43</v>
      </c>
      <c r="AK7331" t="s">
        <v>43</v>
      </c>
      <c r="AL7331" t="s">
        <v>43</v>
      </c>
      <c r="AM7331" t="s">
        <v>43</v>
      </c>
      <c r="AN7331" t="str">
        <f>HYPERLINK("https://www.google.com/maps?q=10.78966618,79.5788269","Open Location")</f>
        <v>Open Location</v>
      </c>
    </row>
    <row r="7332" spans="1:40" x14ac:dyDescent="0.3">
      <c r="A7332" s="1">
        <v>46210.150694444441</v>
      </c>
      <c r="B7332" t="s">
        <v>40</v>
      </c>
      <c r="C7332" t="s">
        <v>41</v>
      </c>
      <c r="D7332" s="1">
        <v>46210.153564814813</v>
      </c>
      <c r="E7332" t="s">
        <v>42</v>
      </c>
      <c r="F7332" t="s">
        <v>43</v>
      </c>
      <c r="G7332" t="s">
        <v>43</v>
      </c>
      <c r="H7332" t="s">
        <v>43</v>
      </c>
      <c r="I7332" t="s">
        <v>3944</v>
      </c>
      <c r="J7332" t="s">
        <v>43</v>
      </c>
      <c r="K7332" t="s">
        <v>43</v>
      </c>
      <c r="L7332" t="s">
        <v>43</v>
      </c>
      <c r="M7332" t="s">
        <v>43</v>
      </c>
      <c r="N7332" t="s">
        <v>45</v>
      </c>
      <c r="O7332" t="s">
        <v>43</v>
      </c>
      <c r="P7332" t="s">
        <v>43</v>
      </c>
      <c r="Q7332" t="s">
        <v>43</v>
      </c>
      <c r="R7332" t="s">
        <v>43</v>
      </c>
      <c r="S7332" t="s">
        <v>43</v>
      </c>
      <c r="T7332" t="s">
        <v>43</v>
      </c>
      <c r="U7332" t="s">
        <v>43</v>
      </c>
      <c r="V7332" t="s">
        <v>43</v>
      </c>
      <c r="W7332" t="s">
        <v>43</v>
      </c>
      <c r="X7332" t="s">
        <v>43</v>
      </c>
      <c r="Y7332" t="s">
        <v>43</v>
      </c>
      <c r="Z7332" t="s">
        <v>43</v>
      </c>
      <c r="AA7332" t="s">
        <v>43</v>
      </c>
      <c r="AB7332" t="s">
        <v>43</v>
      </c>
      <c r="AC7332" t="s">
        <v>43</v>
      </c>
      <c r="AD7332" t="s">
        <v>43</v>
      </c>
      <c r="AE7332" t="s">
        <v>43</v>
      </c>
      <c r="AF7332" t="s">
        <v>43</v>
      </c>
      <c r="AG7332" t="s">
        <v>43</v>
      </c>
      <c r="AH7332" t="s">
        <v>43</v>
      </c>
      <c r="AI7332" t="s">
        <v>43</v>
      </c>
      <c r="AJ7332" t="s">
        <v>43</v>
      </c>
      <c r="AK7332" t="s">
        <v>43</v>
      </c>
      <c r="AL7332" t="s">
        <v>43</v>
      </c>
      <c r="AM7332" t="s">
        <v>43</v>
      </c>
      <c r="AN7332" t="str">
        <f>HYPERLINK("https://www.google.com/maps?q=10.78966427,79.57883453","Open Location")</f>
        <v>Open Location</v>
      </c>
    </row>
    <row r="7333" spans="1:40" x14ac:dyDescent="0.3">
      <c r="A7333" s="1">
        <v>46210.150578703702</v>
      </c>
      <c r="B7333" t="s">
        <v>40</v>
      </c>
      <c r="C7333" t="s">
        <v>41</v>
      </c>
      <c r="D7333" s="1">
        <v>46210.153564814813</v>
      </c>
      <c r="E7333" t="s">
        <v>42</v>
      </c>
      <c r="F7333" t="s">
        <v>43</v>
      </c>
      <c r="G7333" t="s">
        <v>43</v>
      </c>
      <c r="H7333" t="s">
        <v>43</v>
      </c>
      <c r="I7333" t="s">
        <v>3944</v>
      </c>
      <c r="J7333" t="s">
        <v>43</v>
      </c>
      <c r="K7333" t="s">
        <v>43</v>
      </c>
      <c r="L7333" t="s">
        <v>43</v>
      </c>
      <c r="M7333" t="s">
        <v>43</v>
      </c>
      <c r="N7333" t="s">
        <v>45</v>
      </c>
      <c r="O7333" t="s">
        <v>43</v>
      </c>
      <c r="P7333" t="s">
        <v>43</v>
      </c>
      <c r="Q7333" t="s">
        <v>43</v>
      </c>
      <c r="R7333" t="s">
        <v>43</v>
      </c>
      <c r="S7333" t="s">
        <v>43</v>
      </c>
      <c r="T7333" t="s">
        <v>43</v>
      </c>
      <c r="U7333" t="s">
        <v>43</v>
      </c>
      <c r="V7333" t="s">
        <v>43</v>
      </c>
      <c r="W7333" t="s">
        <v>43</v>
      </c>
      <c r="X7333" t="s">
        <v>43</v>
      </c>
      <c r="Y7333" t="s">
        <v>43</v>
      </c>
      <c r="Z7333" t="s">
        <v>43</v>
      </c>
      <c r="AA7333" t="s">
        <v>43</v>
      </c>
      <c r="AB7333" t="s">
        <v>43</v>
      </c>
      <c r="AC7333" t="s">
        <v>43</v>
      </c>
      <c r="AD7333" t="s">
        <v>43</v>
      </c>
      <c r="AE7333" t="s">
        <v>43</v>
      </c>
      <c r="AF7333" t="s">
        <v>43</v>
      </c>
      <c r="AG7333" t="s">
        <v>43</v>
      </c>
      <c r="AH7333" t="s">
        <v>43</v>
      </c>
      <c r="AI7333" t="s">
        <v>43</v>
      </c>
      <c r="AJ7333" t="s">
        <v>43</v>
      </c>
      <c r="AK7333" t="s">
        <v>43</v>
      </c>
      <c r="AL7333" t="s">
        <v>43</v>
      </c>
      <c r="AM7333" t="s">
        <v>43</v>
      </c>
      <c r="AN7333" t="str">
        <f>HYPERLINK("https://www.google.com/maps?q=10.78966427,79.57883453","Open Location")</f>
        <v>Open Location</v>
      </c>
    </row>
    <row r="7334" spans="1:40" x14ac:dyDescent="0.3">
      <c r="A7334" s="1">
        <v>46210.150462962964</v>
      </c>
      <c r="B7334" t="s">
        <v>40</v>
      </c>
      <c r="C7334" t="s">
        <v>41</v>
      </c>
      <c r="D7334" s="1">
        <v>46210.153460648151</v>
      </c>
      <c r="E7334" t="s">
        <v>42</v>
      </c>
      <c r="F7334" t="s">
        <v>43</v>
      </c>
      <c r="G7334" t="s">
        <v>43</v>
      </c>
      <c r="H7334" t="s">
        <v>43</v>
      </c>
      <c r="I7334" t="s">
        <v>4225</v>
      </c>
      <c r="J7334" t="s">
        <v>43</v>
      </c>
      <c r="K7334" t="s">
        <v>43</v>
      </c>
      <c r="L7334" t="s">
        <v>43</v>
      </c>
      <c r="M7334" t="s">
        <v>43</v>
      </c>
      <c r="N7334" t="s">
        <v>45</v>
      </c>
      <c r="O7334" t="s">
        <v>43</v>
      </c>
      <c r="P7334" t="s">
        <v>43</v>
      </c>
      <c r="Q7334" t="s">
        <v>43</v>
      </c>
      <c r="R7334" t="s">
        <v>43</v>
      </c>
      <c r="S7334" t="s">
        <v>43</v>
      </c>
      <c r="T7334" t="s">
        <v>43</v>
      </c>
      <c r="U7334" t="s">
        <v>43</v>
      </c>
      <c r="V7334" t="s">
        <v>43</v>
      </c>
      <c r="W7334" t="s">
        <v>43</v>
      </c>
      <c r="X7334" t="s">
        <v>43</v>
      </c>
      <c r="Y7334" t="s">
        <v>43</v>
      </c>
      <c r="Z7334" t="s">
        <v>43</v>
      </c>
      <c r="AA7334" t="s">
        <v>43</v>
      </c>
      <c r="AB7334" t="s">
        <v>43</v>
      </c>
      <c r="AC7334" t="s">
        <v>43</v>
      </c>
      <c r="AD7334" t="s">
        <v>43</v>
      </c>
      <c r="AE7334" t="s">
        <v>43</v>
      </c>
      <c r="AF7334" t="s">
        <v>43</v>
      </c>
      <c r="AG7334" t="s">
        <v>43</v>
      </c>
      <c r="AH7334" t="s">
        <v>43</v>
      </c>
      <c r="AI7334" t="s">
        <v>43</v>
      </c>
      <c r="AJ7334" t="s">
        <v>43</v>
      </c>
      <c r="AK7334" t="s">
        <v>43</v>
      </c>
      <c r="AL7334" t="s">
        <v>43</v>
      </c>
      <c r="AM7334" t="s">
        <v>43</v>
      </c>
      <c r="AN7334" t="str">
        <f>HYPERLINK("https://www.google.com/maps?q=10.78966999,79.57883453","Open Location")</f>
        <v>Open Location</v>
      </c>
    </row>
    <row r="7335" spans="1:40" x14ac:dyDescent="0.3">
      <c r="A7335" s="1">
        <v>46210.150347222225</v>
      </c>
      <c r="B7335" t="s">
        <v>40</v>
      </c>
      <c r="C7335" t="s">
        <v>41</v>
      </c>
      <c r="D7335" s="1">
        <v>46210.153460648151</v>
      </c>
      <c r="E7335" t="s">
        <v>42</v>
      </c>
      <c r="F7335" t="s">
        <v>43</v>
      </c>
      <c r="G7335" t="s">
        <v>43</v>
      </c>
      <c r="H7335" t="s">
        <v>43</v>
      </c>
      <c r="I7335" t="s">
        <v>43</v>
      </c>
      <c r="J7335" t="s">
        <v>43</v>
      </c>
      <c r="K7335" t="s">
        <v>43</v>
      </c>
      <c r="L7335" t="s">
        <v>43</v>
      </c>
      <c r="M7335" t="s">
        <v>43</v>
      </c>
      <c r="N7335" t="s">
        <v>45</v>
      </c>
      <c r="O7335" t="s">
        <v>43</v>
      </c>
      <c r="P7335" t="s">
        <v>43</v>
      </c>
      <c r="Q7335" t="s">
        <v>43</v>
      </c>
      <c r="R7335" t="s">
        <v>43</v>
      </c>
      <c r="S7335" t="s">
        <v>43</v>
      </c>
      <c r="T7335" t="s">
        <v>43</v>
      </c>
      <c r="U7335" t="s">
        <v>43</v>
      </c>
      <c r="V7335" t="s">
        <v>43</v>
      </c>
      <c r="W7335" t="s">
        <v>43</v>
      </c>
      <c r="X7335" t="s">
        <v>43</v>
      </c>
      <c r="Y7335" t="s">
        <v>43</v>
      </c>
      <c r="Z7335" t="s">
        <v>43</v>
      </c>
      <c r="AA7335" t="s">
        <v>43</v>
      </c>
      <c r="AB7335" t="s">
        <v>43</v>
      </c>
      <c r="AC7335" t="s">
        <v>43</v>
      </c>
      <c r="AD7335" t="s">
        <v>43</v>
      </c>
      <c r="AE7335" t="s">
        <v>43</v>
      </c>
      <c r="AF7335" t="s">
        <v>43</v>
      </c>
      <c r="AG7335" t="s">
        <v>43</v>
      </c>
      <c r="AH7335" t="s">
        <v>43</v>
      </c>
      <c r="AI7335" t="s">
        <v>43</v>
      </c>
      <c r="AJ7335" t="s">
        <v>43</v>
      </c>
      <c r="AK7335" t="s">
        <v>43</v>
      </c>
      <c r="AL7335" t="s">
        <v>43</v>
      </c>
      <c r="AM7335" t="s">
        <v>43</v>
      </c>
      <c r="AN7335" t="s">
        <v>43</v>
      </c>
    </row>
    <row r="7336" spans="1:40" x14ac:dyDescent="0.3">
      <c r="A7336" s="1">
        <v>46210.150231481479</v>
      </c>
      <c r="B7336" t="s">
        <v>40</v>
      </c>
      <c r="C7336" t="s">
        <v>41</v>
      </c>
      <c r="D7336" s="1">
        <v>46210.153194444443</v>
      </c>
      <c r="E7336" t="s">
        <v>42</v>
      </c>
      <c r="F7336" t="s">
        <v>43</v>
      </c>
      <c r="G7336" t="s">
        <v>43</v>
      </c>
      <c r="H7336" t="s">
        <v>43</v>
      </c>
      <c r="I7336" t="s">
        <v>4226</v>
      </c>
      <c r="J7336" t="s">
        <v>43</v>
      </c>
      <c r="K7336" t="s">
        <v>43</v>
      </c>
      <c r="L7336" t="s">
        <v>43</v>
      </c>
      <c r="M7336" t="s">
        <v>43</v>
      </c>
      <c r="N7336" t="s">
        <v>45</v>
      </c>
      <c r="O7336" t="s">
        <v>43</v>
      </c>
      <c r="P7336" t="s">
        <v>43</v>
      </c>
      <c r="Q7336" t="s">
        <v>43</v>
      </c>
      <c r="R7336" t="s">
        <v>43</v>
      </c>
      <c r="S7336" t="s">
        <v>43</v>
      </c>
      <c r="T7336" t="s">
        <v>43</v>
      </c>
      <c r="U7336" t="s">
        <v>43</v>
      </c>
      <c r="V7336" t="s">
        <v>43</v>
      </c>
      <c r="W7336" t="s">
        <v>43</v>
      </c>
      <c r="X7336" t="s">
        <v>43</v>
      </c>
      <c r="Y7336" t="s">
        <v>43</v>
      </c>
      <c r="Z7336" t="s">
        <v>43</v>
      </c>
      <c r="AA7336" t="s">
        <v>43</v>
      </c>
      <c r="AB7336" t="s">
        <v>43</v>
      </c>
      <c r="AC7336" t="s">
        <v>43</v>
      </c>
      <c r="AD7336" t="s">
        <v>43</v>
      </c>
      <c r="AE7336" t="s">
        <v>43</v>
      </c>
      <c r="AF7336" t="s">
        <v>43</v>
      </c>
      <c r="AG7336" t="s">
        <v>43</v>
      </c>
      <c r="AH7336" t="s">
        <v>43</v>
      </c>
      <c r="AI7336" t="s">
        <v>43</v>
      </c>
      <c r="AJ7336" t="s">
        <v>43</v>
      </c>
      <c r="AK7336" t="s">
        <v>43</v>
      </c>
      <c r="AL7336" t="s">
        <v>43</v>
      </c>
      <c r="AM7336" t="s">
        <v>43</v>
      </c>
      <c r="AN7336" t="str">
        <f>HYPERLINK("https://www.google.com/maps?q=10.78967762,79.5788269","Open Location")</f>
        <v>Open Location</v>
      </c>
    </row>
    <row r="7337" spans="1:40" x14ac:dyDescent="0.3">
      <c r="A7337" s="1">
        <v>46210.15011574074</v>
      </c>
      <c r="B7337" t="s">
        <v>40</v>
      </c>
      <c r="C7337" t="s">
        <v>41</v>
      </c>
      <c r="D7337" s="1">
        <v>46210.153078703705</v>
      </c>
      <c r="E7337" t="s">
        <v>42</v>
      </c>
      <c r="F7337" t="s">
        <v>43</v>
      </c>
      <c r="G7337" t="s">
        <v>43</v>
      </c>
      <c r="H7337" t="s">
        <v>43</v>
      </c>
      <c r="I7337" t="s">
        <v>3942</v>
      </c>
      <c r="J7337" t="s">
        <v>43</v>
      </c>
      <c r="K7337" t="s">
        <v>43</v>
      </c>
      <c r="L7337" t="s">
        <v>43</v>
      </c>
      <c r="M7337" t="s">
        <v>43</v>
      </c>
      <c r="N7337" t="s">
        <v>45</v>
      </c>
      <c r="O7337" t="s">
        <v>43</v>
      </c>
      <c r="P7337" t="s">
        <v>43</v>
      </c>
      <c r="Q7337" t="s">
        <v>43</v>
      </c>
      <c r="R7337" t="s">
        <v>43</v>
      </c>
      <c r="S7337" t="s">
        <v>43</v>
      </c>
      <c r="T7337" t="s">
        <v>43</v>
      </c>
      <c r="U7337" t="s">
        <v>43</v>
      </c>
      <c r="V7337" t="s">
        <v>43</v>
      </c>
      <c r="W7337" t="s">
        <v>43</v>
      </c>
      <c r="X7337" t="s">
        <v>43</v>
      </c>
      <c r="Y7337" t="s">
        <v>43</v>
      </c>
      <c r="Z7337" t="s">
        <v>43</v>
      </c>
      <c r="AA7337" t="s">
        <v>43</v>
      </c>
      <c r="AB7337" t="s">
        <v>43</v>
      </c>
      <c r="AC7337" t="s">
        <v>43</v>
      </c>
      <c r="AD7337" t="s">
        <v>43</v>
      </c>
      <c r="AE7337" t="s">
        <v>43</v>
      </c>
      <c r="AF7337" t="s">
        <v>43</v>
      </c>
      <c r="AG7337" t="s">
        <v>43</v>
      </c>
      <c r="AH7337" t="s">
        <v>43</v>
      </c>
      <c r="AI7337" t="s">
        <v>43</v>
      </c>
      <c r="AJ7337" t="s">
        <v>43</v>
      </c>
      <c r="AK7337" t="s">
        <v>43</v>
      </c>
      <c r="AL7337" t="s">
        <v>43</v>
      </c>
      <c r="AM7337" t="s">
        <v>43</v>
      </c>
      <c r="AN7337" t="str">
        <f>HYPERLINK("https://www.google.com/maps?q=10.78966713,79.57881927","Open Location")</f>
        <v>Open Location</v>
      </c>
    </row>
    <row r="7338" spans="1:40" x14ac:dyDescent="0.3">
      <c r="A7338" s="1">
        <v>46210.15</v>
      </c>
      <c r="B7338" t="s">
        <v>40</v>
      </c>
      <c r="C7338" t="s">
        <v>41</v>
      </c>
      <c r="D7338" s="1">
        <v>46210.152800925927</v>
      </c>
      <c r="E7338" t="s">
        <v>42</v>
      </c>
      <c r="F7338" t="s">
        <v>43</v>
      </c>
      <c r="G7338" t="s">
        <v>43</v>
      </c>
      <c r="H7338" t="s">
        <v>43</v>
      </c>
      <c r="I7338" t="s">
        <v>3925</v>
      </c>
      <c r="J7338" t="s">
        <v>43</v>
      </c>
      <c r="K7338" t="s">
        <v>43</v>
      </c>
      <c r="L7338" t="s">
        <v>43</v>
      </c>
      <c r="M7338" t="s">
        <v>43</v>
      </c>
      <c r="N7338" t="s">
        <v>45</v>
      </c>
      <c r="O7338" t="s">
        <v>43</v>
      </c>
      <c r="P7338" t="s">
        <v>43</v>
      </c>
      <c r="Q7338" t="s">
        <v>43</v>
      </c>
      <c r="R7338" t="s">
        <v>43</v>
      </c>
      <c r="S7338" t="s">
        <v>43</v>
      </c>
      <c r="T7338" t="s">
        <v>43</v>
      </c>
      <c r="U7338" t="s">
        <v>43</v>
      </c>
      <c r="V7338" t="s">
        <v>43</v>
      </c>
      <c r="W7338" t="s">
        <v>43</v>
      </c>
      <c r="X7338" t="s">
        <v>43</v>
      </c>
      <c r="Y7338" t="s">
        <v>43</v>
      </c>
      <c r="Z7338" t="s">
        <v>43</v>
      </c>
      <c r="AA7338" t="s">
        <v>43</v>
      </c>
      <c r="AB7338" t="s">
        <v>43</v>
      </c>
      <c r="AC7338" t="s">
        <v>43</v>
      </c>
      <c r="AD7338" t="s">
        <v>43</v>
      </c>
      <c r="AE7338" t="s">
        <v>43</v>
      </c>
      <c r="AF7338" t="s">
        <v>43</v>
      </c>
      <c r="AG7338" t="s">
        <v>43</v>
      </c>
      <c r="AH7338" t="s">
        <v>43</v>
      </c>
      <c r="AI7338" t="s">
        <v>43</v>
      </c>
      <c r="AJ7338" t="s">
        <v>43</v>
      </c>
      <c r="AK7338" t="s">
        <v>43</v>
      </c>
      <c r="AL7338" t="s">
        <v>43</v>
      </c>
      <c r="AM7338" t="s">
        <v>43</v>
      </c>
      <c r="AN7338" t="str">
        <f>HYPERLINK("https://www.google.com/maps?q=10.78966999,79.57879639","Open Location")</f>
        <v>Open Location</v>
      </c>
    </row>
    <row r="7339" spans="1:40" x14ac:dyDescent="0.3">
      <c r="A7339" s="1">
        <v>46210.149884259263</v>
      </c>
      <c r="B7339" t="s">
        <v>40</v>
      </c>
      <c r="C7339" t="s">
        <v>41</v>
      </c>
      <c r="D7339" s="1">
        <v>46210.152824074074</v>
      </c>
      <c r="E7339" t="s">
        <v>42</v>
      </c>
      <c r="F7339" t="s">
        <v>43</v>
      </c>
      <c r="G7339" t="s">
        <v>43</v>
      </c>
      <c r="H7339" t="s">
        <v>43</v>
      </c>
      <c r="I7339" t="s">
        <v>4003</v>
      </c>
      <c r="J7339" t="s">
        <v>43</v>
      </c>
      <c r="K7339" t="s">
        <v>43</v>
      </c>
      <c r="L7339" t="s">
        <v>43</v>
      </c>
      <c r="M7339" t="s">
        <v>43</v>
      </c>
      <c r="N7339" t="s">
        <v>45</v>
      </c>
      <c r="O7339" t="s">
        <v>43</v>
      </c>
      <c r="P7339" t="s">
        <v>43</v>
      </c>
      <c r="Q7339" t="s">
        <v>43</v>
      </c>
      <c r="R7339" t="s">
        <v>43</v>
      </c>
      <c r="S7339" t="s">
        <v>43</v>
      </c>
      <c r="T7339" t="s">
        <v>43</v>
      </c>
      <c r="U7339" t="s">
        <v>43</v>
      </c>
      <c r="V7339" t="s">
        <v>43</v>
      </c>
      <c r="W7339" t="s">
        <v>43</v>
      </c>
      <c r="X7339" t="s">
        <v>43</v>
      </c>
      <c r="Y7339" t="s">
        <v>43</v>
      </c>
      <c r="Z7339" t="s">
        <v>43</v>
      </c>
      <c r="AA7339" t="s">
        <v>43</v>
      </c>
      <c r="AB7339" t="s">
        <v>43</v>
      </c>
      <c r="AC7339" t="s">
        <v>43</v>
      </c>
      <c r="AD7339" t="s">
        <v>43</v>
      </c>
      <c r="AE7339" t="s">
        <v>43</v>
      </c>
      <c r="AF7339" t="s">
        <v>43</v>
      </c>
      <c r="AG7339" t="s">
        <v>43</v>
      </c>
      <c r="AH7339" t="s">
        <v>43</v>
      </c>
      <c r="AI7339" t="s">
        <v>43</v>
      </c>
      <c r="AJ7339" t="s">
        <v>43</v>
      </c>
      <c r="AK7339" t="s">
        <v>43</v>
      </c>
      <c r="AL7339" t="s">
        <v>43</v>
      </c>
      <c r="AM7339" t="s">
        <v>43</v>
      </c>
      <c r="AN7339" t="str">
        <f>HYPERLINK("https://www.google.com/maps?q=10.78966427,79.57881165","Open Location")</f>
        <v>Open Location</v>
      </c>
    </row>
    <row r="7340" spans="1:40" x14ac:dyDescent="0.3">
      <c r="A7340" s="1">
        <v>46210.149768518517</v>
      </c>
      <c r="B7340" t="s">
        <v>40</v>
      </c>
      <c r="C7340" t="s">
        <v>41</v>
      </c>
      <c r="D7340" s="1">
        <v>46210.152708333335</v>
      </c>
      <c r="E7340" t="s">
        <v>42</v>
      </c>
      <c r="F7340" t="s">
        <v>43</v>
      </c>
      <c r="G7340" t="s">
        <v>43</v>
      </c>
      <c r="H7340" t="s">
        <v>43</v>
      </c>
      <c r="I7340" t="s">
        <v>43</v>
      </c>
      <c r="J7340" t="s">
        <v>43</v>
      </c>
      <c r="K7340" t="s">
        <v>43</v>
      </c>
      <c r="L7340" t="s">
        <v>43</v>
      </c>
      <c r="M7340" t="s">
        <v>43</v>
      </c>
      <c r="N7340" t="s">
        <v>45</v>
      </c>
      <c r="O7340" t="s">
        <v>43</v>
      </c>
      <c r="P7340" t="s">
        <v>43</v>
      </c>
      <c r="Q7340" t="s">
        <v>43</v>
      </c>
      <c r="R7340" t="s">
        <v>43</v>
      </c>
      <c r="S7340" t="s">
        <v>43</v>
      </c>
      <c r="T7340" t="s">
        <v>43</v>
      </c>
      <c r="U7340" t="s">
        <v>43</v>
      </c>
      <c r="V7340" t="s">
        <v>43</v>
      </c>
      <c r="W7340" t="s">
        <v>43</v>
      </c>
      <c r="X7340" t="s">
        <v>43</v>
      </c>
      <c r="Y7340" t="s">
        <v>43</v>
      </c>
      <c r="Z7340" t="s">
        <v>43</v>
      </c>
      <c r="AA7340" t="s">
        <v>43</v>
      </c>
      <c r="AB7340" t="s">
        <v>43</v>
      </c>
      <c r="AC7340" t="s">
        <v>43</v>
      </c>
      <c r="AD7340" t="s">
        <v>43</v>
      </c>
      <c r="AE7340" t="s">
        <v>43</v>
      </c>
      <c r="AF7340" t="s">
        <v>43</v>
      </c>
      <c r="AG7340" t="s">
        <v>43</v>
      </c>
      <c r="AH7340" t="s">
        <v>43</v>
      </c>
      <c r="AI7340" t="s">
        <v>43</v>
      </c>
      <c r="AJ7340" t="s">
        <v>43</v>
      </c>
      <c r="AK7340" t="s">
        <v>43</v>
      </c>
      <c r="AL7340" t="s">
        <v>43</v>
      </c>
      <c r="AM7340" t="s">
        <v>43</v>
      </c>
      <c r="AN7340" t="s">
        <v>43</v>
      </c>
    </row>
    <row r="7341" spans="1:40" x14ac:dyDescent="0.3">
      <c r="A7341" s="1">
        <v>46210.149652777778</v>
      </c>
      <c r="B7341" t="s">
        <v>40</v>
      </c>
      <c r="C7341" t="s">
        <v>41</v>
      </c>
      <c r="D7341" s="1">
        <v>46210.152824074074</v>
      </c>
      <c r="E7341" t="s">
        <v>42</v>
      </c>
      <c r="F7341" t="s">
        <v>43</v>
      </c>
      <c r="G7341" t="s">
        <v>43</v>
      </c>
      <c r="H7341" t="s">
        <v>43</v>
      </c>
      <c r="I7341" t="s">
        <v>4099</v>
      </c>
      <c r="J7341" t="s">
        <v>43</v>
      </c>
      <c r="K7341" t="s">
        <v>43</v>
      </c>
      <c r="L7341" t="s">
        <v>43</v>
      </c>
      <c r="M7341" t="s">
        <v>43</v>
      </c>
      <c r="N7341" t="s">
        <v>45</v>
      </c>
      <c r="O7341" t="s">
        <v>43</v>
      </c>
      <c r="P7341" t="s">
        <v>43</v>
      </c>
      <c r="Q7341" t="s">
        <v>43</v>
      </c>
      <c r="R7341" t="s">
        <v>43</v>
      </c>
      <c r="S7341" t="s">
        <v>43</v>
      </c>
      <c r="T7341" t="s">
        <v>43</v>
      </c>
      <c r="U7341" t="s">
        <v>43</v>
      </c>
      <c r="V7341" t="s">
        <v>43</v>
      </c>
      <c r="W7341" t="s">
        <v>43</v>
      </c>
      <c r="X7341" t="s">
        <v>43</v>
      </c>
      <c r="Y7341" t="s">
        <v>43</v>
      </c>
      <c r="Z7341" t="s">
        <v>43</v>
      </c>
      <c r="AA7341" t="s">
        <v>43</v>
      </c>
      <c r="AB7341" t="s">
        <v>43</v>
      </c>
      <c r="AC7341" t="s">
        <v>43</v>
      </c>
      <c r="AD7341" t="s">
        <v>43</v>
      </c>
      <c r="AE7341" t="s">
        <v>43</v>
      </c>
      <c r="AF7341" t="s">
        <v>43</v>
      </c>
      <c r="AG7341" t="s">
        <v>43</v>
      </c>
      <c r="AH7341" t="s">
        <v>43</v>
      </c>
      <c r="AI7341" t="s">
        <v>43</v>
      </c>
      <c r="AJ7341" t="s">
        <v>43</v>
      </c>
      <c r="AK7341" t="s">
        <v>43</v>
      </c>
      <c r="AL7341" t="s">
        <v>43</v>
      </c>
      <c r="AM7341" t="s">
        <v>43</v>
      </c>
      <c r="AN7341" t="str">
        <f>HYPERLINK("https://www.google.com/maps?q=10.78965759,79.57881165","Open Location")</f>
        <v>Open Location</v>
      </c>
    </row>
    <row r="7342" spans="1:40" x14ac:dyDescent="0.3">
      <c r="A7342" s="1">
        <v>46210.149537037039</v>
      </c>
      <c r="B7342" t="s">
        <v>40</v>
      </c>
      <c r="C7342" t="s">
        <v>41</v>
      </c>
      <c r="D7342" s="1">
        <v>46210.152442129627</v>
      </c>
      <c r="E7342" t="s">
        <v>42</v>
      </c>
      <c r="F7342" t="s">
        <v>43</v>
      </c>
      <c r="G7342" t="s">
        <v>43</v>
      </c>
      <c r="H7342" t="s">
        <v>43</v>
      </c>
      <c r="I7342" t="s">
        <v>4009</v>
      </c>
      <c r="J7342" t="s">
        <v>43</v>
      </c>
      <c r="K7342" t="s">
        <v>43</v>
      </c>
      <c r="L7342" t="s">
        <v>43</v>
      </c>
      <c r="M7342" t="s">
        <v>43</v>
      </c>
      <c r="N7342" t="s">
        <v>45</v>
      </c>
      <c r="O7342" t="s">
        <v>43</v>
      </c>
      <c r="P7342" t="s">
        <v>43</v>
      </c>
      <c r="Q7342" t="s">
        <v>43</v>
      </c>
      <c r="R7342" t="s">
        <v>43</v>
      </c>
      <c r="S7342" t="s">
        <v>43</v>
      </c>
      <c r="T7342" t="s">
        <v>43</v>
      </c>
      <c r="U7342" t="s">
        <v>43</v>
      </c>
      <c r="V7342" t="s">
        <v>43</v>
      </c>
      <c r="W7342" t="s">
        <v>43</v>
      </c>
      <c r="X7342" t="s">
        <v>43</v>
      </c>
      <c r="Y7342" t="s">
        <v>43</v>
      </c>
      <c r="Z7342" t="s">
        <v>43</v>
      </c>
      <c r="AA7342" t="s">
        <v>43</v>
      </c>
      <c r="AB7342" t="s">
        <v>43</v>
      </c>
      <c r="AC7342" t="s">
        <v>43</v>
      </c>
      <c r="AD7342" t="s">
        <v>43</v>
      </c>
      <c r="AE7342" t="s">
        <v>43</v>
      </c>
      <c r="AF7342" t="s">
        <v>43</v>
      </c>
      <c r="AG7342" t="s">
        <v>43</v>
      </c>
      <c r="AH7342" t="s">
        <v>43</v>
      </c>
      <c r="AI7342" t="s">
        <v>43</v>
      </c>
      <c r="AJ7342" t="s">
        <v>43</v>
      </c>
      <c r="AK7342" t="s">
        <v>43</v>
      </c>
      <c r="AL7342" t="s">
        <v>43</v>
      </c>
      <c r="AM7342" t="s">
        <v>43</v>
      </c>
      <c r="AN7342" t="str">
        <f>HYPERLINK("https://www.google.com/maps?q=10.78966618,79.57881927","Open Location")</f>
        <v>Open Location</v>
      </c>
    </row>
    <row r="7343" spans="1:40" x14ac:dyDescent="0.3">
      <c r="A7343" s="1">
        <v>46210.149421296293</v>
      </c>
      <c r="B7343" t="s">
        <v>40</v>
      </c>
      <c r="C7343" t="s">
        <v>41</v>
      </c>
      <c r="D7343" s="1">
        <v>46210.152326388888</v>
      </c>
      <c r="E7343" t="s">
        <v>42</v>
      </c>
      <c r="F7343" t="s">
        <v>43</v>
      </c>
      <c r="G7343" t="s">
        <v>43</v>
      </c>
      <c r="H7343" t="s">
        <v>43</v>
      </c>
      <c r="I7343" t="s">
        <v>3924</v>
      </c>
      <c r="J7343" t="s">
        <v>43</v>
      </c>
      <c r="K7343" t="s">
        <v>43</v>
      </c>
      <c r="L7343" t="s">
        <v>43</v>
      </c>
      <c r="M7343" t="s">
        <v>43</v>
      </c>
      <c r="N7343" t="s">
        <v>45</v>
      </c>
      <c r="O7343" t="s">
        <v>43</v>
      </c>
      <c r="P7343" t="s">
        <v>43</v>
      </c>
      <c r="Q7343" t="s">
        <v>43</v>
      </c>
      <c r="R7343" t="s">
        <v>43</v>
      </c>
      <c r="S7343" t="s">
        <v>43</v>
      </c>
      <c r="T7343" t="s">
        <v>43</v>
      </c>
      <c r="U7343" t="s">
        <v>43</v>
      </c>
      <c r="V7343" t="s">
        <v>43</v>
      </c>
      <c r="W7343" t="s">
        <v>43</v>
      </c>
      <c r="X7343" t="s">
        <v>43</v>
      </c>
      <c r="Y7343" t="s">
        <v>43</v>
      </c>
      <c r="Z7343" t="s">
        <v>43</v>
      </c>
      <c r="AA7343" t="s">
        <v>43</v>
      </c>
      <c r="AB7343" t="s">
        <v>43</v>
      </c>
      <c r="AC7343" t="s">
        <v>43</v>
      </c>
      <c r="AD7343" t="s">
        <v>43</v>
      </c>
      <c r="AE7343" t="s">
        <v>43</v>
      </c>
      <c r="AF7343" t="s">
        <v>43</v>
      </c>
      <c r="AG7343" t="s">
        <v>43</v>
      </c>
      <c r="AH7343" t="s">
        <v>43</v>
      </c>
      <c r="AI7343" t="s">
        <v>43</v>
      </c>
      <c r="AJ7343" t="s">
        <v>43</v>
      </c>
      <c r="AK7343" t="s">
        <v>43</v>
      </c>
      <c r="AL7343" t="s">
        <v>43</v>
      </c>
      <c r="AM7343" t="s">
        <v>43</v>
      </c>
      <c r="AN7343" t="str">
        <f>HYPERLINK("https://www.google.com/maps?q=10.78966618,79.57881165","Open Location")</f>
        <v>Open Location</v>
      </c>
    </row>
    <row r="7344" spans="1:40" x14ac:dyDescent="0.3">
      <c r="A7344" s="1">
        <v>46210.149305555555</v>
      </c>
      <c r="B7344" t="s">
        <v>40</v>
      </c>
      <c r="C7344" t="s">
        <v>41</v>
      </c>
      <c r="D7344" s="1">
        <v>46210.152060185188</v>
      </c>
      <c r="E7344" t="s">
        <v>42</v>
      </c>
      <c r="F7344" t="s">
        <v>43</v>
      </c>
      <c r="G7344" t="s">
        <v>43</v>
      </c>
      <c r="H7344" t="s">
        <v>43</v>
      </c>
      <c r="I7344" t="s">
        <v>3926</v>
      </c>
      <c r="J7344" t="s">
        <v>43</v>
      </c>
      <c r="K7344" t="s">
        <v>43</v>
      </c>
      <c r="L7344" t="s">
        <v>43</v>
      </c>
      <c r="M7344" t="s">
        <v>43</v>
      </c>
      <c r="N7344" t="s">
        <v>45</v>
      </c>
      <c r="O7344" t="s">
        <v>43</v>
      </c>
      <c r="P7344" t="s">
        <v>43</v>
      </c>
      <c r="Q7344" t="s">
        <v>43</v>
      </c>
      <c r="R7344" t="s">
        <v>43</v>
      </c>
      <c r="S7344" t="s">
        <v>43</v>
      </c>
      <c r="T7344" t="s">
        <v>43</v>
      </c>
      <c r="U7344" t="s">
        <v>43</v>
      </c>
      <c r="V7344" t="s">
        <v>43</v>
      </c>
      <c r="W7344" t="s">
        <v>43</v>
      </c>
      <c r="X7344" t="s">
        <v>43</v>
      </c>
      <c r="Y7344" t="s">
        <v>43</v>
      </c>
      <c r="Z7344" t="s">
        <v>43</v>
      </c>
      <c r="AA7344" t="s">
        <v>43</v>
      </c>
      <c r="AB7344" t="s">
        <v>43</v>
      </c>
      <c r="AC7344" t="s">
        <v>43</v>
      </c>
      <c r="AD7344" t="s">
        <v>43</v>
      </c>
      <c r="AE7344" t="s">
        <v>43</v>
      </c>
      <c r="AF7344" t="s">
        <v>43</v>
      </c>
      <c r="AG7344" t="s">
        <v>43</v>
      </c>
      <c r="AH7344" t="s">
        <v>43</v>
      </c>
      <c r="AI7344" t="s">
        <v>43</v>
      </c>
      <c r="AJ7344" t="s">
        <v>43</v>
      </c>
      <c r="AK7344" t="s">
        <v>43</v>
      </c>
      <c r="AL7344" t="s">
        <v>43</v>
      </c>
      <c r="AM7344" t="s">
        <v>43</v>
      </c>
      <c r="AN7344" t="str">
        <f>HYPERLINK("https://www.google.com/maps?q=10.78966713,79.57879639","Open Location")</f>
        <v>Open Location</v>
      </c>
    </row>
    <row r="7345" spans="1:40" x14ac:dyDescent="0.3">
      <c r="A7345" s="1">
        <v>46210.149189814816</v>
      </c>
      <c r="B7345" t="s">
        <v>40</v>
      </c>
      <c r="C7345" t="s">
        <v>41</v>
      </c>
      <c r="D7345" s="1">
        <v>46210.152060185188</v>
      </c>
      <c r="E7345" t="s">
        <v>42</v>
      </c>
      <c r="F7345" t="s">
        <v>43</v>
      </c>
      <c r="G7345" t="s">
        <v>43</v>
      </c>
      <c r="H7345" t="s">
        <v>43</v>
      </c>
      <c r="I7345" t="s">
        <v>4227</v>
      </c>
      <c r="J7345" t="s">
        <v>43</v>
      </c>
      <c r="K7345" t="s">
        <v>43</v>
      </c>
      <c r="L7345" t="s">
        <v>43</v>
      </c>
      <c r="M7345" t="s">
        <v>43</v>
      </c>
      <c r="N7345" t="s">
        <v>45</v>
      </c>
      <c r="O7345" t="s">
        <v>43</v>
      </c>
      <c r="P7345" t="s">
        <v>43</v>
      </c>
      <c r="Q7345" t="s">
        <v>43</v>
      </c>
      <c r="R7345" t="s">
        <v>43</v>
      </c>
      <c r="S7345" t="s">
        <v>43</v>
      </c>
      <c r="T7345" t="s">
        <v>43</v>
      </c>
      <c r="U7345" t="s">
        <v>43</v>
      </c>
      <c r="V7345" t="s">
        <v>43</v>
      </c>
      <c r="W7345" t="s">
        <v>43</v>
      </c>
      <c r="X7345" t="s">
        <v>43</v>
      </c>
      <c r="Y7345" t="s">
        <v>43</v>
      </c>
      <c r="Z7345" t="s">
        <v>43</v>
      </c>
      <c r="AA7345" t="s">
        <v>43</v>
      </c>
      <c r="AB7345" t="s">
        <v>43</v>
      </c>
      <c r="AC7345" t="s">
        <v>43</v>
      </c>
      <c r="AD7345" t="s">
        <v>43</v>
      </c>
      <c r="AE7345" t="s">
        <v>43</v>
      </c>
      <c r="AF7345" t="s">
        <v>43</v>
      </c>
      <c r="AG7345" t="s">
        <v>43</v>
      </c>
      <c r="AH7345" t="s">
        <v>43</v>
      </c>
      <c r="AI7345" t="s">
        <v>43</v>
      </c>
      <c r="AJ7345" t="s">
        <v>43</v>
      </c>
      <c r="AK7345" t="s">
        <v>43</v>
      </c>
      <c r="AL7345" t="s">
        <v>43</v>
      </c>
      <c r="AM7345" t="s">
        <v>43</v>
      </c>
      <c r="AN7345" t="str">
        <f>HYPERLINK("https://www.google.com/maps?q=10.78967381,79.57879639","Open Location")</f>
        <v>Open Location</v>
      </c>
    </row>
    <row r="7346" spans="1:40" x14ac:dyDescent="0.3">
      <c r="A7346" s="1">
        <v>46210.149074074077</v>
      </c>
      <c r="B7346" t="s">
        <v>40</v>
      </c>
      <c r="C7346" t="s">
        <v>41</v>
      </c>
      <c r="D7346" s="1">
        <v>46210.151909722219</v>
      </c>
      <c r="E7346" t="s">
        <v>42</v>
      </c>
      <c r="F7346" t="s">
        <v>43</v>
      </c>
      <c r="G7346" t="s">
        <v>43</v>
      </c>
      <c r="H7346" t="s">
        <v>43</v>
      </c>
      <c r="I7346" t="s">
        <v>43</v>
      </c>
      <c r="J7346" t="s">
        <v>43</v>
      </c>
      <c r="K7346" t="s">
        <v>43</v>
      </c>
      <c r="L7346" t="s">
        <v>43</v>
      </c>
      <c r="M7346" t="s">
        <v>43</v>
      </c>
      <c r="N7346" t="s">
        <v>45</v>
      </c>
      <c r="O7346" t="s">
        <v>43</v>
      </c>
      <c r="P7346" t="s">
        <v>43</v>
      </c>
      <c r="Q7346" t="s">
        <v>43</v>
      </c>
      <c r="R7346" t="s">
        <v>43</v>
      </c>
      <c r="S7346" t="s">
        <v>43</v>
      </c>
      <c r="T7346" t="s">
        <v>43</v>
      </c>
      <c r="U7346" t="s">
        <v>43</v>
      </c>
      <c r="V7346" t="s">
        <v>43</v>
      </c>
      <c r="W7346" t="s">
        <v>43</v>
      </c>
      <c r="X7346" t="s">
        <v>43</v>
      </c>
      <c r="Y7346" t="s">
        <v>43</v>
      </c>
      <c r="Z7346" t="s">
        <v>43</v>
      </c>
      <c r="AA7346" t="s">
        <v>43</v>
      </c>
      <c r="AB7346" t="s">
        <v>43</v>
      </c>
      <c r="AC7346" t="s">
        <v>43</v>
      </c>
      <c r="AD7346" t="s">
        <v>43</v>
      </c>
      <c r="AE7346" t="s">
        <v>43</v>
      </c>
      <c r="AF7346" t="s">
        <v>43</v>
      </c>
      <c r="AG7346" t="s">
        <v>43</v>
      </c>
      <c r="AH7346" t="s">
        <v>43</v>
      </c>
      <c r="AI7346" t="s">
        <v>43</v>
      </c>
      <c r="AJ7346" t="s">
        <v>43</v>
      </c>
      <c r="AK7346" t="s">
        <v>43</v>
      </c>
      <c r="AL7346" t="s">
        <v>43</v>
      </c>
      <c r="AM7346" t="s">
        <v>43</v>
      </c>
      <c r="AN7346" t="s">
        <v>43</v>
      </c>
    </row>
    <row r="7347" spans="1:40" x14ac:dyDescent="0.3">
      <c r="A7347" s="1">
        <v>46210.148958333331</v>
      </c>
      <c r="B7347" t="s">
        <v>40</v>
      </c>
      <c r="C7347" t="s">
        <v>41</v>
      </c>
      <c r="D7347" s="1">
        <v>46210.152037037034</v>
      </c>
      <c r="E7347" t="s">
        <v>42</v>
      </c>
      <c r="F7347" t="s">
        <v>43</v>
      </c>
      <c r="G7347" t="s">
        <v>43</v>
      </c>
      <c r="H7347" t="s">
        <v>43</v>
      </c>
      <c r="I7347" t="s">
        <v>4228</v>
      </c>
      <c r="J7347" t="s">
        <v>43</v>
      </c>
      <c r="K7347" t="s">
        <v>43</v>
      </c>
      <c r="L7347" t="s">
        <v>43</v>
      </c>
      <c r="M7347" t="s">
        <v>43</v>
      </c>
      <c r="N7347" t="s">
        <v>45</v>
      </c>
      <c r="O7347" t="s">
        <v>43</v>
      </c>
      <c r="P7347" t="s">
        <v>43</v>
      </c>
      <c r="Q7347" t="s">
        <v>43</v>
      </c>
      <c r="R7347" t="s">
        <v>43</v>
      </c>
      <c r="S7347" t="s">
        <v>43</v>
      </c>
      <c r="T7347" t="s">
        <v>43</v>
      </c>
      <c r="U7347" t="s">
        <v>43</v>
      </c>
      <c r="V7347" t="s">
        <v>43</v>
      </c>
      <c r="W7347" t="s">
        <v>43</v>
      </c>
      <c r="X7347" t="s">
        <v>43</v>
      </c>
      <c r="Y7347" t="s">
        <v>43</v>
      </c>
      <c r="Z7347" t="s">
        <v>43</v>
      </c>
      <c r="AA7347" t="s">
        <v>43</v>
      </c>
      <c r="AB7347" t="s">
        <v>43</v>
      </c>
      <c r="AC7347" t="s">
        <v>43</v>
      </c>
      <c r="AD7347" t="s">
        <v>43</v>
      </c>
      <c r="AE7347" t="s">
        <v>43</v>
      </c>
      <c r="AF7347" t="s">
        <v>43</v>
      </c>
      <c r="AG7347" t="s">
        <v>43</v>
      </c>
      <c r="AH7347" t="s">
        <v>43</v>
      </c>
      <c r="AI7347" t="s">
        <v>43</v>
      </c>
      <c r="AJ7347" t="s">
        <v>43</v>
      </c>
      <c r="AK7347" t="s">
        <v>43</v>
      </c>
      <c r="AL7347" t="s">
        <v>43</v>
      </c>
      <c r="AM7347" t="s">
        <v>43</v>
      </c>
      <c r="AN7347" t="str">
        <f>HYPERLINK("https://www.google.com/maps?q=10.78967857,79.57878876","Open Location")</f>
        <v>Open Location</v>
      </c>
    </row>
    <row r="7348" spans="1:40" x14ac:dyDescent="0.3">
      <c r="A7348" s="1">
        <v>46210.148842592593</v>
      </c>
      <c r="B7348" t="s">
        <v>40</v>
      </c>
      <c r="C7348" t="s">
        <v>41</v>
      </c>
      <c r="D7348" s="1">
        <v>46210.151689814818</v>
      </c>
      <c r="E7348" t="s">
        <v>42</v>
      </c>
      <c r="F7348" t="s">
        <v>43</v>
      </c>
      <c r="G7348" t="s">
        <v>43</v>
      </c>
      <c r="H7348" t="s">
        <v>43</v>
      </c>
      <c r="I7348" t="s">
        <v>4229</v>
      </c>
      <c r="J7348" t="s">
        <v>43</v>
      </c>
      <c r="K7348" t="s">
        <v>43</v>
      </c>
      <c r="L7348" t="s">
        <v>43</v>
      </c>
      <c r="M7348" t="s">
        <v>43</v>
      </c>
      <c r="N7348" t="s">
        <v>45</v>
      </c>
      <c r="O7348" t="s">
        <v>43</v>
      </c>
      <c r="P7348" t="s">
        <v>43</v>
      </c>
      <c r="Q7348" t="s">
        <v>43</v>
      </c>
      <c r="R7348" t="s">
        <v>43</v>
      </c>
      <c r="S7348" t="s">
        <v>43</v>
      </c>
      <c r="T7348" t="s">
        <v>43</v>
      </c>
      <c r="U7348" t="s">
        <v>43</v>
      </c>
      <c r="V7348" t="s">
        <v>43</v>
      </c>
      <c r="W7348" t="s">
        <v>43</v>
      </c>
      <c r="X7348" t="s">
        <v>43</v>
      </c>
      <c r="Y7348" t="s">
        <v>43</v>
      </c>
      <c r="Z7348" t="s">
        <v>43</v>
      </c>
      <c r="AA7348" t="s">
        <v>43</v>
      </c>
      <c r="AB7348" t="s">
        <v>43</v>
      </c>
      <c r="AC7348" t="s">
        <v>43</v>
      </c>
      <c r="AD7348" t="s">
        <v>43</v>
      </c>
      <c r="AE7348" t="s">
        <v>43</v>
      </c>
      <c r="AF7348" t="s">
        <v>43</v>
      </c>
      <c r="AG7348" t="s">
        <v>43</v>
      </c>
      <c r="AH7348" t="s">
        <v>43</v>
      </c>
      <c r="AI7348" t="s">
        <v>43</v>
      </c>
      <c r="AJ7348" t="s">
        <v>43</v>
      </c>
      <c r="AK7348" t="s">
        <v>43</v>
      </c>
      <c r="AL7348" t="s">
        <v>43</v>
      </c>
      <c r="AM7348" t="s">
        <v>43</v>
      </c>
      <c r="AN7348" t="str">
        <f>HYPERLINK("https://www.google.com/maps?q=10.78967953,79.57878876","Open Location")</f>
        <v>Open Location</v>
      </c>
    </row>
    <row r="7349" spans="1:40" x14ac:dyDescent="0.3">
      <c r="A7349" s="1">
        <v>46210.148726851854</v>
      </c>
      <c r="B7349" t="s">
        <v>40</v>
      </c>
      <c r="C7349" t="s">
        <v>41</v>
      </c>
      <c r="D7349" s="1">
        <v>46210.151678240742</v>
      </c>
      <c r="E7349" t="s">
        <v>42</v>
      </c>
      <c r="F7349" t="s">
        <v>43</v>
      </c>
      <c r="G7349" t="s">
        <v>43</v>
      </c>
      <c r="H7349" t="s">
        <v>43</v>
      </c>
      <c r="I7349" t="s">
        <v>4230</v>
      </c>
      <c r="J7349" t="s">
        <v>43</v>
      </c>
      <c r="K7349" t="s">
        <v>43</v>
      </c>
      <c r="L7349" t="s">
        <v>43</v>
      </c>
      <c r="M7349" t="s">
        <v>43</v>
      </c>
      <c r="N7349" t="s">
        <v>45</v>
      </c>
      <c r="O7349" t="s">
        <v>43</v>
      </c>
      <c r="P7349" t="s">
        <v>43</v>
      </c>
      <c r="Q7349" t="s">
        <v>43</v>
      </c>
      <c r="R7349" t="s">
        <v>43</v>
      </c>
      <c r="S7349" t="s">
        <v>43</v>
      </c>
      <c r="T7349" t="s">
        <v>43</v>
      </c>
      <c r="U7349" t="s">
        <v>43</v>
      </c>
      <c r="V7349" t="s">
        <v>43</v>
      </c>
      <c r="W7349" t="s">
        <v>43</v>
      </c>
      <c r="X7349" t="s">
        <v>43</v>
      </c>
      <c r="Y7349" t="s">
        <v>43</v>
      </c>
      <c r="Z7349" t="s">
        <v>43</v>
      </c>
      <c r="AA7349" t="s">
        <v>43</v>
      </c>
      <c r="AB7349" t="s">
        <v>43</v>
      </c>
      <c r="AC7349" t="s">
        <v>43</v>
      </c>
      <c r="AD7349" t="s">
        <v>43</v>
      </c>
      <c r="AE7349" t="s">
        <v>43</v>
      </c>
      <c r="AF7349" t="s">
        <v>43</v>
      </c>
      <c r="AG7349" t="s">
        <v>43</v>
      </c>
      <c r="AH7349" t="s">
        <v>43</v>
      </c>
      <c r="AI7349" t="s">
        <v>43</v>
      </c>
      <c r="AJ7349" t="s">
        <v>43</v>
      </c>
      <c r="AK7349" t="s">
        <v>43</v>
      </c>
      <c r="AL7349" t="s">
        <v>43</v>
      </c>
      <c r="AM7349" t="s">
        <v>43</v>
      </c>
      <c r="AN7349" t="str">
        <f>HYPERLINK("https://www.google.com/maps?q=10.78967667,79.57878876","Open Location")</f>
        <v>Open Location</v>
      </c>
    </row>
    <row r="7350" spans="1:40" x14ac:dyDescent="0.3">
      <c r="A7350" s="1">
        <v>46210.148611111108</v>
      </c>
      <c r="B7350" t="s">
        <v>40</v>
      </c>
      <c r="C7350" t="s">
        <v>41</v>
      </c>
      <c r="D7350" s="1">
        <v>46210.151504629626</v>
      </c>
      <c r="E7350" t="s">
        <v>42</v>
      </c>
      <c r="F7350" t="s">
        <v>43</v>
      </c>
      <c r="G7350" t="s">
        <v>43</v>
      </c>
      <c r="H7350" t="s">
        <v>43</v>
      </c>
      <c r="I7350" t="s">
        <v>4029</v>
      </c>
      <c r="J7350" t="s">
        <v>43</v>
      </c>
      <c r="K7350" t="s">
        <v>43</v>
      </c>
      <c r="L7350" t="s">
        <v>43</v>
      </c>
      <c r="M7350" t="s">
        <v>43</v>
      </c>
      <c r="N7350" t="s">
        <v>45</v>
      </c>
      <c r="O7350" t="s">
        <v>43</v>
      </c>
      <c r="P7350" t="s">
        <v>43</v>
      </c>
      <c r="Q7350" t="s">
        <v>43</v>
      </c>
      <c r="R7350" t="s">
        <v>43</v>
      </c>
      <c r="S7350" t="s">
        <v>43</v>
      </c>
      <c r="T7350" t="s">
        <v>43</v>
      </c>
      <c r="U7350" t="s">
        <v>43</v>
      </c>
      <c r="V7350" t="s">
        <v>43</v>
      </c>
      <c r="W7350" t="s">
        <v>43</v>
      </c>
      <c r="X7350" t="s">
        <v>43</v>
      </c>
      <c r="Y7350" t="s">
        <v>43</v>
      </c>
      <c r="Z7350" t="s">
        <v>43</v>
      </c>
      <c r="AA7350" t="s">
        <v>43</v>
      </c>
      <c r="AB7350" t="s">
        <v>43</v>
      </c>
      <c r="AC7350" t="s">
        <v>43</v>
      </c>
      <c r="AD7350" t="s">
        <v>43</v>
      </c>
      <c r="AE7350" t="s">
        <v>43</v>
      </c>
      <c r="AF7350" t="s">
        <v>43</v>
      </c>
      <c r="AG7350" t="s">
        <v>43</v>
      </c>
      <c r="AH7350" t="s">
        <v>43</v>
      </c>
      <c r="AI7350" t="s">
        <v>43</v>
      </c>
      <c r="AJ7350" t="s">
        <v>43</v>
      </c>
      <c r="AK7350" t="s">
        <v>43</v>
      </c>
      <c r="AL7350" t="s">
        <v>43</v>
      </c>
      <c r="AM7350" t="s">
        <v>43</v>
      </c>
      <c r="AN7350" t="str">
        <f>HYPERLINK("https://www.google.com/maps?q=10.78967667,79.57878113","Open Location")</f>
        <v>Open Location</v>
      </c>
    </row>
    <row r="7351" spans="1:40" x14ac:dyDescent="0.3">
      <c r="A7351" s="1">
        <v>46210.148495370369</v>
      </c>
      <c r="B7351" t="s">
        <v>40</v>
      </c>
      <c r="C7351" t="s">
        <v>41</v>
      </c>
      <c r="D7351" s="1">
        <v>46210.151539351849</v>
      </c>
      <c r="E7351" t="s">
        <v>42</v>
      </c>
      <c r="F7351" t="s">
        <v>43</v>
      </c>
      <c r="G7351" t="s">
        <v>43</v>
      </c>
      <c r="H7351" t="s">
        <v>43</v>
      </c>
      <c r="I7351" t="s">
        <v>4014</v>
      </c>
      <c r="J7351" t="s">
        <v>43</v>
      </c>
      <c r="K7351" t="s">
        <v>43</v>
      </c>
      <c r="L7351" t="s">
        <v>43</v>
      </c>
      <c r="M7351" t="s">
        <v>43</v>
      </c>
      <c r="N7351" t="s">
        <v>45</v>
      </c>
      <c r="O7351" t="s">
        <v>43</v>
      </c>
      <c r="P7351" t="s">
        <v>43</v>
      </c>
      <c r="Q7351" t="s">
        <v>43</v>
      </c>
      <c r="R7351" t="s">
        <v>43</v>
      </c>
      <c r="S7351" t="s">
        <v>43</v>
      </c>
      <c r="T7351" t="s">
        <v>43</v>
      </c>
      <c r="U7351" t="s">
        <v>43</v>
      </c>
      <c r="V7351" t="s">
        <v>43</v>
      </c>
      <c r="W7351" t="s">
        <v>43</v>
      </c>
      <c r="X7351" t="s">
        <v>43</v>
      </c>
      <c r="Y7351" t="s">
        <v>43</v>
      </c>
      <c r="Z7351" t="s">
        <v>43</v>
      </c>
      <c r="AA7351" t="s">
        <v>43</v>
      </c>
      <c r="AB7351" t="s">
        <v>43</v>
      </c>
      <c r="AC7351" t="s">
        <v>43</v>
      </c>
      <c r="AD7351" t="s">
        <v>43</v>
      </c>
      <c r="AE7351" t="s">
        <v>43</v>
      </c>
      <c r="AF7351" t="s">
        <v>43</v>
      </c>
      <c r="AG7351" t="s">
        <v>43</v>
      </c>
      <c r="AH7351" t="s">
        <v>43</v>
      </c>
      <c r="AI7351" t="s">
        <v>43</v>
      </c>
      <c r="AJ7351" t="s">
        <v>43</v>
      </c>
      <c r="AK7351" t="s">
        <v>43</v>
      </c>
      <c r="AL7351" t="s">
        <v>43</v>
      </c>
      <c r="AM7351" t="s">
        <v>43</v>
      </c>
      <c r="AN7351" t="str">
        <f>HYPERLINK("https://www.google.com/maps?q=10.78967762,79.57878113","Open Location")</f>
        <v>Open Location</v>
      </c>
    </row>
    <row r="7352" spans="1:40" x14ac:dyDescent="0.3">
      <c r="A7352" s="1">
        <v>46210.148379629631</v>
      </c>
      <c r="B7352" t="s">
        <v>40</v>
      </c>
      <c r="C7352" t="s">
        <v>41</v>
      </c>
      <c r="D7352" s="1">
        <v>46210.151550925926</v>
      </c>
      <c r="E7352" t="s">
        <v>42</v>
      </c>
      <c r="F7352" t="s">
        <v>43</v>
      </c>
      <c r="G7352" t="s">
        <v>43</v>
      </c>
      <c r="H7352" t="s">
        <v>43</v>
      </c>
      <c r="I7352" t="s">
        <v>43</v>
      </c>
      <c r="J7352" t="s">
        <v>43</v>
      </c>
      <c r="K7352" t="s">
        <v>43</v>
      </c>
      <c r="L7352" t="s">
        <v>43</v>
      </c>
      <c r="M7352" t="s">
        <v>43</v>
      </c>
      <c r="N7352" t="s">
        <v>45</v>
      </c>
      <c r="O7352" t="s">
        <v>43</v>
      </c>
      <c r="P7352" t="s">
        <v>43</v>
      </c>
      <c r="Q7352" t="s">
        <v>43</v>
      </c>
      <c r="R7352" t="s">
        <v>43</v>
      </c>
      <c r="S7352" t="s">
        <v>43</v>
      </c>
      <c r="T7352" t="s">
        <v>43</v>
      </c>
      <c r="U7352" t="s">
        <v>43</v>
      </c>
      <c r="V7352" t="s">
        <v>43</v>
      </c>
      <c r="W7352" t="s">
        <v>43</v>
      </c>
      <c r="X7352" t="s">
        <v>43</v>
      </c>
      <c r="Y7352" t="s">
        <v>43</v>
      </c>
      <c r="Z7352" t="s">
        <v>43</v>
      </c>
      <c r="AA7352" t="s">
        <v>43</v>
      </c>
      <c r="AB7352" t="s">
        <v>43</v>
      </c>
      <c r="AC7352" t="s">
        <v>43</v>
      </c>
      <c r="AD7352" t="s">
        <v>43</v>
      </c>
      <c r="AE7352" t="s">
        <v>43</v>
      </c>
      <c r="AF7352" t="s">
        <v>43</v>
      </c>
      <c r="AG7352" t="s">
        <v>43</v>
      </c>
      <c r="AH7352" t="s">
        <v>43</v>
      </c>
      <c r="AI7352" t="s">
        <v>43</v>
      </c>
      <c r="AJ7352" t="s">
        <v>43</v>
      </c>
      <c r="AK7352" t="s">
        <v>43</v>
      </c>
      <c r="AL7352" t="s">
        <v>43</v>
      </c>
      <c r="AM7352" t="s">
        <v>43</v>
      </c>
      <c r="AN7352" t="s">
        <v>43</v>
      </c>
    </row>
    <row r="7353" spans="1:40" x14ac:dyDescent="0.3">
      <c r="A7353" s="1">
        <v>46210.148263888892</v>
      </c>
      <c r="B7353" t="s">
        <v>40</v>
      </c>
      <c r="C7353" t="s">
        <v>41</v>
      </c>
      <c r="D7353" s="1">
        <v>46210.151307870372</v>
      </c>
      <c r="E7353" t="s">
        <v>42</v>
      </c>
      <c r="F7353" t="s">
        <v>43</v>
      </c>
      <c r="G7353" t="s">
        <v>43</v>
      </c>
      <c r="H7353" t="s">
        <v>43</v>
      </c>
      <c r="I7353" t="s">
        <v>4206</v>
      </c>
      <c r="J7353" t="s">
        <v>43</v>
      </c>
      <c r="K7353" t="s">
        <v>43</v>
      </c>
      <c r="L7353" t="s">
        <v>43</v>
      </c>
      <c r="M7353" t="s">
        <v>43</v>
      </c>
      <c r="N7353" t="s">
        <v>45</v>
      </c>
      <c r="O7353" t="s">
        <v>43</v>
      </c>
      <c r="P7353" t="s">
        <v>43</v>
      </c>
      <c r="Q7353" t="s">
        <v>43</v>
      </c>
      <c r="R7353" t="s">
        <v>43</v>
      </c>
      <c r="S7353" t="s">
        <v>43</v>
      </c>
      <c r="T7353" t="s">
        <v>43</v>
      </c>
      <c r="U7353" t="s">
        <v>43</v>
      </c>
      <c r="V7353" t="s">
        <v>43</v>
      </c>
      <c r="W7353" t="s">
        <v>43</v>
      </c>
      <c r="X7353" t="s">
        <v>43</v>
      </c>
      <c r="Y7353" t="s">
        <v>43</v>
      </c>
      <c r="Z7353" t="s">
        <v>43</v>
      </c>
      <c r="AA7353" t="s">
        <v>43</v>
      </c>
      <c r="AB7353" t="s">
        <v>43</v>
      </c>
      <c r="AC7353" t="s">
        <v>43</v>
      </c>
      <c r="AD7353" t="s">
        <v>43</v>
      </c>
      <c r="AE7353" t="s">
        <v>43</v>
      </c>
      <c r="AF7353" t="s">
        <v>43</v>
      </c>
      <c r="AG7353" t="s">
        <v>43</v>
      </c>
      <c r="AH7353" t="s">
        <v>43</v>
      </c>
      <c r="AI7353" t="s">
        <v>43</v>
      </c>
      <c r="AJ7353" t="s">
        <v>43</v>
      </c>
      <c r="AK7353" t="s">
        <v>43</v>
      </c>
      <c r="AL7353" t="s">
        <v>43</v>
      </c>
      <c r="AM7353" t="s">
        <v>43</v>
      </c>
      <c r="AN7353" t="str">
        <f>HYPERLINK("https://www.google.com/maps?q=10.7896719,79.5787735","Open Location")</f>
        <v>Open Location</v>
      </c>
    </row>
    <row r="7354" spans="1:40" x14ac:dyDescent="0.3">
      <c r="A7354" s="1">
        <v>46210.148148148146</v>
      </c>
      <c r="B7354" t="s">
        <v>40</v>
      </c>
      <c r="C7354" t="s">
        <v>41</v>
      </c>
      <c r="D7354" s="1">
        <v>46210.150902777779</v>
      </c>
      <c r="E7354" t="s">
        <v>42</v>
      </c>
      <c r="F7354" t="s">
        <v>43</v>
      </c>
      <c r="G7354" t="s">
        <v>43</v>
      </c>
      <c r="H7354" t="s">
        <v>43</v>
      </c>
      <c r="I7354" t="s">
        <v>4023</v>
      </c>
      <c r="J7354" t="s">
        <v>43</v>
      </c>
      <c r="K7354" t="s">
        <v>43</v>
      </c>
      <c r="L7354" t="s">
        <v>43</v>
      </c>
      <c r="M7354" t="s">
        <v>43</v>
      </c>
      <c r="N7354" t="s">
        <v>45</v>
      </c>
      <c r="O7354" t="s">
        <v>43</v>
      </c>
      <c r="P7354" t="s">
        <v>43</v>
      </c>
      <c r="Q7354" t="s">
        <v>43</v>
      </c>
      <c r="R7354" t="s">
        <v>43</v>
      </c>
      <c r="S7354" t="s">
        <v>43</v>
      </c>
      <c r="T7354" t="s">
        <v>43</v>
      </c>
      <c r="U7354" t="s">
        <v>43</v>
      </c>
      <c r="V7354" t="s">
        <v>43</v>
      </c>
      <c r="W7354" t="s">
        <v>43</v>
      </c>
      <c r="X7354" t="s">
        <v>43</v>
      </c>
      <c r="Y7354" t="s">
        <v>43</v>
      </c>
      <c r="Z7354" t="s">
        <v>43</v>
      </c>
      <c r="AA7354" t="s">
        <v>43</v>
      </c>
      <c r="AB7354" t="s">
        <v>43</v>
      </c>
      <c r="AC7354" t="s">
        <v>43</v>
      </c>
      <c r="AD7354" t="s">
        <v>43</v>
      </c>
      <c r="AE7354" t="s">
        <v>43</v>
      </c>
      <c r="AF7354" t="s">
        <v>43</v>
      </c>
      <c r="AG7354" t="s">
        <v>43</v>
      </c>
      <c r="AH7354" t="s">
        <v>43</v>
      </c>
      <c r="AI7354" t="s">
        <v>43</v>
      </c>
      <c r="AJ7354" t="s">
        <v>43</v>
      </c>
      <c r="AK7354" t="s">
        <v>43</v>
      </c>
      <c r="AL7354" t="s">
        <v>43</v>
      </c>
      <c r="AM7354" t="s">
        <v>43</v>
      </c>
      <c r="AN7354" t="str">
        <f>HYPERLINK("https://www.google.com/maps?q=10.78967285,79.5787735","Open Location")</f>
        <v>Open Location</v>
      </c>
    </row>
    <row r="7355" spans="1:40" x14ac:dyDescent="0.3">
      <c r="A7355" s="1">
        <v>46210.148032407407</v>
      </c>
      <c r="B7355" t="s">
        <v>40</v>
      </c>
      <c r="C7355" t="s">
        <v>41</v>
      </c>
      <c r="D7355" s="1">
        <v>46210.15115740741</v>
      </c>
      <c r="E7355" t="s">
        <v>42</v>
      </c>
      <c r="F7355" t="s">
        <v>43</v>
      </c>
      <c r="G7355" t="s">
        <v>43</v>
      </c>
      <c r="H7355" t="s">
        <v>43</v>
      </c>
      <c r="I7355" t="s">
        <v>4231</v>
      </c>
      <c r="J7355" t="s">
        <v>43</v>
      </c>
      <c r="K7355" t="s">
        <v>43</v>
      </c>
      <c r="L7355" t="s">
        <v>43</v>
      </c>
      <c r="M7355" t="s">
        <v>43</v>
      </c>
      <c r="N7355" t="s">
        <v>45</v>
      </c>
      <c r="O7355" t="s">
        <v>43</v>
      </c>
      <c r="P7355" t="s">
        <v>43</v>
      </c>
      <c r="Q7355" t="s">
        <v>43</v>
      </c>
      <c r="R7355" t="s">
        <v>43</v>
      </c>
      <c r="S7355" t="s">
        <v>43</v>
      </c>
      <c r="T7355" t="s">
        <v>43</v>
      </c>
      <c r="U7355" t="s">
        <v>43</v>
      </c>
      <c r="V7355" t="s">
        <v>43</v>
      </c>
      <c r="W7355" t="s">
        <v>43</v>
      </c>
      <c r="X7355" t="s">
        <v>43</v>
      </c>
      <c r="Y7355" t="s">
        <v>43</v>
      </c>
      <c r="Z7355" t="s">
        <v>43</v>
      </c>
      <c r="AA7355" t="s">
        <v>43</v>
      </c>
      <c r="AB7355" t="s">
        <v>43</v>
      </c>
      <c r="AC7355" t="s">
        <v>43</v>
      </c>
      <c r="AD7355" t="s">
        <v>43</v>
      </c>
      <c r="AE7355" t="s">
        <v>43</v>
      </c>
      <c r="AF7355" t="s">
        <v>43</v>
      </c>
      <c r="AG7355" t="s">
        <v>43</v>
      </c>
      <c r="AH7355" t="s">
        <v>43</v>
      </c>
      <c r="AI7355" t="s">
        <v>43</v>
      </c>
      <c r="AJ7355" t="s">
        <v>43</v>
      </c>
      <c r="AK7355" t="s">
        <v>43</v>
      </c>
      <c r="AL7355" t="s">
        <v>43</v>
      </c>
      <c r="AM7355" t="s">
        <v>43</v>
      </c>
      <c r="AN7355" t="str">
        <f>HYPERLINK("https://www.google.com/maps?q=10.78967571,79.57876587","Open Location")</f>
        <v>Open Location</v>
      </c>
    </row>
    <row r="7356" spans="1:40" x14ac:dyDescent="0.3">
      <c r="A7356" s="1">
        <v>46210.147916666669</v>
      </c>
      <c r="B7356" t="s">
        <v>40</v>
      </c>
      <c r="C7356" t="s">
        <v>41</v>
      </c>
      <c r="D7356" s="1">
        <v>46210.150891203702</v>
      </c>
      <c r="E7356" t="s">
        <v>42</v>
      </c>
      <c r="F7356" t="s">
        <v>43</v>
      </c>
      <c r="G7356" t="s">
        <v>43</v>
      </c>
      <c r="H7356" t="s">
        <v>43</v>
      </c>
      <c r="I7356" t="s">
        <v>4232</v>
      </c>
      <c r="J7356" t="s">
        <v>43</v>
      </c>
      <c r="K7356" t="s">
        <v>43</v>
      </c>
      <c r="L7356" t="s">
        <v>43</v>
      </c>
      <c r="M7356" t="s">
        <v>43</v>
      </c>
      <c r="N7356" t="s">
        <v>45</v>
      </c>
      <c r="O7356" t="s">
        <v>43</v>
      </c>
      <c r="P7356" t="s">
        <v>43</v>
      </c>
      <c r="Q7356" t="s">
        <v>43</v>
      </c>
      <c r="R7356" t="s">
        <v>43</v>
      </c>
      <c r="S7356" t="s">
        <v>43</v>
      </c>
      <c r="T7356" t="s">
        <v>43</v>
      </c>
      <c r="U7356" t="s">
        <v>43</v>
      </c>
      <c r="V7356" t="s">
        <v>43</v>
      </c>
      <c r="W7356" t="s">
        <v>43</v>
      </c>
      <c r="X7356" t="s">
        <v>43</v>
      </c>
      <c r="Y7356" t="s">
        <v>43</v>
      </c>
      <c r="Z7356" t="s">
        <v>43</v>
      </c>
      <c r="AA7356" t="s">
        <v>43</v>
      </c>
      <c r="AB7356" t="s">
        <v>43</v>
      </c>
      <c r="AC7356" t="s">
        <v>43</v>
      </c>
      <c r="AD7356" t="s">
        <v>43</v>
      </c>
      <c r="AE7356" t="s">
        <v>43</v>
      </c>
      <c r="AF7356" t="s">
        <v>43</v>
      </c>
      <c r="AG7356" t="s">
        <v>43</v>
      </c>
      <c r="AH7356" t="s">
        <v>43</v>
      </c>
      <c r="AI7356" t="s">
        <v>43</v>
      </c>
      <c r="AJ7356" t="s">
        <v>43</v>
      </c>
      <c r="AK7356" t="s">
        <v>43</v>
      </c>
      <c r="AL7356" t="s">
        <v>43</v>
      </c>
      <c r="AM7356" t="s">
        <v>43</v>
      </c>
      <c r="AN7356" t="str">
        <f>HYPERLINK("https://www.google.com/maps?q=10.78967667,79.57875824","Open Location")</f>
        <v>Open Location</v>
      </c>
    </row>
    <row r="7357" spans="1:40" x14ac:dyDescent="0.3">
      <c r="A7357" s="1">
        <v>46210.147800925923</v>
      </c>
      <c r="B7357" t="s">
        <v>40</v>
      </c>
      <c r="C7357" t="s">
        <v>41</v>
      </c>
      <c r="D7357" s="1">
        <v>46210.150763888887</v>
      </c>
      <c r="E7357" t="s">
        <v>42</v>
      </c>
      <c r="F7357" t="s">
        <v>43</v>
      </c>
      <c r="G7357" t="s">
        <v>43</v>
      </c>
      <c r="H7357" t="s">
        <v>43</v>
      </c>
      <c r="I7357" t="s">
        <v>43</v>
      </c>
      <c r="J7357" t="s">
        <v>43</v>
      </c>
      <c r="K7357" t="s">
        <v>43</v>
      </c>
      <c r="L7357" t="s">
        <v>43</v>
      </c>
      <c r="M7357" t="s">
        <v>43</v>
      </c>
      <c r="N7357" t="s">
        <v>45</v>
      </c>
      <c r="O7357" t="s">
        <v>43</v>
      </c>
      <c r="P7357" t="s">
        <v>43</v>
      </c>
      <c r="Q7357" t="s">
        <v>43</v>
      </c>
      <c r="R7357" t="s">
        <v>43</v>
      </c>
      <c r="S7357" t="s">
        <v>43</v>
      </c>
      <c r="T7357" t="s">
        <v>43</v>
      </c>
      <c r="U7357" t="s">
        <v>43</v>
      </c>
      <c r="V7357" t="s">
        <v>43</v>
      </c>
      <c r="W7357" t="s">
        <v>43</v>
      </c>
      <c r="X7357" t="s">
        <v>43</v>
      </c>
      <c r="Y7357" t="s">
        <v>43</v>
      </c>
      <c r="Z7357" t="s">
        <v>43</v>
      </c>
      <c r="AA7357" t="s">
        <v>43</v>
      </c>
      <c r="AB7357" t="s">
        <v>43</v>
      </c>
      <c r="AC7357" t="s">
        <v>43</v>
      </c>
      <c r="AD7357" t="s">
        <v>43</v>
      </c>
      <c r="AE7357" t="s">
        <v>43</v>
      </c>
      <c r="AF7357" t="s">
        <v>43</v>
      </c>
      <c r="AG7357" t="s">
        <v>43</v>
      </c>
      <c r="AH7357" t="s">
        <v>43</v>
      </c>
      <c r="AI7357" t="s">
        <v>43</v>
      </c>
      <c r="AJ7357" t="s">
        <v>43</v>
      </c>
      <c r="AK7357" t="s">
        <v>43</v>
      </c>
      <c r="AL7357" t="s">
        <v>43</v>
      </c>
      <c r="AM7357" t="s">
        <v>43</v>
      </c>
      <c r="AN7357" t="s">
        <v>43</v>
      </c>
    </row>
    <row r="7358" spans="1:40" x14ac:dyDescent="0.3">
      <c r="A7358" s="1">
        <v>46210.147685185184</v>
      </c>
      <c r="B7358" t="s">
        <v>40</v>
      </c>
      <c r="C7358" t="s">
        <v>41</v>
      </c>
      <c r="D7358" s="1">
        <v>46210.150763888887</v>
      </c>
      <c r="E7358" t="s">
        <v>42</v>
      </c>
      <c r="F7358" t="s">
        <v>43</v>
      </c>
      <c r="G7358" t="s">
        <v>43</v>
      </c>
      <c r="H7358" t="s">
        <v>43</v>
      </c>
      <c r="I7358" t="s">
        <v>4022</v>
      </c>
      <c r="J7358" t="s">
        <v>43</v>
      </c>
      <c r="K7358" t="s">
        <v>43</v>
      </c>
      <c r="L7358" t="s">
        <v>43</v>
      </c>
      <c r="M7358" t="s">
        <v>43</v>
      </c>
      <c r="N7358" t="s">
        <v>45</v>
      </c>
      <c r="O7358" t="s">
        <v>43</v>
      </c>
      <c r="P7358" t="s">
        <v>43</v>
      </c>
      <c r="Q7358" t="s">
        <v>43</v>
      </c>
      <c r="R7358" t="s">
        <v>43</v>
      </c>
      <c r="S7358" t="s">
        <v>43</v>
      </c>
      <c r="T7358" t="s">
        <v>43</v>
      </c>
      <c r="U7358" t="s">
        <v>43</v>
      </c>
      <c r="V7358" t="s">
        <v>43</v>
      </c>
      <c r="W7358" t="s">
        <v>43</v>
      </c>
      <c r="X7358" t="s">
        <v>43</v>
      </c>
      <c r="Y7358" t="s">
        <v>43</v>
      </c>
      <c r="Z7358" t="s">
        <v>43</v>
      </c>
      <c r="AA7358" t="s">
        <v>43</v>
      </c>
      <c r="AB7358" t="s">
        <v>43</v>
      </c>
      <c r="AC7358" t="s">
        <v>43</v>
      </c>
      <c r="AD7358" t="s">
        <v>43</v>
      </c>
      <c r="AE7358" t="s">
        <v>43</v>
      </c>
      <c r="AF7358" t="s">
        <v>43</v>
      </c>
      <c r="AG7358" t="s">
        <v>43</v>
      </c>
      <c r="AH7358" t="s">
        <v>43</v>
      </c>
      <c r="AI7358" t="s">
        <v>43</v>
      </c>
      <c r="AJ7358" t="s">
        <v>43</v>
      </c>
      <c r="AK7358" t="s">
        <v>43</v>
      </c>
      <c r="AL7358" t="s">
        <v>43</v>
      </c>
      <c r="AM7358" t="s">
        <v>43</v>
      </c>
      <c r="AN7358" t="str">
        <f>HYPERLINK("https://www.google.com/maps?q=10.78967667,79.57876587","Open Location")</f>
        <v>Open Location</v>
      </c>
    </row>
    <row r="7359" spans="1:40" x14ac:dyDescent="0.3">
      <c r="A7359" s="1">
        <v>46210.147569444445</v>
      </c>
      <c r="B7359" t="s">
        <v>40</v>
      </c>
      <c r="C7359" t="s">
        <v>41</v>
      </c>
      <c r="D7359" s="1">
        <v>46210.150520833333</v>
      </c>
      <c r="E7359" t="s">
        <v>42</v>
      </c>
      <c r="F7359" t="s">
        <v>43</v>
      </c>
      <c r="G7359" t="s">
        <v>43</v>
      </c>
      <c r="H7359" t="s">
        <v>43</v>
      </c>
      <c r="I7359" t="s">
        <v>4020</v>
      </c>
      <c r="J7359" t="s">
        <v>43</v>
      </c>
      <c r="K7359" t="s">
        <v>43</v>
      </c>
      <c r="L7359" t="s">
        <v>43</v>
      </c>
      <c r="M7359" t="s">
        <v>43</v>
      </c>
      <c r="N7359" t="s">
        <v>45</v>
      </c>
      <c r="O7359" t="s">
        <v>43</v>
      </c>
      <c r="P7359" t="s">
        <v>43</v>
      </c>
      <c r="Q7359" t="s">
        <v>43</v>
      </c>
      <c r="R7359" t="s">
        <v>43</v>
      </c>
      <c r="S7359" t="s">
        <v>43</v>
      </c>
      <c r="T7359" t="s">
        <v>43</v>
      </c>
      <c r="U7359" t="s">
        <v>43</v>
      </c>
      <c r="V7359" t="s">
        <v>43</v>
      </c>
      <c r="W7359" t="s">
        <v>43</v>
      </c>
      <c r="X7359" t="s">
        <v>43</v>
      </c>
      <c r="Y7359" t="s">
        <v>43</v>
      </c>
      <c r="Z7359" t="s">
        <v>43</v>
      </c>
      <c r="AA7359" t="s">
        <v>43</v>
      </c>
      <c r="AB7359" t="s">
        <v>43</v>
      </c>
      <c r="AC7359" t="s">
        <v>43</v>
      </c>
      <c r="AD7359" t="s">
        <v>43</v>
      </c>
      <c r="AE7359" t="s">
        <v>43</v>
      </c>
      <c r="AF7359" t="s">
        <v>43</v>
      </c>
      <c r="AG7359" t="s">
        <v>43</v>
      </c>
      <c r="AH7359" t="s">
        <v>43</v>
      </c>
      <c r="AI7359" t="s">
        <v>43</v>
      </c>
      <c r="AJ7359" t="s">
        <v>43</v>
      </c>
      <c r="AK7359" t="s">
        <v>43</v>
      </c>
      <c r="AL7359" t="s">
        <v>43</v>
      </c>
      <c r="AM7359" t="s">
        <v>43</v>
      </c>
      <c r="AN7359" t="str">
        <f>HYPERLINK("https://www.google.com/maps?q=10.78967476,79.57876587","Open Location")</f>
        <v>Open Location</v>
      </c>
    </row>
    <row r="7360" spans="1:40" x14ac:dyDescent="0.3">
      <c r="A7360" s="1">
        <v>46210.147453703707</v>
      </c>
      <c r="B7360" t="s">
        <v>40</v>
      </c>
      <c r="C7360" t="s">
        <v>41</v>
      </c>
      <c r="D7360" s="1">
        <v>46210.150497685187</v>
      </c>
      <c r="E7360" t="s">
        <v>42</v>
      </c>
      <c r="F7360" t="s">
        <v>43</v>
      </c>
      <c r="G7360" t="s">
        <v>43</v>
      </c>
      <c r="H7360" t="s">
        <v>43</v>
      </c>
      <c r="I7360" t="s">
        <v>4233</v>
      </c>
      <c r="J7360" t="s">
        <v>43</v>
      </c>
      <c r="K7360" t="s">
        <v>43</v>
      </c>
      <c r="L7360" t="s">
        <v>43</v>
      </c>
      <c r="M7360" t="s">
        <v>43</v>
      </c>
      <c r="N7360" t="s">
        <v>45</v>
      </c>
      <c r="O7360" t="s">
        <v>43</v>
      </c>
      <c r="P7360" t="s">
        <v>43</v>
      </c>
      <c r="Q7360" t="s">
        <v>43</v>
      </c>
      <c r="R7360" t="s">
        <v>43</v>
      </c>
      <c r="S7360" t="s">
        <v>43</v>
      </c>
      <c r="T7360" t="s">
        <v>43</v>
      </c>
      <c r="U7360" t="s">
        <v>43</v>
      </c>
      <c r="V7360" t="s">
        <v>43</v>
      </c>
      <c r="W7360" t="s">
        <v>43</v>
      </c>
      <c r="X7360" t="s">
        <v>43</v>
      </c>
      <c r="Y7360" t="s">
        <v>43</v>
      </c>
      <c r="Z7360" t="s">
        <v>43</v>
      </c>
      <c r="AA7360" t="s">
        <v>43</v>
      </c>
      <c r="AB7360" t="s">
        <v>43</v>
      </c>
      <c r="AC7360" t="s">
        <v>43</v>
      </c>
      <c r="AD7360" t="s">
        <v>43</v>
      </c>
      <c r="AE7360" t="s">
        <v>43</v>
      </c>
      <c r="AF7360" t="s">
        <v>43</v>
      </c>
      <c r="AG7360" t="s">
        <v>43</v>
      </c>
      <c r="AH7360" t="s">
        <v>43</v>
      </c>
      <c r="AI7360" t="s">
        <v>43</v>
      </c>
      <c r="AJ7360" t="s">
        <v>43</v>
      </c>
      <c r="AK7360" t="s">
        <v>43</v>
      </c>
      <c r="AL7360" t="s">
        <v>43</v>
      </c>
      <c r="AM7360" t="s">
        <v>43</v>
      </c>
      <c r="AN7360" t="str">
        <f>HYPERLINK("https://www.google.com/maps?q=10.78967094,79.57876587","Open Location")</f>
        <v>Open Location</v>
      </c>
    </row>
    <row r="7361" spans="1:40" x14ac:dyDescent="0.3">
      <c r="A7361" s="1">
        <v>46210.147337962961</v>
      </c>
      <c r="B7361" t="s">
        <v>40</v>
      </c>
      <c r="C7361" t="s">
        <v>41</v>
      </c>
      <c r="D7361" s="1">
        <v>46210.150509259256</v>
      </c>
      <c r="E7361" t="s">
        <v>42</v>
      </c>
      <c r="F7361" t="s">
        <v>43</v>
      </c>
      <c r="G7361" t="s">
        <v>43</v>
      </c>
      <c r="H7361" t="s">
        <v>43</v>
      </c>
      <c r="I7361" t="s">
        <v>4234</v>
      </c>
      <c r="J7361" t="s">
        <v>43</v>
      </c>
      <c r="K7361" t="s">
        <v>43</v>
      </c>
      <c r="L7361" t="s">
        <v>43</v>
      </c>
      <c r="M7361" t="s">
        <v>43</v>
      </c>
      <c r="N7361" t="s">
        <v>45</v>
      </c>
      <c r="O7361" t="s">
        <v>43</v>
      </c>
      <c r="P7361" t="s">
        <v>43</v>
      </c>
      <c r="Q7361" t="s">
        <v>43</v>
      </c>
      <c r="R7361" t="s">
        <v>43</v>
      </c>
      <c r="S7361" t="s">
        <v>43</v>
      </c>
      <c r="T7361" t="s">
        <v>43</v>
      </c>
      <c r="U7361" t="s">
        <v>43</v>
      </c>
      <c r="V7361" t="s">
        <v>43</v>
      </c>
      <c r="W7361" t="s">
        <v>43</v>
      </c>
      <c r="X7361" t="s">
        <v>43</v>
      </c>
      <c r="Y7361" t="s">
        <v>43</v>
      </c>
      <c r="Z7361" t="s">
        <v>43</v>
      </c>
      <c r="AA7361" t="s">
        <v>43</v>
      </c>
      <c r="AB7361" t="s">
        <v>43</v>
      </c>
      <c r="AC7361" t="s">
        <v>43</v>
      </c>
      <c r="AD7361" t="s">
        <v>43</v>
      </c>
      <c r="AE7361" t="s">
        <v>43</v>
      </c>
      <c r="AF7361" t="s">
        <v>43</v>
      </c>
      <c r="AG7361" t="s">
        <v>43</v>
      </c>
      <c r="AH7361" t="s">
        <v>43</v>
      </c>
      <c r="AI7361" t="s">
        <v>43</v>
      </c>
      <c r="AJ7361" t="s">
        <v>43</v>
      </c>
      <c r="AK7361" t="s">
        <v>43</v>
      </c>
      <c r="AL7361" t="s">
        <v>43</v>
      </c>
      <c r="AM7361" t="s">
        <v>43</v>
      </c>
      <c r="AN7361" t="str">
        <f>HYPERLINK("https://www.google.com/maps?q=10.78967285,79.57876587","Open Location")</f>
        <v>Open Location</v>
      </c>
    </row>
    <row r="7362" spans="1:40" x14ac:dyDescent="0.3">
      <c r="A7362" s="1">
        <v>46210.147222222222</v>
      </c>
      <c r="B7362" t="s">
        <v>40</v>
      </c>
      <c r="C7362" t="s">
        <v>41</v>
      </c>
      <c r="D7362" s="1">
        <v>46210.150509259256</v>
      </c>
      <c r="E7362" t="s">
        <v>42</v>
      </c>
      <c r="F7362" t="s">
        <v>43</v>
      </c>
      <c r="G7362" t="s">
        <v>43</v>
      </c>
      <c r="H7362" t="s">
        <v>43</v>
      </c>
      <c r="I7362" t="s">
        <v>4038</v>
      </c>
      <c r="J7362" t="s">
        <v>43</v>
      </c>
      <c r="K7362" t="s">
        <v>43</v>
      </c>
      <c r="L7362" t="s">
        <v>43</v>
      </c>
      <c r="M7362" t="s">
        <v>43</v>
      </c>
      <c r="N7362" t="s">
        <v>45</v>
      </c>
      <c r="O7362" t="s">
        <v>43</v>
      </c>
      <c r="P7362" t="s">
        <v>43</v>
      </c>
      <c r="Q7362" t="s">
        <v>43</v>
      </c>
      <c r="R7362" t="s">
        <v>43</v>
      </c>
      <c r="S7362" t="s">
        <v>43</v>
      </c>
      <c r="T7362" t="s">
        <v>43</v>
      </c>
      <c r="U7362" t="s">
        <v>43</v>
      </c>
      <c r="V7362" t="s">
        <v>43</v>
      </c>
      <c r="W7362" t="s">
        <v>43</v>
      </c>
      <c r="X7362" t="s">
        <v>43</v>
      </c>
      <c r="Y7362" t="s">
        <v>43</v>
      </c>
      <c r="Z7362" t="s">
        <v>43</v>
      </c>
      <c r="AA7362" t="s">
        <v>43</v>
      </c>
      <c r="AB7362" t="s">
        <v>43</v>
      </c>
      <c r="AC7362" t="s">
        <v>43</v>
      </c>
      <c r="AD7362" t="s">
        <v>43</v>
      </c>
      <c r="AE7362" t="s">
        <v>43</v>
      </c>
      <c r="AF7362" t="s">
        <v>43</v>
      </c>
      <c r="AG7362" t="s">
        <v>43</v>
      </c>
      <c r="AH7362" t="s">
        <v>43</v>
      </c>
      <c r="AI7362" t="s">
        <v>43</v>
      </c>
      <c r="AJ7362" t="s">
        <v>43</v>
      </c>
      <c r="AK7362" t="s">
        <v>43</v>
      </c>
      <c r="AL7362" t="s">
        <v>43</v>
      </c>
      <c r="AM7362" t="s">
        <v>43</v>
      </c>
      <c r="AN7362" t="str">
        <f>HYPERLINK("https://www.google.com/maps?q=10.78966808,79.57876587","Open Location")</f>
        <v>Open Location</v>
      </c>
    </row>
    <row r="7363" spans="1:40" x14ac:dyDescent="0.3">
      <c r="A7363" s="1">
        <v>46210.147106481483</v>
      </c>
      <c r="B7363" t="s">
        <v>40</v>
      </c>
      <c r="C7363" t="s">
        <v>41</v>
      </c>
      <c r="D7363" s="1">
        <v>46210.15011574074</v>
      </c>
      <c r="E7363" t="s">
        <v>42</v>
      </c>
      <c r="F7363" t="s">
        <v>43</v>
      </c>
      <c r="G7363" t="s">
        <v>43</v>
      </c>
      <c r="H7363" t="s">
        <v>43</v>
      </c>
      <c r="I7363" t="s">
        <v>43</v>
      </c>
      <c r="J7363" t="s">
        <v>43</v>
      </c>
      <c r="K7363" t="s">
        <v>43</v>
      </c>
      <c r="L7363" t="s">
        <v>43</v>
      </c>
      <c r="M7363" t="s">
        <v>43</v>
      </c>
      <c r="N7363" t="s">
        <v>45</v>
      </c>
      <c r="O7363" t="s">
        <v>43</v>
      </c>
      <c r="P7363" t="s">
        <v>43</v>
      </c>
      <c r="Q7363" t="s">
        <v>43</v>
      </c>
      <c r="R7363" t="s">
        <v>43</v>
      </c>
      <c r="S7363" t="s">
        <v>43</v>
      </c>
      <c r="T7363" t="s">
        <v>43</v>
      </c>
      <c r="U7363" t="s">
        <v>43</v>
      </c>
      <c r="V7363" t="s">
        <v>43</v>
      </c>
      <c r="W7363" t="s">
        <v>43</v>
      </c>
      <c r="X7363" t="s">
        <v>43</v>
      </c>
      <c r="Y7363" t="s">
        <v>43</v>
      </c>
      <c r="Z7363" t="s">
        <v>43</v>
      </c>
      <c r="AA7363" t="s">
        <v>43</v>
      </c>
      <c r="AB7363" t="s">
        <v>43</v>
      </c>
      <c r="AC7363" t="s">
        <v>43</v>
      </c>
      <c r="AD7363" t="s">
        <v>43</v>
      </c>
      <c r="AE7363" t="s">
        <v>43</v>
      </c>
      <c r="AF7363" t="s">
        <v>43</v>
      </c>
      <c r="AG7363" t="s">
        <v>43</v>
      </c>
      <c r="AH7363" t="s">
        <v>43</v>
      </c>
      <c r="AI7363" t="s">
        <v>43</v>
      </c>
      <c r="AJ7363" t="s">
        <v>43</v>
      </c>
      <c r="AK7363" t="s">
        <v>43</v>
      </c>
      <c r="AL7363" t="s">
        <v>43</v>
      </c>
      <c r="AM7363" t="s">
        <v>43</v>
      </c>
      <c r="AN7363" t="s">
        <v>43</v>
      </c>
    </row>
    <row r="7364" spans="1:40" x14ac:dyDescent="0.3">
      <c r="A7364" s="1">
        <v>46210.146990740737</v>
      </c>
      <c r="B7364" t="s">
        <v>40</v>
      </c>
      <c r="C7364" t="s">
        <v>41</v>
      </c>
      <c r="D7364" s="1">
        <v>46210.150104166663</v>
      </c>
      <c r="E7364" t="s">
        <v>42</v>
      </c>
      <c r="F7364" t="s">
        <v>43</v>
      </c>
      <c r="G7364" t="s">
        <v>43</v>
      </c>
      <c r="H7364" t="s">
        <v>43</v>
      </c>
      <c r="I7364" t="s">
        <v>4204</v>
      </c>
      <c r="J7364" t="s">
        <v>43</v>
      </c>
      <c r="K7364" t="s">
        <v>43</v>
      </c>
      <c r="L7364" t="s">
        <v>43</v>
      </c>
      <c r="M7364" t="s">
        <v>43</v>
      </c>
      <c r="N7364" t="s">
        <v>45</v>
      </c>
      <c r="O7364" t="s">
        <v>43</v>
      </c>
      <c r="P7364" t="s">
        <v>43</v>
      </c>
      <c r="Q7364" t="s">
        <v>43</v>
      </c>
      <c r="R7364" t="s">
        <v>43</v>
      </c>
      <c r="S7364" t="s">
        <v>43</v>
      </c>
      <c r="T7364" t="s">
        <v>43</v>
      </c>
      <c r="U7364" t="s">
        <v>43</v>
      </c>
      <c r="V7364" t="s">
        <v>43</v>
      </c>
      <c r="W7364" t="s">
        <v>43</v>
      </c>
      <c r="X7364" t="s">
        <v>43</v>
      </c>
      <c r="Y7364" t="s">
        <v>43</v>
      </c>
      <c r="Z7364" t="s">
        <v>43</v>
      </c>
      <c r="AA7364" t="s">
        <v>43</v>
      </c>
      <c r="AB7364" t="s">
        <v>43</v>
      </c>
      <c r="AC7364" t="s">
        <v>43</v>
      </c>
      <c r="AD7364" t="s">
        <v>43</v>
      </c>
      <c r="AE7364" t="s">
        <v>43</v>
      </c>
      <c r="AF7364" t="s">
        <v>43</v>
      </c>
      <c r="AG7364" t="s">
        <v>43</v>
      </c>
      <c r="AH7364" t="s">
        <v>43</v>
      </c>
      <c r="AI7364" t="s">
        <v>43</v>
      </c>
      <c r="AJ7364" t="s">
        <v>43</v>
      </c>
      <c r="AK7364" t="s">
        <v>43</v>
      </c>
      <c r="AL7364" t="s">
        <v>43</v>
      </c>
      <c r="AM7364" t="s">
        <v>43</v>
      </c>
      <c r="AN7364" t="str">
        <f>HYPERLINK("https://www.google.com/maps?q=10.78966331,79.5787735","Open Location")</f>
        <v>Open Location</v>
      </c>
    </row>
    <row r="7365" spans="1:40" x14ac:dyDescent="0.3">
      <c r="A7365" s="1">
        <v>46210.146874999999</v>
      </c>
      <c r="B7365" t="s">
        <v>40</v>
      </c>
      <c r="C7365" t="s">
        <v>41</v>
      </c>
      <c r="D7365" s="1">
        <v>46210.149965277778</v>
      </c>
      <c r="E7365" t="s">
        <v>42</v>
      </c>
      <c r="F7365" t="s">
        <v>43</v>
      </c>
      <c r="G7365" t="s">
        <v>43</v>
      </c>
      <c r="H7365" t="s">
        <v>43</v>
      </c>
      <c r="I7365" t="s">
        <v>4235</v>
      </c>
      <c r="J7365" t="s">
        <v>43</v>
      </c>
      <c r="K7365" t="s">
        <v>43</v>
      </c>
      <c r="L7365" t="s">
        <v>43</v>
      </c>
      <c r="M7365" t="s">
        <v>43</v>
      </c>
      <c r="N7365" t="s">
        <v>45</v>
      </c>
      <c r="O7365" t="s">
        <v>43</v>
      </c>
      <c r="P7365" t="s">
        <v>43</v>
      </c>
      <c r="Q7365" t="s">
        <v>43</v>
      </c>
      <c r="R7365" t="s">
        <v>43</v>
      </c>
      <c r="S7365" t="s">
        <v>43</v>
      </c>
      <c r="T7365" t="s">
        <v>43</v>
      </c>
      <c r="U7365" t="s">
        <v>43</v>
      </c>
      <c r="V7365" t="s">
        <v>43</v>
      </c>
      <c r="W7365" t="s">
        <v>43</v>
      </c>
      <c r="X7365" t="s">
        <v>43</v>
      </c>
      <c r="Y7365" t="s">
        <v>43</v>
      </c>
      <c r="Z7365" t="s">
        <v>43</v>
      </c>
      <c r="AA7365" t="s">
        <v>43</v>
      </c>
      <c r="AB7365" t="s">
        <v>43</v>
      </c>
      <c r="AC7365" t="s">
        <v>43</v>
      </c>
      <c r="AD7365" t="s">
        <v>43</v>
      </c>
      <c r="AE7365" t="s">
        <v>43</v>
      </c>
      <c r="AF7365" t="s">
        <v>43</v>
      </c>
      <c r="AG7365" t="s">
        <v>43</v>
      </c>
      <c r="AH7365" t="s">
        <v>43</v>
      </c>
      <c r="AI7365" t="s">
        <v>43</v>
      </c>
      <c r="AJ7365" t="s">
        <v>43</v>
      </c>
      <c r="AK7365" t="s">
        <v>43</v>
      </c>
      <c r="AL7365" t="s">
        <v>43</v>
      </c>
      <c r="AM7365" t="s">
        <v>43</v>
      </c>
      <c r="AN7365" t="str">
        <f>HYPERLINK("https://www.google.com/maps?q=10.7896719,79.57878876","Open Location")</f>
        <v>Open Location</v>
      </c>
    </row>
    <row r="7366" spans="1:40" x14ac:dyDescent="0.3">
      <c r="A7366" s="1">
        <v>46210.14675925926</v>
      </c>
      <c r="B7366" t="s">
        <v>40</v>
      </c>
      <c r="C7366" t="s">
        <v>41</v>
      </c>
      <c r="D7366" s="1">
        <v>46210.149745370371</v>
      </c>
      <c r="E7366" t="s">
        <v>42</v>
      </c>
      <c r="F7366" t="s">
        <v>43</v>
      </c>
      <c r="G7366" t="s">
        <v>43</v>
      </c>
      <c r="H7366" t="s">
        <v>43</v>
      </c>
      <c r="I7366" t="s">
        <v>4235</v>
      </c>
      <c r="J7366" t="s">
        <v>43</v>
      </c>
      <c r="K7366" t="s">
        <v>43</v>
      </c>
      <c r="L7366" t="s">
        <v>43</v>
      </c>
      <c r="M7366" t="s">
        <v>43</v>
      </c>
      <c r="N7366" t="s">
        <v>45</v>
      </c>
      <c r="O7366" t="s">
        <v>43</v>
      </c>
      <c r="P7366" t="s">
        <v>43</v>
      </c>
      <c r="Q7366" t="s">
        <v>43</v>
      </c>
      <c r="R7366" t="s">
        <v>43</v>
      </c>
      <c r="S7366" t="s">
        <v>43</v>
      </c>
      <c r="T7366" t="s">
        <v>43</v>
      </c>
      <c r="U7366" t="s">
        <v>43</v>
      </c>
      <c r="V7366" t="s">
        <v>43</v>
      </c>
      <c r="W7366" t="s">
        <v>43</v>
      </c>
      <c r="X7366" t="s">
        <v>43</v>
      </c>
      <c r="Y7366" t="s">
        <v>43</v>
      </c>
      <c r="Z7366" t="s">
        <v>43</v>
      </c>
      <c r="AA7366" t="s">
        <v>43</v>
      </c>
      <c r="AB7366" t="s">
        <v>43</v>
      </c>
      <c r="AC7366" t="s">
        <v>43</v>
      </c>
      <c r="AD7366" t="s">
        <v>43</v>
      </c>
      <c r="AE7366" t="s">
        <v>43</v>
      </c>
      <c r="AF7366" t="s">
        <v>43</v>
      </c>
      <c r="AG7366" t="s">
        <v>43</v>
      </c>
      <c r="AH7366" t="s">
        <v>43</v>
      </c>
      <c r="AI7366" t="s">
        <v>43</v>
      </c>
      <c r="AJ7366" t="s">
        <v>43</v>
      </c>
      <c r="AK7366" t="s">
        <v>43</v>
      </c>
      <c r="AL7366" t="s">
        <v>43</v>
      </c>
      <c r="AM7366" t="s">
        <v>43</v>
      </c>
      <c r="AN7366" t="str">
        <f>HYPERLINK("https://www.google.com/maps?q=10.7896719,79.57878876","Open Location")</f>
        <v>Open Location</v>
      </c>
    </row>
    <row r="7367" spans="1:40" x14ac:dyDescent="0.3">
      <c r="A7367" s="1">
        <v>46210.146643518521</v>
      </c>
      <c r="B7367" t="s">
        <v>40</v>
      </c>
      <c r="C7367" t="s">
        <v>41</v>
      </c>
      <c r="D7367" s="1">
        <v>46210.149756944447</v>
      </c>
      <c r="E7367" t="s">
        <v>42</v>
      </c>
      <c r="F7367" t="s">
        <v>43</v>
      </c>
      <c r="G7367" t="s">
        <v>43</v>
      </c>
      <c r="H7367" t="s">
        <v>43</v>
      </c>
      <c r="I7367" t="s">
        <v>4018</v>
      </c>
      <c r="J7367" t="s">
        <v>43</v>
      </c>
      <c r="K7367" t="s">
        <v>43</v>
      </c>
      <c r="L7367" t="s">
        <v>43</v>
      </c>
      <c r="M7367" t="s">
        <v>43</v>
      </c>
      <c r="N7367" t="s">
        <v>45</v>
      </c>
      <c r="O7367" t="s">
        <v>43</v>
      </c>
      <c r="P7367" t="s">
        <v>43</v>
      </c>
      <c r="Q7367" t="s">
        <v>43</v>
      </c>
      <c r="R7367" t="s">
        <v>43</v>
      </c>
      <c r="S7367" t="s">
        <v>43</v>
      </c>
      <c r="T7367" t="s">
        <v>43</v>
      </c>
      <c r="U7367" t="s">
        <v>43</v>
      </c>
      <c r="V7367" t="s">
        <v>43</v>
      </c>
      <c r="W7367" t="s">
        <v>43</v>
      </c>
      <c r="X7367" t="s">
        <v>43</v>
      </c>
      <c r="Y7367" t="s">
        <v>43</v>
      </c>
      <c r="Z7367" t="s">
        <v>43</v>
      </c>
      <c r="AA7367" t="s">
        <v>43</v>
      </c>
      <c r="AB7367" t="s">
        <v>43</v>
      </c>
      <c r="AC7367" t="s">
        <v>43</v>
      </c>
      <c r="AD7367" t="s">
        <v>43</v>
      </c>
      <c r="AE7367" t="s">
        <v>43</v>
      </c>
      <c r="AF7367" t="s">
        <v>43</v>
      </c>
      <c r="AG7367" t="s">
        <v>43</v>
      </c>
      <c r="AH7367" t="s">
        <v>43</v>
      </c>
      <c r="AI7367" t="s">
        <v>43</v>
      </c>
      <c r="AJ7367" t="s">
        <v>43</v>
      </c>
      <c r="AK7367" t="s">
        <v>43</v>
      </c>
      <c r="AL7367" t="s">
        <v>43</v>
      </c>
      <c r="AM7367" t="s">
        <v>43</v>
      </c>
      <c r="AN7367" t="str">
        <f>HYPERLINK("https://www.google.com/maps?q=10.78966808,79.57878113","Open Location")</f>
        <v>Open Location</v>
      </c>
    </row>
    <row r="7368" spans="1:40" x14ac:dyDescent="0.3">
      <c r="A7368" s="1">
        <v>46210.146527777775</v>
      </c>
      <c r="B7368" t="s">
        <v>40</v>
      </c>
      <c r="C7368" t="s">
        <v>41</v>
      </c>
      <c r="D7368" s="1">
        <v>46210.149398148147</v>
      </c>
      <c r="E7368" t="s">
        <v>42</v>
      </c>
      <c r="F7368" t="s">
        <v>43</v>
      </c>
      <c r="G7368" t="s">
        <v>43</v>
      </c>
      <c r="H7368" t="s">
        <v>43</v>
      </c>
      <c r="I7368" t="s">
        <v>4236</v>
      </c>
      <c r="J7368" t="s">
        <v>43</v>
      </c>
      <c r="K7368" t="s">
        <v>43</v>
      </c>
      <c r="L7368" t="s">
        <v>43</v>
      </c>
      <c r="M7368" t="s">
        <v>43</v>
      </c>
      <c r="N7368" t="s">
        <v>45</v>
      </c>
      <c r="O7368" t="s">
        <v>43</v>
      </c>
      <c r="P7368" t="s">
        <v>43</v>
      </c>
      <c r="Q7368" t="s">
        <v>43</v>
      </c>
      <c r="R7368" t="s">
        <v>43</v>
      </c>
      <c r="S7368" t="s">
        <v>43</v>
      </c>
      <c r="T7368" t="s">
        <v>43</v>
      </c>
      <c r="U7368" t="s">
        <v>43</v>
      </c>
      <c r="V7368" t="s">
        <v>43</v>
      </c>
      <c r="W7368" t="s">
        <v>43</v>
      </c>
      <c r="X7368" t="s">
        <v>43</v>
      </c>
      <c r="Y7368" t="s">
        <v>43</v>
      </c>
      <c r="Z7368" t="s">
        <v>43</v>
      </c>
      <c r="AA7368" t="s">
        <v>43</v>
      </c>
      <c r="AB7368" t="s">
        <v>43</v>
      </c>
      <c r="AC7368" t="s">
        <v>43</v>
      </c>
      <c r="AD7368" t="s">
        <v>43</v>
      </c>
      <c r="AE7368" t="s">
        <v>43</v>
      </c>
      <c r="AF7368" t="s">
        <v>43</v>
      </c>
      <c r="AG7368" t="s">
        <v>43</v>
      </c>
      <c r="AH7368" t="s">
        <v>43</v>
      </c>
      <c r="AI7368" t="s">
        <v>43</v>
      </c>
      <c r="AJ7368" t="s">
        <v>43</v>
      </c>
      <c r="AK7368" t="s">
        <v>43</v>
      </c>
      <c r="AL7368" t="s">
        <v>43</v>
      </c>
      <c r="AM7368" t="s">
        <v>43</v>
      </c>
      <c r="AN7368" t="str">
        <f>HYPERLINK("https://www.google.com/maps?q=10.78966713,79.57878113","Open Location")</f>
        <v>Open Location</v>
      </c>
    </row>
    <row r="7369" spans="1:40" x14ac:dyDescent="0.3">
      <c r="A7369" s="1">
        <v>46210.146412037036</v>
      </c>
      <c r="B7369" t="s">
        <v>40</v>
      </c>
      <c r="C7369" t="s">
        <v>41</v>
      </c>
      <c r="D7369" s="1">
        <v>46210.149618055555</v>
      </c>
      <c r="E7369" t="s">
        <v>42</v>
      </c>
      <c r="F7369" t="s">
        <v>43</v>
      </c>
      <c r="G7369" t="s">
        <v>43</v>
      </c>
      <c r="H7369" t="s">
        <v>43</v>
      </c>
      <c r="I7369" t="s">
        <v>43</v>
      </c>
      <c r="J7369" t="s">
        <v>43</v>
      </c>
      <c r="K7369" t="s">
        <v>43</v>
      </c>
      <c r="L7369" t="s">
        <v>43</v>
      </c>
      <c r="M7369" t="s">
        <v>43</v>
      </c>
      <c r="N7369" t="s">
        <v>45</v>
      </c>
      <c r="O7369" t="s">
        <v>43</v>
      </c>
      <c r="P7369" t="s">
        <v>43</v>
      </c>
      <c r="Q7369" t="s">
        <v>43</v>
      </c>
      <c r="R7369" t="s">
        <v>43</v>
      </c>
      <c r="S7369" t="s">
        <v>43</v>
      </c>
      <c r="T7369" t="s">
        <v>43</v>
      </c>
      <c r="U7369" t="s">
        <v>43</v>
      </c>
      <c r="V7369" t="s">
        <v>43</v>
      </c>
      <c r="W7369" t="s">
        <v>43</v>
      </c>
      <c r="X7369" t="s">
        <v>43</v>
      </c>
      <c r="Y7369" t="s">
        <v>43</v>
      </c>
      <c r="Z7369" t="s">
        <v>43</v>
      </c>
      <c r="AA7369" t="s">
        <v>43</v>
      </c>
      <c r="AB7369" t="s">
        <v>43</v>
      </c>
      <c r="AC7369" t="s">
        <v>43</v>
      </c>
      <c r="AD7369" t="s">
        <v>43</v>
      </c>
      <c r="AE7369" t="s">
        <v>43</v>
      </c>
      <c r="AF7369" t="s">
        <v>43</v>
      </c>
      <c r="AG7369" t="s">
        <v>43</v>
      </c>
      <c r="AH7369" t="s">
        <v>43</v>
      </c>
      <c r="AI7369" t="s">
        <v>43</v>
      </c>
      <c r="AJ7369" t="s">
        <v>43</v>
      </c>
      <c r="AK7369" t="s">
        <v>43</v>
      </c>
      <c r="AL7369" t="s">
        <v>43</v>
      </c>
      <c r="AM7369" t="s">
        <v>43</v>
      </c>
      <c r="AN7369" t="s">
        <v>43</v>
      </c>
    </row>
    <row r="7370" spans="1:40" x14ac:dyDescent="0.3">
      <c r="A7370" s="1">
        <v>46210.146296296298</v>
      </c>
      <c r="B7370" t="s">
        <v>40</v>
      </c>
      <c r="C7370" t="s">
        <v>41</v>
      </c>
      <c r="D7370" s="1">
        <v>46210.149236111109</v>
      </c>
      <c r="E7370" t="s">
        <v>42</v>
      </c>
      <c r="F7370" t="s">
        <v>43</v>
      </c>
      <c r="G7370" t="s">
        <v>43</v>
      </c>
      <c r="H7370" t="s">
        <v>43</v>
      </c>
      <c r="I7370" t="s">
        <v>4038</v>
      </c>
      <c r="J7370" t="s">
        <v>43</v>
      </c>
      <c r="K7370" t="s">
        <v>43</v>
      </c>
      <c r="L7370" t="s">
        <v>43</v>
      </c>
      <c r="M7370" t="s">
        <v>43</v>
      </c>
      <c r="N7370" t="s">
        <v>45</v>
      </c>
      <c r="O7370" t="s">
        <v>43</v>
      </c>
      <c r="P7370" t="s">
        <v>43</v>
      </c>
      <c r="Q7370" t="s">
        <v>43</v>
      </c>
      <c r="R7370" t="s">
        <v>43</v>
      </c>
      <c r="S7370" t="s">
        <v>43</v>
      </c>
      <c r="T7370" t="s">
        <v>43</v>
      </c>
      <c r="U7370" t="s">
        <v>43</v>
      </c>
      <c r="V7370" t="s">
        <v>43</v>
      </c>
      <c r="W7370" t="s">
        <v>43</v>
      </c>
      <c r="X7370" t="s">
        <v>43</v>
      </c>
      <c r="Y7370" t="s">
        <v>43</v>
      </c>
      <c r="Z7370" t="s">
        <v>43</v>
      </c>
      <c r="AA7370" t="s">
        <v>43</v>
      </c>
      <c r="AB7370" t="s">
        <v>43</v>
      </c>
      <c r="AC7370" t="s">
        <v>43</v>
      </c>
      <c r="AD7370" t="s">
        <v>43</v>
      </c>
      <c r="AE7370" t="s">
        <v>43</v>
      </c>
      <c r="AF7370" t="s">
        <v>43</v>
      </c>
      <c r="AG7370" t="s">
        <v>43</v>
      </c>
      <c r="AH7370" t="s">
        <v>43</v>
      </c>
      <c r="AI7370" t="s">
        <v>43</v>
      </c>
      <c r="AJ7370" t="s">
        <v>43</v>
      </c>
      <c r="AK7370" t="s">
        <v>43</v>
      </c>
      <c r="AL7370" t="s">
        <v>43</v>
      </c>
      <c r="AM7370" t="s">
        <v>43</v>
      </c>
      <c r="AN7370" t="str">
        <f>HYPERLINK("https://www.google.com/maps?q=10.78966808,79.57876587","Open Location")</f>
        <v>Open Location</v>
      </c>
    </row>
    <row r="7371" spans="1:40" x14ac:dyDescent="0.3">
      <c r="A7371" s="1">
        <v>46210.146180555559</v>
      </c>
      <c r="B7371" t="s">
        <v>40</v>
      </c>
      <c r="C7371" t="s">
        <v>41</v>
      </c>
      <c r="D7371" s="1">
        <v>46210.149247685185</v>
      </c>
      <c r="E7371" t="s">
        <v>42</v>
      </c>
      <c r="F7371" t="s">
        <v>43</v>
      </c>
      <c r="G7371" t="s">
        <v>43</v>
      </c>
      <c r="H7371" t="s">
        <v>43</v>
      </c>
      <c r="I7371" t="s">
        <v>4233</v>
      </c>
      <c r="J7371" t="s">
        <v>43</v>
      </c>
      <c r="K7371" t="s">
        <v>43</v>
      </c>
      <c r="L7371" t="s">
        <v>43</v>
      </c>
      <c r="M7371" t="s">
        <v>43</v>
      </c>
      <c r="N7371" t="s">
        <v>45</v>
      </c>
      <c r="O7371" t="s">
        <v>43</v>
      </c>
      <c r="P7371" t="s">
        <v>43</v>
      </c>
      <c r="Q7371" t="s">
        <v>43</v>
      </c>
      <c r="R7371" t="s">
        <v>43</v>
      </c>
      <c r="S7371" t="s">
        <v>43</v>
      </c>
      <c r="T7371" t="s">
        <v>43</v>
      </c>
      <c r="U7371" t="s">
        <v>43</v>
      </c>
      <c r="V7371" t="s">
        <v>43</v>
      </c>
      <c r="W7371" t="s">
        <v>43</v>
      </c>
      <c r="X7371" t="s">
        <v>43</v>
      </c>
      <c r="Y7371" t="s">
        <v>43</v>
      </c>
      <c r="Z7371" t="s">
        <v>43</v>
      </c>
      <c r="AA7371" t="s">
        <v>43</v>
      </c>
      <c r="AB7371" t="s">
        <v>43</v>
      </c>
      <c r="AC7371" t="s">
        <v>43</v>
      </c>
      <c r="AD7371" t="s">
        <v>43</v>
      </c>
      <c r="AE7371" t="s">
        <v>43</v>
      </c>
      <c r="AF7371" t="s">
        <v>43</v>
      </c>
      <c r="AG7371" t="s">
        <v>43</v>
      </c>
      <c r="AH7371" t="s">
        <v>43</v>
      </c>
      <c r="AI7371" t="s">
        <v>43</v>
      </c>
      <c r="AJ7371" t="s">
        <v>43</v>
      </c>
      <c r="AK7371" t="s">
        <v>43</v>
      </c>
      <c r="AL7371" t="s">
        <v>43</v>
      </c>
      <c r="AM7371" t="s">
        <v>43</v>
      </c>
      <c r="AN7371" t="str">
        <f>HYPERLINK("https://www.google.com/maps?q=10.78967094,79.57876587","Open Location")</f>
        <v>Open Location</v>
      </c>
    </row>
    <row r="7372" spans="1:40" x14ac:dyDescent="0.3">
      <c r="A7372" s="1">
        <v>46210.146064814813</v>
      </c>
      <c r="B7372" t="s">
        <v>40</v>
      </c>
      <c r="C7372" t="s">
        <v>41</v>
      </c>
      <c r="D7372" s="1">
        <v>46210.149027777778</v>
      </c>
      <c r="E7372" t="s">
        <v>42</v>
      </c>
      <c r="F7372" t="s">
        <v>43</v>
      </c>
      <c r="G7372" t="s">
        <v>43</v>
      </c>
      <c r="H7372" t="s">
        <v>43</v>
      </c>
      <c r="I7372" t="s">
        <v>4237</v>
      </c>
      <c r="J7372" t="s">
        <v>43</v>
      </c>
      <c r="K7372" t="s">
        <v>43</v>
      </c>
      <c r="L7372" t="s">
        <v>43</v>
      </c>
      <c r="M7372" t="s">
        <v>43</v>
      </c>
      <c r="N7372" t="s">
        <v>45</v>
      </c>
      <c r="O7372" t="s">
        <v>43</v>
      </c>
      <c r="P7372" t="s">
        <v>43</v>
      </c>
      <c r="Q7372" t="s">
        <v>43</v>
      </c>
      <c r="R7372" t="s">
        <v>43</v>
      </c>
      <c r="S7372" t="s">
        <v>43</v>
      </c>
      <c r="T7372" t="s">
        <v>43</v>
      </c>
      <c r="U7372" t="s">
        <v>43</v>
      </c>
      <c r="V7372" t="s">
        <v>43</v>
      </c>
      <c r="W7372" t="s">
        <v>43</v>
      </c>
      <c r="X7372" t="s">
        <v>43</v>
      </c>
      <c r="Y7372" t="s">
        <v>43</v>
      </c>
      <c r="Z7372" t="s">
        <v>43</v>
      </c>
      <c r="AA7372" t="s">
        <v>43</v>
      </c>
      <c r="AB7372" t="s">
        <v>43</v>
      </c>
      <c r="AC7372" t="s">
        <v>43</v>
      </c>
      <c r="AD7372" t="s">
        <v>43</v>
      </c>
      <c r="AE7372" t="s">
        <v>43</v>
      </c>
      <c r="AF7372" t="s">
        <v>43</v>
      </c>
      <c r="AG7372" t="s">
        <v>43</v>
      </c>
      <c r="AH7372" t="s">
        <v>43</v>
      </c>
      <c r="AI7372" t="s">
        <v>43</v>
      </c>
      <c r="AJ7372" t="s">
        <v>43</v>
      </c>
      <c r="AK7372" t="s">
        <v>43</v>
      </c>
      <c r="AL7372" t="s">
        <v>43</v>
      </c>
      <c r="AM7372" t="s">
        <v>43</v>
      </c>
      <c r="AN7372" t="str">
        <f>HYPERLINK("https://www.google.com/maps?q=10.78966808,79.5787735","Open Location")</f>
        <v>Open Location</v>
      </c>
    </row>
    <row r="7373" spans="1:40" x14ac:dyDescent="0.3">
      <c r="A7373" s="1">
        <v>46210.145949074074</v>
      </c>
      <c r="B7373" t="s">
        <v>40</v>
      </c>
      <c r="C7373" t="s">
        <v>41</v>
      </c>
      <c r="D7373" s="1">
        <v>46210.149027777778</v>
      </c>
      <c r="E7373" t="s">
        <v>42</v>
      </c>
      <c r="F7373" t="s">
        <v>43</v>
      </c>
      <c r="G7373" t="s">
        <v>43</v>
      </c>
      <c r="H7373" t="s">
        <v>43</v>
      </c>
      <c r="I7373" t="s">
        <v>4025</v>
      </c>
      <c r="J7373" t="s">
        <v>43</v>
      </c>
      <c r="K7373" t="s">
        <v>43</v>
      </c>
      <c r="L7373" t="s">
        <v>43</v>
      </c>
      <c r="M7373" t="s">
        <v>43</v>
      </c>
      <c r="N7373" t="s">
        <v>45</v>
      </c>
      <c r="O7373" t="s">
        <v>43</v>
      </c>
      <c r="P7373" t="s">
        <v>43</v>
      </c>
      <c r="Q7373" t="s">
        <v>43</v>
      </c>
      <c r="R7373" t="s">
        <v>43</v>
      </c>
      <c r="S7373" t="s">
        <v>43</v>
      </c>
      <c r="T7373" t="s">
        <v>43</v>
      </c>
      <c r="U7373" t="s">
        <v>43</v>
      </c>
      <c r="V7373" t="s">
        <v>43</v>
      </c>
      <c r="W7373" t="s">
        <v>43</v>
      </c>
      <c r="X7373" t="s">
        <v>43</v>
      </c>
      <c r="Y7373" t="s">
        <v>43</v>
      </c>
      <c r="Z7373" t="s">
        <v>43</v>
      </c>
      <c r="AA7373" t="s">
        <v>43</v>
      </c>
      <c r="AB7373" t="s">
        <v>43</v>
      </c>
      <c r="AC7373" t="s">
        <v>43</v>
      </c>
      <c r="AD7373" t="s">
        <v>43</v>
      </c>
      <c r="AE7373" t="s">
        <v>43</v>
      </c>
      <c r="AF7373" t="s">
        <v>43</v>
      </c>
      <c r="AG7373" t="s">
        <v>43</v>
      </c>
      <c r="AH7373" t="s">
        <v>43</v>
      </c>
      <c r="AI7373" t="s">
        <v>43</v>
      </c>
      <c r="AJ7373" t="s">
        <v>43</v>
      </c>
      <c r="AK7373" t="s">
        <v>43</v>
      </c>
      <c r="AL7373" t="s">
        <v>43</v>
      </c>
      <c r="AM7373" t="s">
        <v>43</v>
      </c>
      <c r="AN7373" t="str">
        <f>HYPERLINK("https://www.google.com/maps?q=10.78966713,79.5787735","Open Location")</f>
        <v>Open Location</v>
      </c>
    </row>
    <row r="7374" spans="1:40" x14ac:dyDescent="0.3">
      <c r="A7374" s="1">
        <v>46210.145833333336</v>
      </c>
      <c r="B7374" t="s">
        <v>40</v>
      </c>
      <c r="C7374" t="s">
        <v>41</v>
      </c>
      <c r="D7374" s="1">
        <v>46210.149027777778</v>
      </c>
      <c r="E7374" t="s">
        <v>42</v>
      </c>
      <c r="F7374" t="s">
        <v>43</v>
      </c>
      <c r="G7374" t="s">
        <v>43</v>
      </c>
      <c r="H7374" t="s">
        <v>43</v>
      </c>
      <c r="I7374" t="s">
        <v>43</v>
      </c>
      <c r="J7374" t="s">
        <v>43</v>
      </c>
      <c r="K7374" t="s">
        <v>43</v>
      </c>
      <c r="L7374" t="s">
        <v>43</v>
      </c>
      <c r="M7374" t="s">
        <v>43</v>
      </c>
      <c r="N7374" t="s">
        <v>45</v>
      </c>
      <c r="O7374" t="s">
        <v>43</v>
      </c>
      <c r="P7374" t="s">
        <v>43</v>
      </c>
      <c r="Q7374" t="s">
        <v>43</v>
      </c>
      <c r="R7374" t="s">
        <v>43</v>
      </c>
      <c r="S7374" t="s">
        <v>43</v>
      </c>
      <c r="T7374" t="s">
        <v>43</v>
      </c>
      <c r="U7374" t="s">
        <v>43</v>
      </c>
      <c r="V7374" t="s">
        <v>43</v>
      </c>
      <c r="W7374" t="s">
        <v>43</v>
      </c>
      <c r="X7374" t="s">
        <v>43</v>
      </c>
      <c r="Y7374" t="s">
        <v>43</v>
      </c>
      <c r="Z7374" t="s">
        <v>43</v>
      </c>
      <c r="AA7374" t="s">
        <v>43</v>
      </c>
      <c r="AB7374" t="s">
        <v>43</v>
      </c>
      <c r="AC7374" t="s">
        <v>43</v>
      </c>
      <c r="AD7374" t="s">
        <v>43</v>
      </c>
      <c r="AE7374" t="s">
        <v>43</v>
      </c>
      <c r="AF7374" t="s">
        <v>43</v>
      </c>
      <c r="AG7374" t="s">
        <v>43</v>
      </c>
      <c r="AH7374" t="s">
        <v>43</v>
      </c>
      <c r="AI7374" t="s">
        <v>43</v>
      </c>
      <c r="AJ7374" t="s">
        <v>43</v>
      </c>
      <c r="AK7374" t="s">
        <v>43</v>
      </c>
      <c r="AL7374" t="s">
        <v>43</v>
      </c>
      <c r="AM7374" t="s">
        <v>43</v>
      </c>
      <c r="AN7374" t="s">
        <v>43</v>
      </c>
    </row>
    <row r="7375" spans="1:40" x14ac:dyDescent="0.3">
      <c r="A7375" s="1">
        <v>46210.14571759259</v>
      </c>
      <c r="B7375" t="s">
        <v>40</v>
      </c>
      <c r="C7375" t="s">
        <v>41</v>
      </c>
      <c r="D7375" s="1">
        <v>46210.148888888885</v>
      </c>
      <c r="E7375" t="s">
        <v>42</v>
      </c>
      <c r="F7375" t="s">
        <v>43</v>
      </c>
      <c r="G7375" t="s">
        <v>43</v>
      </c>
      <c r="H7375" t="s">
        <v>43</v>
      </c>
      <c r="I7375" t="s">
        <v>4238</v>
      </c>
      <c r="J7375" t="s">
        <v>43</v>
      </c>
      <c r="K7375" t="s">
        <v>43</v>
      </c>
      <c r="L7375" t="s">
        <v>43</v>
      </c>
      <c r="M7375" t="s">
        <v>43</v>
      </c>
      <c r="N7375" t="s">
        <v>45</v>
      </c>
      <c r="O7375" t="s">
        <v>43</v>
      </c>
      <c r="P7375" t="s">
        <v>43</v>
      </c>
      <c r="Q7375" t="s">
        <v>43</v>
      </c>
      <c r="R7375" t="s">
        <v>43</v>
      </c>
      <c r="S7375" t="s">
        <v>43</v>
      </c>
      <c r="T7375" t="s">
        <v>43</v>
      </c>
      <c r="U7375" t="s">
        <v>43</v>
      </c>
      <c r="V7375" t="s">
        <v>43</v>
      </c>
      <c r="W7375" t="s">
        <v>43</v>
      </c>
      <c r="X7375" t="s">
        <v>43</v>
      </c>
      <c r="Y7375" t="s">
        <v>43</v>
      </c>
      <c r="Z7375" t="s">
        <v>43</v>
      </c>
      <c r="AA7375" t="s">
        <v>43</v>
      </c>
      <c r="AB7375" t="s">
        <v>43</v>
      </c>
      <c r="AC7375" t="s">
        <v>43</v>
      </c>
      <c r="AD7375" t="s">
        <v>43</v>
      </c>
      <c r="AE7375" t="s">
        <v>43</v>
      </c>
      <c r="AF7375" t="s">
        <v>43</v>
      </c>
      <c r="AG7375" t="s">
        <v>43</v>
      </c>
      <c r="AH7375" t="s">
        <v>43</v>
      </c>
      <c r="AI7375" t="s">
        <v>43</v>
      </c>
      <c r="AJ7375" t="s">
        <v>43</v>
      </c>
      <c r="AK7375" t="s">
        <v>43</v>
      </c>
      <c r="AL7375" t="s">
        <v>43</v>
      </c>
      <c r="AM7375" t="s">
        <v>43</v>
      </c>
      <c r="AN7375" t="str">
        <f>HYPERLINK("https://www.google.com/maps?q=10.7896719,79.57876587","Open Location")</f>
        <v>Open Location</v>
      </c>
    </row>
    <row r="7376" spans="1:40" x14ac:dyDescent="0.3">
      <c r="A7376" s="1">
        <v>46210.145601851851</v>
      </c>
      <c r="B7376" t="s">
        <v>40</v>
      </c>
      <c r="C7376" t="s">
        <v>41</v>
      </c>
      <c r="D7376" s="1">
        <v>46210.148506944446</v>
      </c>
      <c r="E7376" t="s">
        <v>42</v>
      </c>
      <c r="F7376" t="s">
        <v>43</v>
      </c>
      <c r="G7376" t="s">
        <v>43</v>
      </c>
      <c r="H7376" t="s">
        <v>43</v>
      </c>
      <c r="I7376" t="s">
        <v>4023</v>
      </c>
      <c r="J7376" t="s">
        <v>43</v>
      </c>
      <c r="K7376" t="s">
        <v>43</v>
      </c>
      <c r="L7376" t="s">
        <v>43</v>
      </c>
      <c r="M7376" t="s">
        <v>43</v>
      </c>
      <c r="N7376" t="s">
        <v>45</v>
      </c>
      <c r="O7376" t="s">
        <v>43</v>
      </c>
      <c r="P7376" t="s">
        <v>43</v>
      </c>
      <c r="Q7376" t="s">
        <v>43</v>
      </c>
      <c r="R7376" t="s">
        <v>43</v>
      </c>
      <c r="S7376" t="s">
        <v>43</v>
      </c>
      <c r="T7376" t="s">
        <v>43</v>
      </c>
      <c r="U7376" t="s">
        <v>43</v>
      </c>
      <c r="V7376" t="s">
        <v>43</v>
      </c>
      <c r="W7376" t="s">
        <v>43</v>
      </c>
      <c r="X7376" t="s">
        <v>43</v>
      </c>
      <c r="Y7376" t="s">
        <v>43</v>
      </c>
      <c r="Z7376" t="s">
        <v>43</v>
      </c>
      <c r="AA7376" t="s">
        <v>43</v>
      </c>
      <c r="AB7376" t="s">
        <v>43</v>
      </c>
      <c r="AC7376" t="s">
        <v>43</v>
      </c>
      <c r="AD7376" t="s">
        <v>43</v>
      </c>
      <c r="AE7376" t="s">
        <v>43</v>
      </c>
      <c r="AF7376" t="s">
        <v>43</v>
      </c>
      <c r="AG7376" t="s">
        <v>43</v>
      </c>
      <c r="AH7376" t="s">
        <v>43</v>
      </c>
      <c r="AI7376" t="s">
        <v>43</v>
      </c>
      <c r="AJ7376" t="s">
        <v>43</v>
      </c>
      <c r="AK7376" t="s">
        <v>43</v>
      </c>
      <c r="AL7376" t="s">
        <v>43</v>
      </c>
      <c r="AM7376" t="s">
        <v>43</v>
      </c>
      <c r="AN7376" t="str">
        <f>HYPERLINK("https://www.google.com/maps?q=10.78967285,79.5787735","Open Location")</f>
        <v>Open Location</v>
      </c>
    </row>
    <row r="7377" spans="1:40" x14ac:dyDescent="0.3">
      <c r="A7377" s="1">
        <v>46210.145486111112</v>
      </c>
      <c r="B7377" t="s">
        <v>40</v>
      </c>
      <c r="C7377" t="s">
        <v>41</v>
      </c>
      <c r="D7377" s="1">
        <v>46210.148506944446</v>
      </c>
      <c r="E7377" t="s">
        <v>42</v>
      </c>
      <c r="F7377" t="s">
        <v>43</v>
      </c>
      <c r="G7377" t="s">
        <v>43</v>
      </c>
      <c r="H7377" t="s">
        <v>43</v>
      </c>
      <c r="I7377" t="s">
        <v>4233</v>
      </c>
      <c r="J7377" t="s">
        <v>43</v>
      </c>
      <c r="K7377" t="s">
        <v>43</v>
      </c>
      <c r="L7377" t="s">
        <v>43</v>
      </c>
      <c r="M7377" t="s">
        <v>43</v>
      </c>
      <c r="N7377" t="s">
        <v>45</v>
      </c>
      <c r="O7377" t="s">
        <v>43</v>
      </c>
      <c r="P7377" t="s">
        <v>43</v>
      </c>
      <c r="Q7377" t="s">
        <v>43</v>
      </c>
      <c r="R7377" t="s">
        <v>43</v>
      </c>
      <c r="S7377" t="s">
        <v>43</v>
      </c>
      <c r="T7377" t="s">
        <v>43</v>
      </c>
      <c r="U7377" t="s">
        <v>43</v>
      </c>
      <c r="V7377" t="s">
        <v>43</v>
      </c>
      <c r="W7377" t="s">
        <v>43</v>
      </c>
      <c r="X7377" t="s">
        <v>43</v>
      </c>
      <c r="Y7377" t="s">
        <v>43</v>
      </c>
      <c r="Z7377" t="s">
        <v>43</v>
      </c>
      <c r="AA7377" t="s">
        <v>43</v>
      </c>
      <c r="AB7377" t="s">
        <v>43</v>
      </c>
      <c r="AC7377" t="s">
        <v>43</v>
      </c>
      <c r="AD7377" t="s">
        <v>43</v>
      </c>
      <c r="AE7377" t="s">
        <v>43</v>
      </c>
      <c r="AF7377" t="s">
        <v>43</v>
      </c>
      <c r="AG7377" t="s">
        <v>43</v>
      </c>
      <c r="AH7377" t="s">
        <v>43</v>
      </c>
      <c r="AI7377" t="s">
        <v>43</v>
      </c>
      <c r="AJ7377" t="s">
        <v>43</v>
      </c>
      <c r="AK7377" t="s">
        <v>43</v>
      </c>
      <c r="AL7377" t="s">
        <v>43</v>
      </c>
      <c r="AM7377" t="s">
        <v>43</v>
      </c>
      <c r="AN7377" t="str">
        <f>HYPERLINK("https://www.google.com/maps?q=10.78967094,79.57876587","Open Location")</f>
        <v>Open Location</v>
      </c>
    </row>
    <row r="7378" spans="1:40" x14ac:dyDescent="0.3">
      <c r="A7378" s="1">
        <v>46210.145370370374</v>
      </c>
      <c r="B7378" t="s">
        <v>40</v>
      </c>
      <c r="C7378" t="s">
        <v>41</v>
      </c>
      <c r="D7378" s="1">
        <v>46210.148657407408</v>
      </c>
      <c r="E7378" t="s">
        <v>42</v>
      </c>
      <c r="F7378" t="s">
        <v>43</v>
      </c>
      <c r="G7378" t="s">
        <v>43</v>
      </c>
      <c r="H7378" t="s">
        <v>43</v>
      </c>
      <c r="I7378" t="s">
        <v>4205</v>
      </c>
      <c r="J7378" t="s">
        <v>43</v>
      </c>
      <c r="K7378" t="s">
        <v>43</v>
      </c>
      <c r="L7378" t="s">
        <v>43</v>
      </c>
      <c r="M7378" t="s">
        <v>43</v>
      </c>
      <c r="N7378" t="s">
        <v>45</v>
      </c>
      <c r="O7378" t="s">
        <v>43</v>
      </c>
      <c r="P7378" t="s">
        <v>43</v>
      </c>
      <c r="Q7378" t="s">
        <v>43</v>
      </c>
      <c r="R7378" t="s">
        <v>43</v>
      </c>
      <c r="S7378" t="s">
        <v>43</v>
      </c>
      <c r="T7378" t="s">
        <v>43</v>
      </c>
      <c r="U7378" t="s">
        <v>43</v>
      </c>
      <c r="V7378" t="s">
        <v>43</v>
      </c>
      <c r="W7378" t="s">
        <v>43</v>
      </c>
      <c r="X7378" t="s">
        <v>43</v>
      </c>
      <c r="Y7378" t="s">
        <v>43</v>
      </c>
      <c r="Z7378" t="s">
        <v>43</v>
      </c>
      <c r="AA7378" t="s">
        <v>43</v>
      </c>
      <c r="AB7378" t="s">
        <v>43</v>
      </c>
      <c r="AC7378" t="s">
        <v>43</v>
      </c>
      <c r="AD7378" t="s">
        <v>43</v>
      </c>
      <c r="AE7378" t="s">
        <v>43</v>
      </c>
      <c r="AF7378" t="s">
        <v>43</v>
      </c>
      <c r="AG7378" t="s">
        <v>43</v>
      </c>
      <c r="AH7378" t="s">
        <v>43</v>
      </c>
      <c r="AI7378" t="s">
        <v>43</v>
      </c>
      <c r="AJ7378" t="s">
        <v>43</v>
      </c>
      <c r="AK7378" t="s">
        <v>43</v>
      </c>
      <c r="AL7378" t="s">
        <v>43</v>
      </c>
      <c r="AM7378" t="s">
        <v>43</v>
      </c>
      <c r="AN7378" t="str">
        <f>HYPERLINK("https://www.google.com/maps?q=10.78966999,79.57876587","Open Location")</f>
        <v>Open Location</v>
      </c>
    </row>
    <row r="7379" spans="1:40" x14ac:dyDescent="0.3">
      <c r="A7379" s="1">
        <v>46210.145254629628</v>
      </c>
      <c r="B7379" t="s">
        <v>40</v>
      </c>
      <c r="C7379" t="s">
        <v>41</v>
      </c>
      <c r="D7379" s="1">
        <v>46210.148645833331</v>
      </c>
      <c r="E7379" t="s">
        <v>42</v>
      </c>
      <c r="F7379" t="s">
        <v>43</v>
      </c>
      <c r="G7379" t="s">
        <v>43</v>
      </c>
      <c r="H7379" t="s">
        <v>43</v>
      </c>
      <c r="I7379" t="s">
        <v>4239</v>
      </c>
      <c r="J7379" t="s">
        <v>43</v>
      </c>
      <c r="K7379" t="s">
        <v>43</v>
      </c>
      <c r="L7379" t="s">
        <v>43</v>
      </c>
      <c r="M7379" t="s">
        <v>43</v>
      </c>
      <c r="N7379" t="s">
        <v>45</v>
      </c>
      <c r="O7379" t="s">
        <v>43</v>
      </c>
      <c r="P7379" t="s">
        <v>43</v>
      </c>
      <c r="Q7379" t="s">
        <v>43</v>
      </c>
      <c r="R7379" t="s">
        <v>43</v>
      </c>
      <c r="S7379" t="s">
        <v>43</v>
      </c>
      <c r="T7379" t="s">
        <v>43</v>
      </c>
      <c r="U7379" t="s">
        <v>43</v>
      </c>
      <c r="V7379" t="s">
        <v>43</v>
      </c>
      <c r="W7379" t="s">
        <v>43</v>
      </c>
      <c r="X7379" t="s">
        <v>43</v>
      </c>
      <c r="Y7379" t="s">
        <v>43</v>
      </c>
      <c r="Z7379" t="s">
        <v>43</v>
      </c>
      <c r="AA7379" t="s">
        <v>43</v>
      </c>
      <c r="AB7379" t="s">
        <v>43</v>
      </c>
      <c r="AC7379" t="s">
        <v>43</v>
      </c>
      <c r="AD7379" t="s">
        <v>43</v>
      </c>
      <c r="AE7379" t="s">
        <v>43</v>
      </c>
      <c r="AF7379" t="s">
        <v>43</v>
      </c>
      <c r="AG7379" t="s">
        <v>43</v>
      </c>
      <c r="AH7379" t="s">
        <v>43</v>
      </c>
      <c r="AI7379" t="s">
        <v>43</v>
      </c>
      <c r="AJ7379" t="s">
        <v>43</v>
      </c>
      <c r="AK7379" t="s">
        <v>43</v>
      </c>
      <c r="AL7379" t="s">
        <v>43</v>
      </c>
      <c r="AM7379" t="s">
        <v>43</v>
      </c>
      <c r="AN7379" t="str">
        <f>HYPERLINK("https://www.google.com/maps?q=10.78967094,79.57875824","Open Location")</f>
        <v>Open Location</v>
      </c>
    </row>
    <row r="7380" spans="1:40" x14ac:dyDescent="0.3">
      <c r="A7380" s="1">
        <v>46210.145138888889</v>
      </c>
      <c r="B7380" t="s">
        <v>40</v>
      </c>
      <c r="C7380" t="s">
        <v>41</v>
      </c>
      <c r="D7380" s="1">
        <v>46210.148263888892</v>
      </c>
      <c r="E7380" t="s">
        <v>42</v>
      </c>
      <c r="F7380" t="s">
        <v>43</v>
      </c>
      <c r="G7380" t="s">
        <v>43</v>
      </c>
      <c r="H7380" t="s">
        <v>43</v>
      </c>
      <c r="I7380" t="s">
        <v>43</v>
      </c>
      <c r="J7380" t="s">
        <v>43</v>
      </c>
      <c r="K7380" t="s">
        <v>43</v>
      </c>
      <c r="L7380" t="s">
        <v>43</v>
      </c>
      <c r="M7380" t="s">
        <v>43</v>
      </c>
      <c r="N7380" t="s">
        <v>45</v>
      </c>
      <c r="O7380" t="s">
        <v>43</v>
      </c>
      <c r="P7380" t="s">
        <v>43</v>
      </c>
      <c r="Q7380" t="s">
        <v>43</v>
      </c>
      <c r="R7380" t="s">
        <v>43</v>
      </c>
      <c r="S7380" t="s">
        <v>43</v>
      </c>
      <c r="T7380" t="s">
        <v>43</v>
      </c>
      <c r="U7380" t="s">
        <v>43</v>
      </c>
      <c r="V7380" t="s">
        <v>43</v>
      </c>
      <c r="W7380" t="s">
        <v>43</v>
      </c>
      <c r="X7380" t="s">
        <v>43</v>
      </c>
      <c r="Y7380" t="s">
        <v>43</v>
      </c>
      <c r="Z7380" t="s">
        <v>43</v>
      </c>
      <c r="AA7380" t="s">
        <v>43</v>
      </c>
      <c r="AB7380" t="s">
        <v>43</v>
      </c>
      <c r="AC7380" t="s">
        <v>43</v>
      </c>
      <c r="AD7380" t="s">
        <v>43</v>
      </c>
      <c r="AE7380" t="s">
        <v>43</v>
      </c>
      <c r="AF7380" t="s">
        <v>43</v>
      </c>
      <c r="AG7380" t="s">
        <v>43</v>
      </c>
      <c r="AH7380" t="s">
        <v>43</v>
      </c>
      <c r="AI7380" t="s">
        <v>43</v>
      </c>
      <c r="AJ7380" t="s">
        <v>43</v>
      </c>
      <c r="AK7380" t="s">
        <v>43</v>
      </c>
      <c r="AL7380" t="s">
        <v>43</v>
      </c>
      <c r="AM7380" t="s">
        <v>43</v>
      </c>
      <c r="AN7380" t="s">
        <v>43</v>
      </c>
    </row>
    <row r="7381" spans="1:40" x14ac:dyDescent="0.3">
      <c r="A7381" s="1">
        <v>46210.14502314815</v>
      </c>
      <c r="B7381" t="s">
        <v>40</v>
      </c>
      <c r="C7381" t="s">
        <v>41</v>
      </c>
      <c r="D7381" s="1">
        <v>46210.148263888892</v>
      </c>
      <c r="E7381" t="s">
        <v>42</v>
      </c>
      <c r="F7381" t="s">
        <v>43</v>
      </c>
      <c r="G7381" t="s">
        <v>43</v>
      </c>
      <c r="H7381" t="s">
        <v>43</v>
      </c>
      <c r="I7381" t="s">
        <v>4233</v>
      </c>
      <c r="J7381" t="s">
        <v>43</v>
      </c>
      <c r="K7381" t="s">
        <v>43</v>
      </c>
      <c r="L7381" t="s">
        <v>43</v>
      </c>
      <c r="M7381" t="s">
        <v>43</v>
      </c>
      <c r="N7381" t="s">
        <v>45</v>
      </c>
      <c r="O7381" t="s">
        <v>43</v>
      </c>
      <c r="P7381" t="s">
        <v>43</v>
      </c>
      <c r="Q7381" t="s">
        <v>43</v>
      </c>
      <c r="R7381" t="s">
        <v>43</v>
      </c>
      <c r="S7381" t="s">
        <v>43</v>
      </c>
      <c r="T7381" t="s">
        <v>43</v>
      </c>
      <c r="U7381" t="s">
        <v>43</v>
      </c>
      <c r="V7381" t="s">
        <v>43</v>
      </c>
      <c r="W7381" t="s">
        <v>43</v>
      </c>
      <c r="X7381" t="s">
        <v>43</v>
      </c>
      <c r="Y7381" t="s">
        <v>43</v>
      </c>
      <c r="Z7381" t="s">
        <v>43</v>
      </c>
      <c r="AA7381" t="s">
        <v>43</v>
      </c>
      <c r="AB7381" t="s">
        <v>43</v>
      </c>
      <c r="AC7381" t="s">
        <v>43</v>
      </c>
      <c r="AD7381" t="s">
        <v>43</v>
      </c>
      <c r="AE7381" t="s">
        <v>43</v>
      </c>
      <c r="AF7381" t="s">
        <v>43</v>
      </c>
      <c r="AG7381" t="s">
        <v>43</v>
      </c>
      <c r="AH7381" t="s">
        <v>43</v>
      </c>
      <c r="AI7381" t="s">
        <v>43</v>
      </c>
      <c r="AJ7381" t="s">
        <v>43</v>
      </c>
      <c r="AK7381" t="s">
        <v>43</v>
      </c>
      <c r="AL7381" t="s">
        <v>43</v>
      </c>
      <c r="AM7381" t="s">
        <v>43</v>
      </c>
      <c r="AN7381" t="str">
        <f>HYPERLINK("https://www.google.com/maps?q=10.78967094,79.57876587","Open Location")</f>
        <v>Open Location</v>
      </c>
    </row>
    <row r="7382" spans="1:40" x14ac:dyDescent="0.3">
      <c r="A7382" s="1">
        <v>46210.144907407404</v>
      </c>
      <c r="B7382" t="s">
        <v>40</v>
      </c>
      <c r="C7382" t="s">
        <v>41</v>
      </c>
      <c r="D7382" s="1">
        <v>46210.147789351853</v>
      </c>
      <c r="E7382" t="s">
        <v>42</v>
      </c>
      <c r="F7382" t="s">
        <v>43</v>
      </c>
      <c r="G7382" t="s">
        <v>43</v>
      </c>
      <c r="H7382" t="s">
        <v>43</v>
      </c>
      <c r="I7382" t="s">
        <v>4023</v>
      </c>
      <c r="J7382" t="s">
        <v>43</v>
      </c>
      <c r="K7382" t="s">
        <v>43</v>
      </c>
      <c r="L7382" t="s">
        <v>43</v>
      </c>
      <c r="M7382" t="s">
        <v>43</v>
      </c>
      <c r="N7382" t="s">
        <v>45</v>
      </c>
      <c r="O7382" t="s">
        <v>43</v>
      </c>
      <c r="P7382" t="s">
        <v>43</v>
      </c>
      <c r="Q7382" t="s">
        <v>43</v>
      </c>
      <c r="R7382" t="s">
        <v>43</v>
      </c>
      <c r="S7382" t="s">
        <v>43</v>
      </c>
      <c r="T7382" t="s">
        <v>43</v>
      </c>
      <c r="U7382" t="s">
        <v>43</v>
      </c>
      <c r="V7382" t="s">
        <v>43</v>
      </c>
      <c r="W7382" t="s">
        <v>43</v>
      </c>
      <c r="X7382" t="s">
        <v>43</v>
      </c>
      <c r="Y7382" t="s">
        <v>43</v>
      </c>
      <c r="Z7382" t="s">
        <v>43</v>
      </c>
      <c r="AA7382" t="s">
        <v>43</v>
      </c>
      <c r="AB7382" t="s">
        <v>43</v>
      </c>
      <c r="AC7382" t="s">
        <v>43</v>
      </c>
      <c r="AD7382" t="s">
        <v>43</v>
      </c>
      <c r="AE7382" t="s">
        <v>43</v>
      </c>
      <c r="AF7382" t="s">
        <v>43</v>
      </c>
      <c r="AG7382" t="s">
        <v>43</v>
      </c>
      <c r="AH7382" t="s">
        <v>43</v>
      </c>
      <c r="AI7382" t="s">
        <v>43</v>
      </c>
      <c r="AJ7382" t="s">
        <v>43</v>
      </c>
      <c r="AK7382" t="s">
        <v>43</v>
      </c>
      <c r="AL7382" t="s">
        <v>43</v>
      </c>
      <c r="AM7382" t="s">
        <v>43</v>
      </c>
      <c r="AN7382" t="str">
        <f>HYPERLINK("https://www.google.com/maps?q=10.78967285,79.5787735","Open Location")</f>
        <v>Open Location</v>
      </c>
    </row>
    <row r="7383" spans="1:40" x14ac:dyDescent="0.3">
      <c r="A7383" s="1">
        <v>46210.144791666666</v>
      </c>
      <c r="B7383" t="s">
        <v>40</v>
      </c>
      <c r="C7383" t="s">
        <v>41</v>
      </c>
      <c r="D7383" s="1">
        <v>46210.147847222222</v>
      </c>
      <c r="E7383" t="s">
        <v>42</v>
      </c>
      <c r="F7383" t="s">
        <v>43</v>
      </c>
      <c r="G7383" t="s">
        <v>43</v>
      </c>
      <c r="H7383" t="s">
        <v>43</v>
      </c>
      <c r="I7383" t="s">
        <v>4019</v>
      </c>
      <c r="J7383" t="s">
        <v>43</v>
      </c>
      <c r="K7383" t="s">
        <v>43</v>
      </c>
      <c r="L7383" t="s">
        <v>43</v>
      </c>
      <c r="M7383" t="s">
        <v>43</v>
      </c>
      <c r="N7383" t="s">
        <v>45</v>
      </c>
      <c r="O7383" t="s">
        <v>43</v>
      </c>
      <c r="P7383" t="s">
        <v>43</v>
      </c>
      <c r="Q7383" t="s">
        <v>43</v>
      </c>
      <c r="R7383" t="s">
        <v>43</v>
      </c>
      <c r="S7383" t="s">
        <v>43</v>
      </c>
      <c r="T7383" t="s">
        <v>43</v>
      </c>
      <c r="U7383" t="s">
        <v>43</v>
      </c>
      <c r="V7383" t="s">
        <v>43</v>
      </c>
      <c r="W7383" t="s">
        <v>43</v>
      </c>
      <c r="X7383" t="s">
        <v>43</v>
      </c>
      <c r="Y7383" t="s">
        <v>43</v>
      </c>
      <c r="Z7383" t="s">
        <v>43</v>
      </c>
      <c r="AA7383" t="s">
        <v>43</v>
      </c>
      <c r="AB7383" t="s">
        <v>43</v>
      </c>
      <c r="AC7383" t="s">
        <v>43</v>
      </c>
      <c r="AD7383" t="s">
        <v>43</v>
      </c>
      <c r="AE7383" t="s">
        <v>43</v>
      </c>
      <c r="AF7383" t="s">
        <v>43</v>
      </c>
      <c r="AG7383" t="s">
        <v>43</v>
      </c>
      <c r="AH7383" t="s">
        <v>43</v>
      </c>
      <c r="AI7383" t="s">
        <v>43</v>
      </c>
      <c r="AJ7383" t="s">
        <v>43</v>
      </c>
      <c r="AK7383" t="s">
        <v>43</v>
      </c>
      <c r="AL7383" t="s">
        <v>43</v>
      </c>
      <c r="AM7383" t="s">
        <v>43</v>
      </c>
      <c r="AN7383" t="str">
        <f>HYPERLINK("https://www.google.com/maps?q=10.78966999,79.57878113","Open Location")</f>
        <v>Open Location</v>
      </c>
    </row>
    <row r="7384" spans="1:40" x14ac:dyDescent="0.3">
      <c r="A7384" s="1">
        <v>46210.144675925927</v>
      </c>
      <c r="B7384" t="s">
        <v>40</v>
      </c>
      <c r="C7384" t="s">
        <v>41</v>
      </c>
      <c r="D7384" s="1">
        <v>46210.147511574076</v>
      </c>
      <c r="E7384" t="s">
        <v>42</v>
      </c>
      <c r="F7384" t="s">
        <v>43</v>
      </c>
      <c r="G7384" t="s">
        <v>43</v>
      </c>
      <c r="H7384" t="s">
        <v>43</v>
      </c>
      <c r="I7384" t="s">
        <v>4015</v>
      </c>
      <c r="J7384" t="s">
        <v>43</v>
      </c>
      <c r="K7384" t="s">
        <v>43</v>
      </c>
      <c r="L7384" t="s">
        <v>43</v>
      </c>
      <c r="M7384" t="s">
        <v>43</v>
      </c>
      <c r="N7384" t="s">
        <v>45</v>
      </c>
      <c r="O7384" t="s">
        <v>43</v>
      </c>
      <c r="P7384" t="s">
        <v>43</v>
      </c>
      <c r="Q7384" t="s">
        <v>43</v>
      </c>
      <c r="R7384" t="s">
        <v>43</v>
      </c>
      <c r="S7384" t="s">
        <v>43</v>
      </c>
      <c r="T7384" t="s">
        <v>43</v>
      </c>
      <c r="U7384" t="s">
        <v>43</v>
      </c>
      <c r="V7384" t="s">
        <v>43</v>
      </c>
      <c r="W7384" t="s">
        <v>43</v>
      </c>
      <c r="X7384" t="s">
        <v>43</v>
      </c>
      <c r="Y7384" t="s">
        <v>43</v>
      </c>
      <c r="Z7384" t="s">
        <v>43</v>
      </c>
      <c r="AA7384" t="s">
        <v>43</v>
      </c>
      <c r="AB7384" t="s">
        <v>43</v>
      </c>
      <c r="AC7384" t="s">
        <v>43</v>
      </c>
      <c r="AD7384" t="s">
        <v>43</v>
      </c>
      <c r="AE7384" t="s">
        <v>43</v>
      </c>
      <c r="AF7384" t="s">
        <v>43</v>
      </c>
      <c r="AG7384" t="s">
        <v>43</v>
      </c>
      <c r="AH7384" t="s">
        <v>43</v>
      </c>
      <c r="AI7384" t="s">
        <v>43</v>
      </c>
      <c r="AJ7384" t="s">
        <v>43</v>
      </c>
      <c r="AK7384" t="s">
        <v>43</v>
      </c>
      <c r="AL7384" t="s">
        <v>43</v>
      </c>
      <c r="AM7384" t="s">
        <v>43</v>
      </c>
      <c r="AN7384" t="str">
        <f>HYPERLINK("https://www.google.com/maps?q=10.78967094,79.57878113","Open Location")</f>
        <v>Open Location</v>
      </c>
    </row>
    <row r="7385" spans="1:40" x14ac:dyDescent="0.3">
      <c r="A7385" s="1">
        <v>46210.144560185188</v>
      </c>
      <c r="B7385" t="s">
        <v>40</v>
      </c>
      <c r="C7385" t="s">
        <v>41</v>
      </c>
      <c r="D7385" s="1">
        <v>46210.147407407407</v>
      </c>
      <c r="E7385" t="s">
        <v>42</v>
      </c>
      <c r="F7385" t="s">
        <v>43</v>
      </c>
      <c r="G7385" t="s">
        <v>43</v>
      </c>
      <c r="H7385" t="s">
        <v>43</v>
      </c>
      <c r="I7385" t="s">
        <v>4240</v>
      </c>
      <c r="J7385" t="s">
        <v>43</v>
      </c>
      <c r="K7385" t="s">
        <v>43</v>
      </c>
      <c r="L7385" t="s">
        <v>43</v>
      </c>
      <c r="M7385" t="s">
        <v>43</v>
      </c>
      <c r="N7385" t="s">
        <v>45</v>
      </c>
      <c r="O7385" t="s">
        <v>43</v>
      </c>
      <c r="P7385" t="s">
        <v>43</v>
      </c>
      <c r="Q7385" t="s">
        <v>43</v>
      </c>
      <c r="R7385" t="s">
        <v>43</v>
      </c>
      <c r="S7385" t="s">
        <v>43</v>
      </c>
      <c r="T7385" t="s">
        <v>43</v>
      </c>
      <c r="U7385" t="s">
        <v>43</v>
      </c>
      <c r="V7385" t="s">
        <v>43</v>
      </c>
      <c r="W7385" t="s">
        <v>43</v>
      </c>
      <c r="X7385" t="s">
        <v>43</v>
      </c>
      <c r="Y7385" t="s">
        <v>43</v>
      </c>
      <c r="Z7385" t="s">
        <v>43</v>
      </c>
      <c r="AA7385" t="s">
        <v>43</v>
      </c>
      <c r="AB7385" t="s">
        <v>43</v>
      </c>
      <c r="AC7385" t="s">
        <v>43</v>
      </c>
      <c r="AD7385" t="s">
        <v>43</v>
      </c>
      <c r="AE7385" t="s">
        <v>43</v>
      </c>
      <c r="AF7385" t="s">
        <v>43</v>
      </c>
      <c r="AG7385" t="s">
        <v>43</v>
      </c>
      <c r="AH7385" t="s">
        <v>43</v>
      </c>
      <c r="AI7385" t="s">
        <v>43</v>
      </c>
      <c r="AJ7385" t="s">
        <v>43</v>
      </c>
      <c r="AK7385" t="s">
        <v>43</v>
      </c>
      <c r="AL7385" t="s">
        <v>43</v>
      </c>
      <c r="AM7385" t="s">
        <v>43</v>
      </c>
      <c r="AN7385" t="str">
        <f>HYPERLINK("https://www.google.com/maps?q=10.78967094,79.57878876","Open Location")</f>
        <v>Open Location</v>
      </c>
    </row>
    <row r="7386" spans="1:40" x14ac:dyDescent="0.3">
      <c r="A7386" s="1">
        <v>46210.144444444442</v>
      </c>
      <c r="B7386" t="s">
        <v>40</v>
      </c>
      <c r="C7386" t="s">
        <v>41</v>
      </c>
      <c r="D7386" s="1">
        <v>46210.147511574076</v>
      </c>
      <c r="E7386" t="s">
        <v>42</v>
      </c>
      <c r="F7386" t="s">
        <v>43</v>
      </c>
      <c r="G7386" t="s">
        <v>43</v>
      </c>
      <c r="H7386" t="s">
        <v>43</v>
      </c>
      <c r="I7386" t="s">
        <v>43</v>
      </c>
      <c r="J7386" t="s">
        <v>43</v>
      </c>
      <c r="K7386" t="s">
        <v>43</v>
      </c>
      <c r="L7386" t="s">
        <v>43</v>
      </c>
      <c r="M7386" t="s">
        <v>43</v>
      </c>
      <c r="N7386" t="s">
        <v>45</v>
      </c>
      <c r="O7386" t="s">
        <v>43</v>
      </c>
      <c r="P7386" t="s">
        <v>43</v>
      </c>
      <c r="Q7386" t="s">
        <v>43</v>
      </c>
      <c r="R7386" t="s">
        <v>43</v>
      </c>
      <c r="S7386" t="s">
        <v>43</v>
      </c>
      <c r="T7386" t="s">
        <v>43</v>
      </c>
      <c r="U7386" t="s">
        <v>43</v>
      </c>
      <c r="V7386" t="s">
        <v>43</v>
      </c>
      <c r="W7386" t="s">
        <v>43</v>
      </c>
      <c r="X7386" t="s">
        <v>43</v>
      </c>
      <c r="Y7386" t="s">
        <v>43</v>
      </c>
      <c r="Z7386" t="s">
        <v>43</v>
      </c>
      <c r="AA7386" t="s">
        <v>43</v>
      </c>
      <c r="AB7386" t="s">
        <v>43</v>
      </c>
      <c r="AC7386" t="s">
        <v>43</v>
      </c>
      <c r="AD7386" t="s">
        <v>43</v>
      </c>
      <c r="AE7386" t="s">
        <v>43</v>
      </c>
      <c r="AF7386" t="s">
        <v>43</v>
      </c>
      <c r="AG7386" t="s">
        <v>43</v>
      </c>
      <c r="AH7386" t="s">
        <v>43</v>
      </c>
      <c r="AI7386" t="s">
        <v>43</v>
      </c>
      <c r="AJ7386" t="s">
        <v>43</v>
      </c>
      <c r="AK7386" t="s">
        <v>43</v>
      </c>
      <c r="AL7386" t="s">
        <v>43</v>
      </c>
      <c r="AM7386" t="s">
        <v>43</v>
      </c>
      <c r="AN7386" t="s">
        <v>43</v>
      </c>
    </row>
    <row r="7387" spans="1:40" x14ac:dyDescent="0.3">
      <c r="A7387" s="1">
        <v>46210.144328703704</v>
      </c>
      <c r="B7387" t="s">
        <v>40</v>
      </c>
      <c r="C7387" t="s">
        <v>41</v>
      </c>
      <c r="D7387" s="1">
        <v>46210.147407407407</v>
      </c>
      <c r="E7387" t="s">
        <v>42</v>
      </c>
      <c r="F7387" t="s">
        <v>43</v>
      </c>
      <c r="G7387" t="s">
        <v>43</v>
      </c>
      <c r="H7387" t="s">
        <v>43</v>
      </c>
      <c r="I7387" t="s">
        <v>4014</v>
      </c>
      <c r="J7387" t="s">
        <v>43</v>
      </c>
      <c r="K7387" t="s">
        <v>43</v>
      </c>
      <c r="L7387" t="s">
        <v>43</v>
      </c>
      <c r="M7387" t="s">
        <v>43</v>
      </c>
      <c r="N7387" t="s">
        <v>45</v>
      </c>
      <c r="O7387" t="s">
        <v>43</v>
      </c>
      <c r="P7387" t="s">
        <v>43</v>
      </c>
      <c r="Q7387" t="s">
        <v>43</v>
      </c>
      <c r="R7387" t="s">
        <v>43</v>
      </c>
      <c r="S7387" t="s">
        <v>43</v>
      </c>
      <c r="T7387" t="s">
        <v>43</v>
      </c>
      <c r="U7387" t="s">
        <v>43</v>
      </c>
      <c r="V7387" t="s">
        <v>43</v>
      </c>
      <c r="W7387" t="s">
        <v>43</v>
      </c>
      <c r="X7387" t="s">
        <v>43</v>
      </c>
      <c r="Y7387" t="s">
        <v>43</v>
      </c>
      <c r="Z7387" t="s">
        <v>43</v>
      </c>
      <c r="AA7387" t="s">
        <v>43</v>
      </c>
      <c r="AB7387" t="s">
        <v>43</v>
      </c>
      <c r="AC7387" t="s">
        <v>43</v>
      </c>
      <c r="AD7387" t="s">
        <v>43</v>
      </c>
      <c r="AE7387" t="s">
        <v>43</v>
      </c>
      <c r="AF7387" t="s">
        <v>43</v>
      </c>
      <c r="AG7387" t="s">
        <v>43</v>
      </c>
      <c r="AH7387" t="s">
        <v>43</v>
      </c>
      <c r="AI7387" t="s">
        <v>43</v>
      </c>
      <c r="AJ7387" t="s">
        <v>43</v>
      </c>
      <c r="AK7387" t="s">
        <v>43</v>
      </c>
      <c r="AL7387" t="s">
        <v>43</v>
      </c>
      <c r="AM7387" t="s">
        <v>43</v>
      </c>
      <c r="AN7387" t="str">
        <f>HYPERLINK("https://www.google.com/maps?q=10.78967762,79.57878113","Open Location")</f>
        <v>Open Location</v>
      </c>
    </row>
    <row r="7388" spans="1:40" x14ac:dyDescent="0.3">
      <c r="A7388" s="1">
        <v>46210.144212962965</v>
      </c>
      <c r="B7388" t="s">
        <v>40</v>
      </c>
      <c r="C7388" t="s">
        <v>41</v>
      </c>
      <c r="D7388" s="1">
        <v>46210.147511574076</v>
      </c>
      <c r="E7388" t="s">
        <v>42</v>
      </c>
      <c r="F7388" t="s">
        <v>43</v>
      </c>
      <c r="G7388" t="s">
        <v>43</v>
      </c>
      <c r="H7388" t="s">
        <v>43</v>
      </c>
      <c r="I7388" t="s">
        <v>4155</v>
      </c>
      <c r="J7388" t="s">
        <v>43</v>
      </c>
      <c r="K7388" t="s">
        <v>43</v>
      </c>
      <c r="L7388" t="s">
        <v>43</v>
      </c>
      <c r="M7388" t="s">
        <v>43</v>
      </c>
      <c r="N7388" t="s">
        <v>45</v>
      </c>
      <c r="O7388" t="s">
        <v>43</v>
      </c>
      <c r="P7388" t="s">
        <v>43</v>
      </c>
      <c r="Q7388" t="s">
        <v>43</v>
      </c>
      <c r="R7388" t="s">
        <v>43</v>
      </c>
      <c r="S7388" t="s">
        <v>43</v>
      </c>
      <c r="T7388" t="s">
        <v>43</v>
      </c>
      <c r="U7388" t="s">
        <v>43</v>
      </c>
      <c r="V7388" t="s">
        <v>43</v>
      </c>
      <c r="W7388" t="s">
        <v>43</v>
      </c>
      <c r="X7388" t="s">
        <v>43</v>
      </c>
      <c r="Y7388" t="s">
        <v>43</v>
      </c>
      <c r="Z7388" t="s">
        <v>43</v>
      </c>
      <c r="AA7388" t="s">
        <v>43</v>
      </c>
      <c r="AB7388" t="s">
        <v>43</v>
      </c>
      <c r="AC7388" t="s">
        <v>43</v>
      </c>
      <c r="AD7388" t="s">
        <v>43</v>
      </c>
      <c r="AE7388" t="s">
        <v>43</v>
      </c>
      <c r="AF7388" t="s">
        <v>43</v>
      </c>
      <c r="AG7388" t="s">
        <v>43</v>
      </c>
      <c r="AH7388" t="s">
        <v>43</v>
      </c>
      <c r="AI7388" t="s">
        <v>43</v>
      </c>
      <c r="AJ7388" t="s">
        <v>43</v>
      </c>
      <c r="AK7388" t="s">
        <v>43</v>
      </c>
      <c r="AL7388" t="s">
        <v>43</v>
      </c>
      <c r="AM7388" t="s">
        <v>43</v>
      </c>
      <c r="AN7388" t="str">
        <f>HYPERLINK("https://www.google.com/maps?q=10.78968334,79.57878876","Open Location")</f>
        <v>Open Location</v>
      </c>
    </row>
    <row r="7389" spans="1:40" x14ac:dyDescent="0.3">
      <c r="A7389" s="1">
        <v>46210.144097222219</v>
      </c>
      <c r="B7389" t="s">
        <v>40</v>
      </c>
      <c r="C7389" t="s">
        <v>41</v>
      </c>
      <c r="D7389" s="1">
        <v>46210.147303240738</v>
      </c>
      <c r="E7389" t="s">
        <v>42</v>
      </c>
      <c r="F7389" t="s">
        <v>43</v>
      </c>
      <c r="G7389" t="s">
        <v>43</v>
      </c>
      <c r="H7389" t="s">
        <v>43</v>
      </c>
      <c r="I7389" t="s">
        <v>4241</v>
      </c>
      <c r="J7389" t="s">
        <v>43</v>
      </c>
      <c r="K7389" t="s">
        <v>43</v>
      </c>
      <c r="L7389" t="s">
        <v>43</v>
      </c>
      <c r="M7389" t="s">
        <v>43</v>
      </c>
      <c r="N7389" t="s">
        <v>45</v>
      </c>
      <c r="O7389" t="s">
        <v>43</v>
      </c>
      <c r="P7389" t="s">
        <v>43</v>
      </c>
      <c r="Q7389" t="s">
        <v>43</v>
      </c>
      <c r="R7389" t="s">
        <v>43</v>
      </c>
      <c r="S7389" t="s">
        <v>43</v>
      </c>
      <c r="T7389" t="s">
        <v>43</v>
      </c>
      <c r="U7389" t="s">
        <v>43</v>
      </c>
      <c r="V7389" t="s">
        <v>43</v>
      </c>
      <c r="W7389" t="s">
        <v>43</v>
      </c>
      <c r="X7389" t="s">
        <v>43</v>
      </c>
      <c r="Y7389" t="s">
        <v>43</v>
      </c>
      <c r="Z7389" t="s">
        <v>43</v>
      </c>
      <c r="AA7389" t="s">
        <v>43</v>
      </c>
      <c r="AB7389" t="s">
        <v>43</v>
      </c>
      <c r="AC7389" t="s">
        <v>43</v>
      </c>
      <c r="AD7389" t="s">
        <v>43</v>
      </c>
      <c r="AE7389" t="s">
        <v>43</v>
      </c>
      <c r="AF7389" t="s">
        <v>43</v>
      </c>
      <c r="AG7389" t="s">
        <v>43</v>
      </c>
      <c r="AH7389" t="s">
        <v>43</v>
      </c>
      <c r="AI7389" t="s">
        <v>43</v>
      </c>
      <c r="AJ7389" t="s">
        <v>43</v>
      </c>
      <c r="AK7389" t="s">
        <v>43</v>
      </c>
      <c r="AL7389" t="s">
        <v>43</v>
      </c>
      <c r="AM7389" t="s">
        <v>43</v>
      </c>
      <c r="AN7389" t="str">
        <f>HYPERLINK("https://www.google.com/maps?q=10.78968239,79.57879639","Open Location")</f>
        <v>Open Location</v>
      </c>
    </row>
    <row r="7390" spans="1:40" x14ac:dyDescent="0.3">
      <c r="A7390" s="1">
        <v>46210.14398148148</v>
      </c>
      <c r="B7390" t="s">
        <v>40</v>
      </c>
      <c r="C7390" t="s">
        <v>41</v>
      </c>
      <c r="D7390" s="1">
        <v>46210.147106481483</v>
      </c>
      <c r="E7390" t="s">
        <v>42</v>
      </c>
      <c r="F7390" t="s">
        <v>43</v>
      </c>
      <c r="G7390" t="s">
        <v>43</v>
      </c>
      <c r="H7390" t="s">
        <v>43</v>
      </c>
      <c r="I7390" t="s">
        <v>4242</v>
      </c>
      <c r="J7390" t="s">
        <v>43</v>
      </c>
      <c r="K7390" t="s">
        <v>43</v>
      </c>
      <c r="L7390" t="s">
        <v>43</v>
      </c>
      <c r="M7390" t="s">
        <v>43</v>
      </c>
      <c r="N7390" t="s">
        <v>45</v>
      </c>
      <c r="O7390" t="s">
        <v>43</v>
      </c>
      <c r="P7390" t="s">
        <v>43</v>
      </c>
      <c r="Q7390" t="s">
        <v>43</v>
      </c>
      <c r="R7390" t="s">
        <v>43</v>
      </c>
      <c r="S7390" t="s">
        <v>43</v>
      </c>
      <c r="T7390" t="s">
        <v>43</v>
      </c>
      <c r="U7390" t="s">
        <v>43</v>
      </c>
      <c r="V7390" t="s">
        <v>43</v>
      </c>
      <c r="W7390" t="s">
        <v>43</v>
      </c>
      <c r="X7390" t="s">
        <v>43</v>
      </c>
      <c r="Y7390" t="s">
        <v>43</v>
      </c>
      <c r="Z7390" t="s">
        <v>43</v>
      </c>
      <c r="AA7390" t="s">
        <v>43</v>
      </c>
      <c r="AB7390" t="s">
        <v>43</v>
      </c>
      <c r="AC7390" t="s">
        <v>43</v>
      </c>
      <c r="AD7390" t="s">
        <v>43</v>
      </c>
      <c r="AE7390" t="s">
        <v>43</v>
      </c>
      <c r="AF7390" t="s">
        <v>43</v>
      </c>
      <c r="AG7390" t="s">
        <v>43</v>
      </c>
      <c r="AH7390" t="s">
        <v>43</v>
      </c>
      <c r="AI7390" t="s">
        <v>43</v>
      </c>
      <c r="AJ7390" t="s">
        <v>43</v>
      </c>
      <c r="AK7390" t="s">
        <v>43</v>
      </c>
      <c r="AL7390" t="s">
        <v>43</v>
      </c>
      <c r="AM7390" t="s">
        <v>43</v>
      </c>
      <c r="AN7390" t="str">
        <f>HYPERLINK("https://www.google.com/maps?q=10.78967857,79.57879639","Open Location")</f>
        <v>Open Location</v>
      </c>
    </row>
    <row r="7391" spans="1:40" x14ac:dyDescent="0.3">
      <c r="A7391" s="1">
        <v>46210.143865740742</v>
      </c>
      <c r="B7391" t="s">
        <v>40</v>
      </c>
      <c r="C7391" t="s">
        <v>41</v>
      </c>
      <c r="D7391" s="1">
        <v>46210.147141203706</v>
      </c>
      <c r="E7391" t="s">
        <v>42</v>
      </c>
      <c r="F7391" t="s">
        <v>43</v>
      </c>
      <c r="G7391" t="s">
        <v>43</v>
      </c>
      <c r="H7391" t="s">
        <v>43</v>
      </c>
      <c r="I7391" t="s">
        <v>43</v>
      </c>
      <c r="J7391" t="s">
        <v>43</v>
      </c>
      <c r="K7391" t="s">
        <v>43</v>
      </c>
      <c r="L7391" t="s">
        <v>43</v>
      </c>
      <c r="M7391" t="s">
        <v>43</v>
      </c>
      <c r="N7391" t="s">
        <v>45</v>
      </c>
      <c r="O7391" t="s">
        <v>43</v>
      </c>
      <c r="P7391" t="s">
        <v>43</v>
      </c>
      <c r="Q7391" t="s">
        <v>43</v>
      </c>
      <c r="R7391" t="s">
        <v>43</v>
      </c>
      <c r="S7391" t="s">
        <v>43</v>
      </c>
      <c r="T7391" t="s">
        <v>43</v>
      </c>
      <c r="U7391" t="s">
        <v>43</v>
      </c>
      <c r="V7391" t="s">
        <v>43</v>
      </c>
      <c r="W7391" t="s">
        <v>43</v>
      </c>
      <c r="X7391" t="s">
        <v>43</v>
      </c>
      <c r="Y7391" t="s">
        <v>43</v>
      </c>
      <c r="Z7391" t="s">
        <v>43</v>
      </c>
      <c r="AA7391" t="s">
        <v>43</v>
      </c>
      <c r="AB7391" t="s">
        <v>43</v>
      </c>
      <c r="AC7391" t="s">
        <v>43</v>
      </c>
      <c r="AD7391" t="s">
        <v>43</v>
      </c>
      <c r="AE7391" t="s">
        <v>43</v>
      </c>
      <c r="AF7391" t="s">
        <v>43</v>
      </c>
      <c r="AG7391" t="s">
        <v>43</v>
      </c>
      <c r="AH7391" t="s">
        <v>43</v>
      </c>
      <c r="AI7391" t="s">
        <v>43</v>
      </c>
      <c r="AJ7391" t="s">
        <v>43</v>
      </c>
      <c r="AK7391" t="s">
        <v>43</v>
      </c>
      <c r="AL7391" t="s">
        <v>43</v>
      </c>
      <c r="AM7391" t="s">
        <v>43</v>
      </c>
      <c r="AN7391" t="s">
        <v>43</v>
      </c>
    </row>
    <row r="7392" spans="1:40" x14ac:dyDescent="0.3">
      <c r="A7392" s="1">
        <v>46210.143750000003</v>
      </c>
      <c r="B7392" t="s">
        <v>40</v>
      </c>
      <c r="C7392" t="s">
        <v>41</v>
      </c>
      <c r="D7392" s="1">
        <v>46210.146655092591</v>
      </c>
      <c r="E7392" t="s">
        <v>42</v>
      </c>
      <c r="F7392" t="s">
        <v>43</v>
      </c>
      <c r="G7392" t="s">
        <v>43</v>
      </c>
      <c r="H7392" t="s">
        <v>43</v>
      </c>
      <c r="I7392" t="s">
        <v>4159</v>
      </c>
      <c r="J7392" t="s">
        <v>43</v>
      </c>
      <c r="K7392" t="s">
        <v>43</v>
      </c>
      <c r="L7392" t="s">
        <v>43</v>
      </c>
      <c r="M7392" t="s">
        <v>43</v>
      </c>
      <c r="N7392" t="s">
        <v>45</v>
      </c>
      <c r="O7392" t="s">
        <v>43</v>
      </c>
      <c r="P7392" t="s">
        <v>43</v>
      </c>
      <c r="Q7392" t="s">
        <v>43</v>
      </c>
      <c r="R7392" t="s">
        <v>43</v>
      </c>
      <c r="S7392" t="s">
        <v>43</v>
      </c>
      <c r="T7392" t="s">
        <v>43</v>
      </c>
      <c r="U7392" t="s">
        <v>43</v>
      </c>
      <c r="V7392" t="s">
        <v>43</v>
      </c>
      <c r="W7392" t="s">
        <v>43</v>
      </c>
      <c r="X7392" t="s">
        <v>43</v>
      </c>
      <c r="Y7392" t="s">
        <v>43</v>
      </c>
      <c r="Z7392" t="s">
        <v>43</v>
      </c>
      <c r="AA7392" t="s">
        <v>43</v>
      </c>
      <c r="AB7392" t="s">
        <v>43</v>
      </c>
      <c r="AC7392" t="s">
        <v>43</v>
      </c>
      <c r="AD7392" t="s">
        <v>43</v>
      </c>
      <c r="AE7392" t="s">
        <v>43</v>
      </c>
      <c r="AF7392" t="s">
        <v>43</v>
      </c>
      <c r="AG7392" t="s">
        <v>43</v>
      </c>
      <c r="AH7392" t="s">
        <v>43</v>
      </c>
      <c r="AI7392" t="s">
        <v>43</v>
      </c>
      <c r="AJ7392" t="s">
        <v>43</v>
      </c>
      <c r="AK7392" t="s">
        <v>43</v>
      </c>
      <c r="AL7392" t="s">
        <v>43</v>
      </c>
      <c r="AM7392" t="s">
        <v>43</v>
      </c>
      <c r="AN7392" t="str">
        <f>HYPERLINK("https://www.google.com/maps?q=10.78967285,79.57881165","Open Location")</f>
        <v>Open Location</v>
      </c>
    </row>
    <row r="7393" spans="1:40" x14ac:dyDescent="0.3">
      <c r="A7393" s="1">
        <v>46210.143634259257</v>
      </c>
      <c r="B7393" t="s">
        <v>40</v>
      </c>
      <c r="C7393" t="s">
        <v>41</v>
      </c>
      <c r="D7393" s="1">
        <v>46210.146770833337</v>
      </c>
      <c r="E7393" t="s">
        <v>42</v>
      </c>
      <c r="F7393" t="s">
        <v>43</v>
      </c>
      <c r="G7393" t="s">
        <v>43</v>
      </c>
      <c r="H7393" t="s">
        <v>43</v>
      </c>
      <c r="I7393" t="s">
        <v>4243</v>
      </c>
      <c r="J7393" t="s">
        <v>43</v>
      </c>
      <c r="K7393" t="s">
        <v>43</v>
      </c>
      <c r="L7393" t="s">
        <v>43</v>
      </c>
      <c r="M7393" t="s">
        <v>43</v>
      </c>
      <c r="N7393" t="s">
        <v>45</v>
      </c>
      <c r="O7393" t="s">
        <v>43</v>
      </c>
      <c r="P7393" t="s">
        <v>43</v>
      </c>
      <c r="Q7393" t="s">
        <v>43</v>
      </c>
      <c r="R7393" t="s">
        <v>43</v>
      </c>
      <c r="S7393" t="s">
        <v>43</v>
      </c>
      <c r="T7393" t="s">
        <v>43</v>
      </c>
      <c r="U7393" t="s">
        <v>43</v>
      </c>
      <c r="V7393" t="s">
        <v>43</v>
      </c>
      <c r="W7393" t="s">
        <v>43</v>
      </c>
      <c r="X7393" t="s">
        <v>43</v>
      </c>
      <c r="Y7393" t="s">
        <v>43</v>
      </c>
      <c r="Z7393" t="s">
        <v>43</v>
      </c>
      <c r="AA7393" t="s">
        <v>43</v>
      </c>
      <c r="AB7393" t="s">
        <v>43</v>
      </c>
      <c r="AC7393" t="s">
        <v>43</v>
      </c>
      <c r="AD7393" t="s">
        <v>43</v>
      </c>
      <c r="AE7393" t="s">
        <v>43</v>
      </c>
      <c r="AF7393" t="s">
        <v>43</v>
      </c>
      <c r="AG7393" t="s">
        <v>43</v>
      </c>
      <c r="AH7393" t="s">
        <v>43</v>
      </c>
      <c r="AI7393" t="s">
        <v>43</v>
      </c>
      <c r="AJ7393" t="s">
        <v>43</v>
      </c>
      <c r="AK7393" t="s">
        <v>43</v>
      </c>
      <c r="AL7393" t="s">
        <v>43</v>
      </c>
      <c r="AM7393" t="s">
        <v>43</v>
      </c>
      <c r="AN7393" t="str">
        <f>HYPERLINK("https://www.google.com/maps?q=10.78967667,79.57881165","Open Location")</f>
        <v>Open Location</v>
      </c>
    </row>
    <row r="7394" spans="1:40" x14ac:dyDescent="0.3">
      <c r="A7394" s="1">
        <v>46210.143518518518</v>
      </c>
      <c r="B7394" t="s">
        <v>40</v>
      </c>
      <c r="C7394" t="s">
        <v>41</v>
      </c>
      <c r="D7394" s="1">
        <v>46210.146365740744</v>
      </c>
      <c r="E7394" t="s">
        <v>42</v>
      </c>
      <c r="F7394" t="s">
        <v>43</v>
      </c>
      <c r="G7394" t="s">
        <v>43</v>
      </c>
      <c r="H7394" t="s">
        <v>43</v>
      </c>
      <c r="I7394" t="s">
        <v>4244</v>
      </c>
      <c r="J7394" t="s">
        <v>43</v>
      </c>
      <c r="K7394" t="s">
        <v>43</v>
      </c>
      <c r="L7394" t="s">
        <v>43</v>
      </c>
      <c r="M7394" t="s">
        <v>43</v>
      </c>
      <c r="N7394" t="s">
        <v>45</v>
      </c>
      <c r="O7394" t="s">
        <v>43</v>
      </c>
      <c r="P7394" t="s">
        <v>43</v>
      </c>
      <c r="Q7394" t="s">
        <v>43</v>
      </c>
      <c r="R7394" t="s">
        <v>43</v>
      </c>
      <c r="S7394" t="s">
        <v>43</v>
      </c>
      <c r="T7394" t="s">
        <v>43</v>
      </c>
      <c r="U7394" t="s">
        <v>43</v>
      </c>
      <c r="V7394" t="s">
        <v>43</v>
      </c>
      <c r="W7394" t="s">
        <v>43</v>
      </c>
      <c r="X7394" t="s">
        <v>43</v>
      </c>
      <c r="Y7394" t="s">
        <v>43</v>
      </c>
      <c r="Z7394" t="s">
        <v>43</v>
      </c>
      <c r="AA7394" t="s">
        <v>43</v>
      </c>
      <c r="AB7394" t="s">
        <v>43</v>
      </c>
      <c r="AC7394" t="s">
        <v>43</v>
      </c>
      <c r="AD7394" t="s">
        <v>43</v>
      </c>
      <c r="AE7394" t="s">
        <v>43</v>
      </c>
      <c r="AF7394" t="s">
        <v>43</v>
      </c>
      <c r="AG7394" t="s">
        <v>43</v>
      </c>
      <c r="AH7394" t="s">
        <v>43</v>
      </c>
      <c r="AI7394" t="s">
        <v>43</v>
      </c>
      <c r="AJ7394" t="s">
        <v>43</v>
      </c>
      <c r="AK7394" t="s">
        <v>43</v>
      </c>
      <c r="AL7394" t="s">
        <v>43</v>
      </c>
      <c r="AM7394" t="s">
        <v>43</v>
      </c>
      <c r="AN7394" t="str">
        <f>HYPERLINK("https://www.google.com/maps?q=10.78967762,79.57881165","Open Location")</f>
        <v>Open Location</v>
      </c>
    </row>
    <row r="7395" spans="1:40" x14ac:dyDescent="0.3">
      <c r="A7395" s="1">
        <v>46210.14340277778</v>
      </c>
      <c r="B7395" t="s">
        <v>40</v>
      </c>
      <c r="C7395" t="s">
        <v>41</v>
      </c>
      <c r="D7395" s="1">
        <v>46210.14638888889</v>
      </c>
      <c r="E7395" t="s">
        <v>42</v>
      </c>
      <c r="F7395" t="s">
        <v>43</v>
      </c>
      <c r="G7395" t="s">
        <v>43</v>
      </c>
      <c r="H7395" t="s">
        <v>43</v>
      </c>
      <c r="I7395" t="s">
        <v>4165</v>
      </c>
      <c r="J7395" t="s">
        <v>43</v>
      </c>
      <c r="K7395" t="s">
        <v>43</v>
      </c>
      <c r="L7395" t="s">
        <v>43</v>
      </c>
      <c r="M7395" t="s">
        <v>43</v>
      </c>
      <c r="N7395" t="s">
        <v>45</v>
      </c>
      <c r="O7395" t="s">
        <v>43</v>
      </c>
      <c r="P7395" t="s">
        <v>43</v>
      </c>
      <c r="Q7395" t="s">
        <v>43</v>
      </c>
      <c r="R7395" t="s">
        <v>43</v>
      </c>
      <c r="S7395" t="s">
        <v>43</v>
      </c>
      <c r="T7395" t="s">
        <v>43</v>
      </c>
      <c r="U7395" t="s">
        <v>43</v>
      </c>
      <c r="V7395" t="s">
        <v>43</v>
      </c>
      <c r="W7395" t="s">
        <v>43</v>
      </c>
      <c r="X7395" t="s">
        <v>43</v>
      </c>
      <c r="Y7395" t="s">
        <v>43</v>
      </c>
      <c r="Z7395" t="s">
        <v>43</v>
      </c>
      <c r="AA7395" t="s">
        <v>43</v>
      </c>
      <c r="AB7395" t="s">
        <v>43</v>
      </c>
      <c r="AC7395" t="s">
        <v>43</v>
      </c>
      <c r="AD7395" t="s">
        <v>43</v>
      </c>
      <c r="AE7395" t="s">
        <v>43</v>
      </c>
      <c r="AF7395" t="s">
        <v>43</v>
      </c>
      <c r="AG7395" t="s">
        <v>43</v>
      </c>
      <c r="AH7395" t="s">
        <v>43</v>
      </c>
      <c r="AI7395" t="s">
        <v>43</v>
      </c>
      <c r="AJ7395" t="s">
        <v>43</v>
      </c>
      <c r="AK7395" t="s">
        <v>43</v>
      </c>
      <c r="AL7395" t="s">
        <v>43</v>
      </c>
      <c r="AM7395" t="s">
        <v>43</v>
      </c>
      <c r="AN7395" t="str">
        <f>HYPERLINK("https://www.google.com/maps?q=10.78967476,79.57881927","Open Location")</f>
        <v>Open Location</v>
      </c>
    </row>
    <row r="7396" spans="1:40" x14ac:dyDescent="0.3">
      <c r="A7396" s="1">
        <v>46210.143287037034</v>
      </c>
      <c r="B7396" t="s">
        <v>40</v>
      </c>
      <c r="C7396" t="s">
        <v>41</v>
      </c>
      <c r="D7396" s="1">
        <v>46210.14638888889</v>
      </c>
      <c r="E7396" t="s">
        <v>42</v>
      </c>
      <c r="F7396" t="s">
        <v>43</v>
      </c>
      <c r="G7396" t="s">
        <v>43</v>
      </c>
      <c r="H7396" t="s">
        <v>43</v>
      </c>
      <c r="I7396" t="s">
        <v>4158</v>
      </c>
      <c r="J7396" t="s">
        <v>43</v>
      </c>
      <c r="K7396" t="s">
        <v>43</v>
      </c>
      <c r="L7396" t="s">
        <v>43</v>
      </c>
      <c r="M7396" t="s">
        <v>43</v>
      </c>
      <c r="N7396" t="s">
        <v>45</v>
      </c>
      <c r="O7396" t="s">
        <v>43</v>
      </c>
      <c r="P7396" t="s">
        <v>43</v>
      </c>
      <c r="Q7396" t="s">
        <v>43</v>
      </c>
      <c r="R7396" t="s">
        <v>43</v>
      </c>
      <c r="S7396" t="s">
        <v>43</v>
      </c>
      <c r="T7396" t="s">
        <v>43</v>
      </c>
      <c r="U7396" t="s">
        <v>43</v>
      </c>
      <c r="V7396" t="s">
        <v>43</v>
      </c>
      <c r="W7396" t="s">
        <v>43</v>
      </c>
      <c r="X7396" t="s">
        <v>43</v>
      </c>
      <c r="Y7396" t="s">
        <v>43</v>
      </c>
      <c r="Z7396" t="s">
        <v>43</v>
      </c>
      <c r="AA7396" t="s">
        <v>43</v>
      </c>
      <c r="AB7396" t="s">
        <v>43</v>
      </c>
      <c r="AC7396" t="s">
        <v>43</v>
      </c>
      <c r="AD7396" t="s">
        <v>43</v>
      </c>
      <c r="AE7396" t="s">
        <v>43</v>
      </c>
      <c r="AF7396" t="s">
        <v>43</v>
      </c>
      <c r="AG7396" t="s">
        <v>43</v>
      </c>
      <c r="AH7396" t="s">
        <v>43</v>
      </c>
      <c r="AI7396" t="s">
        <v>43</v>
      </c>
      <c r="AJ7396" t="s">
        <v>43</v>
      </c>
      <c r="AK7396" t="s">
        <v>43</v>
      </c>
      <c r="AL7396" t="s">
        <v>43</v>
      </c>
      <c r="AM7396" t="s">
        <v>43</v>
      </c>
      <c r="AN7396" t="str">
        <f>HYPERLINK("https://www.google.com/maps?q=10.78966808,79.57881927","Open Location")</f>
        <v>Open Location</v>
      </c>
    </row>
    <row r="7397" spans="1:40" x14ac:dyDescent="0.3">
      <c r="A7397" s="1">
        <v>46210.143171296295</v>
      </c>
      <c r="B7397" t="s">
        <v>40</v>
      </c>
      <c r="C7397" t="s">
        <v>41</v>
      </c>
      <c r="D7397" s="1">
        <v>46210.146307870367</v>
      </c>
      <c r="E7397" t="s">
        <v>42</v>
      </c>
      <c r="F7397" t="s">
        <v>43</v>
      </c>
      <c r="G7397" t="s">
        <v>43</v>
      </c>
      <c r="H7397" t="s">
        <v>43</v>
      </c>
      <c r="I7397" t="s">
        <v>43</v>
      </c>
      <c r="J7397" t="s">
        <v>43</v>
      </c>
      <c r="K7397" t="s">
        <v>43</v>
      </c>
      <c r="L7397" t="s">
        <v>43</v>
      </c>
      <c r="M7397" t="s">
        <v>43</v>
      </c>
      <c r="N7397" t="s">
        <v>45</v>
      </c>
      <c r="O7397" t="s">
        <v>43</v>
      </c>
      <c r="P7397" t="s">
        <v>43</v>
      </c>
      <c r="Q7397" t="s">
        <v>43</v>
      </c>
      <c r="R7397" t="s">
        <v>43</v>
      </c>
      <c r="S7397" t="s">
        <v>43</v>
      </c>
      <c r="T7397" t="s">
        <v>43</v>
      </c>
      <c r="U7397" t="s">
        <v>43</v>
      </c>
      <c r="V7397" t="s">
        <v>43</v>
      </c>
      <c r="W7397" t="s">
        <v>43</v>
      </c>
      <c r="X7397" t="s">
        <v>43</v>
      </c>
      <c r="Y7397" t="s">
        <v>43</v>
      </c>
      <c r="Z7397" t="s">
        <v>43</v>
      </c>
      <c r="AA7397" t="s">
        <v>43</v>
      </c>
      <c r="AB7397" t="s">
        <v>43</v>
      </c>
      <c r="AC7397" t="s">
        <v>43</v>
      </c>
      <c r="AD7397" t="s">
        <v>43</v>
      </c>
      <c r="AE7397" t="s">
        <v>43</v>
      </c>
      <c r="AF7397" t="s">
        <v>43</v>
      </c>
      <c r="AG7397" t="s">
        <v>43</v>
      </c>
      <c r="AH7397" t="s">
        <v>43</v>
      </c>
      <c r="AI7397" t="s">
        <v>43</v>
      </c>
      <c r="AJ7397" t="s">
        <v>43</v>
      </c>
      <c r="AK7397" t="s">
        <v>43</v>
      </c>
      <c r="AL7397" t="s">
        <v>43</v>
      </c>
      <c r="AM7397" t="s">
        <v>43</v>
      </c>
      <c r="AN7397" t="s">
        <v>43</v>
      </c>
    </row>
    <row r="7398" spans="1:40" x14ac:dyDescent="0.3">
      <c r="A7398" s="1">
        <v>46210.143055555556</v>
      </c>
      <c r="B7398" t="s">
        <v>40</v>
      </c>
      <c r="C7398" t="s">
        <v>41</v>
      </c>
      <c r="D7398" s="1">
        <v>46210.145937499998</v>
      </c>
      <c r="E7398" t="s">
        <v>42</v>
      </c>
      <c r="F7398" t="s">
        <v>43</v>
      </c>
      <c r="G7398" t="s">
        <v>43</v>
      </c>
      <c r="H7398" t="s">
        <v>43</v>
      </c>
      <c r="I7398" t="s">
        <v>4148</v>
      </c>
      <c r="J7398" t="s">
        <v>43</v>
      </c>
      <c r="K7398" t="s">
        <v>43</v>
      </c>
      <c r="L7398" t="s">
        <v>43</v>
      </c>
      <c r="M7398" t="s">
        <v>43</v>
      </c>
      <c r="N7398" t="s">
        <v>45</v>
      </c>
      <c r="O7398" t="s">
        <v>43</v>
      </c>
      <c r="P7398" t="s">
        <v>43</v>
      </c>
      <c r="Q7398" t="s">
        <v>43</v>
      </c>
      <c r="R7398" t="s">
        <v>43</v>
      </c>
      <c r="S7398" t="s">
        <v>43</v>
      </c>
      <c r="T7398" t="s">
        <v>43</v>
      </c>
      <c r="U7398" t="s">
        <v>43</v>
      </c>
      <c r="V7398" t="s">
        <v>43</v>
      </c>
      <c r="W7398" t="s">
        <v>43</v>
      </c>
      <c r="X7398" t="s">
        <v>43</v>
      </c>
      <c r="Y7398" t="s">
        <v>43</v>
      </c>
      <c r="Z7398" t="s">
        <v>43</v>
      </c>
      <c r="AA7398" t="s">
        <v>43</v>
      </c>
      <c r="AB7398" t="s">
        <v>43</v>
      </c>
      <c r="AC7398" t="s">
        <v>43</v>
      </c>
      <c r="AD7398" t="s">
        <v>43</v>
      </c>
      <c r="AE7398" t="s">
        <v>43</v>
      </c>
      <c r="AF7398" t="s">
        <v>43</v>
      </c>
      <c r="AG7398" t="s">
        <v>43</v>
      </c>
      <c r="AH7398" t="s">
        <v>43</v>
      </c>
      <c r="AI7398" t="s">
        <v>43</v>
      </c>
      <c r="AJ7398" t="s">
        <v>43</v>
      </c>
      <c r="AK7398" t="s">
        <v>43</v>
      </c>
      <c r="AL7398" t="s">
        <v>43</v>
      </c>
      <c r="AM7398" t="s">
        <v>43</v>
      </c>
      <c r="AN7398" t="str">
        <f>HYPERLINK("https://www.google.com/maps?q=10.78966236,79.57881927","Open Location")</f>
        <v>Open Location</v>
      </c>
    </row>
    <row r="7399" spans="1:40" x14ac:dyDescent="0.3">
      <c r="A7399" s="1">
        <v>46210.142939814818</v>
      </c>
      <c r="B7399" t="s">
        <v>40</v>
      </c>
      <c r="C7399" t="s">
        <v>41</v>
      </c>
      <c r="D7399" s="1">
        <v>46210.145995370367</v>
      </c>
      <c r="E7399" t="s">
        <v>42</v>
      </c>
      <c r="F7399" t="s">
        <v>43</v>
      </c>
      <c r="G7399" t="s">
        <v>43</v>
      </c>
      <c r="H7399" t="s">
        <v>43</v>
      </c>
      <c r="I7399" t="s">
        <v>4010</v>
      </c>
      <c r="J7399" t="s">
        <v>43</v>
      </c>
      <c r="K7399" t="s">
        <v>43</v>
      </c>
      <c r="L7399" t="s">
        <v>43</v>
      </c>
      <c r="M7399" t="s">
        <v>43</v>
      </c>
      <c r="N7399" t="s">
        <v>45</v>
      </c>
      <c r="O7399" t="s">
        <v>43</v>
      </c>
      <c r="P7399" t="s">
        <v>43</v>
      </c>
      <c r="Q7399" t="s">
        <v>43</v>
      </c>
      <c r="R7399" t="s">
        <v>43</v>
      </c>
      <c r="S7399" t="s">
        <v>43</v>
      </c>
      <c r="T7399" t="s">
        <v>43</v>
      </c>
      <c r="U7399" t="s">
        <v>43</v>
      </c>
      <c r="V7399" t="s">
        <v>43</v>
      </c>
      <c r="W7399" t="s">
        <v>43</v>
      </c>
      <c r="X7399" t="s">
        <v>43</v>
      </c>
      <c r="Y7399" t="s">
        <v>43</v>
      </c>
      <c r="Z7399" t="s">
        <v>43</v>
      </c>
      <c r="AA7399" t="s">
        <v>43</v>
      </c>
      <c r="AB7399" t="s">
        <v>43</v>
      </c>
      <c r="AC7399" t="s">
        <v>43</v>
      </c>
      <c r="AD7399" t="s">
        <v>43</v>
      </c>
      <c r="AE7399" t="s">
        <v>43</v>
      </c>
      <c r="AF7399" t="s">
        <v>43</v>
      </c>
      <c r="AG7399" t="s">
        <v>43</v>
      </c>
      <c r="AH7399" t="s">
        <v>43</v>
      </c>
      <c r="AI7399" t="s">
        <v>43</v>
      </c>
      <c r="AJ7399" t="s">
        <v>43</v>
      </c>
      <c r="AK7399" t="s">
        <v>43</v>
      </c>
      <c r="AL7399" t="s">
        <v>43</v>
      </c>
      <c r="AM7399" t="s">
        <v>43</v>
      </c>
      <c r="AN7399" t="str">
        <f>HYPERLINK("https://www.google.com/maps?q=10.78966331,79.57881927","Open Location")</f>
        <v>Open Location</v>
      </c>
    </row>
    <row r="7400" spans="1:40" x14ac:dyDescent="0.3">
      <c r="A7400" s="1">
        <v>46210.142824074072</v>
      </c>
      <c r="B7400" t="s">
        <v>40</v>
      </c>
      <c r="C7400" t="s">
        <v>41</v>
      </c>
      <c r="D7400" s="1">
        <v>46210.145983796298</v>
      </c>
      <c r="E7400" t="s">
        <v>42</v>
      </c>
      <c r="F7400" t="s">
        <v>43</v>
      </c>
      <c r="G7400" t="s">
        <v>43</v>
      </c>
      <c r="H7400" t="s">
        <v>43</v>
      </c>
      <c r="I7400" t="s">
        <v>4064</v>
      </c>
      <c r="J7400" t="s">
        <v>43</v>
      </c>
      <c r="K7400" t="s">
        <v>43</v>
      </c>
      <c r="L7400" t="s">
        <v>43</v>
      </c>
      <c r="M7400" t="s">
        <v>43</v>
      </c>
      <c r="N7400" t="s">
        <v>45</v>
      </c>
      <c r="O7400" t="s">
        <v>43</v>
      </c>
      <c r="P7400" t="s">
        <v>43</v>
      </c>
      <c r="Q7400" t="s">
        <v>43</v>
      </c>
      <c r="R7400" t="s">
        <v>43</v>
      </c>
      <c r="S7400" t="s">
        <v>43</v>
      </c>
      <c r="T7400" t="s">
        <v>43</v>
      </c>
      <c r="U7400" t="s">
        <v>43</v>
      </c>
      <c r="V7400" t="s">
        <v>43</v>
      </c>
      <c r="W7400" t="s">
        <v>43</v>
      </c>
      <c r="X7400" t="s">
        <v>43</v>
      </c>
      <c r="Y7400" t="s">
        <v>43</v>
      </c>
      <c r="Z7400" t="s">
        <v>43</v>
      </c>
      <c r="AA7400" t="s">
        <v>43</v>
      </c>
      <c r="AB7400" t="s">
        <v>43</v>
      </c>
      <c r="AC7400" t="s">
        <v>43</v>
      </c>
      <c r="AD7400" t="s">
        <v>43</v>
      </c>
      <c r="AE7400" t="s">
        <v>43</v>
      </c>
      <c r="AF7400" t="s">
        <v>43</v>
      </c>
      <c r="AG7400" t="s">
        <v>43</v>
      </c>
      <c r="AH7400" t="s">
        <v>43</v>
      </c>
      <c r="AI7400" t="s">
        <v>43</v>
      </c>
      <c r="AJ7400" t="s">
        <v>43</v>
      </c>
      <c r="AK7400" t="s">
        <v>43</v>
      </c>
      <c r="AL7400" t="s">
        <v>43</v>
      </c>
      <c r="AM7400" t="s">
        <v>43</v>
      </c>
      <c r="AN7400" t="str">
        <f>HYPERLINK("https://www.google.com/maps?q=10.78966236,79.5788269","Open Location")</f>
        <v>Open Location</v>
      </c>
    </row>
    <row r="7401" spans="1:40" x14ac:dyDescent="0.3">
      <c r="A7401" s="1">
        <v>46210.142708333333</v>
      </c>
      <c r="B7401" t="s">
        <v>40</v>
      </c>
      <c r="C7401" t="s">
        <v>41</v>
      </c>
      <c r="D7401" s="1">
        <v>46210.146006944444</v>
      </c>
      <c r="E7401" t="s">
        <v>42</v>
      </c>
      <c r="F7401" t="s">
        <v>43</v>
      </c>
      <c r="G7401" t="s">
        <v>43</v>
      </c>
      <c r="H7401" t="s">
        <v>43</v>
      </c>
      <c r="I7401" t="s">
        <v>4245</v>
      </c>
      <c r="J7401" t="s">
        <v>43</v>
      </c>
      <c r="K7401" t="s">
        <v>43</v>
      </c>
      <c r="L7401" t="s">
        <v>43</v>
      </c>
      <c r="M7401" t="s">
        <v>43</v>
      </c>
      <c r="N7401" t="s">
        <v>45</v>
      </c>
      <c r="O7401" t="s">
        <v>43</v>
      </c>
      <c r="P7401" t="s">
        <v>43</v>
      </c>
      <c r="Q7401" t="s">
        <v>43</v>
      </c>
      <c r="R7401" t="s">
        <v>43</v>
      </c>
      <c r="S7401" t="s">
        <v>43</v>
      </c>
      <c r="T7401" t="s">
        <v>43</v>
      </c>
      <c r="U7401" t="s">
        <v>43</v>
      </c>
      <c r="V7401" t="s">
        <v>43</v>
      </c>
      <c r="W7401" t="s">
        <v>43</v>
      </c>
      <c r="X7401" t="s">
        <v>43</v>
      </c>
      <c r="Y7401" t="s">
        <v>43</v>
      </c>
      <c r="Z7401" t="s">
        <v>43</v>
      </c>
      <c r="AA7401" t="s">
        <v>43</v>
      </c>
      <c r="AB7401" t="s">
        <v>43</v>
      </c>
      <c r="AC7401" t="s">
        <v>43</v>
      </c>
      <c r="AD7401" t="s">
        <v>43</v>
      </c>
      <c r="AE7401" t="s">
        <v>43</v>
      </c>
      <c r="AF7401" t="s">
        <v>43</v>
      </c>
      <c r="AG7401" t="s">
        <v>43</v>
      </c>
      <c r="AH7401" t="s">
        <v>43</v>
      </c>
      <c r="AI7401" t="s">
        <v>43</v>
      </c>
      <c r="AJ7401" t="s">
        <v>43</v>
      </c>
      <c r="AK7401" t="s">
        <v>43</v>
      </c>
      <c r="AL7401" t="s">
        <v>43</v>
      </c>
      <c r="AM7401" t="s">
        <v>43</v>
      </c>
      <c r="AN7401" t="str">
        <f>HYPERLINK("https://www.google.com/maps?q=10.78966904,79.57883453","Open Location")</f>
        <v>Open Location</v>
      </c>
    </row>
    <row r="7402" spans="1:40" x14ac:dyDescent="0.3">
      <c r="A7402" s="1">
        <v>46210.142592592594</v>
      </c>
      <c r="B7402" t="s">
        <v>40</v>
      </c>
      <c r="C7402" t="s">
        <v>41</v>
      </c>
      <c r="D7402" s="1">
        <v>46210.145567129628</v>
      </c>
      <c r="E7402" t="s">
        <v>42</v>
      </c>
      <c r="F7402" t="s">
        <v>43</v>
      </c>
      <c r="G7402" t="s">
        <v>43</v>
      </c>
      <c r="H7402" t="s">
        <v>43</v>
      </c>
      <c r="I7402" t="s">
        <v>4168</v>
      </c>
      <c r="J7402" t="s">
        <v>43</v>
      </c>
      <c r="K7402" t="s">
        <v>43</v>
      </c>
      <c r="L7402" t="s">
        <v>43</v>
      </c>
      <c r="M7402" t="s">
        <v>43</v>
      </c>
      <c r="N7402" t="s">
        <v>45</v>
      </c>
      <c r="O7402" t="s">
        <v>43</v>
      </c>
      <c r="P7402" t="s">
        <v>43</v>
      </c>
      <c r="Q7402" t="s">
        <v>43</v>
      </c>
      <c r="R7402" t="s">
        <v>43</v>
      </c>
      <c r="S7402" t="s">
        <v>43</v>
      </c>
      <c r="T7402" t="s">
        <v>43</v>
      </c>
      <c r="U7402" t="s">
        <v>43</v>
      </c>
      <c r="V7402" t="s">
        <v>43</v>
      </c>
      <c r="W7402" t="s">
        <v>43</v>
      </c>
      <c r="X7402" t="s">
        <v>43</v>
      </c>
      <c r="Y7402" t="s">
        <v>43</v>
      </c>
      <c r="Z7402" t="s">
        <v>43</v>
      </c>
      <c r="AA7402" t="s">
        <v>43</v>
      </c>
      <c r="AB7402" t="s">
        <v>43</v>
      </c>
      <c r="AC7402" t="s">
        <v>43</v>
      </c>
      <c r="AD7402" t="s">
        <v>43</v>
      </c>
      <c r="AE7402" t="s">
        <v>43</v>
      </c>
      <c r="AF7402" t="s">
        <v>43</v>
      </c>
      <c r="AG7402" t="s">
        <v>43</v>
      </c>
      <c r="AH7402" t="s">
        <v>43</v>
      </c>
      <c r="AI7402" t="s">
        <v>43</v>
      </c>
      <c r="AJ7402" t="s">
        <v>43</v>
      </c>
      <c r="AK7402" t="s">
        <v>43</v>
      </c>
      <c r="AL7402" t="s">
        <v>43</v>
      </c>
      <c r="AM7402" t="s">
        <v>43</v>
      </c>
      <c r="AN7402" t="str">
        <f>HYPERLINK("https://www.google.com/maps?q=10.78967571,79.57883453","Open Location")</f>
        <v>Open Location</v>
      </c>
    </row>
    <row r="7403" spans="1:40" x14ac:dyDescent="0.3">
      <c r="A7403" s="1">
        <v>46210.142476851855</v>
      </c>
      <c r="B7403" t="s">
        <v>40</v>
      </c>
      <c r="C7403" t="s">
        <v>41</v>
      </c>
      <c r="D7403" s="1">
        <v>46210.145636574074</v>
      </c>
      <c r="E7403" t="s">
        <v>42</v>
      </c>
      <c r="F7403" t="s">
        <v>43</v>
      </c>
      <c r="G7403" t="s">
        <v>43</v>
      </c>
      <c r="H7403" t="s">
        <v>43</v>
      </c>
      <c r="I7403" t="s">
        <v>43</v>
      </c>
      <c r="J7403" t="s">
        <v>43</v>
      </c>
      <c r="K7403" t="s">
        <v>43</v>
      </c>
      <c r="L7403" t="s">
        <v>43</v>
      </c>
      <c r="M7403" t="s">
        <v>43</v>
      </c>
      <c r="N7403" t="s">
        <v>45</v>
      </c>
      <c r="O7403" t="s">
        <v>43</v>
      </c>
      <c r="P7403" t="s">
        <v>43</v>
      </c>
      <c r="Q7403" t="s">
        <v>43</v>
      </c>
      <c r="R7403" t="s">
        <v>43</v>
      </c>
      <c r="S7403" t="s">
        <v>43</v>
      </c>
      <c r="T7403" t="s">
        <v>43</v>
      </c>
      <c r="U7403" t="s">
        <v>43</v>
      </c>
      <c r="V7403" t="s">
        <v>43</v>
      </c>
      <c r="W7403" t="s">
        <v>43</v>
      </c>
      <c r="X7403" t="s">
        <v>43</v>
      </c>
      <c r="Y7403" t="s">
        <v>43</v>
      </c>
      <c r="Z7403" t="s">
        <v>43</v>
      </c>
      <c r="AA7403" t="s">
        <v>43</v>
      </c>
      <c r="AB7403" t="s">
        <v>43</v>
      </c>
      <c r="AC7403" t="s">
        <v>43</v>
      </c>
      <c r="AD7403" t="s">
        <v>43</v>
      </c>
      <c r="AE7403" t="s">
        <v>43</v>
      </c>
      <c r="AF7403" t="s">
        <v>43</v>
      </c>
      <c r="AG7403" t="s">
        <v>43</v>
      </c>
      <c r="AH7403" t="s">
        <v>43</v>
      </c>
      <c r="AI7403" t="s">
        <v>43</v>
      </c>
      <c r="AJ7403" t="s">
        <v>43</v>
      </c>
      <c r="AK7403" t="s">
        <v>43</v>
      </c>
      <c r="AL7403" t="s">
        <v>43</v>
      </c>
      <c r="AM7403" t="s">
        <v>43</v>
      </c>
      <c r="AN7403" t="s">
        <v>43</v>
      </c>
    </row>
    <row r="7404" spans="1:40" x14ac:dyDescent="0.3">
      <c r="A7404" s="1">
        <v>46210.142361111109</v>
      </c>
      <c r="B7404" t="s">
        <v>40</v>
      </c>
      <c r="C7404" t="s">
        <v>41</v>
      </c>
      <c r="D7404" s="1">
        <v>46210.145173611112</v>
      </c>
      <c r="E7404" t="s">
        <v>42</v>
      </c>
      <c r="F7404" t="s">
        <v>43</v>
      </c>
      <c r="G7404" t="s">
        <v>43</v>
      </c>
      <c r="H7404" t="s">
        <v>43</v>
      </c>
      <c r="I7404" t="s">
        <v>4246</v>
      </c>
      <c r="J7404" t="s">
        <v>43</v>
      </c>
      <c r="K7404" t="s">
        <v>43</v>
      </c>
      <c r="L7404" t="s">
        <v>43</v>
      </c>
      <c r="M7404" t="s">
        <v>43</v>
      </c>
      <c r="N7404" t="s">
        <v>45</v>
      </c>
      <c r="O7404" t="s">
        <v>43</v>
      </c>
      <c r="P7404" t="s">
        <v>43</v>
      </c>
      <c r="Q7404" t="s">
        <v>43</v>
      </c>
      <c r="R7404" t="s">
        <v>43</v>
      </c>
      <c r="S7404" t="s">
        <v>43</v>
      </c>
      <c r="T7404" t="s">
        <v>43</v>
      </c>
      <c r="U7404" t="s">
        <v>43</v>
      </c>
      <c r="V7404" t="s">
        <v>43</v>
      </c>
      <c r="W7404" t="s">
        <v>43</v>
      </c>
      <c r="X7404" t="s">
        <v>43</v>
      </c>
      <c r="Y7404" t="s">
        <v>43</v>
      </c>
      <c r="Z7404" t="s">
        <v>43</v>
      </c>
      <c r="AA7404" t="s">
        <v>43</v>
      </c>
      <c r="AB7404" t="s">
        <v>43</v>
      </c>
      <c r="AC7404" t="s">
        <v>43</v>
      </c>
      <c r="AD7404" t="s">
        <v>43</v>
      </c>
      <c r="AE7404" t="s">
        <v>43</v>
      </c>
      <c r="AF7404" t="s">
        <v>43</v>
      </c>
      <c r="AG7404" t="s">
        <v>43</v>
      </c>
      <c r="AH7404" t="s">
        <v>43</v>
      </c>
      <c r="AI7404" t="s">
        <v>43</v>
      </c>
      <c r="AJ7404" t="s">
        <v>43</v>
      </c>
      <c r="AK7404" t="s">
        <v>43</v>
      </c>
      <c r="AL7404" t="s">
        <v>43</v>
      </c>
      <c r="AM7404" t="s">
        <v>43</v>
      </c>
      <c r="AN7404" t="str">
        <f>HYPERLINK("https://www.google.com/maps?q=10.78967667,79.57884216","Open Location")</f>
        <v>Open Location</v>
      </c>
    </row>
    <row r="7405" spans="1:40" x14ac:dyDescent="0.3">
      <c r="A7405" s="1">
        <v>46210.142245370371</v>
      </c>
      <c r="B7405" t="s">
        <v>40</v>
      </c>
      <c r="C7405" t="s">
        <v>41</v>
      </c>
      <c r="D7405" s="1">
        <v>46210.145162037035</v>
      </c>
      <c r="E7405" t="s">
        <v>42</v>
      </c>
      <c r="F7405" t="s">
        <v>43</v>
      </c>
      <c r="G7405" t="s">
        <v>43</v>
      </c>
      <c r="H7405" t="s">
        <v>43</v>
      </c>
      <c r="I7405" t="s">
        <v>4247</v>
      </c>
      <c r="J7405" t="s">
        <v>43</v>
      </c>
      <c r="K7405" t="s">
        <v>43</v>
      </c>
      <c r="L7405" t="s">
        <v>43</v>
      </c>
      <c r="M7405" t="s">
        <v>43</v>
      </c>
      <c r="N7405" t="s">
        <v>45</v>
      </c>
      <c r="O7405" t="s">
        <v>43</v>
      </c>
      <c r="P7405" t="s">
        <v>43</v>
      </c>
      <c r="Q7405" t="s">
        <v>43</v>
      </c>
      <c r="R7405" t="s">
        <v>43</v>
      </c>
      <c r="S7405" t="s">
        <v>43</v>
      </c>
      <c r="T7405" t="s">
        <v>43</v>
      </c>
      <c r="U7405" t="s">
        <v>43</v>
      </c>
      <c r="V7405" t="s">
        <v>43</v>
      </c>
      <c r="W7405" t="s">
        <v>43</v>
      </c>
      <c r="X7405" t="s">
        <v>43</v>
      </c>
      <c r="Y7405" t="s">
        <v>43</v>
      </c>
      <c r="Z7405" t="s">
        <v>43</v>
      </c>
      <c r="AA7405" t="s">
        <v>43</v>
      </c>
      <c r="AB7405" t="s">
        <v>43</v>
      </c>
      <c r="AC7405" t="s">
        <v>43</v>
      </c>
      <c r="AD7405" t="s">
        <v>43</v>
      </c>
      <c r="AE7405" t="s">
        <v>43</v>
      </c>
      <c r="AF7405" t="s">
        <v>43</v>
      </c>
      <c r="AG7405" t="s">
        <v>43</v>
      </c>
      <c r="AH7405" t="s">
        <v>43</v>
      </c>
      <c r="AI7405" t="s">
        <v>43</v>
      </c>
      <c r="AJ7405" t="s">
        <v>43</v>
      </c>
      <c r="AK7405" t="s">
        <v>43</v>
      </c>
      <c r="AL7405" t="s">
        <v>43</v>
      </c>
      <c r="AM7405" t="s">
        <v>43</v>
      </c>
      <c r="AN7405" t="str">
        <f>HYPERLINK("https://www.google.com/maps?q=10.7896719,79.57884216","Open Location")</f>
        <v>Open Location</v>
      </c>
    </row>
    <row r="7406" spans="1:40" x14ac:dyDescent="0.3">
      <c r="A7406" s="1">
        <v>46210.142129629632</v>
      </c>
      <c r="B7406" t="s">
        <v>40</v>
      </c>
      <c r="C7406" t="s">
        <v>41</v>
      </c>
      <c r="D7406" s="1">
        <v>46210.145173611112</v>
      </c>
      <c r="E7406" t="s">
        <v>42</v>
      </c>
      <c r="F7406" t="s">
        <v>43</v>
      </c>
      <c r="G7406" t="s">
        <v>43</v>
      </c>
      <c r="H7406" t="s">
        <v>43</v>
      </c>
      <c r="I7406" t="s">
        <v>4172</v>
      </c>
      <c r="J7406" t="s">
        <v>43</v>
      </c>
      <c r="K7406" t="s">
        <v>43</v>
      </c>
      <c r="L7406" t="s">
        <v>43</v>
      </c>
      <c r="M7406" t="s">
        <v>43</v>
      </c>
      <c r="N7406" t="s">
        <v>45</v>
      </c>
      <c r="O7406" t="s">
        <v>43</v>
      </c>
      <c r="P7406" t="s">
        <v>43</v>
      </c>
      <c r="Q7406" t="s">
        <v>43</v>
      </c>
      <c r="R7406" t="s">
        <v>43</v>
      </c>
      <c r="S7406" t="s">
        <v>43</v>
      </c>
      <c r="T7406" t="s">
        <v>43</v>
      </c>
      <c r="U7406" t="s">
        <v>43</v>
      </c>
      <c r="V7406" t="s">
        <v>43</v>
      </c>
      <c r="W7406" t="s">
        <v>43</v>
      </c>
      <c r="X7406" t="s">
        <v>43</v>
      </c>
      <c r="Y7406" t="s">
        <v>43</v>
      </c>
      <c r="Z7406" t="s">
        <v>43</v>
      </c>
      <c r="AA7406" t="s">
        <v>43</v>
      </c>
      <c r="AB7406" t="s">
        <v>43</v>
      </c>
      <c r="AC7406" t="s">
        <v>43</v>
      </c>
      <c r="AD7406" t="s">
        <v>43</v>
      </c>
      <c r="AE7406" t="s">
        <v>43</v>
      </c>
      <c r="AF7406" t="s">
        <v>43</v>
      </c>
      <c r="AG7406" t="s">
        <v>43</v>
      </c>
      <c r="AH7406" t="s">
        <v>43</v>
      </c>
      <c r="AI7406" t="s">
        <v>43</v>
      </c>
      <c r="AJ7406" t="s">
        <v>43</v>
      </c>
      <c r="AK7406" t="s">
        <v>43</v>
      </c>
      <c r="AL7406" t="s">
        <v>43</v>
      </c>
      <c r="AM7406" t="s">
        <v>43</v>
      </c>
      <c r="AN7406" t="str">
        <f>HYPERLINK("https://www.google.com/maps?q=10.78966713,79.57883453","Open Location")</f>
        <v>Open Location</v>
      </c>
    </row>
    <row r="7407" spans="1:40" x14ac:dyDescent="0.3">
      <c r="A7407" s="1">
        <v>46210.142013888886</v>
      </c>
      <c r="B7407" t="s">
        <v>40</v>
      </c>
      <c r="C7407" t="s">
        <v>41</v>
      </c>
      <c r="D7407" s="1">
        <v>46210.145069444443</v>
      </c>
      <c r="E7407" t="s">
        <v>42</v>
      </c>
      <c r="F7407" t="s">
        <v>43</v>
      </c>
      <c r="G7407" t="s">
        <v>43</v>
      </c>
      <c r="H7407" t="s">
        <v>43</v>
      </c>
      <c r="I7407" t="s">
        <v>4172</v>
      </c>
      <c r="J7407" t="s">
        <v>43</v>
      </c>
      <c r="K7407" t="s">
        <v>43</v>
      </c>
      <c r="L7407" t="s">
        <v>43</v>
      </c>
      <c r="M7407" t="s">
        <v>43</v>
      </c>
      <c r="N7407" t="s">
        <v>45</v>
      </c>
      <c r="O7407" t="s">
        <v>43</v>
      </c>
      <c r="P7407" t="s">
        <v>43</v>
      </c>
      <c r="Q7407" t="s">
        <v>43</v>
      </c>
      <c r="R7407" t="s">
        <v>43</v>
      </c>
      <c r="S7407" t="s">
        <v>43</v>
      </c>
      <c r="T7407" t="s">
        <v>43</v>
      </c>
      <c r="U7407" t="s">
        <v>43</v>
      </c>
      <c r="V7407" t="s">
        <v>43</v>
      </c>
      <c r="W7407" t="s">
        <v>43</v>
      </c>
      <c r="X7407" t="s">
        <v>43</v>
      </c>
      <c r="Y7407" t="s">
        <v>43</v>
      </c>
      <c r="Z7407" t="s">
        <v>43</v>
      </c>
      <c r="AA7407" t="s">
        <v>43</v>
      </c>
      <c r="AB7407" t="s">
        <v>43</v>
      </c>
      <c r="AC7407" t="s">
        <v>43</v>
      </c>
      <c r="AD7407" t="s">
        <v>43</v>
      </c>
      <c r="AE7407" t="s">
        <v>43</v>
      </c>
      <c r="AF7407" t="s">
        <v>43</v>
      </c>
      <c r="AG7407" t="s">
        <v>43</v>
      </c>
      <c r="AH7407" t="s">
        <v>43</v>
      </c>
      <c r="AI7407" t="s">
        <v>43</v>
      </c>
      <c r="AJ7407" t="s">
        <v>43</v>
      </c>
      <c r="AK7407" t="s">
        <v>43</v>
      </c>
      <c r="AL7407" t="s">
        <v>43</v>
      </c>
      <c r="AM7407" t="s">
        <v>43</v>
      </c>
      <c r="AN7407" t="str">
        <f>HYPERLINK("https://www.google.com/maps?q=10.78966713,79.57883453","Open Location")</f>
        <v>Open Location</v>
      </c>
    </row>
    <row r="7408" spans="1:40" x14ac:dyDescent="0.3">
      <c r="A7408" s="1">
        <v>46210.141898148147</v>
      </c>
      <c r="B7408" t="s">
        <v>40</v>
      </c>
      <c r="C7408" t="s">
        <v>41</v>
      </c>
      <c r="D7408" s="1">
        <v>46210.144791666666</v>
      </c>
      <c r="E7408" t="s">
        <v>42</v>
      </c>
      <c r="F7408" t="s">
        <v>43</v>
      </c>
      <c r="G7408" t="s">
        <v>43</v>
      </c>
      <c r="H7408" t="s">
        <v>43</v>
      </c>
      <c r="I7408" t="s">
        <v>43</v>
      </c>
      <c r="J7408" t="s">
        <v>43</v>
      </c>
      <c r="K7408" t="s">
        <v>43</v>
      </c>
      <c r="L7408" t="s">
        <v>43</v>
      </c>
      <c r="M7408" t="s">
        <v>43</v>
      </c>
      <c r="N7408" t="s">
        <v>45</v>
      </c>
      <c r="O7408" t="s">
        <v>43</v>
      </c>
      <c r="P7408" t="s">
        <v>43</v>
      </c>
      <c r="Q7408" t="s">
        <v>43</v>
      </c>
      <c r="R7408" t="s">
        <v>43</v>
      </c>
      <c r="S7408" t="s">
        <v>43</v>
      </c>
      <c r="T7408" t="s">
        <v>43</v>
      </c>
      <c r="U7408" t="s">
        <v>43</v>
      </c>
      <c r="V7408" t="s">
        <v>43</v>
      </c>
      <c r="W7408" t="s">
        <v>43</v>
      </c>
      <c r="X7408" t="s">
        <v>43</v>
      </c>
      <c r="Y7408" t="s">
        <v>43</v>
      </c>
      <c r="Z7408" t="s">
        <v>43</v>
      </c>
      <c r="AA7408" t="s">
        <v>43</v>
      </c>
      <c r="AB7408" t="s">
        <v>43</v>
      </c>
      <c r="AC7408" t="s">
        <v>43</v>
      </c>
      <c r="AD7408" t="s">
        <v>43</v>
      </c>
      <c r="AE7408" t="s">
        <v>43</v>
      </c>
      <c r="AF7408" t="s">
        <v>43</v>
      </c>
      <c r="AG7408" t="s">
        <v>43</v>
      </c>
      <c r="AH7408" t="s">
        <v>43</v>
      </c>
      <c r="AI7408" t="s">
        <v>43</v>
      </c>
      <c r="AJ7408" t="s">
        <v>43</v>
      </c>
      <c r="AK7408" t="s">
        <v>43</v>
      </c>
      <c r="AL7408" t="s">
        <v>43</v>
      </c>
      <c r="AM7408" t="s">
        <v>43</v>
      </c>
      <c r="AN7408" t="s">
        <v>43</v>
      </c>
    </row>
    <row r="7409" spans="1:40" x14ac:dyDescent="0.3">
      <c r="A7409" s="1">
        <v>46210.141782407409</v>
      </c>
      <c r="B7409" t="s">
        <v>40</v>
      </c>
      <c r="C7409" t="s">
        <v>41</v>
      </c>
      <c r="D7409" s="1">
        <v>46210.144907407404</v>
      </c>
      <c r="E7409" t="s">
        <v>42</v>
      </c>
      <c r="F7409" t="s">
        <v>43</v>
      </c>
      <c r="G7409" t="s">
        <v>43</v>
      </c>
      <c r="H7409" t="s">
        <v>43</v>
      </c>
      <c r="I7409" t="s">
        <v>4225</v>
      </c>
      <c r="J7409" t="s">
        <v>43</v>
      </c>
      <c r="K7409" t="s">
        <v>43</v>
      </c>
      <c r="L7409" t="s">
        <v>43</v>
      </c>
      <c r="M7409" t="s">
        <v>43</v>
      </c>
      <c r="N7409" t="s">
        <v>45</v>
      </c>
      <c r="O7409" t="s">
        <v>43</v>
      </c>
      <c r="P7409" t="s">
        <v>43</v>
      </c>
      <c r="Q7409" t="s">
        <v>43</v>
      </c>
      <c r="R7409" t="s">
        <v>43</v>
      </c>
      <c r="S7409" t="s">
        <v>43</v>
      </c>
      <c r="T7409" t="s">
        <v>43</v>
      </c>
      <c r="U7409" t="s">
        <v>43</v>
      </c>
      <c r="V7409" t="s">
        <v>43</v>
      </c>
      <c r="W7409" t="s">
        <v>43</v>
      </c>
      <c r="X7409" t="s">
        <v>43</v>
      </c>
      <c r="Y7409" t="s">
        <v>43</v>
      </c>
      <c r="Z7409" t="s">
        <v>43</v>
      </c>
      <c r="AA7409" t="s">
        <v>43</v>
      </c>
      <c r="AB7409" t="s">
        <v>43</v>
      </c>
      <c r="AC7409" t="s">
        <v>43</v>
      </c>
      <c r="AD7409" t="s">
        <v>43</v>
      </c>
      <c r="AE7409" t="s">
        <v>43</v>
      </c>
      <c r="AF7409" t="s">
        <v>43</v>
      </c>
      <c r="AG7409" t="s">
        <v>43</v>
      </c>
      <c r="AH7409" t="s">
        <v>43</v>
      </c>
      <c r="AI7409" t="s">
        <v>43</v>
      </c>
      <c r="AJ7409" t="s">
        <v>43</v>
      </c>
      <c r="AK7409" t="s">
        <v>43</v>
      </c>
      <c r="AL7409" t="s">
        <v>43</v>
      </c>
      <c r="AM7409" t="s">
        <v>43</v>
      </c>
      <c r="AN7409" t="str">
        <f>HYPERLINK("https://www.google.com/maps?q=10.78966999,79.57883453","Open Location")</f>
        <v>Open Location</v>
      </c>
    </row>
    <row r="7410" spans="1:40" x14ac:dyDescent="0.3">
      <c r="A7410" s="1">
        <v>46210.14166666667</v>
      </c>
      <c r="B7410" t="s">
        <v>40</v>
      </c>
      <c r="C7410" t="s">
        <v>41</v>
      </c>
      <c r="D7410" s="1">
        <v>46210.144791666666</v>
      </c>
      <c r="E7410" t="s">
        <v>42</v>
      </c>
      <c r="F7410" t="s">
        <v>43</v>
      </c>
      <c r="G7410" t="s">
        <v>43</v>
      </c>
      <c r="H7410" t="s">
        <v>43</v>
      </c>
      <c r="I7410" t="s">
        <v>4226</v>
      </c>
      <c r="J7410" t="s">
        <v>43</v>
      </c>
      <c r="K7410" t="s">
        <v>43</v>
      </c>
      <c r="L7410" t="s">
        <v>43</v>
      </c>
      <c r="M7410" t="s">
        <v>43</v>
      </c>
      <c r="N7410" t="s">
        <v>45</v>
      </c>
      <c r="O7410" t="s">
        <v>43</v>
      </c>
      <c r="P7410" t="s">
        <v>43</v>
      </c>
      <c r="Q7410" t="s">
        <v>43</v>
      </c>
      <c r="R7410" t="s">
        <v>43</v>
      </c>
      <c r="S7410" t="s">
        <v>43</v>
      </c>
      <c r="T7410" t="s">
        <v>43</v>
      </c>
      <c r="U7410" t="s">
        <v>43</v>
      </c>
      <c r="V7410" t="s">
        <v>43</v>
      </c>
      <c r="W7410" t="s">
        <v>43</v>
      </c>
      <c r="X7410" t="s">
        <v>43</v>
      </c>
      <c r="Y7410" t="s">
        <v>43</v>
      </c>
      <c r="Z7410" t="s">
        <v>43</v>
      </c>
      <c r="AA7410" t="s">
        <v>43</v>
      </c>
      <c r="AB7410" t="s">
        <v>43</v>
      </c>
      <c r="AC7410" t="s">
        <v>43</v>
      </c>
      <c r="AD7410" t="s">
        <v>43</v>
      </c>
      <c r="AE7410" t="s">
        <v>43</v>
      </c>
      <c r="AF7410" t="s">
        <v>43</v>
      </c>
      <c r="AG7410" t="s">
        <v>43</v>
      </c>
      <c r="AH7410" t="s">
        <v>43</v>
      </c>
      <c r="AI7410" t="s">
        <v>43</v>
      </c>
      <c r="AJ7410" t="s">
        <v>43</v>
      </c>
      <c r="AK7410" t="s">
        <v>43</v>
      </c>
      <c r="AL7410" t="s">
        <v>43</v>
      </c>
      <c r="AM7410" t="s">
        <v>43</v>
      </c>
      <c r="AN7410" t="str">
        <f>HYPERLINK("https://www.google.com/maps?q=10.78967762,79.5788269","Open Location")</f>
        <v>Open Location</v>
      </c>
    </row>
    <row r="7411" spans="1:40" x14ac:dyDescent="0.3">
      <c r="A7411" s="1">
        <v>46210.141550925924</v>
      </c>
      <c r="B7411" t="s">
        <v>40</v>
      </c>
      <c r="C7411" t="s">
        <v>41</v>
      </c>
      <c r="D7411" s="1">
        <v>46210.144861111112</v>
      </c>
      <c r="E7411" t="s">
        <v>42</v>
      </c>
      <c r="F7411" t="s">
        <v>43</v>
      </c>
      <c r="G7411" t="s">
        <v>43</v>
      </c>
      <c r="H7411" t="s">
        <v>43</v>
      </c>
      <c r="I7411" t="s">
        <v>4248</v>
      </c>
      <c r="J7411" t="s">
        <v>43</v>
      </c>
      <c r="K7411" t="s">
        <v>43</v>
      </c>
      <c r="L7411" t="s">
        <v>43</v>
      </c>
      <c r="M7411" t="s">
        <v>43</v>
      </c>
      <c r="N7411" t="s">
        <v>45</v>
      </c>
      <c r="O7411" t="s">
        <v>43</v>
      </c>
      <c r="P7411" t="s">
        <v>43</v>
      </c>
      <c r="Q7411" t="s">
        <v>43</v>
      </c>
      <c r="R7411" t="s">
        <v>43</v>
      </c>
      <c r="S7411" t="s">
        <v>43</v>
      </c>
      <c r="T7411" t="s">
        <v>43</v>
      </c>
      <c r="U7411" t="s">
        <v>43</v>
      </c>
      <c r="V7411" t="s">
        <v>43</v>
      </c>
      <c r="W7411" t="s">
        <v>43</v>
      </c>
      <c r="X7411" t="s">
        <v>43</v>
      </c>
      <c r="Y7411" t="s">
        <v>43</v>
      </c>
      <c r="Z7411" t="s">
        <v>43</v>
      </c>
      <c r="AA7411" t="s">
        <v>43</v>
      </c>
      <c r="AB7411" t="s">
        <v>43</v>
      </c>
      <c r="AC7411" t="s">
        <v>43</v>
      </c>
      <c r="AD7411" t="s">
        <v>43</v>
      </c>
      <c r="AE7411" t="s">
        <v>43</v>
      </c>
      <c r="AF7411" t="s">
        <v>43</v>
      </c>
      <c r="AG7411" t="s">
        <v>43</v>
      </c>
      <c r="AH7411" t="s">
        <v>43</v>
      </c>
      <c r="AI7411" t="s">
        <v>43</v>
      </c>
      <c r="AJ7411" t="s">
        <v>43</v>
      </c>
      <c r="AK7411" t="s">
        <v>43</v>
      </c>
      <c r="AL7411" t="s">
        <v>43</v>
      </c>
      <c r="AM7411" t="s">
        <v>43</v>
      </c>
      <c r="AN7411" t="str">
        <f>HYPERLINK("https://www.google.com/maps?q=10.78967762,79.57881927","Open Location")</f>
        <v>Open Location</v>
      </c>
    </row>
    <row r="7412" spans="1:40" x14ac:dyDescent="0.3">
      <c r="A7412" s="1">
        <v>46210.141435185185</v>
      </c>
      <c r="B7412" t="s">
        <v>40</v>
      </c>
      <c r="C7412" t="s">
        <v>41</v>
      </c>
      <c r="D7412" s="1">
        <v>46210.144409722219</v>
      </c>
      <c r="E7412" t="s">
        <v>42</v>
      </c>
      <c r="F7412" t="s">
        <v>43</v>
      </c>
      <c r="G7412" t="s">
        <v>43</v>
      </c>
      <c r="H7412" t="s">
        <v>43</v>
      </c>
      <c r="I7412" t="s">
        <v>4249</v>
      </c>
      <c r="J7412" t="s">
        <v>43</v>
      </c>
      <c r="K7412" t="s">
        <v>43</v>
      </c>
      <c r="L7412" t="s">
        <v>43</v>
      </c>
      <c r="M7412" t="s">
        <v>43</v>
      </c>
      <c r="N7412" t="s">
        <v>45</v>
      </c>
      <c r="O7412" t="s">
        <v>43</v>
      </c>
      <c r="P7412" t="s">
        <v>43</v>
      </c>
      <c r="Q7412" t="s">
        <v>43</v>
      </c>
      <c r="R7412" t="s">
        <v>43</v>
      </c>
      <c r="S7412" t="s">
        <v>43</v>
      </c>
      <c r="T7412" t="s">
        <v>43</v>
      </c>
      <c r="U7412" t="s">
        <v>43</v>
      </c>
      <c r="V7412" t="s">
        <v>43</v>
      </c>
      <c r="W7412" t="s">
        <v>43</v>
      </c>
      <c r="X7412" t="s">
        <v>43</v>
      </c>
      <c r="Y7412" t="s">
        <v>43</v>
      </c>
      <c r="Z7412" t="s">
        <v>43</v>
      </c>
      <c r="AA7412" t="s">
        <v>43</v>
      </c>
      <c r="AB7412" t="s">
        <v>43</v>
      </c>
      <c r="AC7412" t="s">
        <v>43</v>
      </c>
      <c r="AD7412" t="s">
        <v>43</v>
      </c>
      <c r="AE7412" t="s">
        <v>43</v>
      </c>
      <c r="AF7412" t="s">
        <v>43</v>
      </c>
      <c r="AG7412" t="s">
        <v>43</v>
      </c>
      <c r="AH7412" t="s">
        <v>43</v>
      </c>
      <c r="AI7412" t="s">
        <v>43</v>
      </c>
      <c r="AJ7412" t="s">
        <v>43</v>
      </c>
      <c r="AK7412" t="s">
        <v>43</v>
      </c>
      <c r="AL7412" t="s">
        <v>43</v>
      </c>
      <c r="AM7412" t="s">
        <v>43</v>
      </c>
      <c r="AN7412" t="str">
        <f>HYPERLINK("https://www.google.com/maps?q=10.78967571,79.57881165","Open Location")</f>
        <v>Open Location</v>
      </c>
    </row>
    <row r="7413" spans="1:40" x14ac:dyDescent="0.3">
      <c r="A7413" s="1">
        <v>46210.141319444447</v>
      </c>
      <c r="B7413" t="s">
        <v>40</v>
      </c>
      <c r="C7413" t="s">
        <v>41</v>
      </c>
      <c r="D7413" s="1">
        <v>46210.144409722219</v>
      </c>
      <c r="E7413" t="s">
        <v>42</v>
      </c>
      <c r="F7413" t="s">
        <v>43</v>
      </c>
      <c r="G7413" t="s">
        <v>43</v>
      </c>
      <c r="H7413" t="s">
        <v>43</v>
      </c>
      <c r="I7413" t="s">
        <v>4250</v>
      </c>
      <c r="J7413" t="s">
        <v>43</v>
      </c>
      <c r="K7413" t="s">
        <v>43</v>
      </c>
      <c r="L7413" t="s">
        <v>43</v>
      </c>
      <c r="M7413" t="s">
        <v>43</v>
      </c>
      <c r="N7413" t="s">
        <v>45</v>
      </c>
      <c r="O7413" t="s">
        <v>43</v>
      </c>
      <c r="P7413" t="s">
        <v>43</v>
      </c>
      <c r="Q7413" t="s">
        <v>43</v>
      </c>
      <c r="R7413" t="s">
        <v>43</v>
      </c>
      <c r="S7413" t="s">
        <v>43</v>
      </c>
      <c r="T7413" t="s">
        <v>43</v>
      </c>
      <c r="U7413" t="s">
        <v>43</v>
      </c>
      <c r="V7413" t="s">
        <v>43</v>
      </c>
      <c r="W7413" t="s">
        <v>43</v>
      </c>
      <c r="X7413" t="s">
        <v>43</v>
      </c>
      <c r="Y7413" t="s">
        <v>43</v>
      </c>
      <c r="Z7413" t="s">
        <v>43</v>
      </c>
      <c r="AA7413" t="s">
        <v>43</v>
      </c>
      <c r="AB7413" t="s">
        <v>43</v>
      </c>
      <c r="AC7413" t="s">
        <v>43</v>
      </c>
      <c r="AD7413" t="s">
        <v>43</v>
      </c>
      <c r="AE7413" t="s">
        <v>43</v>
      </c>
      <c r="AF7413" t="s">
        <v>43</v>
      </c>
      <c r="AG7413" t="s">
        <v>43</v>
      </c>
      <c r="AH7413" t="s">
        <v>43</v>
      </c>
      <c r="AI7413" t="s">
        <v>43</v>
      </c>
      <c r="AJ7413" t="s">
        <v>43</v>
      </c>
      <c r="AK7413" t="s">
        <v>43</v>
      </c>
      <c r="AL7413" t="s">
        <v>43</v>
      </c>
      <c r="AM7413" t="s">
        <v>43</v>
      </c>
      <c r="AN7413" t="str">
        <f>HYPERLINK("https://www.google.com/maps?q=10.7896719,79.57881927","Open Location")</f>
        <v>Open Location</v>
      </c>
    </row>
    <row r="7414" spans="1:40" x14ac:dyDescent="0.3">
      <c r="A7414" s="1">
        <v>46210.141203703701</v>
      </c>
      <c r="B7414" t="s">
        <v>40</v>
      </c>
      <c r="C7414" t="s">
        <v>41</v>
      </c>
      <c r="D7414" s="1">
        <v>46210.144189814811</v>
      </c>
      <c r="E7414" t="s">
        <v>42</v>
      </c>
      <c r="F7414" t="s">
        <v>43</v>
      </c>
      <c r="G7414" t="s">
        <v>43</v>
      </c>
      <c r="H7414" t="s">
        <v>43</v>
      </c>
      <c r="I7414" t="s">
        <v>43</v>
      </c>
      <c r="J7414" t="s">
        <v>43</v>
      </c>
      <c r="K7414" t="s">
        <v>43</v>
      </c>
      <c r="L7414" t="s">
        <v>43</v>
      </c>
      <c r="M7414" t="s">
        <v>43</v>
      </c>
      <c r="N7414" t="s">
        <v>45</v>
      </c>
      <c r="O7414" t="s">
        <v>43</v>
      </c>
      <c r="P7414" t="s">
        <v>43</v>
      </c>
      <c r="Q7414" t="s">
        <v>43</v>
      </c>
      <c r="R7414" t="s">
        <v>43</v>
      </c>
      <c r="S7414" t="s">
        <v>43</v>
      </c>
      <c r="T7414" t="s">
        <v>43</v>
      </c>
      <c r="U7414" t="s">
        <v>43</v>
      </c>
      <c r="V7414" t="s">
        <v>43</v>
      </c>
      <c r="W7414" t="s">
        <v>43</v>
      </c>
      <c r="X7414" t="s">
        <v>43</v>
      </c>
      <c r="Y7414" t="s">
        <v>43</v>
      </c>
      <c r="Z7414" t="s">
        <v>43</v>
      </c>
      <c r="AA7414" t="s">
        <v>43</v>
      </c>
      <c r="AB7414" t="s">
        <v>43</v>
      </c>
      <c r="AC7414" t="s">
        <v>43</v>
      </c>
      <c r="AD7414" t="s">
        <v>43</v>
      </c>
      <c r="AE7414" t="s">
        <v>43</v>
      </c>
      <c r="AF7414" t="s">
        <v>43</v>
      </c>
      <c r="AG7414" t="s">
        <v>43</v>
      </c>
      <c r="AH7414" t="s">
        <v>43</v>
      </c>
      <c r="AI7414" t="s">
        <v>43</v>
      </c>
      <c r="AJ7414" t="s">
        <v>43</v>
      </c>
      <c r="AK7414" t="s">
        <v>43</v>
      </c>
      <c r="AL7414" t="s">
        <v>43</v>
      </c>
      <c r="AM7414" t="s">
        <v>43</v>
      </c>
      <c r="AN7414" t="s">
        <v>43</v>
      </c>
    </row>
    <row r="7415" spans="1:40" x14ac:dyDescent="0.3">
      <c r="A7415" s="1">
        <v>46210.141087962962</v>
      </c>
      <c r="B7415" t="s">
        <v>40</v>
      </c>
      <c r="C7415" t="s">
        <v>41</v>
      </c>
      <c r="D7415" s="1">
        <v>46210.144189814811</v>
      </c>
      <c r="E7415" t="s">
        <v>42</v>
      </c>
      <c r="F7415" t="s">
        <v>43</v>
      </c>
      <c r="G7415" t="s">
        <v>43</v>
      </c>
      <c r="H7415" t="s">
        <v>43</v>
      </c>
      <c r="I7415" t="s">
        <v>4065</v>
      </c>
      <c r="J7415" t="s">
        <v>43</v>
      </c>
      <c r="K7415" t="s">
        <v>43</v>
      </c>
      <c r="L7415" t="s">
        <v>43</v>
      </c>
      <c r="M7415" t="s">
        <v>43</v>
      </c>
      <c r="N7415" t="s">
        <v>45</v>
      </c>
      <c r="O7415" t="s">
        <v>43</v>
      </c>
      <c r="P7415" t="s">
        <v>43</v>
      </c>
      <c r="Q7415" t="s">
        <v>43</v>
      </c>
      <c r="R7415" t="s">
        <v>43</v>
      </c>
      <c r="S7415" t="s">
        <v>43</v>
      </c>
      <c r="T7415" t="s">
        <v>43</v>
      </c>
      <c r="U7415" t="s">
        <v>43</v>
      </c>
      <c r="V7415" t="s">
        <v>43</v>
      </c>
      <c r="W7415" t="s">
        <v>43</v>
      </c>
      <c r="X7415" t="s">
        <v>43</v>
      </c>
      <c r="Y7415" t="s">
        <v>43</v>
      </c>
      <c r="Z7415" t="s">
        <v>43</v>
      </c>
      <c r="AA7415" t="s">
        <v>43</v>
      </c>
      <c r="AB7415" t="s">
        <v>43</v>
      </c>
      <c r="AC7415" t="s">
        <v>43</v>
      </c>
      <c r="AD7415" t="s">
        <v>43</v>
      </c>
      <c r="AE7415" t="s">
        <v>43</v>
      </c>
      <c r="AF7415" t="s">
        <v>43</v>
      </c>
      <c r="AG7415" t="s">
        <v>43</v>
      </c>
      <c r="AH7415" t="s">
        <v>43</v>
      </c>
      <c r="AI7415" t="s">
        <v>43</v>
      </c>
      <c r="AJ7415" t="s">
        <v>43</v>
      </c>
      <c r="AK7415" t="s">
        <v>43</v>
      </c>
      <c r="AL7415" t="s">
        <v>43</v>
      </c>
      <c r="AM7415" t="s">
        <v>43</v>
      </c>
      <c r="AN7415" t="str">
        <f>HYPERLINK("https://www.google.com/maps?q=10.78966713,79.5788269","Open Location")</f>
        <v>Open Location</v>
      </c>
    </row>
    <row r="7416" spans="1:40" x14ac:dyDescent="0.3">
      <c r="A7416" s="1">
        <v>46210.140972222223</v>
      </c>
      <c r="B7416" t="s">
        <v>40</v>
      </c>
      <c r="C7416" t="s">
        <v>41</v>
      </c>
      <c r="D7416" s="1">
        <v>46210.143819444442</v>
      </c>
      <c r="E7416" t="s">
        <v>42</v>
      </c>
      <c r="F7416" t="s">
        <v>43</v>
      </c>
      <c r="G7416" t="s">
        <v>43</v>
      </c>
      <c r="H7416" t="s">
        <v>43</v>
      </c>
      <c r="I7416" t="s">
        <v>4074</v>
      </c>
      <c r="J7416" t="s">
        <v>43</v>
      </c>
      <c r="K7416" t="s">
        <v>43</v>
      </c>
      <c r="L7416" t="s">
        <v>43</v>
      </c>
      <c r="M7416" t="s">
        <v>43</v>
      </c>
      <c r="N7416" t="s">
        <v>45</v>
      </c>
      <c r="O7416" t="s">
        <v>43</v>
      </c>
      <c r="P7416" t="s">
        <v>43</v>
      </c>
      <c r="Q7416" t="s">
        <v>43</v>
      </c>
      <c r="R7416" t="s">
        <v>43</v>
      </c>
      <c r="S7416" t="s">
        <v>43</v>
      </c>
      <c r="T7416" t="s">
        <v>43</v>
      </c>
      <c r="U7416" t="s">
        <v>43</v>
      </c>
      <c r="V7416" t="s">
        <v>43</v>
      </c>
      <c r="W7416" t="s">
        <v>43</v>
      </c>
      <c r="X7416" t="s">
        <v>43</v>
      </c>
      <c r="Y7416" t="s">
        <v>43</v>
      </c>
      <c r="Z7416" t="s">
        <v>43</v>
      </c>
      <c r="AA7416" t="s">
        <v>43</v>
      </c>
      <c r="AB7416" t="s">
        <v>43</v>
      </c>
      <c r="AC7416" t="s">
        <v>43</v>
      </c>
      <c r="AD7416" t="s">
        <v>43</v>
      </c>
      <c r="AE7416" t="s">
        <v>43</v>
      </c>
      <c r="AF7416" t="s">
        <v>43</v>
      </c>
      <c r="AG7416" t="s">
        <v>43</v>
      </c>
      <c r="AH7416" t="s">
        <v>43</v>
      </c>
      <c r="AI7416" t="s">
        <v>43</v>
      </c>
      <c r="AJ7416" t="s">
        <v>43</v>
      </c>
      <c r="AK7416" t="s">
        <v>43</v>
      </c>
      <c r="AL7416" t="s">
        <v>43</v>
      </c>
      <c r="AM7416" t="s">
        <v>43</v>
      </c>
      <c r="AN7416" t="str">
        <f>HYPERLINK("https://www.google.com/maps?q=10.78966618,79.57883453","Open Location")</f>
        <v>Open Location</v>
      </c>
    </row>
    <row r="7417" spans="1:40" x14ac:dyDescent="0.3">
      <c r="A7417" s="1">
        <v>46210.140856481485</v>
      </c>
      <c r="B7417" t="s">
        <v>40</v>
      </c>
      <c r="C7417" t="s">
        <v>41</v>
      </c>
      <c r="D7417" s="1">
        <v>46210.143807870372</v>
      </c>
      <c r="E7417" t="s">
        <v>42</v>
      </c>
      <c r="F7417" t="s">
        <v>43</v>
      </c>
      <c r="G7417" t="s">
        <v>43</v>
      </c>
      <c r="H7417" t="s">
        <v>43</v>
      </c>
      <c r="I7417" t="s">
        <v>4251</v>
      </c>
      <c r="J7417" t="s">
        <v>43</v>
      </c>
      <c r="K7417" t="s">
        <v>43</v>
      </c>
      <c r="L7417" t="s">
        <v>43</v>
      </c>
      <c r="M7417" t="s">
        <v>43</v>
      </c>
      <c r="N7417" t="s">
        <v>45</v>
      </c>
      <c r="O7417" t="s">
        <v>43</v>
      </c>
      <c r="P7417" t="s">
        <v>43</v>
      </c>
      <c r="Q7417" t="s">
        <v>43</v>
      </c>
      <c r="R7417" t="s">
        <v>43</v>
      </c>
      <c r="S7417" t="s">
        <v>43</v>
      </c>
      <c r="T7417" t="s">
        <v>43</v>
      </c>
      <c r="U7417" t="s">
        <v>43</v>
      </c>
      <c r="V7417" t="s">
        <v>43</v>
      </c>
      <c r="W7417" t="s">
        <v>43</v>
      </c>
      <c r="X7417" t="s">
        <v>43</v>
      </c>
      <c r="Y7417" t="s">
        <v>43</v>
      </c>
      <c r="Z7417" t="s">
        <v>43</v>
      </c>
      <c r="AA7417" t="s">
        <v>43</v>
      </c>
      <c r="AB7417" t="s">
        <v>43</v>
      </c>
      <c r="AC7417" t="s">
        <v>43</v>
      </c>
      <c r="AD7417" t="s">
        <v>43</v>
      </c>
      <c r="AE7417" t="s">
        <v>43</v>
      </c>
      <c r="AF7417" t="s">
        <v>43</v>
      </c>
      <c r="AG7417" t="s">
        <v>43</v>
      </c>
      <c r="AH7417" t="s">
        <v>43</v>
      </c>
      <c r="AI7417" t="s">
        <v>43</v>
      </c>
      <c r="AJ7417" t="s">
        <v>43</v>
      </c>
      <c r="AK7417" t="s">
        <v>43</v>
      </c>
      <c r="AL7417" t="s">
        <v>43</v>
      </c>
      <c r="AM7417" t="s">
        <v>43</v>
      </c>
      <c r="AN7417" t="str">
        <f>HYPERLINK("https://www.google.com/maps?q=10.78966808,79.57883453","Open Location")</f>
        <v>Open Location</v>
      </c>
    </row>
    <row r="7418" spans="1:40" x14ac:dyDescent="0.3">
      <c r="A7418" s="1">
        <v>46210.140740740739</v>
      </c>
      <c r="B7418" t="s">
        <v>40</v>
      </c>
      <c r="C7418" t="s">
        <v>41</v>
      </c>
      <c r="D7418" s="1">
        <v>46210.143750000003</v>
      </c>
      <c r="E7418" t="s">
        <v>42</v>
      </c>
      <c r="F7418" t="s">
        <v>43</v>
      </c>
      <c r="G7418" t="s">
        <v>43</v>
      </c>
      <c r="H7418" t="s">
        <v>43</v>
      </c>
      <c r="I7418" t="s">
        <v>4078</v>
      </c>
      <c r="J7418" t="s">
        <v>43</v>
      </c>
      <c r="K7418" t="s">
        <v>43</v>
      </c>
      <c r="L7418" t="s">
        <v>43</v>
      </c>
      <c r="M7418" t="s">
        <v>43</v>
      </c>
      <c r="N7418" t="s">
        <v>45</v>
      </c>
      <c r="O7418" t="s">
        <v>43</v>
      </c>
      <c r="P7418" t="s">
        <v>43</v>
      </c>
      <c r="Q7418" t="s">
        <v>43</v>
      </c>
      <c r="R7418" t="s">
        <v>43</v>
      </c>
      <c r="S7418" t="s">
        <v>43</v>
      </c>
      <c r="T7418" t="s">
        <v>43</v>
      </c>
      <c r="U7418" t="s">
        <v>43</v>
      </c>
      <c r="V7418" t="s">
        <v>43</v>
      </c>
      <c r="W7418" t="s">
        <v>43</v>
      </c>
      <c r="X7418" t="s">
        <v>43</v>
      </c>
      <c r="Y7418" t="s">
        <v>43</v>
      </c>
      <c r="Z7418" t="s">
        <v>43</v>
      </c>
      <c r="AA7418" t="s">
        <v>43</v>
      </c>
      <c r="AB7418" t="s">
        <v>43</v>
      </c>
      <c r="AC7418" t="s">
        <v>43</v>
      </c>
      <c r="AD7418" t="s">
        <v>43</v>
      </c>
      <c r="AE7418" t="s">
        <v>43</v>
      </c>
      <c r="AF7418" t="s">
        <v>43</v>
      </c>
      <c r="AG7418" t="s">
        <v>43</v>
      </c>
      <c r="AH7418" t="s">
        <v>43</v>
      </c>
      <c r="AI7418" t="s">
        <v>43</v>
      </c>
      <c r="AJ7418" t="s">
        <v>43</v>
      </c>
      <c r="AK7418" t="s">
        <v>43</v>
      </c>
      <c r="AL7418" t="s">
        <v>43</v>
      </c>
      <c r="AM7418" t="s">
        <v>43</v>
      </c>
      <c r="AN7418" t="str">
        <f>HYPERLINK("https://www.google.com/maps?q=10.78967285,79.57883453","Open Location")</f>
        <v>Open Location</v>
      </c>
    </row>
    <row r="7419" spans="1:40" x14ac:dyDescent="0.3">
      <c r="A7419" s="1">
        <v>46210.140625</v>
      </c>
      <c r="B7419" t="s">
        <v>40</v>
      </c>
      <c r="C7419" t="s">
        <v>41</v>
      </c>
      <c r="D7419" s="1">
        <v>46210.143807870372</v>
      </c>
      <c r="E7419" t="s">
        <v>42</v>
      </c>
      <c r="F7419" t="s">
        <v>43</v>
      </c>
      <c r="G7419" t="s">
        <v>43</v>
      </c>
      <c r="H7419" t="s">
        <v>43</v>
      </c>
      <c r="I7419" t="s">
        <v>4252</v>
      </c>
      <c r="J7419" t="s">
        <v>43</v>
      </c>
      <c r="K7419" t="s">
        <v>43</v>
      </c>
      <c r="L7419" t="s">
        <v>43</v>
      </c>
      <c r="M7419" t="s">
        <v>43</v>
      </c>
      <c r="N7419" t="s">
        <v>45</v>
      </c>
      <c r="O7419" t="s">
        <v>43</v>
      </c>
      <c r="P7419" t="s">
        <v>43</v>
      </c>
      <c r="Q7419" t="s">
        <v>43</v>
      </c>
      <c r="R7419" t="s">
        <v>43</v>
      </c>
      <c r="S7419" t="s">
        <v>43</v>
      </c>
      <c r="T7419" t="s">
        <v>43</v>
      </c>
      <c r="U7419" t="s">
        <v>43</v>
      </c>
      <c r="V7419" t="s">
        <v>43</v>
      </c>
      <c r="W7419" t="s">
        <v>43</v>
      </c>
      <c r="X7419" t="s">
        <v>43</v>
      </c>
      <c r="Y7419" t="s">
        <v>43</v>
      </c>
      <c r="Z7419" t="s">
        <v>43</v>
      </c>
      <c r="AA7419" t="s">
        <v>43</v>
      </c>
      <c r="AB7419" t="s">
        <v>43</v>
      </c>
      <c r="AC7419" t="s">
        <v>43</v>
      </c>
      <c r="AD7419" t="s">
        <v>43</v>
      </c>
      <c r="AE7419" t="s">
        <v>43</v>
      </c>
      <c r="AF7419" t="s">
        <v>43</v>
      </c>
      <c r="AG7419" t="s">
        <v>43</v>
      </c>
      <c r="AH7419" t="s">
        <v>43</v>
      </c>
      <c r="AI7419" t="s">
        <v>43</v>
      </c>
      <c r="AJ7419" t="s">
        <v>43</v>
      </c>
      <c r="AK7419" t="s">
        <v>43</v>
      </c>
      <c r="AL7419" t="s">
        <v>43</v>
      </c>
      <c r="AM7419" t="s">
        <v>43</v>
      </c>
      <c r="AN7419" t="str">
        <f>HYPERLINK("https://www.google.com/maps?q=10.78967857,79.5788269","Open Location")</f>
        <v>Open Location</v>
      </c>
    </row>
    <row r="7420" spans="1:40" x14ac:dyDescent="0.3">
      <c r="A7420" s="1">
        <v>46210.140509259261</v>
      </c>
      <c r="B7420" t="s">
        <v>40</v>
      </c>
      <c r="C7420" t="s">
        <v>41</v>
      </c>
      <c r="D7420" s="1">
        <v>46210.143379629626</v>
      </c>
      <c r="E7420" t="s">
        <v>42</v>
      </c>
      <c r="F7420" t="s">
        <v>43</v>
      </c>
      <c r="G7420" t="s">
        <v>43</v>
      </c>
      <c r="H7420" t="s">
        <v>43</v>
      </c>
      <c r="I7420" t="s">
        <v>43</v>
      </c>
      <c r="J7420" t="s">
        <v>43</v>
      </c>
      <c r="K7420" t="s">
        <v>43</v>
      </c>
      <c r="L7420" t="s">
        <v>43</v>
      </c>
      <c r="M7420" t="s">
        <v>43</v>
      </c>
      <c r="N7420" t="s">
        <v>45</v>
      </c>
      <c r="O7420" t="s">
        <v>43</v>
      </c>
      <c r="P7420" t="s">
        <v>43</v>
      </c>
      <c r="Q7420" t="s">
        <v>43</v>
      </c>
      <c r="R7420" t="s">
        <v>43</v>
      </c>
      <c r="S7420" t="s">
        <v>43</v>
      </c>
      <c r="T7420" t="s">
        <v>43</v>
      </c>
      <c r="U7420" t="s">
        <v>43</v>
      </c>
      <c r="V7420" t="s">
        <v>43</v>
      </c>
      <c r="W7420" t="s">
        <v>43</v>
      </c>
      <c r="X7420" t="s">
        <v>43</v>
      </c>
      <c r="Y7420" t="s">
        <v>43</v>
      </c>
      <c r="Z7420" t="s">
        <v>43</v>
      </c>
      <c r="AA7420" t="s">
        <v>43</v>
      </c>
      <c r="AB7420" t="s">
        <v>43</v>
      </c>
      <c r="AC7420" t="s">
        <v>43</v>
      </c>
      <c r="AD7420" t="s">
        <v>43</v>
      </c>
      <c r="AE7420" t="s">
        <v>43</v>
      </c>
      <c r="AF7420" t="s">
        <v>43</v>
      </c>
      <c r="AG7420" t="s">
        <v>43</v>
      </c>
      <c r="AH7420" t="s">
        <v>43</v>
      </c>
      <c r="AI7420" t="s">
        <v>43</v>
      </c>
      <c r="AJ7420" t="s">
        <v>43</v>
      </c>
      <c r="AK7420" t="s">
        <v>43</v>
      </c>
      <c r="AL7420" t="s">
        <v>43</v>
      </c>
      <c r="AM7420" t="s">
        <v>43</v>
      </c>
      <c r="AN7420" t="s">
        <v>43</v>
      </c>
    </row>
    <row r="7421" spans="1:40" x14ac:dyDescent="0.3">
      <c r="A7421" s="1">
        <v>46210.140393518515</v>
      </c>
      <c r="B7421" t="s">
        <v>40</v>
      </c>
      <c r="C7421" t="s">
        <v>41</v>
      </c>
      <c r="D7421" s="1">
        <v>46210.143645833334</v>
      </c>
      <c r="E7421" t="s">
        <v>42</v>
      </c>
      <c r="F7421" t="s">
        <v>43</v>
      </c>
      <c r="G7421" t="s">
        <v>43</v>
      </c>
      <c r="H7421" t="s">
        <v>43</v>
      </c>
      <c r="I7421" t="s">
        <v>4253</v>
      </c>
      <c r="J7421" t="s">
        <v>43</v>
      </c>
      <c r="K7421" t="s">
        <v>43</v>
      </c>
      <c r="L7421" t="s">
        <v>43</v>
      </c>
      <c r="M7421" t="s">
        <v>43</v>
      </c>
      <c r="N7421" t="s">
        <v>45</v>
      </c>
      <c r="O7421" t="s">
        <v>43</v>
      </c>
      <c r="P7421" t="s">
        <v>43</v>
      </c>
      <c r="Q7421" t="s">
        <v>43</v>
      </c>
      <c r="R7421" t="s">
        <v>43</v>
      </c>
      <c r="S7421" t="s">
        <v>43</v>
      </c>
      <c r="T7421" t="s">
        <v>43</v>
      </c>
      <c r="U7421" t="s">
        <v>43</v>
      </c>
      <c r="V7421" t="s">
        <v>43</v>
      </c>
      <c r="W7421" t="s">
        <v>43</v>
      </c>
      <c r="X7421" t="s">
        <v>43</v>
      </c>
      <c r="Y7421" t="s">
        <v>43</v>
      </c>
      <c r="Z7421" t="s">
        <v>43</v>
      </c>
      <c r="AA7421" t="s">
        <v>43</v>
      </c>
      <c r="AB7421" t="s">
        <v>43</v>
      </c>
      <c r="AC7421" t="s">
        <v>43</v>
      </c>
      <c r="AD7421" t="s">
        <v>43</v>
      </c>
      <c r="AE7421" t="s">
        <v>43</v>
      </c>
      <c r="AF7421" t="s">
        <v>43</v>
      </c>
      <c r="AG7421" t="s">
        <v>43</v>
      </c>
      <c r="AH7421" t="s">
        <v>43</v>
      </c>
      <c r="AI7421" t="s">
        <v>43</v>
      </c>
      <c r="AJ7421" t="s">
        <v>43</v>
      </c>
      <c r="AK7421" t="s">
        <v>43</v>
      </c>
      <c r="AL7421" t="s">
        <v>43</v>
      </c>
      <c r="AM7421" t="s">
        <v>43</v>
      </c>
      <c r="AN7421" t="str">
        <f>HYPERLINK("https://www.google.com/maps?q=10.78968143,79.5788269","Open Location")</f>
        <v>Open Location</v>
      </c>
    </row>
    <row r="7422" spans="1:40" x14ac:dyDescent="0.3">
      <c r="A7422" s="1">
        <v>46210.140277777777</v>
      </c>
      <c r="B7422" t="s">
        <v>40</v>
      </c>
      <c r="C7422" t="s">
        <v>41</v>
      </c>
      <c r="D7422" s="1">
        <v>46210.143437500003</v>
      </c>
      <c r="E7422" t="s">
        <v>42</v>
      </c>
      <c r="F7422" t="s">
        <v>43</v>
      </c>
      <c r="G7422" t="s">
        <v>43</v>
      </c>
      <c r="H7422" t="s">
        <v>43</v>
      </c>
      <c r="I7422" t="s">
        <v>4252</v>
      </c>
      <c r="J7422" t="s">
        <v>43</v>
      </c>
      <c r="K7422" t="s">
        <v>43</v>
      </c>
      <c r="L7422" t="s">
        <v>43</v>
      </c>
      <c r="M7422" t="s">
        <v>43</v>
      </c>
      <c r="N7422" t="s">
        <v>45</v>
      </c>
      <c r="O7422" t="s">
        <v>43</v>
      </c>
      <c r="P7422" t="s">
        <v>43</v>
      </c>
      <c r="Q7422" t="s">
        <v>43</v>
      </c>
      <c r="R7422" t="s">
        <v>43</v>
      </c>
      <c r="S7422" t="s">
        <v>43</v>
      </c>
      <c r="T7422" t="s">
        <v>43</v>
      </c>
      <c r="U7422" t="s">
        <v>43</v>
      </c>
      <c r="V7422" t="s">
        <v>43</v>
      </c>
      <c r="W7422" t="s">
        <v>43</v>
      </c>
      <c r="X7422" t="s">
        <v>43</v>
      </c>
      <c r="Y7422" t="s">
        <v>43</v>
      </c>
      <c r="Z7422" t="s">
        <v>43</v>
      </c>
      <c r="AA7422" t="s">
        <v>43</v>
      </c>
      <c r="AB7422" t="s">
        <v>43</v>
      </c>
      <c r="AC7422" t="s">
        <v>43</v>
      </c>
      <c r="AD7422" t="s">
        <v>43</v>
      </c>
      <c r="AE7422" t="s">
        <v>43</v>
      </c>
      <c r="AF7422" t="s">
        <v>43</v>
      </c>
      <c r="AG7422" t="s">
        <v>43</v>
      </c>
      <c r="AH7422" t="s">
        <v>43</v>
      </c>
      <c r="AI7422" t="s">
        <v>43</v>
      </c>
      <c r="AJ7422" t="s">
        <v>43</v>
      </c>
      <c r="AK7422" t="s">
        <v>43</v>
      </c>
      <c r="AL7422" t="s">
        <v>43</v>
      </c>
      <c r="AM7422" t="s">
        <v>43</v>
      </c>
      <c r="AN7422" t="str">
        <f>HYPERLINK("https://www.google.com/maps?q=10.78967857,79.5788269","Open Location")</f>
        <v>Open Location</v>
      </c>
    </row>
    <row r="7423" spans="1:40" x14ac:dyDescent="0.3">
      <c r="A7423" s="1">
        <v>46210.140162037038</v>
      </c>
      <c r="B7423" t="s">
        <v>40</v>
      </c>
      <c r="C7423" t="s">
        <v>41</v>
      </c>
      <c r="D7423" s="1">
        <v>46210.143252314818</v>
      </c>
      <c r="E7423" t="s">
        <v>42</v>
      </c>
      <c r="F7423" t="s">
        <v>43</v>
      </c>
      <c r="G7423" t="s">
        <v>43</v>
      </c>
      <c r="H7423" t="s">
        <v>43</v>
      </c>
      <c r="I7423" t="s">
        <v>4164</v>
      </c>
      <c r="J7423" t="s">
        <v>43</v>
      </c>
      <c r="K7423" t="s">
        <v>43</v>
      </c>
      <c r="L7423" t="s">
        <v>43</v>
      </c>
      <c r="M7423" t="s">
        <v>43</v>
      </c>
      <c r="N7423" t="s">
        <v>45</v>
      </c>
      <c r="O7423" t="s">
        <v>43</v>
      </c>
      <c r="P7423" t="s">
        <v>43</v>
      </c>
      <c r="Q7423" t="s">
        <v>43</v>
      </c>
      <c r="R7423" t="s">
        <v>43</v>
      </c>
      <c r="S7423" t="s">
        <v>43</v>
      </c>
      <c r="T7423" t="s">
        <v>43</v>
      </c>
      <c r="U7423" t="s">
        <v>43</v>
      </c>
      <c r="V7423" t="s">
        <v>43</v>
      </c>
      <c r="W7423" t="s">
        <v>43</v>
      </c>
      <c r="X7423" t="s">
        <v>43</v>
      </c>
      <c r="Y7423" t="s">
        <v>43</v>
      </c>
      <c r="Z7423" t="s">
        <v>43</v>
      </c>
      <c r="AA7423" t="s">
        <v>43</v>
      </c>
      <c r="AB7423" t="s">
        <v>43</v>
      </c>
      <c r="AC7423" t="s">
        <v>43</v>
      </c>
      <c r="AD7423" t="s">
        <v>43</v>
      </c>
      <c r="AE7423" t="s">
        <v>43</v>
      </c>
      <c r="AF7423" t="s">
        <v>43</v>
      </c>
      <c r="AG7423" t="s">
        <v>43</v>
      </c>
      <c r="AH7423" t="s">
        <v>43</v>
      </c>
      <c r="AI7423" t="s">
        <v>43</v>
      </c>
      <c r="AJ7423" t="s">
        <v>43</v>
      </c>
      <c r="AK7423" t="s">
        <v>43</v>
      </c>
      <c r="AL7423" t="s">
        <v>43</v>
      </c>
      <c r="AM7423" t="s">
        <v>43</v>
      </c>
      <c r="AN7423" t="str">
        <f>HYPERLINK("https://www.google.com/maps?q=10.78967571,79.57881927","Open Location")</f>
        <v>Open Location</v>
      </c>
    </row>
    <row r="7424" spans="1:40" x14ac:dyDescent="0.3">
      <c r="A7424" s="1">
        <v>46210.140046296299</v>
      </c>
      <c r="B7424" t="s">
        <v>40</v>
      </c>
      <c r="C7424" t="s">
        <v>41</v>
      </c>
      <c r="D7424" s="1">
        <v>46210.143043981479</v>
      </c>
      <c r="E7424" t="s">
        <v>42</v>
      </c>
      <c r="F7424" t="s">
        <v>43</v>
      </c>
      <c r="G7424" t="s">
        <v>43</v>
      </c>
      <c r="H7424" t="s">
        <v>43</v>
      </c>
      <c r="I7424" t="s">
        <v>4164</v>
      </c>
      <c r="J7424" t="s">
        <v>43</v>
      </c>
      <c r="K7424" t="s">
        <v>43</v>
      </c>
      <c r="L7424" t="s">
        <v>43</v>
      </c>
      <c r="M7424" t="s">
        <v>43</v>
      </c>
      <c r="N7424" t="s">
        <v>45</v>
      </c>
      <c r="O7424" t="s">
        <v>43</v>
      </c>
      <c r="P7424" t="s">
        <v>43</v>
      </c>
      <c r="Q7424" t="s">
        <v>43</v>
      </c>
      <c r="R7424" t="s">
        <v>43</v>
      </c>
      <c r="S7424" t="s">
        <v>43</v>
      </c>
      <c r="T7424" t="s">
        <v>43</v>
      </c>
      <c r="U7424" t="s">
        <v>43</v>
      </c>
      <c r="V7424" t="s">
        <v>43</v>
      </c>
      <c r="W7424" t="s">
        <v>43</v>
      </c>
      <c r="X7424" t="s">
        <v>43</v>
      </c>
      <c r="Y7424" t="s">
        <v>43</v>
      </c>
      <c r="Z7424" t="s">
        <v>43</v>
      </c>
      <c r="AA7424" t="s">
        <v>43</v>
      </c>
      <c r="AB7424" t="s">
        <v>43</v>
      </c>
      <c r="AC7424" t="s">
        <v>43</v>
      </c>
      <c r="AD7424" t="s">
        <v>43</v>
      </c>
      <c r="AE7424" t="s">
        <v>43</v>
      </c>
      <c r="AF7424" t="s">
        <v>43</v>
      </c>
      <c r="AG7424" t="s">
        <v>43</v>
      </c>
      <c r="AH7424" t="s">
        <v>43</v>
      </c>
      <c r="AI7424" t="s">
        <v>43</v>
      </c>
      <c r="AJ7424" t="s">
        <v>43</v>
      </c>
      <c r="AK7424" t="s">
        <v>43</v>
      </c>
      <c r="AL7424" t="s">
        <v>43</v>
      </c>
      <c r="AM7424" t="s">
        <v>43</v>
      </c>
      <c r="AN7424" t="str">
        <f>HYPERLINK("https://www.google.com/maps?q=10.78967571,79.57881927","Open Location")</f>
        <v>Open Location</v>
      </c>
    </row>
    <row r="7425" spans="1:40" x14ac:dyDescent="0.3">
      <c r="A7425" s="1">
        <v>46210.139930555553</v>
      </c>
      <c r="B7425" t="s">
        <v>40</v>
      </c>
      <c r="C7425" t="s">
        <v>41</v>
      </c>
      <c r="D7425" s="1">
        <v>46210.143043981479</v>
      </c>
      <c r="E7425" t="s">
        <v>42</v>
      </c>
      <c r="F7425" t="s">
        <v>43</v>
      </c>
      <c r="G7425" t="s">
        <v>43</v>
      </c>
      <c r="H7425" t="s">
        <v>43</v>
      </c>
      <c r="I7425" t="s">
        <v>43</v>
      </c>
      <c r="J7425" t="s">
        <v>43</v>
      </c>
      <c r="K7425" t="s">
        <v>43</v>
      </c>
      <c r="L7425" t="s">
        <v>43</v>
      </c>
      <c r="M7425" t="s">
        <v>43</v>
      </c>
      <c r="N7425" t="s">
        <v>45</v>
      </c>
      <c r="O7425" t="s">
        <v>43</v>
      </c>
      <c r="P7425" t="s">
        <v>43</v>
      </c>
      <c r="Q7425" t="s">
        <v>43</v>
      </c>
      <c r="R7425" t="s">
        <v>43</v>
      </c>
      <c r="S7425" t="s">
        <v>43</v>
      </c>
      <c r="T7425" t="s">
        <v>43</v>
      </c>
      <c r="U7425" t="s">
        <v>43</v>
      </c>
      <c r="V7425" t="s">
        <v>43</v>
      </c>
      <c r="W7425" t="s">
        <v>43</v>
      </c>
      <c r="X7425" t="s">
        <v>43</v>
      </c>
      <c r="Y7425" t="s">
        <v>43</v>
      </c>
      <c r="Z7425" t="s">
        <v>43</v>
      </c>
      <c r="AA7425" t="s">
        <v>43</v>
      </c>
      <c r="AB7425" t="s">
        <v>43</v>
      </c>
      <c r="AC7425" t="s">
        <v>43</v>
      </c>
      <c r="AD7425" t="s">
        <v>43</v>
      </c>
      <c r="AE7425" t="s">
        <v>43</v>
      </c>
      <c r="AF7425" t="s">
        <v>43</v>
      </c>
      <c r="AG7425" t="s">
        <v>43</v>
      </c>
      <c r="AH7425" t="s">
        <v>43</v>
      </c>
      <c r="AI7425" t="s">
        <v>43</v>
      </c>
      <c r="AJ7425" t="s">
        <v>43</v>
      </c>
      <c r="AK7425" t="s">
        <v>43</v>
      </c>
      <c r="AL7425" t="s">
        <v>43</v>
      </c>
      <c r="AM7425" t="s">
        <v>43</v>
      </c>
      <c r="AN7425" t="s">
        <v>43</v>
      </c>
    </row>
    <row r="7426" spans="1:40" x14ac:dyDescent="0.3">
      <c r="A7426" s="1">
        <v>46210.139814814815</v>
      </c>
      <c r="B7426" t="s">
        <v>40</v>
      </c>
      <c r="C7426" t="s">
        <v>41</v>
      </c>
      <c r="D7426" s="1">
        <v>46210.14266203704</v>
      </c>
      <c r="E7426" t="s">
        <v>42</v>
      </c>
      <c r="F7426" t="s">
        <v>43</v>
      </c>
      <c r="G7426" t="s">
        <v>43</v>
      </c>
      <c r="H7426" t="s">
        <v>43</v>
      </c>
      <c r="I7426" t="s">
        <v>3942</v>
      </c>
      <c r="J7426" t="s">
        <v>43</v>
      </c>
      <c r="K7426" t="s">
        <v>43</v>
      </c>
      <c r="L7426" t="s">
        <v>43</v>
      </c>
      <c r="M7426" t="s">
        <v>43</v>
      </c>
      <c r="N7426" t="s">
        <v>45</v>
      </c>
      <c r="O7426" t="s">
        <v>43</v>
      </c>
      <c r="P7426" t="s">
        <v>43</v>
      </c>
      <c r="Q7426" t="s">
        <v>43</v>
      </c>
      <c r="R7426" t="s">
        <v>43</v>
      </c>
      <c r="S7426" t="s">
        <v>43</v>
      </c>
      <c r="T7426" t="s">
        <v>43</v>
      </c>
      <c r="U7426" t="s">
        <v>43</v>
      </c>
      <c r="V7426" t="s">
        <v>43</v>
      </c>
      <c r="W7426" t="s">
        <v>43</v>
      </c>
      <c r="X7426" t="s">
        <v>43</v>
      </c>
      <c r="Y7426" t="s">
        <v>43</v>
      </c>
      <c r="Z7426" t="s">
        <v>43</v>
      </c>
      <c r="AA7426" t="s">
        <v>43</v>
      </c>
      <c r="AB7426" t="s">
        <v>43</v>
      </c>
      <c r="AC7426" t="s">
        <v>43</v>
      </c>
      <c r="AD7426" t="s">
        <v>43</v>
      </c>
      <c r="AE7426" t="s">
        <v>43</v>
      </c>
      <c r="AF7426" t="s">
        <v>43</v>
      </c>
      <c r="AG7426" t="s">
        <v>43</v>
      </c>
      <c r="AH7426" t="s">
        <v>43</v>
      </c>
      <c r="AI7426" t="s">
        <v>43</v>
      </c>
      <c r="AJ7426" t="s">
        <v>43</v>
      </c>
      <c r="AK7426" t="s">
        <v>43</v>
      </c>
      <c r="AL7426" t="s">
        <v>43</v>
      </c>
      <c r="AM7426" t="s">
        <v>43</v>
      </c>
      <c r="AN7426" t="str">
        <f>HYPERLINK("https://www.google.com/maps?q=10.78966713,79.57881927","Open Location")</f>
        <v>Open Location</v>
      </c>
    </row>
    <row r="7427" spans="1:40" x14ac:dyDescent="0.3">
      <c r="A7427" s="1">
        <v>46210.139699074076</v>
      </c>
      <c r="B7427" t="s">
        <v>40</v>
      </c>
      <c r="C7427" t="s">
        <v>41</v>
      </c>
      <c r="D7427" s="1">
        <v>46210.142858796295</v>
      </c>
      <c r="E7427" t="s">
        <v>42</v>
      </c>
      <c r="F7427" t="s">
        <v>43</v>
      </c>
      <c r="G7427" t="s">
        <v>43</v>
      </c>
      <c r="H7427" t="s">
        <v>43</v>
      </c>
      <c r="I7427" t="s">
        <v>3931</v>
      </c>
      <c r="J7427" t="s">
        <v>43</v>
      </c>
      <c r="K7427" t="s">
        <v>43</v>
      </c>
      <c r="L7427" t="s">
        <v>43</v>
      </c>
      <c r="M7427" t="s">
        <v>43</v>
      </c>
      <c r="N7427" t="s">
        <v>45</v>
      </c>
      <c r="O7427" t="s">
        <v>43</v>
      </c>
      <c r="P7427" t="s">
        <v>43</v>
      </c>
      <c r="Q7427" t="s">
        <v>43</v>
      </c>
      <c r="R7427" t="s">
        <v>43</v>
      </c>
      <c r="S7427" t="s">
        <v>43</v>
      </c>
      <c r="T7427" t="s">
        <v>43</v>
      </c>
      <c r="U7427" t="s">
        <v>43</v>
      </c>
      <c r="V7427" t="s">
        <v>43</v>
      </c>
      <c r="W7427" t="s">
        <v>43</v>
      </c>
      <c r="X7427" t="s">
        <v>43</v>
      </c>
      <c r="Y7427" t="s">
        <v>43</v>
      </c>
      <c r="Z7427" t="s">
        <v>43</v>
      </c>
      <c r="AA7427" t="s">
        <v>43</v>
      </c>
      <c r="AB7427" t="s">
        <v>43</v>
      </c>
      <c r="AC7427" t="s">
        <v>43</v>
      </c>
      <c r="AD7427" t="s">
        <v>43</v>
      </c>
      <c r="AE7427" t="s">
        <v>43</v>
      </c>
      <c r="AF7427" t="s">
        <v>43</v>
      </c>
      <c r="AG7427" t="s">
        <v>43</v>
      </c>
      <c r="AH7427" t="s">
        <v>43</v>
      </c>
      <c r="AI7427" t="s">
        <v>43</v>
      </c>
      <c r="AJ7427" t="s">
        <v>43</v>
      </c>
      <c r="AK7427" t="s">
        <v>43</v>
      </c>
      <c r="AL7427" t="s">
        <v>43</v>
      </c>
      <c r="AM7427" t="s">
        <v>43</v>
      </c>
      <c r="AN7427" t="str">
        <f>HYPERLINK("https://www.google.com/maps?q=10.78966141,79.57881927","Open Location")</f>
        <v>Open Location</v>
      </c>
    </row>
    <row r="7428" spans="1:40" x14ac:dyDescent="0.3">
      <c r="A7428" s="1">
        <v>46210.13958333333</v>
      </c>
      <c r="B7428" t="s">
        <v>40</v>
      </c>
      <c r="C7428" t="s">
        <v>41</v>
      </c>
      <c r="D7428" s="1">
        <v>46210.142407407409</v>
      </c>
      <c r="E7428" t="s">
        <v>42</v>
      </c>
      <c r="F7428" t="s">
        <v>43</v>
      </c>
      <c r="G7428" t="s">
        <v>43</v>
      </c>
      <c r="H7428" t="s">
        <v>43</v>
      </c>
      <c r="I7428" t="s">
        <v>3922</v>
      </c>
      <c r="J7428" t="s">
        <v>43</v>
      </c>
      <c r="K7428" t="s">
        <v>43</v>
      </c>
      <c r="L7428" t="s">
        <v>43</v>
      </c>
      <c r="M7428" t="s">
        <v>43</v>
      </c>
      <c r="N7428" t="s">
        <v>45</v>
      </c>
      <c r="O7428" t="s">
        <v>43</v>
      </c>
      <c r="P7428" t="s">
        <v>43</v>
      </c>
      <c r="Q7428" t="s">
        <v>43</v>
      </c>
      <c r="R7428" t="s">
        <v>43</v>
      </c>
      <c r="S7428" t="s">
        <v>43</v>
      </c>
      <c r="T7428" t="s">
        <v>43</v>
      </c>
      <c r="U7428" t="s">
        <v>43</v>
      </c>
      <c r="V7428" t="s">
        <v>43</v>
      </c>
      <c r="W7428" t="s">
        <v>43</v>
      </c>
      <c r="X7428" t="s">
        <v>43</v>
      </c>
      <c r="Y7428" t="s">
        <v>43</v>
      </c>
      <c r="Z7428" t="s">
        <v>43</v>
      </c>
      <c r="AA7428" t="s">
        <v>43</v>
      </c>
      <c r="AB7428" t="s">
        <v>43</v>
      </c>
      <c r="AC7428" t="s">
        <v>43</v>
      </c>
      <c r="AD7428" t="s">
        <v>43</v>
      </c>
      <c r="AE7428" t="s">
        <v>43</v>
      </c>
      <c r="AF7428" t="s">
        <v>43</v>
      </c>
      <c r="AG7428" t="s">
        <v>43</v>
      </c>
      <c r="AH7428" t="s">
        <v>43</v>
      </c>
      <c r="AI7428" t="s">
        <v>43</v>
      </c>
      <c r="AJ7428" t="s">
        <v>43</v>
      </c>
      <c r="AK7428" t="s">
        <v>43</v>
      </c>
      <c r="AL7428" t="s">
        <v>43</v>
      </c>
      <c r="AM7428" t="s">
        <v>43</v>
      </c>
      <c r="AN7428" t="str">
        <f>HYPERLINK("https://www.google.com/maps?q=10.78965282,79.57881927","Open Location")</f>
        <v>Open Location</v>
      </c>
    </row>
    <row r="7429" spans="1:40" x14ac:dyDescent="0.3">
      <c r="A7429" s="1">
        <v>46210.139467592591</v>
      </c>
      <c r="B7429" t="s">
        <v>40</v>
      </c>
      <c r="C7429" t="s">
        <v>41</v>
      </c>
      <c r="D7429" s="1">
        <v>46210.142685185187</v>
      </c>
      <c r="E7429" t="s">
        <v>42</v>
      </c>
      <c r="F7429" t="s">
        <v>43</v>
      </c>
      <c r="G7429" t="s">
        <v>43</v>
      </c>
      <c r="H7429" t="s">
        <v>43</v>
      </c>
      <c r="I7429" t="s">
        <v>4063</v>
      </c>
      <c r="J7429" t="s">
        <v>43</v>
      </c>
      <c r="K7429" t="s">
        <v>43</v>
      </c>
      <c r="L7429" t="s">
        <v>43</v>
      </c>
      <c r="M7429" t="s">
        <v>43</v>
      </c>
      <c r="N7429" t="s">
        <v>45</v>
      </c>
      <c r="O7429" t="s">
        <v>43</v>
      </c>
      <c r="P7429" t="s">
        <v>43</v>
      </c>
      <c r="Q7429" t="s">
        <v>43</v>
      </c>
      <c r="R7429" t="s">
        <v>43</v>
      </c>
      <c r="S7429" t="s">
        <v>43</v>
      </c>
      <c r="T7429" t="s">
        <v>43</v>
      </c>
      <c r="U7429" t="s">
        <v>43</v>
      </c>
      <c r="V7429" t="s">
        <v>43</v>
      </c>
      <c r="W7429" t="s">
        <v>43</v>
      </c>
      <c r="X7429" t="s">
        <v>43</v>
      </c>
      <c r="Y7429" t="s">
        <v>43</v>
      </c>
      <c r="Z7429" t="s">
        <v>43</v>
      </c>
      <c r="AA7429" t="s">
        <v>43</v>
      </c>
      <c r="AB7429" t="s">
        <v>43</v>
      </c>
      <c r="AC7429" t="s">
        <v>43</v>
      </c>
      <c r="AD7429" t="s">
        <v>43</v>
      </c>
      <c r="AE7429" t="s">
        <v>43</v>
      </c>
      <c r="AF7429" t="s">
        <v>43</v>
      </c>
      <c r="AG7429" t="s">
        <v>43</v>
      </c>
      <c r="AH7429" t="s">
        <v>43</v>
      </c>
      <c r="AI7429" t="s">
        <v>43</v>
      </c>
      <c r="AJ7429" t="s">
        <v>43</v>
      </c>
      <c r="AK7429" t="s">
        <v>43</v>
      </c>
      <c r="AL7429" t="s">
        <v>43</v>
      </c>
      <c r="AM7429" t="s">
        <v>43</v>
      </c>
      <c r="AN7429" t="str">
        <f>HYPERLINK("https://www.google.com/maps?q=10.78965664,79.5788269","Open Location")</f>
        <v>Open Location</v>
      </c>
    </row>
    <row r="7430" spans="1:40" x14ac:dyDescent="0.3">
      <c r="A7430" s="1">
        <v>46210.139351851853</v>
      </c>
      <c r="B7430" t="s">
        <v>40</v>
      </c>
      <c r="C7430" t="s">
        <v>41</v>
      </c>
      <c r="D7430" s="1">
        <v>46210.142314814817</v>
      </c>
      <c r="E7430" t="s">
        <v>42</v>
      </c>
      <c r="F7430" t="s">
        <v>43</v>
      </c>
      <c r="G7430" t="s">
        <v>43</v>
      </c>
      <c r="H7430" t="s">
        <v>43</v>
      </c>
      <c r="I7430" t="s">
        <v>4254</v>
      </c>
      <c r="J7430" t="s">
        <v>43</v>
      </c>
      <c r="K7430" t="s">
        <v>43</v>
      </c>
      <c r="L7430" t="s">
        <v>43</v>
      </c>
      <c r="M7430" t="s">
        <v>43</v>
      </c>
      <c r="N7430" t="s">
        <v>45</v>
      </c>
      <c r="O7430" t="s">
        <v>43</v>
      </c>
      <c r="P7430" t="s">
        <v>43</v>
      </c>
      <c r="Q7430" t="s">
        <v>43</v>
      </c>
      <c r="R7430" t="s">
        <v>43</v>
      </c>
      <c r="S7430" t="s">
        <v>43</v>
      </c>
      <c r="T7430" t="s">
        <v>43</v>
      </c>
      <c r="U7430" t="s">
        <v>43</v>
      </c>
      <c r="V7430" t="s">
        <v>43</v>
      </c>
      <c r="W7430" t="s">
        <v>43</v>
      </c>
      <c r="X7430" t="s">
        <v>43</v>
      </c>
      <c r="Y7430" t="s">
        <v>43</v>
      </c>
      <c r="Z7430" t="s">
        <v>43</v>
      </c>
      <c r="AA7430" t="s">
        <v>43</v>
      </c>
      <c r="AB7430" t="s">
        <v>43</v>
      </c>
      <c r="AC7430" t="s">
        <v>43</v>
      </c>
      <c r="AD7430" t="s">
        <v>43</v>
      </c>
      <c r="AE7430" t="s">
        <v>43</v>
      </c>
      <c r="AF7430" t="s">
        <v>43</v>
      </c>
      <c r="AG7430" t="s">
        <v>43</v>
      </c>
      <c r="AH7430" t="s">
        <v>43</v>
      </c>
      <c r="AI7430" t="s">
        <v>43</v>
      </c>
      <c r="AJ7430" t="s">
        <v>43</v>
      </c>
      <c r="AK7430" t="s">
        <v>43</v>
      </c>
      <c r="AL7430" t="s">
        <v>43</v>
      </c>
      <c r="AM7430" t="s">
        <v>43</v>
      </c>
      <c r="AN7430" t="str">
        <f>HYPERLINK("https://www.google.com/maps?q=10.78966045,79.57883453","Open Location")</f>
        <v>Open Location</v>
      </c>
    </row>
    <row r="7431" spans="1:40" x14ac:dyDescent="0.3">
      <c r="A7431" s="1">
        <v>46210.139236111114</v>
      </c>
      <c r="B7431" t="s">
        <v>40</v>
      </c>
      <c r="C7431" t="s">
        <v>41</v>
      </c>
      <c r="D7431" s="1">
        <v>46210.14230324074</v>
      </c>
      <c r="E7431" t="s">
        <v>42</v>
      </c>
      <c r="F7431" t="s">
        <v>43</v>
      </c>
      <c r="G7431" t="s">
        <v>43</v>
      </c>
      <c r="H7431" t="s">
        <v>43</v>
      </c>
      <c r="I7431" t="s">
        <v>43</v>
      </c>
      <c r="J7431" t="s">
        <v>43</v>
      </c>
      <c r="K7431" t="s">
        <v>43</v>
      </c>
      <c r="L7431" t="s">
        <v>43</v>
      </c>
      <c r="M7431" t="s">
        <v>43</v>
      </c>
      <c r="N7431" t="s">
        <v>45</v>
      </c>
      <c r="O7431" t="s">
        <v>43</v>
      </c>
      <c r="P7431" t="s">
        <v>43</v>
      </c>
      <c r="Q7431" t="s">
        <v>43</v>
      </c>
      <c r="R7431" t="s">
        <v>43</v>
      </c>
      <c r="S7431" t="s">
        <v>43</v>
      </c>
      <c r="T7431" t="s">
        <v>43</v>
      </c>
      <c r="U7431" t="s">
        <v>43</v>
      </c>
      <c r="V7431" t="s">
        <v>43</v>
      </c>
      <c r="W7431" t="s">
        <v>43</v>
      </c>
      <c r="X7431" t="s">
        <v>43</v>
      </c>
      <c r="Y7431" t="s">
        <v>43</v>
      </c>
      <c r="Z7431" t="s">
        <v>43</v>
      </c>
      <c r="AA7431" t="s">
        <v>43</v>
      </c>
      <c r="AB7431" t="s">
        <v>43</v>
      </c>
      <c r="AC7431" t="s">
        <v>43</v>
      </c>
      <c r="AD7431" t="s">
        <v>43</v>
      </c>
      <c r="AE7431" t="s">
        <v>43</v>
      </c>
      <c r="AF7431" t="s">
        <v>43</v>
      </c>
      <c r="AG7431" t="s">
        <v>43</v>
      </c>
      <c r="AH7431" t="s">
        <v>43</v>
      </c>
      <c r="AI7431" t="s">
        <v>43</v>
      </c>
      <c r="AJ7431" t="s">
        <v>43</v>
      </c>
      <c r="AK7431" t="s">
        <v>43</v>
      </c>
      <c r="AL7431" t="s">
        <v>43</v>
      </c>
      <c r="AM7431" t="s">
        <v>43</v>
      </c>
      <c r="AN7431" t="s">
        <v>43</v>
      </c>
    </row>
    <row r="7432" spans="1:40" x14ac:dyDescent="0.3">
      <c r="A7432" s="1">
        <v>46210.139120370368</v>
      </c>
      <c r="B7432" t="s">
        <v>40</v>
      </c>
      <c r="C7432" t="s">
        <v>41</v>
      </c>
      <c r="D7432" s="1">
        <v>46210.142314814817</v>
      </c>
      <c r="E7432" t="s">
        <v>42</v>
      </c>
      <c r="F7432" t="s">
        <v>43</v>
      </c>
      <c r="G7432" t="s">
        <v>43</v>
      </c>
      <c r="H7432" t="s">
        <v>43</v>
      </c>
      <c r="I7432" t="s">
        <v>4255</v>
      </c>
      <c r="J7432" t="s">
        <v>43</v>
      </c>
      <c r="K7432" t="s">
        <v>43</v>
      </c>
      <c r="L7432" t="s">
        <v>43</v>
      </c>
      <c r="M7432" t="s">
        <v>43</v>
      </c>
      <c r="N7432" t="s">
        <v>45</v>
      </c>
      <c r="O7432" t="s">
        <v>43</v>
      </c>
      <c r="P7432" t="s">
        <v>43</v>
      </c>
      <c r="Q7432" t="s">
        <v>43</v>
      </c>
      <c r="R7432" t="s">
        <v>43</v>
      </c>
      <c r="S7432" t="s">
        <v>43</v>
      </c>
      <c r="T7432" t="s">
        <v>43</v>
      </c>
      <c r="U7432" t="s">
        <v>43</v>
      </c>
      <c r="V7432" t="s">
        <v>43</v>
      </c>
      <c r="W7432" t="s">
        <v>43</v>
      </c>
      <c r="X7432" t="s">
        <v>43</v>
      </c>
      <c r="Y7432" t="s">
        <v>43</v>
      </c>
      <c r="Z7432" t="s">
        <v>43</v>
      </c>
      <c r="AA7432" t="s">
        <v>43</v>
      </c>
      <c r="AB7432" t="s">
        <v>43</v>
      </c>
      <c r="AC7432" t="s">
        <v>43</v>
      </c>
      <c r="AD7432" t="s">
        <v>43</v>
      </c>
      <c r="AE7432" t="s">
        <v>43</v>
      </c>
      <c r="AF7432" t="s">
        <v>43</v>
      </c>
      <c r="AG7432" t="s">
        <v>43</v>
      </c>
      <c r="AH7432" t="s">
        <v>43</v>
      </c>
      <c r="AI7432" t="s">
        <v>43</v>
      </c>
      <c r="AJ7432" t="s">
        <v>43</v>
      </c>
      <c r="AK7432" t="s">
        <v>43</v>
      </c>
      <c r="AL7432" t="s">
        <v>43</v>
      </c>
      <c r="AM7432" t="s">
        <v>43</v>
      </c>
      <c r="AN7432" t="str">
        <f>HYPERLINK("https://www.google.com/maps?q=10.78965759,79.5788269","Open Location")</f>
        <v>Open Location</v>
      </c>
    </row>
    <row r="7433" spans="1:40" x14ac:dyDescent="0.3">
      <c r="A7433" s="1">
        <v>46210.139004629629</v>
      </c>
      <c r="B7433" t="s">
        <v>40</v>
      </c>
      <c r="C7433" t="s">
        <v>41</v>
      </c>
      <c r="D7433" s="1">
        <v>46210.141932870371</v>
      </c>
      <c r="E7433" t="s">
        <v>42</v>
      </c>
      <c r="F7433" t="s">
        <v>43</v>
      </c>
      <c r="G7433" t="s">
        <v>43</v>
      </c>
      <c r="H7433" t="s">
        <v>43</v>
      </c>
      <c r="I7433" t="s">
        <v>3943</v>
      </c>
      <c r="J7433" t="s">
        <v>43</v>
      </c>
      <c r="K7433" t="s">
        <v>43</v>
      </c>
      <c r="L7433" t="s">
        <v>43</v>
      </c>
      <c r="M7433" t="s">
        <v>43</v>
      </c>
      <c r="N7433" t="s">
        <v>45</v>
      </c>
      <c r="O7433" t="s">
        <v>43</v>
      </c>
      <c r="P7433" t="s">
        <v>43</v>
      </c>
      <c r="Q7433" t="s">
        <v>43</v>
      </c>
      <c r="R7433" t="s">
        <v>43</v>
      </c>
      <c r="S7433" t="s">
        <v>43</v>
      </c>
      <c r="T7433" t="s">
        <v>43</v>
      </c>
      <c r="U7433" t="s">
        <v>43</v>
      </c>
      <c r="V7433" t="s">
        <v>43</v>
      </c>
      <c r="W7433" t="s">
        <v>43</v>
      </c>
      <c r="X7433" t="s">
        <v>43</v>
      </c>
      <c r="Y7433" t="s">
        <v>43</v>
      </c>
      <c r="Z7433" t="s">
        <v>43</v>
      </c>
      <c r="AA7433" t="s">
        <v>43</v>
      </c>
      <c r="AB7433" t="s">
        <v>43</v>
      </c>
      <c r="AC7433" t="s">
        <v>43</v>
      </c>
      <c r="AD7433" t="s">
        <v>43</v>
      </c>
      <c r="AE7433" t="s">
        <v>43</v>
      </c>
      <c r="AF7433" t="s">
        <v>43</v>
      </c>
      <c r="AG7433" t="s">
        <v>43</v>
      </c>
      <c r="AH7433" t="s">
        <v>43</v>
      </c>
      <c r="AI7433" t="s">
        <v>43</v>
      </c>
      <c r="AJ7433" t="s">
        <v>43</v>
      </c>
      <c r="AK7433" t="s">
        <v>43</v>
      </c>
      <c r="AL7433" t="s">
        <v>43</v>
      </c>
      <c r="AM7433" t="s">
        <v>43</v>
      </c>
      <c r="AN7433" t="str">
        <f>HYPERLINK("https://www.google.com/maps?q=10.78966141,79.5788269","Open Location")</f>
        <v>Open Location</v>
      </c>
    </row>
    <row r="7434" spans="1:40" x14ac:dyDescent="0.3">
      <c r="A7434" s="1">
        <v>46210.138888888891</v>
      </c>
      <c r="B7434" t="s">
        <v>40</v>
      </c>
      <c r="C7434" t="s">
        <v>41</v>
      </c>
      <c r="D7434" s="1">
        <v>46210.141932870371</v>
      </c>
      <c r="E7434" t="s">
        <v>42</v>
      </c>
      <c r="F7434" t="s">
        <v>43</v>
      </c>
      <c r="G7434" t="s">
        <v>43</v>
      </c>
      <c r="H7434" t="s">
        <v>43</v>
      </c>
      <c r="I7434" t="s">
        <v>4065</v>
      </c>
      <c r="J7434" t="s">
        <v>43</v>
      </c>
      <c r="K7434" t="s">
        <v>43</v>
      </c>
      <c r="L7434" t="s">
        <v>43</v>
      </c>
      <c r="M7434" t="s">
        <v>43</v>
      </c>
      <c r="N7434" t="s">
        <v>45</v>
      </c>
      <c r="O7434" t="s">
        <v>43</v>
      </c>
      <c r="P7434" t="s">
        <v>43</v>
      </c>
      <c r="Q7434" t="s">
        <v>43</v>
      </c>
      <c r="R7434" t="s">
        <v>43</v>
      </c>
      <c r="S7434" t="s">
        <v>43</v>
      </c>
      <c r="T7434" t="s">
        <v>43</v>
      </c>
      <c r="U7434" t="s">
        <v>43</v>
      </c>
      <c r="V7434" t="s">
        <v>43</v>
      </c>
      <c r="W7434" t="s">
        <v>43</v>
      </c>
      <c r="X7434" t="s">
        <v>43</v>
      </c>
      <c r="Y7434" t="s">
        <v>43</v>
      </c>
      <c r="Z7434" t="s">
        <v>43</v>
      </c>
      <c r="AA7434" t="s">
        <v>43</v>
      </c>
      <c r="AB7434" t="s">
        <v>43</v>
      </c>
      <c r="AC7434" t="s">
        <v>43</v>
      </c>
      <c r="AD7434" t="s">
        <v>43</v>
      </c>
      <c r="AE7434" t="s">
        <v>43</v>
      </c>
      <c r="AF7434" t="s">
        <v>43</v>
      </c>
      <c r="AG7434" t="s">
        <v>43</v>
      </c>
      <c r="AH7434" t="s">
        <v>43</v>
      </c>
      <c r="AI7434" t="s">
        <v>43</v>
      </c>
      <c r="AJ7434" t="s">
        <v>43</v>
      </c>
      <c r="AK7434" t="s">
        <v>43</v>
      </c>
      <c r="AL7434" t="s">
        <v>43</v>
      </c>
      <c r="AM7434" t="s">
        <v>43</v>
      </c>
      <c r="AN7434" t="str">
        <f>HYPERLINK("https://www.google.com/maps?q=10.78966713,79.5788269","Open Location")</f>
        <v>Open Location</v>
      </c>
    </row>
    <row r="7435" spans="1:40" x14ac:dyDescent="0.3">
      <c r="A7435" s="1">
        <v>46210.138773148145</v>
      </c>
      <c r="B7435" t="s">
        <v>40</v>
      </c>
      <c r="C7435" t="s">
        <v>41</v>
      </c>
      <c r="D7435" s="1">
        <v>46210.141944444447</v>
      </c>
      <c r="E7435" t="s">
        <v>42</v>
      </c>
      <c r="F7435" t="s">
        <v>43</v>
      </c>
      <c r="G7435" t="s">
        <v>43</v>
      </c>
      <c r="H7435" t="s">
        <v>43</v>
      </c>
      <c r="I7435" t="s">
        <v>4149</v>
      </c>
      <c r="J7435" t="s">
        <v>43</v>
      </c>
      <c r="K7435" t="s">
        <v>43</v>
      </c>
      <c r="L7435" t="s">
        <v>43</v>
      </c>
      <c r="M7435" t="s">
        <v>43</v>
      </c>
      <c r="N7435" t="s">
        <v>45</v>
      </c>
      <c r="O7435" t="s">
        <v>43</v>
      </c>
      <c r="P7435" t="s">
        <v>43</v>
      </c>
      <c r="Q7435" t="s">
        <v>43</v>
      </c>
      <c r="R7435" t="s">
        <v>43</v>
      </c>
      <c r="S7435" t="s">
        <v>43</v>
      </c>
      <c r="T7435" t="s">
        <v>43</v>
      </c>
      <c r="U7435" t="s">
        <v>43</v>
      </c>
      <c r="V7435" t="s">
        <v>43</v>
      </c>
      <c r="W7435" t="s">
        <v>43</v>
      </c>
      <c r="X7435" t="s">
        <v>43</v>
      </c>
      <c r="Y7435" t="s">
        <v>43</v>
      </c>
      <c r="Z7435" t="s">
        <v>43</v>
      </c>
      <c r="AA7435" t="s">
        <v>43</v>
      </c>
      <c r="AB7435" t="s">
        <v>43</v>
      </c>
      <c r="AC7435" t="s">
        <v>43</v>
      </c>
      <c r="AD7435" t="s">
        <v>43</v>
      </c>
      <c r="AE7435" t="s">
        <v>43</v>
      </c>
      <c r="AF7435" t="s">
        <v>43</v>
      </c>
      <c r="AG7435" t="s">
        <v>43</v>
      </c>
      <c r="AH7435" t="s">
        <v>43</v>
      </c>
      <c r="AI7435" t="s">
        <v>43</v>
      </c>
      <c r="AJ7435" t="s">
        <v>43</v>
      </c>
      <c r="AK7435" t="s">
        <v>43</v>
      </c>
      <c r="AL7435" t="s">
        <v>43</v>
      </c>
      <c r="AM7435" t="s">
        <v>43</v>
      </c>
      <c r="AN7435" t="str">
        <f>HYPERLINK("https://www.google.com/maps?q=10.78966522,79.5788269","Open Location")</f>
        <v>Open Location</v>
      </c>
    </row>
    <row r="7436" spans="1:40" x14ac:dyDescent="0.3">
      <c r="A7436" s="1">
        <v>46210.138657407406</v>
      </c>
      <c r="B7436" t="s">
        <v>40</v>
      </c>
      <c r="C7436" t="s">
        <v>41</v>
      </c>
      <c r="D7436" s="1">
        <v>46210.141736111109</v>
      </c>
      <c r="E7436" t="s">
        <v>42</v>
      </c>
      <c r="F7436" t="s">
        <v>43</v>
      </c>
      <c r="G7436" t="s">
        <v>43</v>
      </c>
      <c r="H7436" t="s">
        <v>43</v>
      </c>
      <c r="I7436" t="s">
        <v>3933</v>
      </c>
      <c r="J7436" t="s">
        <v>43</v>
      </c>
      <c r="K7436" t="s">
        <v>43</v>
      </c>
      <c r="L7436" t="s">
        <v>43</v>
      </c>
      <c r="M7436" t="s">
        <v>43</v>
      </c>
      <c r="N7436" t="s">
        <v>45</v>
      </c>
      <c r="O7436" t="s">
        <v>43</v>
      </c>
      <c r="P7436" t="s">
        <v>43</v>
      </c>
      <c r="Q7436" t="s">
        <v>43</v>
      </c>
      <c r="R7436" t="s">
        <v>43</v>
      </c>
      <c r="S7436" t="s">
        <v>43</v>
      </c>
      <c r="T7436" t="s">
        <v>43</v>
      </c>
      <c r="U7436" t="s">
        <v>43</v>
      </c>
      <c r="V7436" t="s">
        <v>43</v>
      </c>
      <c r="W7436" t="s">
        <v>43</v>
      </c>
      <c r="X7436" t="s">
        <v>43</v>
      </c>
      <c r="Y7436" t="s">
        <v>43</v>
      </c>
      <c r="Z7436" t="s">
        <v>43</v>
      </c>
      <c r="AA7436" t="s">
        <v>43</v>
      </c>
      <c r="AB7436" t="s">
        <v>43</v>
      </c>
      <c r="AC7436" t="s">
        <v>43</v>
      </c>
      <c r="AD7436" t="s">
        <v>43</v>
      </c>
      <c r="AE7436" t="s">
        <v>43</v>
      </c>
      <c r="AF7436" t="s">
        <v>43</v>
      </c>
      <c r="AG7436" t="s">
        <v>43</v>
      </c>
      <c r="AH7436" t="s">
        <v>43</v>
      </c>
      <c r="AI7436" t="s">
        <v>43</v>
      </c>
      <c r="AJ7436" t="s">
        <v>43</v>
      </c>
      <c r="AK7436" t="s">
        <v>43</v>
      </c>
      <c r="AL7436" t="s">
        <v>43</v>
      </c>
      <c r="AM7436" t="s">
        <v>43</v>
      </c>
      <c r="AN7436" t="str">
        <f>HYPERLINK("https://www.google.com/maps?q=10.78966999,79.57881165","Open Location")</f>
        <v>Open Location</v>
      </c>
    </row>
    <row r="7437" spans="1:40" x14ac:dyDescent="0.3">
      <c r="A7437" s="1">
        <v>46210.138541666667</v>
      </c>
      <c r="B7437" t="s">
        <v>40</v>
      </c>
      <c r="C7437" t="s">
        <v>41</v>
      </c>
      <c r="D7437" s="1">
        <v>46210.141550925924</v>
      </c>
      <c r="E7437" t="s">
        <v>42</v>
      </c>
      <c r="F7437" t="s">
        <v>43</v>
      </c>
      <c r="G7437" t="s">
        <v>43</v>
      </c>
      <c r="H7437" t="s">
        <v>43</v>
      </c>
      <c r="I7437" t="s">
        <v>43</v>
      </c>
      <c r="J7437" t="s">
        <v>43</v>
      </c>
      <c r="K7437" t="s">
        <v>43</v>
      </c>
      <c r="L7437" t="s">
        <v>43</v>
      </c>
      <c r="M7437" t="s">
        <v>43</v>
      </c>
      <c r="N7437" t="s">
        <v>45</v>
      </c>
      <c r="O7437" t="s">
        <v>43</v>
      </c>
      <c r="P7437" t="s">
        <v>43</v>
      </c>
      <c r="Q7437" t="s">
        <v>43</v>
      </c>
      <c r="R7437" t="s">
        <v>43</v>
      </c>
      <c r="S7437" t="s">
        <v>43</v>
      </c>
      <c r="T7437" t="s">
        <v>43</v>
      </c>
      <c r="U7437" t="s">
        <v>43</v>
      </c>
      <c r="V7437" t="s">
        <v>43</v>
      </c>
      <c r="W7437" t="s">
        <v>43</v>
      </c>
      <c r="X7437" t="s">
        <v>43</v>
      </c>
      <c r="Y7437" t="s">
        <v>43</v>
      </c>
      <c r="Z7437" t="s">
        <v>43</v>
      </c>
      <c r="AA7437" t="s">
        <v>43</v>
      </c>
      <c r="AB7437" t="s">
        <v>43</v>
      </c>
      <c r="AC7437" t="s">
        <v>43</v>
      </c>
      <c r="AD7437" t="s">
        <v>43</v>
      </c>
      <c r="AE7437" t="s">
        <v>43</v>
      </c>
      <c r="AF7437" t="s">
        <v>43</v>
      </c>
      <c r="AG7437" t="s">
        <v>43</v>
      </c>
      <c r="AH7437" t="s">
        <v>43</v>
      </c>
      <c r="AI7437" t="s">
        <v>43</v>
      </c>
      <c r="AJ7437" t="s">
        <v>43</v>
      </c>
      <c r="AK7437" t="s">
        <v>43</v>
      </c>
      <c r="AL7437" t="s">
        <v>43</v>
      </c>
      <c r="AM7437" t="s">
        <v>43</v>
      </c>
      <c r="AN7437" t="s">
        <v>43</v>
      </c>
    </row>
    <row r="7438" spans="1:40" x14ac:dyDescent="0.3">
      <c r="A7438" s="1">
        <v>46210.138425925928</v>
      </c>
      <c r="B7438" t="s">
        <v>40</v>
      </c>
      <c r="C7438" t="s">
        <v>41</v>
      </c>
      <c r="D7438" s="1">
        <v>46210.141192129631</v>
      </c>
      <c r="E7438" t="s">
        <v>42</v>
      </c>
      <c r="F7438" t="s">
        <v>43</v>
      </c>
      <c r="G7438" t="s">
        <v>43</v>
      </c>
      <c r="H7438" t="s">
        <v>43</v>
      </c>
      <c r="I7438" t="s">
        <v>4256</v>
      </c>
      <c r="J7438" t="s">
        <v>43</v>
      </c>
      <c r="K7438" t="s">
        <v>43</v>
      </c>
      <c r="L7438" t="s">
        <v>43</v>
      </c>
      <c r="M7438" t="s">
        <v>43</v>
      </c>
      <c r="N7438" t="s">
        <v>45</v>
      </c>
      <c r="O7438" t="s">
        <v>43</v>
      </c>
      <c r="P7438" t="s">
        <v>43</v>
      </c>
      <c r="Q7438" t="s">
        <v>43</v>
      </c>
      <c r="R7438" t="s">
        <v>43</v>
      </c>
      <c r="S7438" t="s">
        <v>43</v>
      </c>
      <c r="T7438" t="s">
        <v>43</v>
      </c>
      <c r="U7438" t="s">
        <v>43</v>
      </c>
      <c r="V7438" t="s">
        <v>43</v>
      </c>
      <c r="W7438" t="s">
        <v>43</v>
      </c>
      <c r="X7438" t="s">
        <v>43</v>
      </c>
      <c r="Y7438" t="s">
        <v>43</v>
      </c>
      <c r="Z7438" t="s">
        <v>43</v>
      </c>
      <c r="AA7438" t="s">
        <v>43</v>
      </c>
      <c r="AB7438" t="s">
        <v>43</v>
      </c>
      <c r="AC7438" t="s">
        <v>43</v>
      </c>
      <c r="AD7438" t="s">
        <v>43</v>
      </c>
      <c r="AE7438" t="s">
        <v>43</v>
      </c>
      <c r="AF7438" t="s">
        <v>43</v>
      </c>
      <c r="AG7438" t="s">
        <v>43</v>
      </c>
      <c r="AH7438" t="s">
        <v>43</v>
      </c>
      <c r="AI7438" t="s">
        <v>43</v>
      </c>
      <c r="AJ7438" t="s">
        <v>43</v>
      </c>
      <c r="AK7438" t="s">
        <v>43</v>
      </c>
      <c r="AL7438" t="s">
        <v>43</v>
      </c>
      <c r="AM7438" t="s">
        <v>43</v>
      </c>
      <c r="AN7438" t="str">
        <f>HYPERLINK("https://www.google.com/maps?q=10.78967476,79.57881165","Open Location")</f>
        <v>Open Location</v>
      </c>
    </row>
    <row r="7439" spans="1:40" x14ac:dyDescent="0.3">
      <c r="A7439" s="1">
        <v>46210.138310185182</v>
      </c>
      <c r="B7439" t="s">
        <v>40</v>
      </c>
      <c r="C7439" t="s">
        <v>41</v>
      </c>
      <c r="D7439" s="1">
        <v>46210.141192129631</v>
      </c>
      <c r="E7439" t="s">
        <v>42</v>
      </c>
      <c r="F7439" t="s">
        <v>43</v>
      </c>
      <c r="G7439" t="s">
        <v>43</v>
      </c>
      <c r="H7439" t="s">
        <v>43</v>
      </c>
      <c r="I7439" t="s">
        <v>4219</v>
      </c>
      <c r="J7439" t="s">
        <v>43</v>
      </c>
      <c r="K7439" t="s">
        <v>43</v>
      </c>
      <c r="L7439" t="s">
        <v>43</v>
      </c>
      <c r="M7439" t="s">
        <v>43</v>
      </c>
      <c r="N7439" t="s">
        <v>45</v>
      </c>
      <c r="O7439" t="s">
        <v>43</v>
      </c>
      <c r="P7439" t="s">
        <v>43</v>
      </c>
      <c r="Q7439" t="s">
        <v>43</v>
      </c>
      <c r="R7439" t="s">
        <v>43</v>
      </c>
      <c r="S7439" t="s">
        <v>43</v>
      </c>
      <c r="T7439" t="s">
        <v>43</v>
      </c>
      <c r="U7439" t="s">
        <v>43</v>
      </c>
      <c r="V7439" t="s">
        <v>43</v>
      </c>
      <c r="W7439" t="s">
        <v>43</v>
      </c>
      <c r="X7439" t="s">
        <v>43</v>
      </c>
      <c r="Y7439" t="s">
        <v>43</v>
      </c>
      <c r="Z7439" t="s">
        <v>43</v>
      </c>
      <c r="AA7439" t="s">
        <v>43</v>
      </c>
      <c r="AB7439" t="s">
        <v>43</v>
      </c>
      <c r="AC7439" t="s">
        <v>43</v>
      </c>
      <c r="AD7439" t="s">
        <v>43</v>
      </c>
      <c r="AE7439" t="s">
        <v>43</v>
      </c>
      <c r="AF7439" t="s">
        <v>43</v>
      </c>
      <c r="AG7439" t="s">
        <v>43</v>
      </c>
      <c r="AH7439" t="s">
        <v>43</v>
      </c>
      <c r="AI7439" t="s">
        <v>43</v>
      </c>
      <c r="AJ7439" t="s">
        <v>43</v>
      </c>
      <c r="AK7439" t="s">
        <v>43</v>
      </c>
      <c r="AL7439" t="s">
        <v>43</v>
      </c>
      <c r="AM7439" t="s">
        <v>43</v>
      </c>
      <c r="AN7439" t="str">
        <f>HYPERLINK("https://www.google.com/maps?q=10.78967571,79.57879639","Open Location")</f>
        <v>Open Location</v>
      </c>
    </row>
    <row r="7440" spans="1:40" x14ac:dyDescent="0.3">
      <c r="A7440" s="1">
        <v>46210.138194444444</v>
      </c>
      <c r="B7440" t="s">
        <v>40</v>
      </c>
      <c r="C7440" t="s">
        <v>41</v>
      </c>
      <c r="D7440" s="1">
        <v>46210.141192129631</v>
      </c>
      <c r="E7440" t="s">
        <v>42</v>
      </c>
      <c r="F7440" t="s">
        <v>43</v>
      </c>
      <c r="G7440" t="s">
        <v>43</v>
      </c>
      <c r="H7440" t="s">
        <v>43</v>
      </c>
      <c r="I7440" t="s">
        <v>4034</v>
      </c>
      <c r="J7440" t="s">
        <v>43</v>
      </c>
      <c r="K7440" t="s">
        <v>43</v>
      </c>
      <c r="L7440" t="s">
        <v>43</v>
      </c>
      <c r="M7440" t="s">
        <v>43</v>
      </c>
      <c r="N7440" t="s">
        <v>45</v>
      </c>
      <c r="O7440" t="s">
        <v>43</v>
      </c>
      <c r="P7440" t="s">
        <v>43</v>
      </c>
      <c r="Q7440" t="s">
        <v>43</v>
      </c>
      <c r="R7440" t="s">
        <v>43</v>
      </c>
      <c r="S7440" t="s">
        <v>43</v>
      </c>
      <c r="T7440" t="s">
        <v>43</v>
      </c>
      <c r="U7440" t="s">
        <v>43</v>
      </c>
      <c r="V7440" t="s">
        <v>43</v>
      </c>
      <c r="W7440" t="s">
        <v>43</v>
      </c>
      <c r="X7440" t="s">
        <v>43</v>
      </c>
      <c r="Y7440" t="s">
        <v>43</v>
      </c>
      <c r="Z7440" t="s">
        <v>43</v>
      </c>
      <c r="AA7440" t="s">
        <v>43</v>
      </c>
      <c r="AB7440" t="s">
        <v>43</v>
      </c>
      <c r="AC7440" t="s">
        <v>43</v>
      </c>
      <c r="AD7440" t="s">
        <v>43</v>
      </c>
      <c r="AE7440" t="s">
        <v>43</v>
      </c>
      <c r="AF7440" t="s">
        <v>43</v>
      </c>
      <c r="AG7440" t="s">
        <v>43</v>
      </c>
      <c r="AH7440" t="s">
        <v>43</v>
      </c>
      <c r="AI7440" t="s">
        <v>43</v>
      </c>
      <c r="AJ7440" t="s">
        <v>43</v>
      </c>
      <c r="AK7440" t="s">
        <v>43</v>
      </c>
      <c r="AL7440" t="s">
        <v>43</v>
      </c>
      <c r="AM7440" t="s">
        <v>43</v>
      </c>
      <c r="AN7440" t="str">
        <f>HYPERLINK("https://www.google.com/maps?q=10.7896719,79.57878113","Open Location")</f>
        <v>Open Location</v>
      </c>
    </row>
    <row r="7441" spans="1:40" x14ac:dyDescent="0.3">
      <c r="A7441" s="1">
        <v>46210.138078703705</v>
      </c>
      <c r="B7441" t="s">
        <v>40</v>
      </c>
      <c r="C7441" t="s">
        <v>41</v>
      </c>
      <c r="D7441" s="1">
        <v>46210.141203703701</v>
      </c>
      <c r="E7441" t="s">
        <v>42</v>
      </c>
      <c r="F7441" t="s">
        <v>43</v>
      </c>
      <c r="G7441" t="s">
        <v>43</v>
      </c>
      <c r="H7441" t="s">
        <v>43</v>
      </c>
      <c r="I7441" t="s">
        <v>4034</v>
      </c>
      <c r="J7441" t="s">
        <v>43</v>
      </c>
      <c r="K7441" t="s">
        <v>43</v>
      </c>
      <c r="L7441" t="s">
        <v>43</v>
      </c>
      <c r="M7441" t="s">
        <v>43</v>
      </c>
      <c r="N7441" t="s">
        <v>45</v>
      </c>
      <c r="O7441" t="s">
        <v>43</v>
      </c>
      <c r="P7441" t="s">
        <v>43</v>
      </c>
      <c r="Q7441" t="s">
        <v>43</v>
      </c>
      <c r="R7441" t="s">
        <v>43</v>
      </c>
      <c r="S7441" t="s">
        <v>43</v>
      </c>
      <c r="T7441" t="s">
        <v>43</v>
      </c>
      <c r="U7441" t="s">
        <v>43</v>
      </c>
      <c r="V7441" t="s">
        <v>43</v>
      </c>
      <c r="W7441" t="s">
        <v>43</v>
      </c>
      <c r="X7441" t="s">
        <v>43</v>
      </c>
      <c r="Y7441" t="s">
        <v>43</v>
      </c>
      <c r="Z7441" t="s">
        <v>43</v>
      </c>
      <c r="AA7441" t="s">
        <v>43</v>
      </c>
      <c r="AB7441" t="s">
        <v>43</v>
      </c>
      <c r="AC7441" t="s">
        <v>43</v>
      </c>
      <c r="AD7441" t="s">
        <v>43</v>
      </c>
      <c r="AE7441" t="s">
        <v>43</v>
      </c>
      <c r="AF7441" t="s">
        <v>43</v>
      </c>
      <c r="AG7441" t="s">
        <v>43</v>
      </c>
      <c r="AH7441" t="s">
        <v>43</v>
      </c>
      <c r="AI7441" t="s">
        <v>43</v>
      </c>
      <c r="AJ7441" t="s">
        <v>43</v>
      </c>
      <c r="AK7441" t="s">
        <v>43</v>
      </c>
      <c r="AL7441" t="s">
        <v>43</v>
      </c>
      <c r="AM7441" t="s">
        <v>43</v>
      </c>
      <c r="AN7441" t="str">
        <f>HYPERLINK("https://www.google.com/maps?q=10.7896719,79.57878113","Open Location")</f>
        <v>Open Location</v>
      </c>
    </row>
    <row r="7442" spans="1:40" x14ac:dyDescent="0.3">
      <c r="A7442" s="1">
        <v>46210.137962962966</v>
      </c>
      <c r="B7442" t="s">
        <v>40</v>
      </c>
      <c r="C7442" t="s">
        <v>41</v>
      </c>
      <c r="D7442" s="1">
        <v>46210.140833333331</v>
      </c>
      <c r="E7442" t="s">
        <v>42</v>
      </c>
      <c r="F7442" t="s">
        <v>43</v>
      </c>
      <c r="G7442" t="s">
        <v>43</v>
      </c>
      <c r="H7442" t="s">
        <v>43</v>
      </c>
      <c r="I7442" t="s">
        <v>43</v>
      </c>
      <c r="J7442" t="s">
        <v>43</v>
      </c>
      <c r="K7442" t="s">
        <v>43</v>
      </c>
      <c r="L7442" t="s">
        <v>43</v>
      </c>
      <c r="M7442" t="s">
        <v>43</v>
      </c>
      <c r="N7442" t="s">
        <v>45</v>
      </c>
      <c r="O7442" t="s">
        <v>43</v>
      </c>
      <c r="P7442" t="s">
        <v>43</v>
      </c>
      <c r="Q7442" t="s">
        <v>43</v>
      </c>
      <c r="R7442" t="s">
        <v>43</v>
      </c>
      <c r="S7442" t="s">
        <v>43</v>
      </c>
      <c r="T7442" t="s">
        <v>43</v>
      </c>
      <c r="U7442" t="s">
        <v>43</v>
      </c>
      <c r="V7442" t="s">
        <v>43</v>
      </c>
      <c r="W7442" t="s">
        <v>43</v>
      </c>
      <c r="X7442" t="s">
        <v>43</v>
      </c>
      <c r="Y7442" t="s">
        <v>43</v>
      </c>
      <c r="Z7442" t="s">
        <v>43</v>
      </c>
      <c r="AA7442" t="s">
        <v>43</v>
      </c>
      <c r="AB7442" t="s">
        <v>43</v>
      </c>
      <c r="AC7442" t="s">
        <v>43</v>
      </c>
      <c r="AD7442" t="s">
        <v>43</v>
      </c>
      <c r="AE7442" t="s">
        <v>43</v>
      </c>
      <c r="AF7442" t="s">
        <v>43</v>
      </c>
      <c r="AG7442" t="s">
        <v>43</v>
      </c>
      <c r="AH7442" t="s">
        <v>43</v>
      </c>
      <c r="AI7442" t="s">
        <v>43</v>
      </c>
      <c r="AJ7442" t="s">
        <v>43</v>
      </c>
      <c r="AK7442" t="s">
        <v>43</v>
      </c>
      <c r="AL7442" t="s">
        <v>43</v>
      </c>
      <c r="AM7442" t="s">
        <v>43</v>
      </c>
      <c r="AN7442" t="s">
        <v>43</v>
      </c>
    </row>
    <row r="7443" spans="1:40" x14ac:dyDescent="0.3">
      <c r="A7443" s="1">
        <v>46210.13784722222</v>
      </c>
      <c r="B7443" t="s">
        <v>40</v>
      </c>
      <c r="C7443" t="s">
        <v>41</v>
      </c>
      <c r="D7443" s="1">
        <v>46210.141192129631</v>
      </c>
      <c r="E7443" t="s">
        <v>42</v>
      </c>
      <c r="F7443" t="s">
        <v>43</v>
      </c>
      <c r="G7443" t="s">
        <v>43</v>
      </c>
      <c r="H7443" t="s">
        <v>43</v>
      </c>
      <c r="I7443" t="s">
        <v>4235</v>
      </c>
      <c r="J7443" t="s">
        <v>43</v>
      </c>
      <c r="K7443" t="s">
        <v>43</v>
      </c>
      <c r="L7443" t="s">
        <v>43</v>
      </c>
      <c r="M7443" t="s">
        <v>43</v>
      </c>
      <c r="N7443" t="s">
        <v>45</v>
      </c>
      <c r="O7443" t="s">
        <v>43</v>
      </c>
      <c r="P7443" t="s">
        <v>43</v>
      </c>
      <c r="Q7443" t="s">
        <v>43</v>
      </c>
      <c r="R7443" t="s">
        <v>43</v>
      </c>
      <c r="S7443" t="s">
        <v>43</v>
      </c>
      <c r="T7443" t="s">
        <v>43</v>
      </c>
      <c r="U7443" t="s">
        <v>43</v>
      </c>
      <c r="V7443" t="s">
        <v>43</v>
      </c>
      <c r="W7443" t="s">
        <v>43</v>
      </c>
      <c r="X7443" t="s">
        <v>43</v>
      </c>
      <c r="Y7443" t="s">
        <v>43</v>
      </c>
      <c r="Z7443" t="s">
        <v>43</v>
      </c>
      <c r="AA7443" t="s">
        <v>43</v>
      </c>
      <c r="AB7443" t="s">
        <v>43</v>
      </c>
      <c r="AC7443" t="s">
        <v>43</v>
      </c>
      <c r="AD7443" t="s">
        <v>43</v>
      </c>
      <c r="AE7443" t="s">
        <v>43</v>
      </c>
      <c r="AF7443" t="s">
        <v>43</v>
      </c>
      <c r="AG7443" t="s">
        <v>43</v>
      </c>
      <c r="AH7443" t="s">
        <v>43</v>
      </c>
      <c r="AI7443" t="s">
        <v>43</v>
      </c>
      <c r="AJ7443" t="s">
        <v>43</v>
      </c>
      <c r="AK7443" t="s">
        <v>43</v>
      </c>
      <c r="AL7443" t="s">
        <v>43</v>
      </c>
      <c r="AM7443" t="s">
        <v>43</v>
      </c>
      <c r="AN7443" t="str">
        <f>HYPERLINK("https://www.google.com/maps?q=10.7896719,79.57878876","Open Location")</f>
        <v>Open Location</v>
      </c>
    </row>
    <row r="7444" spans="1:40" x14ac:dyDescent="0.3">
      <c r="A7444" s="1">
        <v>46210.137731481482</v>
      </c>
      <c r="B7444" t="s">
        <v>40</v>
      </c>
      <c r="C7444" t="s">
        <v>41</v>
      </c>
      <c r="D7444" s="1">
        <v>46210.140451388892</v>
      </c>
      <c r="E7444" t="s">
        <v>42</v>
      </c>
      <c r="F7444" t="s">
        <v>43</v>
      </c>
      <c r="G7444" t="s">
        <v>43</v>
      </c>
      <c r="H7444" t="s">
        <v>43</v>
      </c>
      <c r="I7444" t="s">
        <v>4156</v>
      </c>
      <c r="J7444" t="s">
        <v>43</v>
      </c>
      <c r="K7444" t="s">
        <v>43</v>
      </c>
      <c r="L7444" t="s">
        <v>43</v>
      </c>
      <c r="M7444" t="s">
        <v>43</v>
      </c>
      <c r="N7444" t="s">
        <v>45</v>
      </c>
      <c r="O7444" t="s">
        <v>43</v>
      </c>
      <c r="P7444" t="s">
        <v>43</v>
      </c>
      <c r="Q7444" t="s">
        <v>43</v>
      </c>
      <c r="R7444" t="s">
        <v>43</v>
      </c>
      <c r="S7444" t="s">
        <v>43</v>
      </c>
      <c r="T7444" t="s">
        <v>43</v>
      </c>
      <c r="U7444" t="s">
        <v>43</v>
      </c>
      <c r="V7444" t="s">
        <v>43</v>
      </c>
      <c r="W7444" t="s">
        <v>43</v>
      </c>
      <c r="X7444" t="s">
        <v>43</v>
      </c>
      <c r="Y7444" t="s">
        <v>43</v>
      </c>
      <c r="Z7444" t="s">
        <v>43</v>
      </c>
      <c r="AA7444" t="s">
        <v>43</v>
      </c>
      <c r="AB7444" t="s">
        <v>43</v>
      </c>
      <c r="AC7444" t="s">
        <v>43</v>
      </c>
      <c r="AD7444" t="s">
        <v>43</v>
      </c>
      <c r="AE7444" t="s">
        <v>43</v>
      </c>
      <c r="AF7444" t="s">
        <v>43</v>
      </c>
      <c r="AG7444" t="s">
        <v>43</v>
      </c>
      <c r="AH7444" t="s">
        <v>43</v>
      </c>
      <c r="AI7444" t="s">
        <v>43</v>
      </c>
      <c r="AJ7444" t="s">
        <v>43</v>
      </c>
      <c r="AK7444" t="s">
        <v>43</v>
      </c>
      <c r="AL7444" t="s">
        <v>43</v>
      </c>
      <c r="AM7444" t="s">
        <v>43</v>
      </c>
      <c r="AN7444" t="str">
        <f>HYPERLINK("https://www.google.com/maps?q=10.78967094,79.57879639","Open Location")</f>
        <v>Open Location</v>
      </c>
    </row>
    <row r="7445" spans="1:40" x14ac:dyDescent="0.3">
      <c r="A7445" s="1">
        <v>46210.137615740743</v>
      </c>
      <c r="B7445" t="s">
        <v>40</v>
      </c>
      <c r="C7445" t="s">
        <v>41</v>
      </c>
      <c r="D7445" s="1">
        <v>46210.140833333331</v>
      </c>
      <c r="E7445" t="s">
        <v>42</v>
      </c>
      <c r="F7445" t="s">
        <v>43</v>
      </c>
      <c r="G7445" t="s">
        <v>43</v>
      </c>
      <c r="H7445" t="s">
        <v>43</v>
      </c>
      <c r="I7445" t="s">
        <v>4222</v>
      </c>
      <c r="J7445" t="s">
        <v>43</v>
      </c>
      <c r="K7445" t="s">
        <v>43</v>
      </c>
      <c r="L7445" t="s">
        <v>43</v>
      </c>
      <c r="M7445" t="s">
        <v>43</v>
      </c>
      <c r="N7445" t="s">
        <v>45</v>
      </c>
      <c r="O7445" t="s">
        <v>43</v>
      </c>
      <c r="P7445" t="s">
        <v>43</v>
      </c>
      <c r="Q7445" t="s">
        <v>43</v>
      </c>
      <c r="R7445" t="s">
        <v>43</v>
      </c>
      <c r="S7445" t="s">
        <v>43</v>
      </c>
      <c r="T7445" t="s">
        <v>43</v>
      </c>
      <c r="U7445" t="s">
        <v>43</v>
      </c>
      <c r="V7445" t="s">
        <v>43</v>
      </c>
      <c r="W7445" t="s">
        <v>43</v>
      </c>
      <c r="X7445" t="s">
        <v>43</v>
      </c>
      <c r="Y7445" t="s">
        <v>43</v>
      </c>
      <c r="Z7445" t="s">
        <v>43</v>
      </c>
      <c r="AA7445" t="s">
        <v>43</v>
      </c>
      <c r="AB7445" t="s">
        <v>43</v>
      </c>
      <c r="AC7445" t="s">
        <v>43</v>
      </c>
      <c r="AD7445" t="s">
        <v>43</v>
      </c>
      <c r="AE7445" t="s">
        <v>43</v>
      </c>
      <c r="AF7445" t="s">
        <v>43</v>
      </c>
      <c r="AG7445" t="s">
        <v>43</v>
      </c>
      <c r="AH7445" t="s">
        <v>43</v>
      </c>
      <c r="AI7445" t="s">
        <v>43</v>
      </c>
      <c r="AJ7445" t="s">
        <v>43</v>
      </c>
      <c r="AK7445" t="s">
        <v>43</v>
      </c>
      <c r="AL7445" t="s">
        <v>43</v>
      </c>
      <c r="AM7445" t="s">
        <v>43</v>
      </c>
      <c r="AN7445" t="str">
        <f>HYPERLINK("https://www.google.com/maps?q=10.78966904,79.57881165","Open Location")</f>
        <v>Open Location</v>
      </c>
    </row>
    <row r="7446" spans="1:40" x14ac:dyDescent="0.3">
      <c r="A7446" s="1">
        <v>46210.137499999997</v>
      </c>
      <c r="B7446" t="s">
        <v>40</v>
      </c>
      <c r="C7446" t="s">
        <v>41</v>
      </c>
      <c r="D7446" s="1">
        <v>46210.140462962961</v>
      </c>
      <c r="E7446" t="s">
        <v>42</v>
      </c>
      <c r="F7446" t="s">
        <v>43</v>
      </c>
      <c r="G7446" t="s">
        <v>43</v>
      </c>
      <c r="H7446" t="s">
        <v>43</v>
      </c>
      <c r="I7446" t="s">
        <v>3942</v>
      </c>
      <c r="J7446" t="s">
        <v>43</v>
      </c>
      <c r="K7446" t="s">
        <v>43</v>
      </c>
      <c r="L7446" t="s">
        <v>43</v>
      </c>
      <c r="M7446" t="s">
        <v>43</v>
      </c>
      <c r="N7446" t="s">
        <v>45</v>
      </c>
      <c r="O7446" t="s">
        <v>43</v>
      </c>
      <c r="P7446" t="s">
        <v>43</v>
      </c>
      <c r="Q7446" t="s">
        <v>43</v>
      </c>
      <c r="R7446" t="s">
        <v>43</v>
      </c>
      <c r="S7446" t="s">
        <v>43</v>
      </c>
      <c r="T7446" t="s">
        <v>43</v>
      </c>
      <c r="U7446" t="s">
        <v>43</v>
      </c>
      <c r="V7446" t="s">
        <v>43</v>
      </c>
      <c r="W7446" t="s">
        <v>43</v>
      </c>
      <c r="X7446" t="s">
        <v>43</v>
      </c>
      <c r="Y7446" t="s">
        <v>43</v>
      </c>
      <c r="Z7446" t="s">
        <v>43</v>
      </c>
      <c r="AA7446" t="s">
        <v>43</v>
      </c>
      <c r="AB7446" t="s">
        <v>43</v>
      </c>
      <c r="AC7446" t="s">
        <v>43</v>
      </c>
      <c r="AD7446" t="s">
        <v>43</v>
      </c>
      <c r="AE7446" t="s">
        <v>43</v>
      </c>
      <c r="AF7446" t="s">
        <v>43</v>
      </c>
      <c r="AG7446" t="s">
        <v>43</v>
      </c>
      <c r="AH7446" t="s">
        <v>43</v>
      </c>
      <c r="AI7446" t="s">
        <v>43</v>
      </c>
      <c r="AJ7446" t="s">
        <v>43</v>
      </c>
      <c r="AK7446" t="s">
        <v>43</v>
      </c>
      <c r="AL7446" t="s">
        <v>43</v>
      </c>
      <c r="AM7446" t="s">
        <v>43</v>
      </c>
      <c r="AN7446" t="str">
        <f>HYPERLINK("https://www.google.com/maps?q=10.78966713,79.57881927","Open Location")</f>
        <v>Open Location</v>
      </c>
    </row>
    <row r="7447" spans="1:40" x14ac:dyDescent="0.3">
      <c r="A7447" s="1">
        <v>46210.137384259258</v>
      </c>
      <c r="B7447" t="s">
        <v>40</v>
      </c>
      <c r="C7447" t="s">
        <v>41</v>
      </c>
      <c r="D7447" s="1">
        <v>46210.140451388892</v>
      </c>
      <c r="E7447" t="s">
        <v>42</v>
      </c>
      <c r="F7447" t="s">
        <v>43</v>
      </c>
      <c r="G7447" t="s">
        <v>43</v>
      </c>
      <c r="H7447" t="s">
        <v>43</v>
      </c>
      <c r="I7447" t="s">
        <v>4092</v>
      </c>
      <c r="J7447" t="s">
        <v>43</v>
      </c>
      <c r="K7447" t="s">
        <v>43</v>
      </c>
      <c r="L7447" t="s">
        <v>43</v>
      </c>
      <c r="M7447" t="s">
        <v>43</v>
      </c>
      <c r="N7447" t="s">
        <v>45</v>
      </c>
      <c r="O7447" t="s">
        <v>43</v>
      </c>
      <c r="P7447" t="s">
        <v>43</v>
      </c>
      <c r="Q7447" t="s">
        <v>43</v>
      </c>
      <c r="R7447" t="s">
        <v>43</v>
      </c>
      <c r="S7447" t="s">
        <v>43</v>
      </c>
      <c r="T7447" t="s">
        <v>43</v>
      </c>
      <c r="U7447" t="s">
        <v>43</v>
      </c>
      <c r="V7447" t="s">
        <v>43</v>
      </c>
      <c r="W7447" t="s">
        <v>43</v>
      </c>
      <c r="X7447" t="s">
        <v>43</v>
      </c>
      <c r="Y7447" t="s">
        <v>43</v>
      </c>
      <c r="Z7447" t="s">
        <v>43</v>
      </c>
      <c r="AA7447" t="s">
        <v>43</v>
      </c>
      <c r="AB7447" t="s">
        <v>43</v>
      </c>
      <c r="AC7447" t="s">
        <v>43</v>
      </c>
      <c r="AD7447" t="s">
        <v>43</v>
      </c>
      <c r="AE7447" t="s">
        <v>43</v>
      </c>
      <c r="AF7447" t="s">
        <v>43</v>
      </c>
      <c r="AG7447" t="s">
        <v>43</v>
      </c>
      <c r="AH7447" t="s">
        <v>43</v>
      </c>
      <c r="AI7447" t="s">
        <v>43</v>
      </c>
      <c r="AJ7447" t="s">
        <v>43</v>
      </c>
      <c r="AK7447" t="s">
        <v>43</v>
      </c>
      <c r="AL7447" t="s">
        <v>43</v>
      </c>
      <c r="AM7447" t="s">
        <v>43</v>
      </c>
      <c r="AN7447" t="str">
        <f>HYPERLINK("https://www.google.com/maps?q=10.78966427,79.57881927","Open Location")</f>
        <v>Open Location</v>
      </c>
    </row>
    <row r="7448" spans="1:40" x14ac:dyDescent="0.3">
      <c r="A7448" s="1">
        <v>46210.13726851852</v>
      </c>
      <c r="B7448" t="s">
        <v>40</v>
      </c>
      <c r="C7448" t="s">
        <v>41</v>
      </c>
      <c r="D7448" s="1">
        <v>46210.140277777777</v>
      </c>
      <c r="E7448" t="s">
        <v>42</v>
      </c>
      <c r="F7448" t="s">
        <v>43</v>
      </c>
      <c r="G7448" t="s">
        <v>43</v>
      </c>
      <c r="H7448" t="s">
        <v>43</v>
      </c>
      <c r="I7448" t="s">
        <v>43</v>
      </c>
      <c r="J7448" t="s">
        <v>43</v>
      </c>
      <c r="K7448" t="s">
        <v>43</v>
      </c>
      <c r="L7448" t="s">
        <v>43</v>
      </c>
      <c r="M7448" t="s">
        <v>43</v>
      </c>
      <c r="N7448" t="s">
        <v>45</v>
      </c>
      <c r="O7448" t="s">
        <v>43</v>
      </c>
      <c r="P7448" t="s">
        <v>43</v>
      </c>
      <c r="Q7448" t="s">
        <v>43</v>
      </c>
      <c r="R7448" t="s">
        <v>43</v>
      </c>
      <c r="S7448" t="s">
        <v>43</v>
      </c>
      <c r="T7448" t="s">
        <v>43</v>
      </c>
      <c r="U7448" t="s">
        <v>43</v>
      </c>
      <c r="V7448" t="s">
        <v>43</v>
      </c>
      <c r="W7448" t="s">
        <v>43</v>
      </c>
      <c r="X7448" t="s">
        <v>43</v>
      </c>
      <c r="Y7448" t="s">
        <v>43</v>
      </c>
      <c r="Z7448" t="s">
        <v>43</v>
      </c>
      <c r="AA7448" t="s">
        <v>43</v>
      </c>
      <c r="AB7448" t="s">
        <v>43</v>
      </c>
      <c r="AC7448" t="s">
        <v>43</v>
      </c>
      <c r="AD7448" t="s">
        <v>43</v>
      </c>
      <c r="AE7448" t="s">
        <v>43</v>
      </c>
      <c r="AF7448" t="s">
        <v>43</v>
      </c>
      <c r="AG7448" t="s">
        <v>43</v>
      </c>
      <c r="AH7448" t="s">
        <v>43</v>
      </c>
      <c r="AI7448" t="s">
        <v>43</v>
      </c>
      <c r="AJ7448" t="s">
        <v>43</v>
      </c>
      <c r="AK7448" t="s">
        <v>43</v>
      </c>
      <c r="AL7448" t="s">
        <v>43</v>
      </c>
      <c r="AM7448" t="s">
        <v>43</v>
      </c>
      <c r="AN7448" t="s">
        <v>43</v>
      </c>
    </row>
    <row r="7449" spans="1:40" x14ac:dyDescent="0.3">
      <c r="A7449" s="1">
        <v>46210.137152777781</v>
      </c>
      <c r="B7449" t="s">
        <v>40</v>
      </c>
      <c r="C7449" t="s">
        <v>41</v>
      </c>
      <c r="D7449" s="1">
        <v>46210.140092592592</v>
      </c>
      <c r="E7449" t="s">
        <v>42</v>
      </c>
      <c r="F7449" t="s">
        <v>43</v>
      </c>
      <c r="G7449" t="s">
        <v>43</v>
      </c>
      <c r="H7449" t="s">
        <v>43</v>
      </c>
      <c r="I7449" t="s">
        <v>3932</v>
      </c>
      <c r="J7449" t="s">
        <v>43</v>
      </c>
      <c r="K7449" t="s">
        <v>43</v>
      </c>
      <c r="L7449" t="s">
        <v>43</v>
      </c>
      <c r="M7449" t="s">
        <v>43</v>
      </c>
      <c r="N7449" t="s">
        <v>45</v>
      </c>
      <c r="O7449" t="s">
        <v>43</v>
      </c>
      <c r="P7449" t="s">
        <v>43</v>
      </c>
      <c r="Q7449" t="s">
        <v>43</v>
      </c>
      <c r="R7449" t="s">
        <v>43</v>
      </c>
      <c r="S7449" t="s">
        <v>43</v>
      </c>
      <c r="T7449" t="s">
        <v>43</v>
      </c>
      <c r="U7449" t="s">
        <v>43</v>
      </c>
      <c r="V7449" t="s">
        <v>43</v>
      </c>
      <c r="W7449" t="s">
        <v>43</v>
      </c>
      <c r="X7449" t="s">
        <v>43</v>
      </c>
      <c r="Y7449" t="s">
        <v>43</v>
      </c>
      <c r="Z7449" t="s">
        <v>43</v>
      </c>
      <c r="AA7449" t="s">
        <v>43</v>
      </c>
      <c r="AB7449" t="s">
        <v>43</v>
      </c>
      <c r="AC7449" t="s">
        <v>43</v>
      </c>
      <c r="AD7449" t="s">
        <v>43</v>
      </c>
      <c r="AE7449" t="s">
        <v>43</v>
      </c>
      <c r="AF7449" t="s">
        <v>43</v>
      </c>
      <c r="AG7449" t="s">
        <v>43</v>
      </c>
      <c r="AH7449" t="s">
        <v>43</v>
      </c>
      <c r="AI7449" t="s">
        <v>43</v>
      </c>
      <c r="AJ7449" t="s">
        <v>43</v>
      </c>
      <c r="AK7449" t="s">
        <v>43</v>
      </c>
      <c r="AL7449" t="s">
        <v>43</v>
      </c>
      <c r="AM7449" t="s">
        <v>43</v>
      </c>
      <c r="AN7449" t="str">
        <f>HYPERLINK("https://www.google.com/maps?q=10.78966522,79.57881927","Open Location")</f>
        <v>Open Location</v>
      </c>
    </row>
    <row r="7450" spans="1:40" x14ac:dyDescent="0.3">
      <c r="A7450" s="1">
        <v>46210.137037037035</v>
      </c>
      <c r="B7450" t="s">
        <v>40</v>
      </c>
      <c r="C7450" t="s">
        <v>41</v>
      </c>
      <c r="D7450" s="1">
        <v>46210.139907407407</v>
      </c>
      <c r="E7450" t="s">
        <v>42</v>
      </c>
      <c r="F7450" t="s">
        <v>43</v>
      </c>
      <c r="G7450" t="s">
        <v>43</v>
      </c>
      <c r="H7450" t="s">
        <v>43</v>
      </c>
      <c r="I7450" t="s">
        <v>4224</v>
      </c>
      <c r="J7450" t="s">
        <v>43</v>
      </c>
      <c r="K7450" t="s">
        <v>43</v>
      </c>
      <c r="L7450" t="s">
        <v>43</v>
      </c>
      <c r="M7450" t="s">
        <v>43</v>
      </c>
      <c r="N7450" t="s">
        <v>45</v>
      </c>
      <c r="O7450" t="s">
        <v>43</v>
      </c>
      <c r="P7450" t="s">
        <v>43</v>
      </c>
      <c r="Q7450" t="s">
        <v>43</v>
      </c>
      <c r="R7450" t="s">
        <v>43</v>
      </c>
      <c r="S7450" t="s">
        <v>43</v>
      </c>
      <c r="T7450" t="s">
        <v>43</v>
      </c>
      <c r="U7450" t="s">
        <v>43</v>
      </c>
      <c r="V7450" t="s">
        <v>43</v>
      </c>
      <c r="W7450" t="s">
        <v>43</v>
      </c>
      <c r="X7450" t="s">
        <v>43</v>
      </c>
      <c r="Y7450" t="s">
        <v>43</v>
      </c>
      <c r="Z7450" t="s">
        <v>43</v>
      </c>
      <c r="AA7450" t="s">
        <v>43</v>
      </c>
      <c r="AB7450" t="s">
        <v>43</v>
      </c>
      <c r="AC7450" t="s">
        <v>43</v>
      </c>
      <c r="AD7450" t="s">
        <v>43</v>
      </c>
      <c r="AE7450" t="s">
        <v>43</v>
      </c>
      <c r="AF7450" t="s">
        <v>43</v>
      </c>
      <c r="AG7450" t="s">
        <v>43</v>
      </c>
      <c r="AH7450" t="s">
        <v>43</v>
      </c>
      <c r="AI7450" t="s">
        <v>43</v>
      </c>
      <c r="AJ7450" t="s">
        <v>43</v>
      </c>
      <c r="AK7450" t="s">
        <v>43</v>
      </c>
      <c r="AL7450" t="s">
        <v>43</v>
      </c>
      <c r="AM7450" t="s">
        <v>43</v>
      </c>
      <c r="AN7450" t="str">
        <f>HYPERLINK("https://www.google.com/maps?q=10.78966808,79.57881165","Open Location")</f>
        <v>Open Location</v>
      </c>
    </row>
    <row r="7451" spans="1:40" x14ac:dyDescent="0.3">
      <c r="A7451" s="1">
        <v>46210.136921296296</v>
      </c>
      <c r="B7451" t="s">
        <v>40</v>
      </c>
      <c r="C7451" t="s">
        <v>41</v>
      </c>
      <c r="D7451" s="1">
        <v>46210.140092592592</v>
      </c>
      <c r="E7451" t="s">
        <v>42</v>
      </c>
      <c r="F7451" t="s">
        <v>43</v>
      </c>
      <c r="G7451" t="s">
        <v>43</v>
      </c>
      <c r="H7451" t="s">
        <v>43</v>
      </c>
      <c r="I7451" t="s">
        <v>4222</v>
      </c>
      <c r="J7451" t="s">
        <v>43</v>
      </c>
      <c r="K7451" t="s">
        <v>43</v>
      </c>
      <c r="L7451" t="s">
        <v>43</v>
      </c>
      <c r="M7451" t="s">
        <v>43</v>
      </c>
      <c r="N7451" t="s">
        <v>45</v>
      </c>
      <c r="O7451" t="s">
        <v>43</v>
      </c>
      <c r="P7451" t="s">
        <v>43</v>
      </c>
      <c r="Q7451" t="s">
        <v>43</v>
      </c>
      <c r="R7451" t="s">
        <v>43</v>
      </c>
      <c r="S7451" t="s">
        <v>43</v>
      </c>
      <c r="T7451" t="s">
        <v>43</v>
      </c>
      <c r="U7451" t="s">
        <v>43</v>
      </c>
      <c r="V7451" t="s">
        <v>43</v>
      </c>
      <c r="W7451" t="s">
        <v>43</v>
      </c>
      <c r="X7451" t="s">
        <v>43</v>
      </c>
      <c r="Y7451" t="s">
        <v>43</v>
      </c>
      <c r="Z7451" t="s">
        <v>43</v>
      </c>
      <c r="AA7451" t="s">
        <v>43</v>
      </c>
      <c r="AB7451" t="s">
        <v>43</v>
      </c>
      <c r="AC7451" t="s">
        <v>43</v>
      </c>
      <c r="AD7451" t="s">
        <v>43</v>
      </c>
      <c r="AE7451" t="s">
        <v>43</v>
      </c>
      <c r="AF7451" t="s">
        <v>43</v>
      </c>
      <c r="AG7451" t="s">
        <v>43</v>
      </c>
      <c r="AH7451" t="s">
        <v>43</v>
      </c>
      <c r="AI7451" t="s">
        <v>43</v>
      </c>
      <c r="AJ7451" t="s">
        <v>43</v>
      </c>
      <c r="AK7451" t="s">
        <v>43</v>
      </c>
      <c r="AL7451" t="s">
        <v>43</v>
      </c>
      <c r="AM7451" t="s">
        <v>43</v>
      </c>
      <c r="AN7451" t="str">
        <f>HYPERLINK("https://www.google.com/maps?q=10.78966904,79.57881165","Open Location")</f>
        <v>Open Location</v>
      </c>
    </row>
    <row r="7452" spans="1:40" x14ac:dyDescent="0.3">
      <c r="A7452" s="1">
        <v>46210.136805555558</v>
      </c>
      <c r="B7452" t="s">
        <v>40</v>
      </c>
      <c r="C7452" t="s">
        <v>41</v>
      </c>
      <c r="D7452" s="1">
        <v>46210.139687499999</v>
      </c>
      <c r="E7452" t="s">
        <v>42</v>
      </c>
      <c r="F7452" t="s">
        <v>43</v>
      </c>
      <c r="G7452" t="s">
        <v>43</v>
      </c>
      <c r="H7452" t="s">
        <v>43</v>
      </c>
      <c r="I7452" t="s">
        <v>4164</v>
      </c>
      <c r="J7452" t="s">
        <v>43</v>
      </c>
      <c r="K7452" t="s">
        <v>43</v>
      </c>
      <c r="L7452" t="s">
        <v>43</v>
      </c>
      <c r="M7452" t="s">
        <v>43</v>
      </c>
      <c r="N7452" t="s">
        <v>45</v>
      </c>
      <c r="O7452" t="s">
        <v>43</v>
      </c>
      <c r="P7452" t="s">
        <v>43</v>
      </c>
      <c r="Q7452" t="s">
        <v>43</v>
      </c>
      <c r="R7452" t="s">
        <v>43</v>
      </c>
      <c r="S7452" t="s">
        <v>43</v>
      </c>
      <c r="T7452" t="s">
        <v>43</v>
      </c>
      <c r="U7452" t="s">
        <v>43</v>
      </c>
      <c r="V7452" t="s">
        <v>43</v>
      </c>
      <c r="W7452" t="s">
        <v>43</v>
      </c>
      <c r="X7452" t="s">
        <v>43</v>
      </c>
      <c r="Y7452" t="s">
        <v>43</v>
      </c>
      <c r="Z7452" t="s">
        <v>43</v>
      </c>
      <c r="AA7452" t="s">
        <v>43</v>
      </c>
      <c r="AB7452" t="s">
        <v>43</v>
      </c>
      <c r="AC7452" t="s">
        <v>43</v>
      </c>
      <c r="AD7452" t="s">
        <v>43</v>
      </c>
      <c r="AE7452" t="s">
        <v>43</v>
      </c>
      <c r="AF7452" t="s">
        <v>43</v>
      </c>
      <c r="AG7452" t="s">
        <v>43</v>
      </c>
      <c r="AH7452" t="s">
        <v>43</v>
      </c>
      <c r="AI7452" t="s">
        <v>43</v>
      </c>
      <c r="AJ7452" t="s">
        <v>43</v>
      </c>
      <c r="AK7452" t="s">
        <v>43</v>
      </c>
      <c r="AL7452" t="s">
        <v>43</v>
      </c>
      <c r="AM7452" t="s">
        <v>43</v>
      </c>
      <c r="AN7452" t="str">
        <f>HYPERLINK("https://www.google.com/maps?q=10.78967571,79.57881927","Open Location")</f>
        <v>Open Location</v>
      </c>
    </row>
    <row r="7453" spans="1:40" x14ac:dyDescent="0.3">
      <c r="A7453" s="1">
        <v>46210.136689814812</v>
      </c>
      <c r="B7453" t="s">
        <v>40</v>
      </c>
      <c r="C7453" t="s">
        <v>41</v>
      </c>
      <c r="D7453" s="1">
        <v>46210.139710648145</v>
      </c>
      <c r="E7453" t="s">
        <v>42</v>
      </c>
      <c r="F7453" t="s">
        <v>43</v>
      </c>
      <c r="G7453" t="s">
        <v>43</v>
      </c>
      <c r="H7453" t="s">
        <v>43</v>
      </c>
      <c r="I7453" t="s">
        <v>4150</v>
      </c>
      <c r="J7453" t="s">
        <v>43</v>
      </c>
      <c r="K7453" t="s">
        <v>43</v>
      </c>
      <c r="L7453" t="s">
        <v>43</v>
      </c>
      <c r="M7453" t="s">
        <v>43</v>
      </c>
      <c r="N7453" t="s">
        <v>45</v>
      </c>
      <c r="O7453" t="s">
        <v>43</v>
      </c>
      <c r="P7453" t="s">
        <v>43</v>
      </c>
      <c r="Q7453" t="s">
        <v>43</v>
      </c>
      <c r="R7453" t="s">
        <v>43</v>
      </c>
      <c r="S7453" t="s">
        <v>43</v>
      </c>
      <c r="T7453" t="s">
        <v>43</v>
      </c>
      <c r="U7453" t="s">
        <v>43</v>
      </c>
      <c r="V7453" t="s">
        <v>43</v>
      </c>
      <c r="W7453" t="s">
        <v>43</v>
      </c>
      <c r="X7453" t="s">
        <v>43</v>
      </c>
      <c r="Y7453" t="s">
        <v>43</v>
      </c>
      <c r="Z7453" t="s">
        <v>43</v>
      </c>
      <c r="AA7453" t="s">
        <v>43</v>
      </c>
      <c r="AB7453" t="s">
        <v>43</v>
      </c>
      <c r="AC7453" t="s">
        <v>43</v>
      </c>
      <c r="AD7453" t="s">
        <v>43</v>
      </c>
      <c r="AE7453" t="s">
        <v>43</v>
      </c>
      <c r="AF7453" t="s">
        <v>43</v>
      </c>
      <c r="AG7453" t="s">
        <v>43</v>
      </c>
      <c r="AH7453" t="s">
        <v>43</v>
      </c>
      <c r="AI7453" t="s">
        <v>43</v>
      </c>
      <c r="AJ7453" t="s">
        <v>43</v>
      </c>
      <c r="AK7453" t="s">
        <v>43</v>
      </c>
      <c r="AL7453" t="s">
        <v>43</v>
      </c>
      <c r="AM7453" t="s">
        <v>43</v>
      </c>
      <c r="AN7453" t="str">
        <f>HYPERLINK("https://www.google.com/maps?q=10.78967667,79.57881927","Open Location")</f>
        <v>Open Location</v>
      </c>
    </row>
    <row r="7454" spans="1:40" x14ac:dyDescent="0.3">
      <c r="A7454" s="1">
        <v>46210.136574074073</v>
      </c>
      <c r="B7454" t="s">
        <v>40</v>
      </c>
      <c r="C7454" t="s">
        <v>41</v>
      </c>
      <c r="D7454" s="1">
        <v>46210.139710648145</v>
      </c>
      <c r="E7454" t="s">
        <v>42</v>
      </c>
      <c r="F7454" t="s">
        <v>43</v>
      </c>
      <c r="G7454" t="s">
        <v>43</v>
      </c>
      <c r="H7454" t="s">
        <v>43</v>
      </c>
      <c r="I7454" t="s">
        <v>43</v>
      </c>
      <c r="J7454" t="s">
        <v>43</v>
      </c>
      <c r="K7454" t="s">
        <v>43</v>
      </c>
      <c r="L7454" t="s">
        <v>43</v>
      </c>
      <c r="M7454" t="s">
        <v>43</v>
      </c>
      <c r="N7454" t="s">
        <v>45</v>
      </c>
      <c r="O7454" t="s">
        <v>43</v>
      </c>
      <c r="P7454" t="s">
        <v>43</v>
      </c>
      <c r="Q7454" t="s">
        <v>43</v>
      </c>
      <c r="R7454" t="s">
        <v>43</v>
      </c>
      <c r="S7454" t="s">
        <v>43</v>
      </c>
      <c r="T7454" t="s">
        <v>43</v>
      </c>
      <c r="U7454" t="s">
        <v>43</v>
      </c>
      <c r="V7454" t="s">
        <v>43</v>
      </c>
      <c r="W7454" t="s">
        <v>43</v>
      </c>
      <c r="X7454" t="s">
        <v>43</v>
      </c>
      <c r="Y7454" t="s">
        <v>43</v>
      </c>
      <c r="Z7454" t="s">
        <v>43</v>
      </c>
      <c r="AA7454" t="s">
        <v>43</v>
      </c>
      <c r="AB7454" t="s">
        <v>43</v>
      </c>
      <c r="AC7454" t="s">
        <v>43</v>
      </c>
      <c r="AD7454" t="s">
        <v>43</v>
      </c>
      <c r="AE7454" t="s">
        <v>43</v>
      </c>
      <c r="AF7454" t="s">
        <v>43</v>
      </c>
      <c r="AG7454" t="s">
        <v>43</v>
      </c>
      <c r="AH7454" t="s">
        <v>43</v>
      </c>
      <c r="AI7454" t="s">
        <v>43</v>
      </c>
      <c r="AJ7454" t="s">
        <v>43</v>
      </c>
      <c r="AK7454" t="s">
        <v>43</v>
      </c>
      <c r="AL7454" t="s">
        <v>43</v>
      </c>
      <c r="AM7454" t="s">
        <v>43</v>
      </c>
      <c r="AN7454" t="s">
        <v>43</v>
      </c>
    </row>
    <row r="7455" spans="1:40" x14ac:dyDescent="0.3">
      <c r="A7455" s="1">
        <v>46210.136458333334</v>
      </c>
      <c r="B7455" t="s">
        <v>40</v>
      </c>
      <c r="C7455" t="s">
        <v>41</v>
      </c>
      <c r="D7455" s="1">
        <v>46210.139664351853</v>
      </c>
      <c r="E7455" t="s">
        <v>42</v>
      </c>
      <c r="F7455" t="s">
        <v>43</v>
      </c>
      <c r="G7455" t="s">
        <v>43</v>
      </c>
      <c r="H7455" t="s">
        <v>43</v>
      </c>
      <c r="I7455" t="s">
        <v>4257</v>
      </c>
      <c r="J7455" t="s">
        <v>43</v>
      </c>
      <c r="K7455" t="s">
        <v>43</v>
      </c>
      <c r="L7455" t="s">
        <v>43</v>
      </c>
      <c r="M7455" t="s">
        <v>43</v>
      </c>
      <c r="N7455" t="s">
        <v>45</v>
      </c>
      <c r="O7455" t="s">
        <v>43</v>
      </c>
      <c r="P7455" t="s">
        <v>43</v>
      </c>
      <c r="Q7455" t="s">
        <v>43</v>
      </c>
      <c r="R7455" t="s">
        <v>43</v>
      </c>
      <c r="S7455" t="s">
        <v>43</v>
      </c>
      <c r="T7455" t="s">
        <v>43</v>
      </c>
      <c r="U7455" t="s">
        <v>43</v>
      </c>
      <c r="V7455" t="s">
        <v>43</v>
      </c>
      <c r="W7455" t="s">
        <v>43</v>
      </c>
      <c r="X7455" t="s">
        <v>43</v>
      </c>
      <c r="Y7455" t="s">
        <v>43</v>
      </c>
      <c r="Z7455" t="s">
        <v>43</v>
      </c>
      <c r="AA7455" t="s">
        <v>43</v>
      </c>
      <c r="AB7455" t="s">
        <v>43</v>
      </c>
      <c r="AC7455" t="s">
        <v>43</v>
      </c>
      <c r="AD7455" t="s">
        <v>43</v>
      </c>
      <c r="AE7455" t="s">
        <v>43</v>
      </c>
      <c r="AF7455" t="s">
        <v>43</v>
      </c>
      <c r="AG7455" t="s">
        <v>43</v>
      </c>
      <c r="AH7455" t="s">
        <v>43</v>
      </c>
      <c r="AI7455" t="s">
        <v>43</v>
      </c>
      <c r="AJ7455" t="s">
        <v>43</v>
      </c>
      <c r="AK7455" t="s">
        <v>43</v>
      </c>
      <c r="AL7455" t="s">
        <v>43</v>
      </c>
      <c r="AM7455" t="s">
        <v>43</v>
      </c>
      <c r="AN7455" t="str">
        <f>HYPERLINK("https://www.google.com/maps?q=10.78967667,79.5788269","Open Location")</f>
        <v>Open Location</v>
      </c>
    </row>
    <row r="7456" spans="1:40" x14ac:dyDescent="0.3">
      <c r="A7456" s="1">
        <v>46210.136342592596</v>
      </c>
      <c r="B7456" t="s">
        <v>40</v>
      </c>
      <c r="C7456" t="s">
        <v>41</v>
      </c>
      <c r="D7456" s="1">
        <v>46210.139328703706</v>
      </c>
      <c r="E7456" t="s">
        <v>42</v>
      </c>
      <c r="F7456" t="s">
        <v>43</v>
      </c>
      <c r="G7456" t="s">
        <v>43</v>
      </c>
      <c r="H7456" t="s">
        <v>43</v>
      </c>
      <c r="I7456" t="s">
        <v>4258</v>
      </c>
      <c r="J7456" t="s">
        <v>43</v>
      </c>
      <c r="K7456" t="s">
        <v>43</v>
      </c>
      <c r="L7456" t="s">
        <v>43</v>
      </c>
      <c r="M7456" t="s">
        <v>43</v>
      </c>
      <c r="N7456" t="s">
        <v>45</v>
      </c>
      <c r="O7456" t="s">
        <v>43</v>
      </c>
      <c r="P7456" t="s">
        <v>43</v>
      </c>
      <c r="Q7456" t="s">
        <v>43</v>
      </c>
      <c r="R7456" t="s">
        <v>43</v>
      </c>
      <c r="S7456" t="s">
        <v>43</v>
      </c>
      <c r="T7456" t="s">
        <v>43</v>
      </c>
      <c r="U7456" t="s">
        <v>43</v>
      </c>
      <c r="V7456" t="s">
        <v>43</v>
      </c>
      <c r="W7456" t="s">
        <v>43</v>
      </c>
      <c r="X7456" t="s">
        <v>43</v>
      </c>
      <c r="Y7456" t="s">
        <v>43</v>
      </c>
      <c r="Z7456" t="s">
        <v>43</v>
      </c>
      <c r="AA7456" t="s">
        <v>43</v>
      </c>
      <c r="AB7456" t="s">
        <v>43</v>
      </c>
      <c r="AC7456" t="s">
        <v>43</v>
      </c>
      <c r="AD7456" t="s">
        <v>43</v>
      </c>
      <c r="AE7456" t="s">
        <v>43</v>
      </c>
      <c r="AF7456" t="s">
        <v>43</v>
      </c>
      <c r="AG7456" t="s">
        <v>43</v>
      </c>
      <c r="AH7456" t="s">
        <v>43</v>
      </c>
      <c r="AI7456" t="s">
        <v>43</v>
      </c>
      <c r="AJ7456" t="s">
        <v>43</v>
      </c>
      <c r="AK7456" t="s">
        <v>43</v>
      </c>
      <c r="AL7456" t="s">
        <v>43</v>
      </c>
      <c r="AM7456" t="s">
        <v>43</v>
      </c>
      <c r="AN7456" t="str">
        <f>HYPERLINK("https://www.google.com/maps?q=10.78967667,79.57883453","Open Location")</f>
        <v>Open Location</v>
      </c>
    </row>
    <row r="7457" spans="1:40" x14ac:dyDescent="0.3">
      <c r="A7457" s="1">
        <v>46210.13622685185</v>
      </c>
      <c r="B7457" t="s">
        <v>40</v>
      </c>
      <c r="C7457" t="s">
        <v>41</v>
      </c>
      <c r="D7457" s="1">
        <v>46210.139085648145</v>
      </c>
      <c r="E7457" t="s">
        <v>42</v>
      </c>
      <c r="F7457" t="s">
        <v>43</v>
      </c>
      <c r="G7457" t="s">
        <v>43</v>
      </c>
      <c r="H7457" t="s">
        <v>43</v>
      </c>
      <c r="I7457" t="s">
        <v>4259</v>
      </c>
      <c r="J7457" t="s">
        <v>43</v>
      </c>
      <c r="K7457" t="s">
        <v>43</v>
      </c>
      <c r="L7457" t="s">
        <v>43</v>
      </c>
      <c r="M7457" t="s">
        <v>43</v>
      </c>
      <c r="N7457" t="s">
        <v>45</v>
      </c>
      <c r="O7457" t="s">
        <v>43</v>
      </c>
      <c r="P7457" t="s">
        <v>43</v>
      </c>
      <c r="Q7457" t="s">
        <v>43</v>
      </c>
      <c r="R7457" t="s">
        <v>43</v>
      </c>
      <c r="S7457" t="s">
        <v>43</v>
      </c>
      <c r="T7457" t="s">
        <v>43</v>
      </c>
      <c r="U7457" t="s">
        <v>43</v>
      </c>
      <c r="V7457" t="s">
        <v>43</v>
      </c>
      <c r="W7457" t="s">
        <v>43</v>
      </c>
      <c r="X7457" t="s">
        <v>43</v>
      </c>
      <c r="Y7457" t="s">
        <v>43</v>
      </c>
      <c r="Z7457" t="s">
        <v>43</v>
      </c>
      <c r="AA7457" t="s">
        <v>43</v>
      </c>
      <c r="AB7457" t="s">
        <v>43</v>
      </c>
      <c r="AC7457" t="s">
        <v>43</v>
      </c>
      <c r="AD7457" t="s">
        <v>43</v>
      </c>
      <c r="AE7457" t="s">
        <v>43</v>
      </c>
      <c r="AF7457" t="s">
        <v>43</v>
      </c>
      <c r="AG7457" t="s">
        <v>43</v>
      </c>
      <c r="AH7457" t="s">
        <v>43</v>
      </c>
      <c r="AI7457" t="s">
        <v>43</v>
      </c>
      <c r="AJ7457" t="s">
        <v>43</v>
      </c>
      <c r="AK7457" t="s">
        <v>43</v>
      </c>
      <c r="AL7457" t="s">
        <v>43</v>
      </c>
      <c r="AM7457" t="s">
        <v>43</v>
      </c>
      <c r="AN7457" t="str">
        <f>HYPERLINK("https://www.google.com/maps?q=10.78967571,79.57884216","Open Location")</f>
        <v>Open Location</v>
      </c>
    </row>
    <row r="7458" spans="1:40" x14ac:dyDescent="0.3">
      <c r="A7458" s="1">
        <v>46210.136111111111</v>
      </c>
      <c r="B7458" t="s">
        <v>40</v>
      </c>
      <c r="C7458" t="s">
        <v>41</v>
      </c>
      <c r="D7458" s="1">
        <v>46210.139317129629</v>
      </c>
      <c r="E7458" t="s">
        <v>42</v>
      </c>
      <c r="F7458" t="s">
        <v>43</v>
      </c>
      <c r="G7458" t="s">
        <v>43</v>
      </c>
      <c r="H7458" t="s">
        <v>43</v>
      </c>
      <c r="I7458" t="s">
        <v>4259</v>
      </c>
      <c r="J7458" t="s">
        <v>43</v>
      </c>
      <c r="K7458" t="s">
        <v>43</v>
      </c>
      <c r="L7458" t="s">
        <v>43</v>
      </c>
      <c r="M7458" t="s">
        <v>43</v>
      </c>
      <c r="N7458" t="s">
        <v>45</v>
      </c>
      <c r="O7458" t="s">
        <v>43</v>
      </c>
      <c r="P7458" t="s">
        <v>43</v>
      </c>
      <c r="Q7458" t="s">
        <v>43</v>
      </c>
      <c r="R7458" t="s">
        <v>43</v>
      </c>
      <c r="S7458" t="s">
        <v>43</v>
      </c>
      <c r="T7458" t="s">
        <v>43</v>
      </c>
      <c r="U7458" t="s">
        <v>43</v>
      </c>
      <c r="V7458" t="s">
        <v>43</v>
      </c>
      <c r="W7458" t="s">
        <v>43</v>
      </c>
      <c r="X7458" t="s">
        <v>43</v>
      </c>
      <c r="Y7458" t="s">
        <v>43</v>
      </c>
      <c r="Z7458" t="s">
        <v>43</v>
      </c>
      <c r="AA7458" t="s">
        <v>43</v>
      </c>
      <c r="AB7458" t="s">
        <v>43</v>
      </c>
      <c r="AC7458" t="s">
        <v>43</v>
      </c>
      <c r="AD7458" t="s">
        <v>43</v>
      </c>
      <c r="AE7458" t="s">
        <v>43</v>
      </c>
      <c r="AF7458" t="s">
        <v>43</v>
      </c>
      <c r="AG7458" t="s">
        <v>43</v>
      </c>
      <c r="AH7458" t="s">
        <v>43</v>
      </c>
      <c r="AI7458" t="s">
        <v>43</v>
      </c>
      <c r="AJ7458" t="s">
        <v>43</v>
      </c>
      <c r="AK7458" t="s">
        <v>43</v>
      </c>
      <c r="AL7458" t="s">
        <v>43</v>
      </c>
      <c r="AM7458" t="s">
        <v>43</v>
      </c>
      <c r="AN7458" t="str">
        <f>HYPERLINK("https://www.google.com/maps?q=10.78967571,79.57884216","Open Location")</f>
        <v>Open Location</v>
      </c>
    </row>
    <row r="7459" spans="1:40" x14ac:dyDescent="0.3">
      <c r="A7459" s="1">
        <v>46210.135995370372</v>
      </c>
      <c r="B7459" t="s">
        <v>40</v>
      </c>
      <c r="C7459" t="s">
        <v>41</v>
      </c>
      <c r="D7459" s="1">
        <v>46210.138981481483</v>
      </c>
      <c r="E7459" t="s">
        <v>42</v>
      </c>
      <c r="F7459" t="s">
        <v>43</v>
      </c>
      <c r="G7459" t="s">
        <v>43</v>
      </c>
      <c r="H7459" t="s">
        <v>43</v>
      </c>
      <c r="I7459" t="s">
        <v>43</v>
      </c>
      <c r="J7459" t="s">
        <v>43</v>
      </c>
      <c r="K7459" t="s">
        <v>43</v>
      </c>
      <c r="L7459" t="s">
        <v>43</v>
      </c>
      <c r="M7459" t="s">
        <v>43</v>
      </c>
      <c r="N7459" t="s">
        <v>45</v>
      </c>
      <c r="O7459" t="s">
        <v>43</v>
      </c>
      <c r="P7459" t="s">
        <v>43</v>
      </c>
      <c r="Q7459" t="s">
        <v>43</v>
      </c>
      <c r="R7459" t="s">
        <v>43</v>
      </c>
      <c r="S7459" t="s">
        <v>43</v>
      </c>
      <c r="T7459" t="s">
        <v>43</v>
      </c>
      <c r="U7459" t="s">
        <v>43</v>
      </c>
      <c r="V7459" t="s">
        <v>43</v>
      </c>
      <c r="W7459" t="s">
        <v>43</v>
      </c>
      <c r="X7459" t="s">
        <v>43</v>
      </c>
      <c r="Y7459" t="s">
        <v>43</v>
      </c>
      <c r="Z7459" t="s">
        <v>43</v>
      </c>
      <c r="AA7459" t="s">
        <v>43</v>
      </c>
      <c r="AB7459" t="s">
        <v>43</v>
      </c>
      <c r="AC7459" t="s">
        <v>43</v>
      </c>
      <c r="AD7459" t="s">
        <v>43</v>
      </c>
      <c r="AE7459" t="s">
        <v>43</v>
      </c>
      <c r="AF7459" t="s">
        <v>43</v>
      </c>
      <c r="AG7459" t="s">
        <v>43</v>
      </c>
      <c r="AH7459" t="s">
        <v>43</v>
      </c>
      <c r="AI7459" t="s">
        <v>43</v>
      </c>
      <c r="AJ7459" t="s">
        <v>43</v>
      </c>
      <c r="AK7459" t="s">
        <v>43</v>
      </c>
      <c r="AL7459" t="s">
        <v>43</v>
      </c>
      <c r="AM7459" t="s">
        <v>43</v>
      </c>
      <c r="AN7459" t="s">
        <v>43</v>
      </c>
    </row>
    <row r="7460" spans="1:40" x14ac:dyDescent="0.3">
      <c r="A7460" s="1">
        <v>46210.135879629626</v>
      </c>
      <c r="B7460" t="s">
        <v>40</v>
      </c>
      <c r="C7460" t="s">
        <v>41</v>
      </c>
      <c r="D7460" s="1">
        <v>46210.138622685183</v>
      </c>
      <c r="E7460" t="s">
        <v>42</v>
      </c>
      <c r="F7460" t="s">
        <v>43</v>
      </c>
      <c r="G7460" t="s">
        <v>43</v>
      </c>
      <c r="H7460" t="s">
        <v>43</v>
      </c>
      <c r="I7460" t="s">
        <v>4260</v>
      </c>
      <c r="J7460" t="s">
        <v>43</v>
      </c>
      <c r="K7460" t="s">
        <v>43</v>
      </c>
      <c r="L7460" t="s">
        <v>43</v>
      </c>
      <c r="M7460" t="s">
        <v>43</v>
      </c>
      <c r="N7460" t="s">
        <v>45</v>
      </c>
      <c r="O7460" t="s">
        <v>43</v>
      </c>
      <c r="P7460" t="s">
        <v>43</v>
      </c>
      <c r="Q7460" t="s">
        <v>43</v>
      </c>
      <c r="R7460" t="s">
        <v>43</v>
      </c>
      <c r="S7460" t="s">
        <v>43</v>
      </c>
      <c r="T7460" t="s">
        <v>43</v>
      </c>
      <c r="U7460" t="s">
        <v>43</v>
      </c>
      <c r="V7460" t="s">
        <v>43</v>
      </c>
      <c r="W7460" t="s">
        <v>43</v>
      </c>
      <c r="X7460" t="s">
        <v>43</v>
      </c>
      <c r="Y7460" t="s">
        <v>43</v>
      </c>
      <c r="Z7460" t="s">
        <v>43</v>
      </c>
      <c r="AA7460" t="s">
        <v>43</v>
      </c>
      <c r="AB7460" t="s">
        <v>43</v>
      </c>
      <c r="AC7460" t="s">
        <v>43</v>
      </c>
      <c r="AD7460" t="s">
        <v>43</v>
      </c>
      <c r="AE7460" t="s">
        <v>43</v>
      </c>
      <c r="AF7460" t="s">
        <v>43</v>
      </c>
      <c r="AG7460" t="s">
        <v>43</v>
      </c>
      <c r="AH7460" t="s">
        <v>43</v>
      </c>
      <c r="AI7460" t="s">
        <v>43</v>
      </c>
      <c r="AJ7460" t="s">
        <v>43</v>
      </c>
      <c r="AK7460" t="s">
        <v>43</v>
      </c>
      <c r="AL7460" t="s">
        <v>43</v>
      </c>
      <c r="AM7460" t="s">
        <v>43</v>
      </c>
      <c r="AN7460" t="str">
        <f>HYPERLINK("https://www.google.com/maps?q=10.78967857,79.57883453","Open Location")</f>
        <v>Open Location</v>
      </c>
    </row>
    <row r="7461" spans="1:40" x14ac:dyDescent="0.3">
      <c r="A7461" s="1">
        <v>46210.135763888888</v>
      </c>
      <c r="B7461" t="s">
        <v>40</v>
      </c>
      <c r="C7461" t="s">
        <v>41</v>
      </c>
      <c r="D7461" s="1">
        <v>46210.138958333337</v>
      </c>
      <c r="E7461" t="s">
        <v>42</v>
      </c>
      <c r="F7461" t="s">
        <v>43</v>
      </c>
      <c r="G7461" t="s">
        <v>43</v>
      </c>
      <c r="H7461" t="s">
        <v>43</v>
      </c>
      <c r="I7461" t="s">
        <v>4258</v>
      </c>
      <c r="J7461" t="s">
        <v>43</v>
      </c>
      <c r="K7461" t="s">
        <v>43</v>
      </c>
      <c r="L7461" t="s">
        <v>43</v>
      </c>
      <c r="M7461" t="s">
        <v>43</v>
      </c>
      <c r="N7461" t="s">
        <v>45</v>
      </c>
      <c r="O7461" t="s">
        <v>43</v>
      </c>
      <c r="P7461" t="s">
        <v>43</v>
      </c>
      <c r="Q7461" t="s">
        <v>43</v>
      </c>
      <c r="R7461" t="s">
        <v>43</v>
      </c>
      <c r="S7461" t="s">
        <v>43</v>
      </c>
      <c r="T7461" t="s">
        <v>43</v>
      </c>
      <c r="U7461" t="s">
        <v>43</v>
      </c>
      <c r="V7461" t="s">
        <v>43</v>
      </c>
      <c r="W7461" t="s">
        <v>43</v>
      </c>
      <c r="X7461" t="s">
        <v>43</v>
      </c>
      <c r="Y7461" t="s">
        <v>43</v>
      </c>
      <c r="Z7461" t="s">
        <v>43</v>
      </c>
      <c r="AA7461" t="s">
        <v>43</v>
      </c>
      <c r="AB7461" t="s">
        <v>43</v>
      </c>
      <c r="AC7461" t="s">
        <v>43</v>
      </c>
      <c r="AD7461" t="s">
        <v>43</v>
      </c>
      <c r="AE7461" t="s">
        <v>43</v>
      </c>
      <c r="AF7461" t="s">
        <v>43</v>
      </c>
      <c r="AG7461" t="s">
        <v>43</v>
      </c>
      <c r="AH7461" t="s">
        <v>43</v>
      </c>
      <c r="AI7461" t="s">
        <v>43</v>
      </c>
      <c r="AJ7461" t="s">
        <v>43</v>
      </c>
      <c r="AK7461" t="s">
        <v>43</v>
      </c>
      <c r="AL7461" t="s">
        <v>43</v>
      </c>
      <c r="AM7461" t="s">
        <v>43</v>
      </c>
      <c r="AN7461" t="str">
        <f>HYPERLINK("https://www.google.com/maps?q=10.78967667,79.57883453","Open Location")</f>
        <v>Open Location</v>
      </c>
    </row>
    <row r="7462" spans="1:40" x14ac:dyDescent="0.3">
      <c r="A7462" s="1">
        <v>46210.135648148149</v>
      </c>
      <c r="B7462" t="s">
        <v>40</v>
      </c>
      <c r="C7462" t="s">
        <v>41</v>
      </c>
      <c r="D7462" s="1">
        <v>46210.138726851852</v>
      </c>
      <c r="E7462" t="s">
        <v>42</v>
      </c>
      <c r="F7462" t="s">
        <v>43</v>
      </c>
      <c r="G7462" t="s">
        <v>43</v>
      </c>
      <c r="H7462" t="s">
        <v>43</v>
      </c>
      <c r="I7462" t="s">
        <v>4261</v>
      </c>
      <c r="J7462" t="s">
        <v>43</v>
      </c>
      <c r="K7462" t="s">
        <v>43</v>
      </c>
      <c r="L7462" t="s">
        <v>43</v>
      </c>
      <c r="M7462" t="s">
        <v>43</v>
      </c>
      <c r="N7462" t="s">
        <v>45</v>
      </c>
      <c r="O7462" t="s">
        <v>43</v>
      </c>
      <c r="P7462" t="s">
        <v>43</v>
      </c>
      <c r="Q7462" t="s">
        <v>43</v>
      </c>
      <c r="R7462" t="s">
        <v>43</v>
      </c>
      <c r="S7462" t="s">
        <v>43</v>
      </c>
      <c r="T7462" t="s">
        <v>43</v>
      </c>
      <c r="U7462" t="s">
        <v>43</v>
      </c>
      <c r="V7462" t="s">
        <v>43</v>
      </c>
      <c r="W7462" t="s">
        <v>43</v>
      </c>
      <c r="X7462" t="s">
        <v>43</v>
      </c>
      <c r="Y7462" t="s">
        <v>43</v>
      </c>
      <c r="Z7462" t="s">
        <v>43</v>
      </c>
      <c r="AA7462" t="s">
        <v>43</v>
      </c>
      <c r="AB7462" t="s">
        <v>43</v>
      </c>
      <c r="AC7462" t="s">
        <v>43</v>
      </c>
      <c r="AD7462" t="s">
        <v>43</v>
      </c>
      <c r="AE7462" t="s">
        <v>43</v>
      </c>
      <c r="AF7462" t="s">
        <v>43</v>
      </c>
      <c r="AG7462" t="s">
        <v>43</v>
      </c>
      <c r="AH7462" t="s">
        <v>43</v>
      </c>
      <c r="AI7462" t="s">
        <v>43</v>
      </c>
      <c r="AJ7462" t="s">
        <v>43</v>
      </c>
      <c r="AK7462" t="s">
        <v>43</v>
      </c>
      <c r="AL7462" t="s">
        <v>43</v>
      </c>
      <c r="AM7462" t="s">
        <v>43</v>
      </c>
      <c r="AN7462" t="str">
        <f>HYPERLINK("https://www.google.com/maps?q=10.78966999,79.57884216","Open Location")</f>
        <v>Open Location</v>
      </c>
    </row>
    <row r="7463" spans="1:40" x14ac:dyDescent="0.3">
      <c r="A7463" s="1">
        <v>46210.13553240741</v>
      </c>
      <c r="B7463" t="s">
        <v>40</v>
      </c>
      <c r="C7463" t="s">
        <v>41</v>
      </c>
      <c r="D7463" s="1">
        <v>46210.138726851852</v>
      </c>
      <c r="E7463" t="s">
        <v>42</v>
      </c>
      <c r="F7463" t="s">
        <v>43</v>
      </c>
      <c r="G7463" t="s">
        <v>43</v>
      </c>
      <c r="H7463" t="s">
        <v>43</v>
      </c>
      <c r="I7463" t="s">
        <v>4076</v>
      </c>
      <c r="J7463" t="s">
        <v>43</v>
      </c>
      <c r="K7463" t="s">
        <v>43</v>
      </c>
      <c r="L7463" t="s">
        <v>43</v>
      </c>
      <c r="M7463" t="s">
        <v>43</v>
      </c>
      <c r="N7463" t="s">
        <v>45</v>
      </c>
      <c r="O7463" t="s">
        <v>43</v>
      </c>
      <c r="P7463" t="s">
        <v>43</v>
      </c>
      <c r="Q7463" t="s">
        <v>43</v>
      </c>
      <c r="R7463" t="s">
        <v>43</v>
      </c>
      <c r="S7463" t="s">
        <v>43</v>
      </c>
      <c r="T7463" t="s">
        <v>43</v>
      </c>
      <c r="U7463" t="s">
        <v>43</v>
      </c>
      <c r="V7463" t="s">
        <v>43</v>
      </c>
      <c r="W7463" t="s">
        <v>43</v>
      </c>
      <c r="X7463" t="s">
        <v>43</v>
      </c>
      <c r="Y7463" t="s">
        <v>43</v>
      </c>
      <c r="Z7463" t="s">
        <v>43</v>
      </c>
      <c r="AA7463" t="s">
        <v>43</v>
      </c>
      <c r="AB7463" t="s">
        <v>43</v>
      </c>
      <c r="AC7463" t="s">
        <v>43</v>
      </c>
      <c r="AD7463" t="s">
        <v>43</v>
      </c>
      <c r="AE7463" t="s">
        <v>43</v>
      </c>
      <c r="AF7463" t="s">
        <v>43</v>
      </c>
      <c r="AG7463" t="s">
        <v>43</v>
      </c>
      <c r="AH7463" t="s">
        <v>43</v>
      </c>
      <c r="AI7463" t="s">
        <v>43</v>
      </c>
      <c r="AJ7463" t="s">
        <v>43</v>
      </c>
      <c r="AK7463" t="s">
        <v>43</v>
      </c>
      <c r="AL7463" t="s">
        <v>43</v>
      </c>
      <c r="AM7463" t="s">
        <v>43</v>
      </c>
      <c r="AN7463" t="str">
        <f>HYPERLINK("https://www.google.com/maps?q=10.7896719,79.57883453","Open Location")</f>
        <v>Open Location</v>
      </c>
    </row>
    <row r="7464" spans="1:40" x14ac:dyDescent="0.3">
      <c r="A7464" s="1">
        <v>46210.135416666664</v>
      </c>
      <c r="B7464" t="s">
        <v>40</v>
      </c>
      <c r="C7464" t="s">
        <v>41</v>
      </c>
      <c r="D7464" s="1">
        <v>46210.138206018521</v>
      </c>
      <c r="E7464" t="s">
        <v>42</v>
      </c>
      <c r="F7464" t="s">
        <v>43</v>
      </c>
      <c r="G7464" t="s">
        <v>43</v>
      </c>
      <c r="H7464" t="s">
        <v>43</v>
      </c>
      <c r="I7464" t="s">
        <v>4262</v>
      </c>
      <c r="J7464" t="s">
        <v>43</v>
      </c>
      <c r="K7464" t="s">
        <v>43</v>
      </c>
      <c r="L7464" t="s">
        <v>43</v>
      </c>
      <c r="M7464" t="s">
        <v>43</v>
      </c>
      <c r="N7464" t="s">
        <v>45</v>
      </c>
      <c r="O7464" t="s">
        <v>43</v>
      </c>
      <c r="P7464" t="s">
        <v>43</v>
      </c>
      <c r="Q7464" t="s">
        <v>43</v>
      </c>
      <c r="R7464" t="s">
        <v>43</v>
      </c>
      <c r="S7464" t="s">
        <v>43</v>
      </c>
      <c r="T7464" t="s">
        <v>43</v>
      </c>
      <c r="U7464" t="s">
        <v>43</v>
      </c>
      <c r="V7464" t="s">
        <v>43</v>
      </c>
      <c r="W7464" t="s">
        <v>43</v>
      </c>
      <c r="X7464" t="s">
        <v>43</v>
      </c>
      <c r="Y7464" t="s">
        <v>43</v>
      </c>
      <c r="Z7464" t="s">
        <v>43</v>
      </c>
      <c r="AA7464" t="s">
        <v>43</v>
      </c>
      <c r="AB7464" t="s">
        <v>43</v>
      </c>
      <c r="AC7464" t="s">
        <v>43</v>
      </c>
      <c r="AD7464" t="s">
        <v>43</v>
      </c>
      <c r="AE7464" t="s">
        <v>43</v>
      </c>
      <c r="AF7464" t="s">
        <v>43</v>
      </c>
      <c r="AG7464" t="s">
        <v>43</v>
      </c>
      <c r="AH7464" t="s">
        <v>43</v>
      </c>
      <c r="AI7464" t="s">
        <v>43</v>
      </c>
      <c r="AJ7464" t="s">
        <v>43</v>
      </c>
      <c r="AK7464" t="s">
        <v>43</v>
      </c>
      <c r="AL7464" t="s">
        <v>43</v>
      </c>
      <c r="AM7464" t="s">
        <v>43</v>
      </c>
      <c r="AN7464" t="str">
        <f>HYPERLINK("https://www.google.com/maps?q=10.78967381,79.57883453","Open Location")</f>
        <v>Open Location</v>
      </c>
    </row>
    <row r="7465" spans="1:40" x14ac:dyDescent="0.3">
      <c r="A7465" s="1">
        <v>46210.135300925926</v>
      </c>
      <c r="B7465" t="s">
        <v>40</v>
      </c>
      <c r="C7465" t="s">
        <v>41</v>
      </c>
      <c r="D7465" s="1">
        <v>46210.138240740744</v>
      </c>
      <c r="E7465" t="s">
        <v>42</v>
      </c>
      <c r="F7465" t="s">
        <v>43</v>
      </c>
      <c r="G7465" t="s">
        <v>43</v>
      </c>
      <c r="H7465" t="s">
        <v>43</v>
      </c>
      <c r="I7465" t="s">
        <v>43</v>
      </c>
      <c r="J7465" t="s">
        <v>43</v>
      </c>
      <c r="K7465" t="s">
        <v>43</v>
      </c>
      <c r="L7465" t="s">
        <v>43</v>
      </c>
      <c r="M7465" t="s">
        <v>43</v>
      </c>
      <c r="N7465" t="s">
        <v>45</v>
      </c>
      <c r="O7465" t="s">
        <v>43</v>
      </c>
      <c r="P7465" t="s">
        <v>43</v>
      </c>
      <c r="Q7465" t="s">
        <v>43</v>
      </c>
      <c r="R7465" t="s">
        <v>43</v>
      </c>
      <c r="S7465" t="s">
        <v>43</v>
      </c>
      <c r="T7465" t="s">
        <v>43</v>
      </c>
      <c r="U7465" t="s">
        <v>43</v>
      </c>
      <c r="V7465" t="s">
        <v>43</v>
      </c>
      <c r="W7465" t="s">
        <v>43</v>
      </c>
      <c r="X7465" t="s">
        <v>43</v>
      </c>
      <c r="Y7465" t="s">
        <v>43</v>
      </c>
      <c r="Z7465" t="s">
        <v>43</v>
      </c>
      <c r="AA7465" t="s">
        <v>43</v>
      </c>
      <c r="AB7465" t="s">
        <v>43</v>
      </c>
      <c r="AC7465" t="s">
        <v>43</v>
      </c>
      <c r="AD7465" t="s">
        <v>43</v>
      </c>
      <c r="AE7465" t="s">
        <v>43</v>
      </c>
      <c r="AF7465" t="s">
        <v>43</v>
      </c>
      <c r="AG7465" t="s">
        <v>43</v>
      </c>
      <c r="AH7465" t="s">
        <v>43</v>
      </c>
      <c r="AI7465" t="s">
        <v>43</v>
      </c>
      <c r="AJ7465" t="s">
        <v>43</v>
      </c>
      <c r="AK7465" t="s">
        <v>43</v>
      </c>
      <c r="AL7465" t="s">
        <v>43</v>
      </c>
      <c r="AM7465" t="s">
        <v>43</v>
      </c>
      <c r="AN7465" t="s">
        <v>43</v>
      </c>
    </row>
    <row r="7466" spans="1:40" x14ac:dyDescent="0.3">
      <c r="A7466" s="1">
        <v>46210.135185185187</v>
      </c>
      <c r="B7466" t="s">
        <v>40</v>
      </c>
      <c r="C7466" t="s">
        <v>41</v>
      </c>
      <c r="D7466" s="1">
        <v>46210.138194444444</v>
      </c>
      <c r="E7466" t="s">
        <v>42</v>
      </c>
      <c r="F7466" t="s">
        <v>43</v>
      </c>
      <c r="G7466" t="s">
        <v>43</v>
      </c>
      <c r="H7466" t="s">
        <v>43</v>
      </c>
      <c r="I7466" t="s">
        <v>4008</v>
      </c>
      <c r="J7466" t="s">
        <v>43</v>
      </c>
      <c r="K7466" t="s">
        <v>43</v>
      </c>
      <c r="L7466" t="s">
        <v>43</v>
      </c>
      <c r="M7466" t="s">
        <v>43</v>
      </c>
      <c r="N7466" t="s">
        <v>45</v>
      </c>
      <c r="O7466" t="s">
        <v>43</v>
      </c>
      <c r="P7466" t="s">
        <v>43</v>
      </c>
      <c r="Q7466" t="s">
        <v>43</v>
      </c>
      <c r="R7466" t="s">
        <v>43</v>
      </c>
      <c r="S7466" t="s">
        <v>43</v>
      </c>
      <c r="T7466" t="s">
        <v>43</v>
      </c>
      <c r="U7466" t="s">
        <v>43</v>
      </c>
      <c r="V7466" t="s">
        <v>43</v>
      </c>
      <c r="W7466" t="s">
        <v>43</v>
      </c>
      <c r="X7466" t="s">
        <v>43</v>
      </c>
      <c r="Y7466" t="s">
        <v>43</v>
      </c>
      <c r="Z7466" t="s">
        <v>43</v>
      </c>
      <c r="AA7466" t="s">
        <v>43</v>
      </c>
      <c r="AB7466" t="s">
        <v>43</v>
      </c>
      <c r="AC7466" t="s">
        <v>43</v>
      </c>
      <c r="AD7466" t="s">
        <v>43</v>
      </c>
      <c r="AE7466" t="s">
        <v>43</v>
      </c>
      <c r="AF7466" t="s">
        <v>43</v>
      </c>
      <c r="AG7466" t="s">
        <v>43</v>
      </c>
      <c r="AH7466" t="s">
        <v>43</v>
      </c>
      <c r="AI7466" t="s">
        <v>43</v>
      </c>
      <c r="AJ7466" t="s">
        <v>43</v>
      </c>
      <c r="AK7466" t="s">
        <v>43</v>
      </c>
      <c r="AL7466" t="s">
        <v>43</v>
      </c>
      <c r="AM7466" t="s">
        <v>43</v>
      </c>
      <c r="AN7466" t="str">
        <f>HYPERLINK("https://www.google.com/maps?q=10.78967285,79.5788269","Open Location")</f>
        <v>Open Location</v>
      </c>
    </row>
    <row r="7467" spans="1:40" x14ac:dyDescent="0.3">
      <c r="A7467" s="1">
        <v>46210.135069444441</v>
      </c>
      <c r="B7467" t="s">
        <v>40</v>
      </c>
      <c r="C7467" t="s">
        <v>41</v>
      </c>
      <c r="D7467" s="1">
        <v>46210.138009259259</v>
      </c>
      <c r="E7467" t="s">
        <v>42</v>
      </c>
      <c r="F7467" t="s">
        <v>43</v>
      </c>
      <c r="G7467" t="s">
        <v>43</v>
      </c>
      <c r="H7467" t="s">
        <v>43</v>
      </c>
      <c r="I7467" t="s">
        <v>4008</v>
      </c>
      <c r="J7467" t="s">
        <v>43</v>
      </c>
      <c r="K7467" t="s">
        <v>43</v>
      </c>
      <c r="L7467" t="s">
        <v>43</v>
      </c>
      <c r="M7467" t="s">
        <v>43</v>
      </c>
      <c r="N7467" t="s">
        <v>45</v>
      </c>
      <c r="O7467" t="s">
        <v>43</v>
      </c>
      <c r="P7467" t="s">
        <v>43</v>
      </c>
      <c r="Q7467" t="s">
        <v>43</v>
      </c>
      <c r="R7467" t="s">
        <v>43</v>
      </c>
      <c r="S7467" t="s">
        <v>43</v>
      </c>
      <c r="T7467" t="s">
        <v>43</v>
      </c>
      <c r="U7467" t="s">
        <v>43</v>
      </c>
      <c r="V7467" t="s">
        <v>43</v>
      </c>
      <c r="W7467" t="s">
        <v>43</v>
      </c>
      <c r="X7467" t="s">
        <v>43</v>
      </c>
      <c r="Y7467" t="s">
        <v>43</v>
      </c>
      <c r="Z7467" t="s">
        <v>43</v>
      </c>
      <c r="AA7467" t="s">
        <v>43</v>
      </c>
      <c r="AB7467" t="s">
        <v>43</v>
      </c>
      <c r="AC7467" t="s">
        <v>43</v>
      </c>
      <c r="AD7467" t="s">
        <v>43</v>
      </c>
      <c r="AE7467" t="s">
        <v>43</v>
      </c>
      <c r="AF7467" t="s">
        <v>43</v>
      </c>
      <c r="AG7467" t="s">
        <v>43</v>
      </c>
      <c r="AH7467" t="s">
        <v>43</v>
      </c>
      <c r="AI7467" t="s">
        <v>43</v>
      </c>
      <c r="AJ7467" t="s">
        <v>43</v>
      </c>
      <c r="AK7467" t="s">
        <v>43</v>
      </c>
      <c r="AL7467" t="s">
        <v>43</v>
      </c>
      <c r="AM7467" t="s">
        <v>43</v>
      </c>
      <c r="AN7467" t="str">
        <f>HYPERLINK("https://www.google.com/maps?q=10.78967285,79.5788269","Open Location")</f>
        <v>Open Location</v>
      </c>
    </row>
    <row r="7468" spans="1:40" x14ac:dyDescent="0.3">
      <c r="A7468" s="1">
        <v>46210.134953703702</v>
      </c>
      <c r="B7468" t="s">
        <v>40</v>
      </c>
      <c r="C7468" t="s">
        <v>41</v>
      </c>
      <c r="D7468" s="1">
        <v>46210.138009259259</v>
      </c>
      <c r="E7468" t="s">
        <v>42</v>
      </c>
      <c r="F7468" t="s">
        <v>43</v>
      </c>
      <c r="G7468" t="s">
        <v>43</v>
      </c>
      <c r="H7468" t="s">
        <v>43</v>
      </c>
      <c r="I7468" t="s">
        <v>4008</v>
      </c>
      <c r="J7468" t="s">
        <v>43</v>
      </c>
      <c r="K7468" t="s">
        <v>43</v>
      </c>
      <c r="L7468" t="s">
        <v>43</v>
      </c>
      <c r="M7468" t="s">
        <v>43</v>
      </c>
      <c r="N7468" t="s">
        <v>45</v>
      </c>
      <c r="O7468" t="s">
        <v>43</v>
      </c>
      <c r="P7468" t="s">
        <v>43</v>
      </c>
      <c r="Q7468" t="s">
        <v>43</v>
      </c>
      <c r="R7468" t="s">
        <v>43</v>
      </c>
      <c r="S7468" t="s">
        <v>43</v>
      </c>
      <c r="T7468" t="s">
        <v>43</v>
      </c>
      <c r="U7468" t="s">
        <v>43</v>
      </c>
      <c r="V7468" t="s">
        <v>43</v>
      </c>
      <c r="W7468" t="s">
        <v>43</v>
      </c>
      <c r="X7468" t="s">
        <v>43</v>
      </c>
      <c r="Y7468" t="s">
        <v>43</v>
      </c>
      <c r="Z7468" t="s">
        <v>43</v>
      </c>
      <c r="AA7468" t="s">
        <v>43</v>
      </c>
      <c r="AB7468" t="s">
        <v>43</v>
      </c>
      <c r="AC7468" t="s">
        <v>43</v>
      </c>
      <c r="AD7468" t="s">
        <v>43</v>
      </c>
      <c r="AE7468" t="s">
        <v>43</v>
      </c>
      <c r="AF7468" t="s">
        <v>43</v>
      </c>
      <c r="AG7468" t="s">
        <v>43</v>
      </c>
      <c r="AH7468" t="s">
        <v>43</v>
      </c>
      <c r="AI7468" t="s">
        <v>43</v>
      </c>
      <c r="AJ7468" t="s">
        <v>43</v>
      </c>
      <c r="AK7468" t="s">
        <v>43</v>
      </c>
      <c r="AL7468" t="s">
        <v>43</v>
      </c>
      <c r="AM7468" t="s">
        <v>43</v>
      </c>
      <c r="AN7468" t="str">
        <f>HYPERLINK("https://www.google.com/maps?q=10.78967285,79.5788269","Open Location")</f>
        <v>Open Location</v>
      </c>
    </row>
    <row r="7469" spans="1:40" x14ac:dyDescent="0.3">
      <c r="A7469" s="1">
        <v>46210.134837962964</v>
      </c>
      <c r="B7469" t="s">
        <v>40</v>
      </c>
      <c r="C7469" t="s">
        <v>41</v>
      </c>
      <c r="D7469" s="1">
        <v>46210.137858796297</v>
      </c>
      <c r="E7469" t="s">
        <v>42</v>
      </c>
      <c r="F7469" t="s">
        <v>43</v>
      </c>
      <c r="G7469" t="s">
        <v>43</v>
      </c>
      <c r="H7469" t="s">
        <v>43</v>
      </c>
      <c r="I7469" t="s">
        <v>4263</v>
      </c>
      <c r="J7469" t="s">
        <v>43</v>
      </c>
      <c r="K7469" t="s">
        <v>43</v>
      </c>
      <c r="L7469" t="s">
        <v>43</v>
      </c>
      <c r="M7469" t="s">
        <v>43</v>
      </c>
      <c r="N7469" t="s">
        <v>45</v>
      </c>
      <c r="O7469" t="s">
        <v>43</v>
      </c>
      <c r="P7469" t="s">
        <v>43</v>
      </c>
      <c r="Q7469" t="s">
        <v>43</v>
      </c>
      <c r="R7469" t="s">
        <v>43</v>
      </c>
      <c r="S7469" t="s">
        <v>43</v>
      </c>
      <c r="T7469" t="s">
        <v>43</v>
      </c>
      <c r="U7469" t="s">
        <v>43</v>
      </c>
      <c r="V7469" t="s">
        <v>43</v>
      </c>
      <c r="W7469" t="s">
        <v>43</v>
      </c>
      <c r="X7469" t="s">
        <v>43</v>
      </c>
      <c r="Y7469" t="s">
        <v>43</v>
      </c>
      <c r="Z7469" t="s">
        <v>43</v>
      </c>
      <c r="AA7469" t="s">
        <v>43</v>
      </c>
      <c r="AB7469" t="s">
        <v>43</v>
      </c>
      <c r="AC7469" t="s">
        <v>43</v>
      </c>
      <c r="AD7469" t="s">
        <v>43</v>
      </c>
      <c r="AE7469" t="s">
        <v>43</v>
      </c>
      <c r="AF7469" t="s">
        <v>43</v>
      </c>
      <c r="AG7469" t="s">
        <v>43</v>
      </c>
      <c r="AH7469" t="s">
        <v>43</v>
      </c>
      <c r="AI7469" t="s">
        <v>43</v>
      </c>
      <c r="AJ7469" t="s">
        <v>43</v>
      </c>
      <c r="AK7469" t="s">
        <v>43</v>
      </c>
      <c r="AL7469" t="s">
        <v>43</v>
      </c>
      <c r="AM7469" t="s">
        <v>43</v>
      </c>
      <c r="AN7469" t="str">
        <f>HYPERLINK("https://www.google.com/maps?q=10.78967476,79.5788269","Open Location")</f>
        <v>Open Location</v>
      </c>
    </row>
    <row r="7470" spans="1:40" x14ac:dyDescent="0.3">
      <c r="A7470" s="1">
        <v>46210.134722222225</v>
      </c>
      <c r="B7470" t="s">
        <v>40</v>
      </c>
      <c r="C7470" t="s">
        <v>41</v>
      </c>
      <c r="D7470" s="1">
        <v>46210.137835648151</v>
      </c>
      <c r="E7470" t="s">
        <v>42</v>
      </c>
      <c r="F7470" t="s">
        <v>43</v>
      </c>
      <c r="G7470" t="s">
        <v>43</v>
      </c>
      <c r="H7470" t="s">
        <v>43</v>
      </c>
      <c r="I7470" t="s">
        <v>4090</v>
      </c>
      <c r="J7470" t="s">
        <v>43</v>
      </c>
      <c r="K7470" t="s">
        <v>43</v>
      </c>
      <c r="L7470" t="s">
        <v>43</v>
      </c>
      <c r="M7470" t="s">
        <v>43</v>
      </c>
      <c r="N7470" t="s">
        <v>45</v>
      </c>
      <c r="O7470" t="s">
        <v>43</v>
      </c>
      <c r="P7470" t="s">
        <v>43</v>
      </c>
      <c r="Q7470" t="s">
        <v>43</v>
      </c>
      <c r="R7470" t="s">
        <v>43</v>
      </c>
      <c r="S7470" t="s">
        <v>43</v>
      </c>
      <c r="T7470" t="s">
        <v>43</v>
      </c>
      <c r="U7470" t="s">
        <v>43</v>
      </c>
      <c r="V7470" t="s">
        <v>43</v>
      </c>
      <c r="W7470" t="s">
        <v>43</v>
      </c>
      <c r="X7470" t="s">
        <v>43</v>
      </c>
      <c r="Y7470" t="s">
        <v>43</v>
      </c>
      <c r="Z7470" t="s">
        <v>43</v>
      </c>
      <c r="AA7470" t="s">
        <v>43</v>
      </c>
      <c r="AB7470" t="s">
        <v>43</v>
      </c>
      <c r="AC7470" t="s">
        <v>43</v>
      </c>
      <c r="AD7470" t="s">
        <v>43</v>
      </c>
      <c r="AE7470" t="s">
        <v>43</v>
      </c>
      <c r="AF7470" t="s">
        <v>43</v>
      </c>
      <c r="AG7470" t="s">
        <v>43</v>
      </c>
      <c r="AH7470" t="s">
        <v>43</v>
      </c>
      <c r="AI7470" t="s">
        <v>43</v>
      </c>
      <c r="AJ7470" t="s">
        <v>43</v>
      </c>
      <c r="AK7470" t="s">
        <v>43</v>
      </c>
      <c r="AL7470" t="s">
        <v>43</v>
      </c>
      <c r="AM7470" t="s">
        <v>43</v>
      </c>
      <c r="AN7470" t="str">
        <f>HYPERLINK("https://www.google.com/maps?q=10.78967381,79.57881927","Open Location")</f>
        <v>Open Location</v>
      </c>
    </row>
    <row r="7471" spans="1:40" x14ac:dyDescent="0.3">
      <c r="A7471" s="1">
        <v>46210.134606481479</v>
      </c>
      <c r="B7471" t="s">
        <v>40</v>
      </c>
      <c r="C7471" t="s">
        <v>41</v>
      </c>
      <c r="D7471" s="1">
        <v>46210.13784722222</v>
      </c>
      <c r="E7471" t="s">
        <v>42</v>
      </c>
      <c r="F7471" t="s">
        <v>43</v>
      </c>
      <c r="G7471" t="s">
        <v>43</v>
      </c>
      <c r="H7471" t="s">
        <v>43</v>
      </c>
      <c r="I7471" t="s">
        <v>43</v>
      </c>
      <c r="J7471" t="s">
        <v>43</v>
      </c>
      <c r="K7471" t="s">
        <v>43</v>
      </c>
      <c r="L7471" t="s">
        <v>43</v>
      </c>
      <c r="M7471" t="s">
        <v>43</v>
      </c>
      <c r="N7471" t="s">
        <v>45</v>
      </c>
      <c r="O7471" t="s">
        <v>43</v>
      </c>
      <c r="P7471" t="s">
        <v>43</v>
      </c>
      <c r="Q7471" t="s">
        <v>43</v>
      </c>
      <c r="R7471" t="s">
        <v>43</v>
      </c>
      <c r="S7471" t="s">
        <v>43</v>
      </c>
      <c r="T7471" t="s">
        <v>43</v>
      </c>
      <c r="U7471" t="s">
        <v>43</v>
      </c>
      <c r="V7471" t="s">
        <v>43</v>
      </c>
      <c r="W7471" t="s">
        <v>43</v>
      </c>
      <c r="X7471" t="s">
        <v>43</v>
      </c>
      <c r="Y7471" t="s">
        <v>43</v>
      </c>
      <c r="Z7471" t="s">
        <v>43</v>
      </c>
      <c r="AA7471" t="s">
        <v>43</v>
      </c>
      <c r="AB7471" t="s">
        <v>43</v>
      </c>
      <c r="AC7471" t="s">
        <v>43</v>
      </c>
      <c r="AD7471" t="s">
        <v>43</v>
      </c>
      <c r="AE7471" t="s">
        <v>43</v>
      </c>
      <c r="AF7471" t="s">
        <v>43</v>
      </c>
      <c r="AG7471" t="s">
        <v>43</v>
      </c>
      <c r="AH7471" t="s">
        <v>43</v>
      </c>
      <c r="AI7471" t="s">
        <v>43</v>
      </c>
      <c r="AJ7471" t="s">
        <v>43</v>
      </c>
      <c r="AK7471" t="s">
        <v>43</v>
      </c>
      <c r="AL7471" t="s">
        <v>43</v>
      </c>
      <c r="AM7471" t="s">
        <v>43</v>
      </c>
      <c r="AN7471" t="s">
        <v>43</v>
      </c>
    </row>
    <row r="7472" spans="1:40" x14ac:dyDescent="0.3">
      <c r="A7472" s="1">
        <v>46210.13449074074</v>
      </c>
      <c r="B7472" t="s">
        <v>40</v>
      </c>
      <c r="C7472" t="s">
        <v>41</v>
      </c>
      <c r="D7472" s="1">
        <v>46210.137476851851</v>
      </c>
      <c r="E7472" t="s">
        <v>42</v>
      </c>
      <c r="F7472" t="s">
        <v>43</v>
      </c>
      <c r="G7472" t="s">
        <v>43</v>
      </c>
      <c r="H7472" t="s">
        <v>43</v>
      </c>
      <c r="I7472" t="s">
        <v>4090</v>
      </c>
      <c r="J7472" t="s">
        <v>43</v>
      </c>
      <c r="K7472" t="s">
        <v>43</v>
      </c>
      <c r="L7472" t="s">
        <v>43</v>
      </c>
      <c r="M7472" t="s">
        <v>43</v>
      </c>
      <c r="N7472" t="s">
        <v>45</v>
      </c>
      <c r="O7472" t="s">
        <v>43</v>
      </c>
      <c r="P7472" t="s">
        <v>43</v>
      </c>
      <c r="Q7472" t="s">
        <v>43</v>
      </c>
      <c r="R7472" t="s">
        <v>43</v>
      </c>
      <c r="S7472" t="s">
        <v>43</v>
      </c>
      <c r="T7472" t="s">
        <v>43</v>
      </c>
      <c r="U7472" t="s">
        <v>43</v>
      </c>
      <c r="V7472" t="s">
        <v>43</v>
      </c>
      <c r="W7472" t="s">
        <v>43</v>
      </c>
      <c r="X7472" t="s">
        <v>43</v>
      </c>
      <c r="Y7472" t="s">
        <v>43</v>
      </c>
      <c r="Z7472" t="s">
        <v>43</v>
      </c>
      <c r="AA7472" t="s">
        <v>43</v>
      </c>
      <c r="AB7472" t="s">
        <v>43</v>
      </c>
      <c r="AC7472" t="s">
        <v>43</v>
      </c>
      <c r="AD7472" t="s">
        <v>43</v>
      </c>
      <c r="AE7472" t="s">
        <v>43</v>
      </c>
      <c r="AF7472" t="s">
        <v>43</v>
      </c>
      <c r="AG7472" t="s">
        <v>43</v>
      </c>
      <c r="AH7472" t="s">
        <v>43</v>
      </c>
      <c r="AI7472" t="s">
        <v>43</v>
      </c>
      <c r="AJ7472" t="s">
        <v>43</v>
      </c>
      <c r="AK7472" t="s">
        <v>43</v>
      </c>
      <c r="AL7472" t="s">
        <v>43</v>
      </c>
      <c r="AM7472" t="s">
        <v>43</v>
      </c>
      <c r="AN7472" t="str">
        <f>HYPERLINK("https://www.google.com/maps?q=10.78967381,79.57881927","Open Location")</f>
        <v>Open Location</v>
      </c>
    </row>
    <row r="7473" spans="1:40" x14ac:dyDescent="0.3">
      <c r="A7473" s="1">
        <v>46210.134375000001</v>
      </c>
      <c r="B7473" t="s">
        <v>40</v>
      </c>
      <c r="C7473" t="s">
        <v>41</v>
      </c>
      <c r="D7473" s="1">
        <v>46210.137476851851</v>
      </c>
      <c r="E7473" t="s">
        <v>42</v>
      </c>
      <c r="F7473" t="s">
        <v>43</v>
      </c>
      <c r="G7473" t="s">
        <v>43</v>
      </c>
      <c r="H7473" t="s">
        <v>43</v>
      </c>
      <c r="I7473" t="s">
        <v>4007</v>
      </c>
      <c r="J7473" t="s">
        <v>43</v>
      </c>
      <c r="K7473" t="s">
        <v>43</v>
      </c>
      <c r="L7473" t="s">
        <v>43</v>
      </c>
      <c r="M7473" t="s">
        <v>43</v>
      </c>
      <c r="N7473" t="s">
        <v>45</v>
      </c>
      <c r="O7473" t="s">
        <v>43</v>
      </c>
      <c r="P7473" t="s">
        <v>43</v>
      </c>
      <c r="Q7473" t="s">
        <v>43</v>
      </c>
      <c r="R7473" t="s">
        <v>43</v>
      </c>
      <c r="S7473" t="s">
        <v>43</v>
      </c>
      <c r="T7473" t="s">
        <v>43</v>
      </c>
      <c r="U7473" t="s">
        <v>43</v>
      </c>
      <c r="V7473" t="s">
        <v>43</v>
      </c>
      <c r="W7473" t="s">
        <v>43</v>
      </c>
      <c r="X7473" t="s">
        <v>43</v>
      </c>
      <c r="Y7473" t="s">
        <v>43</v>
      </c>
      <c r="Z7473" t="s">
        <v>43</v>
      </c>
      <c r="AA7473" t="s">
        <v>43</v>
      </c>
      <c r="AB7473" t="s">
        <v>43</v>
      </c>
      <c r="AC7473" t="s">
        <v>43</v>
      </c>
      <c r="AD7473" t="s">
        <v>43</v>
      </c>
      <c r="AE7473" t="s">
        <v>43</v>
      </c>
      <c r="AF7473" t="s">
        <v>43</v>
      </c>
      <c r="AG7473" t="s">
        <v>43</v>
      </c>
      <c r="AH7473" t="s">
        <v>43</v>
      </c>
      <c r="AI7473" t="s">
        <v>43</v>
      </c>
      <c r="AJ7473" t="s">
        <v>43</v>
      </c>
      <c r="AK7473" t="s">
        <v>43</v>
      </c>
      <c r="AL7473" t="s">
        <v>43</v>
      </c>
      <c r="AM7473" t="s">
        <v>43</v>
      </c>
      <c r="AN7473" t="str">
        <f>HYPERLINK("https://www.google.com/maps?q=10.7896719,79.5788269","Open Location")</f>
        <v>Open Location</v>
      </c>
    </row>
    <row r="7474" spans="1:40" x14ac:dyDescent="0.3">
      <c r="A7474" s="1">
        <v>46210.134259259263</v>
      </c>
      <c r="B7474" t="s">
        <v>40</v>
      </c>
      <c r="C7474" t="s">
        <v>41</v>
      </c>
      <c r="D7474" s="1">
        <v>46210.137129629627</v>
      </c>
      <c r="E7474" t="s">
        <v>42</v>
      </c>
      <c r="F7474" t="s">
        <v>43</v>
      </c>
      <c r="G7474" t="s">
        <v>43</v>
      </c>
      <c r="H7474" t="s">
        <v>43</v>
      </c>
      <c r="I7474" t="s">
        <v>4077</v>
      </c>
      <c r="J7474" t="s">
        <v>43</v>
      </c>
      <c r="K7474" t="s">
        <v>43</v>
      </c>
      <c r="L7474" t="s">
        <v>43</v>
      </c>
      <c r="M7474" t="s">
        <v>43</v>
      </c>
      <c r="N7474" t="s">
        <v>45</v>
      </c>
      <c r="O7474" t="s">
        <v>43</v>
      </c>
      <c r="P7474" t="s">
        <v>43</v>
      </c>
      <c r="Q7474" t="s">
        <v>43</v>
      </c>
      <c r="R7474" t="s">
        <v>43</v>
      </c>
      <c r="S7474" t="s">
        <v>43</v>
      </c>
      <c r="T7474" t="s">
        <v>43</v>
      </c>
      <c r="U7474" t="s">
        <v>43</v>
      </c>
      <c r="V7474" t="s">
        <v>43</v>
      </c>
      <c r="W7474" t="s">
        <v>43</v>
      </c>
      <c r="X7474" t="s">
        <v>43</v>
      </c>
      <c r="Y7474" t="s">
        <v>43</v>
      </c>
      <c r="Z7474" t="s">
        <v>43</v>
      </c>
      <c r="AA7474" t="s">
        <v>43</v>
      </c>
      <c r="AB7474" t="s">
        <v>43</v>
      </c>
      <c r="AC7474" t="s">
        <v>43</v>
      </c>
      <c r="AD7474" t="s">
        <v>43</v>
      </c>
      <c r="AE7474" t="s">
        <v>43</v>
      </c>
      <c r="AF7474" t="s">
        <v>43</v>
      </c>
      <c r="AG7474" t="s">
        <v>43</v>
      </c>
      <c r="AH7474" t="s">
        <v>43</v>
      </c>
      <c r="AI7474" t="s">
        <v>43</v>
      </c>
      <c r="AJ7474" t="s">
        <v>43</v>
      </c>
      <c r="AK7474" t="s">
        <v>43</v>
      </c>
      <c r="AL7474" t="s">
        <v>43</v>
      </c>
      <c r="AM7474" t="s">
        <v>43</v>
      </c>
      <c r="AN7474" t="str">
        <f>HYPERLINK("https://www.google.com/maps?q=10.78967094,79.57883453","Open Location")</f>
        <v>Open Location</v>
      </c>
    </row>
    <row r="7475" spans="1:40" x14ac:dyDescent="0.3">
      <c r="A7475" s="1">
        <v>46210.134143518517</v>
      </c>
      <c r="B7475" t="s">
        <v>40</v>
      </c>
      <c r="C7475" t="s">
        <v>41</v>
      </c>
      <c r="D7475" s="1">
        <v>46210.13722222222</v>
      </c>
      <c r="E7475" t="s">
        <v>42</v>
      </c>
      <c r="F7475" t="s">
        <v>43</v>
      </c>
      <c r="G7475" t="s">
        <v>43</v>
      </c>
      <c r="H7475" t="s">
        <v>43</v>
      </c>
      <c r="I7475" t="s">
        <v>4264</v>
      </c>
      <c r="J7475" t="s">
        <v>43</v>
      </c>
      <c r="K7475" t="s">
        <v>43</v>
      </c>
      <c r="L7475" t="s">
        <v>43</v>
      </c>
      <c r="M7475" t="s">
        <v>43</v>
      </c>
      <c r="N7475" t="s">
        <v>45</v>
      </c>
      <c r="O7475" t="s">
        <v>43</v>
      </c>
      <c r="P7475" t="s">
        <v>43</v>
      </c>
      <c r="Q7475" t="s">
        <v>43</v>
      </c>
      <c r="R7475" t="s">
        <v>43</v>
      </c>
      <c r="S7475" t="s">
        <v>43</v>
      </c>
      <c r="T7475" t="s">
        <v>43</v>
      </c>
      <c r="U7475" t="s">
        <v>43</v>
      </c>
      <c r="V7475" t="s">
        <v>43</v>
      </c>
      <c r="W7475" t="s">
        <v>43</v>
      </c>
      <c r="X7475" t="s">
        <v>43</v>
      </c>
      <c r="Y7475" t="s">
        <v>43</v>
      </c>
      <c r="Z7475" t="s">
        <v>43</v>
      </c>
      <c r="AA7475" t="s">
        <v>43</v>
      </c>
      <c r="AB7475" t="s">
        <v>43</v>
      </c>
      <c r="AC7475" t="s">
        <v>43</v>
      </c>
      <c r="AD7475" t="s">
        <v>43</v>
      </c>
      <c r="AE7475" t="s">
        <v>43</v>
      </c>
      <c r="AF7475" t="s">
        <v>43</v>
      </c>
      <c r="AG7475" t="s">
        <v>43</v>
      </c>
      <c r="AH7475" t="s">
        <v>43</v>
      </c>
      <c r="AI7475" t="s">
        <v>43</v>
      </c>
      <c r="AJ7475" t="s">
        <v>43</v>
      </c>
      <c r="AK7475" t="s">
        <v>43</v>
      </c>
      <c r="AL7475" t="s">
        <v>43</v>
      </c>
      <c r="AM7475" t="s">
        <v>43</v>
      </c>
      <c r="AN7475" t="str">
        <f>HYPERLINK("https://www.google.com/maps?q=10.78966904,79.57884216","Open Location")</f>
        <v>Open Location</v>
      </c>
    </row>
    <row r="7476" spans="1:40" x14ac:dyDescent="0.3">
      <c r="A7476" s="1">
        <v>46210.134027777778</v>
      </c>
      <c r="B7476" t="s">
        <v>40</v>
      </c>
      <c r="C7476" t="s">
        <v>41</v>
      </c>
      <c r="D7476" s="1">
        <v>46210.137118055558</v>
      </c>
      <c r="E7476" t="s">
        <v>42</v>
      </c>
      <c r="F7476" t="s">
        <v>43</v>
      </c>
      <c r="G7476" t="s">
        <v>43</v>
      </c>
      <c r="H7476" t="s">
        <v>43</v>
      </c>
      <c r="I7476" t="s">
        <v>43</v>
      </c>
      <c r="J7476" t="s">
        <v>43</v>
      </c>
      <c r="K7476" t="s">
        <v>43</v>
      </c>
      <c r="L7476" t="s">
        <v>43</v>
      </c>
      <c r="M7476" t="s">
        <v>43</v>
      </c>
      <c r="N7476" t="s">
        <v>45</v>
      </c>
      <c r="O7476" t="s">
        <v>43</v>
      </c>
      <c r="P7476" t="s">
        <v>43</v>
      </c>
      <c r="Q7476" t="s">
        <v>43</v>
      </c>
      <c r="R7476" t="s">
        <v>43</v>
      </c>
      <c r="S7476" t="s">
        <v>43</v>
      </c>
      <c r="T7476" t="s">
        <v>43</v>
      </c>
      <c r="U7476" t="s">
        <v>43</v>
      </c>
      <c r="V7476" t="s">
        <v>43</v>
      </c>
      <c r="W7476" t="s">
        <v>43</v>
      </c>
      <c r="X7476" t="s">
        <v>43</v>
      </c>
      <c r="Y7476" t="s">
        <v>43</v>
      </c>
      <c r="Z7476" t="s">
        <v>43</v>
      </c>
      <c r="AA7476" t="s">
        <v>43</v>
      </c>
      <c r="AB7476" t="s">
        <v>43</v>
      </c>
      <c r="AC7476" t="s">
        <v>43</v>
      </c>
      <c r="AD7476" t="s">
        <v>43</v>
      </c>
      <c r="AE7476" t="s">
        <v>43</v>
      </c>
      <c r="AF7476" t="s">
        <v>43</v>
      </c>
      <c r="AG7476" t="s">
        <v>43</v>
      </c>
      <c r="AH7476" t="s">
        <v>43</v>
      </c>
      <c r="AI7476" t="s">
        <v>43</v>
      </c>
      <c r="AJ7476" t="s">
        <v>43</v>
      </c>
      <c r="AK7476" t="s">
        <v>43</v>
      </c>
      <c r="AL7476" t="s">
        <v>43</v>
      </c>
      <c r="AM7476" t="s">
        <v>43</v>
      </c>
      <c r="AN7476" t="s">
        <v>43</v>
      </c>
    </row>
    <row r="7477" spans="1:40" x14ac:dyDescent="0.3">
      <c r="A7477" s="1">
        <v>46210.133912037039</v>
      </c>
      <c r="B7477" t="s">
        <v>40</v>
      </c>
      <c r="C7477" t="s">
        <v>41</v>
      </c>
      <c r="D7477" s="1">
        <v>46210.13689814815</v>
      </c>
      <c r="E7477" t="s">
        <v>42</v>
      </c>
      <c r="F7477" t="s">
        <v>43</v>
      </c>
      <c r="G7477" t="s">
        <v>43</v>
      </c>
      <c r="H7477" t="s">
        <v>43</v>
      </c>
      <c r="I7477" t="s">
        <v>4073</v>
      </c>
      <c r="J7477" t="s">
        <v>43</v>
      </c>
      <c r="K7477" t="s">
        <v>43</v>
      </c>
      <c r="L7477" t="s">
        <v>43</v>
      </c>
      <c r="M7477" t="s">
        <v>43</v>
      </c>
      <c r="N7477" t="s">
        <v>45</v>
      </c>
      <c r="O7477" t="s">
        <v>43</v>
      </c>
      <c r="P7477" t="s">
        <v>43</v>
      </c>
      <c r="Q7477" t="s">
        <v>43</v>
      </c>
      <c r="R7477" t="s">
        <v>43</v>
      </c>
      <c r="S7477" t="s">
        <v>43</v>
      </c>
      <c r="T7477" t="s">
        <v>43</v>
      </c>
      <c r="U7477" t="s">
        <v>43</v>
      </c>
      <c r="V7477" t="s">
        <v>43</v>
      </c>
      <c r="W7477" t="s">
        <v>43</v>
      </c>
      <c r="X7477" t="s">
        <v>43</v>
      </c>
      <c r="Y7477" t="s">
        <v>43</v>
      </c>
      <c r="Z7477" t="s">
        <v>43</v>
      </c>
      <c r="AA7477" t="s">
        <v>43</v>
      </c>
      <c r="AB7477" t="s">
        <v>43</v>
      </c>
      <c r="AC7477" t="s">
        <v>43</v>
      </c>
      <c r="AD7477" t="s">
        <v>43</v>
      </c>
      <c r="AE7477" t="s">
        <v>43</v>
      </c>
      <c r="AF7477" t="s">
        <v>43</v>
      </c>
      <c r="AG7477" t="s">
        <v>43</v>
      </c>
      <c r="AH7477" t="s">
        <v>43</v>
      </c>
      <c r="AI7477" t="s">
        <v>43</v>
      </c>
      <c r="AJ7477" t="s">
        <v>43</v>
      </c>
      <c r="AK7477" t="s">
        <v>43</v>
      </c>
      <c r="AL7477" t="s">
        <v>43</v>
      </c>
      <c r="AM7477" t="s">
        <v>43</v>
      </c>
      <c r="AN7477" t="str">
        <f>HYPERLINK("https://www.google.com/maps?q=10.78966427,79.57884216","Open Location")</f>
        <v>Open Location</v>
      </c>
    </row>
    <row r="7478" spans="1:40" x14ac:dyDescent="0.3">
      <c r="A7478" s="1">
        <v>46210.133796296293</v>
      </c>
      <c r="B7478" t="s">
        <v>40</v>
      </c>
      <c r="C7478" t="s">
        <v>41</v>
      </c>
      <c r="D7478" s="1">
        <v>46210.136770833335</v>
      </c>
      <c r="E7478" t="s">
        <v>42</v>
      </c>
      <c r="F7478" t="s">
        <v>43</v>
      </c>
      <c r="G7478" t="s">
        <v>43</v>
      </c>
      <c r="H7478" t="s">
        <v>43</v>
      </c>
      <c r="I7478" t="s">
        <v>4265</v>
      </c>
      <c r="J7478" t="s">
        <v>43</v>
      </c>
      <c r="K7478" t="s">
        <v>43</v>
      </c>
      <c r="L7478" t="s">
        <v>43</v>
      </c>
      <c r="M7478" t="s">
        <v>43</v>
      </c>
      <c r="N7478" t="s">
        <v>45</v>
      </c>
      <c r="O7478" t="s">
        <v>43</v>
      </c>
      <c r="P7478" t="s">
        <v>43</v>
      </c>
      <c r="Q7478" t="s">
        <v>43</v>
      </c>
      <c r="R7478" t="s">
        <v>43</v>
      </c>
      <c r="S7478" t="s">
        <v>43</v>
      </c>
      <c r="T7478" t="s">
        <v>43</v>
      </c>
      <c r="U7478" t="s">
        <v>43</v>
      </c>
      <c r="V7478" t="s">
        <v>43</v>
      </c>
      <c r="W7478" t="s">
        <v>43</v>
      </c>
      <c r="X7478" t="s">
        <v>43</v>
      </c>
      <c r="Y7478" t="s">
        <v>43</v>
      </c>
      <c r="Z7478" t="s">
        <v>43</v>
      </c>
      <c r="AA7478" t="s">
        <v>43</v>
      </c>
      <c r="AB7478" t="s">
        <v>43</v>
      </c>
      <c r="AC7478" t="s">
        <v>43</v>
      </c>
      <c r="AD7478" t="s">
        <v>43</v>
      </c>
      <c r="AE7478" t="s">
        <v>43</v>
      </c>
      <c r="AF7478" t="s">
        <v>43</v>
      </c>
      <c r="AG7478" t="s">
        <v>43</v>
      </c>
      <c r="AH7478" t="s">
        <v>43</v>
      </c>
      <c r="AI7478" t="s">
        <v>43</v>
      </c>
      <c r="AJ7478" t="s">
        <v>43</v>
      </c>
      <c r="AK7478" t="s">
        <v>43</v>
      </c>
      <c r="AL7478" t="s">
        <v>43</v>
      </c>
      <c r="AM7478" t="s">
        <v>43</v>
      </c>
      <c r="AN7478" t="str">
        <f>HYPERLINK("https://www.google.com/maps?q=10.78966522,79.57884979","Open Location")</f>
        <v>Open Location</v>
      </c>
    </row>
    <row r="7479" spans="1:40" x14ac:dyDescent="0.3">
      <c r="A7479" s="1">
        <v>46210.133680555555</v>
      </c>
      <c r="B7479" t="s">
        <v>40</v>
      </c>
      <c r="C7479" t="s">
        <v>41</v>
      </c>
      <c r="D7479" s="1">
        <v>46210.13690972222</v>
      </c>
      <c r="E7479" t="s">
        <v>42</v>
      </c>
      <c r="F7479" t="s">
        <v>43</v>
      </c>
      <c r="G7479" t="s">
        <v>43</v>
      </c>
      <c r="H7479" t="s">
        <v>43</v>
      </c>
      <c r="I7479" t="s">
        <v>4266</v>
      </c>
      <c r="J7479" t="s">
        <v>43</v>
      </c>
      <c r="K7479" t="s">
        <v>43</v>
      </c>
      <c r="L7479" t="s">
        <v>43</v>
      </c>
      <c r="M7479" t="s">
        <v>43</v>
      </c>
      <c r="N7479" t="s">
        <v>45</v>
      </c>
      <c r="O7479" t="s">
        <v>43</v>
      </c>
      <c r="P7479" t="s">
        <v>43</v>
      </c>
      <c r="Q7479" t="s">
        <v>43</v>
      </c>
      <c r="R7479" t="s">
        <v>43</v>
      </c>
      <c r="S7479" t="s">
        <v>43</v>
      </c>
      <c r="T7479" t="s">
        <v>43</v>
      </c>
      <c r="U7479" t="s">
        <v>43</v>
      </c>
      <c r="V7479" t="s">
        <v>43</v>
      </c>
      <c r="W7479" t="s">
        <v>43</v>
      </c>
      <c r="X7479" t="s">
        <v>43</v>
      </c>
      <c r="Y7479" t="s">
        <v>43</v>
      </c>
      <c r="Z7479" t="s">
        <v>43</v>
      </c>
      <c r="AA7479" t="s">
        <v>43</v>
      </c>
      <c r="AB7479" t="s">
        <v>43</v>
      </c>
      <c r="AC7479" t="s">
        <v>43</v>
      </c>
      <c r="AD7479" t="s">
        <v>43</v>
      </c>
      <c r="AE7479" t="s">
        <v>43</v>
      </c>
      <c r="AF7479" t="s">
        <v>43</v>
      </c>
      <c r="AG7479" t="s">
        <v>43</v>
      </c>
      <c r="AH7479" t="s">
        <v>43</v>
      </c>
      <c r="AI7479" t="s">
        <v>43</v>
      </c>
      <c r="AJ7479" t="s">
        <v>43</v>
      </c>
      <c r="AK7479" t="s">
        <v>43</v>
      </c>
      <c r="AL7479" t="s">
        <v>43</v>
      </c>
      <c r="AM7479" t="s">
        <v>43</v>
      </c>
      <c r="AN7479" t="str">
        <f>HYPERLINK("https://www.google.com/maps?q=10.78966331,79.57884979","Open Location")</f>
        <v>Open Location</v>
      </c>
    </row>
    <row r="7480" spans="1:40" x14ac:dyDescent="0.3">
      <c r="A7480" s="1">
        <v>46210.133564814816</v>
      </c>
      <c r="B7480" t="s">
        <v>40</v>
      </c>
      <c r="C7480" t="s">
        <v>41</v>
      </c>
      <c r="D7480" s="1">
        <v>46210.136412037034</v>
      </c>
      <c r="E7480" t="s">
        <v>42</v>
      </c>
      <c r="F7480" t="s">
        <v>43</v>
      </c>
      <c r="G7480" t="s">
        <v>43</v>
      </c>
      <c r="H7480" t="s">
        <v>43</v>
      </c>
      <c r="I7480" t="s">
        <v>4267</v>
      </c>
      <c r="J7480" t="s">
        <v>43</v>
      </c>
      <c r="K7480" t="s">
        <v>43</v>
      </c>
      <c r="L7480" t="s">
        <v>43</v>
      </c>
      <c r="M7480" t="s">
        <v>43</v>
      </c>
      <c r="N7480" t="s">
        <v>45</v>
      </c>
      <c r="O7480" t="s">
        <v>43</v>
      </c>
      <c r="P7480" t="s">
        <v>43</v>
      </c>
      <c r="Q7480" t="s">
        <v>43</v>
      </c>
      <c r="R7480" t="s">
        <v>43</v>
      </c>
      <c r="S7480" t="s">
        <v>43</v>
      </c>
      <c r="T7480" t="s">
        <v>43</v>
      </c>
      <c r="U7480" t="s">
        <v>43</v>
      </c>
      <c r="V7480" t="s">
        <v>43</v>
      </c>
      <c r="W7480" t="s">
        <v>43</v>
      </c>
      <c r="X7480" t="s">
        <v>43</v>
      </c>
      <c r="Y7480" t="s">
        <v>43</v>
      </c>
      <c r="Z7480" t="s">
        <v>43</v>
      </c>
      <c r="AA7480" t="s">
        <v>43</v>
      </c>
      <c r="AB7480" t="s">
        <v>43</v>
      </c>
      <c r="AC7480" t="s">
        <v>43</v>
      </c>
      <c r="AD7480" t="s">
        <v>43</v>
      </c>
      <c r="AE7480" t="s">
        <v>43</v>
      </c>
      <c r="AF7480" t="s">
        <v>43</v>
      </c>
      <c r="AG7480" t="s">
        <v>43</v>
      </c>
      <c r="AH7480" t="s">
        <v>43</v>
      </c>
      <c r="AI7480" t="s">
        <v>43</v>
      </c>
      <c r="AJ7480" t="s">
        <v>43</v>
      </c>
      <c r="AK7480" t="s">
        <v>43</v>
      </c>
      <c r="AL7480" t="s">
        <v>43</v>
      </c>
      <c r="AM7480" t="s">
        <v>43</v>
      </c>
      <c r="AN7480" t="str">
        <f>HYPERLINK("https://www.google.com/maps?q=10.78966141,79.57883453","Open Location")</f>
        <v>Open Location</v>
      </c>
    </row>
    <row r="7481" spans="1:40" x14ac:dyDescent="0.3">
      <c r="A7481" s="1">
        <v>46210.133449074077</v>
      </c>
      <c r="B7481" t="s">
        <v>40</v>
      </c>
      <c r="C7481" t="s">
        <v>41</v>
      </c>
      <c r="D7481" s="1">
        <v>46210.136388888888</v>
      </c>
      <c r="E7481" t="s">
        <v>42</v>
      </c>
      <c r="F7481" t="s">
        <v>43</v>
      </c>
      <c r="G7481" t="s">
        <v>43</v>
      </c>
      <c r="H7481" t="s">
        <v>43</v>
      </c>
      <c r="I7481" t="s">
        <v>3941</v>
      </c>
      <c r="J7481" t="s">
        <v>43</v>
      </c>
      <c r="K7481" t="s">
        <v>43</v>
      </c>
      <c r="L7481" t="s">
        <v>43</v>
      </c>
      <c r="M7481" t="s">
        <v>43</v>
      </c>
      <c r="N7481" t="s">
        <v>45</v>
      </c>
      <c r="O7481" t="s">
        <v>43</v>
      </c>
      <c r="P7481" t="s">
        <v>43</v>
      </c>
      <c r="Q7481" t="s">
        <v>43</v>
      </c>
      <c r="R7481" t="s">
        <v>43</v>
      </c>
      <c r="S7481" t="s">
        <v>43</v>
      </c>
      <c r="T7481" t="s">
        <v>43</v>
      </c>
      <c r="U7481" t="s">
        <v>43</v>
      </c>
      <c r="V7481" t="s">
        <v>43</v>
      </c>
      <c r="W7481" t="s">
        <v>43</v>
      </c>
      <c r="X7481" t="s">
        <v>43</v>
      </c>
      <c r="Y7481" t="s">
        <v>43</v>
      </c>
      <c r="Z7481" t="s">
        <v>43</v>
      </c>
      <c r="AA7481" t="s">
        <v>43</v>
      </c>
      <c r="AB7481" t="s">
        <v>43</v>
      </c>
      <c r="AC7481" t="s">
        <v>43</v>
      </c>
      <c r="AD7481" t="s">
        <v>43</v>
      </c>
      <c r="AE7481" t="s">
        <v>43</v>
      </c>
      <c r="AF7481" t="s">
        <v>43</v>
      </c>
      <c r="AG7481" t="s">
        <v>43</v>
      </c>
      <c r="AH7481" t="s">
        <v>43</v>
      </c>
      <c r="AI7481" t="s">
        <v>43</v>
      </c>
      <c r="AJ7481" t="s">
        <v>43</v>
      </c>
      <c r="AK7481" t="s">
        <v>43</v>
      </c>
      <c r="AL7481" t="s">
        <v>43</v>
      </c>
      <c r="AM7481" t="s">
        <v>43</v>
      </c>
      <c r="AN7481" t="str">
        <f>HYPERLINK("https://www.google.com/maps?q=10.78966331,79.5788269","Open Location")</f>
        <v>Open Location</v>
      </c>
    </row>
    <row r="7482" spans="1:40" x14ac:dyDescent="0.3">
      <c r="A7482" s="1">
        <v>46210.133333333331</v>
      </c>
      <c r="B7482" t="s">
        <v>40</v>
      </c>
      <c r="C7482" t="s">
        <v>41</v>
      </c>
      <c r="D7482" s="1">
        <v>46210.13616898148</v>
      </c>
      <c r="E7482" t="s">
        <v>42</v>
      </c>
      <c r="F7482" t="s">
        <v>43</v>
      </c>
      <c r="G7482" t="s">
        <v>43</v>
      </c>
      <c r="H7482" t="s">
        <v>43</v>
      </c>
      <c r="I7482" t="s">
        <v>43</v>
      </c>
      <c r="J7482" t="s">
        <v>43</v>
      </c>
      <c r="K7482" t="s">
        <v>43</v>
      </c>
      <c r="L7482" t="s">
        <v>43</v>
      </c>
      <c r="M7482" t="s">
        <v>43</v>
      </c>
      <c r="N7482" t="s">
        <v>45</v>
      </c>
      <c r="O7482" t="s">
        <v>43</v>
      </c>
      <c r="P7482" t="s">
        <v>43</v>
      </c>
      <c r="Q7482" t="s">
        <v>43</v>
      </c>
      <c r="R7482" t="s">
        <v>43</v>
      </c>
      <c r="S7482" t="s">
        <v>43</v>
      </c>
      <c r="T7482" t="s">
        <v>43</v>
      </c>
      <c r="U7482" t="s">
        <v>43</v>
      </c>
      <c r="V7482" t="s">
        <v>43</v>
      </c>
      <c r="W7482" t="s">
        <v>43</v>
      </c>
      <c r="X7482" t="s">
        <v>43</v>
      </c>
      <c r="Y7482" t="s">
        <v>43</v>
      </c>
      <c r="Z7482" t="s">
        <v>43</v>
      </c>
      <c r="AA7482" t="s">
        <v>43</v>
      </c>
      <c r="AB7482" t="s">
        <v>43</v>
      </c>
      <c r="AC7482" t="s">
        <v>43</v>
      </c>
      <c r="AD7482" t="s">
        <v>43</v>
      </c>
      <c r="AE7482" t="s">
        <v>43</v>
      </c>
      <c r="AF7482" t="s">
        <v>43</v>
      </c>
      <c r="AG7482" t="s">
        <v>43</v>
      </c>
      <c r="AH7482" t="s">
        <v>43</v>
      </c>
      <c r="AI7482" t="s">
        <v>43</v>
      </c>
      <c r="AJ7482" t="s">
        <v>43</v>
      </c>
      <c r="AK7482" t="s">
        <v>43</v>
      </c>
      <c r="AL7482" t="s">
        <v>43</v>
      </c>
      <c r="AM7482" t="s">
        <v>43</v>
      </c>
      <c r="AN7482" t="s">
        <v>43</v>
      </c>
    </row>
    <row r="7483" spans="1:40" x14ac:dyDescent="0.3">
      <c r="A7483" s="1">
        <v>46210.133217592593</v>
      </c>
      <c r="B7483" t="s">
        <v>40</v>
      </c>
      <c r="C7483" t="s">
        <v>41</v>
      </c>
      <c r="D7483" s="1">
        <v>46210.13616898148</v>
      </c>
      <c r="E7483" t="s">
        <v>42</v>
      </c>
      <c r="F7483" t="s">
        <v>43</v>
      </c>
      <c r="G7483" t="s">
        <v>43</v>
      </c>
      <c r="H7483" t="s">
        <v>43</v>
      </c>
      <c r="I7483" t="s">
        <v>3943</v>
      </c>
      <c r="J7483" t="s">
        <v>43</v>
      </c>
      <c r="K7483" t="s">
        <v>43</v>
      </c>
      <c r="L7483" t="s">
        <v>43</v>
      </c>
      <c r="M7483" t="s">
        <v>43</v>
      </c>
      <c r="N7483" t="s">
        <v>45</v>
      </c>
      <c r="O7483" t="s">
        <v>43</v>
      </c>
      <c r="P7483" t="s">
        <v>43</v>
      </c>
      <c r="Q7483" t="s">
        <v>43</v>
      </c>
      <c r="R7483" t="s">
        <v>43</v>
      </c>
      <c r="S7483" t="s">
        <v>43</v>
      </c>
      <c r="T7483" t="s">
        <v>43</v>
      </c>
      <c r="U7483" t="s">
        <v>43</v>
      </c>
      <c r="V7483" t="s">
        <v>43</v>
      </c>
      <c r="W7483" t="s">
        <v>43</v>
      </c>
      <c r="X7483" t="s">
        <v>43</v>
      </c>
      <c r="Y7483" t="s">
        <v>43</v>
      </c>
      <c r="Z7483" t="s">
        <v>43</v>
      </c>
      <c r="AA7483" t="s">
        <v>43</v>
      </c>
      <c r="AB7483" t="s">
        <v>43</v>
      </c>
      <c r="AC7483" t="s">
        <v>43</v>
      </c>
      <c r="AD7483" t="s">
        <v>43</v>
      </c>
      <c r="AE7483" t="s">
        <v>43</v>
      </c>
      <c r="AF7483" t="s">
        <v>43</v>
      </c>
      <c r="AG7483" t="s">
        <v>43</v>
      </c>
      <c r="AH7483" t="s">
        <v>43</v>
      </c>
      <c r="AI7483" t="s">
        <v>43</v>
      </c>
      <c r="AJ7483" t="s">
        <v>43</v>
      </c>
      <c r="AK7483" t="s">
        <v>43</v>
      </c>
      <c r="AL7483" t="s">
        <v>43</v>
      </c>
      <c r="AM7483" t="s">
        <v>43</v>
      </c>
      <c r="AN7483" t="str">
        <f>HYPERLINK("https://www.google.com/maps?q=10.78966141,79.5788269","Open Location")</f>
        <v>Open Location</v>
      </c>
    </row>
    <row r="7484" spans="1:40" x14ac:dyDescent="0.3">
      <c r="A7484" s="1">
        <v>46210.133101851854</v>
      </c>
      <c r="B7484" t="s">
        <v>40</v>
      </c>
      <c r="C7484" t="s">
        <v>41</v>
      </c>
      <c r="D7484" s="1">
        <v>46210.13616898148</v>
      </c>
      <c r="E7484" t="s">
        <v>42</v>
      </c>
      <c r="F7484" t="s">
        <v>43</v>
      </c>
      <c r="G7484" t="s">
        <v>43</v>
      </c>
      <c r="H7484" t="s">
        <v>43</v>
      </c>
      <c r="I7484" t="s">
        <v>4268</v>
      </c>
      <c r="J7484" t="s">
        <v>43</v>
      </c>
      <c r="K7484" t="s">
        <v>43</v>
      </c>
      <c r="L7484" t="s">
        <v>43</v>
      </c>
      <c r="M7484" t="s">
        <v>43</v>
      </c>
      <c r="N7484" t="s">
        <v>45</v>
      </c>
      <c r="O7484" t="s">
        <v>43</v>
      </c>
      <c r="P7484" t="s">
        <v>43</v>
      </c>
      <c r="Q7484" t="s">
        <v>43</v>
      </c>
      <c r="R7484" t="s">
        <v>43</v>
      </c>
      <c r="S7484" t="s">
        <v>43</v>
      </c>
      <c r="T7484" t="s">
        <v>43</v>
      </c>
      <c r="U7484" t="s">
        <v>43</v>
      </c>
      <c r="V7484" t="s">
        <v>43</v>
      </c>
      <c r="W7484" t="s">
        <v>43</v>
      </c>
      <c r="X7484" t="s">
        <v>43</v>
      </c>
      <c r="Y7484" t="s">
        <v>43</v>
      </c>
      <c r="Z7484" t="s">
        <v>43</v>
      </c>
      <c r="AA7484" t="s">
        <v>43</v>
      </c>
      <c r="AB7484" t="s">
        <v>43</v>
      </c>
      <c r="AC7484" t="s">
        <v>43</v>
      </c>
      <c r="AD7484" t="s">
        <v>43</v>
      </c>
      <c r="AE7484" t="s">
        <v>43</v>
      </c>
      <c r="AF7484" t="s">
        <v>43</v>
      </c>
      <c r="AG7484" t="s">
        <v>43</v>
      </c>
      <c r="AH7484" t="s">
        <v>43</v>
      </c>
      <c r="AI7484" t="s">
        <v>43</v>
      </c>
      <c r="AJ7484" t="s">
        <v>43</v>
      </c>
      <c r="AK7484" t="s">
        <v>43</v>
      </c>
      <c r="AL7484" t="s">
        <v>43</v>
      </c>
      <c r="AM7484" t="s">
        <v>43</v>
      </c>
      <c r="AN7484" t="str">
        <f>HYPERLINK("https://www.google.com/maps?q=10.78965759,79.57884216","Open Location")</f>
        <v>Open Location</v>
      </c>
    </row>
    <row r="7485" spans="1:40" x14ac:dyDescent="0.3">
      <c r="A7485" s="1">
        <v>46210.132986111108</v>
      </c>
      <c r="B7485" t="s">
        <v>40</v>
      </c>
      <c r="C7485" t="s">
        <v>41</v>
      </c>
      <c r="D7485" s="1">
        <v>46210.136041666665</v>
      </c>
      <c r="E7485" t="s">
        <v>42</v>
      </c>
      <c r="F7485" t="s">
        <v>43</v>
      </c>
      <c r="G7485" t="s">
        <v>43</v>
      </c>
      <c r="H7485" t="s">
        <v>43</v>
      </c>
      <c r="I7485" t="s">
        <v>4171</v>
      </c>
      <c r="J7485" t="s">
        <v>43</v>
      </c>
      <c r="K7485" t="s">
        <v>43</v>
      </c>
      <c r="L7485" t="s">
        <v>43</v>
      </c>
      <c r="M7485" t="s">
        <v>43</v>
      </c>
      <c r="N7485" t="s">
        <v>45</v>
      </c>
      <c r="O7485" t="s">
        <v>43</v>
      </c>
      <c r="P7485" t="s">
        <v>43</v>
      </c>
      <c r="Q7485" t="s">
        <v>43</v>
      </c>
      <c r="R7485" t="s">
        <v>43</v>
      </c>
      <c r="S7485" t="s">
        <v>43</v>
      </c>
      <c r="T7485" t="s">
        <v>43</v>
      </c>
      <c r="U7485" t="s">
        <v>43</v>
      </c>
      <c r="V7485" t="s">
        <v>43</v>
      </c>
      <c r="W7485" t="s">
        <v>43</v>
      </c>
      <c r="X7485" t="s">
        <v>43</v>
      </c>
      <c r="Y7485" t="s">
        <v>43</v>
      </c>
      <c r="Z7485" t="s">
        <v>43</v>
      </c>
      <c r="AA7485" t="s">
        <v>43</v>
      </c>
      <c r="AB7485" t="s">
        <v>43</v>
      </c>
      <c r="AC7485" t="s">
        <v>43</v>
      </c>
      <c r="AD7485" t="s">
        <v>43</v>
      </c>
      <c r="AE7485" t="s">
        <v>43</v>
      </c>
      <c r="AF7485" t="s">
        <v>43</v>
      </c>
      <c r="AG7485" t="s">
        <v>43</v>
      </c>
      <c r="AH7485" t="s">
        <v>43</v>
      </c>
      <c r="AI7485" t="s">
        <v>43</v>
      </c>
      <c r="AJ7485" t="s">
        <v>43</v>
      </c>
      <c r="AK7485" t="s">
        <v>43</v>
      </c>
      <c r="AL7485" t="s">
        <v>43</v>
      </c>
      <c r="AM7485" t="s">
        <v>43</v>
      </c>
      <c r="AN7485" t="str">
        <f>HYPERLINK("https://www.google.com/maps?q=10.78965664,79.57884979","Open Location")</f>
        <v>Open Location</v>
      </c>
    </row>
    <row r="7486" spans="1:40" x14ac:dyDescent="0.3">
      <c r="A7486" s="1">
        <v>46210.132870370369</v>
      </c>
      <c r="B7486" t="s">
        <v>40</v>
      </c>
      <c r="C7486" t="s">
        <v>41</v>
      </c>
      <c r="D7486" s="1">
        <v>46210.135682870372</v>
      </c>
      <c r="E7486" t="s">
        <v>42</v>
      </c>
      <c r="F7486" t="s">
        <v>43</v>
      </c>
      <c r="G7486" t="s">
        <v>43</v>
      </c>
      <c r="H7486" t="s">
        <v>43</v>
      </c>
      <c r="I7486" t="s">
        <v>4269</v>
      </c>
      <c r="J7486" t="s">
        <v>43</v>
      </c>
      <c r="K7486" t="s">
        <v>43</v>
      </c>
      <c r="L7486" t="s">
        <v>43</v>
      </c>
      <c r="M7486" t="s">
        <v>43</v>
      </c>
      <c r="N7486" t="s">
        <v>45</v>
      </c>
      <c r="O7486" t="s">
        <v>43</v>
      </c>
      <c r="P7486" t="s">
        <v>43</v>
      </c>
      <c r="Q7486" t="s">
        <v>43</v>
      </c>
      <c r="R7486" t="s">
        <v>43</v>
      </c>
      <c r="S7486" t="s">
        <v>43</v>
      </c>
      <c r="T7486" t="s">
        <v>43</v>
      </c>
      <c r="U7486" t="s">
        <v>43</v>
      </c>
      <c r="V7486" t="s">
        <v>43</v>
      </c>
      <c r="W7486" t="s">
        <v>43</v>
      </c>
      <c r="X7486" t="s">
        <v>43</v>
      </c>
      <c r="Y7486" t="s">
        <v>43</v>
      </c>
      <c r="Z7486" t="s">
        <v>43</v>
      </c>
      <c r="AA7486" t="s">
        <v>43</v>
      </c>
      <c r="AB7486" t="s">
        <v>43</v>
      </c>
      <c r="AC7486" t="s">
        <v>43</v>
      </c>
      <c r="AD7486" t="s">
        <v>43</v>
      </c>
      <c r="AE7486" t="s">
        <v>43</v>
      </c>
      <c r="AF7486" t="s">
        <v>43</v>
      </c>
      <c r="AG7486" t="s">
        <v>43</v>
      </c>
      <c r="AH7486" t="s">
        <v>43</v>
      </c>
      <c r="AI7486" t="s">
        <v>43</v>
      </c>
      <c r="AJ7486" t="s">
        <v>43</v>
      </c>
      <c r="AK7486" t="s">
        <v>43</v>
      </c>
      <c r="AL7486" t="s">
        <v>43</v>
      </c>
      <c r="AM7486" t="s">
        <v>43</v>
      </c>
      <c r="AN7486" t="str">
        <f>HYPERLINK("https://www.google.com/maps?q=10.78965855,79.57884979","Open Location")</f>
        <v>Open Location</v>
      </c>
    </row>
    <row r="7487" spans="1:40" x14ac:dyDescent="0.3">
      <c r="A7487" s="1">
        <v>46210.132754629631</v>
      </c>
      <c r="B7487" t="s">
        <v>40</v>
      </c>
      <c r="C7487" t="s">
        <v>41</v>
      </c>
      <c r="D7487" s="1">
        <v>46210.135810185187</v>
      </c>
      <c r="E7487" t="s">
        <v>42</v>
      </c>
      <c r="F7487" t="s">
        <v>43</v>
      </c>
      <c r="G7487" t="s">
        <v>43</v>
      </c>
      <c r="H7487" t="s">
        <v>43</v>
      </c>
      <c r="I7487" t="s">
        <v>4270</v>
      </c>
      <c r="J7487" t="s">
        <v>43</v>
      </c>
      <c r="K7487" t="s">
        <v>43</v>
      </c>
      <c r="L7487" t="s">
        <v>43</v>
      </c>
      <c r="M7487" t="s">
        <v>43</v>
      </c>
      <c r="N7487" t="s">
        <v>45</v>
      </c>
      <c r="O7487" t="s">
        <v>43</v>
      </c>
      <c r="P7487" t="s">
        <v>43</v>
      </c>
      <c r="Q7487" t="s">
        <v>43</v>
      </c>
      <c r="R7487" t="s">
        <v>43</v>
      </c>
      <c r="S7487" t="s">
        <v>43</v>
      </c>
      <c r="T7487" t="s">
        <v>43</v>
      </c>
      <c r="U7487" t="s">
        <v>43</v>
      </c>
      <c r="V7487" t="s">
        <v>43</v>
      </c>
      <c r="W7487" t="s">
        <v>43</v>
      </c>
      <c r="X7487" t="s">
        <v>43</v>
      </c>
      <c r="Y7487" t="s">
        <v>43</v>
      </c>
      <c r="Z7487" t="s">
        <v>43</v>
      </c>
      <c r="AA7487" t="s">
        <v>43</v>
      </c>
      <c r="AB7487" t="s">
        <v>43</v>
      </c>
      <c r="AC7487" t="s">
        <v>43</v>
      </c>
      <c r="AD7487" t="s">
        <v>43</v>
      </c>
      <c r="AE7487" t="s">
        <v>43</v>
      </c>
      <c r="AF7487" t="s">
        <v>43</v>
      </c>
      <c r="AG7487" t="s">
        <v>43</v>
      </c>
      <c r="AH7487" t="s">
        <v>43</v>
      </c>
      <c r="AI7487" t="s">
        <v>43</v>
      </c>
      <c r="AJ7487" t="s">
        <v>43</v>
      </c>
      <c r="AK7487" t="s">
        <v>43</v>
      </c>
      <c r="AL7487" t="s">
        <v>43</v>
      </c>
      <c r="AM7487" t="s">
        <v>43</v>
      </c>
      <c r="AN7487" t="str">
        <f>HYPERLINK("https://www.google.com/maps?q=10.78965664,79.57884216","Open Location")</f>
        <v>Open Location</v>
      </c>
    </row>
    <row r="7488" spans="1:40" x14ac:dyDescent="0.3">
      <c r="A7488" s="1">
        <v>46210.132638888892</v>
      </c>
      <c r="B7488" t="s">
        <v>40</v>
      </c>
      <c r="C7488" t="s">
        <v>41</v>
      </c>
      <c r="D7488" s="1">
        <v>46210.135682870372</v>
      </c>
      <c r="E7488" t="s">
        <v>42</v>
      </c>
      <c r="F7488" t="s">
        <v>43</v>
      </c>
      <c r="G7488" t="s">
        <v>43</v>
      </c>
      <c r="H7488" t="s">
        <v>43</v>
      </c>
      <c r="I7488" t="s">
        <v>43</v>
      </c>
      <c r="J7488" t="s">
        <v>43</v>
      </c>
      <c r="K7488" t="s">
        <v>43</v>
      </c>
      <c r="L7488" t="s">
        <v>43</v>
      </c>
      <c r="M7488" t="s">
        <v>43</v>
      </c>
      <c r="N7488" t="s">
        <v>45</v>
      </c>
      <c r="O7488" t="s">
        <v>43</v>
      </c>
      <c r="P7488" t="s">
        <v>43</v>
      </c>
      <c r="Q7488" t="s">
        <v>43</v>
      </c>
      <c r="R7488" t="s">
        <v>43</v>
      </c>
      <c r="S7488" t="s">
        <v>43</v>
      </c>
      <c r="T7488" t="s">
        <v>43</v>
      </c>
      <c r="U7488" t="s">
        <v>43</v>
      </c>
      <c r="V7488" t="s">
        <v>43</v>
      </c>
      <c r="W7488" t="s">
        <v>43</v>
      </c>
      <c r="X7488" t="s">
        <v>43</v>
      </c>
      <c r="Y7488" t="s">
        <v>43</v>
      </c>
      <c r="Z7488" t="s">
        <v>43</v>
      </c>
      <c r="AA7488" t="s">
        <v>43</v>
      </c>
      <c r="AB7488" t="s">
        <v>43</v>
      </c>
      <c r="AC7488" t="s">
        <v>43</v>
      </c>
      <c r="AD7488" t="s">
        <v>43</v>
      </c>
      <c r="AE7488" t="s">
        <v>43</v>
      </c>
      <c r="AF7488" t="s">
        <v>43</v>
      </c>
      <c r="AG7488" t="s">
        <v>43</v>
      </c>
      <c r="AH7488" t="s">
        <v>43</v>
      </c>
      <c r="AI7488" t="s">
        <v>43</v>
      </c>
      <c r="AJ7488" t="s">
        <v>43</v>
      </c>
      <c r="AK7488" t="s">
        <v>43</v>
      </c>
      <c r="AL7488" t="s">
        <v>43</v>
      </c>
      <c r="AM7488" t="s">
        <v>43</v>
      </c>
      <c r="AN7488" t="s">
        <v>43</v>
      </c>
    </row>
    <row r="7489" spans="1:40" x14ac:dyDescent="0.3">
      <c r="A7489" s="1">
        <v>46210.132523148146</v>
      </c>
      <c r="B7489" t="s">
        <v>40</v>
      </c>
      <c r="C7489" t="s">
        <v>41</v>
      </c>
      <c r="D7489" s="1">
        <v>46210.135659722226</v>
      </c>
      <c r="E7489" t="s">
        <v>42</v>
      </c>
      <c r="F7489" t="s">
        <v>43</v>
      </c>
      <c r="G7489" t="s">
        <v>43</v>
      </c>
      <c r="H7489" t="s">
        <v>43</v>
      </c>
      <c r="I7489" t="s">
        <v>4271</v>
      </c>
      <c r="J7489" t="s">
        <v>43</v>
      </c>
      <c r="K7489" t="s">
        <v>43</v>
      </c>
      <c r="L7489" t="s">
        <v>43</v>
      </c>
      <c r="M7489" t="s">
        <v>43</v>
      </c>
      <c r="N7489" t="s">
        <v>45</v>
      </c>
      <c r="O7489" t="s">
        <v>43</v>
      </c>
      <c r="P7489" t="s">
        <v>43</v>
      </c>
      <c r="Q7489" t="s">
        <v>43</v>
      </c>
      <c r="R7489" t="s">
        <v>43</v>
      </c>
      <c r="S7489" t="s">
        <v>43</v>
      </c>
      <c r="T7489" t="s">
        <v>43</v>
      </c>
      <c r="U7489" t="s">
        <v>43</v>
      </c>
      <c r="V7489" t="s">
        <v>43</v>
      </c>
      <c r="W7489" t="s">
        <v>43</v>
      </c>
      <c r="X7489" t="s">
        <v>43</v>
      </c>
      <c r="Y7489" t="s">
        <v>43</v>
      </c>
      <c r="Z7489" t="s">
        <v>43</v>
      </c>
      <c r="AA7489" t="s">
        <v>43</v>
      </c>
      <c r="AB7489" t="s">
        <v>43</v>
      </c>
      <c r="AC7489" t="s">
        <v>43</v>
      </c>
      <c r="AD7489" t="s">
        <v>43</v>
      </c>
      <c r="AE7489" t="s">
        <v>43</v>
      </c>
      <c r="AF7489" t="s">
        <v>43</v>
      </c>
      <c r="AG7489" t="s">
        <v>43</v>
      </c>
      <c r="AH7489" t="s">
        <v>43</v>
      </c>
      <c r="AI7489" t="s">
        <v>43</v>
      </c>
      <c r="AJ7489" t="s">
        <v>43</v>
      </c>
      <c r="AK7489" t="s">
        <v>43</v>
      </c>
      <c r="AL7489" t="s">
        <v>43</v>
      </c>
      <c r="AM7489" t="s">
        <v>43</v>
      </c>
      <c r="AN7489" t="str">
        <f>HYPERLINK("https://www.google.com/maps?q=10.78965473,79.57884216","Open Location")</f>
        <v>Open Location</v>
      </c>
    </row>
    <row r="7490" spans="1:40" x14ac:dyDescent="0.3">
      <c r="A7490" s="1">
        <v>46210.132407407407</v>
      </c>
      <c r="B7490" t="s">
        <v>40</v>
      </c>
      <c r="C7490" t="s">
        <v>41</v>
      </c>
      <c r="D7490" s="1">
        <v>46210.135335648149</v>
      </c>
      <c r="E7490" t="s">
        <v>42</v>
      </c>
      <c r="F7490" t="s">
        <v>43</v>
      </c>
      <c r="G7490" t="s">
        <v>43</v>
      </c>
      <c r="H7490" t="s">
        <v>43</v>
      </c>
      <c r="I7490" t="s">
        <v>4067</v>
      </c>
      <c r="J7490" t="s">
        <v>43</v>
      </c>
      <c r="K7490" t="s">
        <v>43</v>
      </c>
      <c r="L7490" t="s">
        <v>43</v>
      </c>
      <c r="M7490" t="s">
        <v>43</v>
      </c>
      <c r="N7490" t="s">
        <v>45</v>
      </c>
      <c r="O7490" t="s">
        <v>43</v>
      </c>
      <c r="P7490" t="s">
        <v>43</v>
      </c>
      <c r="Q7490" t="s">
        <v>43</v>
      </c>
      <c r="R7490" t="s">
        <v>43</v>
      </c>
      <c r="S7490" t="s">
        <v>43</v>
      </c>
      <c r="T7490" t="s">
        <v>43</v>
      </c>
      <c r="U7490" t="s">
        <v>43</v>
      </c>
      <c r="V7490" t="s">
        <v>43</v>
      </c>
      <c r="W7490" t="s">
        <v>43</v>
      </c>
      <c r="X7490" t="s">
        <v>43</v>
      </c>
      <c r="Y7490" t="s">
        <v>43</v>
      </c>
      <c r="Z7490" t="s">
        <v>43</v>
      </c>
      <c r="AA7490" t="s">
        <v>43</v>
      </c>
      <c r="AB7490" t="s">
        <v>43</v>
      </c>
      <c r="AC7490" t="s">
        <v>43</v>
      </c>
      <c r="AD7490" t="s">
        <v>43</v>
      </c>
      <c r="AE7490" t="s">
        <v>43</v>
      </c>
      <c r="AF7490" t="s">
        <v>43</v>
      </c>
      <c r="AG7490" t="s">
        <v>43</v>
      </c>
      <c r="AH7490" t="s">
        <v>43</v>
      </c>
      <c r="AI7490" t="s">
        <v>43</v>
      </c>
      <c r="AJ7490" t="s">
        <v>43</v>
      </c>
      <c r="AK7490" t="s">
        <v>43</v>
      </c>
      <c r="AL7490" t="s">
        <v>43</v>
      </c>
      <c r="AM7490" t="s">
        <v>43</v>
      </c>
      <c r="AN7490" t="str">
        <f>HYPERLINK("https://www.google.com/maps?q=10.78965855,79.57884216","Open Location")</f>
        <v>Open Location</v>
      </c>
    </row>
    <row r="7491" spans="1:40" x14ac:dyDescent="0.3">
      <c r="A7491" s="1">
        <v>46210.132291666669</v>
      </c>
      <c r="B7491" t="s">
        <v>40</v>
      </c>
      <c r="C7491" t="s">
        <v>41</v>
      </c>
      <c r="D7491" s="1">
        <v>46210.135324074072</v>
      </c>
      <c r="E7491" t="s">
        <v>42</v>
      </c>
      <c r="F7491" t="s">
        <v>43</v>
      </c>
      <c r="G7491" t="s">
        <v>43</v>
      </c>
      <c r="H7491" t="s">
        <v>43</v>
      </c>
      <c r="I7491" t="s">
        <v>4272</v>
      </c>
      <c r="J7491" t="s">
        <v>43</v>
      </c>
      <c r="K7491" t="s">
        <v>43</v>
      </c>
      <c r="L7491" t="s">
        <v>43</v>
      </c>
      <c r="M7491" t="s">
        <v>43</v>
      </c>
      <c r="N7491" t="s">
        <v>45</v>
      </c>
      <c r="O7491" t="s">
        <v>43</v>
      </c>
      <c r="P7491" t="s">
        <v>43</v>
      </c>
      <c r="Q7491" t="s">
        <v>43</v>
      </c>
      <c r="R7491" t="s">
        <v>43</v>
      </c>
      <c r="S7491" t="s">
        <v>43</v>
      </c>
      <c r="T7491" t="s">
        <v>43</v>
      </c>
      <c r="U7491" t="s">
        <v>43</v>
      </c>
      <c r="V7491" t="s">
        <v>43</v>
      </c>
      <c r="W7491" t="s">
        <v>43</v>
      </c>
      <c r="X7491" t="s">
        <v>43</v>
      </c>
      <c r="Y7491" t="s">
        <v>43</v>
      </c>
      <c r="Z7491" t="s">
        <v>43</v>
      </c>
      <c r="AA7491" t="s">
        <v>43</v>
      </c>
      <c r="AB7491" t="s">
        <v>43</v>
      </c>
      <c r="AC7491" t="s">
        <v>43</v>
      </c>
      <c r="AD7491" t="s">
        <v>43</v>
      </c>
      <c r="AE7491" t="s">
        <v>43</v>
      </c>
      <c r="AF7491" t="s">
        <v>43</v>
      </c>
      <c r="AG7491" t="s">
        <v>43</v>
      </c>
      <c r="AH7491" t="s">
        <v>43</v>
      </c>
      <c r="AI7491" t="s">
        <v>43</v>
      </c>
      <c r="AJ7491" t="s">
        <v>43</v>
      </c>
      <c r="AK7491" t="s">
        <v>43</v>
      </c>
      <c r="AL7491" t="s">
        <v>43</v>
      </c>
      <c r="AM7491" t="s">
        <v>43</v>
      </c>
      <c r="AN7491" t="str">
        <f>HYPERLINK("https://www.google.com/maps?q=10.78965378,79.57884216","Open Location")</f>
        <v>Open Location</v>
      </c>
    </row>
    <row r="7492" spans="1:40" x14ac:dyDescent="0.3">
      <c r="A7492" s="1">
        <v>46210.132175925923</v>
      </c>
      <c r="B7492" t="s">
        <v>40</v>
      </c>
      <c r="C7492" t="s">
        <v>41</v>
      </c>
      <c r="D7492" s="1">
        <v>46210.134988425925</v>
      </c>
      <c r="E7492" t="s">
        <v>42</v>
      </c>
      <c r="F7492" t="s">
        <v>43</v>
      </c>
      <c r="G7492" t="s">
        <v>43</v>
      </c>
      <c r="H7492" t="s">
        <v>43</v>
      </c>
      <c r="I7492" t="s">
        <v>4273</v>
      </c>
      <c r="J7492" t="s">
        <v>43</v>
      </c>
      <c r="K7492" t="s">
        <v>43</v>
      </c>
      <c r="L7492" t="s">
        <v>43</v>
      </c>
      <c r="M7492" t="s">
        <v>43</v>
      </c>
      <c r="N7492" t="s">
        <v>45</v>
      </c>
      <c r="O7492" t="s">
        <v>43</v>
      </c>
      <c r="P7492" t="s">
        <v>43</v>
      </c>
      <c r="Q7492" t="s">
        <v>43</v>
      </c>
      <c r="R7492" t="s">
        <v>43</v>
      </c>
      <c r="S7492" t="s">
        <v>43</v>
      </c>
      <c r="T7492" t="s">
        <v>43</v>
      </c>
      <c r="U7492" t="s">
        <v>43</v>
      </c>
      <c r="V7492" t="s">
        <v>43</v>
      </c>
      <c r="W7492" t="s">
        <v>43</v>
      </c>
      <c r="X7492" t="s">
        <v>43</v>
      </c>
      <c r="Y7492" t="s">
        <v>43</v>
      </c>
      <c r="Z7492" t="s">
        <v>43</v>
      </c>
      <c r="AA7492" t="s">
        <v>43</v>
      </c>
      <c r="AB7492" t="s">
        <v>43</v>
      </c>
      <c r="AC7492" t="s">
        <v>43</v>
      </c>
      <c r="AD7492" t="s">
        <v>43</v>
      </c>
      <c r="AE7492" t="s">
        <v>43</v>
      </c>
      <c r="AF7492" t="s">
        <v>43</v>
      </c>
      <c r="AG7492" t="s">
        <v>43</v>
      </c>
      <c r="AH7492" t="s">
        <v>43</v>
      </c>
      <c r="AI7492" t="s">
        <v>43</v>
      </c>
      <c r="AJ7492" t="s">
        <v>43</v>
      </c>
      <c r="AK7492" t="s">
        <v>43</v>
      </c>
      <c r="AL7492" t="s">
        <v>43</v>
      </c>
      <c r="AM7492" t="s">
        <v>43</v>
      </c>
      <c r="AN7492" t="str">
        <f>HYPERLINK("https://www.google.com/maps?q=10.78964901,79.57884216","Open Location")</f>
        <v>Open Location</v>
      </c>
    </row>
    <row r="7493" spans="1:40" x14ac:dyDescent="0.3">
      <c r="A7493" s="1">
        <v>46210.132060185184</v>
      </c>
      <c r="B7493" t="s">
        <v>40</v>
      </c>
      <c r="C7493" t="s">
        <v>41</v>
      </c>
      <c r="D7493" s="1">
        <v>46210.135266203702</v>
      </c>
      <c r="E7493" t="s">
        <v>42</v>
      </c>
      <c r="F7493" t="s">
        <v>43</v>
      </c>
      <c r="G7493" t="s">
        <v>43</v>
      </c>
      <c r="H7493" t="s">
        <v>43</v>
      </c>
      <c r="I7493" t="s">
        <v>43</v>
      </c>
      <c r="J7493" t="s">
        <v>43</v>
      </c>
      <c r="K7493" t="s">
        <v>43</v>
      </c>
      <c r="L7493" t="s">
        <v>43</v>
      </c>
      <c r="M7493" t="s">
        <v>43</v>
      </c>
      <c r="N7493" t="s">
        <v>45</v>
      </c>
      <c r="O7493" t="s">
        <v>43</v>
      </c>
      <c r="P7493" t="s">
        <v>43</v>
      </c>
      <c r="Q7493" t="s">
        <v>43</v>
      </c>
      <c r="R7493" t="s">
        <v>43</v>
      </c>
      <c r="S7493" t="s">
        <v>43</v>
      </c>
      <c r="T7493" t="s">
        <v>43</v>
      </c>
      <c r="U7493" t="s">
        <v>43</v>
      </c>
      <c r="V7493" t="s">
        <v>43</v>
      </c>
      <c r="W7493" t="s">
        <v>43</v>
      </c>
      <c r="X7493" t="s">
        <v>43</v>
      </c>
      <c r="Y7493" t="s">
        <v>43</v>
      </c>
      <c r="Z7493" t="s">
        <v>43</v>
      </c>
      <c r="AA7493" t="s">
        <v>43</v>
      </c>
      <c r="AB7493" t="s">
        <v>43</v>
      </c>
      <c r="AC7493" t="s">
        <v>43</v>
      </c>
      <c r="AD7493" t="s">
        <v>43</v>
      </c>
      <c r="AE7493" t="s">
        <v>43</v>
      </c>
      <c r="AF7493" t="s">
        <v>43</v>
      </c>
      <c r="AG7493" t="s">
        <v>43</v>
      </c>
      <c r="AH7493" t="s">
        <v>43</v>
      </c>
      <c r="AI7493" t="s">
        <v>43</v>
      </c>
      <c r="AJ7493" t="s">
        <v>43</v>
      </c>
      <c r="AK7493" t="s">
        <v>43</v>
      </c>
      <c r="AL7493" t="s">
        <v>43</v>
      </c>
      <c r="AM7493" t="s">
        <v>43</v>
      </c>
      <c r="AN7493" t="s">
        <v>43</v>
      </c>
    </row>
    <row r="7494" spans="1:40" x14ac:dyDescent="0.3">
      <c r="A7494" s="1">
        <v>46210.131944444445</v>
      </c>
      <c r="B7494" t="s">
        <v>40</v>
      </c>
      <c r="C7494" t="s">
        <v>41</v>
      </c>
      <c r="D7494" s="1">
        <v>46210.134733796294</v>
      </c>
      <c r="E7494" t="s">
        <v>42</v>
      </c>
      <c r="F7494" t="s">
        <v>43</v>
      </c>
      <c r="G7494" t="s">
        <v>43</v>
      </c>
      <c r="H7494" t="s">
        <v>43</v>
      </c>
      <c r="I7494" t="s">
        <v>3939</v>
      </c>
      <c r="J7494" t="s">
        <v>43</v>
      </c>
      <c r="K7494" t="s">
        <v>43</v>
      </c>
      <c r="L7494" t="s">
        <v>43</v>
      </c>
      <c r="M7494" t="s">
        <v>43</v>
      </c>
      <c r="N7494" t="s">
        <v>45</v>
      </c>
      <c r="O7494" t="s">
        <v>43</v>
      </c>
      <c r="P7494" t="s">
        <v>43</v>
      </c>
      <c r="Q7494" t="s">
        <v>43</v>
      </c>
      <c r="R7494" t="s">
        <v>43</v>
      </c>
      <c r="S7494" t="s">
        <v>43</v>
      </c>
      <c r="T7494" t="s">
        <v>43</v>
      </c>
      <c r="U7494" t="s">
        <v>43</v>
      </c>
      <c r="V7494" t="s">
        <v>43</v>
      </c>
      <c r="W7494" t="s">
        <v>43</v>
      </c>
      <c r="X7494" t="s">
        <v>43</v>
      </c>
      <c r="Y7494" t="s">
        <v>43</v>
      </c>
      <c r="Z7494" t="s">
        <v>43</v>
      </c>
      <c r="AA7494" t="s">
        <v>43</v>
      </c>
      <c r="AB7494" t="s">
        <v>43</v>
      </c>
      <c r="AC7494" t="s">
        <v>43</v>
      </c>
      <c r="AD7494" t="s">
        <v>43</v>
      </c>
      <c r="AE7494" t="s">
        <v>43</v>
      </c>
      <c r="AF7494" t="s">
        <v>43</v>
      </c>
      <c r="AG7494" t="s">
        <v>43</v>
      </c>
      <c r="AH7494" t="s">
        <v>43</v>
      </c>
      <c r="AI7494" t="s">
        <v>43</v>
      </c>
      <c r="AJ7494" t="s">
        <v>43</v>
      </c>
      <c r="AK7494" t="s">
        <v>43</v>
      </c>
      <c r="AL7494" t="s">
        <v>43</v>
      </c>
      <c r="AM7494" t="s">
        <v>43</v>
      </c>
      <c r="AN7494" t="str">
        <f>HYPERLINK("https://www.google.com/maps?q=10.78965378,79.57883453","Open Location")</f>
        <v>Open Location</v>
      </c>
    </row>
    <row r="7495" spans="1:40" x14ac:dyDescent="0.3">
      <c r="A7495" s="1">
        <v>46210.131828703707</v>
      </c>
      <c r="B7495" t="s">
        <v>40</v>
      </c>
      <c r="C7495" t="s">
        <v>41</v>
      </c>
      <c r="D7495" s="1">
        <v>46210.134733796294</v>
      </c>
      <c r="E7495" t="s">
        <v>42</v>
      </c>
      <c r="F7495" t="s">
        <v>43</v>
      </c>
      <c r="G7495" t="s">
        <v>43</v>
      </c>
      <c r="H7495" t="s">
        <v>43</v>
      </c>
      <c r="I7495" t="s">
        <v>4274</v>
      </c>
      <c r="J7495" t="s">
        <v>43</v>
      </c>
      <c r="K7495" t="s">
        <v>43</v>
      </c>
      <c r="L7495" t="s">
        <v>43</v>
      </c>
      <c r="M7495" t="s">
        <v>43</v>
      </c>
      <c r="N7495" t="s">
        <v>45</v>
      </c>
      <c r="O7495" t="s">
        <v>43</v>
      </c>
      <c r="P7495" t="s">
        <v>43</v>
      </c>
      <c r="Q7495" t="s">
        <v>43</v>
      </c>
      <c r="R7495" t="s">
        <v>43</v>
      </c>
      <c r="S7495" t="s">
        <v>43</v>
      </c>
      <c r="T7495" t="s">
        <v>43</v>
      </c>
      <c r="U7495" t="s">
        <v>43</v>
      </c>
      <c r="V7495" t="s">
        <v>43</v>
      </c>
      <c r="W7495" t="s">
        <v>43</v>
      </c>
      <c r="X7495" t="s">
        <v>43</v>
      </c>
      <c r="Y7495" t="s">
        <v>43</v>
      </c>
      <c r="Z7495" t="s">
        <v>43</v>
      </c>
      <c r="AA7495" t="s">
        <v>43</v>
      </c>
      <c r="AB7495" t="s">
        <v>43</v>
      </c>
      <c r="AC7495" t="s">
        <v>43</v>
      </c>
      <c r="AD7495" t="s">
        <v>43</v>
      </c>
      <c r="AE7495" t="s">
        <v>43</v>
      </c>
      <c r="AF7495" t="s">
        <v>43</v>
      </c>
      <c r="AG7495" t="s">
        <v>43</v>
      </c>
      <c r="AH7495" t="s">
        <v>43</v>
      </c>
      <c r="AI7495" t="s">
        <v>43</v>
      </c>
      <c r="AJ7495" t="s">
        <v>43</v>
      </c>
      <c r="AK7495" t="s">
        <v>43</v>
      </c>
      <c r="AL7495" t="s">
        <v>43</v>
      </c>
      <c r="AM7495" t="s">
        <v>43</v>
      </c>
      <c r="AN7495" t="str">
        <f>HYPERLINK("https://www.google.com/maps?q=10.78965569,79.57883453","Open Location")</f>
        <v>Open Location</v>
      </c>
    </row>
    <row r="7496" spans="1:40" x14ac:dyDescent="0.3">
      <c r="A7496" s="1">
        <v>46210.131712962961</v>
      </c>
      <c r="B7496" t="s">
        <v>40</v>
      </c>
      <c r="C7496" t="s">
        <v>41</v>
      </c>
      <c r="D7496" s="1">
        <v>46210.134641203702</v>
      </c>
      <c r="E7496" t="s">
        <v>42</v>
      </c>
      <c r="F7496" t="s">
        <v>43</v>
      </c>
      <c r="G7496" t="s">
        <v>43</v>
      </c>
      <c r="H7496" t="s">
        <v>43</v>
      </c>
      <c r="I7496" t="s">
        <v>4255</v>
      </c>
      <c r="J7496" t="s">
        <v>43</v>
      </c>
      <c r="K7496" t="s">
        <v>43</v>
      </c>
      <c r="L7496" t="s">
        <v>43</v>
      </c>
      <c r="M7496" t="s">
        <v>43</v>
      </c>
      <c r="N7496" t="s">
        <v>45</v>
      </c>
      <c r="O7496" t="s">
        <v>43</v>
      </c>
      <c r="P7496" t="s">
        <v>43</v>
      </c>
      <c r="Q7496" t="s">
        <v>43</v>
      </c>
      <c r="R7496" t="s">
        <v>43</v>
      </c>
      <c r="S7496" t="s">
        <v>43</v>
      </c>
      <c r="T7496" t="s">
        <v>43</v>
      </c>
      <c r="U7496" t="s">
        <v>43</v>
      </c>
      <c r="V7496" t="s">
        <v>43</v>
      </c>
      <c r="W7496" t="s">
        <v>43</v>
      </c>
      <c r="X7496" t="s">
        <v>43</v>
      </c>
      <c r="Y7496" t="s">
        <v>43</v>
      </c>
      <c r="Z7496" t="s">
        <v>43</v>
      </c>
      <c r="AA7496" t="s">
        <v>43</v>
      </c>
      <c r="AB7496" t="s">
        <v>43</v>
      </c>
      <c r="AC7496" t="s">
        <v>43</v>
      </c>
      <c r="AD7496" t="s">
        <v>43</v>
      </c>
      <c r="AE7496" t="s">
        <v>43</v>
      </c>
      <c r="AF7496" t="s">
        <v>43</v>
      </c>
      <c r="AG7496" t="s">
        <v>43</v>
      </c>
      <c r="AH7496" t="s">
        <v>43</v>
      </c>
      <c r="AI7496" t="s">
        <v>43</v>
      </c>
      <c r="AJ7496" t="s">
        <v>43</v>
      </c>
      <c r="AK7496" t="s">
        <v>43</v>
      </c>
      <c r="AL7496" t="s">
        <v>43</v>
      </c>
      <c r="AM7496" t="s">
        <v>43</v>
      </c>
      <c r="AN7496" t="str">
        <f>HYPERLINK("https://www.google.com/maps?q=10.78965759,79.5788269","Open Location")</f>
        <v>Open Location</v>
      </c>
    </row>
    <row r="7497" spans="1:40" x14ac:dyDescent="0.3">
      <c r="A7497" s="1">
        <v>46210.131597222222</v>
      </c>
      <c r="B7497" t="s">
        <v>40</v>
      </c>
      <c r="C7497" t="s">
        <v>41</v>
      </c>
      <c r="D7497" s="1">
        <v>46210.134583333333</v>
      </c>
      <c r="E7497" t="s">
        <v>42</v>
      </c>
      <c r="F7497" t="s">
        <v>43</v>
      </c>
      <c r="G7497" t="s">
        <v>43</v>
      </c>
      <c r="H7497" t="s">
        <v>43</v>
      </c>
      <c r="I7497" t="s">
        <v>3945</v>
      </c>
      <c r="J7497" t="s">
        <v>43</v>
      </c>
      <c r="K7497" t="s">
        <v>43</v>
      </c>
      <c r="L7497" t="s">
        <v>43</v>
      </c>
      <c r="M7497" t="s">
        <v>43</v>
      </c>
      <c r="N7497" t="s">
        <v>45</v>
      </c>
      <c r="O7497" t="s">
        <v>43</v>
      </c>
      <c r="P7497" t="s">
        <v>43</v>
      </c>
      <c r="Q7497" t="s">
        <v>43</v>
      </c>
      <c r="R7497" t="s">
        <v>43</v>
      </c>
      <c r="S7497" t="s">
        <v>43</v>
      </c>
      <c r="T7497" t="s">
        <v>43</v>
      </c>
      <c r="U7497" t="s">
        <v>43</v>
      </c>
      <c r="V7497" t="s">
        <v>43</v>
      </c>
      <c r="W7497" t="s">
        <v>43</v>
      </c>
      <c r="X7497" t="s">
        <v>43</v>
      </c>
      <c r="Y7497" t="s">
        <v>43</v>
      </c>
      <c r="Z7497" t="s">
        <v>43</v>
      </c>
      <c r="AA7497" t="s">
        <v>43</v>
      </c>
      <c r="AB7497" t="s">
        <v>43</v>
      </c>
      <c r="AC7497" t="s">
        <v>43</v>
      </c>
      <c r="AD7497" t="s">
        <v>43</v>
      </c>
      <c r="AE7497" t="s">
        <v>43</v>
      </c>
      <c r="AF7497" t="s">
        <v>43</v>
      </c>
      <c r="AG7497" t="s">
        <v>43</v>
      </c>
      <c r="AH7497" t="s">
        <v>43</v>
      </c>
      <c r="AI7497" t="s">
        <v>43</v>
      </c>
      <c r="AJ7497" t="s">
        <v>43</v>
      </c>
      <c r="AK7497" t="s">
        <v>43</v>
      </c>
      <c r="AL7497" t="s">
        <v>43</v>
      </c>
      <c r="AM7497" t="s">
        <v>43</v>
      </c>
      <c r="AN7497" t="str">
        <f>HYPERLINK("https://www.google.com/maps?q=10.78965855,79.57883453","Open Location")</f>
        <v>Open Location</v>
      </c>
    </row>
    <row r="7498" spans="1:40" x14ac:dyDescent="0.3">
      <c r="A7498" s="1">
        <v>46210.131481481483</v>
      </c>
      <c r="B7498" t="s">
        <v>40</v>
      </c>
      <c r="C7498" t="s">
        <v>41</v>
      </c>
      <c r="D7498" s="1">
        <v>46210.13449074074</v>
      </c>
      <c r="E7498" t="s">
        <v>42</v>
      </c>
      <c r="F7498" t="s">
        <v>43</v>
      </c>
      <c r="G7498" t="s">
        <v>43</v>
      </c>
      <c r="H7498" t="s">
        <v>43</v>
      </c>
      <c r="I7498" t="s">
        <v>4275</v>
      </c>
      <c r="J7498" t="s">
        <v>43</v>
      </c>
      <c r="K7498" t="s">
        <v>43</v>
      </c>
      <c r="L7498" t="s">
        <v>43</v>
      </c>
      <c r="M7498" t="s">
        <v>43</v>
      </c>
      <c r="N7498" t="s">
        <v>45</v>
      </c>
      <c r="O7498" t="s">
        <v>43</v>
      </c>
      <c r="P7498" t="s">
        <v>43</v>
      </c>
      <c r="Q7498" t="s">
        <v>43</v>
      </c>
      <c r="R7498" t="s">
        <v>43</v>
      </c>
      <c r="S7498" t="s">
        <v>43</v>
      </c>
      <c r="T7498" t="s">
        <v>43</v>
      </c>
      <c r="U7498" t="s">
        <v>43</v>
      </c>
      <c r="V7498" t="s">
        <v>43</v>
      </c>
      <c r="W7498" t="s">
        <v>43</v>
      </c>
      <c r="X7498" t="s">
        <v>43</v>
      </c>
      <c r="Y7498" t="s">
        <v>43</v>
      </c>
      <c r="Z7498" t="s">
        <v>43</v>
      </c>
      <c r="AA7498" t="s">
        <v>43</v>
      </c>
      <c r="AB7498" t="s">
        <v>43</v>
      </c>
      <c r="AC7498" t="s">
        <v>43</v>
      </c>
      <c r="AD7498" t="s">
        <v>43</v>
      </c>
      <c r="AE7498" t="s">
        <v>43</v>
      </c>
      <c r="AF7498" t="s">
        <v>43</v>
      </c>
      <c r="AG7498" t="s">
        <v>43</v>
      </c>
      <c r="AH7498" t="s">
        <v>43</v>
      </c>
      <c r="AI7498" t="s">
        <v>43</v>
      </c>
      <c r="AJ7498" t="s">
        <v>43</v>
      </c>
      <c r="AK7498" t="s">
        <v>43</v>
      </c>
      <c r="AL7498" t="s">
        <v>43</v>
      </c>
      <c r="AM7498" t="s">
        <v>43</v>
      </c>
      <c r="AN7498" t="str">
        <f>HYPERLINK("https://www.google.com/maps?q=10.78965187,79.57883453","Open Location")</f>
        <v>Open Location</v>
      </c>
    </row>
    <row r="7499" spans="1:40" x14ac:dyDescent="0.3">
      <c r="A7499" s="1">
        <v>46210.131365740737</v>
      </c>
      <c r="B7499" t="s">
        <v>40</v>
      </c>
      <c r="C7499" t="s">
        <v>41</v>
      </c>
      <c r="D7499" s="1">
        <v>46210.134351851855</v>
      </c>
      <c r="E7499" t="s">
        <v>42</v>
      </c>
      <c r="F7499" t="s">
        <v>43</v>
      </c>
      <c r="G7499" t="s">
        <v>43</v>
      </c>
      <c r="H7499" t="s">
        <v>43</v>
      </c>
      <c r="I7499" t="s">
        <v>43</v>
      </c>
      <c r="J7499" t="s">
        <v>43</v>
      </c>
      <c r="K7499" t="s">
        <v>43</v>
      </c>
      <c r="L7499" t="s">
        <v>43</v>
      </c>
      <c r="M7499" t="s">
        <v>43</v>
      </c>
      <c r="N7499" t="s">
        <v>45</v>
      </c>
      <c r="O7499" t="s">
        <v>43</v>
      </c>
      <c r="P7499" t="s">
        <v>43</v>
      </c>
      <c r="Q7499" t="s">
        <v>43</v>
      </c>
      <c r="R7499" t="s">
        <v>43</v>
      </c>
      <c r="S7499" t="s">
        <v>43</v>
      </c>
      <c r="T7499" t="s">
        <v>43</v>
      </c>
      <c r="U7499" t="s">
        <v>43</v>
      </c>
      <c r="V7499" t="s">
        <v>43</v>
      </c>
      <c r="W7499" t="s">
        <v>43</v>
      </c>
      <c r="X7499" t="s">
        <v>43</v>
      </c>
      <c r="Y7499" t="s">
        <v>43</v>
      </c>
      <c r="Z7499" t="s">
        <v>43</v>
      </c>
      <c r="AA7499" t="s">
        <v>43</v>
      </c>
      <c r="AB7499" t="s">
        <v>43</v>
      </c>
      <c r="AC7499" t="s">
        <v>43</v>
      </c>
      <c r="AD7499" t="s">
        <v>43</v>
      </c>
      <c r="AE7499" t="s">
        <v>43</v>
      </c>
      <c r="AF7499" t="s">
        <v>43</v>
      </c>
      <c r="AG7499" t="s">
        <v>43</v>
      </c>
      <c r="AH7499" t="s">
        <v>43</v>
      </c>
      <c r="AI7499" t="s">
        <v>43</v>
      </c>
      <c r="AJ7499" t="s">
        <v>43</v>
      </c>
      <c r="AK7499" t="s">
        <v>43</v>
      </c>
      <c r="AL7499" t="s">
        <v>43</v>
      </c>
      <c r="AM7499" t="s">
        <v>43</v>
      </c>
      <c r="AN7499" t="s">
        <v>43</v>
      </c>
    </row>
    <row r="7500" spans="1:40" x14ac:dyDescent="0.3">
      <c r="A7500" s="1">
        <v>46210.131249999999</v>
      </c>
      <c r="B7500" t="s">
        <v>40</v>
      </c>
      <c r="C7500" t="s">
        <v>41</v>
      </c>
      <c r="D7500" s="1">
        <v>46210.134120370371</v>
      </c>
      <c r="E7500" t="s">
        <v>42</v>
      </c>
      <c r="F7500" t="s">
        <v>43</v>
      </c>
      <c r="G7500" t="s">
        <v>43</v>
      </c>
      <c r="H7500" t="s">
        <v>43</v>
      </c>
      <c r="I7500" t="s">
        <v>4276</v>
      </c>
      <c r="J7500" t="s">
        <v>43</v>
      </c>
      <c r="K7500" t="s">
        <v>43</v>
      </c>
      <c r="L7500" t="s">
        <v>43</v>
      </c>
      <c r="M7500" t="s">
        <v>43</v>
      </c>
      <c r="N7500" t="s">
        <v>45</v>
      </c>
      <c r="O7500" t="s">
        <v>43</v>
      </c>
      <c r="P7500" t="s">
        <v>43</v>
      </c>
      <c r="Q7500" t="s">
        <v>43</v>
      </c>
      <c r="R7500" t="s">
        <v>43</v>
      </c>
      <c r="S7500" t="s">
        <v>43</v>
      </c>
      <c r="T7500" t="s">
        <v>43</v>
      </c>
      <c r="U7500" t="s">
        <v>43</v>
      </c>
      <c r="V7500" t="s">
        <v>43</v>
      </c>
      <c r="W7500" t="s">
        <v>43</v>
      </c>
      <c r="X7500" t="s">
        <v>43</v>
      </c>
      <c r="Y7500" t="s">
        <v>43</v>
      </c>
      <c r="Z7500" t="s">
        <v>43</v>
      </c>
      <c r="AA7500" t="s">
        <v>43</v>
      </c>
      <c r="AB7500" t="s">
        <v>43</v>
      </c>
      <c r="AC7500" t="s">
        <v>43</v>
      </c>
      <c r="AD7500" t="s">
        <v>43</v>
      </c>
      <c r="AE7500" t="s">
        <v>43</v>
      </c>
      <c r="AF7500" t="s">
        <v>43</v>
      </c>
      <c r="AG7500" t="s">
        <v>43</v>
      </c>
      <c r="AH7500" t="s">
        <v>43</v>
      </c>
      <c r="AI7500" t="s">
        <v>43</v>
      </c>
      <c r="AJ7500" t="s">
        <v>43</v>
      </c>
      <c r="AK7500" t="s">
        <v>43</v>
      </c>
      <c r="AL7500" t="s">
        <v>43</v>
      </c>
      <c r="AM7500" t="s">
        <v>43</v>
      </c>
      <c r="AN7500" t="str">
        <f>HYPERLINK("https://www.google.com/maps?q=10.78965473,79.5788269","Open Location")</f>
        <v>Open Location</v>
      </c>
    </row>
    <row r="7501" spans="1:40" x14ac:dyDescent="0.3">
      <c r="A7501" s="1">
        <v>46210.13113425926</v>
      </c>
      <c r="B7501" t="s">
        <v>40</v>
      </c>
      <c r="C7501" t="s">
        <v>41</v>
      </c>
      <c r="D7501" s="1">
        <v>46210.134143518517</v>
      </c>
      <c r="E7501" t="s">
        <v>42</v>
      </c>
      <c r="F7501" t="s">
        <v>43</v>
      </c>
      <c r="G7501" t="s">
        <v>43</v>
      </c>
      <c r="H7501" t="s">
        <v>43</v>
      </c>
      <c r="I7501" t="s">
        <v>43</v>
      </c>
      <c r="J7501" t="s">
        <v>43</v>
      </c>
      <c r="K7501" t="s">
        <v>43</v>
      </c>
      <c r="L7501" t="s">
        <v>43</v>
      </c>
      <c r="M7501" t="s">
        <v>43</v>
      </c>
      <c r="N7501" t="s">
        <v>45</v>
      </c>
      <c r="O7501" t="s">
        <v>43</v>
      </c>
      <c r="P7501" t="s">
        <v>43</v>
      </c>
      <c r="Q7501" t="s">
        <v>43</v>
      </c>
      <c r="R7501" t="s">
        <v>43</v>
      </c>
      <c r="S7501" t="s">
        <v>43</v>
      </c>
      <c r="T7501" t="s">
        <v>43</v>
      </c>
      <c r="U7501" t="s">
        <v>43</v>
      </c>
      <c r="V7501" t="s">
        <v>43</v>
      </c>
      <c r="W7501" t="s">
        <v>43</v>
      </c>
      <c r="X7501" t="s">
        <v>43</v>
      </c>
      <c r="Y7501" t="s">
        <v>43</v>
      </c>
      <c r="Z7501" t="s">
        <v>43</v>
      </c>
      <c r="AA7501" t="s">
        <v>43</v>
      </c>
      <c r="AB7501" t="s">
        <v>43</v>
      </c>
      <c r="AC7501" t="s">
        <v>43</v>
      </c>
      <c r="AD7501" t="s">
        <v>43</v>
      </c>
      <c r="AE7501" t="s">
        <v>43</v>
      </c>
      <c r="AF7501" t="s">
        <v>43</v>
      </c>
      <c r="AG7501" t="s">
        <v>43</v>
      </c>
      <c r="AH7501" t="s">
        <v>43</v>
      </c>
      <c r="AI7501" t="s">
        <v>43</v>
      </c>
      <c r="AJ7501" t="s">
        <v>43</v>
      </c>
      <c r="AK7501" t="s">
        <v>43</v>
      </c>
      <c r="AL7501" t="s">
        <v>43</v>
      </c>
      <c r="AM7501" t="s">
        <v>43</v>
      </c>
      <c r="AN7501" t="s">
        <v>43</v>
      </c>
    </row>
    <row r="7502" spans="1:40" x14ac:dyDescent="0.3">
      <c r="A7502" s="1">
        <v>46210.131018518521</v>
      </c>
      <c r="B7502" t="s">
        <v>40</v>
      </c>
      <c r="C7502" t="s">
        <v>41</v>
      </c>
      <c r="D7502" s="1">
        <v>46210.134120370371</v>
      </c>
      <c r="E7502" t="s">
        <v>42</v>
      </c>
      <c r="F7502" t="s">
        <v>43</v>
      </c>
      <c r="G7502" t="s">
        <v>43</v>
      </c>
      <c r="H7502" t="s">
        <v>43</v>
      </c>
      <c r="I7502" t="s">
        <v>3936</v>
      </c>
      <c r="J7502" t="s">
        <v>43</v>
      </c>
      <c r="K7502" t="s">
        <v>43</v>
      </c>
      <c r="L7502" t="s">
        <v>43</v>
      </c>
      <c r="M7502" t="s">
        <v>43</v>
      </c>
      <c r="N7502" t="s">
        <v>45</v>
      </c>
      <c r="O7502" t="s">
        <v>43</v>
      </c>
      <c r="P7502" t="s">
        <v>43</v>
      </c>
      <c r="Q7502" t="s">
        <v>43</v>
      </c>
      <c r="R7502" t="s">
        <v>43</v>
      </c>
      <c r="S7502" t="s">
        <v>43</v>
      </c>
      <c r="T7502" t="s">
        <v>43</v>
      </c>
      <c r="U7502" t="s">
        <v>43</v>
      </c>
      <c r="V7502" t="s">
        <v>43</v>
      </c>
      <c r="W7502" t="s">
        <v>43</v>
      </c>
      <c r="X7502" t="s">
        <v>43</v>
      </c>
      <c r="Y7502" t="s">
        <v>43</v>
      </c>
      <c r="Z7502" t="s">
        <v>43</v>
      </c>
      <c r="AA7502" t="s">
        <v>43</v>
      </c>
      <c r="AB7502" t="s">
        <v>43</v>
      </c>
      <c r="AC7502" t="s">
        <v>43</v>
      </c>
      <c r="AD7502" t="s">
        <v>43</v>
      </c>
      <c r="AE7502" t="s">
        <v>43</v>
      </c>
      <c r="AF7502" t="s">
        <v>43</v>
      </c>
      <c r="AG7502" t="s">
        <v>43</v>
      </c>
      <c r="AH7502" t="s">
        <v>43</v>
      </c>
      <c r="AI7502" t="s">
        <v>43</v>
      </c>
      <c r="AJ7502" t="s">
        <v>43</v>
      </c>
      <c r="AK7502" t="s">
        <v>43</v>
      </c>
      <c r="AL7502" t="s">
        <v>43</v>
      </c>
      <c r="AM7502" t="s">
        <v>43</v>
      </c>
      <c r="AN7502" t="str">
        <f>HYPERLINK("https://www.google.com/maps?q=10.78965855,79.57881165","Open Location")</f>
        <v>Open Location</v>
      </c>
    </row>
    <row r="7503" spans="1:40" x14ac:dyDescent="0.3">
      <c r="A7503" s="1">
        <v>46210.130902777775</v>
      </c>
      <c r="B7503" t="s">
        <v>40</v>
      </c>
      <c r="C7503" t="s">
        <v>41</v>
      </c>
      <c r="D7503" s="1">
        <v>46210.134120370371</v>
      </c>
      <c r="E7503" t="s">
        <v>42</v>
      </c>
      <c r="F7503" t="s">
        <v>43</v>
      </c>
      <c r="G7503" t="s">
        <v>43</v>
      </c>
      <c r="H7503" t="s">
        <v>43</v>
      </c>
      <c r="I7503" t="s">
        <v>43</v>
      </c>
      <c r="J7503" t="s">
        <v>43</v>
      </c>
      <c r="K7503" t="s">
        <v>43</v>
      </c>
      <c r="L7503" t="s">
        <v>43</v>
      </c>
      <c r="M7503" t="s">
        <v>43</v>
      </c>
      <c r="N7503" t="s">
        <v>45</v>
      </c>
      <c r="O7503" t="s">
        <v>43</v>
      </c>
      <c r="P7503" t="s">
        <v>43</v>
      </c>
      <c r="Q7503" t="s">
        <v>43</v>
      </c>
      <c r="R7503" t="s">
        <v>43</v>
      </c>
      <c r="S7503" t="s">
        <v>43</v>
      </c>
      <c r="T7503" t="s">
        <v>43</v>
      </c>
      <c r="U7503" t="s">
        <v>43</v>
      </c>
      <c r="V7503" t="s">
        <v>43</v>
      </c>
      <c r="W7503" t="s">
        <v>43</v>
      </c>
      <c r="X7503" t="s">
        <v>43</v>
      </c>
      <c r="Y7503" t="s">
        <v>43</v>
      </c>
      <c r="Z7503" t="s">
        <v>43</v>
      </c>
      <c r="AA7503" t="s">
        <v>43</v>
      </c>
      <c r="AB7503" t="s">
        <v>43</v>
      </c>
      <c r="AC7503" t="s">
        <v>43</v>
      </c>
      <c r="AD7503" t="s">
        <v>43</v>
      </c>
      <c r="AE7503" t="s">
        <v>43</v>
      </c>
      <c r="AF7503" t="s">
        <v>43</v>
      </c>
      <c r="AG7503" t="s">
        <v>43</v>
      </c>
      <c r="AH7503" t="s">
        <v>43</v>
      </c>
      <c r="AI7503" t="s">
        <v>43</v>
      </c>
      <c r="AJ7503" t="s">
        <v>43</v>
      </c>
      <c r="AK7503" t="s">
        <v>43</v>
      </c>
      <c r="AL7503" t="s">
        <v>43</v>
      </c>
      <c r="AM7503" t="s">
        <v>43</v>
      </c>
      <c r="AN7503" t="s">
        <v>43</v>
      </c>
    </row>
    <row r="7504" spans="1:40" x14ac:dyDescent="0.3">
      <c r="A7504" s="1">
        <v>46210.130787037036</v>
      </c>
      <c r="B7504" t="s">
        <v>40</v>
      </c>
      <c r="C7504" t="s">
        <v>41</v>
      </c>
      <c r="D7504" s="1">
        <v>46210.133888888886</v>
      </c>
      <c r="E7504" t="s">
        <v>42</v>
      </c>
      <c r="F7504" t="s">
        <v>43</v>
      </c>
      <c r="G7504" t="s">
        <v>43</v>
      </c>
      <c r="H7504" t="s">
        <v>43</v>
      </c>
      <c r="I7504" t="s">
        <v>4048</v>
      </c>
      <c r="J7504" t="s">
        <v>43</v>
      </c>
      <c r="K7504" t="s">
        <v>43</v>
      </c>
      <c r="L7504" t="s">
        <v>43</v>
      </c>
      <c r="M7504" t="s">
        <v>43</v>
      </c>
      <c r="N7504" t="s">
        <v>45</v>
      </c>
      <c r="O7504" t="s">
        <v>43</v>
      </c>
      <c r="P7504" t="s">
        <v>43</v>
      </c>
      <c r="Q7504" t="s">
        <v>43</v>
      </c>
      <c r="R7504" t="s">
        <v>43</v>
      </c>
      <c r="S7504" t="s">
        <v>43</v>
      </c>
      <c r="T7504" t="s">
        <v>43</v>
      </c>
      <c r="U7504" t="s">
        <v>43</v>
      </c>
      <c r="V7504" t="s">
        <v>43</v>
      </c>
      <c r="W7504" t="s">
        <v>43</v>
      </c>
      <c r="X7504" t="s">
        <v>43</v>
      </c>
      <c r="Y7504" t="s">
        <v>43</v>
      </c>
      <c r="Z7504" t="s">
        <v>43</v>
      </c>
      <c r="AA7504" t="s">
        <v>43</v>
      </c>
      <c r="AB7504" t="s">
        <v>43</v>
      </c>
      <c r="AC7504" t="s">
        <v>43</v>
      </c>
      <c r="AD7504" t="s">
        <v>43</v>
      </c>
      <c r="AE7504" t="s">
        <v>43</v>
      </c>
      <c r="AF7504" t="s">
        <v>43</v>
      </c>
      <c r="AG7504" t="s">
        <v>43</v>
      </c>
      <c r="AH7504" t="s">
        <v>43</v>
      </c>
      <c r="AI7504" t="s">
        <v>43</v>
      </c>
      <c r="AJ7504" t="s">
        <v>43</v>
      </c>
      <c r="AK7504" t="s">
        <v>43</v>
      </c>
      <c r="AL7504" t="s">
        <v>43</v>
      </c>
      <c r="AM7504" t="s">
        <v>43</v>
      </c>
      <c r="AN7504" t="str">
        <f>HYPERLINK("https://www.google.com/maps?q=10.78965664,79.57879639","Open Location")</f>
        <v>Open Location</v>
      </c>
    </row>
    <row r="7505" spans="1:40" x14ac:dyDescent="0.3">
      <c r="A7505" s="1">
        <v>46210.130671296298</v>
      </c>
      <c r="B7505" t="s">
        <v>40</v>
      </c>
      <c r="C7505" t="s">
        <v>41</v>
      </c>
      <c r="D7505" s="1">
        <v>46210.133680555555</v>
      </c>
      <c r="E7505" t="s">
        <v>42</v>
      </c>
      <c r="F7505" t="s">
        <v>43</v>
      </c>
      <c r="G7505" t="s">
        <v>43</v>
      </c>
      <c r="H7505" t="s">
        <v>43</v>
      </c>
      <c r="I7505" t="s">
        <v>3903</v>
      </c>
      <c r="J7505" t="s">
        <v>43</v>
      </c>
      <c r="K7505" t="s">
        <v>43</v>
      </c>
      <c r="L7505" t="s">
        <v>43</v>
      </c>
      <c r="M7505" t="s">
        <v>43</v>
      </c>
      <c r="N7505" t="s">
        <v>45</v>
      </c>
      <c r="O7505" t="s">
        <v>43</v>
      </c>
      <c r="P7505" t="s">
        <v>43</v>
      </c>
      <c r="Q7505" t="s">
        <v>43</v>
      </c>
      <c r="R7505" t="s">
        <v>43</v>
      </c>
      <c r="S7505" t="s">
        <v>43</v>
      </c>
      <c r="T7505" t="s">
        <v>43</v>
      </c>
      <c r="U7505" t="s">
        <v>43</v>
      </c>
      <c r="V7505" t="s">
        <v>43</v>
      </c>
      <c r="W7505" t="s">
        <v>43</v>
      </c>
      <c r="X7505" t="s">
        <v>43</v>
      </c>
      <c r="Y7505" t="s">
        <v>43</v>
      </c>
      <c r="Z7505" t="s">
        <v>43</v>
      </c>
      <c r="AA7505" t="s">
        <v>43</v>
      </c>
      <c r="AB7505" t="s">
        <v>43</v>
      </c>
      <c r="AC7505" t="s">
        <v>43</v>
      </c>
      <c r="AD7505" t="s">
        <v>43</v>
      </c>
      <c r="AE7505" t="s">
        <v>43</v>
      </c>
      <c r="AF7505" t="s">
        <v>43</v>
      </c>
      <c r="AG7505" t="s">
        <v>43</v>
      </c>
      <c r="AH7505" t="s">
        <v>43</v>
      </c>
      <c r="AI7505" t="s">
        <v>43</v>
      </c>
      <c r="AJ7505" t="s">
        <v>43</v>
      </c>
      <c r="AK7505" t="s">
        <v>43</v>
      </c>
      <c r="AL7505" t="s">
        <v>43</v>
      </c>
      <c r="AM7505" t="s">
        <v>43</v>
      </c>
      <c r="AN7505" t="str">
        <f>HYPERLINK("https://www.google.com/maps?q=10.78964996,79.57881165","Open Location")</f>
        <v>Open Location</v>
      </c>
    </row>
    <row r="7506" spans="1:40" x14ac:dyDescent="0.3">
      <c r="A7506" s="1">
        <v>46210.130555555559</v>
      </c>
      <c r="B7506" t="s">
        <v>40</v>
      </c>
      <c r="C7506" t="s">
        <v>41</v>
      </c>
      <c r="D7506" s="1">
        <v>46210.133368055554</v>
      </c>
      <c r="E7506" t="s">
        <v>42</v>
      </c>
      <c r="F7506" t="s">
        <v>43</v>
      </c>
      <c r="G7506" t="s">
        <v>43</v>
      </c>
      <c r="H7506" t="s">
        <v>43</v>
      </c>
      <c r="I7506" t="s">
        <v>3922</v>
      </c>
      <c r="J7506" t="s">
        <v>43</v>
      </c>
      <c r="K7506" t="s">
        <v>43</v>
      </c>
      <c r="L7506" t="s">
        <v>43</v>
      </c>
      <c r="M7506" t="s">
        <v>43</v>
      </c>
      <c r="N7506" t="s">
        <v>45</v>
      </c>
      <c r="O7506" t="s">
        <v>43</v>
      </c>
      <c r="P7506" t="s">
        <v>43</v>
      </c>
      <c r="Q7506" t="s">
        <v>43</v>
      </c>
      <c r="R7506" t="s">
        <v>43</v>
      </c>
      <c r="S7506" t="s">
        <v>43</v>
      </c>
      <c r="T7506" t="s">
        <v>43</v>
      </c>
      <c r="U7506" t="s">
        <v>43</v>
      </c>
      <c r="V7506" t="s">
        <v>43</v>
      </c>
      <c r="W7506" t="s">
        <v>43</v>
      </c>
      <c r="X7506" t="s">
        <v>43</v>
      </c>
      <c r="Y7506" t="s">
        <v>43</v>
      </c>
      <c r="Z7506" t="s">
        <v>43</v>
      </c>
      <c r="AA7506" t="s">
        <v>43</v>
      </c>
      <c r="AB7506" t="s">
        <v>43</v>
      </c>
      <c r="AC7506" t="s">
        <v>43</v>
      </c>
      <c r="AD7506" t="s">
        <v>43</v>
      </c>
      <c r="AE7506" t="s">
        <v>43</v>
      </c>
      <c r="AF7506" t="s">
        <v>43</v>
      </c>
      <c r="AG7506" t="s">
        <v>43</v>
      </c>
      <c r="AH7506" t="s">
        <v>43</v>
      </c>
      <c r="AI7506" t="s">
        <v>43</v>
      </c>
      <c r="AJ7506" t="s">
        <v>43</v>
      </c>
      <c r="AK7506" t="s">
        <v>43</v>
      </c>
      <c r="AL7506" t="s">
        <v>43</v>
      </c>
      <c r="AM7506" t="s">
        <v>43</v>
      </c>
      <c r="AN7506" t="str">
        <f>HYPERLINK("https://www.google.com/maps?q=10.78965282,79.57881927","Open Location")</f>
        <v>Open Location</v>
      </c>
    </row>
    <row r="7507" spans="1:40" x14ac:dyDescent="0.3">
      <c r="A7507" s="1">
        <v>46210.130439814813</v>
      </c>
      <c r="B7507" t="s">
        <v>40</v>
      </c>
      <c r="C7507" t="s">
        <v>41</v>
      </c>
      <c r="D7507" s="1">
        <v>46210.13349537037</v>
      </c>
      <c r="E7507" t="s">
        <v>42</v>
      </c>
      <c r="F7507" t="s">
        <v>43</v>
      </c>
      <c r="G7507" t="s">
        <v>43</v>
      </c>
      <c r="H7507" t="s">
        <v>43</v>
      </c>
      <c r="I7507" t="s">
        <v>4095</v>
      </c>
      <c r="J7507" t="s">
        <v>43</v>
      </c>
      <c r="K7507" t="s">
        <v>43</v>
      </c>
      <c r="L7507" t="s">
        <v>43</v>
      </c>
      <c r="M7507" t="s">
        <v>43</v>
      </c>
      <c r="N7507" t="s">
        <v>45</v>
      </c>
      <c r="O7507" t="s">
        <v>43</v>
      </c>
      <c r="P7507" t="s">
        <v>43</v>
      </c>
      <c r="Q7507" t="s">
        <v>43</v>
      </c>
      <c r="R7507" t="s">
        <v>43</v>
      </c>
      <c r="S7507" t="s">
        <v>43</v>
      </c>
      <c r="T7507" t="s">
        <v>43</v>
      </c>
      <c r="U7507" t="s">
        <v>43</v>
      </c>
      <c r="V7507" t="s">
        <v>43</v>
      </c>
      <c r="W7507" t="s">
        <v>43</v>
      </c>
      <c r="X7507" t="s">
        <v>43</v>
      </c>
      <c r="Y7507" t="s">
        <v>43</v>
      </c>
      <c r="Z7507" t="s">
        <v>43</v>
      </c>
      <c r="AA7507" t="s">
        <v>43</v>
      </c>
      <c r="AB7507" t="s">
        <v>43</v>
      </c>
      <c r="AC7507" t="s">
        <v>43</v>
      </c>
      <c r="AD7507" t="s">
        <v>43</v>
      </c>
      <c r="AE7507" t="s">
        <v>43</v>
      </c>
      <c r="AF7507" t="s">
        <v>43</v>
      </c>
      <c r="AG7507" t="s">
        <v>43</v>
      </c>
      <c r="AH7507" t="s">
        <v>43</v>
      </c>
      <c r="AI7507" t="s">
        <v>43</v>
      </c>
      <c r="AJ7507" t="s">
        <v>43</v>
      </c>
      <c r="AK7507" t="s">
        <v>43</v>
      </c>
      <c r="AL7507" t="s">
        <v>43</v>
      </c>
      <c r="AM7507" t="s">
        <v>43</v>
      </c>
      <c r="AN7507" t="str">
        <f>HYPERLINK("https://www.google.com/maps?q=10.78965569,79.57881927","Open Location")</f>
        <v>Open Location</v>
      </c>
    </row>
    <row r="7508" spans="1:40" x14ac:dyDescent="0.3">
      <c r="A7508" s="1">
        <v>46210.130324074074</v>
      </c>
      <c r="B7508" t="s">
        <v>40</v>
      </c>
      <c r="C7508" t="s">
        <v>41</v>
      </c>
      <c r="D7508" s="1">
        <v>46210.133368055554</v>
      </c>
      <c r="E7508" t="s">
        <v>42</v>
      </c>
      <c r="F7508" t="s">
        <v>43</v>
      </c>
      <c r="G7508" t="s">
        <v>43</v>
      </c>
      <c r="H7508" t="s">
        <v>43</v>
      </c>
      <c r="I7508" t="s">
        <v>43</v>
      </c>
      <c r="J7508" t="s">
        <v>43</v>
      </c>
      <c r="K7508" t="s">
        <v>43</v>
      </c>
      <c r="L7508" t="s">
        <v>43</v>
      </c>
      <c r="M7508" t="s">
        <v>43</v>
      </c>
      <c r="N7508" t="s">
        <v>45</v>
      </c>
      <c r="O7508" t="s">
        <v>43</v>
      </c>
      <c r="P7508" t="s">
        <v>43</v>
      </c>
      <c r="Q7508" t="s">
        <v>43</v>
      </c>
      <c r="R7508" t="s">
        <v>43</v>
      </c>
      <c r="S7508" t="s">
        <v>43</v>
      </c>
      <c r="T7508" t="s">
        <v>43</v>
      </c>
      <c r="U7508" t="s">
        <v>43</v>
      </c>
      <c r="V7508" t="s">
        <v>43</v>
      </c>
      <c r="W7508" t="s">
        <v>43</v>
      </c>
      <c r="X7508" t="s">
        <v>43</v>
      </c>
      <c r="Y7508" t="s">
        <v>43</v>
      </c>
      <c r="Z7508" t="s">
        <v>43</v>
      </c>
      <c r="AA7508" t="s">
        <v>43</v>
      </c>
      <c r="AB7508" t="s">
        <v>43</v>
      </c>
      <c r="AC7508" t="s">
        <v>43</v>
      </c>
      <c r="AD7508" t="s">
        <v>43</v>
      </c>
      <c r="AE7508" t="s">
        <v>43</v>
      </c>
      <c r="AF7508" t="s">
        <v>43</v>
      </c>
      <c r="AG7508" t="s">
        <v>43</v>
      </c>
      <c r="AH7508" t="s">
        <v>43</v>
      </c>
      <c r="AI7508" t="s">
        <v>43</v>
      </c>
      <c r="AJ7508" t="s">
        <v>43</v>
      </c>
      <c r="AK7508" t="s">
        <v>43</v>
      </c>
      <c r="AL7508" t="s">
        <v>43</v>
      </c>
      <c r="AM7508" t="s">
        <v>43</v>
      </c>
      <c r="AN7508" t="s">
        <v>43</v>
      </c>
    </row>
    <row r="7509" spans="1:40" x14ac:dyDescent="0.3">
      <c r="A7509" s="1">
        <v>46210.130208333336</v>
      </c>
      <c r="B7509" t="s">
        <v>40</v>
      </c>
      <c r="C7509" t="s">
        <v>41</v>
      </c>
      <c r="D7509" s="1">
        <v>46210.133101851854</v>
      </c>
      <c r="E7509" t="s">
        <v>42</v>
      </c>
      <c r="F7509" t="s">
        <v>43</v>
      </c>
      <c r="G7509" t="s">
        <v>43</v>
      </c>
      <c r="H7509" t="s">
        <v>43</v>
      </c>
      <c r="I7509" t="s">
        <v>3919</v>
      </c>
      <c r="J7509" t="s">
        <v>43</v>
      </c>
      <c r="K7509" t="s">
        <v>43</v>
      </c>
      <c r="L7509" t="s">
        <v>43</v>
      </c>
      <c r="M7509" t="s">
        <v>43</v>
      </c>
      <c r="N7509" t="s">
        <v>45</v>
      </c>
      <c r="O7509" t="s">
        <v>43</v>
      </c>
      <c r="P7509" t="s">
        <v>43</v>
      </c>
      <c r="Q7509" t="s">
        <v>43</v>
      </c>
      <c r="R7509" t="s">
        <v>43</v>
      </c>
      <c r="S7509" t="s">
        <v>43</v>
      </c>
      <c r="T7509" t="s">
        <v>43</v>
      </c>
      <c r="U7509" t="s">
        <v>43</v>
      </c>
      <c r="V7509" t="s">
        <v>43</v>
      </c>
      <c r="W7509" t="s">
        <v>43</v>
      </c>
      <c r="X7509" t="s">
        <v>43</v>
      </c>
      <c r="Y7509" t="s">
        <v>43</v>
      </c>
      <c r="Z7509" t="s">
        <v>43</v>
      </c>
      <c r="AA7509" t="s">
        <v>43</v>
      </c>
      <c r="AB7509" t="s">
        <v>43</v>
      </c>
      <c r="AC7509" t="s">
        <v>43</v>
      </c>
      <c r="AD7509" t="s">
        <v>43</v>
      </c>
      <c r="AE7509" t="s">
        <v>43</v>
      </c>
      <c r="AF7509" t="s">
        <v>43</v>
      </c>
      <c r="AG7509" t="s">
        <v>43</v>
      </c>
      <c r="AH7509" t="s">
        <v>43</v>
      </c>
      <c r="AI7509" t="s">
        <v>43</v>
      </c>
      <c r="AJ7509" t="s">
        <v>43</v>
      </c>
      <c r="AK7509" t="s">
        <v>43</v>
      </c>
      <c r="AL7509" t="s">
        <v>43</v>
      </c>
      <c r="AM7509" t="s">
        <v>43</v>
      </c>
      <c r="AN7509" t="str">
        <f>HYPERLINK("https://www.google.com/maps?q=10.78965378,79.57881927","Open Location")</f>
        <v>Open Location</v>
      </c>
    </row>
    <row r="7510" spans="1:40" x14ac:dyDescent="0.3">
      <c r="A7510" s="1">
        <v>46210.13009259259</v>
      </c>
      <c r="B7510" t="s">
        <v>40</v>
      </c>
      <c r="C7510" t="s">
        <v>41</v>
      </c>
      <c r="D7510" s="1">
        <v>46210.1330787037</v>
      </c>
      <c r="E7510" t="s">
        <v>42</v>
      </c>
      <c r="F7510" t="s">
        <v>43</v>
      </c>
      <c r="G7510" t="s">
        <v>43</v>
      </c>
      <c r="H7510" t="s">
        <v>43</v>
      </c>
      <c r="I7510" t="s">
        <v>3931</v>
      </c>
      <c r="J7510" t="s">
        <v>43</v>
      </c>
      <c r="K7510" t="s">
        <v>43</v>
      </c>
      <c r="L7510" t="s">
        <v>43</v>
      </c>
      <c r="M7510" t="s">
        <v>43</v>
      </c>
      <c r="N7510" t="s">
        <v>45</v>
      </c>
      <c r="O7510" t="s">
        <v>43</v>
      </c>
      <c r="P7510" t="s">
        <v>43</v>
      </c>
      <c r="Q7510" t="s">
        <v>43</v>
      </c>
      <c r="R7510" t="s">
        <v>43</v>
      </c>
      <c r="S7510" t="s">
        <v>43</v>
      </c>
      <c r="T7510" t="s">
        <v>43</v>
      </c>
      <c r="U7510" t="s">
        <v>43</v>
      </c>
      <c r="V7510" t="s">
        <v>43</v>
      </c>
      <c r="W7510" t="s">
        <v>43</v>
      </c>
      <c r="X7510" t="s">
        <v>43</v>
      </c>
      <c r="Y7510" t="s">
        <v>43</v>
      </c>
      <c r="Z7510" t="s">
        <v>43</v>
      </c>
      <c r="AA7510" t="s">
        <v>43</v>
      </c>
      <c r="AB7510" t="s">
        <v>43</v>
      </c>
      <c r="AC7510" t="s">
        <v>43</v>
      </c>
      <c r="AD7510" t="s">
        <v>43</v>
      </c>
      <c r="AE7510" t="s">
        <v>43</v>
      </c>
      <c r="AF7510" t="s">
        <v>43</v>
      </c>
      <c r="AG7510" t="s">
        <v>43</v>
      </c>
      <c r="AH7510" t="s">
        <v>43</v>
      </c>
      <c r="AI7510" t="s">
        <v>43</v>
      </c>
      <c r="AJ7510" t="s">
        <v>43</v>
      </c>
      <c r="AK7510" t="s">
        <v>43</v>
      </c>
      <c r="AL7510" t="s">
        <v>43</v>
      </c>
      <c r="AM7510" t="s">
        <v>43</v>
      </c>
      <c r="AN7510" t="str">
        <f>HYPERLINK("https://www.google.com/maps?q=10.78966141,79.57881927","Open Location")</f>
        <v>Open Location</v>
      </c>
    </row>
    <row r="7511" spans="1:40" x14ac:dyDescent="0.3">
      <c r="A7511" s="1">
        <v>46210.129976851851</v>
      </c>
      <c r="B7511" t="s">
        <v>40</v>
      </c>
      <c r="C7511" t="s">
        <v>41</v>
      </c>
      <c r="D7511" s="1">
        <v>46210.132997685185</v>
      </c>
      <c r="E7511" t="s">
        <v>42</v>
      </c>
      <c r="F7511" t="s">
        <v>43</v>
      </c>
      <c r="G7511" t="s">
        <v>43</v>
      </c>
      <c r="H7511" t="s">
        <v>43</v>
      </c>
      <c r="I7511" t="s">
        <v>4158</v>
      </c>
      <c r="J7511" t="s">
        <v>43</v>
      </c>
      <c r="K7511" t="s">
        <v>43</v>
      </c>
      <c r="L7511" t="s">
        <v>43</v>
      </c>
      <c r="M7511" t="s">
        <v>43</v>
      </c>
      <c r="N7511" t="s">
        <v>45</v>
      </c>
      <c r="O7511" t="s">
        <v>43</v>
      </c>
      <c r="P7511" t="s">
        <v>43</v>
      </c>
      <c r="Q7511" t="s">
        <v>43</v>
      </c>
      <c r="R7511" t="s">
        <v>43</v>
      </c>
      <c r="S7511" t="s">
        <v>43</v>
      </c>
      <c r="T7511" t="s">
        <v>43</v>
      </c>
      <c r="U7511" t="s">
        <v>43</v>
      </c>
      <c r="V7511" t="s">
        <v>43</v>
      </c>
      <c r="W7511" t="s">
        <v>43</v>
      </c>
      <c r="X7511" t="s">
        <v>43</v>
      </c>
      <c r="Y7511" t="s">
        <v>43</v>
      </c>
      <c r="Z7511" t="s">
        <v>43</v>
      </c>
      <c r="AA7511" t="s">
        <v>43</v>
      </c>
      <c r="AB7511" t="s">
        <v>43</v>
      </c>
      <c r="AC7511" t="s">
        <v>43</v>
      </c>
      <c r="AD7511" t="s">
        <v>43</v>
      </c>
      <c r="AE7511" t="s">
        <v>43</v>
      </c>
      <c r="AF7511" t="s">
        <v>43</v>
      </c>
      <c r="AG7511" t="s">
        <v>43</v>
      </c>
      <c r="AH7511" t="s">
        <v>43</v>
      </c>
      <c r="AI7511" t="s">
        <v>43</v>
      </c>
      <c r="AJ7511" t="s">
        <v>43</v>
      </c>
      <c r="AK7511" t="s">
        <v>43</v>
      </c>
      <c r="AL7511" t="s">
        <v>43</v>
      </c>
      <c r="AM7511" t="s">
        <v>43</v>
      </c>
      <c r="AN7511" t="str">
        <f>HYPERLINK("https://www.google.com/maps?q=10.78966808,79.57881927","Open Location")</f>
        <v>Open Location</v>
      </c>
    </row>
    <row r="7512" spans="1:40" x14ac:dyDescent="0.3">
      <c r="A7512" s="1">
        <v>46210.129861111112</v>
      </c>
      <c r="B7512" t="s">
        <v>40</v>
      </c>
      <c r="C7512" t="s">
        <v>41</v>
      </c>
      <c r="D7512" s="1">
        <v>46210.132777777777</v>
      </c>
      <c r="E7512" t="s">
        <v>42</v>
      </c>
      <c r="F7512" t="s">
        <v>43</v>
      </c>
      <c r="G7512" t="s">
        <v>43</v>
      </c>
      <c r="H7512" t="s">
        <v>43</v>
      </c>
      <c r="I7512" t="s">
        <v>3942</v>
      </c>
      <c r="J7512" t="s">
        <v>43</v>
      </c>
      <c r="K7512" t="s">
        <v>43</v>
      </c>
      <c r="L7512" t="s">
        <v>43</v>
      </c>
      <c r="M7512" t="s">
        <v>43</v>
      </c>
      <c r="N7512" t="s">
        <v>45</v>
      </c>
      <c r="O7512" t="s">
        <v>43</v>
      </c>
      <c r="P7512" t="s">
        <v>43</v>
      </c>
      <c r="Q7512" t="s">
        <v>43</v>
      </c>
      <c r="R7512" t="s">
        <v>43</v>
      </c>
      <c r="S7512" t="s">
        <v>43</v>
      </c>
      <c r="T7512" t="s">
        <v>43</v>
      </c>
      <c r="U7512" t="s">
        <v>43</v>
      </c>
      <c r="V7512" t="s">
        <v>43</v>
      </c>
      <c r="W7512" t="s">
        <v>43</v>
      </c>
      <c r="X7512" t="s">
        <v>43</v>
      </c>
      <c r="Y7512" t="s">
        <v>43</v>
      </c>
      <c r="Z7512" t="s">
        <v>43</v>
      </c>
      <c r="AA7512" t="s">
        <v>43</v>
      </c>
      <c r="AB7512" t="s">
        <v>43</v>
      </c>
      <c r="AC7512" t="s">
        <v>43</v>
      </c>
      <c r="AD7512" t="s">
        <v>43</v>
      </c>
      <c r="AE7512" t="s">
        <v>43</v>
      </c>
      <c r="AF7512" t="s">
        <v>43</v>
      </c>
      <c r="AG7512" t="s">
        <v>43</v>
      </c>
      <c r="AH7512" t="s">
        <v>43</v>
      </c>
      <c r="AI7512" t="s">
        <v>43</v>
      </c>
      <c r="AJ7512" t="s">
        <v>43</v>
      </c>
      <c r="AK7512" t="s">
        <v>43</v>
      </c>
      <c r="AL7512" t="s">
        <v>43</v>
      </c>
      <c r="AM7512" t="s">
        <v>43</v>
      </c>
      <c r="AN7512" t="str">
        <f>HYPERLINK("https://www.google.com/maps?q=10.78966713,79.57881927","Open Location")</f>
        <v>Open Location</v>
      </c>
    </row>
    <row r="7513" spans="1:40" x14ac:dyDescent="0.3">
      <c r="A7513" s="1">
        <v>46210.129745370374</v>
      </c>
      <c r="B7513" t="s">
        <v>40</v>
      </c>
      <c r="C7513" t="s">
        <v>41</v>
      </c>
      <c r="D7513" s="1">
        <v>46210.132604166669</v>
      </c>
      <c r="E7513" t="s">
        <v>42</v>
      </c>
      <c r="F7513" t="s">
        <v>43</v>
      </c>
      <c r="G7513" t="s">
        <v>43</v>
      </c>
      <c r="H7513" t="s">
        <v>43</v>
      </c>
      <c r="I7513" t="s">
        <v>43</v>
      </c>
      <c r="J7513" t="s">
        <v>43</v>
      </c>
      <c r="K7513" t="s">
        <v>43</v>
      </c>
      <c r="L7513" t="s">
        <v>43</v>
      </c>
      <c r="M7513" t="s">
        <v>43</v>
      </c>
      <c r="N7513" t="s">
        <v>45</v>
      </c>
      <c r="O7513" t="s">
        <v>43</v>
      </c>
      <c r="P7513" t="s">
        <v>43</v>
      </c>
      <c r="Q7513" t="s">
        <v>43</v>
      </c>
      <c r="R7513" t="s">
        <v>43</v>
      </c>
      <c r="S7513" t="s">
        <v>43</v>
      </c>
      <c r="T7513" t="s">
        <v>43</v>
      </c>
      <c r="U7513" t="s">
        <v>43</v>
      </c>
      <c r="V7513" t="s">
        <v>43</v>
      </c>
      <c r="W7513" t="s">
        <v>43</v>
      </c>
      <c r="X7513" t="s">
        <v>43</v>
      </c>
      <c r="Y7513" t="s">
        <v>43</v>
      </c>
      <c r="Z7513" t="s">
        <v>43</v>
      </c>
      <c r="AA7513" t="s">
        <v>43</v>
      </c>
      <c r="AB7513" t="s">
        <v>43</v>
      </c>
      <c r="AC7513" t="s">
        <v>43</v>
      </c>
      <c r="AD7513" t="s">
        <v>43</v>
      </c>
      <c r="AE7513" t="s">
        <v>43</v>
      </c>
      <c r="AF7513" t="s">
        <v>43</v>
      </c>
      <c r="AG7513" t="s">
        <v>43</v>
      </c>
      <c r="AH7513" t="s">
        <v>43</v>
      </c>
      <c r="AI7513" t="s">
        <v>43</v>
      </c>
      <c r="AJ7513" t="s">
        <v>43</v>
      </c>
      <c r="AK7513" t="s">
        <v>43</v>
      </c>
      <c r="AL7513" t="s">
        <v>43</v>
      </c>
      <c r="AM7513" t="s">
        <v>43</v>
      </c>
      <c r="AN7513" t="s">
        <v>43</v>
      </c>
    </row>
    <row r="7514" spans="1:40" x14ac:dyDescent="0.3">
      <c r="A7514" s="1">
        <v>46210.129629629628</v>
      </c>
      <c r="B7514" t="s">
        <v>40</v>
      </c>
      <c r="C7514" t="s">
        <v>41</v>
      </c>
      <c r="D7514" s="1">
        <v>46210.132743055554</v>
      </c>
      <c r="E7514" t="s">
        <v>42</v>
      </c>
      <c r="F7514" t="s">
        <v>43</v>
      </c>
      <c r="G7514" t="s">
        <v>43</v>
      </c>
      <c r="H7514" t="s">
        <v>43</v>
      </c>
      <c r="I7514" t="s">
        <v>4093</v>
      </c>
      <c r="J7514" t="s">
        <v>43</v>
      </c>
      <c r="K7514" t="s">
        <v>43</v>
      </c>
      <c r="L7514" t="s">
        <v>43</v>
      </c>
      <c r="M7514" t="s">
        <v>43</v>
      </c>
      <c r="N7514" t="s">
        <v>45</v>
      </c>
      <c r="O7514" t="s">
        <v>43</v>
      </c>
      <c r="P7514" t="s">
        <v>43</v>
      </c>
      <c r="Q7514" t="s">
        <v>43</v>
      </c>
      <c r="R7514" t="s">
        <v>43</v>
      </c>
      <c r="S7514" t="s">
        <v>43</v>
      </c>
      <c r="T7514" t="s">
        <v>43</v>
      </c>
      <c r="U7514" t="s">
        <v>43</v>
      </c>
      <c r="V7514" t="s">
        <v>43</v>
      </c>
      <c r="W7514" t="s">
        <v>43</v>
      </c>
      <c r="X7514" t="s">
        <v>43</v>
      </c>
      <c r="Y7514" t="s">
        <v>43</v>
      </c>
      <c r="Z7514" t="s">
        <v>43</v>
      </c>
      <c r="AA7514" t="s">
        <v>43</v>
      </c>
      <c r="AB7514" t="s">
        <v>43</v>
      </c>
      <c r="AC7514" t="s">
        <v>43</v>
      </c>
      <c r="AD7514" t="s">
        <v>43</v>
      </c>
      <c r="AE7514" t="s">
        <v>43</v>
      </c>
      <c r="AF7514" t="s">
        <v>43</v>
      </c>
      <c r="AG7514" t="s">
        <v>43</v>
      </c>
      <c r="AH7514" t="s">
        <v>43</v>
      </c>
      <c r="AI7514" t="s">
        <v>43</v>
      </c>
      <c r="AJ7514" t="s">
        <v>43</v>
      </c>
      <c r="AK7514" t="s">
        <v>43</v>
      </c>
      <c r="AL7514" t="s">
        <v>43</v>
      </c>
      <c r="AM7514" t="s">
        <v>43</v>
      </c>
      <c r="AN7514" t="str">
        <f>HYPERLINK("https://www.google.com/maps?q=10.78965855,79.5788269","Open Location")</f>
        <v>Open Location</v>
      </c>
    </row>
    <row r="7515" spans="1:40" x14ac:dyDescent="0.3">
      <c r="A7515" s="1">
        <v>46210.129513888889</v>
      </c>
      <c r="B7515" t="s">
        <v>40</v>
      </c>
      <c r="C7515" t="s">
        <v>41</v>
      </c>
      <c r="D7515" s="1">
        <v>46210.132604166669</v>
      </c>
      <c r="E7515" t="s">
        <v>42</v>
      </c>
      <c r="F7515" t="s">
        <v>43</v>
      </c>
      <c r="G7515" t="s">
        <v>43</v>
      </c>
      <c r="H7515" t="s">
        <v>43</v>
      </c>
      <c r="I7515" t="s">
        <v>3940</v>
      </c>
      <c r="J7515" t="s">
        <v>43</v>
      </c>
      <c r="K7515" t="s">
        <v>43</v>
      </c>
      <c r="L7515" t="s">
        <v>43</v>
      </c>
      <c r="M7515" t="s">
        <v>43</v>
      </c>
      <c r="N7515" t="s">
        <v>45</v>
      </c>
      <c r="O7515" t="s">
        <v>43</v>
      </c>
      <c r="P7515" t="s">
        <v>43</v>
      </c>
      <c r="Q7515" t="s">
        <v>43</v>
      </c>
      <c r="R7515" t="s">
        <v>43</v>
      </c>
      <c r="S7515" t="s">
        <v>43</v>
      </c>
      <c r="T7515" t="s">
        <v>43</v>
      </c>
      <c r="U7515" t="s">
        <v>43</v>
      </c>
      <c r="V7515" t="s">
        <v>43</v>
      </c>
      <c r="W7515" t="s">
        <v>43</v>
      </c>
      <c r="X7515" t="s">
        <v>43</v>
      </c>
      <c r="Y7515" t="s">
        <v>43</v>
      </c>
      <c r="Z7515" t="s">
        <v>43</v>
      </c>
      <c r="AA7515" t="s">
        <v>43</v>
      </c>
      <c r="AB7515" t="s">
        <v>43</v>
      </c>
      <c r="AC7515" t="s">
        <v>43</v>
      </c>
      <c r="AD7515" t="s">
        <v>43</v>
      </c>
      <c r="AE7515" t="s">
        <v>43</v>
      </c>
      <c r="AF7515" t="s">
        <v>43</v>
      </c>
      <c r="AG7515" t="s">
        <v>43</v>
      </c>
      <c r="AH7515" t="s">
        <v>43</v>
      </c>
      <c r="AI7515" t="s">
        <v>43</v>
      </c>
      <c r="AJ7515" t="s">
        <v>43</v>
      </c>
      <c r="AK7515" t="s">
        <v>43</v>
      </c>
      <c r="AL7515" t="s">
        <v>43</v>
      </c>
      <c r="AM7515" t="s">
        <v>43</v>
      </c>
      <c r="AN7515" t="str">
        <f>HYPERLINK("https://www.google.com/maps?q=10.78965664,79.57883453","Open Location")</f>
        <v>Open Location</v>
      </c>
    </row>
    <row r="7516" spans="1:40" x14ac:dyDescent="0.3">
      <c r="A7516" s="1">
        <v>46210.12939814815</v>
      </c>
      <c r="B7516" t="s">
        <v>40</v>
      </c>
      <c r="C7516" t="s">
        <v>41</v>
      </c>
      <c r="D7516" s="1">
        <v>46210.132199074076</v>
      </c>
      <c r="E7516" t="s">
        <v>42</v>
      </c>
      <c r="F7516" t="s">
        <v>43</v>
      </c>
      <c r="G7516" t="s">
        <v>43</v>
      </c>
      <c r="H7516" t="s">
        <v>43</v>
      </c>
      <c r="I7516" t="s">
        <v>4093</v>
      </c>
      <c r="J7516" t="s">
        <v>43</v>
      </c>
      <c r="K7516" t="s">
        <v>43</v>
      </c>
      <c r="L7516" t="s">
        <v>43</v>
      </c>
      <c r="M7516" t="s">
        <v>43</v>
      </c>
      <c r="N7516" t="s">
        <v>45</v>
      </c>
      <c r="O7516" t="s">
        <v>43</v>
      </c>
      <c r="P7516" t="s">
        <v>43</v>
      </c>
      <c r="Q7516" t="s">
        <v>43</v>
      </c>
      <c r="R7516" t="s">
        <v>43</v>
      </c>
      <c r="S7516" t="s">
        <v>43</v>
      </c>
      <c r="T7516" t="s">
        <v>43</v>
      </c>
      <c r="U7516" t="s">
        <v>43</v>
      </c>
      <c r="V7516" t="s">
        <v>43</v>
      </c>
      <c r="W7516" t="s">
        <v>43</v>
      </c>
      <c r="X7516" t="s">
        <v>43</v>
      </c>
      <c r="Y7516" t="s">
        <v>43</v>
      </c>
      <c r="Z7516" t="s">
        <v>43</v>
      </c>
      <c r="AA7516" t="s">
        <v>43</v>
      </c>
      <c r="AB7516" t="s">
        <v>43</v>
      </c>
      <c r="AC7516" t="s">
        <v>43</v>
      </c>
      <c r="AD7516" t="s">
        <v>43</v>
      </c>
      <c r="AE7516" t="s">
        <v>43</v>
      </c>
      <c r="AF7516" t="s">
        <v>43</v>
      </c>
      <c r="AG7516" t="s">
        <v>43</v>
      </c>
      <c r="AH7516" t="s">
        <v>43</v>
      </c>
      <c r="AI7516" t="s">
        <v>43</v>
      </c>
      <c r="AJ7516" t="s">
        <v>43</v>
      </c>
      <c r="AK7516" t="s">
        <v>43</v>
      </c>
      <c r="AL7516" t="s">
        <v>43</v>
      </c>
      <c r="AM7516" t="s">
        <v>43</v>
      </c>
      <c r="AN7516" t="str">
        <f>HYPERLINK("https://www.google.com/maps?q=10.78965855,79.5788269","Open Location")</f>
        <v>Open Location</v>
      </c>
    </row>
    <row r="7517" spans="1:40" x14ac:dyDescent="0.3">
      <c r="A7517" s="1">
        <v>46210.129282407404</v>
      </c>
      <c r="B7517" t="s">
        <v>40</v>
      </c>
      <c r="C7517" t="s">
        <v>41</v>
      </c>
      <c r="D7517" s="1">
        <v>46210.132361111115</v>
      </c>
      <c r="E7517" t="s">
        <v>42</v>
      </c>
      <c r="F7517" t="s">
        <v>43</v>
      </c>
      <c r="G7517" t="s">
        <v>43</v>
      </c>
      <c r="H7517" t="s">
        <v>43</v>
      </c>
      <c r="I7517" t="s">
        <v>4092</v>
      </c>
      <c r="J7517" t="s">
        <v>43</v>
      </c>
      <c r="K7517" t="s">
        <v>43</v>
      </c>
      <c r="L7517" t="s">
        <v>43</v>
      </c>
      <c r="M7517" t="s">
        <v>43</v>
      </c>
      <c r="N7517" t="s">
        <v>45</v>
      </c>
      <c r="O7517" t="s">
        <v>43</v>
      </c>
      <c r="P7517" t="s">
        <v>43</v>
      </c>
      <c r="Q7517" t="s">
        <v>43</v>
      </c>
      <c r="R7517" t="s">
        <v>43</v>
      </c>
      <c r="S7517" t="s">
        <v>43</v>
      </c>
      <c r="T7517" t="s">
        <v>43</v>
      </c>
      <c r="U7517" t="s">
        <v>43</v>
      </c>
      <c r="V7517" t="s">
        <v>43</v>
      </c>
      <c r="W7517" t="s">
        <v>43</v>
      </c>
      <c r="X7517" t="s">
        <v>43</v>
      </c>
      <c r="Y7517" t="s">
        <v>43</v>
      </c>
      <c r="Z7517" t="s">
        <v>43</v>
      </c>
      <c r="AA7517" t="s">
        <v>43</v>
      </c>
      <c r="AB7517" t="s">
        <v>43</v>
      </c>
      <c r="AC7517" t="s">
        <v>43</v>
      </c>
      <c r="AD7517" t="s">
        <v>43</v>
      </c>
      <c r="AE7517" t="s">
        <v>43</v>
      </c>
      <c r="AF7517" t="s">
        <v>43</v>
      </c>
      <c r="AG7517" t="s">
        <v>43</v>
      </c>
      <c r="AH7517" t="s">
        <v>43</v>
      </c>
      <c r="AI7517" t="s">
        <v>43</v>
      </c>
      <c r="AJ7517" t="s">
        <v>43</v>
      </c>
      <c r="AK7517" t="s">
        <v>43</v>
      </c>
      <c r="AL7517" t="s">
        <v>43</v>
      </c>
      <c r="AM7517" t="s">
        <v>43</v>
      </c>
      <c r="AN7517" t="str">
        <f>HYPERLINK("https://www.google.com/maps?q=10.78966427,79.57881927","Open Location")</f>
        <v>Open Location</v>
      </c>
    </row>
    <row r="7518" spans="1:40" x14ac:dyDescent="0.3">
      <c r="A7518" s="1">
        <v>46210.129166666666</v>
      </c>
      <c r="B7518" t="s">
        <v>40</v>
      </c>
      <c r="C7518" t="s">
        <v>41</v>
      </c>
      <c r="D7518" s="1">
        <v>46210.132280092592</v>
      </c>
      <c r="E7518" t="s">
        <v>42</v>
      </c>
      <c r="F7518" t="s">
        <v>43</v>
      </c>
      <c r="G7518" t="s">
        <v>43</v>
      </c>
      <c r="H7518" t="s">
        <v>43</v>
      </c>
      <c r="I7518" t="s">
        <v>4277</v>
      </c>
      <c r="J7518" t="s">
        <v>43</v>
      </c>
      <c r="K7518" t="s">
        <v>43</v>
      </c>
      <c r="L7518" t="s">
        <v>43</v>
      </c>
      <c r="M7518" t="s">
        <v>43</v>
      </c>
      <c r="N7518" t="s">
        <v>45</v>
      </c>
      <c r="O7518" t="s">
        <v>43</v>
      </c>
      <c r="P7518" t="s">
        <v>43</v>
      </c>
      <c r="Q7518" t="s">
        <v>43</v>
      </c>
      <c r="R7518" t="s">
        <v>43</v>
      </c>
      <c r="S7518" t="s">
        <v>43</v>
      </c>
      <c r="T7518" t="s">
        <v>43</v>
      </c>
      <c r="U7518" t="s">
        <v>43</v>
      </c>
      <c r="V7518" t="s">
        <v>43</v>
      </c>
      <c r="W7518" t="s">
        <v>43</v>
      </c>
      <c r="X7518" t="s">
        <v>43</v>
      </c>
      <c r="Y7518" t="s">
        <v>43</v>
      </c>
      <c r="Z7518" t="s">
        <v>43</v>
      </c>
      <c r="AA7518" t="s">
        <v>43</v>
      </c>
      <c r="AB7518" t="s">
        <v>43</v>
      </c>
      <c r="AC7518" t="s">
        <v>43</v>
      </c>
      <c r="AD7518" t="s">
        <v>43</v>
      </c>
      <c r="AE7518" t="s">
        <v>43</v>
      </c>
      <c r="AF7518" t="s">
        <v>43</v>
      </c>
      <c r="AG7518" t="s">
        <v>43</v>
      </c>
      <c r="AH7518" t="s">
        <v>43</v>
      </c>
      <c r="AI7518" t="s">
        <v>43</v>
      </c>
      <c r="AJ7518" t="s">
        <v>43</v>
      </c>
      <c r="AK7518" t="s">
        <v>43</v>
      </c>
      <c r="AL7518" t="s">
        <v>43</v>
      </c>
      <c r="AM7518" t="s">
        <v>43</v>
      </c>
      <c r="AN7518" t="str">
        <f>HYPERLINK("https://www.google.com/maps?q=10.78967094,79.57881927","Open Location")</f>
        <v>Open Location</v>
      </c>
    </row>
    <row r="7519" spans="1:40" x14ac:dyDescent="0.3">
      <c r="A7519" s="1">
        <v>46210.129050925927</v>
      </c>
      <c r="B7519" t="s">
        <v>40</v>
      </c>
      <c r="C7519" t="s">
        <v>41</v>
      </c>
      <c r="D7519" s="1">
        <v>46210.132280092592</v>
      </c>
      <c r="E7519" t="s">
        <v>42</v>
      </c>
      <c r="F7519" t="s">
        <v>43</v>
      </c>
      <c r="G7519" t="s">
        <v>43</v>
      </c>
      <c r="H7519" t="s">
        <v>43</v>
      </c>
      <c r="I7519" t="s">
        <v>43</v>
      </c>
      <c r="J7519" t="s">
        <v>43</v>
      </c>
      <c r="K7519" t="s">
        <v>43</v>
      </c>
      <c r="L7519" t="s">
        <v>43</v>
      </c>
      <c r="M7519" t="s">
        <v>43</v>
      </c>
      <c r="N7519" t="s">
        <v>45</v>
      </c>
      <c r="O7519" t="s">
        <v>43</v>
      </c>
      <c r="P7519" t="s">
        <v>43</v>
      </c>
      <c r="Q7519" t="s">
        <v>43</v>
      </c>
      <c r="R7519" t="s">
        <v>43</v>
      </c>
      <c r="S7519" t="s">
        <v>43</v>
      </c>
      <c r="T7519" t="s">
        <v>43</v>
      </c>
      <c r="U7519" t="s">
        <v>43</v>
      </c>
      <c r="V7519" t="s">
        <v>43</v>
      </c>
      <c r="W7519" t="s">
        <v>43</v>
      </c>
      <c r="X7519" t="s">
        <v>43</v>
      </c>
      <c r="Y7519" t="s">
        <v>43</v>
      </c>
      <c r="Z7519" t="s">
        <v>43</v>
      </c>
      <c r="AA7519" t="s">
        <v>43</v>
      </c>
      <c r="AB7519" t="s">
        <v>43</v>
      </c>
      <c r="AC7519" t="s">
        <v>43</v>
      </c>
      <c r="AD7519" t="s">
        <v>43</v>
      </c>
      <c r="AE7519" t="s">
        <v>43</v>
      </c>
      <c r="AF7519" t="s">
        <v>43</v>
      </c>
      <c r="AG7519" t="s">
        <v>43</v>
      </c>
      <c r="AH7519" t="s">
        <v>43</v>
      </c>
      <c r="AI7519" t="s">
        <v>43</v>
      </c>
      <c r="AJ7519" t="s">
        <v>43</v>
      </c>
      <c r="AK7519" t="s">
        <v>43</v>
      </c>
      <c r="AL7519" t="s">
        <v>43</v>
      </c>
      <c r="AM7519" t="s">
        <v>43</v>
      </c>
      <c r="AN7519" t="s">
        <v>43</v>
      </c>
    </row>
    <row r="7520" spans="1:40" x14ac:dyDescent="0.3">
      <c r="A7520" s="1">
        <v>46210.128935185188</v>
      </c>
      <c r="B7520" t="s">
        <v>40</v>
      </c>
      <c r="C7520" t="s">
        <v>41</v>
      </c>
      <c r="D7520" s="1">
        <v>46210.131921296299</v>
      </c>
      <c r="E7520" t="s">
        <v>42</v>
      </c>
      <c r="F7520" t="s">
        <v>43</v>
      </c>
      <c r="G7520" t="s">
        <v>43</v>
      </c>
      <c r="H7520" t="s">
        <v>43</v>
      </c>
      <c r="I7520" t="s">
        <v>4242</v>
      </c>
      <c r="J7520" t="s">
        <v>43</v>
      </c>
      <c r="K7520" t="s">
        <v>43</v>
      </c>
      <c r="L7520" t="s">
        <v>43</v>
      </c>
      <c r="M7520" t="s">
        <v>43</v>
      </c>
      <c r="N7520" t="s">
        <v>45</v>
      </c>
      <c r="O7520" t="s">
        <v>43</v>
      </c>
      <c r="P7520" t="s">
        <v>43</v>
      </c>
      <c r="Q7520" t="s">
        <v>43</v>
      </c>
      <c r="R7520" t="s">
        <v>43</v>
      </c>
      <c r="S7520" t="s">
        <v>43</v>
      </c>
      <c r="T7520" t="s">
        <v>43</v>
      </c>
      <c r="U7520" t="s">
        <v>43</v>
      </c>
      <c r="V7520" t="s">
        <v>43</v>
      </c>
      <c r="W7520" t="s">
        <v>43</v>
      </c>
      <c r="X7520" t="s">
        <v>43</v>
      </c>
      <c r="Y7520" t="s">
        <v>43</v>
      </c>
      <c r="Z7520" t="s">
        <v>43</v>
      </c>
      <c r="AA7520" t="s">
        <v>43</v>
      </c>
      <c r="AB7520" t="s">
        <v>43</v>
      </c>
      <c r="AC7520" t="s">
        <v>43</v>
      </c>
      <c r="AD7520" t="s">
        <v>43</v>
      </c>
      <c r="AE7520" t="s">
        <v>43</v>
      </c>
      <c r="AF7520" t="s">
        <v>43</v>
      </c>
      <c r="AG7520" t="s">
        <v>43</v>
      </c>
      <c r="AH7520" t="s">
        <v>43</v>
      </c>
      <c r="AI7520" t="s">
        <v>43</v>
      </c>
      <c r="AJ7520" t="s">
        <v>43</v>
      </c>
      <c r="AK7520" t="s">
        <v>43</v>
      </c>
      <c r="AL7520" t="s">
        <v>43</v>
      </c>
      <c r="AM7520" t="s">
        <v>43</v>
      </c>
      <c r="AN7520" t="str">
        <f>HYPERLINK("https://www.google.com/maps?q=10.78967857,79.57879639","Open Location")</f>
        <v>Open Location</v>
      </c>
    </row>
    <row r="7521" spans="1:40" x14ac:dyDescent="0.3">
      <c r="A7521" s="1">
        <v>46210.128819444442</v>
      </c>
      <c r="B7521" t="s">
        <v>40</v>
      </c>
      <c r="C7521" t="s">
        <v>41</v>
      </c>
      <c r="D7521" s="1">
        <v>46210.131921296299</v>
      </c>
      <c r="E7521" t="s">
        <v>42</v>
      </c>
      <c r="F7521" t="s">
        <v>43</v>
      </c>
      <c r="G7521" t="s">
        <v>43</v>
      </c>
      <c r="H7521" t="s">
        <v>43</v>
      </c>
      <c r="I7521" t="s">
        <v>4089</v>
      </c>
      <c r="J7521" t="s">
        <v>43</v>
      </c>
      <c r="K7521" t="s">
        <v>43</v>
      </c>
      <c r="L7521" t="s">
        <v>43</v>
      </c>
      <c r="M7521" t="s">
        <v>43</v>
      </c>
      <c r="N7521" t="s">
        <v>45</v>
      </c>
      <c r="O7521" t="s">
        <v>43</v>
      </c>
      <c r="P7521" t="s">
        <v>43</v>
      </c>
      <c r="Q7521" t="s">
        <v>43</v>
      </c>
      <c r="R7521" t="s">
        <v>43</v>
      </c>
      <c r="S7521" t="s">
        <v>43</v>
      </c>
      <c r="T7521" t="s">
        <v>43</v>
      </c>
      <c r="U7521" t="s">
        <v>43</v>
      </c>
      <c r="V7521" t="s">
        <v>43</v>
      </c>
      <c r="W7521" t="s">
        <v>43</v>
      </c>
      <c r="X7521" t="s">
        <v>43</v>
      </c>
      <c r="Y7521" t="s">
        <v>43</v>
      </c>
      <c r="Z7521" t="s">
        <v>43</v>
      </c>
      <c r="AA7521" t="s">
        <v>43</v>
      </c>
      <c r="AB7521" t="s">
        <v>43</v>
      </c>
      <c r="AC7521" t="s">
        <v>43</v>
      </c>
      <c r="AD7521" t="s">
        <v>43</v>
      </c>
      <c r="AE7521" t="s">
        <v>43</v>
      </c>
      <c r="AF7521" t="s">
        <v>43</v>
      </c>
      <c r="AG7521" t="s">
        <v>43</v>
      </c>
      <c r="AH7521" t="s">
        <v>43</v>
      </c>
      <c r="AI7521" t="s">
        <v>43</v>
      </c>
      <c r="AJ7521" t="s">
        <v>43</v>
      </c>
      <c r="AK7521" t="s">
        <v>43</v>
      </c>
      <c r="AL7521" t="s">
        <v>43</v>
      </c>
      <c r="AM7521" t="s">
        <v>43</v>
      </c>
      <c r="AN7521" t="str">
        <f>HYPERLINK("https://www.google.com/maps?q=10.78967953,79.57881927","Open Location")</f>
        <v>Open Location</v>
      </c>
    </row>
    <row r="7522" spans="1:40" x14ac:dyDescent="0.3">
      <c r="A7522" s="1">
        <v>46210.128703703704</v>
      </c>
      <c r="B7522" t="s">
        <v>40</v>
      </c>
      <c r="C7522" t="s">
        <v>41</v>
      </c>
      <c r="D7522" s="1">
        <v>46210.131689814814</v>
      </c>
      <c r="E7522" t="s">
        <v>42</v>
      </c>
      <c r="F7522" t="s">
        <v>43</v>
      </c>
      <c r="G7522" t="s">
        <v>43</v>
      </c>
      <c r="H7522" t="s">
        <v>43</v>
      </c>
      <c r="I7522" t="s">
        <v>4243</v>
      </c>
      <c r="J7522" t="s">
        <v>43</v>
      </c>
      <c r="K7522" t="s">
        <v>43</v>
      </c>
      <c r="L7522" t="s">
        <v>43</v>
      </c>
      <c r="M7522" t="s">
        <v>43</v>
      </c>
      <c r="N7522" t="s">
        <v>45</v>
      </c>
      <c r="O7522" t="s">
        <v>43</v>
      </c>
      <c r="P7522" t="s">
        <v>43</v>
      </c>
      <c r="Q7522" t="s">
        <v>43</v>
      </c>
      <c r="R7522" t="s">
        <v>43</v>
      </c>
      <c r="S7522" t="s">
        <v>43</v>
      </c>
      <c r="T7522" t="s">
        <v>43</v>
      </c>
      <c r="U7522" t="s">
        <v>43</v>
      </c>
      <c r="V7522" t="s">
        <v>43</v>
      </c>
      <c r="W7522" t="s">
        <v>43</v>
      </c>
      <c r="X7522" t="s">
        <v>43</v>
      </c>
      <c r="Y7522" t="s">
        <v>43</v>
      </c>
      <c r="Z7522" t="s">
        <v>43</v>
      </c>
      <c r="AA7522" t="s">
        <v>43</v>
      </c>
      <c r="AB7522" t="s">
        <v>43</v>
      </c>
      <c r="AC7522" t="s">
        <v>43</v>
      </c>
      <c r="AD7522" t="s">
        <v>43</v>
      </c>
      <c r="AE7522" t="s">
        <v>43</v>
      </c>
      <c r="AF7522" t="s">
        <v>43</v>
      </c>
      <c r="AG7522" t="s">
        <v>43</v>
      </c>
      <c r="AH7522" t="s">
        <v>43</v>
      </c>
      <c r="AI7522" t="s">
        <v>43</v>
      </c>
      <c r="AJ7522" t="s">
        <v>43</v>
      </c>
      <c r="AK7522" t="s">
        <v>43</v>
      </c>
      <c r="AL7522" t="s">
        <v>43</v>
      </c>
      <c r="AM7522" t="s">
        <v>43</v>
      </c>
      <c r="AN7522" t="str">
        <f>HYPERLINK("https://www.google.com/maps?q=10.78967667,79.57881165","Open Location")</f>
        <v>Open Location</v>
      </c>
    </row>
    <row r="7523" spans="1:40" x14ac:dyDescent="0.3">
      <c r="A7523" s="1">
        <v>46210.128587962965</v>
      </c>
      <c r="B7523" t="s">
        <v>40</v>
      </c>
      <c r="C7523" t="s">
        <v>41</v>
      </c>
      <c r="D7523" s="1">
        <v>46210.131562499999</v>
      </c>
      <c r="E7523" t="s">
        <v>42</v>
      </c>
      <c r="F7523" t="s">
        <v>43</v>
      </c>
      <c r="G7523" t="s">
        <v>43</v>
      </c>
      <c r="H7523" t="s">
        <v>43</v>
      </c>
      <c r="I7523" t="s">
        <v>4248</v>
      </c>
      <c r="J7523" t="s">
        <v>43</v>
      </c>
      <c r="K7523" t="s">
        <v>43</v>
      </c>
      <c r="L7523" t="s">
        <v>43</v>
      </c>
      <c r="M7523" t="s">
        <v>43</v>
      </c>
      <c r="N7523" t="s">
        <v>45</v>
      </c>
      <c r="O7523" t="s">
        <v>43</v>
      </c>
      <c r="P7523" t="s">
        <v>43</v>
      </c>
      <c r="Q7523" t="s">
        <v>43</v>
      </c>
      <c r="R7523" t="s">
        <v>43</v>
      </c>
      <c r="S7523" t="s">
        <v>43</v>
      </c>
      <c r="T7523" t="s">
        <v>43</v>
      </c>
      <c r="U7523" t="s">
        <v>43</v>
      </c>
      <c r="V7523" t="s">
        <v>43</v>
      </c>
      <c r="W7523" t="s">
        <v>43</v>
      </c>
      <c r="X7523" t="s">
        <v>43</v>
      </c>
      <c r="Y7523" t="s">
        <v>43</v>
      </c>
      <c r="Z7523" t="s">
        <v>43</v>
      </c>
      <c r="AA7523" t="s">
        <v>43</v>
      </c>
      <c r="AB7523" t="s">
        <v>43</v>
      </c>
      <c r="AC7523" t="s">
        <v>43</v>
      </c>
      <c r="AD7523" t="s">
        <v>43</v>
      </c>
      <c r="AE7523" t="s">
        <v>43</v>
      </c>
      <c r="AF7523" t="s">
        <v>43</v>
      </c>
      <c r="AG7523" t="s">
        <v>43</v>
      </c>
      <c r="AH7523" t="s">
        <v>43</v>
      </c>
      <c r="AI7523" t="s">
        <v>43</v>
      </c>
      <c r="AJ7523" t="s">
        <v>43</v>
      </c>
      <c r="AK7523" t="s">
        <v>43</v>
      </c>
      <c r="AL7523" t="s">
        <v>43</v>
      </c>
      <c r="AM7523" t="s">
        <v>43</v>
      </c>
      <c r="AN7523" t="str">
        <f>HYPERLINK("https://www.google.com/maps?q=10.78967762,79.57881927","Open Location")</f>
        <v>Open Location</v>
      </c>
    </row>
    <row r="7524" spans="1:40" x14ac:dyDescent="0.3">
      <c r="A7524" s="1">
        <v>46210.128472222219</v>
      </c>
      <c r="B7524" t="s">
        <v>40</v>
      </c>
      <c r="C7524" t="s">
        <v>41</v>
      </c>
      <c r="D7524" s="1">
        <v>46210.131319444445</v>
      </c>
      <c r="E7524" t="s">
        <v>42</v>
      </c>
      <c r="F7524" t="s">
        <v>43</v>
      </c>
      <c r="G7524" t="s">
        <v>43</v>
      </c>
      <c r="H7524" t="s">
        <v>43</v>
      </c>
      <c r="I7524" t="s">
        <v>4278</v>
      </c>
      <c r="J7524" t="s">
        <v>43</v>
      </c>
      <c r="K7524" t="s">
        <v>43</v>
      </c>
      <c r="L7524" t="s">
        <v>43</v>
      </c>
      <c r="M7524" t="s">
        <v>43</v>
      </c>
      <c r="N7524" t="s">
        <v>45</v>
      </c>
      <c r="O7524" t="s">
        <v>43</v>
      </c>
      <c r="P7524" t="s">
        <v>43</v>
      </c>
      <c r="Q7524" t="s">
        <v>43</v>
      </c>
      <c r="R7524" t="s">
        <v>43</v>
      </c>
      <c r="S7524" t="s">
        <v>43</v>
      </c>
      <c r="T7524" t="s">
        <v>43</v>
      </c>
      <c r="U7524" t="s">
        <v>43</v>
      </c>
      <c r="V7524" t="s">
        <v>43</v>
      </c>
      <c r="W7524" t="s">
        <v>43</v>
      </c>
      <c r="X7524" t="s">
        <v>43</v>
      </c>
      <c r="Y7524" t="s">
        <v>43</v>
      </c>
      <c r="Z7524" t="s">
        <v>43</v>
      </c>
      <c r="AA7524" t="s">
        <v>43</v>
      </c>
      <c r="AB7524" t="s">
        <v>43</v>
      </c>
      <c r="AC7524" t="s">
        <v>43</v>
      </c>
      <c r="AD7524" t="s">
        <v>43</v>
      </c>
      <c r="AE7524" t="s">
        <v>43</v>
      </c>
      <c r="AF7524" t="s">
        <v>43</v>
      </c>
      <c r="AG7524" t="s">
        <v>43</v>
      </c>
      <c r="AH7524" t="s">
        <v>43</v>
      </c>
      <c r="AI7524" t="s">
        <v>43</v>
      </c>
      <c r="AJ7524" t="s">
        <v>43</v>
      </c>
      <c r="AK7524" t="s">
        <v>43</v>
      </c>
      <c r="AL7524" t="s">
        <v>43</v>
      </c>
      <c r="AM7524" t="s">
        <v>43</v>
      </c>
      <c r="AN7524" t="str">
        <f>HYPERLINK("https://www.google.com/maps?q=10.78968239,79.57881927","Open Location")</f>
        <v>Open Location</v>
      </c>
    </row>
    <row r="7525" spans="1:40" x14ac:dyDescent="0.3">
      <c r="A7525" s="1">
        <v>46210.12835648148</v>
      </c>
      <c r="B7525" t="s">
        <v>40</v>
      </c>
      <c r="C7525" t="s">
        <v>41</v>
      </c>
      <c r="D7525" s="1">
        <v>46210.131666666668</v>
      </c>
      <c r="E7525" t="s">
        <v>42</v>
      </c>
      <c r="F7525" t="s">
        <v>43</v>
      </c>
      <c r="G7525" t="s">
        <v>43</v>
      </c>
      <c r="H7525" t="s">
        <v>43</v>
      </c>
      <c r="I7525" t="s">
        <v>43</v>
      </c>
      <c r="J7525" t="s">
        <v>43</v>
      </c>
      <c r="K7525" t="s">
        <v>43</v>
      </c>
      <c r="L7525" t="s">
        <v>43</v>
      </c>
      <c r="M7525" t="s">
        <v>43</v>
      </c>
      <c r="N7525" t="s">
        <v>45</v>
      </c>
      <c r="O7525" t="s">
        <v>43</v>
      </c>
      <c r="P7525" t="s">
        <v>43</v>
      </c>
      <c r="Q7525" t="s">
        <v>43</v>
      </c>
      <c r="R7525" t="s">
        <v>43</v>
      </c>
      <c r="S7525" t="s">
        <v>43</v>
      </c>
      <c r="T7525" t="s">
        <v>43</v>
      </c>
      <c r="U7525" t="s">
        <v>43</v>
      </c>
      <c r="V7525" t="s">
        <v>43</v>
      </c>
      <c r="W7525" t="s">
        <v>43</v>
      </c>
      <c r="X7525" t="s">
        <v>43</v>
      </c>
      <c r="Y7525" t="s">
        <v>43</v>
      </c>
      <c r="Z7525" t="s">
        <v>43</v>
      </c>
      <c r="AA7525" t="s">
        <v>43</v>
      </c>
      <c r="AB7525" t="s">
        <v>43</v>
      </c>
      <c r="AC7525" t="s">
        <v>43</v>
      </c>
      <c r="AD7525" t="s">
        <v>43</v>
      </c>
      <c r="AE7525" t="s">
        <v>43</v>
      </c>
      <c r="AF7525" t="s">
        <v>43</v>
      </c>
      <c r="AG7525" t="s">
        <v>43</v>
      </c>
      <c r="AH7525" t="s">
        <v>43</v>
      </c>
      <c r="AI7525" t="s">
        <v>43</v>
      </c>
      <c r="AJ7525" t="s">
        <v>43</v>
      </c>
      <c r="AK7525" t="s">
        <v>43</v>
      </c>
      <c r="AL7525" t="s">
        <v>43</v>
      </c>
      <c r="AM7525" t="s">
        <v>43</v>
      </c>
      <c r="AN7525" t="s">
        <v>43</v>
      </c>
    </row>
    <row r="7526" spans="1:40" x14ac:dyDescent="0.3">
      <c r="A7526" s="1">
        <v>46210.128240740742</v>
      </c>
      <c r="B7526" t="s">
        <v>40</v>
      </c>
      <c r="C7526" t="s">
        <v>41</v>
      </c>
      <c r="D7526" s="1">
        <v>46210.131203703706</v>
      </c>
      <c r="E7526" t="s">
        <v>42</v>
      </c>
      <c r="F7526" t="s">
        <v>43</v>
      </c>
      <c r="G7526" t="s">
        <v>43</v>
      </c>
      <c r="H7526" t="s">
        <v>43</v>
      </c>
      <c r="I7526" t="s">
        <v>4279</v>
      </c>
      <c r="J7526" t="s">
        <v>43</v>
      </c>
      <c r="K7526" t="s">
        <v>43</v>
      </c>
      <c r="L7526" t="s">
        <v>43</v>
      </c>
      <c r="M7526" t="s">
        <v>43</v>
      </c>
      <c r="N7526" t="s">
        <v>45</v>
      </c>
      <c r="O7526" t="s">
        <v>43</v>
      </c>
      <c r="P7526" t="s">
        <v>43</v>
      </c>
      <c r="Q7526" t="s">
        <v>43</v>
      </c>
      <c r="R7526" t="s">
        <v>43</v>
      </c>
      <c r="S7526" t="s">
        <v>43</v>
      </c>
      <c r="T7526" t="s">
        <v>43</v>
      </c>
      <c r="U7526" t="s">
        <v>43</v>
      </c>
      <c r="V7526" t="s">
        <v>43</v>
      </c>
      <c r="W7526" t="s">
        <v>43</v>
      </c>
      <c r="X7526" t="s">
        <v>43</v>
      </c>
      <c r="Y7526" t="s">
        <v>43</v>
      </c>
      <c r="Z7526" t="s">
        <v>43</v>
      </c>
      <c r="AA7526" t="s">
        <v>43</v>
      </c>
      <c r="AB7526" t="s">
        <v>43</v>
      </c>
      <c r="AC7526" t="s">
        <v>43</v>
      </c>
      <c r="AD7526" t="s">
        <v>43</v>
      </c>
      <c r="AE7526" t="s">
        <v>43</v>
      </c>
      <c r="AF7526" t="s">
        <v>43</v>
      </c>
      <c r="AG7526" t="s">
        <v>43</v>
      </c>
      <c r="AH7526" t="s">
        <v>43</v>
      </c>
      <c r="AI7526" t="s">
        <v>43</v>
      </c>
      <c r="AJ7526" t="s">
        <v>43</v>
      </c>
      <c r="AK7526" t="s">
        <v>43</v>
      </c>
      <c r="AL7526" t="s">
        <v>43</v>
      </c>
      <c r="AM7526" t="s">
        <v>43</v>
      </c>
      <c r="AN7526" t="str">
        <f>HYPERLINK("https://www.google.com/maps?q=10.7896843,79.57881165","Open Location")</f>
        <v>Open Location</v>
      </c>
    </row>
    <row r="7527" spans="1:40" x14ac:dyDescent="0.3">
      <c r="A7527" s="1">
        <v>46210.128125000003</v>
      </c>
      <c r="B7527" t="s">
        <v>40</v>
      </c>
      <c r="C7527" t="s">
        <v>41</v>
      </c>
      <c r="D7527" s="1">
        <v>46210.131319444445</v>
      </c>
      <c r="E7527" t="s">
        <v>42</v>
      </c>
      <c r="F7527" t="s">
        <v>43</v>
      </c>
      <c r="G7527" t="s">
        <v>43</v>
      </c>
      <c r="H7527" t="s">
        <v>43</v>
      </c>
      <c r="I7527" t="s">
        <v>4278</v>
      </c>
      <c r="J7527" t="s">
        <v>43</v>
      </c>
      <c r="K7527" t="s">
        <v>43</v>
      </c>
      <c r="L7527" t="s">
        <v>43</v>
      </c>
      <c r="M7527" t="s">
        <v>43</v>
      </c>
      <c r="N7527" t="s">
        <v>45</v>
      </c>
      <c r="O7527" t="s">
        <v>43</v>
      </c>
      <c r="P7527" t="s">
        <v>43</v>
      </c>
      <c r="Q7527" t="s">
        <v>43</v>
      </c>
      <c r="R7527" t="s">
        <v>43</v>
      </c>
      <c r="S7527" t="s">
        <v>43</v>
      </c>
      <c r="T7527" t="s">
        <v>43</v>
      </c>
      <c r="U7527" t="s">
        <v>43</v>
      </c>
      <c r="V7527" t="s">
        <v>43</v>
      </c>
      <c r="W7527" t="s">
        <v>43</v>
      </c>
      <c r="X7527" t="s">
        <v>43</v>
      </c>
      <c r="Y7527" t="s">
        <v>43</v>
      </c>
      <c r="Z7527" t="s">
        <v>43</v>
      </c>
      <c r="AA7527" t="s">
        <v>43</v>
      </c>
      <c r="AB7527" t="s">
        <v>43</v>
      </c>
      <c r="AC7527" t="s">
        <v>43</v>
      </c>
      <c r="AD7527" t="s">
        <v>43</v>
      </c>
      <c r="AE7527" t="s">
        <v>43</v>
      </c>
      <c r="AF7527" t="s">
        <v>43</v>
      </c>
      <c r="AG7527" t="s">
        <v>43</v>
      </c>
      <c r="AH7527" t="s">
        <v>43</v>
      </c>
      <c r="AI7527" t="s">
        <v>43</v>
      </c>
      <c r="AJ7527" t="s">
        <v>43</v>
      </c>
      <c r="AK7527" t="s">
        <v>43</v>
      </c>
      <c r="AL7527" t="s">
        <v>43</v>
      </c>
      <c r="AM7527" t="s">
        <v>43</v>
      </c>
      <c r="AN7527" t="str">
        <f>HYPERLINK("https://www.google.com/maps?q=10.78968239,79.57881927","Open Location")</f>
        <v>Open Location</v>
      </c>
    </row>
    <row r="7528" spans="1:40" x14ac:dyDescent="0.3">
      <c r="A7528" s="1">
        <v>46210.128009259257</v>
      </c>
      <c r="B7528" t="s">
        <v>40</v>
      </c>
      <c r="C7528" t="s">
        <v>41</v>
      </c>
      <c r="D7528" s="1">
        <v>46210.130879629629</v>
      </c>
      <c r="E7528" t="s">
        <v>42</v>
      </c>
      <c r="F7528" t="s">
        <v>43</v>
      </c>
      <c r="G7528" t="s">
        <v>43</v>
      </c>
      <c r="H7528" t="s">
        <v>43</v>
      </c>
      <c r="I7528" t="s">
        <v>4150</v>
      </c>
      <c r="J7528" t="s">
        <v>43</v>
      </c>
      <c r="K7528" t="s">
        <v>43</v>
      </c>
      <c r="L7528" t="s">
        <v>43</v>
      </c>
      <c r="M7528" t="s">
        <v>43</v>
      </c>
      <c r="N7528" t="s">
        <v>45</v>
      </c>
      <c r="O7528" t="s">
        <v>43</v>
      </c>
      <c r="P7528" t="s">
        <v>43</v>
      </c>
      <c r="Q7528" t="s">
        <v>43</v>
      </c>
      <c r="R7528" t="s">
        <v>43</v>
      </c>
      <c r="S7528" t="s">
        <v>43</v>
      </c>
      <c r="T7528" t="s">
        <v>43</v>
      </c>
      <c r="U7528" t="s">
        <v>43</v>
      </c>
      <c r="V7528" t="s">
        <v>43</v>
      </c>
      <c r="W7528" t="s">
        <v>43</v>
      </c>
      <c r="X7528" t="s">
        <v>43</v>
      </c>
      <c r="Y7528" t="s">
        <v>43</v>
      </c>
      <c r="Z7528" t="s">
        <v>43</v>
      </c>
      <c r="AA7528" t="s">
        <v>43</v>
      </c>
      <c r="AB7528" t="s">
        <v>43</v>
      </c>
      <c r="AC7528" t="s">
        <v>43</v>
      </c>
      <c r="AD7528" t="s">
        <v>43</v>
      </c>
      <c r="AE7528" t="s">
        <v>43</v>
      </c>
      <c r="AF7528" t="s">
        <v>43</v>
      </c>
      <c r="AG7528" t="s">
        <v>43</v>
      </c>
      <c r="AH7528" t="s">
        <v>43</v>
      </c>
      <c r="AI7528" t="s">
        <v>43</v>
      </c>
      <c r="AJ7528" t="s">
        <v>43</v>
      </c>
      <c r="AK7528" t="s">
        <v>43</v>
      </c>
      <c r="AL7528" t="s">
        <v>43</v>
      </c>
      <c r="AM7528" t="s">
        <v>43</v>
      </c>
      <c r="AN7528" t="str">
        <f>HYPERLINK("https://www.google.com/maps?q=10.78967667,79.57881927","Open Location")</f>
        <v>Open Location</v>
      </c>
    </row>
    <row r="7529" spans="1:40" x14ac:dyDescent="0.3">
      <c r="A7529" s="1">
        <v>46210.127893518518</v>
      </c>
      <c r="B7529" t="s">
        <v>40</v>
      </c>
      <c r="C7529" t="s">
        <v>41</v>
      </c>
      <c r="D7529" s="1">
        <v>46210.130798611113</v>
      </c>
      <c r="E7529" t="s">
        <v>42</v>
      </c>
      <c r="F7529" t="s">
        <v>43</v>
      </c>
      <c r="G7529" t="s">
        <v>43</v>
      </c>
      <c r="H7529" t="s">
        <v>43</v>
      </c>
      <c r="I7529" t="s">
        <v>4165</v>
      </c>
      <c r="J7529" t="s">
        <v>43</v>
      </c>
      <c r="K7529" t="s">
        <v>43</v>
      </c>
      <c r="L7529" t="s">
        <v>43</v>
      </c>
      <c r="M7529" t="s">
        <v>43</v>
      </c>
      <c r="N7529" t="s">
        <v>45</v>
      </c>
      <c r="O7529" t="s">
        <v>43</v>
      </c>
      <c r="P7529" t="s">
        <v>43</v>
      </c>
      <c r="Q7529" t="s">
        <v>43</v>
      </c>
      <c r="R7529" t="s">
        <v>43</v>
      </c>
      <c r="S7529" t="s">
        <v>43</v>
      </c>
      <c r="T7529" t="s">
        <v>43</v>
      </c>
      <c r="U7529" t="s">
        <v>43</v>
      </c>
      <c r="V7529" t="s">
        <v>43</v>
      </c>
      <c r="W7529" t="s">
        <v>43</v>
      </c>
      <c r="X7529" t="s">
        <v>43</v>
      </c>
      <c r="Y7529" t="s">
        <v>43</v>
      </c>
      <c r="Z7529" t="s">
        <v>43</v>
      </c>
      <c r="AA7529" t="s">
        <v>43</v>
      </c>
      <c r="AB7529" t="s">
        <v>43</v>
      </c>
      <c r="AC7529" t="s">
        <v>43</v>
      </c>
      <c r="AD7529" t="s">
        <v>43</v>
      </c>
      <c r="AE7529" t="s">
        <v>43</v>
      </c>
      <c r="AF7529" t="s">
        <v>43</v>
      </c>
      <c r="AG7529" t="s">
        <v>43</v>
      </c>
      <c r="AH7529" t="s">
        <v>43</v>
      </c>
      <c r="AI7529" t="s">
        <v>43</v>
      </c>
      <c r="AJ7529" t="s">
        <v>43</v>
      </c>
      <c r="AK7529" t="s">
        <v>43</v>
      </c>
      <c r="AL7529" t="s">
        <v>43</v>
      </c>
      <c r="AM7529" t="s">
        <v>43</v>
      </c>
      <c r="AN7529" t="str">
        <f>HYPERLINK("https://www.google.com/maps?q=10.78967476,79.57881927","Open Location")</f>
        <v>Open Location</v>
      </c>
    </row>
    <row r="7530" spans="1:40" x14ac:dyDescent="0.3">
      <c r="A7530" s="1">
        <v>46210.12777777778</v>
      </c>
      <c r="B7530" t="s">
        <v>40</v>
      </c>
      <c r="C7530" t="s">
        <v>41</v>
      </c>
      <c r="D7530" s="1">
        <v>46210.130798611113</v>
      </c>
      <c r="E7530" t="s">
        <v>42</v>
      </c>
      <c r="F7530" t="s">
        <v>43</v>
      </c>
      <c r="G7530" t="s">
        <v>43</v>
      </c>
      <c r="H7530" t="s">
        <v>43</v>
      </c>
      <c r="I7530" t="s">
        <v>43</v>
      </c>
      <c r="J7530" t="s">
        <v>43</v>
      </c>
      <c r="K7530" t="s">
        <v>43</v>
      </c>
      <c r="L7530" t="s">
        <v>43</v>
      </c>
      <c r="M7530" t="s">
        <v>43</v>
      </c>
      <c r="N7530" t="s">
        <v>45</v>
      </c>
      <c r="O7530" t="s">
        <v>43</v>
      </c>
      <c r="P7530" t="s">
        <v>43</v>
      </c>
      <c r="Q7530" t="s">
        <v>43</v>
      </c>
      <c r="R7530" t="s">
        <v>43</v>
      </c>
      <c r="S7530" t="s">
        <v>43</v>
      </c>
      <c r="T7530" t="s">
        <v>43</v>
      </c>
      <c r="U7530" t="s">
        <v>43</v>
      </c>
      <c r="V7530" t="s">
        <v>43</v>
      </c>
      <c r="W7530" t="s">
        <v>43</v>
      </c>
      <c r="X7530" t="s">
        <v>43</v>
      </c>
      <c r="Y7530" t="s">
        <v>43</v>
      </c>
      <c r="Z7530" t="s">
        <v>43</v>
      </c>
      <c r="AA7530" t="s">
        <v>43</v>
      </c>
      <c r="AB7530" t="s">
        <v>43</v>
      </c>
      <c r="AC7530" t="s">
        <v>43</v>
      </c>
      <c r="AD7530" t="s">
        <v>43</v>
      </c>
      <c r="AE7530" t="s">
        <v>43</v>
      </c>
      <c r="AF7530" t="s">
        <v>43</v>
      </c>
      <c r="AG7530" t="s">
        <v>43</v>
      </c>
      <c r="AH7530" t="s">
        <v>43</v>
      </c>
      <c r="AI7530" t="s">
        <v>43</v>
      </c>
      <c r="AJ7530" t="s">
        <v>43</v>
      </c>
      <c r="AK7530" t="s">
        <v>43</v>
      </c>
      <c r="AL7530" t="s">
        <v>43</v>
      </c>
      <c r="AM7530" t="s">
        <v>43</v>
      </c>
      <c r="AN7530" t="s">
        <v>43</v>
      </c>
    </row>
    <row r="7531" spans="1:40" x14ac:dyDescent="0.3">
      <c r="A7531" s="1">
        <v>46210.127662037034</v>
      </c>
      <c r="B7531" t="s">
        <v>40</v>
      </c>
      <c r="C7531" t="s">
        <v>41</v>
      </c>
      <c r="D7531" s="1">
        <v>46210.130810185183</v>
      </c>
      <c r="E7531" t="s">
        <v>42</v>
      </c>
      <c r="F7531" t="s">
        <v>43</v>
      </c>
      <c r="G7531" t="s">
        <v>43</v>
      </c>
      <c r="H7531" t="s">
        <v>43</v>
      </c>
      <c r="I7531" t="s">
        <v>4164</v>
      </c>
      <c r="J7531" t="s">
        <v>43</v>
      </c>
      <c r="K7531" t="s">
        <v>43</v>
      </c>
      <c r="L7531" t="s">
        <v>43</v>
      </c>
      <c r="M7531" t="s">
        <v>43</v>
      </c>
      <c r="N7531" t="s">
        <v>45</v>
      </c>
      <c r="O7531" t="s">
        <v>43</v>
      </c>
      <c r="P7531" t="s">
        <v>43</v>
      </c>
      <c r="Q7531" t="s">
        <v>43</v>
      </c>
      <c r="R7531" t="s">
        <v>43</v>
      </c>
      <c r="S7531" t="s">
        <v>43</v>
      </c>
      <c r="T7531" t="s">
        <v>43</v>
      </c>
      <c r="U7531" t="s">
        <v>43</v>
      </c>
      <c r="V7531" t="s">
        <v>43</v>
      </c>
      <c r="W7531" t="s">
        <v>43</v>
      </c>
      <c r="X7531" t="s">
        <v>43</v>
      </c>
      <c r="Y7531" t="s">
        <v>43</v>
      </c>
      <c r="Z7531" t="s">
        <v>43</v>
      </c>
      <c r="AA7531" t="s">
        <v>43</v>
      </c>
      <c r="AB7531" t="s">
        <v>43</v>
      </c>
      <c r="AC7531" t="s">
        <v>43</v>
      </c>
      <c r="AD7531" t="s">
        <v>43</v>
      </c>
      <c r="AE7531" t="s">
        <v>43</v>
      </c>
      <c r="AF7531" t="s">
        <v>43</v>
      </c>
      <c r="AG7531" t="s">
        <v>43</v>
      </c>
      <c r="AH7531" t="s">
        <v>43</v>
      </c>
      <c r="AI7531" t="s">
        <v>43</v>
      </c>
      <c r="AJ7531" t="s">
        <v>43</v>
      </c>
      <c r="AK7531" t="s">
        <v>43</v>
      </c>
      <c r="AL7531" t="s">
        <v>43</v>
      </c>
      <c r="AM7531" t="s">
        <v>43</v>
      </c>
      <c r="AN7531" t="str">
        <f>HYPERLINK("https://www.google.com/maps?q=10.78967571,79.57881927","Open Location")</f>
        <v>Open Location</v>
      </c>
    </row>
    <row r="7532" spans="1:40" x14ac:dyDescent="0.3">
      <c r="A7532" s="1">
        <v>46210.127546296295</v>
      </c>
      <c r="B7532" t="s">
        <v>40</v>
      </c>
      <c r="C7532" t="s">
        <v>41</v>
      </c>
      <c r="D7532" s="1">
        <v>46210.13045138889</v>
      </c>
      <c r="E7532" t="s">
        <v>42</v>
      </c>
      <c r="F7532" t="s">
        <v>43</v>
      </c>
      <c r="G7532" t="s">
        <v>43</v>
      </c>
      <c r="H7532" t="s">
        <v>43</v>
      </c>
      <c r="I7532" t="s">
        <v>4280</v>
      </c>
      <c r="J7532" t="s">
        <v>43</v>
      </c>
      <c r="K7532" t="s">
        <v>43</v>
      </c>
      <c r="L7532" t="s">
        <v>43</v>
      </c>
      <c r="M7532" t="s">
        <v>43</v>
      </c>
      <c r="N7532" t="s">
        <v>45</v>
      </c>
      <c r="O7532" t="s">
        <v>43</v>
      </c>
      <c r="P7532" t="s">
        <v>43</v>
      </c>
      <c r="Q7532" t="s">
        <v>43</v>
      </c>
      <c r="R7532" t="s">
        <v>43</v>
      </c>
      <c r="S7532" t="s">
        <v>43</v>
      </c>
      <c r="T7532" t="s">
        <v>43</v>
      </c>
      <c r="U7532" t="s">
        <v>43</v>
      </c>
      <c r="V7532" t="s">
        <v>43</v>
      </c>
      <c r="W7532" t="s">
        <v>43</v>
      </c>
      <c r="X7532" t="s">
        <v>43</v>
      </c>
      <c r="Y7532" t="s">
        <v>43</v>
      </c>
      <c r="Z7532" t="s">
        <v>43</v>
      </c>
      <c r="AA7532" t="s">
        <v>43</v>
      </c>
      <c r="AB7532" t="s">
        <v>43</v>
      </c>
      <c r="AC7532" t="s">
        <v>43</v>
      </c>
      <c r="AD7532" t="s">
        <v>43</v>
      </c>
      <c r="AE7532" t="s">
        <v>43</v>
      </c>
      <c r="AF7532" t="s">
        <v>43</v>
      </c>
      <c r="AG7532" t="s">
        <v>43</v>
      </c>
      <c r="AH7532" t="s">
        <v>43</v>
      </c>
      <c r="AI7532" t="s">
        <v>43</v>
      </c>
      <c r="AJ7532" t="s">
        <v>43</v>
      </c>
      <c r="AK7532" t="s">
        <v>43</v>
      </c>
      <c r="AL7532" t="s">
        <v>43</v>
      </c>
      <c r="AM7532" t="s">
        <v>43</v>
      </c>
      <c r="AN7532" t="str">
        <f>HYPERLINK("https://www.google.com/maps?q=10.7896719,79.57881165","Open Location")</f>
        <v>Open Location</v>
      </c>
    </row>
    <row r="7533" spans="1:40" x14ac:dyDescent="0.3">
      <c r="A7533" s="1">
        <v>46210.127430555556</v>
      </c>
      <c r="B7533" t="s">
        <v>40</v>
      </c>
      <c r="C7533" t="s">
        <v>41</v>
      </c>
      <c r="D7533" s="1">
        <v>46210.130532407406</v>
      </c>
      <c r="E7533" t="s">
        <v>42</v>
      </c>
      <c r="F7533" t="s">
        <v>43</v>
      </c>
      <c r="G7533" t="s">
        <v>43</v>
      </c>
      <c r="H7533" t="s">
        <v>43</v>
      </c>
      <c r="I7533" t="s">
        <v>4090</v>
      </c>
      <c r="J7533" t="s">
        <v>43</v>
      </c>
      <c r="K7533" t="s">
        <v>43</v>
      </c>
      <c r="L7533" t="s">
        <v>43</v>
      </c>
      <c r="M7533" t="s">
        <v>43</v>
      </c>
      <c r="N7533" t="s">
        <v>45</v>
      </c>
      <c r="O7533" t="s">
        <v>43</v>
      </c>
      <c r="P7533" t="s">
        <v>43</v>
      </c>
      <c r="Q7533" t="s">
        <v>43</v>
      </c>
      <c r="R7533" t="s">
        <v>43</v>
      </c>
      <c r="S7533" t="s">
        <v>43</v>
      </c>
      <c r="T7533" t="s">
        <v>43</v>
      </c>
      <c r="U7533" t="s">
        <v>43</v>
      </c>
      <c r="V7533" t="s">
        <v>43</v>
      </c>
      <c r="W7533" t="s">
        <v>43</v>
      </c>
      <c r="X7533" t="s">
        <v>43</v>
      </c>
      <c r="Y7533" t="s">
        <v>43</v>
      </c>
      <c r="Z7533" t="s">
        <v>43</v>
      </c>
      <c r="AA7533" t="s">
        <v>43</v>
      </c>
      <c r="AB7533" t="s">
        <v>43</v>
      </c>
      <c r="AC7533" t="s">
        <v>43</v>
      </c>
      <c r="AD7533" t="s">
        <v>43</v>
      </c>
      <c r="AE7533" t="s">
        <v>43</v>
      </c>
      <c r="AF7533" t="s">
        <v>43</v>
      </c>
      <c r="AG7533" t="s">
        <v>43</v>
      </c>
      <c r="AH7533" t="s">
        <v>43</v>
      </c>
      <c r="AI7533" t="s">
        <v>43</v>
      </c>
      <c r="AJ7533" t="s">
        <v>43</v>
      </c>
      <c r="AK7533" t="s">
        <v>43</v>
      </c>
      <c r="AL7533" t="s">
        <v>43</v>
      </c>
      <c r="AM7533" t="s">
        <v>43</v>
      </c>
      <c r="AN7533" t="str">
        <f>HYPERLINK("https://www.google.com/maps?q=10.78967381,79.57881927","Open Location")</f>
        <v>Open Location</v>
      </c>
    </row>
    <row r="7534" spans="1:40" x14ac:dyDescent="0.3">
      <c r="A7534" s="1">
        <v>46210.127314814818</v>
      </c>
      <c r="B7534" t="s">
        <v>40</v>
      </c>
      <c r="C7534" t="s">
        <v>41</v>
      </c>
      <c r="D7534" s="1">
        <v>46210.130439814813</v>
      </c>
      <c r="E7534" t="s">
        <v>42</v>
      </c>
      <c r="F7534" t="s">
        <v>43</v>
      </c>
      <c r="G7534" t="s">
        <v>43</v>
      </c>
      <c r="H7534" t="s">
        <v>43</v>
      </c>
      <c r="I7534" t="s">
        <v>4164</v>
      </c>
      <c r="J7534" t="s">
        <v>43</v>
      </c>
      <c r="K7534" t="s">
        <v>43</v>
      </c>
      <c r="L7534" t="s">
        <v>43</v>
      </c>
      <c r="M7534" t="s">
        <v>43</v>
      </c>
      <c r="N7534" t="s">
        <v>45</v>
      </c>
      <c r="O7534" t="s">
        <v>43</v>
      </c>
      <c r="P7534" t="s">
        <v>43</v>
      </c>
      <c r="Q7534" t="s">
        <v>43</v>
      </c>
      <c r="R7534" t="s">
        <v>43</v>
      </c>
      <c r="S7534" t="s">
        <v>43</v>
      </c>
      <c r="T7534" t="s">
        <v>43</v>
      </c>
      <c r="U7534" t="s">
        <v>43</v>
      </c>
      <c r="V7534" t="s">
        <v>43</v>
      </c>
      <c r="W7534" t="s">
        <v>43</v>
      </c>
      <c r="X7534" t="s">
        <v>43</v>
      </c>
      <c r="Y7534" t="s">
        <v>43</v>
      </c>
      <c r="Z7534" t="s">
        <v>43</v>
      </c>
      <c r="AA7534" t="s">
        <v>43</v>
      </c>
      <c r="AB7534" t="s">
        <v>43</v>
      </c>
      <c r="AC7534" t="s">
        <v>43</v>
      </c>
      <c r="AD7534" t="s">
        <v>43</v>
      </c>
      <c r="AE7534" t="s">
        <v>43</v>
      </c>
      <c r="AF7534" t="s">
        <v>43</v>
      </c>
      <c r="AG7534" t="s">
        <v>43</v>
      </c>
      <c r="AH7534" t="s">
        <v>43</v>
      </c>
      <c r="AI7534" t="s">
        <v>43</v>
      </c>
      <c r="AJ7534" t="s">
        <v>43</v>
      </c>
      <c r="AK7534" t="s">
        <v>43</v>
      </c>
      <c r="AL7534" t="s">
        <v>43</v>
      </c>
      <c r="AM7534" t="s">
        <v>43</v>
      </c>
      <c r="AN7534" t="str">
        <f>HYPERLINK("https://www.google.com/maps?q=10.78967571,79.57881927","Open Location")</f>
        <v>Open Location</v>
      </c>
    </row>
    <row r="7535" spans="1:40" x14ac:dyDescent="0.3">
      <c r="A7535" s="1">
        <v>46210.127199074072</v>
      </c>
      <c r="B7535" t="s">
        <v>40</v>
      </c>
      <c r="C7535" t="s">
        <v>41</v>
      </c>
      <c r="D7535" s="1">
        <v>46210.13013888889</v>
      </c>
      <c r="E7535" t="s">
        <v>42</v>
      </c>
      <c r="F7535" t="s">
        <v>43</v>
      </c>
      <c r="G7535" t="s">
        <v>43</v>
      </c>
      <c r="H7535" t="s">
        <v>43</v>
      </c>
      <c r="I7535" t="s">
        <v>4243</v>
      </c>
      <c r="J7535" t="s">
        <v>43</v>
      </c>
      <c r="K7535" t="s">
        <v>43</v>
      </c>
      <c r="L7535" t="s">
        <v>43</v>
      </c>
      <c r="M7535" t="s">
        <v>43</v>
      </c>
      <c r="N7535" t="s">
        <v>45</v>
      </c>
      <c r="O7535" t="s">
        <v>43</v>
      </c>
      <c r="P7535" t="s">
        <v>43</v>
      </c>
      <c r="Q7535" t="s">
        <v>43</v>
      </c>
      <c r="R7535" t="s">
        <v>43</v>
      </c>
      <c r="S7535" t="s">
        <v>43</v>
      </c>
      <c r="T7535" t="s">
        <v>43</v>
      </c>
      <c r="U7535" t="s">
        <v>43</v>
      </c>
      <c r="V7535" t="s">
        <v>43</v>
      </c>
      <c r="W7535" t="s">
        <v>43</v>
      </c>
      <c r="X7535" t="s">
        <v>43</v>
      </c>
      <c r="Y7535" t="s">
        <v>43</v>
      </c>
      <c r="Z7535" t="s">
        <v>43</v>
      </c>
      <c r="AA7535" t="s">
        <v>43</v>
      </c>
      <c r="AB7535" t="s">
        <v>43</v>
      </c>
      <c r="AC7535" t="s">
        <v>43</v>
      </c>
      <c r="AD7535" t="s">
        <v>43</v>
      </c>
      <c r="AE7535" t="s">
        <v>43</v>
      </c>
      <c r="AF7535" t="s">
        <v>43</v>
      </c>
      <c r="AG7535" t="s">
        <v>43</v>
      </c>
      <c r="AH7535" t="s">
        <v>43</v>
      </c>
      <c r="AI7535" t="s">
        <v>43</v>
      </c>
      <c r="AJ7535" t="s">
        <v>43</v>
      </c>
      <c r="AK7535" t="s">
        <v>43</v>
      </c>
      <c r="AL7535" t="s">
        <v>43</v>
      </c>
      <c r="AM7535" t="s">
        <v>43</v>
      </c>
      <c r="AN7535" t="str">
        <f>HYPERLINK("https://www.google.com/maps?q=10.78967667,79.57881165","Open Location")</f>
        <v>Open Location</v>
      </c>
    </row>
    <row r="7536" spans="1:40" x14ac:dyDescent="0.3">
      <c r="A7536" s="1">
        <v>46210.127083333333</v>
      </c>
      <c r="B7536" t="s">
        <v>40</v>
      </c>
      <c r="C7536" t="s">
        <v>41</v>
      </c>
      <c r="D7536" s="1">
        <v>46210.13008101852</v>
      </c>
      <c r="E7536" t="s">
        <v>42</v>
      </c>
      <c r="F7536" t="s">
        <v>43</v>
      </c>
      <c r="G7536" t="s">
        <v>43</v>
      </c>
      <c r="H7536" t="s">
        <v>43</v>
      </c>
      <c r="I7536" t="s">
        <v>43</v>
      </c>
      <c r="J7536" t="s">
        <v>43</v>
      </c>
      <c r="K7536" t="s">
        <v>43</v>
      </c>
      <c r="L7536" t="s">
        <v>43</v>
      </c>
      <c r="M7536" t="s">
        <v>43</v>
      </c>
      <c r="N7536" t="s">
        <v>45</v>
      </c>
      <c r="O7536" t="s">
        <v>43</v>
      </c>
      <c r="P7536" t="s">
        <v>43</v>
      </c>
      <c r="Q7536" t="s">
        <v>43</v>
      </c>
      <c r="R7536" t="s">
        <v>43</v>
      </c>
      <c r="S7536" t="s">
        <v>43</v>
      </c>
      <c r="T7536" t="s">
        <v>43</v>
      </c>
      <c r="U7536" t="s">
        <v>43</v>
      </c>
      <c r="V7536" t="s">
        <v>43</v>
      </c>
      <c r="W7536" t="s">
        <v>43</v>
      </c>
      <c r="X7536" t="s">
        <v>43</v>
      </c>
      <c r="Y7536" t="s">
        <v>43</v>
      </c>
      <c r="Z7536" t="s">
        <v>43</v>
      </c>
      <c r="AA7536" t="s">
        <v>43</v>
      </c>
      <c r="AB7536" t="s">
        <v>43</v>
      </c>
      <c r="AC7536" t="s">
        <v>43</v>
      </c>
      <c r="AD7536" t="s">
        <v>43</v>
      </c>
      <c r="AE7536" t="s">
        <v>43</v>
      </c>
      <c r="AF7536" t="s">
        <v>43</v>
      </c>
      <c r="AG7536" t="s">
        <v>43</v>
      </c>
      <c r="AH7536" t="s">
        <v>43</v>
      </c>
      <c r="AI7536" t="s">
        <v>43</v>
      </c>
      <c r="AJ7536" t="s">
        <v>43</v>
      </c>
      <c r="AK7536" t="s">
        <v>43</v>
      </c>
      <c r="AL7536" t="s">
        <v>43</v>
      </c>
      <c r="AM7536" t="s">
        <v>43</v>
      </c>
      <c r="AN7536" t="s">
        <v>43</v>
      </c>
    </row>
    <row r="7537" spans="1:40" x14ac:dyDescent="0.3">
      <c r="A7537" s="1">
        <v>46210.126967592594</v>
      </c>
      <c r="B7537" t="s">
        <v>40</v>
      </c>
      <c r="C7537" t="s">
        <v>41</v>
      </c>
      <c r="D7537" s="1">
        <v>46210.129907407405</v>
      </c>
      <c r="E7537" t="s">
        <v>42</v>
      </c>
      <c r="F7537" t="s">
        <v>43</v>
      </c>
      <c r="G7537" t="s">
        <v>43</v>
      </c>
      <c r="H7537" t="s">
        <v>43</v>
      </c>
      <c r="I7537" t="s">
        <v>4244</v>
      </c>
      <c r="J7537" t="s">
        <v>43</v>
      </c>
      <c r="K7537" t="s">
        <v>43</v>
      </c>
      <c r="L7537" t="s">
        <v>43</v>
      </c>
      <c r="M7537" t="s">
        <v>43</v>
      </c>
      <c r="N7537" t="s">
        <v>45</v>
      </c>
      <c r="O7537" t="s">
        <v>43</v>
      </c>
      <c r="P7537" t="s">
        <v>43</v>
      </c>
      <c r="Q7537" t="s">
        <v>43</v>
      </c>
      <c r="R7537" t="s">
        <v>43</v>
      </c>
      <c r="S7537" t="s">
        <v>43</v>
      </c>
      <c r="T7537" t="s">
        <v>43</v>
      </c>
      <c r="U7537" t="s">
        <v>43</v>
      </c>
      <c r="V7537" t="s">
        <v>43</v>
      </c>
      <c r="W7537" t="s">
        <v>43</v>
      </c>
      <c r="X7537" t="s">
        <v>43</v>
      </c>
      <c r="Y7537" t="s">
        <v>43</v>
      </c>
      <c r="Z7537" t="s">
        <v>43</v>
      </c>
      <c r="AA7537" t="s">
        <v>43</v>
      </c>
      <c r="AB7537" t="s">
        <v>43</v>
      </c>
      <c r="AC7537" t="s">
        <v>43</v>
      </c>
      <c r="AD7537" t="s">
        <v>43</v>
      </c>
      <c r="AE7537" t="s">
        <v>43</v>
      </c>
      <c r="AF7537" t="s">
        <v>43</v>
      </c>
      <c r="AG7537" t="s">
        <v>43</v>
      </c>
      <c r="AH7537" t="s">
        <v>43</v>
      </c>
      <c r="AI7537" t="s">
        <v>43</v>
      </c>
      <c r="AJ7537" t="s">
        <v>43</v>
      </c>
      <c r="AK7537" t="s">
        <v>43</v>
      </c>
      <c r="AL7537" t="s">
        <v>43</v>
      </c>
      <c r="AM7537" t="s">
        <v>43</v>
      </c>
      <c r="AN7537" t="str">
        <f>HYPERLINK("https://www.google.com/maps?q=10.78967762,79.57881165","Open Location")</f>
        <v>Open Location</v>
      </c>
    </row>
    <row r="7538" spans="1:40" x14ac:dyDescent="0.3">
      <c r="A7538" s="1">
        <v>46210.126851851855</v>
      </c>
      <c r="B7538" t="s">
        <v>40</v>
      </c>
      <c r="C7538" t="s">
        <v>41</v>
      </c>
      <c r="D7538" s="1">
        <v>46210.129756944443</v>
      </c>
      <c r="E7538" t="s">
        <v>42</v>
      </c>
      <c r="F7538" t="s">
        <v>43</v>
      </c>
      <c r="G7538" t="s">
        <v>43</v>
      </c>
      <c r="H7538" t="s">
        <v>43</v>
      </c>
      <c r="I7538" t="s">
        <v>4281</v>
      </c>
      <c r="J7538" t="s">
        <v>43</v>
      </c>
      <c r="K7538" t="s">
        <v>43</v>
      </c>
      <c r="L7538" t="s">
        <v>43</v>
      </c>
      <c r="M7538" t="s">
        <v>43</v>
      </c>
      <c r="N7538" t="s">
        <v>45</v>
      </c>
      <c r="O7538" t="s">
        <v>43</v>
      </c>
      <c r="P7538" t="s">
        <v>43</v>
      </c>
      <c r="Q7538" t="s">
        <v>43</v>
      </c>
      <c r="R7538" t="s">
        <v>43</v>
      </c>
      <c r="S7538" t="s">
        <v>43</v>
      </c>
      <c r="T7538" t="s">
        <v>43</v>
      </c>
      <c r="U7538" t="s">
        <v>43</v>
      </c>
      <c r="V7538" t="s">
        <v>43</v>
      </c>
      <c r="W7538" t="s">
        <v>43</v>
      </c>
      <c r="X7538" t="s">
        <v>43</v>
      </c>
      <c r="Y7538" t="s">
        <v>43</v>
      </c>
      <c r="Z7538" t="s">
        <v>43</v>
      </c>
      <c r="AA7538" t="s">
        <v>43</v>
      </c>
      <c r="AB7538" t="s">
        <v>43</v>
      </c>
      <c r="AC7538" t="s">
        <v>43</v>
      </c>
      <c r="AD7538" t="s">
        <v>43</v>
      </c>
      <c r="AE7538" t="s">
        <v>43</v>
      </c>
      <c r="AF7538" t="s">
        <v>43</v>
      </c>
      <c r="AG7538" t="s">
        <v>43</v>
      </c>
      <c r="AH7538" t="s">
        <v>43</v>
      </c>
      <c r="AI7538" t="s">
        <v>43</v>
      </c>
      <c r="AJ7538" t="s">
        <v>43</v>
      </c>
      <c r="AK7538" t="s">
        <v>43</v>
      </c>
      <c r="AL7538" t="s">
        <v>43</v>
      </c>
      <c r="AM7538" t="s">
        <v>43</v>
      </c>
      <c r="AN7538" t="str">
        <f>HYPERLINK("https://www.google.com/maps?q=10.78967857,79.57881165","Open Location")</f>
        <v>Open Location</v>
      </c>
    </row>
    <row r="7539" spans="1:40" x14ac:dyDescent="0.3">
      <c r="A7539" s="1">
        <v>46210.126736111109</v>
      </c>
      <c r="B7539" t="s">
        <v>40</v>
      </c>
      <c r="C7539" t="s">
        <v>41</v>
      </c>
      <c r="D7539" s="1">
        <v>46210.129687499997</v>
      </c>
      <c r="E7539" t="s">
        <v>42</v>
      </c>
      <c r="F7539" t="s">
        <v>43</v>
      </c>
      <c r="G7539" t="s">
        <v>43</v>
      </c>
      <c r="H7539" t="s">
        <v>43</v>
      </c>
      <c r="I7539" t="s">
        <v>4227</v>
      </c>
      <c r="J7539" t="s">
        <v>43</v>
      </c>
      <c r="K7539" t="s">
        <v>43</v>
      </c>
      <c r="L7539" t="s">
        <v>43</v>
      </c>
      <c r="M7539" t="s">
        <v>43</v>
      </c>
      <c r="N7539" t="s">
        <v>45</v>
      </c>
      <c r="O7539" t="s">
        <v>43</v>
      </c>
      <c r="P7539" t="s">
        <v>43</v>
      </c>
      <c r="Q7539" t="s">
        <v>43</v>
      </c>
      <c r="R7539" t="s">
        <v>43</v>
      </c>
      <c r="S7539" t="s">
        <v>43</v>
      </c>
      <c r="T7539" t="s">
        <v>43</v>
      </c>
      <c r="U7539" t="s">
        <v>43</v>
      </c>
      <c r="V7539" t="s">
        <v>43</v>
      </c>
      <c r="W7539" t="s">
        <v>43</v>
      </c>
      <c r="X7539" t="s">
        <v>43</v>
      </c>
      <c r="Y7539" t="s">
        <v>43</v>
      </c>
      <c r="Z7539" t="s">
        <v>43</v>
      </c>
      <c r="AA7539" t="s">
        <v>43</v>
      </c>
      <c r="AB7539" t="s">
        <v>43</v>
      </c>
      <c r="AC7539" t="s">
        <v>43</v>
      </c>
      <c r="AD7539" t="s">
        <v>43</v>
      </c>
      <c r="AE7539" t="s">
        <v>43</v>
      </c>
      <c r="AF7539" t="s">
        <v>43</v>
      </c>
      <c r="AG7539" t="s">
        <v>43</v>
      </c>
      <c r="AH7539" t="s">
        <v>43</v>
      </c>
      <c r="AI7539" t="s">
        <v>43</v>
      </c>
      <c r="AJ7539" t="s">
        <v>43</v>
      </c>
      <c r="AK7539" t="s">
        <v>43</v>
      </c>
      <c r="AL7539" t="s">
        <v>43</v>
      </c>
      <c r="AM7539" t="s">
        <v>43</v>
      </c>
      <c r="AN7539" t="str">
        <f>HYPERLINK("https://www.google.com/maps?q=10.78967381,79.57879639","Open Location")</f>
        <v>Open Location</v>
      </c>
    </row>
    <row r="7540" spans="1:40" x14ac:dyDescent="0.3">
      <c r="A7540" s="1">
        <v>46210.126620370371</v>
      </c>
      <c r="B7540" t="s">
        <v>40</v>
      </c>
      <c r="C7540" t="s">
        <v>41</v>
      </c>
      <c r="D7540" s="1">
        <v>46210.129756944443</v>
      </c>
      <c r="E7540" t="s">
        <v>42</v>
      </c>
      <c r="F7540" t="s">
        <v>43</v>
      </c>
      <c r="G7540" t="s">
        <v>43</v>
      </c>
      <c r="H7540" t="s">
        <v>43</v>
      </c>
      <c r="I7540" t="s">
        <v>4219</v>
      </c>
      <c r="J7540" t="s">
        <v>43</v>
      </c>
      <c r="K7540" t="s">
        <v>43</v>
      </c>
      <c r="L7540" t="s">
        <v>43</v>
      </c>
      <c r="M7540" t="s">
        <v>43</v>
      </c>
      <c r="N7540" t="s">
        <v>45</v>
      </c>
      <c r="O7540" t="s">
        <v>43</v>
      </c>
      <c r="P7540" t="s">
        <v>43</v>
      </c>
      <c r="Q7540" t="s">
        <v>43</v>
      </c>
      <c r="R7540" t="s">
        <v>43</v>
      </c>
      <c r="S7540" t="s">
        <v>43</v>
      </c>
      <c r="T7540" t="s">
        <v>43</v>
      </c>
      <c r="U7540" t="s">
        <v>43</v>
      </c>
      <c r="V7540" t="s">
        <v>43</v>
      </c>
      <c r="W7540" t="s">
        <v>43</v>
      </c>
      <c r="X7540" t="s">
        <v>43</v>
      </c>
      <c r="Y7540" t="s">
        <v>43</v>
      </c>
      <c r="Z7540" t="s">
        <v>43</v>
      </c>
      <c r="AA7540" t="s">
        <v>43</v>
      </c>
      <c r="AB7540" t="s">
        <v>43</v>
      </c>
      <c r="AC7540" t="s">
        <v>43</v>
      </c>
      <c r="AD7540" t="s">
        <v>43</v>
      </c>
      <c r="AE7540" t="s">
        <v>43</v>
      </c>
      <c r="AF7540" t="s">
        <v>43</v>
      </c>
      <c r="AG7540" t="s">
        <v>43</v>
      </c>
      <c r="AH7540" t="s">
        <v>43</v>
      </c>
      <c r="AI7540" t="s">
        <v>43</v>
      </c>
      <c r="AJ7540" t="s">
        <v>43</v>
      </c>
      <c r="AK7540" t="s">
        <v>43</v>
      </c>
      <c r="AL7540" t="s">
        <v>43</v>
      </c>
      <c r="AM7540" t="s">
        <v>43</v>
      </c>
      <c r="AN7540" t="str">
        <f>HYPERLINK("https://www.google.com/maps?q=10.78967571,79.57879639","Open Location")</f>
        <v>Open Location</v>
      </c>
    </row>
    <row r="7541" spans="1:40" x14ac:dyDescent="0.3">
      <c r="A7541" s="1">
        <v>46210.126504629632</v>
      </c>
      <c r="B7541" t="s">
        <v>40</v>
      </c>
      <c r="C7541" t="s">
        <v>41</v>
      </c>
      <c r="D7541" s="1">
        <v>46210.129699074074</v>
      </c>
      <c r="E7541" t="s">
        <v>42</v>
      </c>
      <c r="F7541" t="s">
        <v>43</v>
      </c>
      <c r="G7541" t="s">
        <v>43</v>
      </c>
      <c r="H7541" t="s">
        <v>43</v>
      </c>
      <c r="I7541" t="s">
        <v>4024</v>
      </c>
      <c r="J7541" t="s">
        <v>43</v>
      </c>
      <c r="K7541" t="s">
        <v>43</v>
      </c>
      <c r="L7541" t="s">
        <v>43</v>
      </c>
      <c r="M7541" t="s">
        <v>43</v>
      </c>
      <c r="N7541" t="s">
        <v>45</v>
      </c>
      <c r="O7541" t="s">
        <v>43</v>
      </c>
      <c r="P7541" t="s">
        <v>43</v>
      </c>
      <c r="Q7541" t="s">
        <v>43</v>
      </c>
      <c r="R7541" t="s">
        <v>43</v>
      </c>
      <c r="S7541" t="s">
        <v>43</v>
      </c>
      <c r="T7541" t="s">
        <v>43</v>
      </c>
      <c r="U7541" t="s">
        <v>43</v>
      </c>
      <c r="V7541" t="s">
        <v>43</v>
      </c>
      <c r="W7541" t="s">
        <v>43</v>
      </c>
      <c r="X7541" t="s">
        <v>43</v>
      </c>
      <c r="Y7541" t="s">
        <v>43</v>
      </c>
      <c r="Z7541" t="s">
        <v>43</v>
      </c>
      <c r="AA7541" t="s">
        <v>43</v>
      </c>
      <c r="AB7541" t="s">
        <v>43</v>
      </c>
      <c r="AC7541" t="s">
        <v>43</v>
      </c>
      <c r="AD7541" t="s">
        <v>43</v>
      </c>
      <c r="AE7541" t="s">
        <v>43</v>
      </c>
      <c r="AF7541" t="s">
        <v>43</v>
      </c>
      <c r="AG7541" t="s">
        <v>43</v>
      </c>
      <c r="AH7541" t="s">
        <v>43</v>
      </c>
      <c r="AI7541" t="s">
        <v>43</v>
      </c>
      <c r="AJ7541" t="s">
        <v>43</v>
      </c>
      <c r="AK7541" t="s">
        <v>43</v>
      </c>
      <c r="AL7541" t="s">
        <v>43</v>
      </c>
      <c r="AM7541" t="s">
        <v>43</v>
      </c>
      <c r="AN7541" t="str">
        <f>HYPERLINK("https://www.google.com/maps?q=10.78966904,79.57878113","Open Location")</f>
        <v>Open Location</v>
      </c>
    </row>
    <row r="7542" spans="1:40" x14ac:dyDescent="0.3">
      <c r="A7542" s="1">
        <v>46210.126388888886</v>
      </c>
      <c r="B7542" t="s">
        <v>40</v>
      </c>
      <c r="C7542" t="s">
        <v>41</v>
      </c>
      <c r="D7542" s="1">
        <v>46210.129282407404</v>
      </c>
      <c r="E7542" t="s">
        <v>42</v>
      </c>
      <c r="F7542" t="s">
        <v>43</v>
      </c>
      <c r="G7542" t="s">
        <v>43</v>
      </c>
      <c r="H7542" t="s">
        <v>43</v>
      </c>
      <c r="I7542" t="s">
        <v>43</v>
      </c>
      <c r="J7542" t="s">
        <v>43</v>
      </c>
      <c r="K7542" t="s">
        <v>43</v>
      </c>
      <c r="L7542" t="s">
        <v>43</v>
      </c>
      <c r="M7542" t="s">
        <v>43</v>
      </c>
      <c r="N7542" t="s">
        <v>45</v>
      </c>
      <c r="O7542" t="s">
        <v>43</v>
      </c>
      <c r="P7542" t="s">
        <v>43</v>
      </c>
      <c r="Q7542" t="s">
        <v>43</v>
      </c>
      <c r="R7542" t="s">
        <v>43</v>
      </c>
      <c r="S7542" t="s">
        <v>43</v>
      </c>
      <c r="T7542" t="s">
        <v>43</v>
      </c>
      <c r="U7542" t="s">
        <v>43</v>
      </c>
      <c r="V7542" t="s">
        <v>43</v>
      </c>
      <c r="W7542" t="s">
        <v>43</v>
      </c>
      <c r="X7542" t="s">
        <v>43</v>
      </c>
      <c r="Y7542" t="s">
        <v>43</v>
      </c>
      <c r="Z7542" t="s">
        <v>43</v>
      </c>
      <c r="AA7542" t="s">
        <v>43</v>
      </c>
      <c r="AB7542" t="s">
        <v>43</v>
      </c>
      <c r="AC7542" t="s">
        <v>43</v>
      </c>
      <c r="AD7542" t="s">
        <v>43</v>
      </c>
      <c r="AE7542" t="s">
        <v>43</v>
      </c>
      <c r="AF7542" t="s">
        <v>43</v>
      </c>
      <c r="AG7542" t="s">
        <v>43</v>
      </c>
      <c r="AH7542" t="s">
        <v>43</v>
      </c>
      <c r="AI7542" t="s">
        <v>43</v>
      </c>
      <c r="AJ7542" t="s">
        <v>43</v>
      </c>
      <c r="AK7542" t="s">
        <v>43</v>
      </c>
      <c r="AL7542" t="s">
        <v>43</v>
      </c>
      <c r="AM7542" t="s">
        <v>43</v>
      </c>
      <c r="AN7542" t="s">
        <v>43</v>
      </c>
    </row>
    <row r="7543" spans="1:40" x14ac:dyDescent="0.3">
      <c r="A7543" s="1">
        <v>46210.126273148147</v>
      </c>
      <c r="B7543" t="s">
        <v>40</v>
      </c>
      <c r="C7543" t="s">
        <v>41</v>
      </c>
      <c r="D7543" s="1">
        <v>46210.129282407404</v>
      </c>
      <c r="E7543" t="s">
        <v>42</v>
      </c>
      <c r="F7543" t="s">
        <v>43</v>
      </c>
      <c r="G7543" t="s">
        <v>43</v>
      </c>
      <c r="H7543" t="s">
        <v>43</v>
      </c>
      <c r="I7543" t="s">
        <v>4025</v>
      </c>
      <c r="J7543" t="s">
        <v>43</v>
      </c>
      <c r="K7543" t="s">
        <v>43</v>
      </c>
      <c r="L7543" t="s">
        <v>43</v>
      </c>
      <c r="M7543" t="s">
        <v>43</v>
      </c>
      <c r="N7543" t="s">
        <v>45</v>
      </c>
      <c r="O7543" t="s">
        <v>43</v>
      </c>
      <c r="P7543" t="s">
        <v>43</v>
      </c>
      <c r="Q7543" t="s">
        <v>43</v>
      </c>
      <c r="R7543" t="s">
        <v>43</v>
      </c>
      <c r="S7543" t="s">
        <v>43</v>
      </c>
      <c r="T7543" t="s">
        <v>43</v>
      </c>
      <c r="U7543" t="s">
        <v>43</v>
      </c>
      <c r="V7543" t="s">
        <v>43</v>
      </c>
      <c r="W7543" t="s">
        <v>43</v>
      </c>
      <c r="X7543" t="s">
        <v>43</v>
      </c>
      <c r="Y7543" t="s">
        <v>43</v>
      </c>
      <c r="Z7543" t="s">
        <v>43</v>
      </c>
      <c r="AA7543" t="s">
        <v>43</v>
      </c>
      <c r="AB7543" t="s">
        <v>43</v>
      </c>
      <c r="AC7543" t="s">
        <v>43</v>
      </c>
      <c r="AD7543" t="s">
        <v>43</v>
      </c>
      <c r="AE7543" t="s">
        <v>43</v>
      </c>
      <c r="AF7543" t="s">
        <v>43</v>
      </c>
      <c r="AG7543" t="s">
        <v>43</v>
      </c>
      <c r="AH7543" t="s">
        <v>43</v>
      </c>
      <c r="AI7543" t="s">
        <v>43</v>
      </c>
      <c r="AJ7543" t="s">
        <v>43</v>
      </c>
      <c r="AK7543" t="s">
        <v>43</v>
      </c>
      <c r="AL7543" t="s">
        <v>43</v>
      </c>
      <c r="AM7543" t="s">
        <v>43</v>
      </c>
      <c r="AN7543" t="str">
        <f>HYPERLINK("https://www.google.com/maps?q=10.78966713,79.5787735","Open Location")</f>
        <v>Open Location</v>
      </c>
    </row>
    <row r="7544" spans="1:40" x14ac:dyDescent="0.3">
      <c r="A7544" s="1">
        <v>46210.126157407409</v>
      </c>
      <c r="B7544" t="s">
        <v>40</v>
      </c>
      <c r="C7544" t="s">
        <v>41</v>
      </c>
      <c r="D7544" s="1">
        <v>46210.129004629627</v>
      </c>
      <c r="E7544" t="s">
        <v>42</v>
      </c>
      <c r="F7544" t="s">
        <v>43</v>
      </c>
      <c r="G7544" t="s">
        <v>43</v>
      </c>
      <c r="H7544" t="s">
        <v>43</v>
      </c>
      <c r="I7544" t="s">
        <v>4282</v>
      </c>
      <c r="J7544" t="s">
        <v>43</v>
      </c>
      <c r="K7544" t="s">
        <v>43</v>
      </c>
      <c r="L7544" t="s">
        <v>43</v>
      </c>
      <c r="M7544" t="s">
        <v>43</v>
      </c>
      <c r="N7544" t="s">
        <v>45</v>
      </c>
      <c r="O7544" t="s">
        <v>43</v>
      </c>
      <c r="P7544" t="s">
        <v>43</v>
      </c>
      <c r="Q7544" t="s">
        <v>43</v>
      </c>
      <c r="R7544" t="s">
        <v>43</v>
      </c>
      <c r="S7544" t="s">
        <v>43</v>
      </c>
      <c r="T7544" t="s">
        <v>43</v>
      </c>
      <c r="U7544" t="s">
        <v>43</v>
      </c>
      <c r="V7544" t="s">
        <v>43</v>
      </c>
      <c r="W7544" t="s">
        <v>43</v>
      </c>
      <c r="X7544" t="s">
        <v>43</v>
      </c>
      <c r="Y7544" t="s">
        <v>43</v>
      </c>
      <c r="Z7544" t="s">
        <v>43</v>
      </c>
      <c r="AA7544" t="s">
        <v>43</v>
      </c>
      <c r="AB7544" t="s">
        <v>43</v>
      </c>
      <c r="AC7544" t="s">
        <v>43</v>
      </c>
      <c r="AD7544" t="s">
        <v>43</v>
      </c>
      <c r="AE7544" t="s">
        <v>43</v>
      </c>
      <c r="AF7544" t="s">
        <v>43</v>
      </c>
      <c r="AG7544" t="s">
        <v>43</v>
      </c>
      <c r="AH7544" t="s">
        <v>43</v>
      </c>
      <c r="AI7544" t="s">
        <v>43</v>
      </c>
      <c r="AJ7544" t="s">
        <v>43</v>
      </c>
      <c r="AK7544" t="s">
        <v>43</v>
      </c>
      <c r="AL7544" t="s">
        <v>43</v>
      </c>
      <c r="AM7544" t="s">
        <v>43</v>
      </c>
      <c r="AN7544" t="str">
        <f>HYPERLINK("https://www.google.com/maps?q=10.78966522,79.5787735","Open Location")</f>
        <v>Open Location</v>
      </c>
    </row>
    <row r="7545" spans="1:40" x14ac:dyDescent="0.3">
      <c r="A7545" s="1">
        <v>46210.12604166667</v>
      </c>
      <c r="B7545" t="s">
        <v>40</v>
      </c>
      <c r="C7545" t="s">
        <v>41</v>
      </c>
      <c r="D7545" s="1">
        <v>46210.129004629627</v>
      </c>
      <c r="E7545" t="s">
        <v>42</v>
      </c>
      <c r="F7545" t="s">
        <v>43</v>
      </c>
      <c r="G7545" t="s">
        <v>43</v>
      </c>
      <c r="H7545" t="s">
        <v>43</v>
      </c>
      <c r="I7545" t="s">
        <v>4283</v>
      </c>
      <c r="J7545" t="s">
        <v>43</v>
      </c>
      <c r="K7545" t="s">
        <v>43</v>
      </c>
      <c r="L7545" t="s">
        <v>43</v>
      </c>
      <c r="M7545" t="s">
        <v>43</v>
      </c>
      <c r="N7545" t="s">
        <v>45</v>
      </c>
      <c r="O7545" t="s">
        <v>43</v>
      </c>
      <c r="P7545" t="s">
        <v>43</v>
      </c>
      <c r="Q7545" t="s">
        <v>43</v>
      </c>
      <c r="R7545" t="s">
        <v>43</v>
      </c>
      <c r="S7545" t="s">
        <v>43</v>
      </c>
      <c r="T7545" t="s">
        <v>43</v>
      </c>
      <c r="U7545" t="s">
        <v>43</v>
      </c>
      <c r="V7545" t="s">
        <v>43</v>
      </c>
      <c r="W7545" t="s">
        <v>43</v>
      </c>
      <c r="X7545" t="s">
        <v>43</v>
      </c>
      <c r="Y7545" t="s">
        <v>43</v>
      </c>
      <c r="Z7545" t="s">
        <v>43</v>
      </c>
      <c r="AA7545" t="s">
        <v>43</v>
      </c>
      <c r="AB7545" t="s">
        <v>43</v>
      </c>
      <c r="AC7545" t="s">
        <v>43</v>
      </c>
      <c r="AD7545" t="s">
        <v>43</v>
      </c>
      <c r="AE7545" t="s">
        <v>43</v>
      </c>
      <c r="AF7545" t="s">
        <v>43</v>
      </c>
      <c r="AG7545" t="s">
        <v>43</v>
      </c>
      <c r="AH7545" t="s">
        <v>43</v>
      </c>
      <c r="AI7545" t="s">
        <v>43</v>
      </c>
      <c r="AJ7545" t="s">
        <v>43</v>
      </c>
      <c r="AK7545" t="s">
        <v>43</v>
      </c>
      <c r="AL7545" t="s">
        <v>43</v>
      </c>
      <c r="AM7545" t="s">
        <v>43</v>
      </c>
      <c r="AN7545" t="str">
        <f>HYPERLINK("https://www.google.com/maps?q=10.78965855,79.5787735","Open Location")</f>
        <v>Open Location</v>
      </c>
    </row>
    <row r="7546" spans="1:40" x14ac:dyDescent="0.3">
      <c r="A7546" s="1">
        <v>46210.125925925924</v>
      </c>
      <c r="B7546" t="s">
        <v>40</v>
      </c>
      <c r="C7546" t="s">
        <v>41</v>
      </c>
      <c r="D7546" s="1">
        <v>46210.129027777781</v>
      </c>
      <c r="E7546" t="s">
        <v>42</v>
      </c>
      <c r="F7546" t="s">
        <v>43</v>
      </c>
      <c r="G7546" t="s">
        <v>43</v>
      </c>
      <c r="H7546" t="s">
        <v>43</v>
      </c>
      <c r="I7546" t="s">
        <v>4037</v>
      </c>
      <c r="J7546" t="s">
        <v>43</v>
      </c>
      <c r="K7546" t="s">
        <v>43</v>
      </c>
      <c r="L7546" t="s">
        <v>43</v>
      </c>
      <c r="M7546" t="s">
        <v>43</v>
      </c>
      <c r="N7546" t="s">
        <v>45</v>
      </c>
      <c r="O7546" t="s">
        <v>43</v>
      </c>
      <c r="P7546" t="s">
        <v>43</v>
      </c>
      <c r="Q7546" t="s">
        <v>43</v>
      </c>
      <c r="R7546" t="s">
        <v>43</v>
      </c>
      <c r="S7546" t="s">
        <v>43</v>
      </c>
      <c r="T7546" t="s">
        <v>43</v>
      </c>
      <c r="U7546" t="s">
        <v>43</v>
      </c>
      <c r="V7546" t="s">
        <v>43</v>
      </c>
      <c r="W7546" t="s">
        <v>43</v>
      </c>
      <c r="X7546" t="s">
        <v>43</v>
      </c>
      <c r="Y7546" t="s">
        <v>43</v>
      </c>
      <c r="Z7546" t="s">
        <v>43</v>
      </c>
      <c r="AA7546" t="s">
        <v>43</v>
      </c>
      <c r="AB7546" t="s">
        <v>43</v>
      </c>
      <c r="AC7546" t="s">
        <v>43</v>
      </c>
      <c r="AD7546" t="s">
        <v>43</v>
      </c>
      <c r="AE7546" t="s">
        <v>43</v>
      </c>
      <c r="AF7546" t="s">
        <v>43</v>
      </c>
      <c r="AG7546" t="s">
        <v>43</v>
      </c>
      <c r="AH7546" t="s">
        <v>43</v>
      </c>
      <c r="AI7546" t="s">
        <v>43</v>
      </c>
      <c r="AJ7546" t="s">
        <v>43</v>
      </c>
      <c r="AK7546" t="s">
        <v>43</v>
      </c>
      <c r="AL7546" t="s">
        <v>43</v>
      </c>
      <c r="AM7546" t="s">
        <v>43</v>
      </c>
      <c r="AN7546" t="str">
        <f>HYPERLINK("https://www.google.com/maps?q=10.78966045,79.5787735","Open Location")</f>
        <v>Open Location</v>
      </c>
    </row>
    <row r="7547" spans="1:40" x14ac:dyDescent="0.3">
      <c r="A7547" s="1">
        <v>46210.125810185185</v>
      </c>
      <c r="B7547" t="s">
        <v>40</v>
      </c>
      <c r="C7547" t="s">
        <v>41</v>
      </c>
      <c r="D7547" s="1">
        <v>46210.128935185188</v>
      </c>
      <c r="E7547" t="s">
        <v>42</v>
      </c>
      <c r="F7547" t="s">
        <v>43</v>
      </c>
      <c r="G7547" t="s">
        <v>43</v>
      </c>
      <c r="H7547" t="s">
        <v>43</v>
      </c>
      <c r="I7547" t="s">
        <v>4284</v>
      </c>
      <c r="J7547" t="s">
        <v>43</v>
      </c>
      <c r="K7547" t="s">
        <v>43</v>
      </c>
      <c r="L7547" t="s">
        <v>43</v>
      </c>
      <c r="M7547" t="s">
        <v>43</v>
      </c>
      <c r="N7547" t="s">
        <v>45</v>
      </c>
      <c r="O7547" t="s">
        <v>43</v>
      </c>
      <c r="P7547" t="s">
        <v>43</v>
      </c>
      <c r="Q7547" t="s">
        <v>43</v>
      </c>
      <c r="R7547" t="s">
        <v>43</v>
      </c>
      <c r="S7547" t="s">
        <v>43</v>
      </c>
      <c r="T7547" t="s">
        <v>43</v>
      </c>
      <c r="U7547" t="s">
        <v>43</v>
      </c>
      <c r="V7547" t="s">
        <v>43</v>
      </c>
      <c r="W7547" t="s">
        <v>43</v>
      </c>
      <c r="X7547" t="s">
        <v>43</v>
      </c>
      <c r="Y7547" t="s">
        <v>43</v>
      </c>
      <c r="Z7547" t="s">
        <v>43</v>
      </c>
      <c r="AA7547" t="s">
        <v>43</v>
      </c>
      <c r="AB7547" t="s">
        <v>43</v>
      </c>
      <c r="AC7547" t="s">
        <v>43</v>
      </c>
      <c r="AD7547" t="s">
        <v>43</v>
      </c>
      <c r="AE7547" t="s">
        <v>43</v>
      </c>
      <c r="AF7547" t="s">
        <v>43</v>
      </c>
      <c r="AG7547" t="s">
        <v>43</v>
      </c>
      <c r="AH7547" t="s">
        <v>43</v>
      </c>
      <c r="AI7547" t="s">
        <v>43</v>
      </c>
      <c r="AJ7547" t="s">
        <v>43</v>
      </c>
      <c r="AK7547" t="s">
        <v>43</v>
      </c>
      <c r="AL7547" t="s">
        <v>43</v>
      </c>
      <c r="AM7547" t="s">
        <v>43</v>
      </c>
      <c r="AN7547" t="str">
        <f>HYPERLINK("https://www.google.com/maps?q=10.78965759,79.57878113","Open Location")</f>
        <v>Open Location</v>
      </c>
    </row>
    <row r="7548" spans="1:40" x14ac:dyDescent="0.3">
      <c r="A7548" s="1">
        <v>46210.125694444447</v>
      </c>
      <c r="B7548" t="s">
        <v>40</v>
      </c>
      <c r="C7548" t="s">
        <v>41</v>
      </c>
      <c r="D7548" s="1">
        <v>46210.128587962965</v>
      </c>
      <c r="E7548" t="s">
        <v>42</v>
      </c>
      <c r="F7548" t="s">
        <v>43</v>
      </c>
      <c r="G7548" t="s">
        <v>43</v>
      </c>
      <c r="H7548" t="s">
        <v>43</v>
      </c>
      <c r="I7548" t="s">
        <v>43</v>
      </c>
      <c r="J7548" t="s">
        <v>43</v>
      </c>
      <c r="K7548" t="s">
        <v>43</v>
      </c>
      <c r="L7548" t="s">
        <v>43</v>
      </c>
      <c r="M7548" t="s">
        <v>43</v>
      </c>
      <c r="N7548" t="s">
        <v>45</v>
      </c>
      <c r="O7548" t="s">
        <v>43</v>
      </c>
      <c r="P7548" t="s">
        <v>43</v>
      </c>
      <c r="Q7548" t="s">
        <v>43</v>
      </c>
      <c r="R7548" t="s">
        <v>43</v>
      </c>
      <c r="S7548" t="s">
        <v>43</v>
      </c>
      <c r="T7548" t="s">
        <v>43</v>
      </c>
      <c r="U7548" t="s">
        <v>43</v>
      </c>
      <c r="V7548" t="s">
        <v>43</v>
      </c>
      <c r="W7548" t="s">
        <v>43</v>
      </c>
      <c r="X7548" t="s">
        <v>43</v>
      </c>
      <c r="Y7548" t="s">
        <v>43</v>
      </c>
      <c r="Z7548" t="s">
        <v>43</v>
      </c>
      <c r="AA7548" t="s">
        <v>43</v>
      </c>
      <c r="AB7548" t="s">
        <v>43</v>
      </c>
      <c r="AC7548" t="s">
        <v>43</v>
      </c>
      <c r="AD7548" t="s">
        <v>43</v>
      </c>
      <c r="AE7548" t="s">
        <v>43</v>
      </c>
      <c r="AF7548" t="s">
        <v>43</v>
      </c>
      <c r="AG7548" t="s">
        <v>43</v>
      </c>
      <c r="AH7548" t="s">
        <v>43</v>
      </c>
      <c r="AI7548" t="s">
        <v>43</v>
      </c>
      <c r="AJ7548" t="s">
        <v>43</v>
      </c>
      <c r="AK7548" t="s">
        <v>43</v>
      </c>
      <c r="AL7548" t="s">
        <v>43</v>
      </c>
      <c r="AM7548" t="s">
        <v>43</v>
      </c>
      <c r="AN7548" t="s">
        <v>43</v>
      </c>
    </row>
    <row r="7549" spans="1:40" x14ac:dyDescent="0.3">
      <c r="A7549" s="1">
        <v>46210.125578703701</v>
      </c>
      <c r="B7549" t="s">
        <v>40</v>
      </c>
      <c r="C7549" t="s">
        <v>41</v>
      </c>
      <c r="D7549" s="1">
        <v>46210.128634259258</v>
      </c>
      <c r="E7549" t="s">
        <v>42</v>
      </c>
      <c r="F7549" t="s">
        <v>43</v>
      </c>
      <c r="G7549" t="s">
        <v>43</v>
      </c>
      <c r="H7549" t="s">
        <v>43</v>
      </c>
      <c r="I7549" t="s">
        <v>4047</v>
      </c>
      <c r="J7549" t="s">
        <v>43</v>
      </c>
      <c r="K7549" t="s">
        <v>43</v>
      </c>
      <c r="L7549" t="s">
        <v>43</v>
      </c>
      <c r="M7549" t="s">
        <v>43</v>
      </c>
      <c r="N7549" t="s">
        <v>45</v>
      </c>
      <c r="O7549" t="s">
        <v>43</v>
      </c>
      <c r="P7549" t="s">
        <v>43</v>
      </c>
      <c r="Q7549" t="s">
        <v>43</v>
      </c>
      <c r="R7549" t="s">
        <v>43</v>
      </c>
      <c r="S7549" t="s">
        <v>43</v>
      </c>
      <c r="T7549" t="s">
        <v>43</v>
      </c>
      <c r="U7549" t="s">
        <v>43</v>
      </c>
      <c r="V7549" t="s">
        <v>43</v>
      </c>
      <c r="W7549" t="s">
        <v>43</v>
      </c>
      <c r="X7549" t="s">
        <v>43</v>
      </c>
      <c r="Y7549" t="s">
        <v>43</v>
      </c>
      <c r="Z7549" t="s">
        <v>43</v>
      </c>
      <c r="AA7549" t="s">
        <v>43</v>
      </c>
      <c r="AB7549" t="s">
        <v>43</v>
      </c>
      <c r="AC7549" t="s">
        <v>43</v>
      </c>
      <c r="AD7549" t="s">
        <v>43</v>
      </c>
      <c r="AE7549" t="s">
        <v>43</v>
      </c>
      <c r="AF7549" t="s">
        <v>43</v>
      </c>
      <c r="AG7549" t="s">
        <v>43</v>
      </c>
      <c r="AH7549" t="s">
        <v>43</v>
      </c>
      <c r="AI7549" t="s">
        <v>43</v>
      </c>
      <c r="AJ7549" t="s">
        <v>43</v>
      </c>
      <c r="AK7549" t="s">
        <v>43</v>
      </c>
      <c r="AL7549" t="s">
        <v>43</v>
      </c>
      <c r="AM7549" t="s">
        <v>43</v>
      </c>
      <c r="AN7549" t="str">
        <f>HYPERLINK("https://www.google.com/maps?q=10.78966045,79.57878876","Open Location")</f>
        <v>Open Location</v>
      </c>
    </row>
    <row r="7550" spans="1:40" x14ac:dyDescent="0.3">
      <c r="A7550" s="1">
        <v>46210.125462962962</v>
      </c>
      <c r="B7550" t="s">
        <v>40</v>
      </c>
      <c r="C7550" t="s">
        <v>41</v>
      </c>
      <c r="D7550" s="1">
        <v>46210.128587962965</v>
      </c>
      <c r="E7550" t="s">
        <v>42</v>
      </c>
      <c r="F7550" t="s">
        <v>43</v>
      </c>
      <c r="G7550" t="s">
        <v>43</v>
      </c>
      <c r="H7550" t="s">
        <v>43</v>
      </c>
      <c r="I7550" t="s">
        <v>4018</v>
      </c>
      <c r="J7550" t="s">
        <v>43</v>
      </c>
      <c r="K7550" t="s">
        <v>43</v>
      </c>
      <c r="L7550" t="s">
        <v>43</v>
      </c>
      <c r="M7550" t="s">
        <v>43</v>
      </c>
      <c r="N7550" t="s">
        <v>45</v>
      </c>
      <c r="O7550" t="s">
        <v>43</v>
      </c>
      <c r="P7550" t="s">
        <v>43</v>
      </c>
      <c r="Q7550" t="s">
        <v>43</v>
      </c>
      <c r="R7550" t="s">
        <v>43</v>
      </c>
      <c r="S7550" t="s">
        <v>43</v>
      </c>
      <c r="T7550" t="s">
        <v>43</v>
      </c>
      <c r="U7550" t="s">
        <v>43</v>
      </c>
      <c r="V7550" t="s">
        <v>43</v>
      </c>
      <c r="W7550" t="s">
        <v>43</v>
      </c>
      <c r="X7550" t="s">
        <v>43</v>
      </c>
      <c r="Y7550" t="s">
        <v>43</v>
      </c>
      <c r="Z7550" t="s">
        <v>43</v>
      </c>
      <c r="AA7550" t="s">
        <v>43</v>
      </c>
      <c r="AB7550" t="s">
        <v>43</v>
      </c>
      <c r="AC7550" t="s">
        <v>43</v>
      </c>
      <c r="AD7550" t="s">
        <v>43</v>
      </c>
      <c r="AE7550" t="s">
        <v>43</v>
      </c>
      <c r="AF7550" t="s">
        <v>43</v>
      </c>
      <c r="AG7550" t="s">
        <v>43</v>
      </c>
      <c r="AH7550" t="s">
        <v>43</v>
      </c>
      <c r="AI7550" t="s">
        <v>43</v>
      </c>
      <c r="AJ7550" t="s">
        <v>43</v>
      </c>
      <c r="AK7550" t="s">
        <v>43</v>
      </c>
      <c r="AL7550" t="s">
        <v>43</v>
      </c>
      <c r="AM7550" t="s">
        <v>43</v>
      </c>
      <c r="AN7550" t="str">
        <f>HYPERLINK("https://www.google.com/maps?q=10.78966808,79.57878113","Open Location")</f>
        <v>Open Location</v>
      </c>
    </row>
    <row r="7551" spans="1:40" x14ac:dyDescent="0.3">
      <c r="A7551" s="1">
        <v>46210.125347222223</v>
      </c>
      <c r="B7551" t="s">
        <v>40</v>
      </c>
      <c r="C7551" t="s">
        <v>41</v>
      </c>
      <c r="D7551" s="1">
        <v>46210.128576388888</v>
      </c>
      <c r="E7551" t="s">
        <v>42</v>
      </c>
      <c r="F7551" t="s">
        <v>43</v>
      </c>
      <c r="G7551" t="s">
        <v>43</v>
      </c>
      <c r="H7551" t="s">
        <v>43</v>
      </c>
      <c r="I7551" t="s">
        <v>4014</v>
      </c>
      <c r="J7551" t="s">
        <v>43</v>
      </c>
      <c r="K7551" t="s">
        <v>43</v>
      </c>
      <c r="L7551" t="s">
        <v>43</v>
      </c>
      <c r="M7551" t="s">
        <v>43</v>
      </c>
      <c r="N7551" t="s">
        <v>45</v>
      </c>
      <c r="O7551" t="s">
        <v>43</v>
      </c>
      <c r="P7551" t="s">
        <v>43</v>
      </c>
      <c r="Q7551" t="s">
        <v>43</v>
      </c>
      <c r="R7551" t="s">
        <v>43</v>
      </c>
      <c r="S7551" t="s">
        <v>43</v>
      </c>
      <c r="T7551" t="s">
        <v>43</v>
      </c>
      <c r="U7551" t="s">
        <v>43</v>
      </c>
      <c r="V7551" t="s">
        <v>43</v>
      </c>
      <c r="W7551" t="s">
        <v>43</v>
      </c>
      <c r="X7551" t="s">
        <v>43</v>
      </c>
      <c r="Y7551" t="s">
        <v>43</v>
      </c>
      <c r="Z7551" t="s">
        <v>43</v>
      </c>
      <c r="AA7551" t="s">
        <v>43</v>
      </c>
      <c r="AB7551" t="s">
        <v>43</v>
      </c>
      <c r="AC7551" t="s">
        <v>43</v>
      </c>
      <c r="AD7551" t="s">
        <v>43</v>
      </c>
      <c r="AE7551" t="s">
        <v>43</v>
      </c>
      <c r="AF7551" t="s">
        <v>43</v>
      </c>
      <c r="AG7551" t="s">
        <v>43</v>
      </c>
      <c r="AH7551" t="s">
        <v>43</v>
      </c>
      <c r="AI7551" t="s">
        <v>43</v>
      </c>
      <c r="AJ7551" t="s">
        <v>43</v>
      </c>
      <c r="AK7551" t="s">
        <v>43</v>
      </c>
      <c r="AL7551" t="s">
        <v>43</v>
      </c>
      <c r="AM7551" t="s">
        <v>43</v>
      </c>
      <c r="AN7551" t="str">
        <f>HYPERLINK("https://www.google.com/maps?q=10.78967762,79.57878113","Open Location")</f>
        <v>Open Location</v>
      </c>
    </row>
    <row r="7552" spans="1:40" x14ac:dyDescent="0.3">
      <c r="A7552" s="1">
        <v>46210.125231481485</v>
      </c>
      <c r="B7552" t="s">
        <v>40</v>
      </c>
      <c r="C7552" t="s">
        <v>41</v>
      </c>
      <c r="D7552" s="1">
        <v>46210.128240740742</v>
      </c>
      <c r="E7552" t="s">
        <v>42</v>
      </c>
      <c r="F7552" t="s">
        <v>43</v>
      </c>
      <c r="G7552" t="s">
        <v>43</v>
      </c>
      <c r="H7552" t="s">
        <v>43</v>
      </c>
      <c r="I7552" t="s">
        <v>4228</v>
      </c>
      <c r="J7552" t="s">
        <v>43</v>
      </c>
      <c r="K7552" t="s">
        <v>43</v>
      </c>
      <c r="L7552" t="s">
        <v>43</v>
      </c>
      <c r="M7552" t="s">
        <v>43</v>
      </c>
      <c r="N7552" t="s">
        <v>45</v>
      </c>
      <c r="O7552" t="s">
        <v>43</v>
      </c>
      <c r="P7552" t="s">
        <v>43</v>
      </c>
      <c r="Q7552" t="s">
        <v>43</v>
      </c>
      <c r="R7552" t="s">
        <v>43</v>
      </c>
      <c r="S7552" t="s">
        <v>43</v>
      </c>
      <c r="T7552" t="s">
        <v>43</v>
      </c>
      <c r="U7552" t="s">
        <v>43</v>
      </c>
      <c r="V7552" t="s">
        <v>43</v>
      </c>
      <c r="W7552" t="s">
        <v>43</v>
      </c>
      <c r="X7552" t="s">
        <v>43</v>
      </c>
      <c r="Y7552" t="s">
        <v>43</v>
      </c>
      <c r="Z7552" t="s">
        <v>43</v>
      </c>
      <c r="AA7552" t="s">
        <v>43</v>
      </c>
      <c r="AB7552" t="s">
        <v>43</v>
      </c>
      <c r="AC7552" t="s">
        <v>43</v>
      </c>
      <c r="AD7552" t="s">
        <v>43</v>
      </c>
      <c r="AE7552" t="s">
        <v>43</v>
      </c>
      <c r="AF7552" t="s">
        <v>43</v>
      </c>
      <c r="AG7552" t="s">
        <v>43</v>
      </c>
      <c r="AH7552" t="s">
        <v>43</v>
      </c>
      <c r="AI7552" t="s">
        <v>43</v>
      </c>
      <c r="AJ7552" t="s">
        <v>43</v>
      </c>
      <c r="AK7552" t="s">
        <v>43</v>
      </c>
      <c r="AL7552" t="s">
        <v>43</v>
      </c>
      <c r="AM7552" t="s">
        <v>43</v>
      </c>
      <c r="AN7552" t="str">
        <f>HYPERLINK("https://www.google.com/maps?q=10.78967857,79.57878876","Open Location")</f>
        <v>Open Location</v>
      </c>
    </row>
    <row r="7553" spans="1:40" x14ac:dyDescent="0.3">
      <c r="A7553" s="1">
        <v>46210.125115740739</v>
      </c>
      <c r="B7553" t="s">
        <v>40</v>
      </c>
      <c r="C7553" t="s">
        <v>41</v>
      </c>
      <c r="D7553" s="1">
        <v>46210.128229166665</v>
      </c>
      <c r="E7553" t="s">
        <v>42</v>
      </c>
      <c r="F7553" t="s">
        <v>43</v>
      </c>
      <c r="G7553" t="s">
        <v>43</v>
      </c>
      <c r="H7553" t="s">
        <v>43</v>
      </c>
      <c r="I7553" t="s">
        <v>43</v>
      </c>
      <c r="J7553" t="s">
        <v>43</v>
      </c>
      <c r="K7553" t="s">
        <v>43</v>
      </c>
      <c r="L7553" t="s">
        <v>43</v>
      </c>
      <c r="M7553" t="s">
        <v>43</v>
      </c>
      <c r="N7553" t="s">
        <v>45</v>
      </c>
      <c r="O7553" t="s">
        <v>43</v>
      </c>
      <c r="P7553" t="s">
        <v>43</v>
      </c>
      <c r="Q7553" t="s">
        <v>43</v>
      </c>
      <c r="R7553" t="s">
        <v>43</v>
      </c>
      <c r="S7553" t="s">
        <v>43</v>
      </c>
      <c r="T7553" t="s">
        <v>43</v>
      </c>
      <c r="U7553" t="s">
        <v>43</v>
      </c>
      <c r="V7553" t="s">
        <v>43</v>
      </c>
      <c r="W7553" t="s">
        <v>43</v>
      </c>
      <c r="X7553" t="s">
        <v>43</v>
      </c>
      <c r="Y7553" t="s">
        <v>43</v>
      </c>
      <c r="Z7553" t="s">
        <v>43</v>
      </c>
      <c r="AA7553" t="s">
        <v>43</v>
      </c>
      <c r="AB7553" t="s">
        <v>43</v>
      </c>
      <c r="AC7553" t="s">
        <v>43</v>
      </c>
      <c r="AD7553" t="s">
        <v>43</v>
      </c>
      <c r="AE7553" t="s">
        <v>43</v>
      </c>
      <c r="AF7553" t="s">
        <v>43</v>
      </c>
      <c r="AG7553" t="s">
        <v>43</v>
      </c>
      <c r="AH7553" t="s">
        <v>43</v>
      </c>
      <c r="AI7553" t="s">
        <v>43</v>
      </c>
      <c r="AJ7553" t="s">
        <v>43</v>
      </c>
      <c r="AK7553" t="s">
        <v>43</v>
      </c>
      <c r="AL7553" t="s">
        <v>43</v>
      </c>
      <c r="AM7553" t="s">
        <v>43</v>
      </c>
      <c r="AN7553" t="s">
        <v>43</v>
      </c>
    </row>
    <row r="7554" spans="1:40" x14ac:dyDescent="0.3">
      <c r="A7554" s="1">
        <v>46210.125</v>
      </c>
      <c r="B7554" t="s">
        <v>40</v>
      </c>
      <c r="C7554" t="s">
        <v>41</v>
      </c>
      <c r="D7554" s="1">
        <v>46210.127881944441</v>
      </c>
      <c r="E7554" t="s">
        <v>42</v>
      </c>
      <c r="F7554" t="s">
        <v>43</v>
      </c>
      <c r="G7554" t="s">
        <v>43</v>
      </c>
      <c r="H7554" t="s">
        <v>43</v>
      </c>
      <c r="I7554" t="s">
        <v>4285</v>
      </c>
      <c r="J7554" t="s">
        <v>43</v>
      </c>
      <c r="K7554" t="s">
        <v>43</v>
      </c>
      <c r="L7554" t="s">
        <v>43</v>
      </c>
      <c r="M7554" t="s">
        <v>43</v>
      </c>
      <c r="N7554" t="s">
        <v>45</v>
      </c>
      <c r="O7554" t="s">
        <v>43</v>
      </c>
      <c r="P7554" t="s">
        <v>43</v>
      </c>
      <c r="Q7554" t="s">
        <v>43</v>
      </c>
      <c r="R7554" t="s">
        <v>43</v>
      </c>
      <c r="S7554" t="s">
        <v>43</v>
      </c>
      <c r="T7554" t="s">
        <v>43</v>
      </c>
      <c r="U7554" t="s">
        <v>43</v>
      </c>
      <c r="V7554" t="s">
        <v>43</v>
      </c>
      <c r="W7554" t="s">
        <v>43</v>
      </c>
      <c r="X7554" t="s">
        <v>43</v>
      </c>
      <c r="Y7554" t="s">
        <v>43</v>
      </c>
      <c r="Z7554" t="s">
        <v>43</v>
      </c>
      <c r="AA7554" t="s">
        <v>43</v>
      </c>
      <c r="AB7554" t="s">
        <v>43</v>
      </c>
      <c r="AC7554" t="s">
        <v>43</v>
      </c>
      <c r="AD7554" t="s">
        <v>43</v>
      </c>
      <c r="AE7554" t="s">
        <v>43</v>
      </c>
      <c r="AF7554" t="s">
        <v>43</v>
      </c>
      <c r="AG7554" t="s">
        <v>43</v>
      </c>
      <c r="AH7554" t="s">
        <v>43</v>
      </c>
      <c r="AI7554" t="s">
        <v>43</v>
      </c>
      <c r="AJ7554" t="s">
        <v>43</v>
      </c>
      <c r="AK7554" t="s">
        <v>43</v>
      </c>
      <c r="AL7554" t="s">
        <v>43</v>
      </c>
      <c r="AM7554" t="s">
        <v>43</v>
      </c>
      <c r="AN7554" t="str">
        <f>HYPERLINK("https://www.google.com/maps?q=10.7896843,79.57879639","Open Location")</f>
        <v>Open Location</v>
      </c>
    </row>
    <row r="7555" spans="1:40" x14ac:dyDescent="0.3">
      <c r="A7555" s="1">
        <v>46210.124884259261</v>
      </c>
      <c r="B7555" t="s">
        <v>40</v>
      </c>
      <c r="C7555" t="s">
        <v>41</v>
      </c>
      <c r="D7555" s="1">
        <v>46210.128229166665</v>
      </c>
      <c r="E7555" t="s">
        <v>42</v>
      </c>
      <c r="F7555" t="s">
        <v>43</v>
      </c>
      <c r="G7555" t="s">
        <v>43</v>
      </c>
      <c r="H7555" t="s">
        <v>43</v>
      </c>
      <c r="I7555" t="s">
        <v>4285</v>
      </c>
      <c r="J7555" t="s">
        <v>43</v>
      </c>
      <c r="K7555" t="s">
        <v>43</v>
      </c>
      <c r="L7555" t="s">
        <v>43</v>
      </c>
      <c r="M7555" t="s">
        <v>43</v>
      </c>
      <c r="N7555" t="s">
        <v>45</v>
      </c>
      <c r="O7555" t="s">
        <v>43</v>
      </c>
      <c r="P7555" t="s">
        <v>43</v>
      </c>
      <c r="Q7555" t="s">
        <v>43</v>
      </c>
      <c r="R7555" t="s">
        <v>43</v>
      </c>
      <c r="S7555" t="s">
        <v>43</v>
      </c>
      <c r="T7555" t="s">
        <v>43</v>
      </c>
      <c r="U7555" t="s">
        <v>43</v>
      </c>
      <c r="V7555" t="s">
        <v>43</v>
      </c>
      <c r="W7555" t="s">
        <v>43</v>
      </c>
      <c r="X7555" t="s">
        <v>43</v>
      </c>
      <c r="Y7555" t="s">
        <v>43</v>
      </c>
      <c r="Z7555" t="s">
        <v>43</v>
      </c>
      <c r="AA7555" t="s">
        <v>43</v>
      </c>
      <c r="AB7555" t="s">
        <v>43</v>
      </c>
      <c r="AC7555" t="s">
        <v>43</v>
      </c>
      <c r="AD7555" t="s">
        <v>43</v>
      </c>
      <c r="AE7555" t="s">
        <v>43</v>
      </c>
      <c r="AF7555" t="s">
        <v>43</v>
      </c>
      <c r="AG7555" t="s">
        <v>43</v>
      </c>
      <c r="AH7555" t="s">
        <v>43</v>
      </c>
      <c r="AI7555" t="s">
        <v>43</v>
      </c>
      <c r="AJ7555" t="s">
        <v>43</v>
      </c>
      <c r="AK7555" t="s">
        <v>43</v>
      </c>
      <c r="AL7555" t="s">
        <v>43</v>
      </c>
      <c r="AM7555" t="s">
        <v>43</v>
      </c>
      <c r="AN7555" t="str">
        <f>HYPERLINK("https://www.google.com/maps?q=10.7896843,79.57879639","Open Location")</f>
        <v>Open Location</v>
      </c>
    </row>
    <row r="7556" spans="1:40" x14ac:dyDescent="0.3">
      <c r="A7556" s="1">
        <v>46210.124768518515</v>
      </c>
      <c r="B7556" t="s">
        <v>40</v>
      </c>
      <c r="C7556" t="s">
        <v>41</v>
      </c>
      <c r="D7556" s="1">
        <v>46210.127766203703</v>
      </c>
      <c r="E7556" t="s">
        <v>42</v>
      </c>
      <c r="F7556" t="s">
        <v>43</v>
      </c>
      <c r="G7556" t="s">
        <v>43</v>
      </c>
      <c r="H7556" t="s">
        <v>43</v>
      </c>
      <c r="I7556" t="s">
        <v>4242</v>
      </c>
      <c r="J7556" t="s">
        <v>43</v>
      </c>
      <c r="K7556" t="s">
        <v>43</v>
      </c>
      <c r="L7556" t="s">
        <v>43</v>
      </c>
      <c r="M7556" t="s">
        <v>43</v>
      </c>
      <c r="N7556" t="s">
        <v>45</v>
      </c>
      <c r="O7556" t="s">
        <v>43</v>
      </c>
      <c r="P7556" t="s">
        <v>43</v>
      </c>
      <c r="Q7556" t="s">
        <v>43</v>
      </c>
      <c r="R7556" t="s">
        <v>43</v>
      </c>
      <c r="S7556" t="s">
        <v>43</v>
      </c>
      <c r="T7556" t="s">
        <v>43</v>
      </c>
      <c r="U7556" t="s">
        <v>43</v>
      </c>
      <c r="V7556" t="s">
        <v>43</v>
      </c>
      <c r="W7556" t="s">
        <v>43</v>
      </c>
      <c r="X7556" t="s">
        <v>43</v>
      </c>
      <c r="Y7556" t="s">
        <v>43</v>
      </c>
      <c r="Z7556" t="s">
        <v>43</v>
      </c>
      <c r="AA7556" t="s">
        <v>43</v>
      </c>
      <c r="AB7556" t="s">
        <v>43</v>
      </c>
      <c r="AC7556" t="s">
        <v>43</v>
      </c>
      <c r="AD7556" t="s">
        <v>43</v>
      </c>
      <c r="AE7556" t="s">
        <v>43</v>
      </c>
      <c r="AF7556" t="s">
        <v>43</v>
      </c>
      <c r="AG7556" t="s">
        <v>43</v>
      </c>
      <c r="AH7556" t="s">
        <v>43</v>
      </c>
      <c r="AI7556" t="s">
        <v>43</v>
      </c>
      <c r="AJ7556" t="s">
        <v>43</v>
      </c>
      <c r="AK7556" t="s">
        <v>43</v>
      </c>
      <c r="AL7556" t="s">
        <v>43</v>
      </c>
      <c r="AM7556" t="s">
        <v>43</v>
      </c>
      <c r="AN7556" t="str">
        <f>HYPERLINK("https://www.google.com/maps?q=10.78967857,79.57879639","Open Location")</f>
        <v>Open Location</v>
      </c>
    </row>
    <row r="7557" spans="1:40" x14ac:dyDescent="0.3">
      <c r="A7557" s="1">
        <v>46210.124652777777</v>
      </c>
      <c r="B7557" t="s">
        <v>40</v>
      </c>
      <c r="C7557" t="s">
        <v>41</v>
      </c>
      <c r="D7557" s="1">
        <v>46210.127766203703</v>
      </c>
      <c r="E7557" t="s">
        <v>42</v>
      </c>
      <c r="F7557" t="s">
        <v>43</v>
      </c>
      <c r="G7557" t="s">
        <v>43</v>
      </c>
      <c r="H7557" t="s">
        <v>43</v>
      </c>
      <c r="I7557" t="s">
        <v>4161</v>
      </c>
      <c r="J7557" t="s">
        <v>43</v>
      </c>
      <c r="K7557" t="s">
        <v>43</v>
      </c>
      <c r="L7557" t="s">
        <v>43</v>
      </c>
      <c r="M7557" t="s">
        <v>43</v>
      </c>
      <c r="N7557" t="s">
        <v>45</v>
      </c>
      <c r="O7557" t="s">
        <v>43</v>
      </c>
      <c r="P7557" t="s">
        <v>43</v>
      </c>
      <c r="Q7557" t="s">
        <v>43</v>
      </c>
      <c r="R7557" t="s">
        <v>43</v>
      </c>
      <c r="S7557" t="s">
        <v>43</v>
      </c>
      <c r="T7557" t="s">
        <v>43</v>
      </c>
      <c r="U7557" t="s">
        <v>43</v>
      </c>
      <c r="V7557" t="s">
        <v>43</v>
      </c>
      <c r="W7557" t="s">
        <v>43</v>
      </c>
      <c r="X7557" t="s">
        <v>43</v>
      </c>
      <c r="Y7557" t="s">
        <v>43</v>
      </c>
      <c r="Z7557" t="s">
        <v>43</v>
      </c>
      <c r="AA7557" t="s">
        <v>43</v>
      </c>
      <c r="AB7557" t="s">
        <v>43</v>
      </c>
      <c r="AC7557" t="s">
        <v>43</v>
      </c>
      <c r="AD7557" t="s">
        <v>43</v>
      </c>
      <c r="AE7557" t="s">
        <v>43</v>
      </c>
      <c r="AF7557" t="s">
        <v>43</v>
      </c>
      <c r="AG7557" t="s">
        <v>43</v>
      </c>
      <c r="AH7557" t="s">
        <v>43</v>
      </c>
      <c r="AI7557" t="s">
        <v>43</v>
      </c>
      <c r="AJ7557" t="s">
        <v>43</v>
      </c>
      <c r="AK7557" t="s">
        <v>43</v>
      </c>
      <c r="AL7557" t="s">
        <v>43</v>
      </c>
      <c r="AM7557" t="s">
        <v>43</v>
      </c>
      <c r="AN7557" t="str">
        <f>HYPERLINK("https://www.google.com/maps?q=10.78967762,79.57879639","Open Location")</f>
        <v>Open Location</v>
      </c>
    </row>
    <row r="7558" spans="1:40" x14ac:dyDescent="0.3">
      <c r="A7558" s="1">
        <v>46210.124537037038</v>
      </c>
      <c r="B7558" t="s">
        <v>40</v>
      </c>
      <c r="C7558" t="s">
        <v>41</v>
      </c>
      <c r="D7558" s="1">
        <v>46210.127488425926</v>
      </c>
      <c r="E7558" t="s">
        <v>42</v>
      </c>
      <c r="F7558" t="s">
        <v>43</v>
      </c>
      <c r="G7558" t="s">
        <v>43</v>
      </c>
      <c r="H7558" t="s">
        <v>43</v>
      </c>
      <c r="I7558" t="s">
        <v>4281</v>
      </c>
      <c r="J7558" t="s">
        <v>43</v>
      </c>
      <c r="K7558" t="s">
        <v>43</v>
      </c>
      <c r="L7558" t="s">
        <v>43</v>
      </c>
      <c r="M7558" t="s">
        <v>43</v>
      </c>
      <c r="N7558" t="s">
        <v>45</v>
      </c>
      <c r="O7558" t="s">
        <v>43</v>
      </c>
      <c r="P7558" t="s">
        <v>43</v>
      </c>
      <c r="Q7558" t="s">
        <v>43</v>
      </c>
      <c r="R7558" t="s">
        <v>43</v>
      </c>
      <c r="S7558" t="s">
        <v>43</v>
      </c>
      <c r="T7558" t="s">
        <v>43</v>
      </c>
      <c r="U7558" t="s">
        <v>43</v>
      </c>
      <c r="V7558" t="s">
        <v>43</v>
      </c>
      <c r="W7558" t="s">
        <v>43</v>
      </c>
      <c r="X7558" t="s">
        <v>43</v>
      </c>
      <c r="Y7558" t="s">
        <v>43</v>
      </c>
      <c r="Z7558" t="s">
        <v>43</v>
      </c>
      <c r="AA7558" t="s">
        <v>43</v>
      </c>
      <c r="AB7558" t="s">
        <v>43</v>
      </c>
      <c r="AC7558" t="s">
        <v>43</v>
      </c>
      <c r="AD7558" t="s">
        <v>43</v>
      </c>
      <c r="AE7558" t="s">
        <v>43</v>
      </c>
      <c r="AF7558" t="s">
        <v>43</v>
      </c>
      <c r="AG7558" t="s">
        <v>43</v>
      </c>
      <c r="AH7558" t="s">
        <v>43</v>
      </c>
      <c r="AI7558" t="s">
        <v>43</v>
      </c>
      <c r="AJ7558" t="s">
        <v>43</v>
      </c>
      <c r="AK7558" t="s">
        <v>43</v>
      </c>
      <c r="AL7558" t="s">
        <v>43</v>
      </c>
      <c r="AM7558" t="s">
        <v>43</v>
      </c>
      <c r="AN7558" t="str">
        <f>HYPERLINK("https://www.google.com/maps?q=10.78967857,79.57881165","Open Location")</f>
        <v>Open Location</v>
      </c>
    </row>
    <row r="7559" spans="1:40" x14ac:dyDescent="0.3">
      <c r="A7559" s="1">
        <v>46210.124421296299</v>
      </c>
      <c r="B7559" t="s">
        <v>40</v>
      </c>
      <c r="C7559" t="s">
        <v>41</v>
      </c>
      <c r="D7559" s="1">
        <v>46210.127476851849</v>
      </c>
      <c r="E7559" t="s">
        <v>42</v>
      </c>
      <c r="F7559" t="s">
        <v>43</v>
      </c>
      <c r="G7559" t="s">
        <v>43</v>
      </c>
      <c r="H7559" t="s">
        <v>43</v>
      </c>
      <c r="I7559" t="s">
        <v>43</v>
      </c>
      <c r="J7559" t="s">
        <v>43</v>
      </c>
      <c r="K7559" t="s">
        <v>43</v>
      </c>
      <c r="L7559" t="s">
        <v>43</v>
      </c>
      <c r="M7559" t="s">
        <v>43</v>
      </c>
      <c r="N7559" t="s">
        <v>45</v>
      </c>
      <c r="O7559" t="s">
        <v>43</v>
      </c>
      <c r="P7559" t="s">
        <v>43</v>
      </c>
      <c r="Q7559" t="s">
        <v>43</v>
      </c>
      <c r="R7559" t="s">
        <v>43</v>
      </c>
      <c r="S7559" t="s">
        <v>43</v>
      </c>
      <c r="T7559" t="s">
        <v>43</v>
      </c>
      <c r="U7559" t="s">
        <v>43</v>
      </c>
      <c r="V7559" t="s">
        <v>43</v>
      </c>
      <c r="W7559" t="s">
        <v>43</v>
      </c>
      <c r="X7559" t="s">
        <v>43</v>
      </c>
      <c r="Y7559" t="s">
        <v>43</v>
      </c>
      <c r="Z7559" t="s">
        <v>43</v>
      </c>
      <c r="AA7559" t="s">
        <v>43</v>
      </c>
      <c r="AB7559" t="s">
        <v>43</v>
      </c>
      <c r="AC7559" t="s">
        <v>43</v>
      </c>
      <c r="AD7559" t="s">
        <v>43</v>
      </c>
      <c r="AE7559" t="s">
        <v>43</v>
      </c>
      <c r="AF7559" t="s">
        <v>43</v>
      </c>
      <c r="AG7559" t="s">
        <v>43</v>
      </c>
      <c r="AH7559" t="s">
        <v>43</v>
      </c>
      <c r="AI7559" t="s">
        <v>43</v>
      </c>
      <c r="AJ7559" t="s">
        <v>43</v>
      </c>
      <c r="AK7559" t="s">
        <v>43</v>
      </c>
      <c r="AL7559" t="s">
        <v>43</v>
      </c>
      <c r="AM7559" t="s">
        <v>43</v>
      </c>
      <c r="AN7559" t="s">
        <v>43</v>
      </c>
    </row>
    <row r="7560" spans="1:40" x14ac:dyDescent="0.3">
      <c r="A7560" s="1">
        <v>46210.124305555553</v>
      </c>
      <c r="B7560" t="s">
        <v>40</v>
      </c>
      <c r="C7560" t="s">
        <v>41</v>
      </c>
      <c r="D7560" s="1">
        <v>46210.127106481479</v>
      </c>
      <c r="E7560" t="s">
        <v>42</v>
      </c>
      <c r="F7560" t="s">
        <v>43</v>
      </c>
      <c r="G7560" t="s">
        <v>43</v>
      </c>
      <c r="H7560" t="s">
        <v>43</v>
      </c>
      <c r="I7560" t="s">
        <v>4286</v>
      </c>
      <c r="J7560" t="s">
        <v>43</v>
      </c>
      <c r="K7560" t="s">
        <v>43</v>
      </c>
      <c r="L7560" t="s">
        <v>43</v>
      </c>
      <c r="M7560" t="s">
        <v>43</v>
      </c>
      <c r="N7560" t="s">
        <v>45</v>
      </c>
      <c r="O7560" t="s">
        <v>43</v>
      </c>
      <c r="P7560" t="s">
        <v>43</v>
      </c>
      <c r="Q7560" t="s">
        <v>43</v>
      </c>
      <c r="R7560" t="s">
        <v>43</v>
      </c>
      <c r="S7560" t="s">
        <v>43</v>
      </c>
      <c r="T7560" t="s">
        <v>43</v>
      </c>
      <c r="U7560" t="s">
        <v>43</v>
      </c>
      <c r="V7560" t="s">
        <v>43</v>
      </c>
      <c r="W7560" t="s">
        <v>43</v>
      </c>
      <c r="X7560" t="s">
        <v>43</v>
      </c>
      <c r="Y7560" t="s">
        <v>43</v>
      </c>
      <c r="Z7560" t="s">
        <v>43</v>
      </c>
      <c r="AA7560" t="s">
        <v>43</v>
      </c>
      <c r="AB7560" t="s">
        <v>43</v>
      </c>
      <c r="AC7560" t="s">
        <v>43</v>
      </c>
      <c r="AD7560" t="s">
        <v>43</v>
      </c>
      <c r="AE7560" t="s">
        <v>43</v>
      </c>
      <c r="AF7560" t="s">
        <v>43</v>
      </c>
      <c r="AG7560" t="s">
        <v>43</v>
      </c>
      <c r="AH7560" t="s">
        <v>43</v>
      </c>
      <c r="AI7560" t="s">
        <v>43</v>
      </c>
      <c r="AJ7560" t="s">
        <v>43</v>
      </c>
      <c r="AK7560" t="s">
        <v>43</v>
      </c>
      <c r="AL7560" t="s">
        <v>43</v>
      </c>
      <c r="AM7560" t="s">
        <v>43</v>
      </c>
      <c r="AN7560" t="str">
        <f>HYPERLINK("https://www.google.com/maps?q=10.78967094,79.57881165","Open Location")</f>
        <v>Open Location</v>
      </c>
    </row>
    <row r="7561" spans="1:40" x14ac:dyDescent="0.3">
      <c r="A7561" s="1">
        <v>46210.124189814815</v>
      </c>
      <c r="B7561" t="s">
        <v>40</v>
      </c>
      <c r="C7561" t="s">
        <v>41</v>
      </c>
      <c r="D7561" s="1">
        <v>46210.127476851849</v>
      </c>
      <c r="E7561" t="s">
        <v>42</v>
      </c>
      <c r="F7561" t="s">
        <v>43</v>
      </c>
      <c r="G7561" t="s">
        <v>43</v>
      </c>
      <c r="H7561" t="s">
        <v>43</v>
      </c>
      <c r="I7561" t="s">
        <v>4287</v>
      </c>
      <c r="J7561" t="s">
        <v>43</v>
      </c>
      <c r="K7561" t="s">
        <v>43</v>
      </c>
      <c r="L7561" t="s">
        <v>43</v>
      </c>
      <c r="M7561" t="s">
        <v>43</v>
      </c>
      <c r="N7561" t="s">
        <v>45</v>
      </c>
      <c r="O7561" t="s">
        <v>43</v>
      </c>
      <c r="P7561" t="s">
        <v>43</v>
      </c>
      <c r="Q7561" t="s">
        <v>43</v>
      </c>
      <c r="R7561" t="s">
        <v>43</v>
      </c>
      <c r="S7561" t="s">
        <v>43</v>
      </c>
      <c r="T7561" t="s">
        <v>43</v>
      </c>
      <c r="U7561" t="s">
        <v>43</v>
      </c>
      <c r="V7561" t="s">
        <v>43</v>
      </c>
      <c r="W7561" t="s">
        <v>43</v>
      </c>
      <c r="X7561" t="s">
        <v>43</v>
      </c>
      <c r="Y7561" t="s">
        <v>43</v>
      </c>
      <c r="Z7561" t="s">
        <v>43</v>
      </c>
      <c r="AA7561" t="s">
        <v>43</v>
      </c>
      <c r="AB7561" t="s">
        <v>43</v>
      </c>
      <c r="AC7561" t="s">
        <v>43</v>
      </c>
      <c r="AD7561" t="s">
        <v>43</v>
      </c>
      <c r="AE7561" t="s">
        <v>43</v>
      </c>
      <c r="AF7561" t="s">
        <v>43</v>
      </c>
      <c r="AG7561" t="s">
        <v>43</v>
      </c>
      <c r="AH7561" t="s">
        <v>43</v>
      </c>
      <c r="AI7561" t="s">
        <v>43</v>
      </c>
      <c r="AJ7561" t="s">
        <v>43</v>
      </c>
      <c r="AK7561" t="s">
        <v>43</v>
      </c>
      <c r="AL7561" t="s">
        <v>43</v>
      </c>
      <c r="AM7561" t="s">
        <v>43</v>
      </c>
      <c r="AN7561" t="str">
        <f>HYPERLINK("https://www.google.com/maps?q=10.78967381,79.57881165","Open Location")</f>
        <v>Open Location</v>
      </c>
    </row>
    <row r="7562" spans="1:40" x14ac:dyDescent="0.3">
      <c r="A7562" s="1">
        <v>46210.124074074076</v>
      </c>
      <c r="B7562" t="s">
        <v>40</v>
      </c>
      <c r="C7562" t="s">
        <v>41</v>
      </c>
      <c r="D7562" s="1">
        <v>46210.127106481479</v>
      </c>
      <c r="E7562" t="s">
        <v>42</v>
      </c>
      <c r="F7562" t="s">
        <v>43</v>
      </c>
      <c r="G7562" t="s">
        <v>43</v>
      </c>
      <c r="H7562" t="s">
        <v>43</v>
      </c>
      <c r="I7562" t="s">
        <v>4215</v>
      </c>
      <c r="J7562" t="s">
        <v>43</v>
      </c>
      <c r="K7562" t="s">
        <v>43</v>
      </c>
      <c r="L7562" t="s">
        <v>43</v>
      </c>
      <c r="M7562" t="s">
        <v>43</v>
      </c>
      <c r="N7562" t="s">
        <v>45</v>
      </c>
      <c r="O7562" t="s">
        <v>43</v>
      </c>
      <c r="P7562" t="s">
        <v>43</v>
      </c>
      <c r="Q7562" t="s">
        <v>43</v>
      </c>
      <c r="R7562" t="s">
        <v>43</v>
      </c>
      <c r="S7562" t="s">
        <v>43</v>
      </c>
      <c r="T7562" t="s">
        <v>43</v>
      </c>
      <c r="U7562" t="s">
        <v>43</v>
      </c>
      <c r="V7562" t="s">
        <v>43</v>
      </c>
      <c r="W7562" t="s">
        <v>43</v>
      </c>
      <c r="X7562" t="s">
        <v>43</v>
      </c>
      <c r="Y7562" t="s">
        <v>43</v>
      </c>
      <c r="Z7562" t="s">
        <v>43</v>
      </c>
      <c r="AA7562" t="s">
        <v>43</v>
      </c>
      <c r="AB7562" t="s">
        <v>43</v>
      </c>
      <c r="AC7562" t="s">
        <v>43</v>
      </c>
      <c r="AD7562" t="s">
        <v>43</v>
      </c>
      <c r="AE7562" t="s">
        <v>43</v>
      </c>
      <c r="AF7562" t="s">
        <v>43</v>
      </c>
      <c r="AG7562" t="s">
        <v>43</v>
      </c>
      <c r="AH7562" t="s">
        <v>43</v>
      </c>
      <c r="AI7562" t="s">
        <v>43</v>
      </c>
      <c r="AJ7562" t="s">
        <v>43</v>
      </c>
      <c r="AK7562" t="s">
        <v>43</v>
      </c>
      <c r="AL7562" t="s">
        <v>43</v>
      </c>
      <c r="AM7562" t="s">
        <v>43</v>
      </c>
      <c r="AN7562" t="str">
        <f>HYPERLINK("https://www.google.com/maps?q=10.78966904,79.57879639","Open Location")</f>
        <v>Open Location</v>
      </c>
    </row>
    <row r="7563" spans="1:40" x14ac:dyDescent="0.3">
      <c r="A7563" s="1">
        <v>46210.12395833333</v>
      </c>
      <c r="B7563" t="s">
        <v>40</v>
      </c>
      <c r="C7563" t="s">
        <v>41</v>
      </c>
      <c r="D7563" s="1">
        <v>46210.127118055556</v>
      </c>
      <c r="E7563" t="s">
        <v>42</v>
      </c>
      <c r="F7563" t="s">
        <v>43</v>
      </c>
      <c r="G7563" t="s">
        <v>43</v>
      </c>
      <c r="H7563" t="s">
        <v>43</v>
      </c>
      <c r="I7563" t="s">
        <v>4000</v>
      </c>
      <c r="J7563" t="s">
        <v>43</v>
      </c>
      <c r="K7563" t="s">
        <v>43</v>
      </c>
      <c r="L7563" t="s">
        <v>43</v>
      </c>
      <c r="M7563" t="s">
        <v>43</v>
      </c>
      <c r="N7563" t="s">
        <v>45</v>
      </c>
      <c r="O7563" t="s">
        <v>43</v>
      </c>
      <c r="P7563" t="s">
        <v>43</v>
      </c>
      <c r="Q7563" t="s">
        <v>43</v>
      </c>
      <c r="R7563" t="s">
        <v>43</v>
      </c>
      <c r="S7563" t="s">
        <v>43</v>
      </c>
      <c r="T7563" t="s">
        <v>43</v>
      </c>
      <c r="U7563" t="s">
        <v>43</v>
      </c>
      <c r="V7563" t="s">
        <v>43</v>
      </c>
      <c r="W7563" t="s">
        <v>43</v>
      </c>
      <c r="X7563" t="s">
        <v>43</v>
      </c>
      <c r="Y7563" t="s">
        <v>43</v>
      </c>
      <c r="Z7563" t="s">
        <v>43</v>
      </c>
      <c r="AA7563" t="s">
        <v>43</v>
      </c>
      <c r="AB7563" t="s">
        <v>43</v>
      </c>
      <c r="AC7563" t="s">
        <v>43</v>
      </c>
      <c r="AD7563" t="s">
        <v>43</v>
      </c>
      <c r="AE7563" t="s">
        <v>43</v>
      </c>
      <c r="AF7563" t="s">
        <v>43</v>
      </c>
      <c r="AG7563" t="s">
        <v>43</v>
      </c>
      <c r="AH7563" t="s">
        <v>43</v>
      </c>
      <c r="AI7563" t="s">
        <v>43</v>
      </c>
      <c r="AJ7563" t="s">
        <v>43</v>
      </c>
      <c r="AK7563" t="s">
        <v>43</v>
      </c>
      <c r="AL7563" t="s">
        <v>43</v>
      </c>
      <c r="AM7563" t="s">
        <v>43</v>
      </c>
      <c r="AN7563" t="str">
        <f>HYPERLINK("https://www.google.com/maps?q=10.78966045,79.57879639","Open Location")</f>
        <v>Open Location</v>
      </c>
    </row>
    <row r="7564" spans="1:40" x14ac:dyDescent="0.3">
      <c r="A7564" s="1">
        <v>46210.123842592591</v>
      </c>
      <c r="B7564" t="s">
        <v>40</v>
      </c>
      <c r="C7564" t="s">
        <v>41</v>
      </c>
      <c r="D7564" s="1">
        <v>46210.126701388886</v>
      </c>
      <c r="E7564" t="s">
        <v>42</v>
      </c>
      <c r="F7564" t="s">
        <v>43</v>
      </c>
      <c r="G7564" t="s">
        <v>43</v>
      </c>
      <c r="H7564" t="s">
        <v>43</v>
      </c>
      <c r="I7564" t="s">
        <v>4288</v>
      </c>
      <c r="J7564" t="s">
        <v>43</v>
      </c>
      <c r="K7564" t="s">
        <v>43</v>
      </c>
      <c r="L7564" t="s">
        <v>43</v>
      </c>
      <c r="M7564" t="s">
        <v>43</v>
      </c>
      <c r="N7564" t="s">
        <v>45</v>
      </c>
      <c r="O7564" t="s">
        <v>43</v>
      </c>
      <c r="P7564" t="s">
        <v>43</v>
      </c>
      <c r="Q7564" t="s">
        <v>43</v>
      </c>
      <c r="R7564" t="s">
        <v>43</v>
      </c>
      <c r="S7564" t="s">
        <v>43</v>
      </c>
      <c r="T7564" t="s">
        <v>43</v>
      </c>
      <c r="U7564" t="s">
        <v>43</v>
      </c>
      <c r="V7564" t="s">
        <v>43</v>
      </c>
      <c r="W7564" t="s">
        <v>43</v>
      </c>
      <c r="X7564" t="s">
        <v>43</v>
      </c>
      <c r="Y7564" t="s">
        <v>43</v>
      </c>
      <c r="Z7564" t="s">
        <v>43</v>
      </c>
      <c r="AA7564" t="s">
        <v>43</v>
      </c>
      <c r="AB7564" t="s">
        <v>43</v>
      </c>
      <c r="AC7564" t="s">
        <v>43</v>
      </c>
      <c r="AD7564" t="s">
        <v>43</v>
      </c>
      <c r="AE7564" t="s">
        <v>43</v>
      </c>
      <c r="AF7564" t="s">
        <v>43</v>
      </c>
      <c r="AG7564" t="s">
        <v>43</v>
      </c>
      <c r="AH7564" t="s">
        <v>43</v>
      </c>
      <c r="AI7564" t="s">
        <v>43</v>
      </c>
      <c r="AJ7564" t="s">
        <v>43</v>
      </c>
      <c r="AK7564" t="s">
        <v>43</v>
      </c>
      <c r="AL7564" t="s">
        <v>43</v>
      </c>
      <c r="AM7564" t="s">
        <v>43</v>
      </c>
      <c r="AN7564" t="str">
        <f>HYPERLINK("https://www.google.com/maps?q=10.78965664,79.57878876","Open Location")</f>
        <v>Open Location</v>
      </c>
    </row>
    <row r="7565" spans="1:40" x14ac:dyDescent="0.3">
      <c r="A7565" s="1">
        <v>46210.123726851853</v>
      </c>
      <c r="B7565" t="s">
        <v>40</v>
      </c>
      <c r="C7565" t="s">
        <v>41</v>
      </c>
      <c r="D7565" s="1">
        <v>46210.12672453704</v>
      </c>
      <c r="E7565" t="s">
        <v>42</v>
      </c>
      <c r="F7565" t="s">
        <v>43</v>
      </c>
      <c r="G7565" t="s">
        <v>43</v>
      </c>
      <c r="H7565" t="s">
        <v>43</v>
      </c>
      <c r="I7565" t="s">
        <v>43</v>
      </c>
      <c r="J7565" t="s">
        <v>43</v>
      </c>
      <c r="K7565" t="s">
        <v>43</v>
      </c>
      <c r="L7565" t="s">
        <v>43</v>
      </c>
      <c r="M7565" t="s">
        <v>43</v>
      </c>
      <c r="N7565" t="s">
        <v>45</v>
      </c>
      <c r="O7565" t="s">
        <v>43</v>
      </c>
      <c r="P7565" t="s">
        <v>43</v>
      </c>
      <c r="Q7565" t="s">
        <v>43</v>
      </c>
      <c r="R7565" t="s">
        <v>43</v>
      </c>
      <c r="S7565" t="s">
        <v>43</v>
      </c>
      <c r="T7565" t="s">
        <v>43</v>
      </c>
      <c r="U7565" t="s">
        <v>43</v>
      </c>
      <c r="V7565" t="s">
        <v>43</v>
      </c>
      <c r="W7565" t="s">
        <v>43</v>
      </c>
      <c r="X7565" t="s">
        <v>43</v>
      </c>
      <c r="Y7565" t="s">
        <v>43</v>
      </c>
      <c r="Z7565" t="s">
        <v>43</v>
      </c>
      <c r="AA7565" t="s">
        <v>43</v>
      </c>
      <c r="AB7565" t="s">
        <v>43</v>
      </c>
      <c r="AC7565" t="s">
        <v>43</v>
      </c>
      <c r="AD7565" t="s">
        <v>43</v>
      </c>
      <c r="AE7565" t="s">
        <v>43</v>
      </c>
      <c r="AF7565" t="s">
        <v>43</v>
      </c>
      <c r="AG7565" t="s">
        <v>43</v>
      </c>
      <c r="AH7565" t="s">
        <v>43</v>
      </c>
      <c r="AI7565" t="s">
        <v>43</v>
      </c>
      <c r="AJ7565" t="s">
        <v>43</v>
      </c>
      <c r="AK7565" t="s">
        <v>43</v>
      </c>
      <c r="AL7565" t="s">
        <v>43</v>
      </c>
      <c r="AM7565" t="s">
        <v>43</v>
      </c>
      <c r="AN7565" t="s">
        <v>43</v>
      </c>
    </row>
    <row r="7566" spans="1:40" x14ac:dyDescent="0.3">
      <c r="A7566" s="1">
        <v>46210.123611111114</v>
      </c>
      <c r="B7566" t="s">
        <v>40</v>
      </c>
      <c r="C7566" t="s">
        <v>41</v>
      </c>
      <c r="D7566" s="1">
        <v>46210.126342592594</v>
      </c>
      <c r="E7566" t="s">
        <v>42</v>
      </c>
      <c r="F7566" t="s">
        <v>43</v>
      </c>
      <c r="G7566" t="s">
        <v>43</v>
      </c>
      <c r="H7566" t="s">
        <v>43</v>
      </c>
      <c r="I7566" t="s">
        <v>3996</v>
      </c>
      <c r="J7566" t="s">
        <v>43</v>
      </c>
      <c r="K7566" t="s">
        <v>43</v>
      </c>
      <c r="L7566" t="s">
        <v>43</v>
      </c>
      <c r="M7566" t="s">
        <v>43</v>
      </c>
      <c r="N7566" t="s">
        <v>45</v>
      </c>
      <c r="O7566" t="s">
        <v>43</v>
      </c>
      <c r="P7566" t="s">
        <v>43</v>
      </c>
      <c r="Q7566" t="s">
        <v>43</v>
      </c>
      <c r="R7566" t="s">
        <v>43</v>
      </c>
      <c r="S7566" t="s">
        <v>43</v>
      </c>
      <c r="T7566" t="s">
        <v>43</v>
      </c>
      <c r="U7566" t="s">
        <v>43</v>
      </c>
      <c r="V7566" t="s">
        <v>43</v>
      </c>
      <c r="W7566" t="s">
        <v>43</v>
      </c>
      <c r="X7566" t="s">
        <v>43</v>
      </c>
      <c r="Y7566" t="s">
        <v>43</v>
      </c>
      <c r="Z7566" t="s">
        <v>43</v>
      </c>
      <c r="AA7566" t="s">
        <v>43</v>
      </c>
      <c r="AB7566" t="s">
        <v>43</v>
      </c>
      <c r="AC7566" t="s">
        <v>43</v>
      </c>
      <c r="AD7566" t="s">
        <v>43</v>
      </c>
      <c r="AE7566" t="s">
        <v>43</v>
      </c>
      <c r="AF7566" t="s">
        <v>43</v>
      </c>
      <c r="AG7566" t="s">
        <v>43</v>
      </c>
      <c r="AH7566" t="s">
        <v>43</v>
      </c>
      <c r="AI7566" t="s">
        <v>43</v>
      </c>
      <c r="AJ7566" t="s">
        <v>43</v>
      </c>
      <c r="AK7566" t="s">
        <v>43</v>
      </c>
      <c r="AL7566" t="s">
        <v>43</v>
      </c>
      <c r="AM7566" t="s">
        <v>43</v>
      </c>
      <c r="AN7566" t="str">
        <f>HYPERLINK("https://www.google.com/maps?q=10.78965855,79.57878113","Open Location")</f>
        <v>Open Location</v>
      </c>
    </row>
    <row r="7567" spans="1:40" x14ac:dyDescent="0.3">
      <c r="A7567" s="1">
        <v>46210.123495370368</v>
      </c>
      <c r="B7567" t="s">
        <v>40</v>
      </c>
      <c r="C7567" t="s">
        <v>41</v>
      </c>
      <c r="D7567" s="1">
        <v>46210.12636574074</v>
      </c>
      <c r="E7567" t="s">
        <v>42</v>
      </c>
      <c r="F7567" t="s">
        <v>43</v>
      </c>
      <c r="G7567" t="s">
        <v>43</v>
      </c>
      <c r="H7567" t="s">
        <v>43</v>
      </c>
      <c r="I7567" t="s">
        <v>3983</v>
      </c>
      <c r="J7567" t="s">
        <v>43</v>
      </c>
      <c r="K7567" t="s">
        <v>43</v>
      </c>
      <c r="L7567" t="s">
        <v>43</v>
      </c>
      <c r="M7567" t="s">
        <v>43</v>
      </c>
      <c r="N7567" t="s">
        <v>45</v>
      </c>
      <c r="O7567" t="s">
        <v>43</v>
      </c>
      <c r="P7567" t="s">
        <v>43</v>
      </c>
      <c r="Q7567" t="s">
        <v>43</v>
      </c>
      <c r="R7567" t="s">
        <v>43</v>
      </c>
      <c r="S7567" t="s">
        <v>43</v>
      </c>
      <c r="T7567" t="s">
        <v>43</v>
      </c>
      <c r="U7567" t="s">
        <v>43</v>
      </c>
      <c r="V7567" t="s">
        <v>43</v>
      </c>
      <c r="W7567" t="s">
        <v>43</v>
      </c>
      <c r="X7567" t="s">
        <v>43</v>
      </c>
      <c r="Y7567" t="s">
        <v>43</v>
      </c>
      <c r="Z7567" t="s">
        <v>43</v>
      </c>
      <c r="AA7567" t="s">
        <v>43</v>
      </c>
      <c r="AB7567" t="s">
        <v>43</v>
      </c>
      <c r="AC7567" t="s">
        <v>43</v>
      </c>
      <c r="AD7567" t="s">
        <v>43</v>
      </c>
      <c r="AE7567" t="s">
        <v>43</v>
      </c>
      <c r="AF7567" t="s">
        <v>43</v>
      </c>
      <c r="AG7567" t="s">
        <v>43</v>
      </c>
      <c r="AH7567" t="s">
        <v>43</v>
      </c>
      <c r="AI7567" t="s">
        <v>43</v>
      </c>
      <c r="AJ7567" t="s">
        <v>43</v>
      </c>
      <c r="AK7567" t="s">
        <v>43</v>
      </c>
      <c r="AL7567" t="s">
        <v>43</v>
      </c>
      <c r="AM7567" t="s">
        <v>43</v>
      </c>
      <c r="AN7567" t="str">
        <f>HYPERLINK("https://www.google.com/maps?q=10.78965569,79.5787735","Open Location")</f>
        <v>Open Location</v>
      </c>
    </row>
    <row r="7568" spans="1:40" x14ac:dyDescent="0.3">
      <c r="A7568" s="1">
        <v>46210.123379629629</v>
      </c>
      <c r="B7568" t="s">
        <v>40</v>
      </c>
      <c r="C7568" t="s">
        <v>41</v>
      </c>
      <c r="D7568" s="1">
        <v>46210.126354166663</v>
      </c>
      <c r="E7568" t="s">
        <v>42</v>
      </c>
      <c r="F7568" t="s">
        <v>43</v>
      </c>
      <c r="G7568" t="s">
        <v>43</v>
      </c>
      <c r="H7568" t="s">
        <v>43</v>
      </c>
      <c r="I7568" t="s">
        <v>4289</v>
      </c>
      <c r="J7568" t="s">
        <v>43</v>
      </c>
      <c r="K7568" t="s">
        <v>43</v>
      </c>
      <c r="L7568" t="s">
        <v>43</v>
      </c>
      <c r="M7568" t="s">
        <v>43</v>
      </c>
      <c r="N7568" t="s">
        <v>45</v>
      </c>
      <c r="O7568" t="s">
        <v>43</v>
      </c>
      <c r="P7568" t="s">
        <v>43</v>
      </c>
      <c r="Q7568" t="s">
        <v>43</v>
      </c>
      <c r="R7568" t="s">
        <v>43</v>
      </c>
      <c r="S7568" t="s">
        <v>43</v>
      </c>
      <c r="T7568" t="s">
        <v>43</v>
      </c>
      <c r="U7568" t="s">
        <v>43</v>
      </c>
      <c r="V7568" t="s">
        <v>43</v>
      </c>
      <c r="W7568" t="s">
        <v>43</v>
      </c>
      <c r="X7568" t="s">
        <v>43</v>
      </c>
      <c r="Y7568" t="s">
        <v>43</v>
      </c>
      <c r="Z7568" t="s">
        <v>43</v>
      </c>
      <c r="AA7568" t="s">
        <v>43</v>
      </c>
      <c r="AB7568" t="s">
        <v>43</v>
      </c>
      <c r="AC7568" t="s">
        <v>43</v>
      </c>
      <c r="AD7568" t="s">
        <v>43</v>
      </c>
      <c r="AE7568" t="s">
        <v>43</v>
      </c>
      <c r="AF7568" t="s">
        <v>43</v>
      </c>
      <c r="AG7568" t="s">
        <v>43</v>
      </c>
      <c r="AH7568" t="s">
        <v>43</v>
      </c>
      <c r="AI7568" t="s">
        <v>43</v>
      </c>
      <c r="AJ7568" t="s">
        <v>43</v>
      </c>
      <c r="AK7568" t="s">
        <v>43</v>
      </c>
      <c r="AL7568" t="s">
        <v>43</v>
      </c>
      <c r="AM7568" t="s">
        <v>43</v>
      </c>
      <c r="AN7568" t="str">
        <f>HYPERLINK("https://www.google.com/maps?q=10.78965664,79.5787735","Open Location")</f>
        <v>Open Location</v>
      </c>
    </row>
    <row r="7569" spans="1:40" x14ac:dyDescent="0.3">
      <c r="A7569" s="1">
        <v>46210.123263888891</v>
      </c>
      <c r="B7569" t="s">
        <v>40</v>
      </c>
      <c r="C7569" t="s">
        <v>41</v>
      </c>
      <c r="D7569" s="1">
        <v>46210.12636574074</v>
      </c>
      <c r="E7569" t="s">
        <v>42</v>
      </c>
      <c r="F7569" t="s">
        <v>43</v>
      </c>
      <c r="G7569" t="s">
        <v>43</v>
      </c>
      <c r="H7569" t="s">
        <v>43</v>
      </c>
      <c r="I7569" t="s">
        <v>3984</v>
      </c>
      <c r="J7569" t="s">
        <v>43</v>
      </c>
      <c r="K7569" t="s">
        <v>43</v>
      </c>
      <c r="L7569" t="s">
        <v>43</v>
      </c>
      <c r="M7569" t="s">
        <v>43</v>
      </c>
      <c r="N7569" t="s">
        <v>45</v>
      </c>
      <c r="O7569" t="s">
        <v>43</v>
      </c>
      <c r="P7569" t="s">
        <v>43</v>
      </c>
      <c r="Q7569" t="s">
        <v>43</v>
      </c>
      <c r="R7569" t="s">
        <v>43</v>
      </c>
      <c r="S7569" t="s">
        <v>43</v>
      </c>
      <c r="T7569" t="s">
        <v>43</v>
      </c>
      <c r="U7569" t="s">
        <v>43</v>
      </c>
      <c r="V7569" t="s">
        <v>43</v>
      </c>
      <c r="W7569" t="s">
        <v>43</v>
      </c>
      <c r="X7569" t="s">
        <v>43</v>
      </c>
      <c r="Y7569" t="s">
        <v>43</v>
      </c>
      <c r="Z7569" t="s">
        <v>43</v>
      </c>
      <c r="AA7569" t="s">
        <v>43</v>
      </c>
      <c r="AB7569" t="s">
        <v>43</v>
      </c>
      <c r="AC7569" t="s">
        <v>43</v>
      </c>
      <c r="AD7569" t="s">
        <v>43</v>
      </c>
      <c r="AE7569" t="s">
        <v>43</v>
      </c>
      <c r="AF7569" t="s">
        <v>43</v>
      </c>
      <c r="AG7569" t="s">
        <v>43</v>
      </c>
      <c r="AH7569" t="s">
        <v>43</v>
      </c>
      <c r="AI7569" t="s">
        <v>43</v>
      </c>
      <c r="AJ7569" t="s">
        <v>43</v>
      </c>
      <c r="AK7569" t="s">
        <v>43</v>
      </c>
      <c r="AL7569" t="s">
        <v>43</v>
      </c>
      <c r="AM7569" t="s">
        <v>43</v>
      </c>
      <c r="AN7569" t="str">
        <f>HYPERLINK("https://www.google.com/maps?q=10.78965664,79.57876587","Open Location")</f>
        <v>Open Location</v>
      </c>
    </row>
    <row r="7570" spans="1:40" x14ac:dyDescent="0.3">
      <c r="A7570" s="1">
        <v>46210.123148148145</v>
      </c>
      <c r="B7570" t="s">
        <v>40</v>
      </c>
      <c r="C7570" t="s">
        <v>41</v>
      </c>
      <c r="D7570" s="1">
        <v>46210.126006944447</v>
      </c>
      <c r="E7570" t="s">
        <v>42</v>
      </c>
      <c r="F7570" t="s">
        <v>43</v>
      </c>
      <c r="G7570" t="s">
        <v>43</v>
      </c>
      <c r="H7570" t="s">
        <v>43</v>
      </c>
      <c r="I7570" t="s">
        <v>43</v>
      </c>
      <c r="J7570" t="s">
        <v>43</v>
      </c>
      <c r="K7570" t="s">
        <v>43</v>
      </c>
      <c r="L7570" t="s">
        <v>43</v>
      </c>
      <c r="M7570" t="s">
        <v>43</v>
      </c>
      <c r="N7570" t="s">
        <v>45</v>
      </c>
      <c r="O7570" t="s">
        <v>43</v>
      </c>
      <c r="P7570" t="s">
        <v>43</v>
      </c>
      <c r="Q7570" t="s">
        <v>43</v>
      </c>
      <c r="R7570" t="s">
        <v>43</v>
      </c>
      <c r="S7570" t="s">
        <v>43</v>
      </c>
      <c r="T7570" t="s">
        <v>43</v>
      </c>
      <c r="U7570" t="s">
        <v>43</v>
      </c>
      <c r="V7570" t="s">
        <v>43</v>
      </c>
      <c r="W7570" t="s">
        <v>43</v>
      </c>
      <c r="X7570" t="s">
        <v>43</v>
      </c>
      <c r="Y7570" t="s">
        <v>43</v>
      </c>
      <c r="Z7570" t="s">
        <v>43</v>
      </c>
      <c r="AA7570" t="s">
        <v>43</v>
      </c>
      <c r="AB7570" t="s">
        <v>43</v>
      </c>
      <c r="AC7570" t="s">
        <v>43</v>
      </c>
      <c r="AD7570" t="s">
        <v>43</v>
      </c>
      <c r="AE7570" t="s">
        <v>43</v>
      </c>
      <c r="AF7570" t="s">
        <v>43</v>
      </c>
      <c r="AG7570" t="s">
        <v>43</v>
      </c>
      <c r="AH7570" t="s">
        <v>43</v>
      </c>
      <c r="AI7570" t="s">
        <v>43</v>
      </c>
      <c r="AJ7570" t="s">
        <v>43</v>
      </c>
      <c r="AK7570" t="s">
        <v>43</v>
      </c>
      <c r="AL7570" t="s">
        <v>43</v>
      </c>
      <c r="AM7570" t="s">
        <v>43</v>
      </c>
      <c r="AN7570" t="s">
        <v>43</v>
      </c>
    </row>
    <row r="7571" spans="1:40" x14ac:dyDescent="0.3">
      <c r="A7571" s="1">
        <v>46210.123032407406</v>
      </c>
      <c r="B7571" t="s">
        <v>40</v>
      </c>
      <c r="C7571" t="s">
        <v>41</v>
      </c>
      <c r="D7571" s="1">
        <v>46210.126006944447</v>
      </c>
      <c r="E7571" t="s">
        <v>42</v>
      </c>
      <c r="F7571" t="s">
        <v>43</v>
      </c>
      <c r="G7571" t="s">
        <v>43</v>
      </c>
      <c r="H7571" t="s">
        <v>43</v>
      </c>
      <c r="I7571" t="s">
        <v>4043</v>
      </c>
      <c r="J7571" t="s">
        <v>43</v>
      </c>
      <c r="K7571" t="s">
        <v>43</v>
      </c>
      <c r="L7571" t="s">
        <v>43</v>
      </c>
      <c r="M7571" t="s">
        <v>43</v>
      </c>
      <c r="N7571" t="s">
        <v>45</v>
      </c>
      <c r="O7571" t="s">
        <v>43</v>
      </c>
      <c r="P7571" t="s">
        <v>43</v>
      </c>
      <c r="Q7571" t="s">
        <v>43</v>
      </c>
      <c r="R7571" t="s">
        <v>43</v>
      </c>
      <c r="S7571" t="s">
        <v>43</v>
      </c>
      <c r="T7571" t="s">
        <v>43</v>
      </c>
      <c r="U7571" t="s">
        <v>43</v>
      </c>
      <c r="V7571" t="s">
        <v>43</v>
      </c>
      <c r="W7571" t="s">
        <v>43</v>
      </c>
      <c r="X7571" t="s">
        <v>43</v>
      </c>
      <c r="Y7571" t="s">
        <v>43</v>
      </c>
      <c r="Z7571" t="s">
        <v>43</v>
      </c>
      <c r="AA7571" t="s">
        <v>43</v>
      </c>
      <c r="AB7571" t="s">
        <v>43</v>
      </c>
      <c r="AC7571" t="s">
        <v>43</v>
      </c>
      <c r="AD7571" t="s">
        <v>43</v>
      </c>
      <c r="AE7571" t="s">
        <v>43</v>
      </c>
      <c r="AF7571" t="s">
        <v>43</v>
      </c>
      <c r="AG7571" t="s">
        <v>43</v>
      </c>
      <c r="AH7571" t="s">
        <v>43</v>
      </c>
      <c r="AI7571" t="s">
        <v>43</v>
      </c>
      <c r="AJ7571" t="s">
        <v>43</v>
      </c>
      <c r="AK7571" t="s">
        <v>43</v>
      </c>
      <c r="AL7571" t="s">
        <v>43</v>
      </c>
      <c r="AM7571" t="s">
        <v>43</v>
      </c>
      <c r="AN7571" t="str">
        <f>HYPERLINK("https://www.google.com/maps?q=10.78965855,79.57876587","Open Location")</f>
        <v>Open Location</v>
      </c>
    </row>
    <row r="7572" spans="1:40" x14ac:dyDescent="0.3">
      <c r="A7572" s="1">
        <v>46210.122916666667</v>
      </c>
      <c r="B7572" t="s">
        <v>40</v>
      </c>
      <c r="C7572" t="s">
        <v>41</v>
      </c>
      <c r="D7572" s="1">
        <v>46210.125868055555</v>
      </c>
      <c r="E7572" t="s">
        <v>42</v>
      </c>
      <c r="F7572" t="s">
        <v>43</v>
      </c>
      <c r="G7572" t="s">
        <v>43</v>
      </c>
      <c r="H7572" t="s">
        <v>43</v>
      </c>
      <c r="I7572" t="s">
        <v>4290</v>
      </c>
      <c r="J7572" t="s">
        <v>43</v>
      </c>
      <c r="K7572" t="s">
        <v>43</v>
      </c>
      <c r="L7572" t="s">
        <v>43</v>
      </c>
      <c r="M7572" t="s">
        <v>43</v>
      </c>
      <c r="N7572" t="s">
        <v>45</v>
      </c>
      <c r="O7572" t="s">
        <v>43</v>
      </c>
      <c r="P7572" t="s">
        <v>43</v>
      </c>
      <c r="Q7572" t="s">
        <v>43</v>
      </c>
      <c r="R7572" t="s">
        <v>43</v>
      </c>
      <c r="S7572" t="s">
        <v>43</v>
      </c>
      <c r="T7572" t="s">
        <v>43</v>
      </c>
      <c r="U7572" t="s">
        <v>43</v>
      </c>
      <c r="V7572" t="s">
        <v>43</v>
      </c>
      <c r="W7572" t="s">
        <v>43</v>
      </c>
      <c r="X7572" t="s">
        <v>43</v>
      </c>
      <c r="Y7572" t="s">
        <v>43</v>
      </c>
      <c r="Z7572" t="s">
        <v>43</v>
      </c>
      <c r="AA7572" t="s">
        <v>43</v>
      </c>
      <c r="AB7572" t="s">
        <v>43</v>
      </c>
      <c r="AC7572" t="s">
        <v>43</v>
      </c>
      <c r="AD7572" t="s">
        <v>43</v>
      </c>
      <c r="AE7572" t="s">
        <v>43</v>
      </c>
      <c r="AF7572" t="s">
        <v>43</v>
      </c>
      <c r="AG7572" t="s">
        <v>43</v>
      </c>
      <c r="AH7572" t="s">
        <v>43</v>
      </c>
      <c r="AI7572" t="s">
        <v>43</v>
      </c>
      <c r="AJ7572" t="s">
        <v>43</v>
      </c>
      <c r="AK7572" t="s">
        <v>43</v>
      </c>
      <c r="AL7572" t="s">
        <v>43</v>
      </c>
      <c r="AM7572" t="s">
        <v>43</v>
      </c>
      <c r="AN7572" t="str">
        <f>HYPERLINK("https://www.google.com/maps?q=10.78966141,79.5787735","Open Location")</f>
        <v>Open Location</v>
      </c>
    </row>
    <row r="7573" spans="1:40" x14ac:dyDescent="0.3">
      <c r="A7573" s="1">
        <v>46210.122800925928</v>
      </c>
      <c r="B7573" t="s">
        <v>40</v>
      </c>
      <c r="C7573" t="s">
        <v>41</v>
      </c>
      <c r="D7573" s="1">
        <v>46210.125868055555</v>
      </c>
      <c r="E7573" t="s">
        <v>42</v>
      </c>
      <c r="F7573" t="s">
        <v>43</v>
      </c>
      <c r="G7573" t="s">
        <v>43</v>
      </c>
      <c r="H7573" t="s">
        <v>43</v>
      </c>
      <c r="I7573" t="s">
        <v>4024</v>
      </c>
      <c r="J7573" t="s">
        <v>43</v>
      </c>
      <c r="K7573" t="s">
        <v>43</v>
      </c>
      <c r="L7573" t="s">
        <v>43</v>
      </c>
      <c r="M7573" t="s">
        <v>43</v>
      </c>
      <c r="N7573" t="s">
        <v>45</v>
      </c>
      <c r="O7573" t="s">
        <v>43</v>
      </c>
      <c r="P7573" t="s">
        <v>43</v>
      </c>
      <c r="Q7573" t="s">
        <v>43</v>
      </c>
      <c r="R7573" t="s">
        <v>43</v>
      </c>
      <c r="S7573" t="s">
        <v>43</v>
      </c>
      <c r="T7573" t="s">
        <v>43</v>
      </c>
      <c r="U7573" t="s">
        <v>43</v>
      </c>
      <c r="V7573" t="s">
        <v>43</v>
      </c>
      <c r="W7573" t="s">
        <v>43</v>
      </c>
      <c r="X7573" t="s">
        <v>43</v>
      </c>
      <c r="Y7573" t="s">
        <v>43</v>
      </c>
      <c r="Z7573" t="s">
        <v>43</v>
      </c>
      <c r="AA7573" t="s">
        <v>43</v>
      </c>
      <c r="AB7573" t="s">
        <v>43</v>
      </c>
      <c r="AC7573" t="s">
        <v>43</v>
      </c>
      <c r="AD7573" t="s">
        <v>43</v>
      </c>
      <c r="AE7573" t="s">
        <v>43</v>
      </c>
      <c r="AF7573" t="s">
        <v>43</v>
      </c>
      <c r="AG7573" t="s">
        <v>43</v>
      </c>
      <c r="AH7573" t="s">
        <v>43</v>
      </c>
      <c r="AI7573" t="s">
        <v>43</v>
      </c>
      <c r="AJ7573" t="s">
        <v>43</v>
      </c>
      <c r="AK7573" t="s">
        <v>43</v>
      </c>
      <c r="AL7573" t="s">
        <v>43</v>
      </c>
      <c r="AM7573" t="s">
        <v>43</v>
      </c>
      <c r="AN7573" t="str">
        <f>HYPERLINK("https://www.google.com/maps?q=10.78966904,79.57878113","Open Location")</f>
        <v>Open Location</v>
      </c>
    </row>
    <row r="7574" spans="1:40" x14ac:dyDescent="0.3">
      <c r="A7574" s="1">
        <v>46210.122685185182</v>
      </c>
      <c r="B7574" t="s">
        <v>40</v>
      </c>
      <c r="C7574" t="s">
        <v>41</v>
      </c>
      <c r="D7574" s="1">
        <v>46210.125520833331</v>
      </c>
      <c r="E7574" t="s">
        <v>42</v>
      </c>
      <c r="F7574" t="s">
        <v>43</v>
      </c>
      <c r="G7574" t="s">
        <v>43</v>
      </c>
      <c r="H7574" t="s">
        <v>43</v>
      </c>
      <c r="I7574" t="s">
        <v>4015</v>
      </c>
      <c r="J7574" t="s">
        <v>43</v>
      </c>
      <c r="K7574" t="s">
        <v>43</v>
      </c>
      <c r="L7574" t="s">
        <v>43</v>
      </c>
      <c r="M7574" t="s">
        <v>43</v>
      </c>
      <c r="N7574" t="s">
        <v>45</v>
      </c>
      <c r="O7574" t="s">
        <v>43</v>
      </c>
      <c r="P7574" t="s">
        <v>43</v>
      </c>
      <c r="Q7574" t="s">
        <v>43</v>
      </c>
      <c r="R7574" t="s">
        <v>43</v>
      </c>
      <c r="S7574" t="s">
        <v>43</v>
      </c>
      <c r="T7574" t="s">
        <v>43</v>
      </c>
      <c r="U7574" t="s">
        <v>43</v>
      </c>
      <c r="V7574" t="s">
        <v>43</v>
      </c>
      <c r="W7574" t="s">
        <v>43</v>
      </c>
      <c r="X7574" t="s">
        <v>43</v>
      </c>
      <c r="Y7574" t="s">
        <v>43</v>
      </c>
      <c r="Z7574" t="s">
        <v>43</v>
      </c>
      <c r="AA7574" t="s">
        <v>43</v>
      </c>
      <c r="AB7574" t="s">
        <v>43</v>
      </c>
      <c r="AC7574" t="s">
        <v>43</v>
      </c>
      <c r="AD7574" t="s">
        <v>43</v>
      </c>
      <c r="AE7574" t="s">
        <v>43</v>
      </c>
      <c r="AF7574" t="s">
        <v>43</v>
      </c>
      <c r="AG7574" t="s">
        <v>43</v>
      </c>
      <c r="AH7574" t="s">
        <v>43</v>
      </c>
      <c r="AI7574" t="s">
        <v>43</v>
      </c>
      <c r="AJ7574" t="s">
        <v>43</v>
      </c>
      <c r="AK7574" t="s">
        <v>43</v>
      </c>
      <c r="AL7574" t="s">
        <v>43</v>
      </c>
      <c r="AM7574" t="s">
        <v>43</v>
      </c>
      <c r="AN7574" t="str">
        <f>HYPERLINK("https://www.google.com/maps?q=10.78967094,79.57878113","Open Location")</f>
        <v>Open Location</v>
      </c>
    </row>
    <row r="7575" spans="1:40" x14ac:dyDescent="0.3">
      <c r="A7575" s="1">
        <v>46210.122569444444</v>
      </c>
      <c r="B7575" t="s">
        <v>40</v>
      </c>
      <c r="C7575" t="s">
        <v>41</v>
      </c>
      <c r="D7575" s="1">
        <v>46210.125613425924</v>
      </c>
      <c r="E7575" t="s">
        <v>42</v>
      </c>
      <c r="F7575" t="s">
        <v>43</v>
      </c>
      <c r="G7575" t="s">
        <v>43</v>
      </c>
      <c r="H7575" t="s">
        <v>43</v>
      </c>
      <c r="I7575" t="s">
        <v>4013</v>
      </c>
      <c r="J7575" t="s">
        <v>43</v>
      </c>
      <c r="K7575" t="s">
        <v>43</v>
      </c>
      <c r="L7575" t="s">
        <v>43</v>
      </c>
      <c r="M7575" t="s">
        <v>43</v>
      </c>
      <c r="N7575" t="s">
        <v>45</v>
      </c>
      <c r="O7575" t="s">
        <v>43</v>
      </c>
      <c r="P7575" t="s">
        <v>43</v>
      </c>
      <c r="Q7575" t="s">
        <v>43</v>
      </c>
      <c r="R7575" t="s">
        <v>43</v>
      </c>
      <c r="S7575" t="s">
        <v>43</v>
      </c>
      <c r="T7575" t="s">
        <v>43</v>
      </c>
      <c r="U7575" t="s">
        <v>43</v>
      </c>
      <c r="V7575" t="s">
        <v>43</v>
      </c>
      <c r="W7575" t="s">
        <v>43</v>
      </c>
      <c r="X7575" t="s">
        <v>43</v>
      </c>
      <c r="Y7575" t="s">
        <v>43</v>
      </c>
      <c r="Z7575" t="s">
        <v>43</v>
      </c>
      <c r="AA7575" t="s">
        <v>43</v>
      </c>
      <c r="AB7575" t="s">
        <v>43</v>
      </c>
      <c r="AC7575" t="s">
        <v>43</v>
      </c>
      <c r="AD7575" t="s">
        <v>43</v>
      </c>
      <c r="AE7575" t="s">
        <v>43</v>
      </c>
      <c r="AF7575" t="s">
        <v>43</v>
      </c>
      <c r="AG7575" t="s">
        <v>43</v>
      </c>
      <c r="AH7575" t="s">
        <v>43</v>
      </c>
      <c r="AI7575" t="s">
        <v>43</v>
      </c>
      <c r="AJ7575" t="s">
        <v>43</v>
      </c>
      <c r="AK7575" t="s">
        <v>43</v>
      </c>
      <c r="AL7575" t="s">
        <v>43</v>
      </c>
      <c r="AM7575" t="s">
        <v>43</v>
      </c>
      <c r="AN7575" t="str">
        <f>HYPERLINK("https://www.google.com/maps?q=10.78967285,79.57878113","Open Location")</f>
        <v>Open Location</v>
      </c>
    </row>
    <row r="7576" spans="1:40" x14ac:dyDescent="0.3">
      <c r="A7576" s="1">
        <v>46210.122453703705</v>
      </c>
      <c r="B7576" t="s">
        <v>40</v>
      </c>
      <c r="C7576" t="s">
        <v>41</v>
      </c>
      <c r="D7576" s="1">
        <v>46210.125254629631</v>
      </c>
      <c r="E7576" t="s">
        <v>42</v>
      </c>
      <c r="F7576" t="s">
        <v>43</v>
      </c>
      <c r="G7576" t="s">
        <v>43</v>
      </c>
      <c r="H7576" t="s">
        <v>43</v>
      </c>
      <c r="I7576" t="s">
        <v>43</v>
      </c>
      <c r="J7576" t="s">
        <v>43</v>
      </c>
      <c r="K7576" t="s">
        <v>43</v>
      </c>
      <c r="L7576" t="s">
        <v>43</v>
      </c>
      <c r="M7576" t="s">
        <v>43</v>
      </c>
      <c r="N7576" t="s">
        <v>45</v>
      </c>
      <c r="O7576" t="s">
        <v>43</v>
      </c>
      <c r="P7576" t="s">
        <v>43</v>
      </c>
      <c r="Q7576" t="s">
        <v>43</v>
      </c>
      <c r="R7576" t="s">
        <v>43</v>
      </c>
      <c r="S7576" t="s">
        <v>43</v>
      </c>
      <c r="T7576" t="s">
        <v>43</v>
      </c>
      <c r="U7576" t="s">
        <v>43</v>
      </c>
      <c r="V7576" t="s">
        <v>43</v>
      </c>
      <c r="W7576" t="s">
        <v>43</v>
      </c>
      <c r="X7576" t="s">
        <v>43</v>
      </c>
      <c r="Y7576" t="s">
        <v>43</v>
      </c>
      <c r="Z7576" t="s">
        <v>43</v>
      </c>
      <c r="AA7576" t="s">
        <v>43</v>
      </c>
      <c r="AB7576" t="s">
        <v>43</v>
      </c>
      <c r="AC7576" t="s">
        <v>43</v>
      </c>
      <c r="AD7576" t="s">
        <v>43</v>
      </c>
      <c r="AE7576" t="s">
        <v>43</v>
      </c>
      <c r="AF7576" t="s">
        <v>43</v>
      </c>
      <c r="AG7576" t="s">
        <v>43</v>
      </c>
      <c r="AH7576" t="s">
        <v>43</v>
      </c>
      <c r="AI7576" t="s">
        <v>43</v>
      </c>
      <c r="AJ7576" t="s">
        <v>43</v>
      </c>
      <c r="AK7576" t="s">
        <v>43</v>
      </c>
      <c r="AL7576" t="s">
        <v>43</v>
      </c>
      <c r="AM7576" t="s">
        <v>43</v>
      </c>
      <c r="AN7576" t="s">
        <v>43</v>
      </c>
    </row>
    <row r="7577" spans="1:40" x14ac:dyDescent="0.3">
      <c r="A7577" s="1">
        <v>46210.122337962966</v>
      </c>
      <c r="B7577" t="s">
        <v>40</v>
      </c>
      <c r="C7577" t="s">
        <v>41</v>
      </c>
      <c r="D7577" s="1">
        <v>46210.125231481485</v>
      </c>
      <c r="E7577" t="s">
        <v>42</v>
      </c>
      <c r="F7577" t="s">
        <v>43</v>
      </c>
      <c r="G7577" t="s">
        <v>43</v>
      </c>
      <c r="H7577" t="s">
        <v>43</v>
      </c>
      <c r="I7577" t="s">
        <v>4019</v>
      </c>
      <c r="J7577" t="s">
        <v>43</v>
      </c>
      <c r="K7577" t="s">
        <v>43</v>
      </c>
      <c r="L7577" t="s">
        <v>43</v>
      </c>
      <c r="M7577" t="s">
        <v>43</v>
      </c>
      <c r="N7577" t="s">
        <v>45</v>
      </c>
      <c r="O7577" t="s">
        <v>43</v>
      </c>
      <c r="P7577" t="s">
        <v>43</v>
      </c>
      <c r="Q7577" t="s">
        <v>43</v>
      </c>
      <c r="R7577" t="s">
        <v>43</v>
      </c>
      <c r="S7577" t="s">
        <v>43</v>
      </c>
      <c r="T7577" t="s">
        <v>43</v>
      </c>
      <c r="U7577" t="s">
        <v>43</v>
      </c>
      <c r="V7577" t="s">
        <v>43</v>
      </c>
      <c r="W7577" t="s">
        <v>43</v>
      </c>
      <c r="X7577" t="s">
        <v>43</v>
      </c>
      <c r="Y7577" t="s">
        <v>43</v>
      </c>
      <c r="Z7577" t="s">
        <v>43</v>
      </c>
      <c r="AA7577" t="s">
        <v>43</v>
      </c>
      <c r="AB7577" t="s">
        <v>43</v>
      </c>
      <c r="AC7577" t="s">
        <v>43</v>
      </c>
      <c r="AD7577" t="s">
        <v>43</v>
      </c>
      <c r="AE7577" t="s">
        <v>43</v>
      </c>
      <c r="AF7577" t="s">
        <v>43</v>
      </c>
      <c r="AG7577" t="s">
        <v>43</v>
      </c>
      <c r="AH7577" t="s">
        <v>43</v>
      </c>
      <c r="AI7577" t="s">
        <v>43</v>
      </c>
      <c r="AJ7577" t="s">
        <v>43</v>
      </c>
      <c r="AK7577" t="s">
        <v>43</v>
      </c>
      <c r="AL7577" t="s">
        <v>43</v>
      </c>
      <c r="AM7577" t="s">
        <v>43</v>
      </c>
      <c r="AN7577" t="str">
        <f>HYPERLINK("https://www.google.com/maps?q=10.78966999,79.57878113","Open Location")</f>
        <v>Open Location</v>
      </c>
    </row>
    <row r="7578" spans="1:40" x14ac:dyDescent="0.3">
      <c r="A7578" s="1">
        <v>46210.12222222222</v>
      </c>
      <c r="B7578" t="s">
        <v>40</v>
      </c>
      <c r="C7578" t="s">
        <v>41</v>
      </c>
      <c r="D7578" s="1">
        <v>46210.125185185185</v>
      </c>
      <c r="E7578" t="s">
        <v>42</v>
      </c>
      <c r="F7578" t="s">
        <v>43</v>
      </c>
      <c r="G7578" t="s">
        <v>43</v>
      </c>
      <c r="H7578" t="s">
        <v>43</v>
      </c>
      <c r="I7578" t="s">
        <v>4282</v>
      </c>
      <c r="J7578" t="s">
        <v>43</v>
      </c>
      <c r="K7578" t="s">
        <v>43</v>
      </c>
      <c r="L7578" t="s">
        <v>43</v>
      </c>
      <c r="M7578" t="s">
        <v>43</v>
      </c>
      <c r="N7578" t="s">
        <v>45</v>
      </c>
      <c r="O7578" t="s">
        <v>43</v>
      </c>
      <c r="P7578" t="s">
        <v>43</v>
      </c>
      <c r="Q7578" t="s">
        <v>43</v>
      </c>
      <c r="R7578" t="s">
        <v>43</v>
      </c>
      <c r="S7578" t="s">
        <v>43</v>
      </c>
      <c r="T7578" t="s">
        <v>43</v>
      </c>
      <c r="U7578" t="s">
        <v>43</v>
      </c>
      <c r="V7578" t="s">
        <v>43</v>
      </c>
      <c r="W7578" t="s">
        <v>43</v>
      </c>
      <c r="X7578" t="s">
        <v>43</v>
      </c>
      <c r="Y7578" t="s">
        <v>43</v>
      </c>
      <c r="Z7578" t="s">
        <v>43</v>
      </c>
      <c r="AA7578" t="s">
        <v>43</v>
      </c>
      <c r="AB7578" t="s">
        <v>43</v>
      </c>
      <c r="AC7578" t="s">
        <v>43</v>
      </c>
      <c r="AD7578" t="s">
        <v>43</v>
      </c>
      <c r="AE7578" t="s">
        <v>43</v>
      </c>
      <c r="AF7578" t="s">
        <v>43</v>
      </c>
      <c r="AG7578" t="s">
        <v>43</v>
      </c>
      <c r="AH7578" t="s">
        <v>43</v>
      </c>
      <c r="AI7578" t="s">
        <v>43</v>
      </c>
      <c r="AJ7578" t="s">
        <v>43</v>
      </c>
      <c r="AK7578" t="s">
        <v>43</v>
      </c>
      <c r="AL7578" t="s">
        <v>43</v>
      </c>
      <c r="AM7578" t="s">
        <v>43</v>
      </c>
      <c r="AN7578" t="str">
        <f>HYPERLINK("https://www.google.com/maps?q=10.78966522,79.5787735","Open Location")</f>
        <v>Open Location</v>
      </c>
    </row>
    <row r="7579" spans="1:40" x14ac:dyDescent="0.3">
      <c r="A7579" s="1">
        <v>46210.122106481482</v>
      </c>
      <c r="B7579" t="s">
        <v>40</v>
      </c>
      <c r="C7579" t="s">
        <v>41</v>
      </c>
      <c r="D7579" s="1">
        <v>46210.125185185185</v>
      </c>
      <c r="E7579" t="s">
        <v>42</v>
      </c>
      <c r="F7579" t="s">
        <v>43</v>
      </c>
      <c r="G7579" t="s">
        <v>43</v>
      </c>
      <c r="H7579" t="s">
        <v>43</v>
      </c>
      <c r="I7579" t="s">
        <v>3995</v>
      </c>
      <c r="J7579" t="s">
        <v>43</v>
      </c>
      <c r="K7579" t="s">
        <v>43</v>
      </c>
      <c r="L7579" t="s">
        <v>43</v>
      </c>
      <c r="M7579" t="s">
        <v>43</v>
      </c>
      <c r="N7579" t="s">
        <v>45</v>
      </c>
      <c r="O7579" t="s">
        <v>43</v>
      </c>
      <c r="P7579" t="s">
        <v>43</v>
      </c>
      <c r="Q7579" t="s">
        <v>43</v>
      </c>
      <c r="R7579" t="s">
        <v>43</v>
      </c>
      <c r="S7579" t="s">
        <v>43</v>
      </c>
      <c r="T7579" t="s">
        <v>43</v>
      </c>
      <c r="U7579" t="s">
        <v>43</v>
      </c>
      <c r="V7579" t="s">
        <v>43</v>
      </c>
      <c r="W7579" t="s">
        <v>43</v>
      </c>
      <c r="X7579" t="s">
        <v>43</v>
      </c>
      <c r="Y7579" t="s">
        <v>43</v>
      </c>
      <c r="Z7579" t="s">
        <v>43</v>
      </c>
      <c r="AA7579" t="s">
        <v>43</v>
      </c>
      <c r="AB7579" t="s">
        <v>43</v>
      </c>
      <c r="AC7579" t="s">
        <v>43</v>
      </c>
      <c r="AD7579" t="s">
        <v>43</v>
      </c>
      <c r="AE7579" t="s">
        <v>43</v>
      </c>
      <c r="AF7579" t="s">
        <v>43</v>
      </c>
      <c r="AG7579" t="s">
        <v>43</v>
      </c>
      <c r="AH7579" t="s">
        <v>43</v>
      </c>
      <c r="AI7579" t="s">
        <v>43</v>
      </c>
      <c r="AJ7579" t="s">
        <v>43</v>
      </c>
      <c r="AK7579" t="s">
        <v>43</v>
      </c>
      <c r="AL7579" t="s">
        <v>43</v>
      </c>
      <c r="AM7579" t="s">
        <v>43</v>
      </c>
      <c r="AN7579" t="str">
        <f>HYPERLINK("https://www.google.com/maps?q=10.78966427,79.5787735","Open Location")</f>
        <v>Open Location</v>
      </c>
    </row>
    <row r="7580" spans="1:40" x14ac:dyDescent="0.3">
      <c r="A7580" s="1">
        <v>46210.121990740743</v>
      </c>
      <c r="B7580" t="s">
        <v>40</v>
      </c>
      <c r="C7580" t="s">
        <v>41</v>
      </c>
      <c r="D7580" s="1">
        <v>46210.124884259261</v>
      </c>
      <c r="E7580" t="s">
        <v>42</v>
      </c>
      <c r="F7580" t="s">
        <v>43</v>
      </c>
      <c r="G7580" t="s">
        <v>43</v>
      </c>
      <c r="H7580" t="s">
        <v>43</v>
      </c>
      <c r="I7580" t="s">
        <v>4282</v>
      </c>
      <c r="J7580" t="s">
        <v>43</v>
      </c>
      <c r="K7580" t="s">
        <v>43</v>
      </c>
      <c r="L7580" t="s">
        <v>43</v>
      </c>
      <c r="M7580" t="s">
        <v>43</v>
      </c>
      <c r="N7580" t="s">
        <v>45</v>
      </c>
      <c r="O7580" t="s">
        <v>43</v>
      </c>
      <c r="P7580" t="s">
        <v>43</v>
      </c>
      <c r="Q7580" t="s">
        <v>43</v>
      </c>
      <c r="R7580" t="s">
        <v>43</v>
      </c>
      <c r="S7580" t="s">
        <v>43</v>
      </c>
      <c r="T7580" t="s">
        <v>43</v>
      </c>
      <c r="U7580" t="s">
        <v>43</v>
      </c>
      <c r="V7580" t="s">
        <v>43</v>
      </c>
      <c r="W7580" t="s">
        <v>43</v>
      </c>
      <c r="X7580" t="s">
        <v>43</v>
      </c>
      <c r="Y7580" t="s">
        <v>43</v>
      </c>
      <c r="Z7580" t="s">
        <v>43</v>
      </c>
      <c r="AA7580" t="s">
        <v>43</v>
      </c>
      <c r="AB7580" t="s">
        <v>43</v>
      </c>
      <c r="AC7580" t="s">
        <v>43</v>
      </c>
      <c r="AD7580" t="s">
        <v>43</v>
      </c>
      <c r="AE7580" t="s">
        <v>43</v>
      </c>
      <c r="AF7580" t="s">
        <v>43</v>
      </c>
      <c r="AG7580" t="s">
        <v>43</v>
      </c>
      <c r="AH7580" t="s">
        <v>43</v>
      </c>
      <c r="AI7580" t="s">
        <v>43</v>
      </c>
      <c r="AJ7580" t="s">
        <v>43</v>
      </c>
      <c r="AK7580" t="s">
        <v>43</v>
      </c>
      <c r="AL7580" t="s">
        <v>43</v>
      </c>
      <c r="AM7580" t="s">
        <v>43</v>
      </c>
      <c r="AN7580" t="str">
        <f>HYPERLINK("https://www.google.com/maps?q=10.78966522,79.5787735","Open Location")</f>
        <v>Open Location</v>
      </c>
    </row>
    <row r="7581" spans="1:40" x14ac:dyDescent="0.3">
      <c r="A7581" s="1">
        <v>46210.121874999997</v>
      </c>
      <c r="B7581" t="s">
        <v>40</v>
      </c>
      <c r="C7581" t="s">
        <v>41</v>
      </c>
      <c r="D7581" s="1">
        <v>46210.124872685185</v>
      </c>
      <c r="E7581" t="s">
        <v>42</v>
      </c>
      <c r="F7581" t="s">
        <v>43</v>
      </c>
      <c r="G7581" t="s">
        <v>43</v>
      </c>
      <c r="H7581" t="s">
        <v>43</v>
      </c>
      <c r="I7581" t="s">
        <v>4290</v>
      </c>
      <c r="J7581" t="s">
        <v>43</v>
      </c>
      <c r="K7581" t="s">
        <v>43</v>
      </c>
      <c r="L7581" t="s">
        <v>43</v>
      </c>
      <c r="M7581" t="s">
        <v>43</v>
      </c>
      <c r="N7581" t="s">
        <v>45</v>
      </c>
      <c r="O7581" t="s">
        <v>43</v>
      </c>
      <c r="P7581" t="s">
        <v>43</v>
      </c>
      <c r="Q7581" t="s">
        <v>43</v>
      </c>
      <c r="R7581" t="s">
        <v>43</v>
      </c>
      <c r="S7581" t="s">
        <v>43</v>
      </c>
      <c r="T7581" t="s">
        <v>43</v>
      </c>
      <c r="U7581" t="s">
        <v>43</v>
      </c>
      <c r="V7581" t="s">
        <v>43</v>
      </c>
      <c r="W7581" t="s">
        <v>43</v>
      </c>
      <c r="X7581" t="s">
        <v>43</v>
      </c>
      <c r="Y7581" t="s">
        <v>43</v>
      </c>
      <c r="Z7581" t="s">
        <v>43</v>
      </c>
      <c r="AA7581" t="s">
        <v>43</v>
      </c>
      <c r="AB7581" t="s">
        <v>43</v>
      </c>
      <c r="AC7581" t="s">
        <v>43</v>
      </c>
      <c r="AD7581" t="s">
        <v>43</v>
      </c>
      <c r="AE7581" t="s">
        <v>43</v>
      </c>
      <c r="AF7581" t="s">
        <v>43</v>
      </c>
      <c r="AG7581" t="s">
        <v>43</v>
      </c>
      <c r="AH7581" t="s">
        <v>43</v>
      </c>
      <c r="AI7581" t="s">
        <v>43</v>
      </c>
      <c r="AJ7581" t="s">
        <v>43</v>
      </c>
      <c r="AK7581" t="s">
        <v>43</v>
      </c>
      <c r="AL7581" t="s">
        <v>43</v>
      </c>
      <c r="AM7581" t="s">
        <v>43</v>
      </c>
      <c r="AN7581" t="str">
        <f>HYPERLINK("https://www.google.com/maps?q=10.78966141,79.5787735","Open Location")</f>
        <v>Open Location</v>
      </c>
    </row>
    <row r="7582" spans="1:40" x14ac:dyDescent="0.3">
      <c r="A7582" s="1">
        <v>46210.121759259258</v>
      </c>
      <c r="B7582" t="s">
        <v>40</v>
      </c>
      <c r="C7582" t="s">
        <v>41</v>
      </c>
      <c r="D7582" s="1">
        <v>46210.1247337963</v>
      </c>
      <c r="E7582" t="s">
        <v>42</v>
      </c>
      <c r="F7582" t="s">
        <v>43</v>
      </c>
      <c r="G7582" t="s">
        <v>43</v>
      </c>
      <c r="H7582" t="s">
        <v>43</v>
      </c>
      <c r="I7582" t="s">
        <v>43</v>
      </c>
      <c r="J7582" t="s">
        <v>43</v>
      </c>
      <c r="K7582" t="s">
        <v>43</v>
      </c>
      <c r="L7582" t="s">
        <v>43</v>
      </c>
      <c r="M7582" t="s">
        <v>43</v>
      </c>
      <c r="N7582" t="s">
        <v>45</v>
      </c>
      <c r="O7582" t="s">
        <v>43</v>
      </c>
      <c r="P7582" t="s">
        <v>43</v>
      </c>
      <c r="Q7582" t="s">
        <v>43</v>
      </c>
      <c r="R7582" t="s">
        <v>43</v>
      </c>
      <c r="S7582" t="s">
        <v>43</v>
      </c>
      <c r="T7582" t="s">
        <v>43</v>
      </c>
      <c r="U7582" t="s">
        <v>43</v>
      </c>
      <c r="V7582" t="s">
        <v>43</v>
      </c>
      <c r="W7582" t="s">
        <v>43</v>
      </c>
      <c r="X7582" t="s">
        <v>43</v>
      </c>
      <c r="Y7582" t="s">
        <v>43</v>
      </c>
      <c r="Z7582" t="s">
        <v>43</v>
      </c>
      <c r="AA7582" t="s">
        <v>43</v>
      </c>
      <c r="AB7582" t="s">
        <v>43</v>
      </c>
      <c r="AC7582" t="s">
        <v>43</v>
      </c>
      <c r="AD7582" t="s">
        <v>43</v>
      </c>
      <c r="AE7582" t="s">
        <v>43</v>
      </c>
      <c r="AF7582" t="s">
        <v>43</v>
      </c>
      <c r="AG7582" t="s">
        <v>43</v>
      </c>
      <c r="AH7582" t="s">
        <v>43</v>
      </c>
      <c r="AI7582" t="s">
        <v>43</v>
      </c>
      <c r="AJ7582" t="s">
        <v>43</v>
      </c>
      <c r="AK7582" t="s">
        <v>43</v>
      </c>
      <c r="AL7582" t="s">
        <v>43</v>
      </c>
      <c r="AM7582" t="s">
        <v>43</v>
      </c>
      <c r="AN7582" t="s">
        <v>43</v>
      </c>
    </row>
    <row r="7583" spans="1:40" x14ac:dyDescent="0.3">
      <c r="A7583" s="1">
        <v>46210.12164351852</v>
      </c>
      <c r="B7583" t="s">
        <v>40</v>
      </c>
      <c r="C7583" t="s">
        <v>41</v>
      </c>
      <c r="D7583" s="1">
        <v>46210.124884259261</v>
      </c>
      <c r="E7583" t="s">
        <v>42</v>
      </c>
      <c r="F7583" t="s">
        <v>43</v>
      </c>
      <c r="G7583" t="s">
        <v>43</v>
      </c>
      <c r="H7583" t="s">
        <v>43</v>
      </c>
      <c r="I7583" t="s">
        <v>4291</v>
      </c>
      <c r="J7583" t="s">
        <v>43</v>
      </c>
      <c r="K7583" t="s">
        <v>43</v>
      </c>
      <c r="L7583" t="s">
        <v>43</v>
      </c>
      <c r="M7583" t="s">
        <v>43</v>
      </c>
      <c r="N7583" t="s">
        <v>45</v>
      </c>
      <c r="O7583" t="s">
        <v>43</v>
      </c>
      <c r="P7583" t="s">
        <v>43</v>
      </c>
      <c r="Q7583" t="s">
        <v>43</v>
      </c>
      <c r="R7583" t="s">
        <v>43</v>
      </c>
      <c r="S7583" t="s">
        <v>43</v>
      </c>
      <c r="T7583" t="s">
        <v>43</v>
      </c>
      <c r="U7583" t="s">
        <v>43</v>
      </c>
      <c r="V7583" t="s">
        <v>43</v>
      </c>
      <c r="W7583" t="s">
        <v>43</v>
      </c>
      <c r="X7583" t="s">
        <v>43</v>
      </c>
      <c r="Y7583" t="s">
        <v>43</v>
      </c>
      <c r="Z7583" t="s">
        <v>43</v>
      </c>
      <c r="AA7583" t="s">
        <v>43</v>
      </c>
      <c r="AB7583" t="s">
        <v>43</v>
      </c>
      <c r="AC7583" t="s">
        <v>43</v>
      </c>
      <c r="AD7583" t="s">
        <v>43</v>
      </c>
      <c r="AE7583" t="s">
        <v>43</v>
      </c>
      <c r="AF7583" t="s">
        <v>43</v>
      </c>
      <c r="AG7583" t="s">
        <v>43</v>
      </c>
      <c r="AH7583" t="s">
        <v>43</v>
      </c>
      <c r="AI7583" t="s">
        <v>43</v>
      </c>
      <c r="AJ7583" t="s">
        <v>43</v>
      </c>
      <c r="AK7583" t="s">
        <v>43</v>
      </c>
      <c r="AL7583" t="s">
        <v>43</v>
      </c>
      <c r="AM7583" t="s">
        <v>43</v>
      </c>
      <c r="AN7583" t="str">
        <f>HYPERLINK("https://www.google.com/maps?q=10.78965473,79.5787735","Open Location")</f>
        <v>Open Location</v>
      </c>
    </row>
    <row r="7584" spans="1:40" x14ac:dyDescent="0.3">
      <c r="A7584" s="1">
        <v>46210.121527777781</v>
      </c>
      <c r="B7584" t="s">
        <v>40</v>
      </c>
      <c r="C7584" t="s">
        <v>41</v>
      </c>
      <c r="D7584" s="1">
        <v>46210.124513888892</v>
      </c>
      <c r="E7584" t="s">
        <v>42</v>
      </c>
      <c r="F7584" t="s">
        <v>43</v>
      </c>
      <c r="G7584" t="s">
        <v>43</v>
      </c>
      <c r="H7584" t="s">
        <v>43</v>
      </c>
      <c r="I7584" t="s">
        <v>3977</v>
      </c>
      <c r="J7584" t="s">
        <v>43</v>
      </c>
      <c r="K7584" t="s">
        <v>43</v>
      </c>
      <c r="L7584" t="s">
        <v>43</v>
      </c>
      <c r="M7584" t="s">
        <v>43</v>
      </c>
      <c r="N7584" t="s">
        <v>45</v>
      </c>
      <c r="O7584" t="s">
        <v>43</v>
      </c>
      <c r="P7584" t="s">
        <v>43</v>
      </c>
      <c r="Q7584" t="s">
        <v>43</v>
      </c>
      <c r="R7584" t="s">
        <v>43</v>
      </c>
      <c r="S7584" t="s">
        <v>43</v>
      </c>
      <c r="T7584" t="s">
        <v>43</v>
      </c>
      <c r="U7584" t="s">
        <v>43</v>
      </c>
      <c r="V7584" t="s">
        <v>43</v>
      </c>
      <c r="W7584" t="s">
        <v>43</v>
      </c>
      <c r="X7584" t="s">
        <v>43</v>
      </c>
      <c r="Y7584" t="s">
        <v>43</v>
      </c>
      <c r="Z7584" t="s">
        <v>43</v>
      </c>
      <c r="AA7584" t="s">
        <v>43</v>
      </c>
      <c r="AB7584" t="s">
        <v>43</v>
      </c>
      <c r="AC7584" t="s">
        <v>43</v>
      </c>
      <c r="AD7584" t="s">
        <v>43</v>
      </c>
      <c r="AE7584" t="s">
        <v>43</v>
      </c>
      <c r="AF7584" t="s">
        <v>43</v>
      </c>
      <c r="AG7584" t="s">
        <v>43</v>
      </c>
      <c r="AH7584" t="s">
        <v>43</v>
      </c>
      <c r="AI7584" t="s">
        <v>43</v>
      </c>
      <c r="AJ7584" t="s">
        <v>43</v>
      </c>
      <c r="AK7584" t="s">
        <v>43</v>
      </c>
      <c r="AL7584" t="s">
        <v>43</v>
      </c>
      <c r="AM7584" t="s">
        <v>43</v>
      </c>
      <c r="AN7584" t="str">
        <f>HYPERLINK("https://www.google.com/maps?q=10.78965187,79.5787735","Open Location")</f>
        <v>Open Location</v>
      </c>
    </row>
    <row r="7585" spans="1:40" x14ac:dyDescent="0.3">
      <c r="A7585" s="1">
        <v>46210.121412037035</v>
      </c>
      <c r="B7585" t="s">
        <v>40</v>
      </c>
      <c r="C7585" t="s">
        <v>41</v>
      </c>
      <c r="D7585" s="1">
        <v>46210.124513888892</v>
      </c>
      <c r="E7585" t="s">
        <v>42</v>
      </c>
      <c r="F7585" t="s">
        <v>43</v>
      </c>
      <c r="G7585" t="s">
        <v>43</v>
      </c>
      <c r="H7585" t="s">
        <v>43</v>
      </c>
      <c r="I7585" t="s">
        <v>3977</v>
      </c>
      <c r="J7585" t="s">
        <v>43</v>
      </c>
      <c r="K7585" t="s">
        <v>43</v>
      </c>
      <c r="L7585" t="s">
        <v>43</v>
      </c>
      <c r="M7585" t="s">
        <v>43</v>
      </c>
      <c r="N7585" t="s">
        <v>45</v>
      </c>
      <c r="O7585" t="s">
        <v>43</v>
      </c>
      <c r="P7585" t="s">
        <v>43</v>
      </c>
      <c r="Q7585" t="s">
        <v>43</v>
      </c>
      <c r="R7585" t="s">
        <v>43</v>
      </c>
      <c r="S7585" t="s">
        <v>43</v>
      </c>
      <c r="T7585" t="s">
        <v>43</v>
      </c>
      <c r="U7585" t="s">
        <v>43</v>
      </c>
      <c r="V7585" t="s">
        <v>43</v>
      </c>
      <c r="W7585" t="s">
        <v>43</v>
      </c>
      <c r="X7585" t="s">
        <v>43</v>
      </c>
      <c r="Y7585" t="s">
        <v>43</v>
      </c>
      <c r="Z7585" t="s">
        <v>43</v>
      </c>
      <c r="AA7585" t="s">
        <v>43</v>
      </c>
      <c r="AB7585" t="s">
        <v>43</v>
      </c>
      <c r="AC7585" t="s">
        <v>43</v>
      </c>
      <c r="AD7585" t="s">
        <v>43</v>
      </c>
      <c r="AE7585" t="s">
        <v>43</v>
      </c>
      <c r="AF7585" t="s">
        <v>43</v>
      </c>
      <c r="AG7585" t="s">
        <v>43</v>
      </c>
      <c r="AH7585" t="s">
        <v>43</v>
      </c>
      <c r="AI7585" t="s">
        <v>43</v>
      </c>
      <c r="AJ7585" t="s">
        <v>43</v>
      </c>
      <c r="AK7585" t="s">
        <v>43</v>
      </c>
      <c r="AL7585" t="s">
        <v>43</v>
      </c>
      <c r="AM7585" t="s">
        <v>43</v>
      </c>
      <c r="AN7585" t="str">
        <f>HYPERLINK("https://www.google.com/maps?q=10.78965187,79.5787735","Open Location")</f>
        <v>Open Location</v>
      </c>
    </row>
    <row r="7586" spans="1:40" x14ac:dyDescent="0.3">
      <c r="A7586" s="1">
        <v>46210.121296296296</v>
      </c>
      <c r="B7586" t="s">
        <v>40</v>
      </c>
      <c r="C7586" t="s">
        <v>41</v>
      </c>
      <c r="D7586" s="1">
        <v>46210.124143518522</v>
      </c>
      <c r="E7586" t="s">
        <v>42</v>
      </c>
      <c r="F7586" t="s">
        <v>43</v>
      </c>
      <c r="G7586" t="s">
        <v>43</v>
      </c>
      <c r="H7586" t="s">
        <v>43</v>
      </c>
      <c r="I7586" t="s">
        <v>3993</v>
      </c>
      <c r="J7586" t="s">
        <v>43</v>
      </c>
      <c r="K7586" t="s">
        <v>43</v>
      </c>
      <c r="L7586" t="s">
        <v>43</v>
      </c>
      <c r="M7586" t="s">
        <v>43</v>
      </c>
      <c r="N7586" t="s">
        <v>45</v>
      </c>
      <c r="O7586" t="s">
        <v>43</v>
      </c>
      <c r="P7586" t="s">
        <v>43</v>
      </c>
      <c r="Q7586" t="s">
        <v>43</v>
      </c>
      <c r="R7586" t="s">
        <v>43</v>
      </c>
      <c r="S7586" t="s">
        <v>43</v>
      </c>
      <c r="T7586" t="s">
        <v>43</v>
      </c>
      <c r="U7586" t="s">
        <v>43</v>
      </c>
      <c r="V7586" t="s">
        <v>43</v>
      </c>
      <c r="W7586" t="s">
        <v>43</v>
      </c>
      <c r="X7586" t="s">
        <v>43</v>
      </c>
      <c r="Y7586" t="s">
        <v>43</v>
      </c>
      <c r="Z7586" t="s">
        <v>43</v>
      </c>
      <c r="AA7586" t="s">
        <v>43</v>
      </c>
      <c r="AB7586" t="s">
        <v>43</v>
      </c>
      <c r="AC7586" t="s">
        <v>43</v>
      </c>
      <c r="AD7586" t="s">
        <v>43</v>
      </c>
      <c r="AE7586" t="s">
        <v>43</v>
      </c>
      <c r="AF7586" t="s">
        <v>43</v>
      </c>
      <c r="AG7586" t="s">
        <v>43</v>
      </c>
      <c r="AH7586" t="s">
        <v>43</v>
      </c>
      <c r="AI7586" t="s">
        <v>43</v>
      </c>
      <c r="AJ7586" t="s">
        <v>43</v>
      </c>
      <c r="AK7586" t="s">
        <v>43</v>
      </c>
      <c r="AL7586" t="s">
        <v>43</v>
      </c>
      <c r="AM7586" t="s">
        <v>43</v>
      </c>
      <c r="AN7586" t="str">
        <f>HYPERLINK("https://www.google.com/maps?q=10.78965187,79.57878113","Open Location")</f>
        <v>Open Location</v>
      </c>
    </row>
    <row r="7587" spans="1:40" x14ac:dyDescent="0.3">
      <c r="A7587" s="1">
        <v>46210.121180555558</v>
      </c>
      <c r="B7587" t="s">
        <v>40</v>
      </c>
      <c r="C7587" t="s">
        <v>41</v>
      </c>
      <c r="D7587" s="1">
        <v>46210.124143518522</v>
      </c>
      <c r="E7587" t="s">
        <v>42</v>
      </c>
      <c r="F7587" t="s">
        <v>43</v>
      </c>
      <c r="G7587" t="s">
        <v>43</v>
      </c>
      <c r="H7587" t="s">
        <v>43</v>
      </c>
      <c r="I7587" t="s">
        <v>43</v>
      </c>
      <c r="J7587" t="s">
        <v>43</v>
      </c>
      <c r="K7587" t="s">
        <v>43</v>
      </c>
      <c r="L7587" t="s">
        <v>43</v>
      </c>
      <c r="M7587" t="s">
        <v>43</v>
      </c>
      <c r="N7587" t="s">
        <v>45</v>
      </c>
      <c r="O7587" t="s">
        <v>43</v>
      </c>
      <c r="P7587" t="s">
        <v>43</v>
      </c>
      <c r="Q7587" t="s">
        <v>43</v>
      </c>
      <c r="R7587" t="s">
        <v>43</v>
      </c>
      <c r="S7587" t="s">
        <v>43</v>
      </c>
      <c r="T7587" t="s">
        <v>43</v>
      </c>
      <c r="U7587" t="s">
        <v>43</v>
      </c>
      <c r="V7587" t="s">
        <v>43</v>
      </c>
      <c r="W7587" t="s">
        <v>43</v>
      </c>
      <c r="X7587" t="s">
        <v>43</v>
      </c>
      <c r="Y7587" t="s">
        <v>43</v>
      </c>
      <c r="Z7587" t="s">
        <v>43</v>
      </c>
      <c r="AA7587" t="s">
        <v>43</v>
      </c>
      <c r="AB7587" t="s">
        <v>43</v>
      </c>
      <c r="AC7587" t="s">
        <v>43</v>
      </c>
      <c r="AD7587" t="s">
        <v>43</v>
      </c>
      <c r="AE7587" t="s">
        <v>43</v>
      </c>
      <c r="AF7587" t="s">
        <v>43</v>
      </c>
      <c r="AG7587" t="s">
        <v>43</v>
      </c>
      <c r="AH7587" t="s">
        <v>43</v>
      </c>
      <c r="AI7587" t="s">
        <v>43</v>
      </c>
      <c r="AJ7587" t="s">
        <v>43</v>
      </c>
      <c r="AK7587" t="s">
        <v>43</v>
      </c>
      <c r="AL7587" t="s">
        <v>43</v>
      </c>
      <c r="AM7587" t="s">
        <v>43</v>
      </c>
      <c r="AN7587" t="s">
        <v>43</v>
      </c>
    </row>
    <row r="7588" spans="1:40" x14ac:dyDescent="0.3">
      <c r="A7588" s="1">
        <v>46210.121064814812</v>
      </c>
      <c r="B7588" t="s">
        <v>40</v>
      </c>
      <c r="C7588" t="s">
        <v>41</v>
      </c>
      <c r="D7588" s="1">
        <v>46210.124166666668</v>
      </c>
      <c r="E7588" t="s">
        <v>42</v>
      </c>
      <c r="F7588" t="s">
        <v>43</v>
      </c>
      <c r="G7588" t="s">
        <v>43</v>
      </c>
      <c r="H7588" t="s">
        <v>43</v>
      </c>
      <c r="I7588" t="s">
        <v>3895</v>
      </c>
      <c r="J7588" t="s">
        <v>43</v>
      </c>
      <c r="K7588" t="s">
        <v>43</v>
      </c>
      <c r="L7588" t="s">
        <v>43</v>
      </c>
      <c r="M7588" t="s">
        <v>43</v>
      </c>
      <c r="N7588" t="s">
        <v>45</v>
      </c>
      <c r="O7588" t="s">
        <v>43</v>
      </c>
      <c r="P7588" t="s">
        <v>43</v>
      </c>
      <c r="Q7588" t="s">
        <v>43</v>
      </c>
      <c r="R7588" t="s">
        <v>43</v>
      </c>
      <c r="S7588" t="s">
        <v>43</v>
      </c>
      <c r="T7588" t="s">
        <v>43</v>
      </c>
      <c r="U7588" t="s">
        <v>43</v>
      </c>
      <c r="V7588" t="s">
        <v>43</v>
      </c>
      <c r="W7588" t="s">
        <v>43</v>
      </c>
      <c r="X7588" t="s">
        <v>43</v>
      </c>
      <c r="Y7588" t="s">
        <v>43</v>
      </c>
      <c r="Z7588" t="s">
        <v>43</v>
      </c>
      <c r="AA7588" t="s">
        <v>43</v>
      </c>
      <c r="AB7588" t="s">
        <v>43</v>
      </c>
      <c r="AC7588" t="s">
        <v>43</v>
      </c>
      <c r="AD7588" t="s">
        <v>43</v>
      </c>
      <c r="AE7588" t="s">
        <v>43</v>
      </c>
      <c r="AF7588" t="s">
        <v>43</v>
      </c>
      <c r="AG7588" t="s">
        <v>43</v>
      </c>
      <c r="AH7588" t="s">
        <v>43</v>
      </c>
      <c r="AI7588" t="s">
        <v>43</v>
      </c>
      <c r="AJ7588" t="s">
        <v>43</v>
      </c>
      <c r="AK7588" t="s">
        <v>43</v>
      </c>
      <c r="AL7588" t="s">
        <v>43</v>
      </c>
      <c r="AM7588" t="s">
        <v>43</v>
      </c>
      <c r="AN7588" t="str">
        <f>HYPERLINK("https://www.google.com/maps?q=10.78965187,79.57878876","Open Location")</f>
        <v>Open Location</v>
      </c>
    </row>
    <row r="7589" spans="1:40" x14ac:dyDescent="0.3">
      <c r="A7589" s="1">
        <v>46210.120949074073</v>
      </c>
      <c r="B7589" t="s">
        <v>40</v>
      </c>
      <c r="C7589" t="s">
        <v>41</v>
      </c>
      <c r="D7589" s="1">
        <v>46210.124166666668</v>
      </c>
      <c r="E7589" t="s">
        <v>42</v>
      </c>
      <c r="F7589" t="s">
        <v>43</v>
      </c>
      <c r="G7589" t="s">
        <v>43</v>
      </c>
      <c r="H7589" t="s">
        <v>43</v>
      </c>
      <c r="I7589" t="s">
        <v>3900</v>
      </c>
      <c r="J7589" t="s">
        <v>43</v>
      </c>
      <c r="K7589" t="s">
        <v>43</v>
      </c>
      <c r="L7589" t="s">
        <v>43</v>
      </c>
      <c r="M7589" t="s">
        <v>43</v>
      </c>
      <c r="N7589" t="s">
        <v>45</v>
      </c>
      <c r="O7589" t="s">
        <v>43</v>
      </c>
      <c r="P7589" t="s">
        <v>43</v>
      </c>
      <c r="Q7589" t="s">
        <v>43</v>
      </c>
      <c r="R7589" t="s">
        <v>43</v>
      </c>
      <c r="S7589" t="s">
        <v>43</v>
      </c>
      <c r="T7589" t="s">
        <v>43</v>
      </c>
      <c r="U7589" t="s">
        <v>43</v>
      </c>
      <c r="V7589" t="s">
        <v>43</v>
      </c>
      <c r="W7589" t="s">
        <v>43</v>
      </c>
      <c r="X7589" t="s">
        <v>43</v>
      </c>
      <c r="Y7589" t="s">
        <v>43</v>
      </c>
      <c r="Z7589" t="s">
        <v>43</v>
      </c>
      <c r="AA7589" t="s">
        <v>43</v>
      </c>
      <c r="AB7589" t="s">
        <v>43</v>
      </c>
      <c r="AC7589" t="s">
        <v>43</v>
      </c>
      <c r="AD7589" t="s">
        <v>43</v>
      </c>
      <c r="AE7589" t="s">
        <v>43</v>
      </c>
      <c r="AF7589" t="s">
        <v>43</v>
      </c>
      <c r="AG7589" t="s">
        <v>43</v>
      </c>
      <c r="AH7589" t="s">
        <v>43</v>
      </c>
      <c r="AI7589" t="s">
        <v>43</v>
      </c>
      <c r="AJ7589" t="s">
        <v>43</v>
      </c>
      <c r="AK7589" t="s">
        <v>43</v>
      </c>
      <c r="AL7589" t="s">
        <v>43</v>
      </c>
      <c r="AM7589" t="s">
        <v>43</v>
      </c>
      <c r="AN7589" t="str">
        <f>HYPERLINK("https://www.google.com/maps?q=10.78965378,79.57878876","Open Location")</f>
        <v>Open Location</v>
      </c>
    </row>
    <row r="7590" spans="1:40" x14ac:dyDescent="0.3">
      <c r="A7590" s="1">
        <v>46210.120833333334</v>
      </c>
      <c r="B7590" t="s">
        <v>40</v>
      </c>
      <c r="C7590" t="s">
        <v>41</v>
      </c>
      <c r="D7590" s="1">
        <v>46210.123773148145</v>
      </c>
      <c r="E7590" t="s">
        <v>42</v>
      </c>
      <c r="F7590" t="s">
        <v>43</v>
      </c>
      <c r="G7590" t="s">
        <v>43</v>
      </c>
      <c r="H7590" t="s">
        <v>43</v>
      </c>
      <c r="I7590" t="s">
        <v>3899</v>
      </c>
      <c r="J7590" t="s">
        <v>43</v>
      </c>
      <c r="K7590" t="s">
        <v>43</v>
      </c>
      <c r="L7590" t="s">
        <v>43</v>
      </c>
      <c r="M7590" t="s">
        <v>43</v>
      </c>
      <c r="N7590" t="s">
        <v>45</v>
      </c>
      <c r="O7590" t="s">
        <v>43</v>
      </c>
      <c r="P7590" t="s">
        <v>43</v>
      </c>
      <c r="Q7590" t="s">
        <v>43</v>
      </c>
      <c r="R7590" t="s">
        <v>43</v>
      </c>
      <c r="S7590" t="s">
        <v>43</v>
      </c>
      <c r="T7590" t="s">
        <v>43</v>
      </c>
      <c r="U7590" t="s">
        <v>43</v>
      </c>
      <c r="V7590" t="s">
        <v>43</v>
      </c>
      <c r="W7590" t="s">
        <v>43</v>
      </c>
      <c r="X7590" t="s">
        <v>43</v>
      </c>
      <c r="Y7590" t="s">
        <v>43</v>
      </c>
      <c r="Z7590" t="s">
        <v>43</v>
      </c>
      <c r="AA7590" t="s">
        <v>43</v>
      </c>
      <c r="AB7590" t="s">
        <v>43</v>
      </c>
      <c r="AC7590" t="s">
        <v>43</v>
      </c>
      <c r="AD7590" t="s">
        <v>43</v>
      </c>
      <c r="AE7590" t="s">
        <v>43</v>
      </c>
      <c r="AF7590" t="s">
        <v>43</v>
      </c>
      <c r="AG7590" t="s">
        <v>43</v>
      </c>
      <c r="AH7590" t="s">
        <v>43</v>
      </c>
      <c r="AI7590" t="s">
        <v>43</v>
      </c>
      <c r="AJ7590" t="s">
        <v>43</v>
      </c>
      <c r="AK7590" t="s">
        <v>43</v>
      </c>
      <c r="AL7590" t="s">
        <v>43</v>
      </c>
      <c r="AM7590" t="s">
        <v>43</v>
      </c>
      <c r="AN7590" t="str">
        <f>HYPERLINK("https://www.google.com/maps?q=10.78965473,79.57878876","Open Location")</f>
        <v>Open Location</v>
      </c>
    </row>
    <row r="7591" spans="1:40" x14ac:dyDescent="0.3">
      <c r="A7591" s="1">
        <v>46210.120717592596</v>
      </c>
      <c r="B7591" t="s">
        <v>40</v>
      </c>
      <c r="C7591" t="s">
        <v>41</v>
      </c>
      <c r="D7591" s="1">
        <v>46210.123784722222</v>
      </c>
      <c r="E7591" t="s">
        <v>42</v>
      </c>
      <c r="F7591" t="s">
        <v>43</v>
      </c>
      <c r="G7591" t="s">
        <v>43</v>
      </c>
      <c r="H7591" t="s">
        <v>43</v>
      </c>
      <c r="I7591" t="s">
        <v>4048</v>
      </c>
      <c r="J7591" t="s">
        <v>43</v>
      </c>
      <c r="K7591" t="s">
        <v>43</v>
      </c>
      <c r="L7591" t="s">
        <v>43</v>
      </c>
      <c r="M7591" t="s">
        <v>43</v>
      </c>
      <c r="N7591" t="s">
        <v>45</v>
      </c>
      <c r="O7591" t="s">
        <v>43</v>
      </c>
      <c r="P7591" t="s">
        <v>43</v>
      </c>
      <c r="Q7591" t="s">
        <v>43</v>
      </c>
      <c r="R7591" t="s">
        <v>43</v>
      </c>
      <c r="S7591" t="s">
        <v>43</v>
      </c>
      <c r="T7591" t="s">
        <v>43</v>
      </c>
      <c r="U7591" t="s">
        <v>43</v>
      </c>
      <c r="V7591" t="s">
        <v>43</v>
      </c>
      <c r="W7591" t="s">
        <v>43</v>
      </c>
      <c r="X7591" t="s">
        <v>43</v>
      </c>
      <c r="Y7591" t="s">
        <v>43</v>
      </c>
      <c r="Z7591" t="s">
        <v>43</v>
      </c>
      <c r="AA7591" t="s">
        <v>43</v>
      </c>
      <c r="AB7591" t="s">
        <v>43</v>
      </c>
      <c r="AC7591" t="s">
        <v>43</v>
      </c>
      <c r="AD7591" t="s">
        <v>43</v>
      </c>
      <c r="AE7591" t="s">
        <v>43</v>
      </c>
      <c r="AF7591" t="s">
        <v>43</v>
      </c>
      <c r="AG7591" t="s">
        <v>43</v>
      </c>
      <c r="AH7591" t="s">
        <v>43</v>
      </c>
      <c r="AI7591" t="s">
        <v>43</v>
      </c>
      <c r="AJ7591" t="s">
        <v>43</v>
      </c>
      <c r="AK7591" t="s">
        <v>43</v>
      </c>
      <c r="AL7591" t="s">
        <v>43</v>
      </c>
      <c r="AM7591" t="s">
        <v>43</v>
      </c>
      <c r="AN7591" t="str">
        <f>HYPERLINK("https://www.google.com/maps?q=10.78965664,79.57879639","Open Location")</f>
        <v>Open Location</v>
      </c>
    </row>
    <row r="7592" spans="1:40" x14ac:dyDescent="0.3">
      <c r="A7592" s="1">
        <v>46210.12060185185</v>
      </c>
      <c r="B7592" t="s">
        <v>40</v>
      </c>
      <c r="C7592" t="s">
        <v>41</v>
      </c>
      <c r="D7592" s="1">
        <v>46210.123773148145</v>
      </c>
      <c r="E7592" t="s">
        <v>42</v>
      </c>
      <c r="F7592" t="s">
        <v>43</v>
      </c>
      <c r="G7592" t="s">
        <v>43</v>
      </c>
      <c r="H7592" t="s">
        <v>43</v>
      </c>
      <c r="I7592" t="s">
        <v>3917</v>
      </c>
      <c r="J7592" t="s">
        <v>43</v>
      </c>
      <c r="K7592" t="s">
        <v>43</v>
      </c>
      <c r="L7592" t="s">
        <v>43</v>
      </c>
      <c r="M7592" t="s">
        <v>43</v>
      </c>
      <c r="N7592" t="s">
        <v>45</v>
      </c>
      <c r="O7592" t="s">
        <v>43</v>
      </c>
      <c r="P7592" t="s">
        <v>43</v>
      </c>
      <c r="Q7592" t="s">
        <v>43</v>
      </c>
      <c r="R7592" t="s">
        <v>43</v>
      </c>
      <c r="S7592" t="s">
        <v>43</v>
      </c>
      <c r="T7592" t="s">
        <v>43</v>
      </c>
      <c r="U7592" t="s">
        <v>43</v>
      </c>
      <c r="V7592" t="s">
        <v>43</v>
      </c>
      <c r="W7592" t="s">
        <v>43</v>
      </c>
      <c r="X7592" t="s">
        <v>43</v>
      </c>
      <c r="Y7592" t="s">
        <v>43</v>
      </c>
      <c r="Z7592" t="s">
        <v>43</v>
      </c>
      <c r="AA7592" t="s">
        <v>43</v>
      </c>
      <c r="AB7592" t="s">
        <v>43</v>
      </c>
      <c r="AC7592" t="s">
        <v>43</v>
      </c>
      <c r="AD7592" t="s">
        <v>43</v>
      </c>
      <c r="AE7592" t="s">
        <v>43</v>
      </c>
      <c r="AF7592" t="s">
        <v>43</v>
      </c>
      <c r="AG7592" t="s">
        <v>43</v>
      </c>
      <c r="AH7592" t="s">
        <v>43</v>
      </c>
      <c r="AI7592" t="s">
        <v>43</v>
      </c>
      <c r="AJ7592" t="s">
        <v>43</v>
      </c>
      <c r="AK7592" t="s">
        <v>43</v>
      </c>
      <c r="AL7592" t="s">
        <v>43</v>
      </c>
      <c r="AM7592" t="s">
        <v>43</v>
      </c>
      <c r="AN7592" t="str">
        <f>HYPERLINK("https://www.google.com/maps?q=10.78965473,79.57879639","Open Location")</f>
        <v>Open Location</v>
      </c>
    </row>
    <row r="7593" spans="1:40" x14ac:dyDescent="0.3">
      <c r="A7593" s="1">
        <v>46210.120486111111</v>
      </c>
      <c r="B7593" t="s">
        <v>40</v>
      </c>
      <c r="C7593" t="s">
        <v>41</v>
      </c>
      <c r="D7593" s="1">
        <v>46210.123773148145</v>
      </c>
      <c r="E7593" t="s">
        <v>42</v>
      </c>
      <c r="F7593" t="s">
        <v>43</v>
      </c>
      <c r="G7593" t="s">
        <v>43</v>
      </c>
      <c r="H7593" t="s">
        <v>43</v>
      </c>
      <c r="I7593" t="s">
        <v>43</v>
      </c>
      <c r="J7593" t="s">
        <v>43</v>
      </c>
      <c r="K7593" t="s">
        <v>43</v>
      </c>
      <c r="L7593" t="s">
        <v>43</v>
      </c>
      <c r="M7593" t="s">
        <v>43</v>
      </c>
      <c r="N7593" t="s">
        <v>45</v>
      </c>
      <c r="O7593" t="s">
        <v>43</v>
      </c>
      <c r="P7593" t="s">
        <v>43</v>
      </c>
      <c r="Q7593" t="s">
        <v>43</v>
      </c>
      <c r="R7593" t="s">
        <v>43</v>
      </c>
      <c r="S7593" t="s">
        <v>43</v>
      </c>
      <c r="T7593" t="s">
        <v>43</v>
      </c>
      <c r="U7593" t="s">
        <v>43</v>
      </c>
      <c r="V7593" t="s">
        <v>43</v>
      </c>
      <c r="W7593" t="s">
        <v>43</v>
      </c>
      <c r="X7593" t="s">
        <v>43</v>
      </c>
      <c r="Y7593" t="s">
        <v>43</v>
      </c>
      <c r="Z7593" t="s">
        <v>43</v>
      </c>
      <c r="AA7593" t="s">
        <v>43</v>
      </c>
      <c r="AB7593" t="s">
        <v>43</v>
      </c>
      <c r="AC7593" t="s">
        <v>43</v>
      </c>
      <c r="AD7593" t="s">
        <v>43</v>
      </c>
      <c r="AE7593" t="s">
        <v>43</v>
      </c>
      <c r="AF7593" t="s">
        <v>43</v>
      </c>
      <c r="AG7593" t="s">
        <v>43</v>
      </c>
      <c r="AH7593" t="s">
        <v>43</v>
      </c>
      <c r="AI7593" t="s">
        <v>43</v>
      </c>
      <c r="AJ7593" t="s">
        <v>43</v>
      </c>
      <c r="AK7593" t="s">
        <v>43</v>
      </c>
      <c r="AL7593" t="s">
        <v>43</v>
      </c>
      <c r="AM7593" t="s">
        <v>43</v>
      </c>
      <c r="AN7593" t="s">
        <v>43</v>
      </c>
    </row>
    <row r="7594" spans="1:40" x14ac:dyDescent="0.3">
      <c r="A7594" s="1">
        <v>46210.120370370372</v>
      </c>
      <c r="B7594" t="s">
        <v>40</v>
      </c>
      <c r="C7594" t="s">
        <v>41</v>
      </c>
      <c r="D7594" s="1">
        <v>46210.123402777775</v>
      </c>
      <c r="E7594" t="s">
        <v>42</v>
      </c>
      <c r="F7594" t="s">
        <v>43</v>
      </c>
      <c r="G7594" t="s">
        <v>43</v>
      </c>
      <c r="H7594" t="s">
        <v>43</v>
      </c>
      <c r="I7594" t="s">
        <v>3949</v>
      </c>
      <c r="J7594" t="s">
        <v>43</v>
      </c>
      <c r="K7594" t="s">
        <v>43</v>
      </c>
      <c r="L7594" t="s">
        <v>43</v>
      </c>
      <c r="M7594" t="s">
        <v>43</v>
      </c>
      <c r="N7594" t="s">
        <v>45</v>
      </c>
      <c r="O7594" t="s">
        <v>43</v>
      </c>
      <c r="P7594" t="s">
        <v>43</v>
      </c>
      <c r="Q7594" t="s">
        <v>43</v>
      </c>
      <c r="R7594" t="s">
        <v>43</v>
      </c>
      <c r="S7594" t="s">
        <v>43</v>
      </c>
      <c r="T7594" t="s">
        <v>43</v>
      </c>
      <c r="U7594" t="s">
        <v>43</v>
      </c>
      <c r="V7594" t="s">
        <v>43</v>
      </c>
      <c r="W7594" t="s">
        <v>43</v>
      </c>
      <c r="X7594" t="s">
        <v>43</v>
      </c>
      <c r="Y7594" t="s">
        <v>43</v>
      </c>
      <c r="Z7594" t="s">
        <v>43</v>
      </c>
      <c r="AA7594" t="s">
        <v>43</v>
      </c>
      <c r="AB7594" t="s">
        <v>43</v>
      </c>
      <c r="AC7594" t="s">
        <v>43</v>
      </c>
      <c r="AD7594" t="s">
        <v>43</v>
      </c>
      <c r="AE7594" t="s">
        <v>43</v>
      </c>
      <c r="AF7594" t="s">
        <v>43</v>
      </c>
      <c r="AG7594" t="s">
        <v>43</v>
      </c>
      <c r="AH7594" t="s">
        <v>43</v>
      </c>
      <c r="AI7594" t="s">
        <v>43</v>
      </c>
      <c r="AJ7594" t="s">
        <v>43</v>
      </c>
      <c r="AK7594" t="s">
        <v>43</v>
      </c>
      <c r="AL7594" t="s">
        <v>43</v>
      </c>
      <c r="AM7594" t="s">
        <v>43</v>
      </c>
      <c r="AN7594" t="str">
        <f>HYPERLINK("https://www.google.com/maps?q=10.78965282,79.57881165","Open Location")</f>
        <v>Open Location</v>
      </c>
    </row>
    <row r="7595" spans="1:40" x14ac:dyDescent="0.3">
      <c r="A7595" s="1">
        <v>46210.120254629626</v>
      </c>
      <c r="B7595" t="s">
        <v>40</v>
      </c>
      <c r="C7595" t="s">
        <v>41</v>
      </c>
      <c r="D7595" s="1">
        <v>46210.123391203706</v>
      </c>
      <c r="E7595" t="s">
        <v>42</v>
      </c>
      <c r="F7595" t="s">
        <v>43</v>
      </c>
      <c r="G7595" t="s">
        <v>43</v>
      </c>
      <c r="H7595" t="s">
        <v>43</v>
      </c>
      <c r="I7595" t="s">
        <v>4292</v>
      </c>
      <c r="J7595" t="s">
        <v>43</v>
      </c>
      <c r="K7595" t="s">
        <v>43</v>
      </c>
      <c r="L7595" t="s">
        <v>43</v>
      </c>
      <c r="M7595" t="s">
        <v>43</v>
      </c>
      <c r="N7595" t="s">
        <v>45</v>
      </c>
      <c r="O7595" t="s">
        <v>43</v>
      </c>
      <c r="P7595" t="s">
        <v>43</v>
      </c>
      <c r="Q7595" t="s">
        <v>43</v>
      </c>
      <c r="R7595" t="s">
        <v>43</v>
      </c>
      <c r="S7595" t="s">
        <v>43</v>
      </c>
      <c r="T7595" t="s">
        <v>43</v>
      </c>
      <c r="U7595" t="s">
        <v>43</v>
      </c>
      <c r="V7595" t="s">
        <v>43</v>
      </c>
      <c r="W7595" t="s">
        <v>43</v>
      </c>
      <c r="X7595" t="s">
        <v>43</v>
      </c>
      <c r="Y7595" t="s">
        <v>43</v>
      </c>
      <c r="Z7595" t="s">
        <v>43</v>
      </c>
      <c r="AA7595" t="s">
        <v>43</v>
      </c>
      <c r="AB7595" t="s">
        <v>43</v>
      </c>
      <c r="AC7595" t="s">
        <v>43</v>
      </c>
      <c r="AD7595" t="s">
        <v>43</v>
      </c>
      <c r="AE7595" t="s">
        <v>43</v>
      </c>
      <c r="AF7595" t="s">
        <v>43</v>
      </c>
      <c r="AG7595" t="s">
        <v>43</v>
      </c>
      <c r="AH7595" t="s">
        <v>43</v>
      </c>
      <c r="AI7595" t="s">
        <v>43</v>
      </c>
      <c r="AJ7595" t="s">
        <v>43</v>
      </c>
      <c r="AK7595" t="s">
        <v>43</v>
      </c>
      <c r="AL7595" t="s">
        <v>43</v>
      </c>
      <c r="AM7595" t="s">
        <v>43</v>
      </c>
      <c r="AN7595" t="str">
        <f>HYPERLINK("https://www.google.com/maps?q=10.78965473,79.57881165","Open Location")</f>
        <v>Open Location</v>
      </c>
    </row>
    <row r="7596" spans="1:40" x14ac:dyDescent="0.3">
      <c r="A7596" s="1">
        <v>46210.120138888888</v>
      </c>
      <c r="B7596" t="s">
        <v>40</v>
      </c>
      <c r="C7596" t="s">
        <v>41</v>
      </c>
      <c r="D7596" s="1">
        <v>46210.123391203706</v>
      </c>
      <c r="E7596" t="s">
        <v>42</v>
      </c>
      <c r="F7596" t="s">
        <v>43</v>
      </c>
      <c r="G7596" t="s">
        <v>43</v>
      </c>
      <c r="H7596" t="s">
        <v>43</v>
      </c>
      <c r="I7596" t="s">
        <v>4098</v>
      </c>
      <c r="J7596" t="s">
        <v>43</v>
      </c>
      <c r="K7596" t="s">
        <v>43</v>
      </c>
      <c r="L7596" t="s">
        <v>43</v>
      </c>
      <c r="M7596" t="s">
        <v>43</v>
      </c>
      <c r="N7596" t="s">
        <v>45</v>
      </c>
      <c r="O7596" t="s">
        <v>43</v>
      </c>
      <c r="P7596" t="s">
        <v>43</v>
      </c>
      <c r="Q7596" t="s">
        <v>43</v>
      </c>
      <c r="R7596" t="s">
        <v>43</v>
      </c>
      <c r="S7596" t="s">
        <v>43</v>
      </c>
      <c r="T7596" t="s">
        <v>43</v>
      </c>
      <c r="U7596" t="s">
        <v>43</v>
      </c>
      <c r="V7596" t="s">
        <v>43</v>
      </c>
      <c r="W7596" t="s">
        <v>43</v>
      </c>
      <c r="X7596" t="s">
        <v>43</v>
      </c>
      <c r="Y7596" t="s">
        <v>43</v>
      </c>
      <c r="Z7596" t="s">
        <v>43</v>
      </c>
      <c r="AA7596" t="s">
        <v>43</v>
      </c>
      <c r="AB7596" t="s">
        <v>43</v>
      </c>
      <c r="AC7596" t="s">
        <v>43</v>
      </c>
      <c r="AD7596" t="s">
        <v>43</v>
      </c>
      <c r="AE7596" t="s">
        <v>43</v>
      </c>
      <c r="AF7596" t="s">
        <v>43</v>
      </c>
      <c r="AG7596" t="s">
        <v>43</v>
      </c>
      <c r="AH7596" t="s">
        <v>43</v>
      </c>
      <c r="AI7596" t="s">
        <v>43</v>
      </c>
      <c r="AJ7596" t="s">
        <v>43</v>
      </c>
      <c r="AK7596" t="s">
        <v>43</v>
      </c>
      <c r="AL7596" t="s">
        <v>43</v>
      </c>
      <c r="AM7596" t="s">
        <v>43</v>
      </c>
      <c r="AN7596" t="str">
        <f>HYPERLINK("https://www.google.com/maps?q=10.78965569,79.57881165","Open Location")</f>
        <v>Open Location</v>
      </c>
    </row>
    <row r="7597" spans="1:40" x14ac:dyDescent="0.3">
      <c r="A7597" s="1">
        <v>46210.120023148149</v>
      </c>
      <c r="B7597" t="s">
        <v>40</v>
      </c>
      <c r="C7597" t="s">
        <v>41</v>
      </c>
      <c r="D7597" s="1">
        <v>46210.123402777775</v>
      </c>
      <c r="E7597" t="s">
        <v>42</v>
      </c>
      <c r="F7597" t="s">
        <v>43</v>
      </c>
      <c r="G7597" t="s">
        <v>43</v>
      </c>
      <c r="H7597" t="s">
        <v>43</v>
      </c>
      <c r="I7597" t="s">
        <v>3935</v>
      </c>
      <c r="J7597" t="s">
        <v>43</v>
      </c>
      <c r="K7597" t="s">
        <v>43</v>
      </c>
      <c r="L7597" t="s">
        <v>43</v>
      </c>
      <c r="M7597" t="s">
        <v>43</v>
      </c>
      <c r="N7597" t="s">
        <v>45</v>
      </c>
      <c r="O7597" t="s">
        <v>43</v>
      </c>
      <c r="P7597" t="s">
        <v>43</v>
      </c>
      <c r="Q7597" t="s">
        <v>43</v>
      </c>
      <c r="R7597" t="s">
        <v>43</v>
      </c>
      <c r="S7597" t="s">
        <v>43</v>
      </c>
      <c r="T7597" t="s">
        <v>43</v>
      </c>
      <c r="U7597" t="s">
        <v>43</v>
      </c>
      <c r="V7597" t="s">
        <v>43</v>
      </c>
      <c r="W7597" t="s">
        <v>43</v>
      </c>
      <c r="X7597" t="s">
        <v>43</v>
      </c>
      <c r="Y7597" t="s">
        <v>43</v>
      </c>
      <c r="Z7597" t="s">
        <v>43</v>
      </c>
      <c r="AA7597" t="s">
        <v>43</v>
      </c>
      <c r="AB7597" t="s">
        <v>43</v>
      </c>
      <c r="AC7597" t="s">
        <v>43</v>
      </c>
      <c r="AD7597" t="s">
        <v>43</v>
      </c>
      <c r="AE7597" t="s">
        <v>43</v>
      </c>
      <c r="AF7597" t="s">
        <v>43</v>
      </c>
      <c r="AG7597" t="s">
        <v>43</v>
      </c>
      <c r="AH7597" t="s">
        <v>43</v>
      </c>
      <c r="AI7597" t="s">
        <v>43</v>
      </c>
      <c r="AJ7597" t="s">
        <v>43</v>
      </c>
      <c r="AK7597" t="s">
        <v>43</v>
      </c>
      <c r="AL7597" t="s">
        <v>43</v>
      </c>
      <c r="AM7597" t="s">
        <v>43</v>
      </c>
      <c r="AN7597" t="str">
        <f>HYPERLINK("https://www.google.com/maps?q=10.78966045,79.57881165","Open Location")</f>
        <v>Open Location</v>
      </c>
    </row>
    <row r="7598" spans="1:40" x14ac:dyDescent="0.3">
      <c r="A7598" s="1">
        <v>46210.11990740741</v>
      </c>
      <c r="B7598" t="s">
        <v>40</v>
      </c>
      <c r="C7598" t="s">
        <v>41</v>
      </c>
      <c r="D7598" s="1">
        <v>46210.122662037036</v>
      </c>
      <c r="E7598" t="s">
        <v>42</v>
      </c>
      <c r="F7598" t="s">
        <v>43</v>
      </c>
      <c r="G7598" t="s">
        <v>43</v>
      </c>
      <c r="H7598" t="s">
        <v>43</v>
      </c>
      <c r="I7598" t="s">
        <v>4293</v>
      </c>
      <c r="J7598" t="s">
        <v>43</v>
      </c>
      <c r="K7598" t="s">
        <v>43</v>
      </c>
      <c r="L7598" t="s">
        <v>43</v>
      </c>
      <c r="M7598" t="s">
        <v>43</v>
      </c>
      <c r="N7598" t="s">
        <v>45</v>
      </c>
      <c r="O7598" t="s">
        <v>43</v>
      </c>
      <c r="P7598" t="s">
        <v>43</v>
      </c>
      <c r="Q7598" t="s">
        <v>43</v>
      </c>
      <c r="R7598" t="s">
        <v>43</v>
      </c>
      <c r="S7598" t="s">
        <v>43</v>
      </c>
      <c r="T7598" t="s">
        <v>43</v>
      </c>
      <c r="U7598" t="s">
        <v>43</v>
      </c>
      <c r="V7598" t="s">
        <v>43</v>
      </c>
      <c r="W7598" t="s">
        <v>43</v>
      </c>
      <c r="X7598" t="s">
        <v>43</v>
      </c>
      <c r="Y7598" t="s">
        <v>43</v>
      </c>
      <c r="Z7598" t="s">
        <v>43</v>
      </c>
      <c r="AA7598" t="s">
        <v>43</v>
      </c>
      <c r="AB7598" t="s">
        <v>43</v>
      </c>
      <c r="AC7598" t="s">
        <v>43</v>
      </c>
      <c r="AD7598" t="s">
        <v>43</v>
      </c>
      <c r="AE7598" t="s">
        <v>43</v>
      </c>
      <c r="AF7598" t="s">
        <v>43</v>
      </c>
      <c r="AG7598" t="s">
        <v>43</v>
      </c>
      <c r="AH7598" t="s">
        <v>43</v>
      </c>
      <c r="AI7598" t="s">
        <v>43</v>
      </c>
      <c r="AJ7598" t="s">
        <v>43</v>
      </c>
      <c r="AK7598" t="s">
        <v>43</v>
      </c>
      <c r="AL7598" t="s">
        <v>43</v>
      </c>
      <c r="AM7598" t="s">
        <v>43</v>
      </c>
      <c r="AN7598" t="str">
        <f>HYPERLINK("https://www.google.com/maps?q=10.78966236,79.57881165","Open Location")</f>
        <v>Open Location</v>
      </c>
    </row>
    <row r="7599" spans="1:40" x14ac:dyDescent="0.3">
      <c r="A7599" s="1">
        <v>46210.119791666664</v>
      </c>
      <c r="B7599" t="s">
        <v>40</v>
      </c>
      <c r="C7599" t="s">
        <v>41</v>
      </c>
      <c r="D7599" s="1">
        <v>46210.12263888889</v>
      </c>
      <c r="E7599" t="s">
        <v>42</v>
      </c>
      <c r="F7599" t="s">
        <v>43</v>
      </c>
      <c r="G7599" t="s">
        <v>43</v>
      </c>
      <c r="H7599" t="s">
        <v>43</v>
      </c>
      <c r="I7599" t="s">
        <v>43</v>
      </c>
      <c r="J7599" t="s">
        <v>43</v>
      </c>
      <c r="K7599" t="s">
        <v>43</v>
      </c>
      <c r="L7599" t="s">
        <v>43</v>
      </c>
      <c r="M7599" t="s">
        <v>43</v>
      </c>
      <c r="N7599" t="s">
        <v>45</v>
      </c>
      <c r="O7599" t="s">
        <v>43</v>
      </c>
      <c r="P7599" t="s">
        <v>43</v>
      </c>
      <c r="Q7599" t="s">
        <v>43</v>
      </c>
      <c r="R7599" t="s">
        <v>43</v>
      </c>
      <c r="S7599" t="s">
        <v>43</v>
      </c>
      <c r="T7599" t="s">
        <v>43</v>
      </c>
      <c r="U7599" t="s">
        <v>43</v>
      </c>
      <c r="V7599" t="s">
        <v>43</v>
      </c>
      <c r="W7599" t="s">
        <v>43</v>
      </c>
      <c r="X7599" t="s">
        <v>43</v>
      </c>
      <c r="Y7599" t="s">
        <v>43</v>
      </c>
      <c r="Z7599" t="s">
        <v>43</v>
      </c>
      <c r="AA7599" t="s">
        <v>43</v>
      </c>
      <c r="AB7599" t="s">
        <v>43</v>
      </c>
      <c r="AC7599" t="s">
        <v>43</v>
      </c>
      <c r="AD7599" t="s">
        <v>43</v>
      </c>
      <c r="AE7599" t="s">
        <v>43</v>
      </c>
      <c r="AF7599" t="s">
        <v>43</v>
      </c>
      <c r="AG7599" t="s">
        <v>43</v>
      </c>
      <c r="AH7599" t="s">
        <v>43</v>
      </c>
      <c r="AI7599" t="s">
        <v>43</v>
      </c>
      <c r="AJ7599" t="s">
        <v>43</v>
      </c>
      <c r="AK7599" t="s">
        <v>43</v>
      </c>
      <c r="AL7599" t="s">
        <v>43</v>
      </c>
      <c r="AM7599" t="s">
        <v>43</v>
      </c>
      <c r="AN7599" t="s">
        <v>43</v>
      </c>
    </row>
    <row r="7600" spans="1:40" x14ac:dyDescent="0.3">
      <c r="A7600" s="1">
        <v>46210.119675925926</v>
      </c>
      <c r="B7600" t="s">
        <v>40</v>
      </c>
      <c r="C7600" t="s">
        <v>41</v>
      </c>
      <c r="D7600" s="1">
        <v>46210.122465277775</v>
      </c>
      <c r="E7600" t="s">
        <v>42</v>
      </c>
      <c r="F7600" t="s">
        <v>43</v>
      </c>
      <c r="G7600" t="s">
        <v>43</v>
      </c>
      <c r="H7600" t="s">
        <v>43</v>
      </c>
      <c r="I7600" t="s">
        <v>3931</v>
      </c>
      <c r="J7600" t="s">
        <v>43</v>
      </c>
      <c r="K7600" t="s">
        <v>43</v>
      </c>
      <c r="L7600" t="s">
        <v>43</v>
      </c>
      <c r="M7600" t="s">
        <v>43</v>
      </c>
      <c r="N7600" t="s">
        <v>45</v>
      </c>
      <c r="O7600" t="s">
        <v>43</v>
      </c>
      <c r="P7600" t="s">
        <v>43</v>
      </c>
      <c r="Q7600" t="s">
        <v>43</v>
      </c>
      <c r="R7600" t="s">
        <v>43</v>
      </c>
      <c r="S7600" t="s">
        <v>43</v>
      </c>
      <c r="T7600" t="s">
        <v>43</v>
      </c>
      <c r="U7600" t="s">
        <v>43</v>
      </c>
      <c r="V7600" t="s">
        <v>43</v>
      </c>
      <c r="W7600" t="s">
        <v>43</v>
      </c>
      <c r="X7600" t="s">
        <v>43</v>
      </c>
      <c r="Y7600" t="s">
        <v>43</v>
      </c>
      <c r="Z7600" t="s">
        <v>43</v>
      </c>
      <c r="AA7600" t="s">
        <v>43</v>
      </c>
      <c r="AB7600" t="s">
        <v>43</v>
      </c>
      <c r="AC7600" t="s">
        <v>43</v>
      </c>
      <c r="AD7600" t="s">
        <v>43</v>
      </c>
      <c r="AE7600" t="s">
        <v>43</v>
      </c>
      <c r="AF7600" t="s">
        <v>43</v>
      </c>
      <c r="AG7600" t="s">
        <v>43</v>
      </c>
      <c r="AH7600" t="s">
        <v>43</v>
      </c>
      <c r="AI7600" t="s">
        <v>43</v>
      </c>
      <c r="AJ7600" t="s">
        <v>43</v>
      </c>
      <c r="AK7600" t="s">
        <v>43</v>
      </c>
      <c r="AL7600" t="s">
        <v>43</v>
      </c>
      <c r="AM7600" t="s">
        <v>43</v>
      </c>
      <c r="AN7600" t="str">
        <f>HYPERLINK("https://www.google.com/maps?q=10.78966141,79.57881927","Open Location")</f>
        <v>Open Location</v>
      </c>
    </row>
    <row r="7601" spans="1:40" x14ac:dyDescent="0.3">
      <c r="A7601" s="1">
        <v>46210.119560185187</v>
      </c>
      <c r="B7601" t="s">
        <v>40</v>
      </c>
      <c r="C7601" t="s">
        <v>41</v>
      </c>
      <c r="D7601" s="1">
        <v>46210.12259259259</v>
      </c>
      <c r="E7601" t="s">
        <v>42</v>
      </c>
      <c r="F7601" t="s">
        <v>43</v>
      </c>
      <c r="G7601" t="s">
        <v>43</v>
      </c>
      <c r="H7601" t="s">
        <v>43</v>
      </c>
      <c r="I7601" t="s">
        <v>3937</v>
      </c>
      <c r="J7601" t="s">
        <v>43</v>
      </c>
      <c r="K7601" t="s">
        <v>43</v>
      </c>
      <c r="L7601" t="s">
        <v>43</v>
      </c>
      <c r="M7601" t="s">
        <v>43</v>
      </c>
      <c r="N7601" t="s">
        <v>45</v>
      </c>
      <c r="O7601" t="s">
        <v>43</v>
      </c>
      <c r="P7601" t="s">
        <v>43</v>
      </c>
      <c r="Q7601" t="s">
        <v>43</v>
      </c>
      <c r="R7601" t="s">
        <v>43</v>
      </c>
      <c r="S7601" t="s">
        <v>43</v>
      </c>
      <c r="T7601" t="s">
        <v>43</v>
      </c>
      <c r="U7601" t="s">
        <v>43</v>
      </c>
      <c r="V7601" t="s">
        <v>43</v>
      </c>
      <c r="W7601" t="s">
        <v>43</v>
      </c>
      <c r="X7601" t="s">
        <v>43</v>
      </c>
      <c r="Y7601" t="s">
        <v>43</v>
      </c>
      <c r="Z7601" t="s">
        <v>43</v>
      </c>
      <c r="AA7601" t="s">
        <v>43</v>
      </c>
      <c r="AB7601" t="s">
        <v>43</v>
      </c>
      <c r="AC7601" t="s">
        <v>43</v>
      </c>
      <c r="AD7601" t="s">
        <v>43</v>
      </c>
      <c r="AE7601" t="s">
        <v>43</v>
      </c>
      <c r="AF7601" t="s">
        <v>43</v>
      </c>
      <c r="AG7601" t="s">
        <v>43</v>
      </c>
      <c r="AH7601" t="s">
        <v>43</v>
      </c>
      <c r="AI7601" t="s">
        <v>43</v>
      </c>
      <c r="AJ7601" t="s">
        <v>43</v>
      </c>
      <c r="AK7601" t="s">
        <v>43</v>
      </c>
      <c r="AL7601" t="s">
        <v>43</v>
      </c>
      <c r="AM7601" t="s">
        <v>43</v>
      </c>
      <c r="AN7601" t="str">
        <f>HYPERLINK("https://www.google.com/maps?q=10.78965664,79.57881927","Open Location")</f>
        <v>Open Location</v>
      </c>
    </row>
    <row r="7602" spans="1:40" x14ac:dyDescent="0.3">
      <c r="A7602" s="1">
        <v>46210.119444444441</v>
      </c>
      <c r="B7602" t="s">
        <v>40</v>
      </c>
      <c r="C7602" t="s">
        <v>41</v>
      </c>
      <c r="D7602" s="1">
        <v>46210.122291666667</v>
      </c>
      <c r="E7602" t="s">
        <v>42</v>
      </c>
      <c r="F7602" t="s">
        <v>43</v>
      </c>
      <c r="G7602" t="s">
        <v>43</v>
      </c>
      <c r="H7602" t="s">
        <v>43</v>
      </c>
      <c r="I7602" t="s">
        <v>4099</v>
      </c>
      <c r="J7602" t="s">
        <v>43</v>
      </c>
      <c r="K7602" t="s">
        <v>43</v>
      </c>
      <c r="L7602" t="s">
        <v>43</v>
      </c>
      <c r="M7602" t="s">
        <v>43</v>
      </c>
      <c r="N7602" t="s">
        <v>45</v>
      </c>
      <c r="O7602" t="s">
        <v>43</v>
      </c>
      <c r="P7602" t="s">
        <v>43</v>
      </c>
      <c r="Q7602" t="s">
        <v>43</v>
      </c>
      <c r="R7602" t="s">
        <v>43</v>
      </c>
      <c r="S7602" t="s">
        <v>43</v>
      </c>
      <c r="T7602" t="s">
        <v>43</v>
      </c>
      <c r="U7602" t="s">
        <v>43</v>
      </c>
      <c r="V7602" t="s">
        <v>43</v>
      </c>
      <c r="W7602" t="s">
        <v>43</v>
      </c>
      <c r="X7602" t="s">
        <v>43</v>
      </c>
      <c r="Y7602" t="s">
        <v>43</v>
      </c>
      <c r="Z7602" t="s">
        <v>43</v>
      </c>
      <c r="AA7602" t="s">
        <v>43</v>
      </c>
      <c r="AB7602" t="s">
        <v>43</v>
      </c>
      <c r="AC7602" t="s">
        <v>43</v>
      </c>
      <c r="AD7602" t="s">
        <v>43</v>
      </c>
      <c r="AE7602" t="s">
        <v>43</v>
      </c>
      <c r="AF7602" t="s">
        <v>43</v>
      </c>
      <c r="AG7602" t="s">
        <v>43</v>
      </c>
      <c r="AH7602" t="s">
        <v>43</v>
      </c>
      <c r="AI7602" t="s">
        <v>43</v>
      </c>
      <c r="AJ7602" t="s">
        <v>43</v>
      </c>
      <c r="AK7602" t="s">
        <v>43</v>
      </c>
      <c r="AL7602" t="s">
        <v>43</v>
      </c>
      <c r="AM7602" t="s">
        <v>43</v>
      </c>
      <c r="AN7602" t="str">
        <f>HYPERLINK("https://www.google.com/maps?q=10.78965759,79.57881165","Open Location")</f>
        <v>Open Location</v>
      </c>
    </row>
    <row r="7603" spans="1:40" x14ac:dyDescent="0.3">
      <c r="A7603" s="1">
        <v>46210.119328703702</v>
      </c>
      <c r="B7603" t="s">
        <v>40</v>
      </c>
      <c r="C7603" t="s">
        <v>41</v>
      </c>
      <c r="D7603" s="1">
        <v>46210.122303240743</v>
      </c>
      <c r="E7603" t="s">
        <v>42</v>
      </c>
      <c r="F7603" t="s">
        <v>43</v>
      </c>
      <c r="G7603" t="s">
        <v>43</v>
      </c>
      <c r="H7603" t="s">
        <v>43</v>
      </c>
      <c r="I7603" t="s">
        <v>3927</v>
      </c>
      <c r="J7603" t="s">
        <v>43</v>
      </c>
      <c r="K7603" t="s">
        <v>43</v>
      </c>
      <c r="L7603" t="s">
        <v>43</v>
      </c>
      <c r="M7603" t="s">
        <v>43</v>
      </c>
      <c r="N7603" t="s">
        <v>45</v>
      </c>
      <c r="O7603" t="s">
        <v>43</v>
      </c>
      <c r="P7603" t="s">
        <v>43</v>
      </c>
      <c r="Q7603" t="s">
        <v>43</v>
      </c>
      <c r="R7603" t="s">
        <v>43</v>
      </c>
      <c r="S7603" t="s">
        <v>43</v>
      </c>
      <c r="T7603" t="s">
        <v>43</v>
      </c>
      <c r="U7603" t="s">
        <v>43</v>
      </c>
      <c r="V7603" t="s">
        <v>43</v>
      </c>
      <c r="W7603" t="s">
        <v>43</v>
      </c>
      <c r="X7603" t="s">
        <v>43</v>
      </c>
      <c r="Y7603" t="s">
        <v>43</v>
      </c>
      <c r="Z7603" t="s">
        <v>43</v>
      </c>
      <c r="AA7603" t="s">
        <v>43</v>
      </c>
      <c r="AB7603" t="s">
        <v>43</v>
      </c>
      <c r="AC7603" t="s">
        <v>43</v>
      </c>
      <c r="AD7603" t="s">
        <v>43</v>
      </c>
      <c r="AE7603" t="s">
        <v>43</v>
      </c>
      <c r="AF7603" t="s">
        <v>43</v>
      </c>
      <c r="AG7603" t="s">
        <v>43</v>
      </c>
      <c r="AH7603" t="s">
        <v>43</v>
      </c>
      <c r="AI7603" t="s">
        <v>43</v>
      </c>
      <c r="AJ7603" t="s">
        <v>43</v>
      </c>
      <c r="AK7603" t="s">
        <v>43</v>
      </c>
      <c r="AL7603" t="s">
        <v>43</v>
      </c>
      <c r="AM7603" t="s">
        <v>43</v>
      </c>
      <c r="AN7603" t="str">
        <f>HYPERLINK("https://www.google.com/maps?q=10.78966141,79.57881165","Open Location")</f>
        <v>Open Location</v>
      </c>
    </row>
    <row r="7604" spans="1:40" x14ac:dyDescent="0.3">
      <c r="A7604" s="1">
        <v>46210.119212962964</v>
      </c>
      <c r="B7604" t="s">
        <v>40</v>
      </c>
      <c r="C7604" t="s">
        <v>41</v>
      </c>
      <c r="D7604" s="1">
        <v>46210.122291666667</v>
      </c>
      <c r="E7604" t="s">
        <v>42</v>
      </c>
      <c r="F7604" t="s">
        <v>43</v>
      </c>
      <c r="G7604" t="s">
        <v>43</v>
      </c>
      <c r="H7604" t="s">
        <v>43</v>
      </c>
      <c r="I7604" t="s">
        <v>43</v>
      </c>
      <c r="J7604" t="s">
        <v>43</v>
      </c>
      <c r="K7604" t="s">
        <v>43</v>
      </c>
      <c r="L7604" t="s">
        <v>43</v>
      </c>
      <c r="M7604" t="s">
        <v>43</v>
      </c>
      <c r="N7604" t="s">
        <v>45</v>
      </c>
      <c r="O7604" t="s">
        <v>43</v>
      </c>
      <c r="P7604" t="s">
        <v>43</v>
      </c>
      <c r="Q7604" t="s">
        <v>43</v>
      </c>
      <c r="R7604" t="s">
        <v>43</v>
      </c>
      <c r="S7604" t="s">
        <v>43</v>
      </c>
      <c r="T7604" t="s">
        <v>43</v>
      </c>
      <c r="U7604" t="s">
        <v>43</v>
      </c>
      <c r="V7604" t="s">
        <v>43</v>
      </c>
      <c r="W7604" t="s">
        <v>43</v>
      </c>
      <c r="X7604" t="s">
        <v>43</v>
      </c>
      <c r="Y7604" t="s">
        <v>43</v>
      </c>
      <c r="Z7604" t="s">
        <v>43</v>
      </c>
      <c r="AA7604" t="s">
        <v>43</v>
      </c>
      <c r="AB7604" t="s">
        <v>43</v>
      </c>
      <c r="AC7604" t="s">
        <v>43</v>
      </c>
      <c r="AD7604" t="s">
        <v>43</v>
      </c>
      <c r="AE7604" t="s">
        <v>43</v>
      </c>
      <c r="AF7604" t="s">
        <v>43</v>
      </c>
      <c r="AG7604" t="s">
        <v>43</v>
      </c>
      <c r="AH7604" t="s">
        <v>43</v>
      </c>
      <c r="AI7604" t="s">
        <v>43</v>
      </c>
      <c r="AJ7604" t="s">
        <v>43</v>
      </c>
      <c r="AK7604" t="s">
        <v>43</v>
      </c>
      <c r="AL7604" t="s">
        <v>43</v>
      </c>
      <c r="AM7604" t="s">
        <v>43</v>
      </c>
      <c r="AN7604" t="s">
        <v>43</v>
      </c>
    </row>
    <row r="7605" spans="1:40" x14ac:dyDescent="0.3">
      <c r="A7605" s="1">
        <v>46210.119097222225</v>
      </c>
      <c r="B7605" t="s">
        <v>40</v>
      </c>
      <c r="C7605" t="s">
        <v>41</v>
      </c>
      <c r="D7605" s="1">
        <v>46210.122291666667</v>
      </c>
      <c r="E7605" t="s">
        <v>42</v>
      </c>
      <c r="F7605" t="s">
        <v>43</v>
      </c>
      <c r="G7605" t="s">
        <v>43</v>
      </c>
      <c r="H7605" t="s">
        <v>43</v>
      </c>
      <c r="I7605" t="s">
        <v>4294</v>
      </c>
      <c r="J7605" t="s">
        <v>43</v>
      </c>
      <c r="K7605" t="s">
        <v>43</v>
      </c>
      <c r="L7605" t="s">
        <v>43</v>
      </c>
      <c r="M7605" t="s">
        <v>43</v>
      </c>
      <c r="N7605" t="s">
        <v>45</v>
      </c>
      <c r="O7605" t="s">
        <v>43</v>
      </c>
      <c r="P7605" t="s">
        <v>43</v>
      </c>
      <c r="Q7605" t="s">
        <v>43</v>
      </c>
      <c r="R7605" t="s">
        <v>43</v>
      </c>
      <c r="S7605" t="s">
        <v>43</v>
      </c>
      <c r="T7605" t="s">
        <v>43</v>
      </c>
      <c r="U7605" t="s">
        <v>43</v>
      </c>
      <c r="V7605" t="s">
        <v>43</v>
      </c>
      <c r="W7605" t="s">
        <v>43</v>
      </c>
      <c r="X7605" t="s">
        <v>43</v>
      </c>
      <c r="Y7605" t="s">
        <v>43</v>
      </c>
      <c r="Z7605" t="s">
        <v>43</v>
      </c>
      <c r="AA7605" t="s">
        <v>43</v>
      </c>
      <c r="AB7605" t="s">
        <v>43</v>
      </c>
      <c r="AC7605" t="s">
        <v>43</v>
      </c>
      <c r="AD7605" t="s">
        <v>43</v>
      </c>
      <c r="AE7605" t="s">
        <v>43</v>
      </c>
      <c r="AF7605" t="s">
        <v>43</v>
      </c>
      <c r="AG7605" t="s">
        <v>43</v>
      </c>
      <c r="AH7605" t="s">
        <v>43</v>
      </c>
      <c r="AI7605" t="s">
        <v>43</v>
      </c>
      <c r="AJ7605" t="s">
        <v>43</v>
      </c>
      <c r="AK7605" t="s">
        <v>43</v>
      </c>
      <c r="AL7605" t="s">
        <v>43</v>
      </c>
      <c r="AM7605" t="s">
        <v>43</v>
      </c>
      <c r="AN7605" t="str">
        <f>HYPERLINK("https://www.google.com/maps?q=10.78966331,79.57879639","Open Location")</f>
        <v>Open Location</v>
      </c>
    </row>
    <row r="7606" spans="1:40" x14ac:dyDescent="0.3">
      <c r="A7606" s="1">
        <v>46210.118981481479</v>
      </c>
      <c r="B7606" t="s">
        <v>40</v>
      </c>
      <c r="C7606" t="s">
        <v>41</v>
      </c>
      <c r="D7606" s="1">
        <v>46210.121932870374</v>
      </c>
      <c r="E7606" t="s">
        <v>42</v>
      </c>
      <c r="F7606" t="s">
        <v>43</v>
      </c>
      <c r="G7606" t="s">
        <v>43</v>
      </c>
      <c r="H7606" t="s">
        <v>43</v>
      </c>
      <c r="I7606" t="s">
        <v>4293</v>
      </c>
      <c r="J7606" t="s">
        <v>43</v>
      </c>
      <c r="K7606" t="s">
        <v>43</v>
      </c>
      <c r="L7606" t="s">
        <v>43</v>
      </c>
      <c r="M7606" t="s">
        <v>43</v>
      </c>
      <c r="N7606" t="s">
        <v>45</v>
      </c>
      <c r="O7606" t="s">
        <v>43</v>
      </c>
      <c r="P7606" t="s">
        <v>43</v>
      </c>
      <c r="Q7606" t="s">
        <v>43</v>
      </c>
      <c r="R7606" t="s">
        <v>43</v>
      </c>
      <c r="S7606" t="s">
        <v>43</v>
      </c>
      <c r="T7606" t="s">
        <v>43</v>
      </c>
      <c r="U7606" t="s">
        <v>43</v>
      </c>
      <c r="V7606" t="s">
        <v>43</v>
      </c>
      <c r="W7606" t="s">
        <v>43</v>
      </c>
      <c r="X7606" t="s">
        <v>43</v>
      </c>
      <c r="Y7606" t="s">
        <v>43</v>
      </c>
      <c r="Z7606" t="s">
        <v>43</v>
      </c>
      <c r="AA7606" t="s">
        <v>43</v>
      </c>
      <c r="AB7606" t="s">
        <v>43</v>
      </c>
      <c r="AC7606" t="s">
        <v>43</v>
      </c>
      <c r="AD7606" t="s">
        <v>43</v>
      </c>
      <c r="AE7606" t="s">
        <v>43</v>
      </c>
      <c r="AF7606" t="s">
        <v>43</v>
      </c>
      <c r="AG7606" t="s">
        <v>43</v>
      </c>
      <c r="AH7606" t="s">
        <v>43</v>
      </c>
      <c r="AI7606" t="s">
        <v>43</v>
      </c>
      <c r="AJ7606" t="s">
        <v>43</v>
      </c>
      <c r="AK7606" t="s">
        <v>43</v>
      </c>
      <c r="AL7606" t="s">
        <v>43</v>
      </c>
      <c r="AM7606" t="s">
        <v>43</v>
      </c>
      <c r="AN7606" t="str">
        <f>HYPERLINK("https://www.google.com/maps?q=10.78966236,79.57881165","Open Location")</f>
        <v>Open Location</v>
      </c>
    </row>
    <row r="7607" spans="1:40" x14ac:dyDescent="0.3">
      <c r="A7607" s="1">
        <v>46210.11886574074</v>
      </c>
      <c r="B7607" t="s">
        <v>40</v>
      </c>
      <c r="C7607" t="s">
        <v>41</v>
      </c>
      <c r="D7607" s="1">
        <v>46210.121932870374</v>
      </c>
      <c r="E7607" t="s">
        <v>42</v>
      </c>
      <c r="F7607" t="s">
        <v>43</v>
      </c>
      <c r="G7607" t="s">
        <v>43</v>
      </c>
      <c r="H7607" t="s">
        <v>43</v>
      </c>
      <c r="I7607" t="s">
        <v>3942</v>
      </c>
      <c r="J7607" t="s">
        <v>43</v>
      </c>
      <c r="K7607" t="s">
        <v>43</v>
      </c>
      <c r="L7607" t="s">
        <v>43</v>
      </c>
      <c r="M7607" t="s">
        <v>43</v>
      </c>
      <c r="N7607" t="s">
        <v>45</v>
      </c>
      <c r="O7607" t="s">
        <v>43</v>
      </c>
      <c r="P7607" t="s">
        <v>43</v>
      </c>
      <c r="Q7607" t="s">
        <v>43</v>
      </c>
      <c r="R7607" t="s">
        <v>43</v>
      </c>
      <c r="S7607" t="s">
        <v>43</v>
      </c>
      <c r="T7607" t="s">
        <v>43</v>
      </c>
      <c r="U7607" t="s">
        <v>43</v>
      </c>
      <c r="V7607" t="s">
        <v>43</v>
      </c>
      <c r="W7607" t="s">
        <v>43</v>
      </c>
      <c r="X7607" t="s">
        <v>43</v>
      </c>
      <c r="Y7607" t="s">
        <v>43</v>
      </c>
      <c r="Z7607" t="s">
        <v>43</v>
      </c>
      <c r="AA7607" t="s">
        <v>43</v>
      </c>
      <c r="AB7607" t="s">
        <v>43</v>
      </c>
      <c r="AC7607" t="s">
        <v>43</v>
      </c>
      <c r="AD7607" t="s">
        <v>43</v>
      </c>
      <c r="AE7607" t="s">
        <v>43</v>
      </c>
      <c r="AF7607" t="s">
        <v>43</v>
      </c>
      <c r="AG7607" t="s">
        <v>43</v>
      </c>
      <c r="AH7607" t="s">
        <v>43</v>
      </c>
      <c r="AI7607" t="s">
        <v>43</v>
      </c>
      <c r="AJ7607" t="s">
        <v>43</v>
      </c>
      <c r="AK7607" t="s">
        <v>43</v>
      </c>
      <c r="AL7607" t="s">
        <v>43</v>
      </c>
      <c r="AM7607" t="s">
        <v>43</v>
      </c>
      <c r="AN7607" t="str">
        <f>HYPERLINK("https://www.google.com/maps?q=10.78966713,79.57881927","Open Location")</f>
        <v>Open Location</v>
      </c>
    </row>
    <row r="7608" spans="1:40" x14ac:dyDescent="0.3">
      <c r="A7608" s="1">
        <v>46210.118750000001</v>
      </c>
      <c r="B7608" t="s">
        <v>40</v>
      </c>
      <c r="C7608" t="s">
        <v>41</v>
      </c>
      <c r="D7608" s="1">
        <v>46210.121759259258</v>
      </c>
      <c r="E7608" t="s">
        <v>42</v>
      </c>
      <c r="F7608" t="s">
        <v>43</v>
      </c>
      <c r="G7608" t="s">
        <v>43</v>
      </c>
      <c r="H7608" t="s">
        <v>43</v>
      </c>
      <c r="I7608" t="s">
        <v>4295</v>
      </c>
      <c r="J7608" t="s">
        <v>43</v>
      </c>
      <c r="K7608" t="s">
        <v>43</v>
      </c>
      <c r="L7608" t="s">
        <v>43</v>
      </c>
      <c r="M7608" t="s">
        <v>43</v>
      </c>
      <c r="N7608" t="s">
        <v>45</v>
      </c>
      <c r="O7608" t="s">
        <v>43</v>
      </c>
      <c r="P7608" t="s">
        <v>43</v>
      </c>
      <c r="Q7608" t="s">
        <v>43</v>
      </c>
      <c r="R7608" t="s">
        <v>43</v>
      </c>
      <c r="S7608" t="s">
        <v>43</v>
      </c>
      <c r="T7608" t="s">
        <v>43</v>
      </c>
      <c r="U7608" t="s">
        <v>43</v>
      </c>
      <c r="V7608" t="s">
        <v>43</v>
      </c>
      <c r="W7608" t="s">
        <v>43</v>
      </c>
      <c r="X7608" t="s">
        <v>43</v>
      </c>
      <c r="Y7608" t="s">
        <v>43</v>
      </c>
      <c r="Z7608" t="s">
        <v>43</v>
      </c>
      <c r="AA7608" t="s">
        <v>43</v>
      </c>
      <c r="AB7608" t="s">
        <v>43</v>
      </c>
      <c r="AC7608" t="s">
        <v>43</v>
      </c>
      <c r="AD7608" t="s">
        <v>43</v>
      </c>
      <c r="AE7608" t="s">
        <v>43</v>
      </c>
      <c r="AF7608" t="s">
        <v>43</v>
      </c>
      <c r="AG7608" t="s">
        <v>43</v>
      </c>
      <c r="AH7608" t="s">
        <v>43</v>
      </c>
      <c r="AI7608" t="s">
        <v>43</v>
      </c>
      <c r="AJ7608" t="s">
        <v>43</v>
      </c>
      <c r="AK7608" t="s">
        <v>43</v>
      </c>
      <c r="AL7608" t="s">
        <v>43</v>
      </c>
      <c r="AM7608" t="s">
        <v>43</v>
      </c>
      <c r="AN7608" t="str">
        <f>HYPERLINK("https://www.google.com/maps?q=10.78967953,79.57881165","Open Location")</f>
        <v>Open Location</v>
      </c>
    </row>
    <row r="7609" spans="1:40" x14ac:dyDescent="0.3">
      <c r="A7609" s="1">
        <v>46210.118634259263</v>
      </c>
      <c r="B7609" t="s">
        <v>40</v>
      </c>
      <c r="C7609" t="s">
        <v>41</v>
      </c>
      <c r="D7609" s="1">
        <v>46210.121759259258</v>
      </c>
      <c r="E7609" t="s">
        <v>42</v>
      </c>
      <c r="F7609" t="s">
        <v>43</v>
      </c>
      <c r="G7609" t="s">
        <v>43</v>
      </c>
      <c r="H7609" t="s">
        <v>43</v>
      </c>
      <c r="I7609" t="s">
        <v>4151</v>
      </c>
      <c r="J7609" t="s">
        <v>43</v>
      </c>
      <c r="K7609" t="s">
        <v>43</v>
      </c>
      <c r="L7609" t="s">
        <v>43</v>
      </c>
      <c r="M7609" t="s">
        <v>43</v>
      </c>
      <c r="N7609" t="s">
        <v>45</v>
      </c>
      <c r="O7609" t="s">
        <v>43</v>
      </c>
      <c r="P7609" t="s">
        <v>43</v>
      </c>
      <c r="Q7609" t="s">
        <v>43</v>
      </c>
      <c r="R7609" t="s">
        <v>43</v>
      </c>
      <c r="S7609" t="s">
        <v>43</v>
      </c>
      <c r="T7609" t="s">
        <v>43</v>
      </c>
      <c r="U7609" t="s">
        <v>43</v>
      </c>
      <c r="V7609" t="s">
        <v>43</v>
      </c>
      <c r="W7609" t="s">
        <v>43</v>
      </c>
      <c r="X7609" t="s">
        <v>43</v>
      </c>
      <c r="Y7609" t="s">
        <v>43</v>
      </c>
      <c r="Z7609" t="s">
        <v>43</v>
      </c>
      <c r="AA7609" t="s">
        <v>43</v>
      </c>
      <c r="AB7609" t="s">
        <v>43</v>
      </c>
      <c r="AC7609" t="s">
        <v>43</v>
      </c>
      <c r="AD7609" t="s">
        <v>43</v>
      </c>
      <c r="AE7609" t="s">
        <v>43</v>
      </c>
      <c r="AF7609" t="s">
        <v>43</v>
      </c>
      <c r="AG7609" t="s">
        <v>43</v>
      </c>
      <c r="AH7609" t="s">
        <v>43</v>
      </c>
      <c r="AI7609" t="s">
        <v>43</v>
      </c>
      <c r="AJ7609" t="s">
        <v>43</v>
      </c>
      <c r="AK7609" t="s">
        <v>43</v>
      </c>
      <c r="AL7609" t="s">
        <v>43</v>
      </c>
      <c r="AM7609" t="s">
        <v>43</v>
      </c>
      <c r="AN7609" t="str">
        <f>HYPERLINK("https://www.google.com/maps?q=10.78968525,79.57881165","Open Location")</f>
        <v>Open Location</v>
      </c>
    </row>
    <row r="7610" spans="1:40" x14ac:dyDescent="0.3">
      <c r="A7610" s="1">
        <v>46210.118518518517</v>
      </c>
      <c r="B7610" t="s">
        <v>40</v>
      </c>
      <c r="C7610" t="s">
        <v>41</v>
      </c>
      <c r="D7610" s="1">
        <v>46210.121574074074</v>
      </c>
      <c r="E7610" t="s">
        <v>42</v>
      </c>
      <c r="F7610" t="s">
        <v>43</v>
      </c>
      <c r="G7610" t="s">
        <v>43</v>
      </c>
      <c r="H7610" t="s">
        <v>43</v>
      </c>
      <c r="I7610" t="s">
        <v>43</v>
      </c>
      <c r="J7610" t="s">
        <v>43</v>
      </c>
      <c r="K7610" t="s">
        <v>43</v>
      </c>
      <c r="L7610" t="s">
        <v>43</v>
      </c>
      <c r="M7610" t="s">
        <v>43</v>
      </c>
      <c r="N7610" t="s">
        <v>45</v>
      </c>
      <c r="O7610" t="s">
        <v>43</v>
      </c>
      <c r="P7610" t="s">
        <v>43</v>
      </c>
      <c r="Q7610" t="s">
        <v>43</v>
      </c>
      <c r="R7610" t="s">
        <v>43</v>
      </c>
      <c r="S7610" t="s">
        <v>43</v>
      </c>
      <c r="T7610" t="s">
        <v>43</v>
      </c>
      <c r="U7610" t="s">
        <v>43</v>
      </c>
      <c r="V7610" t="s">
        <v>43</v>
      </c>
      <c r="W7610" t="s">
        <v>43</v>
      </c>
      <c r="X7610" t="s">
        <v>43</v>
      </c>
      <c r="Y7610" t="s">
        <v>43</v>
      </c>
      <c r="Z7610" t="s">
        <v>43</v>
      </c>
      <c r="AA7610" t="s">
        <v>43</v>
      </c>
      <c r="AB7610" t="s">
        <v>43</v>
      </c>
      <c r="AC7610" t="s">
        <v>43</v>
      </c>
      <c r="AD7610" t="s">
        <v>43</v>
      </c>
      <c r="AE7610" t="s">
        <v>43</v>
      </c>
      <c r="AF7610" t="s">
        <v>43</v>
      </c>
      <c r="AG7610" t="s">
        <v>43</v>
      </c>
      <c r="AH7610" t="s">
        <v>43</v>
      </c>
      <c r="AI7610" t="s">
        <v>43</v>
      </c>
      <c r="AJ7610" t="s">
        <v>43</v>
      </c>
      <c r="AK7610" t="s">
        <v>43</v>
      </c>
      <c r="AL7610" t="s">
        <v>43</v>
      </c>
      <c r="AM7610" t="s">
        <v>43</v>
      </c>
      <c r="AN7610" t="s">
        <v>43</v>
      </c>
    </row>
    <row r="7611" spans="1:40" x14ac:dyDescent="0.3">
      <c r="A7611" s="1">
        <v>46210.118402777778</v>
      </c>
      <c r="B7611" t="s">
        <v>40</v>
      </c>
      <c r="C7611" t="s">
        <v>41</v>
      </c>
      <c r="D7611" s="1">
        <v>46210.121388888889</v>
      </c>
      <c r="E7611" t="s">
        <v>42</v>
      </c>
      <c r="F7611" t="s">
        <v>43</v>
      </c>
      <c r="G7611" t="s">
        <v>43</v>
      </c>
      <c r="H7611" t="s">
        <v>43</v>
      </c>
      <c r="I7611" t="s">
        <v>4296</v>
      </c>
      <c r="J7611" t="s">
        <v>43</v>
      </c>
      <c r="K7611" t="s">
        <v>43</v>
      </c>
      <c r="L7611" t="s">
        <v>43</v>
      </c>
      <c r="M7611" t="s">
        <v>43</v>
      </c>
      <c r="N7611" t="s">
        <v>45</v>
      </c>
      <c r="O7611" t="s">
        <v>43</v>
      </c>
      <c r="P7611" t="s">
        <v>43</v>
      </c>
      <c r="Q7611" t="s">
        <v>43</v>
      </c>
      <c r="R7611" t="s">
        <v>43</v>
      </c>
      <c r="S7611" t="s">
        <v>43</v>
      </c>
      <c r="T7611" t="s">
        <v>43</v>
      </c>
      <c r="U7611" t="s">
        <v>43</v>
      </c>
      <c r="V7611" t="s">
        <v>43</v>
      </c>
      <c r="W7611" t="s">
        <v>43</v>
      </c>
      <c r="X7611" t="s">
        <v>43</v>
      </c>
      <c r="Y7611" t="s">
        <v>43</v>
      </c>
      <c r="Z7611" t="s">
        <v>43</v>
      </c>
      <c r="AA7611" t="s">
        <v>43</v>
      </c>
      <c r="AB7611" t="s">
        <v>43</v>
      </c>
      <c r="AC7611" t="s">
        <v>43</v>
      </c>
      <c r="AD7611" t="s">
        <v>43</v>
      </c>
      <c r="AE7611" t="s">
        <v>43</v>
      </c>
      <c r="AF7611" t="s">
        <v>43</v>
      </c>
      <c r="AG7611" t="s">
        <v>43</v>
      </c>
      <c r="AH7611" t="s">
        <v>43</v>
      </c>
      <c r="AI7611" t="s">
        <v>43</v>
      </c>
      <c r="AJ7611" t="s">
        <v>43</v>
      </c>
      <c r="AK7611" t="s">
        <v>43</v>
      </c>
      <c r="AL7611" t="s">
        <v>43</v>
      </c>
      <c r="AM7611" t="s">
        <v>43</v>
      </c>
      <c r="AN7611" t="str">
        <f>HYPERLINK("https://www.google.com/maps?q=10.78969288,79.57881165","Open Location")</f>
        <v>Open Location</v>
      </c>
    </row>
    <row r="7612" spans="1:40" x14ac:dyDescent="0.3">
      <c r="A7612" s="1">
        <v>46210.118287037039</v>
      </c>
      <c r="B7612" t="s">
        <v>40</v>
      </c>
      <c r="C7612" t="s">
        <v>41</v>
      </c>
      <c r="D7612" s="1">
        <v>46210.121215277781</v>
      </c>
      <c r="E7612" t="s">
        <v>42</v>
      </c>
      <c r="F7612" t="s">
        <v>43</v>
      </c>
      <c r="G7612" t="s">
        <v>43</v>
      </c>
      <c r="H7612" t="s">
        <v>43</v>
      </c>
      <c r="I7612" t="s">
        <v>4297</v>
      </c>
      <c r="J7612" t="s">
        <v>43</v>
      </c>
      <c r="K7612" t="s">
        <v>43</v>
      </c>
      <c r="L7612" t="s">
        <v>43</v>
      </c>
      <c r="M7612" t="s">
        <v>43</v>
      </c>
      <c r="N7612" t="s">
        <v>45</v>
      </c>
      <c r="O7612" t="s">
        <v>43</v>
      </c>
      <c r="P7612" t="s">
        <v>43</v>
      </c>
      <c r="Q7612" t="s">
        <v>43</v>
      </c>
      <c r="R7612" t="s">
        <v>43</v>
      </c>
      <c r="S7612" t="s">
        <v>43</v>
      </c>
      <c r="T7612" t="s">
        <v>43</v>
      </c>
      <c r="U7612" t="s">
        <v>43</v>
      </c>
      <c r="V7612" t="s">
        <v>43</v>
      </c>
      <c r="W7612" t="s">
        <v>43</v>
      </c>
      <c r="X7612" t="s">
        <v>43</v>
      </c>
      <c r="Y7612" t="s">
        <v>43</v>
      </c>
      <c r="Z7612" t="s">
        <v>43</v>
      </c>
      <c r="AA7612" t="s">
        <v>43</v>
      </c>
      <c r="AB7612" t="s">
        <v>43</v>
      </c>
      <c r="AC7612" t="s">
        <v>43</v>
      </c>
      <c r="AD7612" t="s">
        <v>43</v>
      </c>
      <c r="AE7612" t="s">
        <v>43</v>
      </c>
      <c r="AF7612" t="s">
        <v>43</v>
      </c>
      <c r="AG7612" t="s">
        <v>43</v>
      </c>
      <c r="AH7612" t="s">
        <v>43</v>
      </c>
      <c r="AI7612" t="s">
        <v>43</v>
      </c>
      <c r="AJ7612" t="s">
        <v>43</v>
      </c>
      <c r="AK7612" t="s">
        <v>43</v>
      </c>
      <c r="AL7612" t="s">
        <v>43</v>
      </c>
      <c r="AM7612" t="s">
        <v>43</v>
      </c>
      <c r="AN7612" t="str">
        <f>HYPERLINK("https://www.google.com/maps?q=10.7896986,79.57879639","Open Location")</f>
        <v>Open Location</v>
      </c>
    </row>
    <row r="7613" spans="1:40" x14ac:dyDescent="0.3">
      <c r="A7613" s="1">
        <v>46210.118171296293</v>
      </c>
      <c r="B7613" t="s">
        <v>40</v>
      </c>
      <c r="C7613" t="s">
        <v>41</v>
      </c>
      <c r="D7613" s="1">
        <v>46210.12122685185</v>
      </c>
      <c r="E7613" t="s">
        <v>42</v>
      </c>
      <c r="F7613" t="s">
        <v>43</v>
      </c>
      <c r="G7613" t="s">
        <v>43</v>
      </c>
      <c r="H7613" t="s">
        <v>43</v>
      </c>
      <c r="I7613" t="s">
        <v>4298</v>
      </c>
      <c r="J7613" t="s">
        <v>43</v>
      </c>
      <c r="K7613" t="s">
        <v>43</v>
      </c>
      <c r="L7613" t="s">
        <v>43</v>
      </c>
      <c r="M7613" t="s">
        <v>43</v>
      </c>
      <c r="N7613" t="s">
        <v>45</v>
      </c>
      <c r="O7613" t="s">
        <v>43</v>
      </c>
      <c r="P7613" t="s">
        <v>43</v>
      </c>
      <c r="Q7613" t="s">
        <v>43</v>
      </c>
      <c r="R7613" t="s">
        <v>43</v>
      </c>
      <c r="S7613" t="s">
        <v>43</v>
      </c>
      <c r="T7613" t="s">
        <v>43</v>
      </c>
      <c r="U7613" t="s">
        <v>43</v>
      </c>
      <c r="V7613" t="s">
        <v>43</v>
      </c>
      <c r="W7613" t="s">
        <v>43</v>
      </c>
      <c r="X7613" t="s">
        <v>43</v>
      </c>
      <c r="Y7613" t="s">
        <v>43</v>
      </c>
      <c r="Z7613" t="s">
        <v>43</v>
      </c>
      <c r="AA7613" t="s">
        <v>43</v>
      </c>
      <c r="AB7613" t="s">
        <v>43</v>
      </c>
      <c r="AC7613" t="s">
        <v>43</v>
      </c>
      <c r="AD7613" t="s">
        <v>43</v>
      </c>
      <c r="AE7613" t="s">
        <v>43</v>
      </c>
      <c r="AF7613" t="s">
        <v>43</v>
      </c>
      <c r="AG7613" t="s">
        <v>43</v>
      </c>
      <c r="AH7613" t="s">
        <v>43</v>
      </c>
      <c r="AI7613" t="s">
        <v>43</v>
      </c>
      <c r="AJ7613" t="s">
        <v>43</v>
      </c>
      <c r="AK7613" t="s">
        <v>43</v>
      </c>
      <c r="AL7613" t="s">
        <v>43</v>
      </c>
      <c r="AM7613" t="s">
        <v>43</v>
      </c>
      <c r="AN7613" t="str">
        <f>HYPERLINK("https://www.google.com/maps?q=10.78970337,79.57878113","Open Location")</f>
        <v>Open Location</v>
      </c>
    </row>
    <row r="7614" spans="1:40" x14ac:dyDescent="0.3">
      <c r="A7614" s="1">
        <v>46210.118055555555</v>
      </c>
      <c r="B7614" t="s">
        <v>40</v>
      </c>
      <c r="C7614" t="s">
        <v>41</v>
      </c>
      <c r="D7614" s="1">
        <v>46210.120787037034</v>
      </c>
      <c r="E7614" t="s">
        <v>42</v>
      </c>
      <c r="F7614" t="s">
        <v>43</v>
      </c>
      <c r="G7614" t="s">
        <v>43</v>
      </c>
      <c r="H7614" t="s">
        <v>43</v>
      </c>
      <c r="I7614" t="s">
        <v>4299</v>
      </c>
      <c r="J7614" t="s">
        <v>43</v>
      </c>
      <c r="K7614" t="s">
        <v>43</v>
      </c>
      <c r="L7614" t="s">
        <v>43</v>
      </c>
      <c r="M7614" t="s">
        <v>43</v>
      </c>
      <c r="N7614" t="s">
        <v>45</v>
      </c>
      <c r="O7614" t="s">
        <v>43</v>
      </c>
      <c r="P7614" t="s">
        <v>43</v>
      </c>
      <c r="Q7614" t="s">
        <v>43</v>
      </c>
      <c r="R7614" t="s">
        <v>43</v>
      </c>
      <c r="S7614" t="s">
        <v>43</v>
      </c>
      <c r="T7614" t="s">
        <v>43</v>
      </c>
      <c r="U7614" t="s">
        <v>43</v>
      </c>
      <c r="V7614" t="s">
        <v>43</v>
      </c>
      <c r="W7614" t="s">
        <v>43</v>
      </c>
      <c r="X7614" t="s">
        <v>43</v>
      </c>
      <c r="Y7614" t="s">
        <v>43</v>
      </c>
      <c r="Z7614" t="s">
        <v>43</v>
      </c>
      <c r="AA7614" t="s">
        <v>43</v>
      </c>
      <c r="AB7614" t="s">
        <v>43</v>
      </c>
      <c r="AC7614" t="s">
        <v>43</v>
      </c>
      <c r="AD7614" t="s">
        <v>43</v>
      </c>
      <c r="AE7614" t="s">
        <v>43</v>
      </c>
      <c r="AF7614" t="s">
        <v>43</v>
      </c>
      <c r="AG7614" t="s">
        <v>43</v>
      </c>
      <c r="AH7614" t="s">
        <v>43</v>
      </c>
      <c r="AI7614" t="s">
        <v>43</v>
      </c>
      <c r="AJ7614" t="s">
        <v>43</v>
      </c>
      <c r="AK7614" t="s">
        <v>43</v>
      </c>
      <c r="AL7614" t="s">
        <v>43</v>
      </c>
      <c r="AM7614" t="s">
        <v>43</v>
      </c>
      <c r="AN7614" t="str">
        <f>HYPERLINK("https://www.google.com/maps?q=10.78970242,79.57878113","Open Location")</f>
        <v>Open Location</v>
      </c>
    </row>
    <row r="7615" spans="1:40" x14ac:dyDescent="0.3">
      <c r="A7615" s="1">
        <v>46210.117939814816</v>
      </c>
      <c r="B7615" t="s">
        <v>40</v>
      </c>
      <c r="C7615" t="s">
        <v>41</v>
      </c>
      <c r="D7615" s="1">
        <v>46210.120798611111</v>
      </c>
      <c r="E7615" t="s">
        <v>42</v>
      </c>
      <c r="F7615" t="s">
        <v>43</v>
      </c>
      <c r="G7615" t="s">
        <v>43</v>
      </c>
      <c r="H7615" t="s">
        <v>43</v>
      </c>
      <c r="I7615" t="s">
        <v>4300</v>
      </c>
      <c r="J7615" t="s">
        <v>43</v>
      </c>
      <c r="K7615" t="s">
        <v>43</v>
      </c>
      <c r="L7615" t="s">
        <v>43</v>
      </c>
      <c r="M7615" t="s">
        <v>43</v>
      </c>
      <c r="N7615" t="s">
        <v>45</v>
      </c>
      <c r="O7615" t="s">
        <v>43</v>
      </c>
      <c r="P7615" t="s">
        <v>43</v>
      </c>
      <c r="Q7615" t="s">
        <v>43</v>
      </c>
      <c r="R7615" t="s">
        <v>43</v>
      </c>
      <c r="S7615" t="s">
        <v>43</v>
      </c>
      <c r="T7615" t="s">
        <v>43</v>
      </c>
      <c r="U7615" t="s">
        <v>43</v>
      </c>
      <c r="V7615" t="s">
        <v>43</v>
      </c>
      <c r="W7615" t="s">
        <v>43</v>
      </c>
      <c r="X7615" t="s">
        <v>43</v>
      </c>
      <c r="Y7615" t="s">
        <v>43</v>
      </c>
      <c r="Z7615" t="s">
        <v>43</v>
      </c>
      <c r="AA7615" t="s">
        <v>43</v>
      </c>
      <c r="AB7615" t="s">
        <v>43</v>
      </c>
      <c r="AC7615" t="s">
        <v>43</v>
      </c>
      <c r="AD7615" t="s">
        <v>43</v>
      </c>
      <c r="AE7615" t="s">
        <v>43</v>
      </c>
      <c r="AF7615" t="s">
        <v>43</v>
      </c>
      <c r="AG7615" t="s">
        <v>43</v>
      </c>
      <c r="AH7615" t="s">
        <v>43</v>
      </c>
      <c r="AI7615" t="s">
        <v>43</v>
      </c>
      <c r="AJ7615" t="s">
        <v>43</v>
      </c>
      <c r="AK7615" t="s">
        <v>43</v>
      </c>
      <c r="AL7615" t="s">
        <v>43</v>
      </c>
      <c r="AM7615" t="s">
        <v>43</v>
      </c>
      <c r="AN7615" t="str">
        <f>HYPERLINK("https://www.google.com/maps?q=10.78969955,79.57878113","Open Location")</f>
        <v>Open Location</v>
      </c>
    </row>
    <row r="7616" spans="1:40" x14ac:dyDescent="0.3">
      <c r="A7616" s="1">
        <v>46210.117824074077</v>
      </c>
      <c r="B7616" t="s">
        <v>40</v>
      </c>
      <c r="C7616" t="s">
        <v>41</v>
      </c>
      <c r="D7616" s="1">
        <v>46210.120613425926</v>
      </c>
      <c r="E7616" t="s">
        <v>42</v>
      </c>
      <c r="F7616" t="s">
        <v>43</v>
      </c>
      <c r="G7616" t="s">
        <v>43</v>
      </c>
      <c r="H7616" t="s">
        <v>43</v>
      </c>
      <c r="I7616" t="s">
        <v>43</v>
      </c>
      <c r="J7616" t="s">
        <v>43</v>
      </c>
      <c r="K7616" t="s">
        <v>43</v>
      </c>
      <c r="L7616" t="s">
        <v>43</v>
      </c>
      <c r="M7616" t="s">
        <v>43</v>
      </c>
      <c r="N7616" t="s">
        <v>45</v>
      </c>
      <c r="O7616" t="s">
        <v>43</v>
      </c>
      <c r="P7616" t="s">
        <v>43</v>
      </c>
      <c r="Q7616" t="s">
        <v>43</v>
      </c>
      <c r="R7616" t="s">
        <v>43</v>
      </c>
      <c r="S7616" t="s">
        <v>43</v>
      </c>
      <c r="T7616" t="s">
        <v>43</v>
      </c>
      <c r="U7616" t="s">
        <v>43</v>
      </c>
      <c r="V7616" t="s">
        <v>43</v>
      </c>
      <c r="W7616" t="s">
        <v>43</v>
      </c>
      <c r="X7616" t="s">
        <v>43</v>
      </c>
      <c r="Y7616" t="s">
        <v>43</v>
      </c>
      <c r="Z7616" t="s">
        <v>43</v>
      </c>
      <c r="AA7616" t="s">
        <v>43</v>
      </c>
      <c r="AB7616" t="s">
        <v>43</v>
      </c>
      <c r="AC7616" t="s">
        <v>43</v>
      </c>
      <c r="AD7616" t="s">
        <v>43</v>
      </c>
      <c r="AE7616" t="s">
        <v>43</v>
      </c>
      <c r="AF7616" t="s">
        <v>43</v>
      </c>
      <c r="AG7616" t="s">
        <v>43</v>
      </c>
      <c r="AH7616" t="s">
        <v>43</v>
      </c>
      <c r="AI7616" t="s">
        <v>43</v>
      </c>
      <c r="AJ7616" t="s">
        <v>43</v>
      </c>
      <c r="AK7616" t="s">
        <v>43</v>
      </c>
      <c r="AL7616" t="s">
        <v>43</v>
      </c>
      <c r="AM7616" t="s">
        <v>43</v>
      </c>
      <c r="AN7616" t="s">
        <v>43</v>
      </c>
    </row>
    <row r="7617" spans="1:40" x14ac:dyDescent="0.3">
      <c r="A7617" s="1">
        <v>46210.117708333331</v>
      </c>
      <c r="B7617" t="s">
        <v>40</v>
      </c>
      <c r="C7617" t="s">
        <v>41</v>
      </c>
      <c r="D7617" s="1">
        <v>46210.120613425926</v>
      </c>
      <c r="E7617" t="s">
        <v>42</v>
      </c>
      <c r="F7617" t="s">
        <v>43</v>
      </c>
      <c r="G7617" t="s">
        <v>43</v>
      </c>
      <c r="H7617" t="s">
        <v>43</v>
      </c>
      <c r="I7617" t="s">
        <v>4301</v>
      </c>
      <c r="J7617" t="s">
        <v>43</v>
      </c>
      <c r="K7617" t="s">
        <v>43</v>
      </c>
      <c r="L7617" t="s">
        <v>43</v>
      </c>
      <c r="M7617" t="s">
        <v>43</v>
      </c>
      <c r="N7617" t="s">
        <v>45</v>
      </c>
      <c r="O7617" t="s">
        <v>43</v>
      </c>
      <c r="P7617" t="s">
        <v>43</v>
      </c>
      <c r="Q7617" t="s">
        <v>43</v>
      </c>
      <c r="R7617" t="s">
        <v>43</v>
      </c>
      <c r="S7617" t="s">
        <v>43</v>
      </c>
      <c r="T7617" t="s">
        <v>43</v>
      </c>
      <c r="U7617" t="s">
        <v>43</v>
      </c>
      <c r="V7617" t="s">
        <v>43</v>
      </c>
      <c r="W7617" t="s">
        <v>43</v>
      </c>
      <c r="X7617" t="s">
        <v>43</v>
      </c>
      <c r="Y7617" t="s">
        <v>43</v>
      </c>
      <c r="Z7617" t="s">
        <v>43</v>
      </c>
      <c r="AA7617" t="s">
        <v>43</v>
      </c>
      <c r="AB7617" t="s">
        <v>43</v>
      </c>
      <c r="AC7617" t="s">
        <v>43</v>
      </c>
      <c r="AD7617" t="s">
        <v>43</v>
      </c>
      <c r="AE7617" t="s">
        <v>43</v>
      </c>
      <c r="AF7617" t="s">
        <v>43</v>
      </c>
      <c r="AG7617" t="s">
        <v>43</v>
      </c>
      <c r="AH7617" t="s">
        <v>43</v>
      </c>
      <c r="AI7617" t="s">
        <v>43</v>
      </c>
      <c r="AJ7617" t="s">
        <v>43</v>
      </c>
      <c r="AK7617" t="s">
        <v>43</v>
      </c>
      <c r="AL7617" t="s">
        <v>43</v>
      </c>
      <c r="AM7617" t="s">
        <v>43</v>
      </c>
      <c r="AN7617" t="str">
        <f>HYPERLINK("https://www.google.com/maps?q=10.78969002,79.5787735","Open Location")</f>
        <v>Open Location</v>
      </c>
    </row>
    <row r="7618" spans="1:40" x14ac:dyDescent="0.3">
      <c r="A7618" s="1">
        <v>46210.117592592593</v>
      </c>
      <c r="B7618" t="s">
        <v>40</v>
      </c>
      <c r="C7618" t="s">
        <v>41</v>
      </c>
      <c r="D7618" s="1">
        <v>46210.120347222219</v>
      </c>
      <c r="E7618" t="s">
        <v>42</v>
      </c>
      <c r="F7618" t="s">
        <v>43</v>
      </c>
      <c r="G7618" t="s">
        <v>43</v>
      </c>
      <c r="H7618" t="s">
        <v>43</v>
      </c>
      <c r="I7618" t="s">
        <v>4302</v>
      </c>
      <c r="J7618" t="s">
        <v>43</v>
      </c>
      <c r="K7618" t="s">
        <v>43</v>
      </c>
      <c r="L7618" t="s">
        <v>43</v>
      </c>
      <c r="M7618" t="s">
        <v>43</v>
      </c>
      <c r="N7618" t="s">
        <v>45</v>
      </c>
      <c r="O7618" t="s">
        <v>43</v>
      </c>
      <c r="P7618" t="s">
        <v>43</v>
      </c>
      <c r="Q7618" t="s">
        <v>43</v>
      </c>
      <c r="R7618" t="s">
        <v>43</v>
      </c>
      <c r="S7618" t="s">
        <v>43</v>
      </c>
      <c r="T7618" t="s">
        <v>43</v>
      </c>
      <c r="U7618" t="s">
        <v>43</v>
      </c>
      <c r="V7618" t="s">
        <v>43</v>
      </c>
      <c r="W7618" t="s">
        <v>43</v>
      </c>
      <c r="X7618" t="s">
        <v>43</v>
      </c>
      <c r="Y7618" t="s">
        <v>43</v>
      </c>
      <c r="Z7618" t="s">
        <v>43</v>
      </c>
      <c r="AA7618" t="s">
        <v>43</v>
      </c>
      <c r="AB7618" t="s">
        <v>43</v>
      </c>
      <c r="AC7618" t="s">
        <v>43</v>
      </c>
      <c r="AD7618" t="s">
        <v>43</v>
      </c>
      <c r="AE7618" t="s">
        <v>43</v>
      </c>
      <c r="AF7618" t="s">
        <v>43</v>
      </c>
      <c r="AG7618" t="s">
        <v>43</v>
      </c>
      <c r="AH7618" t="s">
        <v>43</v>
      </c>
      <c r="AI7618" t="s">
        <v>43</v>
      </c>
      <c r="AJ7618" t="s">
        <v>43</v>
      </c>
      <c r="AK7618" t="s">
        <v>43</v>
      </c>
      <c r="AL7618" t="s">
        <v>43</v>
      </c>
      <c r="AM7618" t="s">
        <v>43</v>
      </c>
      <c r="AN7618" t="str">
        <f>HYPERLINK("https://www.google.com/maps?q=10.78969193,79.5787735","Open Location")</f>
        <v>Open Location</v>
      </c>
    </row>
    <row r="7619" spans="1:40" x14ac:dyDescent="0.3">
      <c r="A7619" s="1">
        <v>46210.117476851854</v>
      </c>
      <c r="B7619" t="s">
        <v>40</v>
      </c>
      <c r="C7619" t="s">
        <v>41</v>
      </c>
      <c r="D7619" s="1">
        <v>46210.120347222219</v>
      </c>
      <c r="E7619" t="s">
        <v>42</v>
      </c>
      <c r="F7619" t="s">
        <v>43</v>
      </c>
      <c r="G7619" t="s">
        <v>43</v>
      </c>
      <c r="H7619" t="s">
        <v>43</v>
      </c>
      <c r="I7619" t="s">
        <v>4303</v>
      </c>
      <c r="J7619" t="s">
        <v>43</v>
      </c>
      <c r="K7619" t="s">
        <v>43</v>
      </c>
      <c r="L7619" t="s">
        <v>43</v>
      </c>
      <c r="M7619" t="s">
        <v>43</v>
      </c>
      <c r="N7619" t="s">
        <v>45</v>
      </c>
      <c r="O7619" t="s">
        <v>43</v>
      </c>
      <c r="P7619" t="s">
        <v>43</v>
      </c>
      <c r="Q7619" t="s">
        <v>43</v>
      </c>
      <c r="R7619" t="s">
        <v>43</v>
      </c>
      <c r="S7619" t="s">
        <v>43</v>
      </c>
      <c r="T7619" t="s">
        <v>43</v>
      </c>
      <c r="U7619" t="s">
        <v>43</v>
      </c>
      <c r="V7619" t="s">
        <v>43</v>
      </c>
      <c r="W7619" t="s">
        <v>43</v>
      </c>
      <c r="X7619" t="s">
        <v>43</v>
      </c>
      <c r="Y7619" t="s">
        <v>43</v>
      </c>
      <c r="Z7619" t="s">
        <v>43</v>
      </c>
      <c r="AA7619" t="s">
        <v>43</v>
      </c>
      <c r="AB7619" t="s">
        <v>43</v>
      </c>
      <c r="AC7619" t="s">
        <v>43</v>
      </c>
      <c r="AD7619" t="s">
        <v>43</v>
      </c>
      <c r="AE7619" t="s">
        <v>43</v>
      </c>
      <c r="AF7619" t="s">
        <v>43</v>
      </c>
      <c r="AG7619" t="s">
        <v>43</v>
      </c>
      <c r="AH7619" t="s">
        <v>43</v>
      </c>
      <c r="AI7619" t="s">
        <v>43</v>
      </c>
      <c r="AJ7619" t="s">
        <v>43</v>
      </c>
      <c r="AK7619" t="s">
        <v>43</v>
      </c>
      <c r="AL7619" t="s">
        <v>43</v>
      </c>
      <c r="AM7619" t="s">
        <v>43</v>
      </c>
      <c r="AN7619" t="str">
        <f>HYPERLINK("https://www.google.com/maps?q=10.78969002,79.57878113","Open Location")</f>
        <v>Open Location</v>
      </c>
    </row>
    <row r="7620" spans="1:40" x14ac:dyDescent="0.3">
      <c r="A7620" s="1">
        <v>46210.117361111108</v>
      </c>
      <c r="B7620" t="s">
        <v>40</v>
      </c>
      <c r="C7620" t="s">
        <v>41</v>
      </c>
      <c r="D7620" s="1">
        <v>46210.120486111111</v>
      </c>
      <c r="E7620" t="s">
        <v>42</v>
      </c>
      <c r="F7620" t="s">
        <v>43</v>
      </c>
      <c r="G7620" t="s">
        <v>43</v>
      </c>
      <c r="H7620" t="s">
        <v>43</v>
      </c>
      <c r="I7620" t="s">
        <v>4209</v>
      </c>
      <c r="J7620" t="s">
        <v>43</v>
      </c>
      <c r="K7620" t="s">
        <v>43</v>
      </c>
      <c r="L7620" t="s">
        <v>43</v>
      </c>
      <c r="M7620" t="s">
        <v>43</v>
      </c>
      <c r="N7620" t="s">
        <v>45</v>
      </c>
      <c r="O7620" t="s">
        <v>43</v>
      </c>
      <c r="P7620" t="s">
        <v>43</v>
      </c>
      <c r="Q7620" t="s">
        <v>43</v>
      </c>
      <c r="R7620" t="s">
        <v>43</v>
      </c>
      <c r="S7620" t="s">
        <v>43</v>
      </c>
      <c r="T7620" t="s">
        <v>43</v>
      </c>
      <c r="U7620" t="s">
        <v>43</v>
      </c>
      <c r="V7620" t="s">
        <v>43</v>
      </c>
      <c r="W7620" t="s">
        <v>43</v>
      </c>
      <c r="X7620" t="s">
        <v>43</v>
      </c>
      <c r="Y7620" t="s">
        <v>43</v>
      </c>
      <c r="Z7620" t="s">
        <v>43</v>
      </c>
      <c r="AA7620" t="s">
        <v>43</v>
      </c>
      <c r="AB7620" t="s">
        <v>43</v>
      </c>
      <c r="AC7620" t="s">
        <v>43</v>
      </c>
      <c r="AD7620" t="s">
        <v>43</v>
      </c>
      <c r="AE7620" t="s">
        <v>43</v>
      </c>
      <c r="AF7620" t="s">
        <v>43</v>
      </c>
      <c r="AG7620" t="s">
        <v>43</v>
      </c>
      <c r="AH7620" t="s">
        <v>43</v>
      </c>
      <c r="AI7620" t="s">
        <v>43</v>
      </c>
      <c r="AJ7620" t="s">
        <v>43</v>
      </c>
      <c r="AK7620" t="s">
        <v>43</v>
      </c>
      <c r="AL7620" t="s">
        <v>43</v>
      </c>
      <c r="AM7620" t="s">
        <v>43</v>
      </c>
      <c r="AN7620" t="str">
        <f>HYPERLINK("https://www.google.com/maps?q=10.78968334,79.57876587","Open Location")</f>
        <v>Open Location</v>
      </c>
    </row>
    <row r="7621" spans="1:40" x14ac:dyDescent="0.3">
      <c r="A7621" s="1">
        <v>46210.117245370369</v>
      </c>
      <c r="B7621" t="s">
        <v>40</v>
      </c>
      <c r="C7621" t="s">
        <v>41</v>
      </c>
      <c r="D7621" s="1">
        <v>46210.120416666665</v>
      </c>
      <c r="E7621" t="s">
        <v>42</v>
      </c>
      <c r="F7621" t="s">
        <v>43</v>
      </c>
      <c r="G7621" t="s">
        <v>43</v>
      </c>
      <c r="H7621" t="s">
        <v>43</v>
      </c>
      <c r="I7621" t="s">
        <v>43</v>
      </c>
      <c r="J7621" t="s">
        <v>43</v>
      </c>
      <c r="K7621" t="s">
        <v>43</v>
      </c>
      <c r="L7621" t="s">
        <v>43</v>
      </c>
      <c r="M7621" t="s">
        <v>43</v>
      </c>
      <c r="N7621" t="s">
        <v>45</v>
      </c>
      <c r="O7621" t="s">
        <v>43</v>
      </c>
      <c r="P7621" t="s">
        <v>43</v>
      </c>
      <c r="Q7621" t="s">
        <v>43</v>
      </c>
      <c r="R7621" t="s">
        <v>43</v>
      </c>
      <c r="S7621" t="s">
        <v>43</v>
      </c>
      <c r="T7621" t="s">
        <v>43</v>
      </c>
      <c r="U7621" t="s">
        <v>43</v>
      </c>
      <c r="V7621" t="s">
        <v>43</v>
      </c>
      <c r="W7621" t="s">
        <v>43</v>
      </c>
      <c r="X7621" t="s">
        <v>43</v>
      </c>
      <c r="Y7621" t="s">
        <v>43</v>
      </c>
      <c r="Z7621" t="s">
        <v>43</v>
      </c>
      <c r="AA7621" t="s">
        <v>43</v>
      </c>
      <c r="AB7621" t="s">
        <v>43</v>
      </c>
      <c r="AC7621" t="s">
        <v>43</v>
      </c>
      <c r="AD7621" t="s">
        <v>43</v>
      </c>
      <c r="AE7621" t="s">
        <v>43</v>
      </c>
      <c r="AF7621" t="s">
        <v>43</v>
      </c>
      <c r="AG7621" t="s">
        <v>43</v>
      </c>
      <c r="AH7621" t="s">
        <v>43</v>
      </c>
      <c r="AI7621" t="s">
        <v>43</v>
      </c>
      <c r="AJ7621" t="s">
        <v>43</v>
      </c>
      <c r="AK7621" t="s">
        <v>43</v>
      </c>
      <c r="AL7621" t="s">
        <v>43</v>
      </c>
      <c r="AM7621" t="s">
        <v>43</v>
      </c>
      <c r="AN7621" t="s">
        <v>43</v>
      </c>
    </row>
    <row r="7622" spans="1:40" x14ac:dyDescent="0.3">
      <c r="A7622" s="1">
        <v>46210.117129629631</v>
      </c>
      <c r="B7622" t="s">
        <v>40</v>
      </c>
      <c r="C7622" t="s">
        <v>41</v>
      </c>
      <c r="D7622" s="1">
        <v>46210.120115740741</v>
      </c>
      <c r="E7622" t="s">
        <v>42</v>
      </c>
      <c r="F7622" t="s">
        <v>43</v>
      </c>
      <c r="G7622" t="s">
        <v>43</v>
      </c>
      <c r="H7622" t="s">
        <v>43</v>
      </c>
      <c r="I7622" t="s">
        <v>4304</v>
      </c>
      <c r="J7622" t="s">
        <v>43</v>
      </c>
      <c r="K7622" t="s">
        <v>43</v>
      </c>
      <c r="L7622" t="s">
        <v>43</v>
      </c>
      <c r="M7622" t="s">
        <v>43</v>
      </c>
      <c r="N7622" t="s">
        <v>45</v>
      </c>
      <c r="O7622" t="s">
        <v>43</v>
      </c>
      <c r="P7622" t="s">
        <v>43</v>
      </c>
      <c r="Q7622" t="s">
        <v>43</v>
      </c>
      <c r="R7622" t="s">
        <v>43</v>
      </c>
      <c r="S7622" t="s">
        <v>43</v>
      </c>
      <c r="T7622" t="s">
        <v>43</v>
      </c>
      <c r="U7622" t="s">
        <v>43</v>
      </c>
      <c r="V7622" t="s">
        <v>43</v>
      </c>
      <c r="W7622" t="s">
        <v>43</v>
      </c>
      <c r="X7622" t="s">
        <v>43</v>
      </c>
      <c r="Y7622" t="s">
        <v>43</v>
      </c>
      <c r="Z7622" t="s">
        <v>43</v>
      </c>
      <c r="AA7622" t="s">
        <v>43</v>
      </c>
      <c r="AB7622" t="s">
        <v>43</v>
      </c>
      <c r="AC7622" t="s">
        <v>43</v>
      </c>
      <c r="AD7622" t="s">
        <v>43</v>
      </c>
      <c r="AE7622" t="s">
        <v>43</v>
      </c>
      <c r="AF7622" t="s">
        <v>43</v>
      </c>
      <c r="AG7622" t="s">
        <v>43</v>
      </c>
      <c r="AH7622" t="s">
        <v>43</v>
      </c>
      <c r="AI7622" t="s">
        <v>43</v>
      </c>
      <c r="AJ7622" t="s">
        <v>43</v>
      </c>
      <c r="AK7622" t="s">
        <v>43</v>
      </c>
      <c r="AL7622" t="s">
        <v>43</v>
      </c>
      <c r="AM7622" t="s">
        <v>43</v>
      </c>
      <c r="AN7622" t="str">
        <f>HYPERLINK("https://www.google.com/maps?q=10.78967857,79.57875824","Open Location")</f>
        <v>Open Location</v>
      </c>
    </row>
    <row r="7623" spans="1:40" x14ac:dyDescent="0.3">
      <c r="A7623" s="1">
        <v>46210.117013888892</v>
      </c>
      <c r="B7623" t="s">
        <v>40</v>
      </c>
      <c r="C7623" t="s">
        <v>41</v>
      </c>
      <c r="D7623" s="1">
        <v>46210.120115740741</v>
      </c>
      <c r="E7623" t="s">
        <v>42</v>
      </c>
      <c r="F7623" t="s">
        <v>43</v>
      </c>
      <c r="G7623" t="s">
        <v>43</v>
      </c>
      <c r="H7623" t="s">
        <v>43</v>
      </c>
      <c r="I7623" t="s">
        <v>4304</v>
      </c>
      <c r="J7623" t="s">
        <v>43</v>
      </c>
      <c r="K7623" t="s">
        <v>43</v>
      </c>
      <c r="L7623" t="s">
        <v>43</v>
      </c>
      <c r="M7623" t="s">
        <v>43</v>
      </c>
      <c r="N7623" t="s">
        <v>45</v>
      </c>
      <c r="O7623" t="s">
        <v>43</v>
      </c>
      <c r="P7623" t="s">
        <v>43</v>
      </c>
      <c r="Q7623" t="s">
        <v>43</v>
      </c>
      <c r="R7623" t="s">
        <v>43</v>
      </c>
      <c r="S7623" t="s">
        <v>43</v>
      </c>
      <c r="T7623" t="s">
        <v>43</v>
      </c>
      <c r="U7623" t="s">
        <v>43</v>
      </c>
      <c r="V7623" t="s">
        <v>43</v>
      </c>
      <c r="W7623" t="s">
        <v>43</v>
      </c>
      <c r="X7623" t="s">
        <v>43</v>
      </c>
      <c r="Y7623" t="s">
        <v>43</v>
      </c>
      <c r="Z7623" t="s">
        <v>43</v>
      </c>
      <c r="AA7623" t="s">
        <v>43</v>
      </c>
      <c r="AB7623" t="s">
        <v>43</v>
      </c>
      <c r="AC7623" t="s">
        <v>43</v>
      </c>
      <c r="AD7623" t="s">
        <v>43</v>
      </c>
      <c r="AE7623" t="s">
        <v>43</v>
      </c>
      <c r="AF7623" t="s">
        <v>43</v>
      </c>
      <c r="AG7623" t="s">
        <v>43</v>
      </c>
      <c r="AH7623" t="s">
        <v>43</v>
      </c>
      <c r="AI7623" t="s">
        <v>43</v>
      </c>
      <c r="AJ7623" t="s">
        <v>43</v>
      </c>
      <c r="AK7623" t="s">
        <v>43</v>
      </c>
      <c r="AL7623" t="s">
        <v>43</v>
      </c>
      <c r="AM7623" t="s">
        <v>43</v>
      </c>
      <c r="AN7623" t="str">
        <f>HYPERLINK("https://www.google.com/maps?q=10.78967857,79.57875824","Open Location")</f>
        <v>Open Location</v>
      </c>
    </row>
    <row r="7624" spans="1:40" x14ac:dyDescent="0.3">
      <c r="A7624" s="1">
        <v>46210.116898148146</v>
      </c>
      <c r="B7624" t="s">
        <v>40</v>
      </c>
      <c r="C7624" t="s">
        <v>41</v>
      </c>
      <c r="D7624" s="1">
        <v>46210.119664351849</v>
      </c>
      <c r="E7624" t="s">
        <v>42</v>
      </c>
      <c r="F7624" t="s">
        <v>43</v>
      </c>
      <c r="G7624" t="s">
        <v>43</v>
      </c>
      <c r="H7624" t="s">
        <v>43</v>
      </c>
      <c r="I7624" t="s">
        <v>4305</v>
      </c>
      <c r="J7624" t="s">
        <v>43</v>
      </c>
      <c r="K7624" t="s">
        <v>43</v>
      </c>
      <c r="L7624" t="s">
        <v>43</v>
      </c>
      <c r="M7624" t="s">
        <v>43</v>
      </c>
      <c r="N7624" t="s">
        <v>45</v>
      </c>
      <c r="O7624" t="s">
        <v>43</v>
      </c>
      <c r="P7624" t="s">
        <v>43</v>
      </c>
      <c r="Q7624" t="s">
        <v>43</v>
      </c>
      <c r="R7624" t="s">
        <v>43</v>
      </c>
      <c r="S7624" t="s">
        <v>43</v>
      </c>
      <c r="T7624" t="s">
        <v>43</v>
      </c>
      <c r="U7624" t="s">
        <v>43</v>
      </c>
      <c r="V7624" t="s">
        <v>43</v>
      </c>
      <c r="W7624" t="s">
        <v>43</v>
      </c>
      <c r="X7624" t="s">
        <v>43</v>
      </c>
      <c r="Y7624" t="s">
        <v>43</v>
      </c>
      <c r="Z7624" t="s">
        <v>43</v>
      </c>
      <c r="AA7624" t="s">
        <v>43</v>
      </c>
      <c r="AB7624" t="s">
        <v>43</v>
      </c>
      <c r="AC7624" t="s">
        <v>43</v>
      </c>
      <c r="AD7624" t="s">
        <v>43</v>
      </c>
      <c r="AE7624" t="s">
        <v>43</v>
      </c>
      <c r="AF7624" t="s">
        <v>43</v>
      </c>
      <c r="AG7624" t="s">
        <v>43</v>
      </c>
      <c r="AH7624" t="s">
        <v>43</v>
      </c>
      <c r="AI7624" t="s">
        <v>43</v>
      </c>
      <c r="AJ7624" t="s">
        <v>43</v>
      </c>
      <c r="AK7624" t="s">
        <v>43</v>
      </c>
      <c r="AL7624" t="s">
        <v>43</v>
      </c>
      <c r="AM7624" t="s">
        <v>43</v>
      </c>
      <c r="AN7624" t="str">
        <f>HYPERLINK("https://www.google.com/maps?q=10.78968143,79.57876587","Open Location")</f>
        <v>Open Location</v>
      </c>
    </row>
    <row r="7625" spans="1:40" x14ac:dyDescent="0.3">
      <c r="A7625" s="1">
        <v>46210.116782407407</v>
      </c>
      <c r="B7625" t="s">
        <v>40</v>
      </c>
      <c r="C7625" t="s">
        <v>41</v>
      </c>
      <c r="D7625" s="1">
        <v>46210.119675925926</v>
      </c>
      <c r="E7625" t="s">
        <v>42</v>
      </c>
      <c r="F7625" t="s">
        <v>43</v>
      </c>
      <c r="G7625" t="s">
        <v>43</v>
      </c>
      <c r="H7625" t="s">
        <v>43</v>
      </c>
      <c r="I7625" t="s">
        <v>4210</v>
      </c>
      <c r="J7625" t="s">
        <v>43</v>
      </c>
      <c r="K7625" t="s">
        <v>43</v>
      </c>
      <c r="L7625" t="s">
        <v>43</v>
      </c>
      <c r="M7625" t="s">
        <v>43</v>
      </c>
      <c r="N7625" t="s">
        <v>45</v>
      </c>
      <c r="O7625" t="s">
        <v>43</v>
      </c>
      <c r="P7625" t="s">
        <v>43</v>
      </c>
      <c r="Q7625" t="s">
        <v>43</v>
      </c>
      <c r="R7625" t="s">
        <v>43</v>
      </c>
      <c r="S7625" t="s">
        <v>43</v>
      </c>
      <c r="T7625" t="s">
        <v>43</v>
      </c>
      <c r="U7625" t="s">
        <v>43</v>
      </c>
      <c r="V7625" t="s">
        <v>43</v>
      </c>
      <c r="W7625" t="s">
        <v>43</v>
      </c>
      <c r="X7625" t="s">
        <v>43</v>
      </c>
      <c r="Y7625" t="s">
        <v>43</v>
      </c>
      <c r="Z7625" t="s">
        <v>43</v>
      </c>
      <c r="AA7625" t="s">
        <v>43</v>
      </c>
      <c r="AB7625" t="s">
        <v>43</v>
      </c>
      <c r="AC7625" t="s">
        <v>43</v>
      </c>
      <c r="AD7625" t="s">
        <v>43</v>
      </c>
      <c r="AE7625" t="s">
        <v>43</v>
      </c>
      <c r="AF7625" t="s">
        <v>43</v>
      </c>
      <c r="AG7625" t="s">
        <v>43</v>
      </c>
      <c r="AH7625" t="s">
        <v>43</v>
      </c>
      <c r="AI7625" t="s">
        <v>43</v>
      </c>
      <c r="AJ7625" t="s">
        <v>43</v>
      </c>
      <c r="AK7625" t="s">
        <v>43</v>
      </c>
      <c r="AL7625" t="s">
        <v>43</v>
      </c>
      <c r="AM7625" t="s">
        <v>43</v>
      </c>
      <c r="AN7625" t="str">
        <f>HYPERLINK("https://www.google.com/maps?q=10.78968716,79.57876587","Open Location")</f>
        <v>Open Location</v>
      </c>
    </row>
    <row r="7626" spans="1:40" x14ac:dyDescent="0.3">
      <c r="A7626" s="1">
        <v>46210.116666666669</v>
      </c>
      <c r="B7626" t="s">
        <v>40</v>
      </c>
      <c r="C7626" t="s">
        <v>41</v>
      </c>
      <c r="D7626" s="1">
        <v>46210.11954861111</v>
      </c>
      <c r="E7626" t="s">
        <v>42</v>
      </c>
      <c r="F7626" t="s">
        <v>43</v>
      </c>
      <c r="G7626" t="s">
        <v>43</v>
      </c>
      <c r="H7626" t="s">
        <v>43</v>
      </c>
      <c r="I7626" t="s">
        <v>4306</v>
      </c>
      <c r="J7626" t="s">
        <v>43</v>
      </c>
      <c r="K7626" t="s">
        <v>43</v>
      </c>
      <c r="L7626" t="s">
        <v>43</v>
      </c>
      <c r="M7626" t="s">
        <v>43</v>
      </c>
      <c r="N7626" t="s">
        <v>45</v>
      </c>
      <c r="O7626" t="s">
        <v>43</v>
      </c>
      <c r="P7626" t="s">
        <v>43</v>
      </c>
      <c r="Q7626" t="s">
        <v>43</v>
      </c>
      <c r="R7626" t="s">
        <v>43</v>
      </c>
      <c r="S7626" t="s">
        <v>43</v>
      </c>
      <c r="T7626" t="s">
        <v>43</v>
      </c>
      <c r="U7626" t="s">
        <v>43</v>
      </c>
      <c r="V7626" t="s">
        <v>43</v>
      </c>
      <c r="W7626" t="s">
        <v>43</v>
      </c>
      <c r="X7626" t="s">
        <v>43</v>
      </c>
      <c r="Y7626" t="s">
        <v>43</v>
      </c>
      <c r="Z7626" t="s">
        <v>43</v>
      </c>
      <c r="AA7626" t="s">
        <v>43</v>
      </c>
      <c r="AB7626" t="s">
        <v>43</v>
      </c>
      <c r="AC7626" t="s">
        <v>43</v>
      </c>
      <c r="AD7626" t="s">
        <v>43</v>
      </c>
      <c r="AE7626" t="s">
        <v>43</v>
      </c>
      <c r="AF7626" t="s">
        <v>43</v>
      </c>
      <c r="AG7626" t="s">
        <v>43</v>
      </c>
      <c r="AH7626" t="s">
        <v>43</v>
      </c>
      <c r="AI7626" t="s">
        <v>43</v>
      </c>
      <c r="AJ7626" t="s">
        <v>43</v>
      </c>
      <c r="AK7626" t="s">
        <v>43</v>
      </c>
      <c r="AL7626" t="s">
        <v>43</v>
      </c>
      <c r="AM7626" t="s">
        <v>43</v>
      </c>
      <c r="AN7626" t="str">
        <f>HYPERLINK("https://www.google.com/maps?q=10.78969097,79.57876587","Open Location")</f>
        <v>Open Location</v>
      </c>
    </row>
    <row r="7627" spans="1:40" x14ac:dyDescent="0.3">
      <c r="A7627" s="1">
        <v>46210.116550925923</v>
      </c>
      <c r="B7627" t="s">
        <v>40</v>
      </c>
      <c r="C7627" t="s">
        <v>41</v>
      </c>
      <c r="D7627" s="1">
        <v>46210.119687500002</v>
      </c>
      <c r="E7627" t="s">
        <v>42</v>
      </c>
      <c r="F7627" t="s">
        <v>43</v>
      </c>
      <c r="G7627" t="s">
        <v>43</v>
      </c>
      <c r="H7627" t="s">
        <v>43</v>
      </c>
      <c r="I7627" t="s">
        <v>43</v>
      </c>
      <c r="J7627" t="s">
        <v>43</v>
      </c>
      <c r="K7627" t="s">
        <v>43</v>
      </c>
      <c r="L7627" t="s">
        <v>43</v>
      </c>
      <c r="M7627" t="s">
        <v>43</v>
      </c>
      <c r="N7627" t="s">
        <v>45</v>
      </c>
      <c r="O7627" t="s">
        <v>43</v>
      </c>
      <c r="P7627" t="s">
        <v>43</v>
      </c>
      <c r="Q7627" t="s">
        <v>43</v>
      </c>
      <c r="R7627" t="s">
        <v>43</v>
      </c>
      <c r="S7627" t="s">
        <v>43</v>
      </c>
      <c r="T7627" t="s">
        <v>43</v>
      </c>
      <c r="U7627" t="s">
        <v>43</v>
      </c>
      <c r="V7627" t="s">
        <v>43</v>
      </c>
      <c r="W7627" t="s">
        <v>43</v>
      </c>
      <c r="X7627" t="s">
        <v>43</v>
      </c>
      <c r="Y7627" t="s">
        <v>43</v>
      </c>
      <c r="Z7627" t="s">
        <v>43</v>
      </c>
      <c r="AA7627" t="s">
        <v>43</v>
      </c>
      <c r="AB7627" t="s">
        <v>43</v>
      </c>
      <c r="AC7627" t="s">
        <v>43</v>
      </c>
      <c r="AD7627" t="s">
        <v>43</v>
      </c>
      <c r="AE7627" t="s">
        <v>43</v>
      </c>
      <c r="AF7627" t="s">
        <v>43</v>
      </c>
      <c r="AG7627" t="s">
        <v>43</v>
      </c>
      <c r="AH7627" t="s">
        <v>43</v>
      </c>
      <c r="AI7627" t="s">
        <v>43</v>
      </c>
      <c r="AJ7627" t="s">
        <v>43</v>
      </c>
      <c r="AK7627" t="s">
        <v>43</v>
      </c>
      <c r="AL7627" t="s">
        <v>43</v>
      </c>
      <c r="AM7627" t="s">
        <v>43</v>
      </c>
      <c r="AN7627" t="s">
        <v>43</v>
      </c>
    </row>
    <row r="7628" spans="1:40" x14ac:dyDescent="0.3">
      <c r="A7628" s="1">
        <v>46210.116435185184</v>
      </c>
      <c r="B7628" t="s">
        <v>40</v>
      </c>
      <c r="C7628" t="s">
        <v>41</v>
      </c>
      <c r="D7628" s="1">
        <v>46210.11928240741</v>
      </c>
      <c r="E7628" t="s">
        <v>42</v>
      </c>
      <c r="F7628" t="s">
        <v>43</v>
      </c>
      <c r="G7628" t="s">
        <v>43</v>
      </c>
      <c r="H7628" t="s">
        <v>43</v>
      </c>
      <c r="I7628" t="s">
        <v>4307</v>
      </c>
      <c r="J7628" t="s">
        <v>43</v>
      </c>
      <c r="K7628" t="s">
        <v>43</v>
      </c>
      <c r="L7628" t="s">
        <v>43</v>
      </c>
      <c r="M7628" t="s">
        <v>43</v>
      </c>
      <c r="N7628" t="s">
        <v>45</v>
      </c>
      <c r="O7628" t="s">
        <v>43</v>
      </c>
      <c r="P7628" t="s">
        <v>43</v>
      </c>
      <c r="Q7628" t="s">
        <v>43</v>
      </c>
      <c r="R7628" t="s">
        <v>43</v>
      </c>
      <c r="S7628" t="s">
        <v>43</v>
      </c>
      <c r="T7628" t="s">
        <v>43</v>
      </c>
      <c r="U7628" t="s">
        <v>43</v>
      </c>
      <c r="V7628" t="s">
        <v>43</v>
      </c>
      <c r="W7628" t="s">
        <v>43</v>
      </c>
      <c r="X7628" t="s">
        <v>43</v>
      </c>
      <c r="Y7628" t="s">
        <v>43</v>
      </c>
      <c r="Z7628" t="s">
        <v>43</v>
      </c>
      <c r="AA7628" t="s">
        <v>43</v>
      </c>
      <c r="AB7628" t="s">
        <v>43</v>
      </c>
      <c r="AC7628" t="s">
        <v>43</v>
      </c>
      <c r="AD7628" t="s">
        <v>43</v>
      </c>
      <c r="AE7628" t="s">
        <v>43</v>
      </c>
      <c r="AF7628" t="s">
        <v>43</v>
      </c>
      <c r="AG7628" t="s">
        <v>43</v>
      </c>
      <c r="AH7628" t="s">
        <v>43</v>
      </c>
      <c r="AI7628" t="s">
        <v>43</v>
      </c>
      <c r="AJ7628" t="s">
        <v>43</v>
      </c>
      <c r="AK7628" t="s">
        <v>43</v>
      </c>
      <c r="AL7628" t="s">
        <v>43</v>
      </c>
      <c r="AM7628" t="s">
        <v>43</v>
      </c>
      <c r="AN7628" t="str">
        <f>HYPERLINK("https://www.google.com/maps?q=10.78968811,79.57878113","Open Location")</f>
        <v>Open Location</v>
      </c>
    </row>
    <row r="7629" spans="1:40" x14ac:dyDescent="0.3">
      <c r="A7629" s="1">
        <v>46210.116319444445</v>
      </c>
      <c r="B7629" t="s">
        <v>40</v>
      </c>
      <c r="C7629" t="s">
        <v>41</v>
      </c>
      <c r="D7629" s="1">
        <v>46210.119166666664</v>
      </c>
      <c r="E7629" t="s">
        <v>42</v>
      </c>
      <c r="F7629" t="s">
        <v>43</v>
      </c>
      <c r="G7629" t="s">
        <v>43</v>
      </c>
      <c r="H7629" t="s">
        <v>43</v>
      </c>
      <c r="I7629" t="s">
        <v>4308</v>
      </c>
      <c r="J7629" t="s">
        <v>43</v>
      </c>
      <c r="K7629" t="s">
        <v>43</v>
      </c>
      <c r="L7629" t="s">
        <v>43</v>
      </c>
      <c r="M7629" t="s">
        <v>43</v>
      </c>
      <c r="N7629" t="s">
        <v>45</v>
      </c>
      <c r="O7629" t="s">
        <v>43</v>
      </c>
      <c r="P7629" t="s">
        <v>43</v>
      </c>
      <c r="Q7629" t="s">
        <v>43</v>
      </c>
      <c r="R7629" t="s">
        <v>43</v>
      </c>
      <c r="S7629" t="s">
        <v>43</v>
      </c>
      <c r="T7629" t="s">
        <v>43</v>
      </c>
      <c r="U7629" t="s">
        <v>43</v>
      </c>
      <c r="V7629" t="s">
        <v>43</v>
      </c>
      <c r="W7629" t="s">
        <v>43</v>
      </c>
      <c r="X7629" t="s">
        <v>43</v>
      </c>
      <c r="Y7629" t="s">
        <v>43</v>
      </c>
      <c r="Z7629" t="s">
        <v>43</v>
      </c>
      <c r="AA7629" t="s">
        <v>43</v>
      </c>
      <c r="AB7629" t="s">
        <v>43</v>
      </c>
      <c r="AC7629" t="s">
        <v>43</v>
      </c>
      <c r="AD7629" t="s">
        <v>43</v>
      </c>
      <c r="AE7629" t="s">
        <v>43</v>
      </c>
      <c r="AF7629" t="s">
        <v>43</v>
      </c>
      <c r="AG7629" t="s">
        <v>43</v>
      </c>
      <c r="AH7629" t="s">
        <v>43</v>
      </c>
      <c r="AI7629" t="s">
        <v>43</v>
      </c>
      <c r="AJ7629" t="s">
        <v>43</v>
      </c>
      <c r="AK7629" t="s">
        <v>43</v>
      </c>
      <c r="AL7629" t="s">
        <v>43</v>
      </c>
      <c r="AM7629" t="s">
        <v>43</v>
      </c>
      <c r="AN7629" t="str">
        <f>HYPERLINK("https://www.google.com/maps?q=10.78968716,79.57878113","Open Location")</f>
        <v>Open Location</v>
      </c>
    </row>
    <row r="7630" spans="1:40" x14ac:dyDescent="0.3">
      <c r="A7630" s="1">
        <v>46210.116203703707</v>
      </c>
      <c r="B7630" t="s">
        <v>40</v>
      </c>
      <c r="C7630" t="s">
        <v>41</v>
      </c>
      <c r="D7630" s="1">
        <v>46210.119189814817</v>
      </c>
      <c r="E7630" t="s">
        <v>42</v>
      </c>
      <c r="F7630" t="s">
        <v>43</v>
      </c>
      <c r="G7630" t="s">
        <v>43</v>
      </c>
      <c r="H7630" t="s">
        <v>43</v>
      </c>
      <c r="I7630" t="s">
        <v>4155</v>
      </c>
      <c r="J7630" t="s">
        <v>43</v>
      </c>
      <c r="K7630" t="s">
        <v>43</v>
      </c>
      <c r="L7630" t="s">
        <v>43</v>
      </c>
      <c r="M7630" t="s">
        <v>43</v>
      </c>
      <c r="N7630" t="s">
        <v>45</v>
      </c>
      <c r="O7630" t="s">
        <v>43</v>
      </c>
      <c r="P7630" t="s">
        <v>43</v>
      </c>
      <c r="Q7630" t="s">
        <v>43</v>
      </c>
      <c r="R7630" t="s">
        <v>43</v>
      </c>
      <c r="S7630" t="s">
        <v>43</v>
      </c>
      <c r="T7630" t="s">
        <v>43</v>
      </c>
      <c r="U7630" t="s">
        <v>43</v>
      </c>
      <c r="V7630" t="s">
        <v>43</v>
      </c>
      <c r="W7630" t="s">
        <v>43</v>
      </c>
      <c r="X7630" t="s">
        <v>43</v>
      </c>
      <c r="Y7630" t="s">
        <v>43</v>
      </c>
      <c r="Z7630" t="s">
        <v>43</v>
      </c>
      <c r="AA7630" t="s">
        <v>43</v>
      </c>
      <c r="AB7630" t="s">
        <v>43</v>
      </c>
      <c r="AC7630" t="s">
        <v>43</v>
      </c>
      <c r="AD7630" t="s">
        <v>43</v>
      </c>
      <c r="AE7630" t="s">
        <v>43</v>
      </c>
      <c r="AF7630" t="s">
        <v>43</v>
      </c>
      <c r="AG7630" t="s">
        <v>43</v>
      </c>
      <c r="AH7630" t="s">
        <v>43</v>
      </c>
      <c r="AI7630" t="s">
        <v>43</v>
      </c>
      <c r="AJ7630" t="s">
        <v>43</v>
      </c>
      <c r="AK7630" t="s">
        <v>43</v>
      </c>
      <c r="AL7630" t="s">
        <v>43</v>
      </c>
      <c r="AM7630" t="s">
        <v>43</v>
      </c>
      <c r="AN7630" t="str">
        <f>HYPERLINK("https://www.google.com/maps?q=10.78968334,79.57878876","Open Location")</f>
        <v>Open Location</v>
      </c>
    </row>
    <row r="7631" spans="1:40" x14ac:dyDescent="0.3">
      <c r="A7631" s="1">
        <v>46210.116087962961</v>
      </c>
      <c r="B7631" t="s">
        <v>40</v>
      </c>
      <c r="C7631" t="s">
        <v>41</v>
      </c>
      <c r="D7631" s="1">
        <v>46210.119189814817</v>
      </c>
      <c r="E7631" t="s">
        <v>42</v>
      </c>
      <c r="F7631" t="s">
        <v>43</v>
      </c>
      <c r="G7631" t="s">
        <v>43</v>
      </c>
      <c r="H7631" t="s">
        <v>43</v>
      </c>
      <c r="I7631" t="s">
        <v>4220</v>
      </c>
      <c r="J7631" t="s">
        <v>43</v>
      </c>
      <c r="K7631" t="s">
        <v>43</v>
      </c>
      <c r="L7631" t="s">
        <v>43</v>
      </c>
      <c r="M7631" t="s">
        <v>43</v>
      </c>
      <c r="N7631" t="s">
        <v>45</v>
      </c>
      <c r="O7631" t="s">
        <v>43</v>
      </c>
      <c r="P7631" t="s">
        <v>43</v>
      </c>
      <c r="Q7631" t="s">
        <v>43</v>
      </c>
      <c r="R7631" t="s">
        <v>43</v>
      </c>
      <c r="S7631" t="s">
        <v>43</v>
      </c>
      <c r="T7631" t="s">
        <v>43</v>
      </c>
      <c r="U7631" t="s">
        <v>43</v>
      </c>
      <c r="V7631" t="s">
        <v>43</v>
      </c>
      <c r="W7631" t="s">
        <v>43</v>
      </c>
      <c r="X7631" t="s">
        <v>43</v>
      </c>
      <c r="Y7631" t="s">
        <v>43</v>
      </c>
      <c r="Z7631" t="s">
        <v>43</v>
      </c>
      <c r="AA7631" t="s">
        <v>43</v>
      </c>
      <c r="AB7631" t="s">
        <v>43</v>
      </c>
      <c r="AC7631" t="s">
        <v>43</v>
      </c>
      <c r="AD7631" t="s">
        <v>43</v>
      </c>
      <c r="AE7631" t="s">
        <v>43</v>
      </c>
      <c r="AF7631" t="s">
        <v>43</v>
      </c>
      <c r="AG7631" t="s">
        <v>43</v>
      </c>
      <c r="AH7631" t="s">
        <v>43</v>
      </c>
      <c r="AI7631" t="s">
        <v>43</v>
      </c>
      <c r="AJ7631" t="s">
        <v>43</v>
      </c>
      <c r="AK7631" t="s">
        <v>43</v>
      </c>
      <c r="AL7631" t="s">
        <v>43</v>
      </c>
      <c r="AM7631" t="s">
        <v>43</v>
      </c>
      <c r="AN7631" t="str">
        <f>HYPERLINK("https://www.google.com/maps?q=10.78968143,79.57878876","Open Location")</f>
        <v>Open Location</v>
      </c>
    </row>
    <row r="7632" spans="1:40" x14ac:dyDescent="0.3">
      <c r="A7632" s="1">
        <v>46210.115972222222</v>
      </c>
      <c r="B7632" t="s">
        <v>40</v>
      </c>
      <c r="C7632" t="s">
        <v>41</v>
      </c>
      <c r="D7632" s="1">
        <v>46210.118819444448</v>
      </c>
      <c r="E7632" t="s">
        <v>42</v>
      </c>
      <c r="F7632" t="s">
        <v>43</v>
      </c>
      <c r="G7632" t="s">
        <v>43</v>
      </c>
      <c r="H7632" t="s">
        <v>43</v>
      </c>
      <c r="I7632" t="s">
        <v>4217</v>
      </c>
      <c r="J7632" t="s">
        <v>43</v>
      </c>
      <c r="K7632" t="s">
        <v>43</v>
      </c>
      <c r="L7632" t="s">
        <v>43</v>
      </c>
      <c r="M7632" t="s">
        <v>43</v>
      </c>
      <c r="N7632" t="s">
        <v>45</v>
      </c>
      <c r="O7632" t="s">
        <v>43</v>
      </c>
      <c r="P7632" t="s">
        <v>43</v>
      </c>
      <c r="Q7632" t="s">
        <v>43</v>
      </c>
      <c r="R7632" t="s">
        <v>43</v>
      </c>
      <c r="S7632" t="s">
        <v>43</v>
      </c>
      <c r="T7632" t="s">
        <v>43</v>
      </c>
      <c r="U7632" t="s">
        <v>43</v>
      </c>
      <c r="V7632" t="s">
        <v>43</v>
      </c>
      <c r="W7632" t="s">
        <v>43</v>
      </c>
      <c r="X7632" t="s">
        <v>43</v>
      </c>
      <c r="Y7632" t="s">
        <v>43</v>
      </c>
      <c r="Z7632" t="s">
        <v>43</v>
      </c>
      <c r="AA7632" t="s">
        <v>43</v>
      </c>
      <c r="AB7632" t="s">
        <v>43</v>
      </c>
      <c r="AC7632" t="s">
        <v>43</v>
      </c>
      <c r="AD7632" t="s">
        <v>43</v>
      </c>
      <c r="AE7632" t="s">
        <v>43</v>
      </c>
      <c r="AF7632" t="s">
        <v>43</v>
      </c>
      <c r="AG7632" t="s">
        <v>43</v>
      </c>
      <c r="AH7632" t="s">
        <v>43</v>
      </c>
      <c r="AI7632" t="s">
        <v>43</v>
      </c>
      <c r="AJ7632" t="s">
        <v>43</v>
      </c>
      <c r="AK7632" t="s">
        <v>43</v>
      </c>
      <c r="AL7632" t="s">
        <v>43</v>
      </c>
      <c r="AM7632" t="s">
        <v>43</v>
      </c>
      <c r="AN7632" t="str">
        <f>HYPERLINK("https://www.google.com/maps?q=10.78967476,79.57878876","Open Location")</f>
        <v>Open Location</v>
      </c>
    </row>
    <row r="7633" spans="1:40" x14ac:dyDescent="0.3">
      <c r="A7633" s="1">
        <v>46210.115856481483</v>
      </c>
      <c r="B7633" t="s">
        <v>40</v>
      </c>
      <c r="C7633" t="s">
        <v>41</v>
      </c>
      <c r="D7633" s="1">
        <v>46210.119016203702</v>
      </c>
      <c r="E7633" t="s">
        <v>42</v>
      </c>
      <c r="F7633" t="s">
        <v>43</v>
      </c>
      <c r="G7633" t="s">
        <v>43</v>
      </c>
      <c r="H7633" t="s">
        <v>43</v>
      </c>
      <c r="I7633" t="s">
        <v>43</v>
      </c>
      <c r="J7633" t="s">
        <v>43</v>
      </c>
      <c r="K7633" t="s">
        <v>43</v>
      </c>
      <c r="L7633" t="s">
        <v>43</v>
      </c>
      <c r="M7633" t="s">
        <v>43</v>
      </c>
      <c r="N7633" t="s">
        <v>45</v>
      </c>
      <c r="O7633" t="s">
        <v>43</v>
      </c>
      <c r="P7633" t="s">
        <v>43</v>
      </c>
      <c r="Q7633" t="s">
        <v>43</v>
      </c>
      <c r="R7633" t="s">
        <v>43</v>
      </c>
      <c r="S7633" t="s">
        <v>43</v>
      </c>
      <c r="T7633" t="s">
        <v>43</v>
      </c>
      <c r="U7633" t="s">
        <v>43</v>
      </c>
      <c r="V7633" t="s">
        <v>43</v>
      </c>
      <c r="W7633" t="s">
        <v>43</v>
      </c>
      <c r="X7633" t="s">
        <v>43</v>
      </c>
      <c r="Y7633" t="s">
        <v>43</v>
      </c>
      <c r="Z7633" t="s">
        <v>43</v>
      </c>
      <c r="AA7633" t="s">
        <v>43</v>
      </c>
      <c r="AB7633" t="s">
        <v>43</v>
      </c>
      <c r="AC7633" t="s">
        <v>43</v>
      </c>
      <c r="AD7633" t="s">
        <v>43</v>
      </c>
      <c r="AE7633" t="s">
        <v>43</v>
      </c>
      <c r="AF7633" t="s">
        <v>43</v>
      </c>
      <c r="AG7633" t="s">
        <v>43</v>
      </c>
      <c r="AH7633" t="s">
        <v>43</v>
      </c>
      <c r="AI7633" t="s">
        <v>43</v>
      </c>
      <c r="AJ7633" t="s">
        <v>43</v>
      </c>
      <c r="AK7633" t="s">
        <v>43</v>
      </c>
      <c r="AL7633" t="s">
        <v>43</v>
      </c>
      <c r="AM7633" t="s">
        <v>43</v>
      </c>
      <c r="AN7633" t="s">
        <v>43</v>
      </c>
    </row>
    <row r="7634" spans="1:40" x14ac:dyDescent="0.3">
      <c r="A7634" s="1">
        <v>46210.115740740737</v>
      </c>
      <c r="B7634" t="s">
        <v>40</v>
      </c>
      <c r="C7634" t="s">
        <v>41</v>
      </c>
      <c r="D7634" s="1">
        <v>46210.118483796294</v>
      </c>
      <c r="E7634" t="s">
        <v>42</v>
      </c>
      <c r="F7634" t="s">
        <v>43</v>
      </c>
      <c r="G7634" t="s">
        <v>43</v>
      </c>
      <c r="H7634" t="s">
        <v>43</v>
      </c>
      <c r="I7634" t="s">
        <v>4240</v>
      </c>
      <c r="J7634" t="s">
        <v>43</v>
      </c>
      <c r="K7634" t="s">
        <v>43</v>
      </c>
      <c r="L7634" t="s">
        <v>43</v>
      </c>
      <c r="M7634" t="s">
        <v>43</v>
      </c>
      <c r="N7634" t="s">
        <v>45</v>
      </c>
      <c r="O7634" t="s">
        <v>43</v>
      </c>
      <c r="P7634" t="s">
        <v>43</v>
      </c>
      <c r="Q7634" t="s">
        <v>43</v>
      </c>
      <c r="R7634" t="s">
        <v>43</v>
      </c>
      <c r="S7634" t="s">
        <v>43</v>
      </c>
      <c r="T7634" t="s">
        <v>43</v>
      </c>
      <c r="U7634" t="s">
        <v>43</v>
      </c>
      <c r="V7634" t="s">
        <v>43</v>
      </c>
      <c r="W7634" t="s">
        <v>43</v>
      </c>
      <c r="X7634" t="s">
        <v>43</v>
      </c>
      <c r="Y7634" t="s">
        <v>43</v>
      </c>
      <c r="Z7634" t="s">
        <v>43</v>
      </c>
      <c r="AA7634" t="s">
        <v>43</v>
      </c>
      <c r="AB7634" t="s">
        <v>43</v>
      </c>
      <c r="AC7634" t="s">
        <v>43</v>
      </c>
      <c r="AD7634" t="s">
        <v>43</v>
      </c>
      <c r="AE7634" t="s">
        <v>43</v>
      </c>
      <c r="AF7634" t="s">
        <v>43</v>
      </c>
      <c r="AG7634" t="s">
        <v>43</v>
      </c>
      <c r="AH7634" t="s">
        <v>43</v>
      </c>
      <c r="AI7634" t="s">
        <v>43</v>
      </c>
      <c r="AJ7634" t="s">
        <v>43</v>
      </c>
      <c r="AK7634" t="s">
        <v>43</v>
      </c>
      <c r="AL7634" t="s">
        <v>43</v>
      </c>
      <c r="AM7634" t="s">
        <v>43</v>
      </c>
      <c r="AN7634" t="str">
        <f>HYPERLINK("https://www.google.com/maps?q=10.78967094,79.57878876","Open Location")</f>
        <v>Open Location</v>
      </c>
    </row>
    <row r="7635" spans="1:40" x14ac:dyDescent="0.3">
      <c r="A7635" s="1">
        <v>46210.115624999999</v>
      </c>
      <c r="B7635" t="s">
        <v>40</v>
      </c>
      <c r="C7635" t="s">
        <v>41</v>
      </c>
      <c r="D7635" s="1">
        <v>46210.118460648147</v>
      </c>
      <c r="E7635" t="s">
        <v>42</v>
      </c>
      <c r="F7635" t="s">
        <v>43</v>
      </c>
      <c r="G7635" t="s">
        <v>43</v>
      </c>
      <c r="H7635" t="s">
        <v>43</v>
      </c>
      <c r="I7635" t="s">
        <v>4236</v>
      </c>
      <c r="J7635" t="s">
        <v>43</v>
      </c>
      <c r="K7635" t="s">
        <v>43</v>
      </c>
      <c r="L7635" t="s">
        <v>43</v>
      </c>
      <c r="M7635" t="s">
        <v>43</v>
      </c>
      <c r="N7635" t="s">
        <v>45</v>
      </c>
      <c r="O7635" t="s">
        <v>43</v>
      </c>
      <c r="P7635" t="s">
        <v>43</v>
      </c>
      <c r="Q7635" t="s">
        <v>43</v>
      </c>
      <c r="R7635" t="s">
        <v>43</v>
      </c>
      <c r="S7635" t="s">
        <v>43</v>
      </c>
      <c r="T7635" t="s">
        <v>43</v>
      </c>
      <c r="U7635" t="s">
        <v>43</v>
      </c>
      <c r="V7635" t="s">
        <v>43</v>
      </c>
      <c r="W7635" t="s">
        <v>43</v>
      </c>
      <c r="X7635" t="s">
        <v>43</v>
      </c>
      <c r="Y7635" t="s">
        <v>43</v>
      </c>
      <c r="Z7635" t="s">
        <v>43</v>
      </c>
      <c r="AA7635" t="s">
        <v>43</v>
      </c>
      <c r="AB7635" t="s">
        <v>43</v>
      </c>
      <c r="AC7635" t="s">
        <v>43</v>
      </c>
      <c r="AD7635" t="s">
        <v>43</v>
      </c>
      <c r="AE7635" t="s">
        <v>43</v>
      </c>
      <c r="AF7635" t="s">
        <v>43</v>
      </c>
      <c r="AG7635" t="s">
        <v>43</v>
      </c>
      <c r="AH7635" t="s">
        <v>43</v>
      </c>
      <c r="AI7635" t="s">
        <v>43</v>
      </c>
      <c r="AJ7635" t="s">
        <v>43</v>
      </c>
      <c r="AK7635" t="s">
        <v>43</v>
      </c>
      <c r="AL7635" t="s">
        <v>43</v>
      </c>
      <c r="AM7635" t="s">
        <v>43</v>
      </c>
      <c r="AN7635" t="str">
        <f>HYPERLINK("https://www.google.com/maps?q=10.78966713,79.57878113","Open Location")</f>
        <v>Open Location</v>
      </c>
    </row>
    <row r="7636" spans="1:40" x14ac:dyDescent="0.3">
      <c r="A7636" s="1">
        <v>46210.11550925926</v>
      </c>
      <c r="B7636" t="s">
        <v>40</v>
      </c>
      <c r="C7636" t="s">
        <v>41</v>
      </c>
      <c r="D7636" s="1">
        <v>46210.118460648147</v>
      </c>
      <c r="E7636" t="s">
        <v>42</v>
      </c>
      <c r="F7636" t="s">
        <v>43</v>
      </c>
      <c r="G7636" t="s">
        <v>43</v>
      </c>
      <c r="H7636" t="s">
        <v>43</v>
      </c>
      <c r="I7636" t="s">
        <v>4309</v>
      </c>
      <c r="J7636" t="s">
        <v>43</v>
      </c>
      <c r="K7636" t="s">
        <v>43</v>
      </c>
      <c r="L7636" t="s">
        <v>43</v>
      </c>
      <c r="M7636" t="s">
        <v>43</v>
      </c>
      <c r="N7636" t="s">
        <v>45</v>
      </c>
      <c r="O7636" t="s">
        <v>43</v>
      </c>
      <c r="P7636" t="s">
        <v>43</v>
      </c>
      <c r="Q7636" t="s">
        <v>43</v>
      </c>
      <c r="R7636" t="s">
        <v>43</v>
      </c>
      <c r="S7636" t="s">
        <v>43</v>
      </c>
      <c r="T7636" t="s">
        <v>43</v>
      </c>
      <c r="U7636" t="s">
        <v>43</v>
      </c>
      <c r="V7636" t="s">
        <v>43</v>
      </c>
      <c r="W7636" t="s">
        <v>43</v>
      </c>
      <c r="X7636" t="s">
        <v>43</v>
      </c>
      <c r="Y7636" t="s">
        <v>43</v>
      </c>
      <c r="Z7636" t="s">
        <v>43</v>
      </c>
      <c r="AA7636" t="s">
        <v>43</v>
      </c>
      <c r="AB7636" t="s">
        <v>43</v>
      </c>
      <c r="AC7636" t="s">
        <v>43</v>
      </c>
      <c r="AD7636" t="s">
        <v>43</v>
      </c>
      <c r="AE7636" t="s">
        <v>43</v>
      </c>
      <c r="AF7636" t="s">
        <v>43</v>
      </c>
      <c r="AG7636" t="s">
        <v>43</v>
      </c>
      <c r="AH7636" t="s">
        <v>43</v>
      </c>
      <c r="AI7636" t="s">
        <v>43</v>
      </c>
      <c r="AJ7636" t="s">
        <v>43</v>
      </c>
      <c r="AK7636" t="s">
        <v>43</v>
      </c>
      <c r="AL7636" t="s">
        <v>43</v>
      </c>
      <c r="AM7636" t="s">
        <v>43</v>
      </c>
      <c r="AN7636" t="str">
        <f>HYPERLINK("https://www.google.com/maps?q=10.78966141,79.57878113","Open Location")</f>
        <v>Open Location</v>
      </c>
    </row>
    <row r="7637" spans="1:40" x14ac:dyDescent="0.3">
      <c r="A7637" s="1">
        <v>46210.115393518521</v>
      </c>
      <c r="B7637" t="s">
        <v>40</v>
      </c>
      <c r="C7637" t="s">
        <v>41</v>
      </c>
      <c r="D7637" s="1">
        <v>46210.118483796294</v>
      </c>
      <c r="E7637" t="s">
        <v>42</v>
      </c>
      <c r="F7637" t="s">
        <v>43</v>
      </c>
      <c r="G7637" t="s">
        <v>43</v>
      </c>
      <c r="H7637" t="s">
        <v>43</v>
      </c>
      <c r="I7637" t="s">
        <v>4036</v>
      </c>
      <c r="J7637" t="s">
        <v>43</v>
      </c>
      <c r="K7637" t="s">
        <v>43</v>
      </c>
      <c r="L7637" t="s">
        <v>43</v>
      </c>
      <c r="M7637" t="s">
        <v>43</v>
      </c>
      <c r="N7637" t="s">
        <v>45</v>
      </c>
      <c r="O7637" t="s">
        <v>43</v>
      </c>
      <c r="P7637" t="s">
        <v>43</v>
      </c>
      <c r="Q7637" t="s">
        <v>43</v>
      </c>
      <c r="R7637" t="s">
        <v>43</v>
      </c>
      <c r="S7637" t="s">
        <v>43</v>
      </c>
      <c r="T7637" t="s">
        <v>43</v>
      </c>
      <c r="U7637" t="s">
        <v>43</v>
      </c>
      <c r="V7637" t="s">
        <v>43</v>
      </c>
      <c r="W7637" t="s">
        <v>43</v>
      </c>
      <c r="X7637" t="s">
        <v>43</v>
      </c>
      <c r="Y7637" t="s">
        <v>43</v>
      </c>
      <c r="Z7637" t="s">
        <v>43</v>
      </c>
      <c r="AA7637" t="s">
        <v>43</v>
      </c>
      <c r="AB7637" t="s">
        <v>43</v>
      </c>
      <c r="AC7637" t="s">
        <v>43</v>
      </c>
      <c r="AD7637" t="s">
        <v>43</v>
      </c>
      <c r="AE7637" t="s">
        <v>43</v>
      </c>
      <c r="AF7637" t="s">
        <v>43</v>
      </c>
      <c r="AG7637" t="s">
        <v>43</v>
      </c>
      <c r="AH7637" t="s">
        <v>43</v>
      </c>
      <c r="AI7637" t="s">
        <v>43</v>
      </c>
      <c r="AJ7637" t="s">
        <v>43</v>
      </c>
      <c r="AK7637" t="s">
        <v>43</v>
      </c>
      <c r="AL7637" t="s">
        <v>43</v>
      </c>
      <c r="AM7637" t="s">
        <v>43</v>
      </c>
      <c r="AN7637" t="str">
        <f>HYPERLINK("https://www.google.com/maps?q=10.78966618,79.57878113","Open Location")</f>
        <v>Open Location</v>
      </c>
    </row>
    <row r="7638" spans="1:40" x14ac:dyDescent="0.3">
      <c r="A7638" s="1">
        <v>46210.115277777775</v>
      </c>
      <c r="B7638" t="s">
        <v>40</v>
      </c>
      <c r="C7638" t="s">
        <v>41</v>
      </c>
      <c r="D7638" s="1">
        <v>46210.118020833332</v>
      </c>
      <c r="E7638" t="s">
        <v>42</v>
      </c>
      <c r="F7638" t="s">
        <v>43</v>
      </c>
      <c r="G7638" t="s">
        <v>43</v>
      </c>
      <c r="H7638" t="s">
        <v>43</v>
      </c>
      <c r="I7638" t="s">
        <v>43</v>
      </c>
      <c r="J7638" t="s">
        <v>43</v>
      </c>
      <c r="K7638" t="s">
        <v>43</v>
      </c>
      <c r="L7638" t="s">
        <v>43</v>
      </c>
      <c r="M7638" t="s">
        <v>43</v>
      </c>
      <c r="N7638" t="s">
        <v>45</v>
      </c>
      <c r="O7638" t="s">
        <v>43</v>
      </c>
      <c r="P7638" t="s">
        <v>43</v>
      </c>
      <c r="Q7638" t="s">
        <v>43</v>
      </c>
      <c r="R7638" t="s">
        <v>43</v>
      </c>
      <c r="S7638" t="s">
        <v>43</v>
      </c>
      <c r="T7638" t="s">
        <v>43</v>
      </c>
      <c r="U7638" t="s">
        <v>43</v>
      </c>
      <c r="V7638" t="s">
        <v>43</v>
      </c>
      <c r="W7638" t="s">
        <v>43</v>
      </c>
      <c r="X7638" t="s">
        <v>43</v>
      </c>
      <c r="Y7638" t="s">
        <v>43</v>
      </c>
      <c r="Z7638" t="s">
        <v>43</v>
      </c>
      <c r="AA7638" t="s">
        <v>43</v>
      </c>
      <c r="AB7638" t="s">
        <v>43</v>
      </c>
      <c r="AC7638" t="s">
        <v>43</v>
      </c>
      <c r="AD7638" t="s">
        <v>43</v>
      </c>
      <c r="AE7638" t="s">
        <v>43</v>
      </c>
      <c r="AF7638" t="s">
        <v>43</v>
      </c>
      <c r="AG7638" t="s">
        <v>43</v>
      </c>
      <c r="AH7638" t="s">
        <v>43</v>
      </c>
      <c r="AI7638" t="s">
        <v>43</v>
      </c>
      <c r="AJ7638" t="s">
        <v>43</v>
      </c>
      <c r="AK7638" t="s">
        <v>43</v>
      </c>
      <c r="AL7638" t="s">
        <v>43</v>
      </c>
      <c r="AM7638" t="s">
        <v>43</v>
      </c>
      <c r="AN7638" t="s">
        <v>43</v>
      </c>
    </row>
    <row r="7639" spans="1:40" x14ac:dyDescent="0.3">
      <c r="A7639" s="1">
        <v>46210.115162037036</v>
      </c>
      <c r="B7639" t="s">
        <v>40</v>
      </c>
      <c r="C7639" t="s">
        <v>41</v>
      </c>
      <c r="D7639" s="1">
        <v>46210.118263888886</v>
      </c>
      <c r="E7639" t="s">
        <v>42</v>
      </c>
      <c r="F7639" t="s">
        <v>43</v>
      </c>
      <c r="G7639" t="s">
        <v>43</v>
      </c>
      <c r="H7639" t="s">
        <v>43</v>
      </c>
      <c r="I7639" t="s">
        <v>4018</v>
      </c>
      <c r="J7639" t="s">
        <v>43</v>
      </c>
      <c r="K7639" t="s">
        <v>43</v>
      </c>
      <c r="L7639" t="s">
        <v>43</v>
      </c>
      <c r="M7639" t="s">
        <v>43</v>
      </c>
      <c r="N7639" t="s">
        <v>45</v>
      </c>
      <c r="O7639" t="s">
        <v>43</v>
      </c>
      <c r="P7639" t="s">
        <v>43</v>
      </c>
      <c r="Q7639" t="s">
        <v>43</v>
      </c>
      <c r="R7639" t="s">
        <v>43</v>
      </c>
      <c r="S7639" t="s">
        <v>43</v>
      </c>
      <c r="T7639" t="s">
        <v>43</v>
      </c>
      <c r="U7639" t="s">
        <v>43</v>
      </c>
      <c r="V7639" t="s">
        <v>43</v>
      </c>
      <c r="W7639" t="s">
        <v>43</v>
      </c>
      <c r="X7639" t="s">
        <v>43</v>
      </c>
      <c r="Y7639" t="s">
        <v>43</v>
      </c>
      <c r="Z7639" t="s">
        <v>43</v>
      </c>
      <c r="AA7639" t="s">
        <v>43</v>
      </c>
      <c r="AB7639" t="s">
        <v>43</v>
      </c>
      <c r="AC7639" t="s">
        <v>43</v>
      </c>
      <c r="AD7639" t="s">
        <v>43</v>
      </c>
      <c r="AE7639" t="s">
        <v>43</v>
      </c>
      <c r="AF7639" t="s">
        <v>43</v>
      </c>
      <c r="AG7639" t="s">
        <v>43</v>
      </c>
      <c r="AH7639" t="s">
        <v>43</v>
      </c>
      <c r="AI7639" t="s">
        <v>43</v>
      </c>
      <c r="AJ7639" t="s">
        <v>43</v>
      </c>
      <c r="AK7639" t="s">
        <v>43</v>
      </c>
      <c r="AL7639" t="s">
        <v>43</v>
      </c>
      <c r="AM7639" t="s">
        <v>43</v>
      </c>
      <c r="AN7639" t="str">
        <f>HYPERLINK("https://www.google.com/maps?q=10.78966808,79.57878113","Open Location")</f>
        <v>Open Location</v>
      </c>
    </row>
    <row r="7640" spans="1:40" x14ac:dyDescent="0.3">
      <c r="A7640" s="1">
        <v>46210.115046296298</v>
      </c>
      <c r="B7640" t="s">
        <v>40</v>
      </c>
      <c r="C7640" t="s">
        <v>41</v>
      </c>
      <c r="D7640" s="1">
        <v>46210.118125000001</v>
      </c>
      <c r="E7640" t="s">
        <v>42</v>
      </c>
      <c r="F7640" t="s">
        <v>43</v>
      </c>
      <c r="G7640" t="s">
        <v>43</v>
      </c>
      <c r="H7640" t="s">
        <v>43</v>
      </c>
      <c r="I7640" t="s">
        <v>4206</v>
      </c>
      <c r="J7640" t="s">
        <v>43</v>
      </c>
      <c r="K7640" t="s">
        <v>43</v>
      </c>
      <c r="L7640" t="s">
        <v>43</v>
      </c>
      <c r="M7640" t="s">
        <v>43</v>
      </c>
      <c r="N7640" t="s">
        <v>45</v>
      </c>
      <c r="O7640" t="s">
        <v>43</v>
      </c>
      <c r="P7640" t="s">
        <v>43</v>
      </c>
      <c r="Q7640" t="s">
        <v>43</v>
      </c>
      <c r="R7640" t="s">
        <v>43</v>
      </c>
      <c r="S7640" t="s">
        <v>43</v>
      </c>
      <c r="T7640" t="s">
        <v>43</v>
      </c>
      <c r="U7640" t="s">
        <v>43</v>
      </c>
      <c r="V7640" t="s">
        <v>43</v>
      </c>
      <c r="W7640" t="s">
        <v>43</v>
      </c>
      <c r="X7640" t="s">
        <v>43</v>
      </c>
      <c r="Y7640" t="s">
        <v>43</v>
      </c>
      <c r="Z7640" t="s">
        <v>43</v>
      </c>
      <c r="AA7640" t="s">
        <v>43</v>
      </c>
      <c r="AB7640" t="s">
        <v>43</v>
      </c>
      <c r="AC7640" t="s">
        <v>43</v>
      </c>
      <c r="AD7640" t="s">
        <v>43</v>
      </c>
      <c r="AE7640" t="s">
        <v>43</v>
      </c>
      <c r="AF7640" t="s">
        <v>43</v>
      </c>
      <c r="AG7640" t="s">
        <v>43</v>
      </c>
      <c r="AH7640" t="s">
        <v>43</v>
      </c>
      <c r="AI7640" t="s">
        <v>43</v>
      </c>
      <c r="AJ7640" t="s">
        <v>43</v>
      </c>
      <c r="AK7640" t="s">
        <v>43</v>
      </c>
      <c r="AL7640" t="s">
        <v>43</v>
      </c>
      <c r="AM7640" t="s">
        <v>43</v>
      </c>
      <c r="AN7640" t="str">
        <f>HYPERLINK("https://www.google.com/maps?q=10.7896719,79.5787735","Open Location")</f>
        <v>Open Location</v>
      </c>
    </row>
    <row r="7641" spans="1:40" x14ac:dyDescent="0.3">
      <c r="A7641" s="1">
        <v>46210.114930555559</v>
      </c>
      <c r="B7641" t="s">
        <v>40</v>
      </c>
      <c r="C7641" t="s">
        <v>41</v>
      </c>
      <c r="D7641" s="1">
        <v>46210.117800925924</v>
      </c>
      <c r="E7641" t="s">
        <v>42</v>
      </c>
      <c r="F7641" t="s">
        <v>43</v>
      </c>
      <c r="G7641" t="s">
        <v>43</v>
      </c>
      <c r="H7641" t="s">
        <v>43</v>
      </c>
      <c r="I7641" t="s">
        <v>4031</v>
      </c>
      <c r="J7641" t="s">
        <v>43</v>
      </c>
      <c r="K7641" t="s">
        <v>43</v>
      </c>
      <c r="L7641" t="s">
        <v>43</v>
      </c>
      <c r="M7641" t="s">
        <v>43</v>
      </c>
      <c r="N7641" t="s">
        <v>45</v>
      </c>
      <c r="O7641" t="s">
        <v>43</v>
      </c>
      <c r="P7641" t="s">
        <v>43</v>
      </c>
      <c r="Q7641" t="s">
        <v>43</v>
      </c>
      <c r="R7641" t="s">
        <v>43</v>
      </c>
      <c r="S7641" t="s">
        <v>43</v>
      </c>
      <c r="T7641" t="s">
        <v>43</v>
      </c>
      <c r="U7641" t="s">
        <v>43</v>
      </c>
      <c r="V7641" t="s">
        <v>43</v>
      </c>
      <c r="W7641" t="s">
        <v>43</v>
      </c>
      <c r="X7641" t="s">
        <v>43</v>
      </c>
      <c r="Y7641" t="s">
        <v>43</v>
      </c>
      <c r="Z7641" t="s">
        <v>43</v>
      </c>
      <c r="AA7641" t="s">
        <v>43</v>
      </c>
      <c r="AB7641" t="s">
        <v>43</v>
      </c>
      <c r="AC7641" t="s">
        <v>43</v>
      </c>
      <c r="AD7641" t="s">
        <v>43</v>
      </c>
      <c r="AE7641" t="s">
        <v>43</v>
      </c>
      <c r="AF7641" t="s">
        <v>43</v>
      </c>
      <c r="AG7641" t="s">
        <v>43</v>
      </c>
      <c r="AH7641" t="s">
        <v>43</v>
      </c>
      <c r="AI7641" t="s">
        <v>43</v>
      </c>
      <c r="AJ7641" t="s">
        <v>43</v>
      </c>
      <c r="AK7641" t="s">
        <v>43</v>
      </c>
      <c r="AL7641" t="s">
        <v>43</v>
      </c>
      <c r="AM7641" t="s">
        <v>43</v>
      </c>
      <c r="AN7641" t="str">
        <f>HYPERLINK("https://www.google.com/maps?q=10.78967571,79.57878113","Open Location")</f>
        <v>Open Location</v>
      </c>
    </row>
    <row r="7642" spans="1:40" x14ac:dyDescent="0.3">
      <c r="A7642" s="1">
        <v>46210.114814814813</v>
      </c>
      <c r="B7642" t="s">
        <v>40</v>
      </c>
      <c r="C7642" t="s">
        <v>41</v>
      </c>
      <c r="D7642" s="1">
        <v>46210.117731481485</v>
      </c>
      <c r="E7642" t="s">
        <v>42</v>
      </c>
      <c r="F7642" t="s">
        <v>43</v>
      </c>
      <c r="G7642" t="s">
        <v>43</v>
      </c>
      <c r="H7642" t="s">
        <v>43</v>
      </c>
      <c r="I7642" t="s">
        <v>4032</v>
      </c>
      <c r="J7642" t="s">
        <v>43</v>
      </c>
      <c r="K7642" t="s">
        <v>43</v>
      </c>
      <c r="L7642" t="s">
        <v>43</v>
      </c>
      <c r="M7642" t="s">
        <v>43</v>
      </c>
      <c r="N7642" t="s">
        <v>45</v>
      </c>
      <c r="O7642" t="s">
        <v>43</v>
      </c>
      <c r="P7642" t="s">
        <v>43</v>
      </c>
      <c r="Q7642" t="s">
        <v>43</v>
      </c>
      <c r="R7642" t="s">
        <v>43</v>
      </c>
      <c r="S7642" t="s">
        <v>43</v>
      </c>
      <c r="T7642" t="s">
        <v>43</v>
      </c>
      <c r="U7642" t="s">
        <v>43</v>
      </c>
      <c r="V7642" t="s">
        <v>43</v>
      </c>
      <c r="W7642" t="s">
        <v>43</v>
      </c>
      <c r="X7642" t="s">
        <v>43</v>
      </c>
      <c r="Y7642" t="s">
        <v>43</v>
      </c>
      <c r="Z7642" t="s">
        <v>43</v>
      </c>
      <c r="AA7642" t="s">
        <v>43</v>
      </c>
      <c r="AB7642" t="s">
        <v>43</v>
      </c>
      <c r="AC7642" t="s">
        <v>43</v>
      </c>
      <c r="AD7642" t="s">
        <v>43</v>
      </c>
      <c r="AE7642" t="s">
        <v>43</v>
      </c>
      <c r="AF7642" t="s">
        <v>43</v>
      </c>
      <c r="AG7642" t="s">
        <v>43</v>
      </c>
      <c r="AH7642" t="s">
        <v>43</v>
      </c>
      <c r="AI7642" t="s">
        <v>43</v>
      </c>
      <c r="AJ7642" t="s">
        <v>43</v>
      </c>
      <c r="AK7642" t="s">
        <v>43</v>
      </c>
      <c r="AL7642" t="s">
        <v>43</v>
      </c>
      <c r="AM7642" t="s">
        <v>43</v>
      </c>
      <c r="AN7642" t="str">
        <f>HYPERLINK("https://www.google.com/maps?q=10.78967571,79.5787735","Open Location")</f>
        <v>Open Location</v>
      </c>
    </row>
    <row r="7643" spans="1:40" x14ac:dyDescent="0.3">
      <c r="A7643" s="1">
        <v>46210.114699074074</v>
      </c>
      <c r="B7643" t="s">
        <v>40</v>
      </c>
      <c r="C7643" t="s">
        <v>41</v>
      </c>
      <c r="D7643" s="1">
        <v>46210.117719907408</v>
      </c>
      <c r="E7643" t="s">
        <v>42</v>
      </c>
      <c r="F7643" t="s">
        <v>43</v>
      </c>
      <c r="G7643" t="s">
        <v>43</v>
      </c>
      <c r="H7643" t="s">
        <v>43</v>
      </c>
      <c r="I7643" t="s">
        <v>4032</v>
      </c>
      <c r="J7643" t="s">
        <v>43</v>
      </c>
      <c r="K7643" t="s">
        <v>43</v>
      </c>
      <c r="L7643" t="s">
        <v>43</v>
      </c>
      <c r="M7643" t="s">
        <v>43</v>
      </c>
      <c r="N7643" t="s">
        <v>45</v>
      </c>
      <c r="O7643" t="s">
        <v>43</v>
      </c>
      <c r="P7643" t="s">
        <v>43</v>
      </c>
      <c r="Q7643" t="s">
        <v>43</v>
      </c>
      <c r="R7643" t="s">
        <v>43</v>
      </c>
      <c r="S7643" t="s">
        <v>43</v>
      </c>
      <c r="T7643" t="s">
        <v>43</v>
      </c>
      <c r="U7643" t="s">
        <v>43</v>
      </c>
      <c r="V7643" t="s">
        <v>43</v>
      </c>
      <c r="W7643" t="s">
        <v>43</v>
      </c>
      <c r="X7643" t="s">
        <v>43</v>
      </c>
      <c r="Y7643" t="s">
        <v>43</v>
      </c>
      <c r="Z7643" t="s">
        <v>43</v>
      </c>
      <c r="AA7643" t="s">
        <v>43</v>
      </c>
      <c r="AB7643" t="s">
        <v>43</v>
      </c>
      <c r="AC7643" t="s">
        <v>43</v>
      </c>
      <c r="AD7643" t="s">
        <v>43</v>
      </c>
      <c r="AE7643" t="s">
        <v>43</v>
      </c>
      <c r="AF7643" t="s">
        <v>43</v>
      </c>
      <c r="AG7643" t="s">
        <v>43</v>
      </c>
      <c r="AH7643" t="s">
        <v>43</v>
      </c>
      <c r="AI7643" t="s">
        <v>43</v>
      </c>
      <c r="AJ7643" t="s">
        <v>43</v>
      </c>
      <c r="AK7643" t="s">
        <v>43</v>
      </c>
      <c r="AL7643" t="s">
        <v>43</v>
      </c>
      <c r="AM7643" t="s">
        <v>43</v>
      </c>
      <c r="AN7643" t="str">
        <f>HYPERLINK("https://www.google.com/maps?q=10.78967571,79.5787735","Open Location")</f>
        <v>Open Location</v>
      </c>
    </row>
    <row r="7644" spans="1:40" x14ac:dyDescent="0.3">
      <c r="A7644" s="1">
        <v>46210.114583333336</v>
      </c>
      <c r="B7644" t="s">
        <v>40</v>
      </c>
      <c r="C7644" t="s">
        <v>41</v>
      </c>
      <c r="D7644" s="1">
        <v>46210.117534722223</v>
      </c>
      <c r="E7644" t="s">
        <v>42</v>
      </c>
      <c r="F7644" t="s">
        <v>43</v>
      </c>
      <c r="G7644" t="s">
        <v>43</v>
      </c>
      <c r="H7644" t="s">
        <v>43</v>
      </c>
      <c r="I7644" t="s">
        <v>43</v>
      </c>
      <c r="J7644" t="s">
        <v>43</v>
      </c>
      <c r="K7644" t="s">
        <v>43</v>
      </c>
      <c r="L7644" t="s">
        <v>43</v>
      </c>
      <c r="M7644" t="s">
        <v>43</v>
      </c>
      <c r="N7644" t="s">
        <v>45</v>
      </c>
      <c r="O7644" t="s">
        <v>43</v>
      </c>
      <c r="P7644" t="s">
        <v>43</v>
      </c>
      <c r="Q7644" t="s">
        <v>43</v>
      </c>
      <c r="R7644" t="s">
        <v>43</v>
      </c>
      <c r="S7644" t="s">
        <v>43</v>
      </c>
      <c r="T7644" t="s">
        <v>43</v>
      </c>
      <c r="U7644" t="s">
        <v>43</v>
      </c>
      <c r="V7644" t="s">
        <v>43</v>
      </c>
      <c r="W7644" t="s">
        <v>43</v>
      </c>
      <c r="X7644" t="s">
        <v>43</v>
      </c>
      <c r="Y7644" t="s">
        <v>43</v>
      </c>
      <c r="Z7644" t="s">
        <v>43</v>
      </c>
      <c r="AA7644" t="s">
        <v>43</v>
      </c>
      <c r="AB7644" t="s">
        <v>43</v>
      </c>
      <c r="AC7644" t="s">
        <v>43</v>
      </c>
      <c r="AD7644" t="s">
        <v>43</v>
      </c>
      <c r="AE7644" t="s">
        <v>43</v>
      </c>
      <c r="AF7644" t="s">
        <v>43</v>
      </c>
      <c r="AG7644" t="s">
        <v>43</v>
      </c>
      <c r="AH7644" t="s">
        <v>43</v>
      </c>
      <c r="AI7644" t="s">
        <v>43</v>
      </c>
      <c r="AJ7644" t="s">
        <v>43</v>
      </c>
      <c r="AK7644" t="s">
        <v>43</v>
      </c>
      <c r="AL7644" t="s">
        <v>43</v>
      </c>
      <c r="AM7644" t="s">
        <v>43</v>
      </c>
      <c r="AN7644" t="s">
        <v>43</v>
      </c>
    </row>
    <row r="7645" spans="1:40" x14ac:dyDescent="0.3">
      <c r="A7645" s="1">
        <v>46210.11446759259</v>
      </c>
      <c r="B7645" t="s">
        <v>40</v>
      </c>
      <c r="C7645" t="s">
        <v>41</v>
      </c>
      <c r="D7645" s="1">
        <v>46210.117395833331</v>
      </c>
      <c r="E7645" t="s">
        <v>42</v>
      </c>
      <c r="F7645" t="s">
        <v>43</v>
      </c>
      <c r="G7645" t="s">
        <v>43</v>
      </c>
      <c r="H7645" t="s">
        <v>43</v>
      </c>
      <c r="I7645" t="s">
        <v>4014</v>
      </c>
      <c r="J7645" t="s">
        <v>43</v>
      </c>
      <c r="K7645" t="s">
        <v>43</v>
      </c>
      <c r="L7645" t="s">
        <v>43</v>
      </c>
      <c r="M7645" t="s">
        <v>43</v>
      </c>
      <c r="N7645" t="s">
        <v>45</v>
      </c>
      <c r="O7645" t="s">
        <v>43</v>
      </c>
      <c r="P7645" t="s">
        <v>43</v>
      </c>
      <c r="Q7645" t="s">
        <v>43</v>
      </c>
      <c r="R7645" t="s">
        <v>43</v>
      </c>
      <c r="S7645" t="s">
        <v>43</v>
      </c>
      <c r="T7645" t="s">
        <v>43</v>
      </c>
      <c r="U7645" t="s">
        <v>43</v>
      </c>
      <c r="V7645" t="s">
        <v>43</v>
      </c>
      <c r="W7645" t="s">
        <v>43</v>
      </c>
      <c r="X7645" t="s">
        <v>43</v>
      </c>
      <c r="Y7645" t="s">
        <v>43</v>
      </c>
      <c r="Z7645" t="s">
        <v>43</v>
      </c>
      <c r="AA7645" t="s">
        <v>43</v>
      </c>
      <c r="AB7645" t="s">
        <v>43</v>
      </c>
      <c r="AC7645" t="s">
        <v>43</v>
      </c>
      <c r="AD7645" t="s">
        <v>43</v>
      </c>
      <c r="AE7645" t="s">
        <v>43</v>
      </c>
      <c r="AF7645" t="s">
        <v>43</v>
      </c>
      <c r="AG7645" t="s">
        <v>43</v>
      </c>
      <c r="AH7645" t="s">
        <v>43</v>
      </c>
      <c r="AI7645" t="s">
        <v>43</v>
      </c>
      <c r="AJ7645" t="s">
        <v>43</v>
      </c>
      <c r="AK7645" t="s">
        <v>43</v>
      </c>
      <c r="AL7645" t="s">
        <v>43</v>
      </c>
      <c r="AM7645" t="s">
        <v>43</v>
      </c>
      <c r="AN7645" t="str">
        <f>HYPERLINK("https://www.google.com/maps?q=10.78967762,79.57878113","Open Location")</f>
        <v>Open Location</v>
      </c>
    </row>
    <row r="7646" spans="1:40" x14ac:dyDescent="0.3">
      <c r="A7646" s="1">
        <v>46210.114351851851</v>
      </c>
      <c r="B7646" t="s">
        <v>40</v>
      </c>
      <c r="C7646" t="s">
        <v>41</v>
      </c>
      <c r="D7646" s="1">
        <v>46210.117303240739</v>
      </c>
      <c r="E7646" t="s">
        <v>42</v>
      </c>
      <c r="F7646" t="s">
        <v>43</v>
      </c>
      <c r="G7646" t="s">
        <v>43</v>
      </c>
      <c r="H7646" t="s">
        <v>43</v>
      </c>
      <c r="I7646" t="s">
        <v>4032</v>
      </c>
      <c r="J7646" t="s">
        <v>43</v>
      </c>
      <c r="K7646" t="s">
        <v>43</v>
      </c>
      <c r="L7646" t="s">
        <v>43</v>
      </c>
      <c r="M7646" t="s">
        <v>43</v>
      </c>
      <c r="N7646" t="s">
        <v>45</v>
      </c>
      <c r="O7646" t="s">
        <v>43</v>
      </c>
      <c r="P7646" t="s">
        <v>43</v>
      </c>
      <c r="Q7646" t="s">
        <v>43</v>
      </c>
      <c r="R7646" t="s">
        <v>43</v>
      </c>
      <c r="S7646" t="s">
        <v>43</v>
      </c>
      <c r="T7646" t="s">
        <v>43</v>
      </c>
      <c r="U7646" t="s">
        <v>43</v>
      </c>
      <c r="V7646" t="s">
        <v>43</v>
      </c>
      <c r="W7646" t="s">
        <v>43</v>
      </c>
      <c r="X7646" t="s">
        <v>43</v>
      </c>
      <c r="Y7646" t="s">
        <v>43</v>
      </c>
      <c r="Z7646" t="s">
        <v>43</v>
      </c>
      <c r="AA7646" t="s">
        <v>43</v>
      </c>
      <c r="AB7646" t="s">
        <v>43</v>
      </c>
      <c r="AC7646" t="s">
        <v>43</v>
      </c>
      <c r="AD7646" t="s">
        <v>43</v>
      </c>
      <c r="AE7646" t="s">
        <v>43</v>
      </c>
      <c r="AF7646" t="s">
        <v>43</v>
      </c>
      <c r="AG7646" t="s">
        <v>43</v>
      </c>
      <c r="AH7646" t="s">
        <v>43</v>
      </c>
      <c r="AI7646" t="s">
        <v>43</v>
      </c>
      <c r="AJ7646" t="s">
        <v>43</v>
      </c>
      <c r="AK7646" t="s">
        <v>43</v>
      </c>
      <c r="AL7646" t="s">
        <v>43</v>
      </c>
      <c r="AM7646" t="s">
        <v>43</v>
      </c>
      <c r="AN7646" t="str">
        <f>HYPERLINK("https://www.google.com/maps?q=10.78967571,79.5787735","Open Location")</f>
        <v>Open Location</v>
      </c>
    </row>
    <row r="7647" spans="1:40" x14ac:dyDescent="0.3">
      <c r="A7647" s="1">
        <v>46210.114236111112</v>
      </c>
      <c r="B7647" t="s">
        <v>40</v>
      </c>
      <c r="C7647" t="s">
        <v>41</v>
      </c>
      <c r="D7647" s="1">
        <v>46210.117164351854</v>
      </c>
      <c r="E7647" t="s">
        <v>42</v>
      </c>
      <c r="F7647" t="s">
        <v>43</v>
      </c>
      <c r="G7647" t="s">
        <v>43</v>
      </c>
      <c r="H7647" t="s">
        <v>43</v>
      </c>
      <c r="I7647" t="s">
        <v>4021</v>
      </c>
      <c r="J7647" t="s">
        <v>43</v>
      </c>
      <c r="K7647" t="s">
        <v>43</v>
      </c>
      <c r="L7647" t="s">
        <v>43</v>
      </c>
      <c r="M7647" t="s">
        <v>43</v>
      </c>
      <c r="N7647" t="s">
        <v>45</v>
      </c>
      <c r="O7647" t="s">
        <v>43</v>
      </c>
      <c r="P7647" t="s">
        <v>43</v>
      </c>
      <c r="Q7647" t="s">
        <v>43</v>
      </c>
      <c r="R7647" t="s">
        <v>43</v>
      </c>
      <c r="S7647" t="s">
        <v>43</v>
      </c>
      <c r="T7647" t="s">
        <v>43</v>
      </c>
      <c r="U7647" t="s">
        <v>43</v>
      </c>
      <c r="V7647" t="s">
        <v>43</v>
      </c>
      <c r="W7647" t="s">
        <v>43</v>
      </c>
      <c r="X7647" t="s">
        <v>43</v>
      </c>
      <c r="Y7647" t="s">
        <v>43</v>
      </c>
      <c r="Z7647" t="s">
        <v>43</v>
      </c>
      <c r="AA7647" t="s">
        <v>43</v>
      </c>
      <c r="AB7647" t="s">
        <v>43</v>
      </c>
      <c r="AC7647" t="s">
        <v>43</v>
      </c>
      <c r="AD7647" t="s">
        <v>43</v>
      </c>
      <c r="AE7647" t="s">
        <v>43</v>
      </c>
      <c r="AF7647" t="s">
        <v>43</v>
      </c>
      <c r="AG7647" t="s">
        <v>43</v>
      </c>
      <c r="AH7647" t="s">
        <v>43</v>
      </c>
      <c r="AI7647" t="s">
        <v>43</v>
      </c>
      <c r="AJ7647" t="s">
        <v>43</v>
      </c>
      <c r="AK7647" t="s">
        <v>43</v>
      </c>
      <c r="AL7647" t="s">
        <v>43</v>
      </c>
      <c r="AM7647" t="s">
        <v>43</v>
      </c>
      <c r="AN7647" t="str">
        <f>HYPERLINK("https://www.google.com/maps?q=10.78967857,79.57876587","Open Location")</f>
        <v>Open Location</v>
      </c>
    </row>
    <row r="7648" spans="1:40" x14ac:dyDescent="0.3">
      <c r="A7648" s="1">
        <v>46210.114120370374</v>
      </c>
      <c r="B7648" t="s">
        <v>40</v>
      </c>
      <c r="C7648" t="s">
        <v>41</v>
      </c>
      <c r="D7648" s="1">
        <v>46210.1171412037</v>
      </c>
      <c r="E7648" t="s">
        <v>42</v>
      </c>
      <c r="F7648" t="s">
        <v>43</v>
      </c>
      <c r="G7648" t="s">
        <v>43</v>
      </c>
      <c r="H7648" t="s">
        <v>43</v>
      </c>
      <c r="I7648" t="s">
        <v>4310</v>
      </c>
      <c r="J7648" t="s">
        <v>43</v>
      </c>
      <c r="K7648" t="s">
        <v>43</v>
      </c>
      <c r="L7648" t="s">
        <v>43</v>
      </c>
      <c r="M7648" t="s">
        <v>43</v>
      </c>
      <c r="N7648" t="s">
        <v>45</v>
      </c>
      <c r="O7648" t="s">
        <v>43</v>
      </c>
      <c r="P7648" t="s">
        <v>43</v>
      </c>
      <c r="Q7648" t="s">
        <v>43</v>
      </c>
      <c r="R7648" t="s">
        <v>43</v>
      </c>
      <c r="S7648" t="s">
        <v>43</v>
      </c>
      <c r="T7648" t="s">
        <v>43</v>
      </c>
      <c r="U7648" t="s">
        <v>43</v>
      </c>
      <c r="V7648" t="s">
        <v>43</v>
      </c>
      <c r="W7648" t="s">
        <v>43</v>
      </c>
      <c r="X7648" t="s">
        <v>43</v>
      </c>
      <c r="Y7648" t="s">
        <v>43</v>
      </c>
      <c r="Z7648" t="s">
        <v>43</v>
      </c>
      <c r="AA7648" t="s">
        <v>43</v>
      </c>
      <c r="AB7648" t="s">
        <v>43</v>
      </c>
      <c r="AC7648" t="s">
        <v>43</v>
      </c>
      <c r="AD7648" t="s">
        <v>43</v>
      </c>
      <c r="AE7648" t="s">
        <v>43</v>
      </c>
      <c r="AF7648" t="s">
        <v>43</v>
      </c>
      <c r="AG7648" t="s">
        <v>43</v>
      </c>
      <c r="AH7648" t="s">
        <v>43</v>
      </c>
      <c r="AI7648" t="s">
        <v>43</v>
      </c>
      <c r="AJ7648" t="s">
        <v>43</v>
      </c>
      <c r="AK7648" t="s">
        <v>43</v>
      </c>
      <c r="AL7648" t="s">
        <v>43</v>
      </c>
      <c r="AM7648" t="s">
        <v>43</v>
      </c>
      <c r="AN7648" t="str">
        <f>HYPERLINK("https://www.google.com/maps?q=10.78968143,79.57875824","Open Location")</f>
        <v>Open Location</v>
      </c>
    </row>
    <row r="7649" spans="1:40" x14ac:dyDescent="0.3">
      <c r="A7649" s="1">
        <v>46210.114004629628</v>
      </c>
      <c r="B7649" t="s">
        <v>40</v>
      </c>
      <c r="C7649" t="s">
        <v>41</v>
      </c>
      <c r="D7649" s="1">
        <v>46210.117164351854</v>
      </c>
      <c r="E7649" t="s">
        <v>42</v>
      </c>
      <c r="F7649" t="s">
        <v>43</v>
      </c>
      <c r="G7649" t="s">
        <v>43</v>
      </c>
      <c r="H7649" t="s">
        <v>43</v>
      </c>
      <c r="I7649" t="s">
        <v>4310</v>
      </c>
      <c r="J7649" t="s">
        <v>43</v>
      </c>
      <c r="K7649" t="s">
        <v>43</v>
      </c>
      <c r="L7649" t="s">
        <v>43</v>
      </c>
      <c r="M7649" t="s">
        <v>43</v>
      </c>
      <c r="N7649" t="s">
        <v>45</v>
      </c>
      <c r="O7649" t="s">
        <v>43</v>
      </c>
      <c r="P7649" t="s">
        <v>43</v>
      </c>
      <c r="Q7649" t="s">
        <v>43</v>
      </c>
      <c r="R7649" t="s">
        <v>43</v>
      </c>
      <c r="S7649" t="s">
        <v>43</v>
      </c>
      <c r="T7649" t="s">
        <v>43</v>
      </c>
      <c r="U7649" t="s">
        <v>43</v>
      </c>
      <c r="V7649" t="s">
        <v>43</v>
      </c>
      <c r="W7649" t="s">
        <v>43</v>
      </c>
      <c r="X7649" t="s">
        <v>43</v>
      </c>
      <c r="Y7649" t="s">
        <v>43</v>
      </c>
      <c r="Z7649" t="s">
        <v>43</v>
      </c>
      <c r="AA7649" t="s">
        <v>43</v>
      </c>
      <c r="AB7649" t="s">
        <v>43</v>
      </c>
      <c r="AC7649" t="s">
        <v>43</v>
      </c>
      <c r="AD7649" t="s">
        <v>43</v>
      </c>
      <c r="AE7649" t="s">
        <v>43</v>
      </c>
      <c r="AF7649" t="s">
        <v>43</v>
      </c>
      <c r="AG7649" t="s">
        <v>43</v>
      </c>
      <c r="AH7649" t="s">
        <v>43</v>
      </c>
      <c r="AI7649" t="s">
        <v>43</v>
      </c>
      <c r="AJ7649" t="s">
        <v>43</v>
      </c>
      <c r="AK7649" t="s">
        <v>43</v>
      </c>
      <c r="AL7649" t="s">
        <v>43</v>
      </c>
      <c r="AM7649" t="s">
        <v>43</v>
      </c>
      <c r="AN7649" t="str">
        <f>HYPERLINK("https://www.google.com/maps?q=10.78968143,79.57875824","Open Location")</f>
        <v>Open Location</v>
      </c>
    </row>
    <row r="7650" spans="1:40" x14ac:dyDescent="0.3">
      <c r="A7650" s="1">
        <v>46210.113888888889</v>
      </c>
      <c r="B7650" t="s">
        <v>40</v>
      </c>
      <c r="C7650" t="s">
        <v>41</v>
      </c>
      <c r="D7650" s="1">
        <v>46210.116770833331</v>
      </c>
      <c r="E7650" t="s">
        <v>42</v>
      </c>
      <c r="F7650" t="s">
        <v>43</v>
      </c>
      <c r="G7650" t="s">
        <v>43</v>
      </c>
      <c r="H7650" t="s">
        <v>43</v>
      </c>
      <c r="I7650" t="s">
        <v>43</v>
      </c>
      <c r="J7650" t="s">
        <v>43</v>
      </c>
      <c r="K7650" t="s">
        <v>43</v>
      </c>
      <c r="L7650" t="s">
        <v>43</v>
      </c>
      <c r="M7650" t="s">
        <v>43</v>
      </c>
      <c r="N7650" t="s">
        <v>45</v>
      </c>
      <c r="O7650" t="s">
        <v>43</v>
      </c>
      <c r="P7650" t="s">
        <v>43</v>
      </c>
      <c r="Q7650" t="s">
        <v>43</v>
      </c>
      <c r="R7650" t="s">
        <v>43</v>
      </c>
      <c r="S7650" t="s">
        <v>43</v>
      </c>
      <c r="T7650" t="s">
        <v>43</v>
      </c>
      <c r="U7650" t="s">
        <v>43</v>
      </c>
      <c r="V7650" t="s">
        <v>43</v>
      </c>
      <c r="W7650" t="s">
        <v>43</v>
      </c>
      <c r="X7650" t="s">
        <v>43</v>
      </c>
      <c r="Y7650" t="s">
        <v>43</v>
      </c>
      <c r="Z7650" t="s">
        <v>43</v>
      </c>
      <c r="AA7650" t="s">
        <v>43</v>
      </c>
      <c r="AB7650" t="s">
        <v>43</v>
      </c>
      <c r="AC7650" t="s">
        <v>43</v>
      </c>
      <c r="AD7650" t="s">
        <v>43</v>
      </c>
      <c r="AE7650" t="s">
        <v>43</v>
      </c>
      <c r="AF7650" t="s">
        <v>43</v>
      </c>
      <c r="AG7650" t="s">
        <v>43</v>
      </c>
      <c r="AH7650" t="s">
        <v>43</v>
      </c>
      <c r="AI7650" t="s">
        <v>43</v>
      </c>
      <c r="AJ7650" t="s">
        <v>43</v>
      </c>
      <c r="AK7650" t="s">
        <v>43</v>
      </c>
      <c r="AL7650" t="s">
        <v>43</v>
      </c>
      <c r="AM7650" t="s">
        <v>43</v>
      </c>
      <c r="AN7650" t="s">
        <v>43</v>
      </c>
    </row>
    <row r="7651" spans="1:40" x14ac:dyDescent="0.3">
      <c r="A7651" s="1">
        <v>46210.11377314815</v>
      </c>
      <c r="B7651" t="s">
        <v>40</v>
      </c>
      <c r="C7651" t="s">
        <v>41</v>
      </c>
      <c r="D7651" s="1">
        <v>46210.117037037038</v>
      </c>
      <c r="E7651" t="s">
        <v>42</v>
      </c>
      <c r="F7651" t="s">
        <v>43</v>
      </c>
      <c r="G7651" t="s">
        <v>43</v>
      </c>
      <c r="H7651" t="s">
        <v>43</v>
      </c>
      <c r="I7651" t="s">
        <v>4311</v>
      </c>
      <c r="J7651" t="s">
        <v>43</v>
      </c>
      <c r="K7651" t="s">
        <v>43</v>
      </c>
      <c r="L7651" t="s">
        <v>43</v>
      </c>
      <c r="M7651" t="s">
        <v>43</v>
      </c>
      <c r="N7651" t="s">
        <v>45</v>
      </c>
      <c r="O7651" t="s">
        <v>43</v>
      </c>
      <c r="P7651" t="s">
        <v>43</v>
      </c>
      <c r="Q7651" t="s">
        <v>43</v>
      </c>
      <c r="R7651" t="s">
        <v>43</v>
      </c>
      <c r="S7651" t="s">
        <v>43</v>
      </c>
      <c r="T7651" t="s">
        <v>43</v>
      </c>
      <c r="U7651" t="s">
        <v>43</v>
      </c>
      <c r="V7651" t="s">
        <v>43</v>
      </c>
      <c r="W7651" t="s">
        <v>43</v>
      </c>
      <c r="X7651" t="s">
        <v>43</v>
      </c>
      <c r="Y7651" t="s">
        <v>43</v>
      </c>
      <c r="Z7651" t="s">
        <v>43</v>
      </c>
      <c r="AA7651" t="s">
        <v>43</v>
      </c>
      <c r="AB7651" t="s">
        <v>43</v>
      </c>
      <c r="AC7651" t="s">
        <v>43</v>
      </c>
      <c r="AD7651" t="s">
        <v>43</v>
      </c>
      <c r="AE7651" t="s">
        <v>43</v>
      </c>
      <c r="AF7651" t="s">
        <v>43</v>
      </c>
      <c r="AG7651" t="s">
        <v>43</v>
      </c>
      <c r="AH7651" t="s">
        <v>43</v>
      </c>
      <c r="AI7651" t="s">
        <v>43</v>
      </c>
      <c r="AJ7651" t="s">
        <v>43</v>
      </c>
      <c r="AK7651" t="s">
        <v>43</v>
      </c>
      <c r="AL7651" t="s">
        <v>43</v>
      </c>
      <c r="AM7651" t="s">
        <v>43</v>
      </c>
      <c r="AN7651" t="str">
        <f>HYPERLINK("https://www.google.com/maps?q=10.78968334,79.57875061","Open Location")</f>
        <v>Open Location</v>
      </c>
    </row>
    <row r="7652" spans="1:40" x14ac:dyDescent="0.3">
      <c r="A7652" s="1">
        <v>46210.113657407404</v>
      </c>
      <c r="B7652" t="s">
        <v>40</v>
      </c>
      <c r="C7652" t="s">
        <v>41</v>
      </c>
      <c r="D7652" s="1">
        <v>46210.116585648146</v>
      </c>
      <c r="E7652" t="s">
        <v>42</v>
      </c>
      <c r="F7652" t="s">
        <v>43</v>
      </c>
      <c r="G7652" t="s">
        <v>43</v>
      </c>
      <c r="H7652" t="s">
        <v>43</v>
      </c>
      <c r="I7652" t="s">
        <v>4312</v>
      </c>
      <c r="J7652" t="s">
        <v>43</v>
      </c>
      <c r="K7652" t="s">
        <v>43</v>
      </c>
      <c r="L7652" t="s">
        <v>43</v>
      </c>
      <c r="M7652" t="s">
        <v>43</v>
      </c>
      <c r="N7652" t="s">
        <v>45</v>
      </c>
      <c r="O7652" t="s">
        <v>43</v>
      </c>
      <c r="P7652" t="s">
        <v>43</v>
      </c>
      <c r="Q7652" t="s">
        <v>43</v>
      </c>
      <c r="R7652" t="s">
        <v>43</v>
      </c>
      <c r="S7652" t="s">
        <v>43</v>
      </c>
      <c r="T7652" t="s">
        <v>43</v>
      </c>
      <c r="U7652" t="s">
        <v>43</v>
      </c>
      <c r="V7652" t="s">
        <v>43</v>
      </c>
      <c r="W7652" t="s">
        <v>43</v>
      </c>
      <c r="X7652" t="s">
        <v>43</v>
      </c>
      <c r="Y7652" t="s">
        <v>43</v>
      </c>
      <c r="Z7652" t="s">
        <v>43</v>
      </c>
      <c r="AA7652" t="s">
        <v>43</v>
      </c>
      <c r="AB7652" t="s">
        <v>43</v>
      </c>
      <c r="AC7652" t="s">
        <v>43</v>
      </c>
      <c r="AD7652" t="s">
        <v>43</v>
      </c>
      <c r="AE7652" t="s">
        <v>43</v>
      </c>
      <c r="AF7652" t="s">
        <v>43</v>
      </c>
      <c r="AG7652" t="s">
        <v>43</v>
      </c>
      <c r="AH7652" t="s">
        <v>43</v>
      </c>
      <c r="AI7652" t="s">
        <v>43</v>
      </c>
      <c r="AJ7652" t="s">
        <v>43</v>
      </c>
      <c r="AK7652" t="s">
        <v>43</v>
      </c>
      <c r="AL7652" t="s">
        <v>43</v>
      </c>
      <c r="AM7652" t="s">
        <v>43</v>
      </c>
      <c r="AN7652" t="str">
        <f>HYPERLINK("https://www.google.com/maps?q=10.78968525,79.57874298","Open Location")</f>
        <v>Open Location</v>
      </c>
    </row>
    <row r="7653" spans="1:40" x14ac:dyDescent="0.3">
      <c r="A7653" s="1">
        <v>46210.113541666666</v>
      </c>
      <c r="B7653" t="s">
        <v>40</v>
      </c>
      <c r="C7653" t="s">
        <v>41</v>
      </c>
      <c r="D7653" s="1">
        <v>46210.116435185184</v>
      </c>
      <c r="E7653" t="s">
        <v>42</v>
      </c>
      <c r="F7653" t="s">
        <v>43</v>
      </c>
      <c r="G7653" t="s">
        <v>43</v>
      </c>
      <c r="H7653" t="s">
        <v>43</v>
      </c>
      <c r="I7653" t="s">
        <v>4313</v>
      </c>
      <c r="J7653" t="s">
        <v>43</v>
      </c>
      <c r="K7653" t="s">
        <v>43</v>
      </c>
      <c r="L7653" t="s">
        <v>43</v>
      </c>
      <c r="M7653" t="s">
        <v>43</v>
      </c>
      <c r="N7653" t="s">
        <v>45</v>
      </c>
      <c r="O7653" t="s">
        <v>43</v>
      </c>
      <c r="P7653" t="s">
        <v>43</v>
      </c>
      <c r="Q7653" t="s">
        <v>43</v>
      </c>
      <c r="R7653" t="s">
        <v>43</v>
      </c>
      <c r="S7653" t="s">
        <v>43</v>
      </c>
      <c r="T7653" t="s">
        <v>43</v>
      </c>
      <c r="U7653" t="s">
        <v>43</v>
      </c>
      <c r="V7653" t="s">
        <v>43</v>
      </c>
      <c r="W7653" t="s">
        <v>43</v>
      </c>
      <c r="X7653" t="s">
        <v>43</v>
      </c>
      <c r="Y7653" t="s">
        <v>43</v>
      </c>
      <c r="Z7653" t="s">
        <v>43</v>
      </c>
      <c r="AA7653" t="s">
        <v>43</v>
      </c>
      <c r="AB7653" t="s">
        <v>43</v>
      </c>
      <c r="AC7653" t="s">
        <v>43</v>
      </c>
      <c r="AD7653" t="s">
        <v>43</v>
      </c>
      <c r="AE7653" t="s">
        <v>43</v>
      </c>
      <c r="AF7653" t="s">
        <v>43</v>
      </c>
      <c r="AG7653" t="s">
        <v>43</v>
      </c>
      <c r="AH7653" t="s">
        <v>43</v>
      </c>
      <c r="AI7653" t="s">
        <v>43</v>
      </c>
      <c r="AJ7653" t="s">
        <v>43</v>
      </c>
      <c r="AK7653" t="s">
        <v>43</v>
      </c>
      <c r="AL7653" t="s">
        <v>43</v>
      </c>
      <c r="AM7653" t="s">
        <v>43</v>
      </c>
      <c r="AN7653" t="str">
        <f>HYPERLINK("https://www.google.com/maps?q=10.7896843,79.57873535","Open Location")</f>
        <v>Open Location</v>
      </c>
    </row>
    <row r="7654" spans="1:40" x14ac:dyDescent="0.3">
      <c r="A7654" s="1">
        <v>46210.113425925927</v>
      </c>
      <c r="B7654" t="s">
        <v>40</v>
      </c>
      <c r="C7654" t="s">
        <v>41</v>
      </c>
      <c r="D7654" s="1">
        <v>46210.116284722222</v>
      </c>
      <c r="E7654" t="s">
        <v>42</v>
      </c>
      <c r="F7654" t="s">
        <v>43</v>
      </c>
      <c r="G7654" t="s">
        <v>43</v>
      </c>
      <c r="H7654" t="s">
        <v>43</v>
      </c>
      <c r="I7654" t="s">
        <v>4311</v>
      </c>
      <c r="J7654" t="s">
        <v>43</v>
      </c>
      <c r="K7654" t="s">
        <v>43</v>
      </c>
      <c r="L7654" t="s">
        <v>43</v>
      </c>
      <c r="M7654" t="s">
        <v>43</v>
      </c>
      <c r="N7654" t="s">
        <v>45</v>
      </c>
      <c r="O7654" t="s">
        <v>43</v>
      </c>
      <c r="P7654" t="s">
        <v>43</v>
      </c>
      <c r="Q7654" t="s">
        <v>43</v>
      </c>
      <c r="R7654" t="s">
        <v>43</v>
      </c>
      <c r="S7654" t="s">
        <v>43</v>
      </c>
      <c r="T7654" t="s">
        <v>43</v>
      </c>
      <c r="U7654" t="s">
        <v>43</v>
      </c>
      <c r="V7654" t="s">
        <v>43</v>
      </c>
      <c r="W7654" t="s">
        <v>43</v>
      </c>
      <c r="X7654" t="s">
        <v>43</v>
      </c>
      <c r="Y7654" t="s">
        <v>43</v>
      </c>
      <c r="Z7654" t="s">
        <v>43</v>
      </c>
      <c r="AA7654" t="s">
        <v>43</v>
      </c>
      <c r="AB7654" t="s">
        <v>43</v>
      </c>
      <c r="AC7654" t="s">
        <v>43</v>
      </c>
      <c r="AD7654" t="s">
        <v>43</v>
      </c>
      <c r="AE7654" t="s">
        <v>43</v>
      </c>
      <c r="AF7654" t="s">
        <v>43</v>
      </c>
      <c r="AG7654" t="s">
        <v>43</v>
      </c>
      <c r="AH7654" t="s">
        <v>43</v>
      </c>
      <c r="AI7654" t="s">
        <v>43</v>
      </c>
      <c r="AJ7654" t="s">
        <v>43</v>
      </c>
      <c r="AK7654" t="s">
        <v>43</v>
      </c>
      <c r="AL7654" t="s">
        <v>43</v>
      </c>
      <c r="AM7654" t="s">
        <v>43</v>
      </c>
      <c r="AN7654" t="str">
        <f>HYPERLINK("https://www.google.com/maps?q=10.78968334,79.57875061","Open Location")</f>
        <v>Open Location</v>
      </c>
    </row>
    <row r="7655" spans="1:40" x14ac:dyDescent="0.3">
      <c r="A7655" s="1">
        <v>46210.113310185188</v>
      </c>
      <c r="B7655" t="s">
        <v>40</v>
      </c>
      <c r="C7655" t="s">
        <v>41</v>
      </c>
      <c r="D7655" s="1">
        <v>46210.116261574076</v>
      </c>
      <c r="E7655" t="s">
        <v>42</v>
      </c>
      <c r="F7655" t="s">
        <v>43</v>
      </c>
      <c r="G7655" t="s">
        <v>43</v>
      </c>
      <c r="H7655" t="s">
        <v>43</v>
      </c>
      <c r="I7655" t="s">
        <v>43</v>
      </c>
      <c r="J7655" t="s">
        <v>43</v>
      </c>
      <c r="K7655" t="s">
        <v>43</v>
      </c>
      <c r="L7655" t="s">
        <v>43</v>
      </c>
      <c r="M7655" t="s">
        <v>43</v>
      </c>
      <c r="N7655" t="s">
        <v>45</v>
      </c>
      <c r="O7655" t="s">
        <v>43</v>
      </c>
      <c r="P7655" t="s">
        <v>43</v>
      </c>
      <c r="Q7655" t="s">
        <v>43</v>
      </c>
      <c r="R7655" t="s">
        <v>43</v>
      </c>
      <c r="S7655" t="s">
        <v>43</v>
      </c>
      <c r="T7655" t="s">
        <v>43</v>
      </c>
      <c r="U7655" t="s">
        <v>43</v>
      </c>
      <c r="V7655" t="s">
        <v>43</v>
      </c>
      <c r="W7655" t="s">
        <v>43</v>
      </c>
      <c r="X7655" t="s">
        <v>43</v>
      </c>
      <c r="Y7655" t="s">
        <v>43</v>
      </c>
      <c r="Z7655" t="s">
        <v>43</v>
      </c>
      <c r="AA7655" t="s">
        <v>43</v>
      </c>
      <c r="AB7655" t="s">
        <v>43</v>
      </c>
      <c r="AC7655" t="s">
        <v>43</v>
      </c>
      <c r="AD7655" t="s">
        <v>43</v>
      </c>
      <c r="AE7655" t="s">
        <v>43</v>
      </c>
      <c r="AF7655" t="s">
        <v>43</v>
      </c>
      <c r="AG7655" t="s">
        <v>43</v>
      </c>
      <c r="AH7655" t="s">
        <v>43</v>
      </c>
      <c r="AI7655" t="s">
        <v>43</v>
      </c>
      <c r="AJ7655" t="s">
        <v>43</v>
      </c>
      <c r="AK7655" t="s">
        <v>43</v>
      </c>
      <c r="AL7655" t="s">
        <v>43</v>
      </c>
      <c r="AM7655" t="s">
        <v>43</v>
      </c>
      <c r="AN7655" t="s">
        <v>43</v>
      </c>
    </row>
    <row r="7656" spans="1:40" x14ac:dyDescent="0.3">
      <c r="A7656" s="1">
        <v>46210.113194444442</v>
      </c>
      <c r="B7656" t="s">
        <v>40</v>
      </c>
      <c r="C7656" t="s">
        <v>41</v>
      </c>
      <c r="D7656" s="1">
        <v>46210.116238425922</v>
      </c>
      <c r="E7656" t="s">
        <v>42</v>
      </c>
      <c r="F7656" t="s">
        <v>43</v>
      </c>
      <c r="G7656" t="s">
        <v>43</v>
      </c>
      <c r="H7656" t="s">
        <v>43</v>
      </c>
      <c r="I7656" t="s">
        <v>4314</v>
      </c>
      <c r="J7656" t="s">
        <v>43</v>
      </c>
      <c r="K7656" t="s">
        <v>43</v>
      </c>
      <c r="L7656" t="s">
        <v>43</v>
      </c>
      <c r="M7656" t="s">
        <v>43</v>
      </c>
      <c r="N7656" t="s">
        <v>45</v>
      </c>
      <c r="O7656" t="s">
        <v>43</v>
      </c>
      <c r="P7656" t="s">
        <v>43</v>
      </c>
      <c r="Q7656" t="s">
        <v>43</v>
      </c>
      <c r="R7656" t="s">
        <v>43</v>
      </c>
      <c r="S7656" t="s">
        <v>43</v>
      </c>
      <c r="T7656" t="s">
        <v>43</v>
      </c>
      <c r="U7656" t="s">
        <v>43</v>
      </c>
      <c r="V7656" t="s">
        <v>43</v>
      </c>
      <c r="W7656" t="s">
        <v>43</v>
      </c>
      <c r="X7656" t="s">
        <v>43</v>
      </c>
      <c r="Y7656" t="s">
        <v>43</v>
      </c>
      <c r="Z7656" t="s">
        <v>43</v>
      </c>
      <c r="AA7656" t="s">
        <v>43</v>
      </c>
      <c r="AB7656" t="s">
        <v>43</v>
      </c>
      <c r="AC7656" t="s">
        <v>43</v>
      </c>
      <c r="AD7656" t="s">
        <v>43</v>
      </c>
      <c r="AE7656" t="s">
        <v>43</v>
      </c>
      <c r="AF7656" t="s">
        <v>43</v>
      </c>
      <c r="AG7656" t="s">
        <v>43</v>
      </c>
      <c r="AH7656" t="s">
        <v>43</v>
      </c>
      <c r="AI7656" t="s">
        <v>43</v>
      </c>
      <c r="AJ7656" t="s">
        <v>43</v>
      </c>
      <c r="AK7656" t="s">
        <v>43</v>
      </c>
      <c r="AL7656" t="s">
        <v>43</v>
      </c>
      <c r="AM7656" t="s">
        <v>43</v>
      </c>
      <c r="AN7656" t="str">
        <f>HYPERLINK("https://www.google.com/maps?q=10.7896843,79.57875824","Open Location")</f>
        <v>Open Location</v>
      </c>
    </row>
    <row r="7657" spans="1:40" x14ac:dyDescent="0.3">
      <c r="A7657" s="1">
        <v>46210.113078703704</v>
      </c>
      <c r="B7657" t="s">
        <v>40</v>
      </c>
      <c r="C7657" t="s">
        <v>41</v>
      </c>
      <c r="D7657" s="1">
        <v>46210.116041666668</v>
      </c>
      <c r="E7657" t="s">
        <v>42</v>
      </c>
      <c r="F7657" t="s">
        <v>43</v>
      </c>
      <c r="G7657" t="s">
        <v>43</v>
      </c>
      <c r="H7657" t="s">
        <v>43</v>
      </c>
      <c r="I7657" t="s">
        <v>4209</v>
      </c>
      <c r="J7657" t="s">
        <v>43</v>
      </c>
      <c r="K7657" t="s">
        <v>43</v>
      </c>
      <c r="L7657" t="s">
        <v>43</v>
      </c>
      <c r="M7657" t="s">
        <v>43</v>
      </c>
      <c r="N7657" t="s">
        <v>45</v>
      </c>
      <c r="O7657" t="s">
        <v>43</v>
      </c>
      <c r="P7657" t="s">
        <v>43</v>
      </c>
      <c r="Q7657" t="s">
        <v>43</v>
      </c>
      <c r="R7657" t="s">
        <v>43</v>
      </c>
      <c r="S7657" t="s">
        <v>43</v>
      </c>
      <c r="T7657" t="s">
        <v>43</v>
      </c>
      <c r="U7657" t="s">
        <v>43</v>
      </c>
      <c r="V7657" t="s">
        <v>43</v>
      </c>
      <c r="W7657" t="s">
        <v>43</v>
      </c>
      <c r="X7657" t="s">
        <v>43</v>
      </c>
      <c r="Y7657" t="s">
        <v>43</v>
      </c>
      <c r="Z7657" t="s">
        <v>43</v>
      </c>
      <c r="AA7657" t="s">
        <v>43</v>
      </c>
      <c r="AB7657" t="s">
        <v>43</v>
      </c>
      <c r="AC7657" t="s">
        <v>43</v>
      </c>
      <c r="AD7657" t="s">
        <v>43</v>
      </c>
      <c r="AE7657" t="s">
        <v>43</v>
      </c>
      <c r="AF7657" t="s">
        <v>43</v>
      </c>
      <c r="AG7657" t="s">
        <v>43</v>
      </c>
      <c r="AH7657" t="s">
        <v>43</v>
      </c>
      <c r="AI7657" t="s">
        <v>43</v>
      </c>
      <c r="AJ7657" t="s">
        <v>43</v>
      </c>
      <c r="AK7657" t="s">
        <v>43</v>
      </c>
      <c r="AL7657" t="s">
        <v>43</v>
      </c>
      <c r="AM7657" t="s">
        <v>43</v>
      </c>
      <c r="AN7657" t="str">
        <f>HYPERLINK("https://www.google.com/maps?q=10.78968334,79.57876587","Open Location")</f>
        <v>Open Location</v>
      </c>
    </row>
    <row r="7658" spans="1:40" x14ac:dyDescent="0.3">
      <c r="A7658" s="1">
        <v>46210.112962962965</v>
      </c>
      <c r="B7658" t="s">
        <v>40</v>
      </c>
      <c r="C7658" t="s">
        <v>41</v>
      </c>
      <c r="D7658" s="1">
        <v>46210.116030092591</v>
      </c>
      <c r="E7658" t="s">
        <v>42</v>
      </c>
      <c r="F7658" t="s">
        <v>43</v>
      </c>
      <c r="G7658" t="s">
        <v>43</v>
      </c>
      <c r="H7658" t="s">
        <v>43</v>
      </c>
      <c r="I7658" t="s">
        <v>4305</v>
      </c>
      <c r="J7658" t="s">
        <v>43</v>
      </c>
      <c r="K7658" t="s">
        <v>43</v>
      </c>
      <c r="L7658" t="s">
        <v>43</v>
      </c>
      <c r="M7658" t="s">
        <v>43</v>
      </c>
      <c r="N7658" t="s">
        <v>45</v>
      </c>
      <c r="O7658" t="s">
        <v>43</v>
      </c>
      <c r="P7658" t="s">
        <v>43</v>
      </c>
      <c r="Q7658" t="s">
        <v>43</v>
      </c>
      <c r="R7658" t="s">
        <v>43</v>
      </c>
      <c r="S7658" t="s">
        <v>43</v>
      </c>
      <c r="T7658" t="s">
        <v>43</v>
      </c>
      <c r="U7658" t="s">
        <v>43</v>
      </c>
      <c r="V7658" t="s">
        <v>43</v>
      </c>
      <c r="W7658" t="s">
        <v>43</v>
      </c>
      <c r="X7658" t="s">
        <v>43</v>
      </c>
      <c r="Y7658" t="s">
        <v>43</v>
      </c>
      <c r="Z7658" t="s">
        <v>43</v>
      </c>
      <c r="AA7658" t="s">
        <v>43</v>
      </c>
      <c r="AB7658" t="s">
        <v>43</v>
      </c>
      <c r="AC7658" t="s">
        <v>43</v>
      </c>
      <c r="AD7658" t="s">
        <v>43</v>
      </c>
      <c r="AE7658" t="s">
        <v>43</v>
      </c>
      <c r="AF7658" t="s">
        <v>43</v>
      </c>
      <c r="AG7658" t="s">
        <v>43</v>
      </c>
      <c r="AH7658" t="s">
        <v>43</v>
      </c>
      <c r="AI7658" t="s">
        <v>43</v>
      </c>
      <c r="AJ7658" t="s">
        <v>43</v>
      </c>
      <c r="AK7658" t="s">
        <v>43</v>
      </c>
      <c r="AL7658" t="s">
        <v>43</v>
      </c>
      <c r="AM7658" t="s">
        <v>43</v>
      </c>
      <c r="AN7658" t="str">
        <f>HYPERLINK("https://www.google.com/maps?q=10.78968143,79.57876587","Open Location")</f>
        <v>Open Location</v>
      </c>
    </row>
    <row r="7659" spans="1:40" x14ac:dyDescent="0.3">
      <c r="A7659" s="1">
        <v>46210.112847222219</v>
      </c>
      <c r="B7659" t="s">
        <v>40</v>
      </c>
      <c r="C7659" t="s">
        <v>41</v>
      </c>
      <c r="D7659" s="1">
        <v>46210.115879629629</v>
      </c>
      <c r="E7659" t="s">
        <v>42</v>
      </c>
      <c r="F7659" t="s">
        <v>43</v>
      </c>
      <c r="G7659" t="s">
        <v>43</v>
      </c>
      <c r="H7659" t="s">
        <v>43</v>
      </c>
      <c r="I7659" t="s">
        <v>4315</v>
      </c>
      <c r="J7659" t="s">
        <v>43</v>
      </c>
      <c r="K7659" t="s">
        <v>43</v>
      </c>
      <c r="L7659" t="s">
        <v>43</v>
      </c>
      <c r="M7659" t="s">
        <v>43</v>
      </c>
      <c r="N7659" t="s">
        <v>45</v>
      </c>
      <c r="O7659" t="s">
        <v>43</v>
      </c>
      <c r="P7659" t="s">
        <v>43</v>
      </c>
      <c r="Q7659" t="s">
        <v>43</v>
      </c>
      <c r="R7659" t="s">
        <v>43</v>
      </c>
      <c r="S7659" t="s">
        <v>43</v>
      </c>
      <c r="T7659" t="s">
        <v>43</v>
      </c>
      <c r="U7659" t="s">
        <v>43</v>
      </c>
      <c r="V7659" t="s">
        <v>43</v>
      </c>
      <c r="W7659" t="s">
        <v>43</v>
      </c>
      <c r="X7659" t="s">
        <v>43</v>
      </c>
      <c r="Y7659" t="s">
        <v>43</v>
      </c>
      <c r="Z7659" t="s">
        <v>43</v>
      </c>
      <c r="AA7659" t="s">
        <v>43</v>
      </c>
      <c r="AB7659" t="s">
        <v>43</v>
      </c>
      <c r="AC7659" t="s">
        <v>43</v>
      </c>
      <c r="AD7659" t="s">
        <v>43</v>
      </c>
      <c r="AE7659" t="s">
        <v>43</v>
      </c>
      <c r="AF7659" t="s">
        <v>43</v>
      </c>
      <c r="AG7659" t="s">
        <v>43</v>
      </c>
      <c r="AH7659" t="s">
        <v>43</v>
      </c>
      <c r="AI7659" t="s">
        <v>43</v>
      </c>
      <c r="AJ7659" t="s">
        <v>43</v>
      </c>
      <c r="AK7659" t="s">
        <v>43</v>
      </c>
      <c r="AL7659" t="s">
        <v>43</v>
      </c>
      <c r="AM7659" t="s">
        <v>43</v>
      </c>
      <c r="AN7659" t="str">
        <f>HYPERLINK("https://www.google.com/maps?q=10.78968239,79.57876587","Open Location")</f>
        <v>Open Location</v>
      </c>
    </row>
    <row r="7660" spans="1:40" x14ac:dyDescent="0.3">
      <c r="A7660" s="1">
        <v>46210.11273148148</v>
      </c>
      <c r="B7660" t="s">
        <v>40</v>
      </c>
      <c r="C7660" t="s">
        <v>41</v>
      </c>
      <c r="D7660" s="1">
        <v>46210.115879629629</v>
      </c>
      <c r="E7660" t="s">
        <v>42</v>
      </c>
      <c r="F7660" t="s">
        <v>43</v>
      </c>
      <c r="G7660" t="s">
        <v>43</v>
      </c>
      <c r="H7660" t="s">
        <v>43</v>
      </c>
      <c r="I7660" t="s">
        <v>4021</v>
      </c>
      <c r="J7660" t="s">
        <v>43</v>
      </c>
      <c r="K7660" t="s">
        <v>43</v>
      </c>
      <c r="L7660" t="s">
        <v>43</v>
      </c>
      <c r="M7660" t="s">
        <v>43</v>
      </c>
      <c r="N7660" t="s">
        <v>45</v>
      </c>
      <c r="O7660" t="s">
        <v>43</v>
      </c>
      <c r="P7660" t="s">
        <v>43</v>
      </c>
      <c r="Q7660" t="s">
        <v>43</v>
      </c>
      <c r="R7660" t="s">
        <v>43</v>
      </c>
      <c r="S7660" t="s">
        <v>43</v>
      </c>
      <c r="T7660" t="s">
        <v>43</v>
      </c>
      <c r="U7660" t="s">
        <v>43</v>
      </c>
      <c r="V7660" t="s">
        <v>43</v>
      </c>
      <c r="W7660" t="s">
        <v>43</v>
      </c>
      <c r="X7660" t="s">
        <v>43</v>
      </c>
      <c r="Y7660" t="s">
        <v>43</v>
      </c>
      <c r="Z7660" t="s">
        <v>43</v>
      </c>
      <c r="AA7660" t="s">
        <v>43</v>
      </c>
      <c r="AB7660" t="s">
        <v>43</v>
      </c>
      <c r="AC7660" t="s">
        <v>43</v>
      </c>
      <c r="AD7660" t="s">
        <v>43</v>
      </c>
      <c r="AE7660" t="s">
        <v>43</v>
      </c>
      <c r="AF7660" t="s">
        <v>43</v>
      </c>
      <c r="AG7660" t="s">
        <v>43</v>
      </c>
      <c r="AH7660" t="s">
        <v>43</v>
      </c>
      <c r="AI7660" t="s">
        <v>43</v>
      </c>
      <c r="AJ7660" t="s">
        <v>43</v>
      </c>
      <c r="AK7660" t="s">
        <v>43</v>
      </c>
      <c r="AL7660" t="s">
        <v>43</v>
      </c>
      <c r="AM7660" t="s">
        <v>43</v>
      </c>
      <c r="AN7660" t="str">
        <f>HYPERLINK("https://www.google.com/maps?q=10.78967857,79.57876587","Open Location")</f>
        <v>Open Location</v>
      </c>
    </row>
    <row r="7661" spans="1:40" x14ac:dyDescent="0.3">
      <c r="A7661" s="1">
        <v>46210.112615740742</v>
      </c>
      <c r="B7661" t="s">
        <v>40</v>
      </c>
      <c r="C7661" t="s">
        <v>41</v>
      </c>
      <c r="D7661" s="1">
        <v>46210.115659722222</v>
      </c>
      <c r="E7661" t="s">
        <v>42</v>
      </c>
      <c r="F7661" t="s">
        <v>43</v>
      </c>
      <c r="G7661" t="s">
        <v>43</v>
      </c>
      <c r="H7661" t="s">
        <v>43</v>
      </c>
      <c r="I7661" t="s">
        <v>43</v>
      </c>
      <c r="J7661" t="s">
        <v>43</v>
      </c>
      <c r="K7661" t="s">
        <v>43</v>
      </c>
      <c r="L7661" t="s">
        <v>43</v>
      </c>
      <c r="M7661" t="s">
        <v>43</v>
      </c>
      <c r="N7661" t="s">
        <v>45</v>
      </c>
      <c r="O7661" t="s">
        <v>43</v>
      </c>
      <c r="P7661" t="s">
        <v>43</v>
      </c>
      <c r="Q7661" t="s">
        <v>43</v>
      </c>
      <c r="R7661" t="s">
        <v>43</v>
      </c>
      <c r="S7661" t="s">
        <v>43</v>
      </c>
      <c r="T7661" t="s">
        <v>43</v>
      </c>
      <c r="U7661" t="s">
        <v>43</v>
      </c>
      <c r="V7661" t="s">
        <v>43</v>
      </c>
      <c r="W7661" t="s">
        <v>43</v>
      </c>
      <c r="X7661" t="s">
        <v>43</v>
      </c>
      <c r="Y7661" t="s">
        <v>43</v>
      </c>
      <c r="Z7661" t="s">
        <v>43</v>
      </c>
      <c r="AA7661" t="s">
        <v>43</v>
      </c>
      <c r="AB7661" t="s">
        <v>43</v>
      </c>
      <c r="AC7661" t="s">
        <v>43</v>
      </c>
      <c r="AD7661" t="s">
        <v>43</v>
      </c>
      <c r="AE7661" t="s">
        <v>43</v>
      </c>
      <c r="AF7661" t="s">
        <v>43</v>
      </c>
      <c r="AG7661" t="s">
        <v>43</v>
      </c>
      <c r="AH7661" t="s">
        <v>43</v>
      </c>
      <c r="AI7661" t="s">
        <v>43</v>
      </c>
      <c r="AJ7661" t="s">
        <v>43</v>
      </c>
      <c r="AK7661" t="s">
        <v>43</v>
      </c>
      <c r="AL7661" t="s">
        <v>43</v>
      </c>
      <c r="AM7661" t="s">
        <v>43</v>
      </c>
      <c r="AN7661" t="s">
        <v>43</v>
      </c>
    </row>
    <row r="7662" spans="1:40" x14ac:dyDescent="0.3">
      <c r="A7662" s="1">
        <v>46210.112500000003</v>
      </c>
      <c r="B7662" t="s">
        <v>40</v>
      </c>
      <c r="C7662" t="s">
        <v>41</v>
      </c>
      <c r="D7662" s="1">
        <v>46210.115277777775</v>
      </c>
      <c r="E7662" t="s">
        <v>42</v>
      </c>
      <c r="F7662" t="s">
        <v>43</v>
      </c>
      <c r="G7662" t="s">
        <v>43</v>
      </c>
      <c r="H7662" t="s">
        <v>43</v>
      </c>
      <c r="I7662" t="s">
        <v>4316</v>
      </c>
      <c r="J7662" t="s">
        <v>43</v>
      </c>
      <c r="K7662" t="s">
        <v>43</v>
      </c>
      <c r="L7662" t="s">
        <v>43</v>
      </c>
      <c r="M7662" t="s">
        <v>43</v>
      </c>
      <c r="N7662" t="s">
        <v>45</v>
      </c>
      <c r="O7662" t="s">
        <v>43</v>
      </c>
      <c r="P7662" t="s">
        <v>43</v>
      </c>
      <c r="Q7662" t="s">
        <v>43</v>
      </c>
      <c r="R7662" t="s">
        <v>43</v>
      </c>
      <c r="S7662" t="s">
        <v>43</v>
      </c>
      <c r="T7662" t="s">
        <v>43</v>
      </c>
      <c r="U7662" t="s">
        <v>43</v>
      </c>
      <c r="V7662" t="s">
        <v>43</v>
      </c>
      <c r="W7662" t="s">
        <v>43</v>
      </c>
      <c r="X7662" t="s">
        <v>43</v>
      </c>
      <c r="Y7662" t="s">
        <v>43</v>
      </c>
      <c r="Z7662" t="s">
        <v>43</v>
      </c>
      <c r="AA7662" t="s">
        <v>43</v>
      </c>
      <c r="AB7662" t="s">
        <v>43</v>
      </c>
      <c r="AC7662" t="s">
        <v>43</v>
      </c>
      <c r="AD7662" t="s">
        <v>43</v>
      </c>
      <c r="AE7662" t="s">
        <v>43</v>
      </c>
      <c r="AF7662" t="s">
        <v>43</v>
      </c>
      <c r="AG7662" t="s">
        <v>43</v>
      </c>
      <c r="AH7662" t="s">
        <v>43</v>
      </c>
      <c r="AI7662" t="s">
        <v>43</v>
      </c>
      <c r="AJ7662" t="s">
        <v>43</v>
      </c>
      <c r="AK7662" t="s">
        <v>43</v>
      </c>
      <c r="AL7662" t="s">
        <v>43</v>
      </c>
      <c r="AM7662" t="s">
        <v>43</v>
      </c>
      <c r="AN7662" t="str">
        <f>HYPERLINK("https://www.google.com/maps?q=10.78967762,79.5787735","Open Location")</f>
        <v>Open Location</v>
      </c>
    </row>
    <row r="7663" spans="1:40" x14ac:dyDescent="0.3">
      <c r="A7663" s="1">
        <v>46210.112384259257</v>
      </c>
      <c r="B7663" t="s">
        <v>40</v>
      </c>
      <c r="C7663" t="s">
        <v>41</v>
      </c>
      <c r="D7663" s="1">
        <v>46210.115173611113</v>
      </c>
      <c r="E7663" t="s">
        <v>42</v>
      </c>
      <c r="F7663" t="s">
        <v>43</v>
      </c>
      <c r="G7663" t="s">
        <v>43</v>
      </c>
      <c r="H7663" t="s">
        <v>43</v>
      </c>
      <c r="I7663" t="s">
        <v>4030</v>
      </c>
      <c r="J7663" t="s">
        <v>43</v>
      </c>
      <c r="K7663" t="s">
        <v>43</v>
      </c>
      <c r="L7663" t="s">
        <v>43</v>
      </c>
      <c r="M7663" t="s">
        <v>43</v>
      </c>
      <c r="N7663" t="s">
        <v>45</v>
      </c>
      <c r="O7663" t="s">
        <v>43</v>
      </c>
      <c r="P7663" t="s">
        <v>43</v>
      </c>
      <c r="Q7663" t="s">
        <v>43</v>
      </c>
      <c r="R7663" t="s">
        <v>43</v>
      </c>
      <c r="S7663" t="s">
        <v>43</v>
      </c>
      <c r="T7663" t="s">
        <v>43</v>
      </c>
      <c r="U7663" t="s">
        <v>43</v>
      </c>
      <c r="V7663" t="s">
        <v>43</v>
      </c>
      <c r="W7663" t="s">
        <v>43</v>
      </c>
      <c r="X7663" t="s">
        <v>43</v>
      </c>
      <c r="Y7663" t="s">
        <v>43</v>
      </c>
      <c r="Z7663" t="s">
        <v>43</v>
      </c>
      <c r="AA7663" t="s">
        <v>43</v>
      </c>
      <c r="AB7663" t="s">
        <v>43</v>
      </c>
      <c r="AC7663" t="s">
        <v>43</v>
      </c>
      <c r="AD7663" t="s">
        <v>43</v>
      </c>
      <c r="AE7663" t="s">
        <v>43</v>
      </c>
      <c r="AF7663" t="s">
        <v>43</v>
      </c>
      <c r="AG7663" t="s">
        <v>43</v>
      </c>
      <c r="AH7663" t="s">
        <v>43</v>
      </c>
      <c r="AI7663" t="s">
        <v>43</v>
      </c>
      <c r="AJ7663" t="s">
        <v>43</v>
      </c>
      <c r="AK7663" t="s">
        <v>43</v>
      </c>
      <c r="AL7663" t="s">
        <v>43</v>
      </c>
      <c r="AM7663" t="s">
        <v>43</v>
      </c>
      <c r="AN7663" t="str">
        <f>HYPERLINK("https://www.google.com/maps?q=10.78967857,79.57878113","Open Location")</f>
        <v>Open Location</v>
      </c>
    </row>
    <row r="7664" spans="1:40" x14ac:dyDescent="0.3">
      <c r="A7664" s="1">
        <v>46210.112268518518</v>
      </c>
      <c r="B7664" t="s">
        <v>40</v>
      </c>
      <c r="C7664" t="s">
        <v>41</v>
      </c>
      <c r="D7664" s="1">
        <v>46210.115173611113</v>
      </c>
      <c r="E7664" t="s">
        <v>42</v>
      </c>
      <c r="F7664" t="s">
        <v>43</v>
      </c>
      <c r="G7664" t="s">
        <v>43</v>
      </c>
      <c r="H7664" t="s">
        <v>43</v>
      </c>
      <c r="I7664" t="s">
        <v>4014</v>
      </c>
      <c r="J7664" t="s">
        <v>43</v>
      </c>
      <c r="K7664" t="s">
        <v>43</v>
      </c>
      <c r="L7664" t="s">
        <v>43</v>
      </c>
      <c r="M7664" t="s">
        <v>43</v>
      </c>
      <c r="N7664" t="s">
        <v>45</v>
      </c>
      <c r="O7664" t="s">
        <v>43</v>
      </c>
      <c r="P7664" t="s">
        <v>43</v>
      </c>
      <c r="Q7664" t="s">
        <v>43</v>
      </c>
      <c r="R7664" t="s">
        <v>43</v>
      </c>
      <c r="S7664" t="s">
        <v>43</v>
      </c>
      <c r="T7664" t="s">
        <v>43</v>
      </c>
      <c r="U7664" t="s">
        <v>43</v>
      </c>
      <c r="V7664" t="s">
        <v>43</v>
      </c>
      <c r="W7664" t="s">
        <v>43</v>
      </c>
      <c r="X7664" t="s">
        <v>43</v>
      </c>
      <c r="Y7664" t="s">
        <v>43</v>
      </c>
      <c r="Z7664" t="s">
        <v>43</v>
      </c>
      <c r="AA7664" t="s">
        <v>43</v>
      </c>
      <c r="AB7664" t="s">
        <v>43</v>
      </c>
      <c r="AC7664" t="s">
        <v>43</v>
      </c>
      <c r="AD7664" t="s">
        <v>43</v>
      </c>
      <c r="AE7664" t="s">
        <v>43</v>
      </c>
      <c r="AF7664" t="s">
        <v>43</v>
      </c>
      <c r="AG7664" t="s">
        <v>43</v>
      </c>
      <c r="AH7664" t="s">
        <v>43</v>
      </c>
      <c r="AI7664" t="s">
        <v>43</v>
      </c>
      <c r="AJ7664" t="s">
        <v>43</v>
      </c>
      <c r="AK7664" t="s">
        <v>43</v>
      </c>
      <c r="AL7664" t="s">
        <v>43</v>
      </c>
      <c r="AM7664" t="s">
        <v>43</v>
      </c>
      <c r="AN7664" t="str">
        <f>HYPERLINK("https://www.google.com/maps?q=10.78967762,79.57878113","Open Location")</f>
        <v>Open Location</v>
      </c>
    </row>
    <row r="7665" spans="1:40" x14ac:dyDescent="0.3">
      <c r="A7665" s="1">
        <v>46210.11215277778</v>
      </c>
      <c r="B7665" t="s">
        <v>40</v>
      </c>
      <c r="C7665" t="s">
        <v>41</v>
      </c>
      <c r="D7665" s="1">
        <v>46210.115127314813</v>
      </c>
      <c r="E7665" t="s">
        <v>42</v>
      </c>
      <c r="F7665" t="s">
        <v>43</v>
      </c>
      <c r="G7665" t="s">
        <v>43</v>
      </c>
      <c r="H7665" t="s">
        <v>43</v>
      </c>
      <c r="I7665" t="s">
        <v>4031</v>
      </c>
      <c r="J7665" t="s">
        <v>43</v>
      </c>
      <c r="K7665" t="s">
        <v>43</v>
      </c>
      <c r="L7665" t="s">
        <v>43</v>
      </c>
      <c r="M7665" t="s">
        <v>43</v>
      </c>
      <c r="N7665" t="s">
        <v>45</v>
      </c>
      <c r="O7665" t="s">
        <v>43</v>
      </c>
      <c r="P7665" t="s">
        <v>43</v>
      </c>
      <c r="Q7665" t="s">
        <v>43</v>
      </c>
      <c r="R7665" t="s">
        <v>43</v>
      </c>
      <c r="S7665" t="s">
        <v>43</v>
      </c>
      <c r="T7665" t="s">
        <v>43</v>
      </c>
      <c r="U7665" t="s">
        <v>43</v>
      </c>
      <c r="V7665" t="s">
        <v>43</v>
      </c>
      <c r="W7665" t="s">
        <v>43</v>
      </c>
      <c r="X7665" t="s">
        <v>43</v>
      </c>
      <c r="Y7665" t="s">
        <v>43</v>
      </c>
      <c r="Z7665" t="s">
        <v>43</v>
      </c>
      <c r="AA7665" t="s">
        <v>43</v>
      </c>
      <c r="AB7665" t="s">
        <v>43</v>
      </c>
      <c r="AC7665" t="s">
        <v>43</v>
      </c>
      <c r="AD7665" t="s">
        <v>43</v>
      </c>
      <c r="AE7665" t="s">
        <v>43</v>
      </c>
      <c r="AF7665" t="s">
        <v>43</v>
      </c>
      <c r="AG7665" t="s">
        <v>43</v>
      </c>
      <c r="AH7665" t="s">
        <v>43</v>
      </c>
      <c r="AI7665" t="s">
        <v>43</v>
      </c>
      <c r="AJ7665" t="s">
        <v>43</v>
      </c>
      <c r="AK7665" t="s">
        <v>43</v>
      </c>
      <c r="AL7665" t="s">
        <v>43</v>
      </c>
      <c r="AM7665" t="s">
        <v>43</v>
      </c>
      <c r="AN7665" t="str">
        <f>HYPERLINK("https://www.google.com/maps?q=10.78967571,79.57878113","Open Location")</f>
        <v>Open Location</v>
      </c>
    </row>
    <row r="7666" spans="1:40" x14ac:dyDescent="0.3">
      <c r="A7666" s="1">
        <v>46210.112037037034</v>
      </c>
      <c r="B7666" t="s">
        <v>40</v>
      </c>
      <c r="C7666" t="s">
        <v>41</v>
      </c>
      <c r="D7666" s="1">
        <v>46210.114803240744</v>
      </c>
      <c r="E7666" t="s">
        <v>42</v>
      </c>
      <c r="F7666" t="s">
        <v>43</v>
      </c>
      <c r="G7666" t="s">
        <v>43</v>
      </c>
      <c r="H7666" t="s">
        <v>43</v>
      </c>
      <c r="I7666" t="s">
        <v>4032</v>
      </c>
      <c r="J7666" t="s">
        <v>43</v>
      </c>
      <c r="K7666" t="s">
        <v>43</v>
      </c>
      <c r="L7666" t="s">
        <v>43</v>
      </c>
      <c r="M7666" t="s">
        <v>43</v>
      </c>
      <c r="N7666" t="s">
        <v>45</v>
      </c>
      <c r="O7666" t="s">
        <v>43</v>
      </c>
      <c r="P7666" t="s">
        <v>43</v>
      </c>
      <c r="Q7666" t="s">
        <v>43</v>
      </c>
      <c r="R7666" t="s">
        <v>43</v>
      </c>
      <c r="S7666" t="s">
        <v>43</v>
      </c>
      <c r="T7666" t="s">
        <v>43</v>
      </c>
      <c r="U7666" t="s">
        <v>43</v>
      </c>
      <c r="V7666" t="s">
        <v>43</v>
      </c>
      <c r="W7666" t="s">
        <v>43</v>
      </c>
      <c r="X7666" t="s">
        <v>43</v>
      </c>
      <c r="Y7666" t="s">
        <v>43</v>
      </c>
      <c r="Z7666" t="s">
        <v>43</v>
      </c>
      <c r="AA7666" t="s">
        <v>43</v>
      </c>
      <c r="AB7666" t="s">
        <v>43</v>
      </c>
      <c r="AC7666" t="s">
        <v>43</v>
      </c>
      <c r="AD7666" t="s">
        <v>43</v>
      </c>
      <c r="AE7666" t="s">
        <v>43</v>
      </c>
      <c r="AF7666" t="s">
        <v>43</v>
      </c>
      <c r="AG7666" t="s">
        <v>43</v>
      </c>
      <c r="AH7666" t="s">
        <v>43</v>
      </c>
      <c r="AI7666" t="s">
        <v>43</v>
      </c>
      <c r="AJ7666" t="s">
        <v>43</v>
      </c>
      <c r="AK7666" t="s">
        <v>43</v>
      </c>
      <c r="AL7666" t="s">
        <v>43</v>
      </c>
      <c r="AM7666" t="s">
        <v>43</v>
      </c>
      <c r="AN7666" t="str">
        <f>HYPERLINK("https://www.google.com/maps?q=10.78967571,79.5787735","Open Location")</f>
        <v>Open Location</v>
      </c>
    </row>
    <row r="7667" spans="1:40" x14ac:dyDescent="0.3">
      <c r="A7667" s="1">
        <v>46210.111921296295</v>
      </c>
      <c r="B7667" t="s">
        <v>40</v>
      </c>
      <c r="C7667" t="s">
        <v>41</v>
      </c>
      <c r="D7667" s="1">
        <v>46210.114861111113</v>
      </c>
      <c r="E7667" t="s">
        <v>42</v>
      </c>
      <c r="F7667" t="s">
        <v>43</v>
      </c>
      <c r="G7667" t="s">
        <v>43</v>
      </c>
      <c r="H7667" t="s">
        <v>43</v>
      </c>
      <c r="I7667" t="s">
        <v>43</v>
      </c>
      <c r="J7667" t="s">
        <v>43</v>
      </c>
      <c r="K7667" t="s">
        <v>43</v>
      </c>
      <c r="L7667" t="s">
        <v>43</v>
      </c>
      <c r="M7667" t="s">
        <v>43</v>
      </c>
      <c r="N7667" t="s">
        <v>45</v>
      </c>
      <c r="O7667" t="s">
        <v>43</v>
      </c>
      <c r="P7667" t="s">
        <v>43</v>
      </c>
      <c r="Q7667" t="s">
        <v>43</v>
      </c>
      <c r="R7667" t="s">
        <v>43</v>
      </c>
      <c r="S7667" t="s">
        <v>43</v>
      </c>
      <c r="T7667" t="s">
        <v>43</v>
      </c>
      <c r="U7667" t="s">
        <v>43</v>
      </c>
      <c r="V7667" t="s">
        <v>43</v>
      </c>
      <c r="W7667" t="s">
        <v>43</v>
      </c>
      <c r="X7667" t="s">
        <v>43</v>
      </c>
      <c r="Y7667" t="s">
        <v>43</v>
      </c>
      <c r="Z7667" t="s">
        <v>43</v>
      </c>
      <c r="AA7667" t="s">
        <v>43</v>
      </c>
      <c r="AB7667" t="s">
        <v>43</v>
      </c>
      <c r="AC7667" t="s">
        <v>43</v>
      </c>
      <c r="AD7667" t="s">
        <v>43</v>
      </c>
      <c r="AE7667" t="s">
        <v>43</v>
      </c>
      <c r="AF7667" t="s">
        <v>43</v>
      </c>
      <c r="AG7667" t="s">
        <v>43</v>
      </c>
      <c r="AH7667" t="s">
        <v>43</v>
      </c>
      <c r="AI7667" t="s">
        <v>43</v>
      </c>
      <c r="AJ7667" t="s">
        <v>43</v>
      </c>
      <c r="AK7667" t="s">
        <v>43</v>
      </c>
      <c r="AL7667" t="s">
        <v>43</v>
      </c>
      <c r="AM7667" t="s">
        <v>43</v>
      </c>
      <c r="AN7667" t="s">
        <v>43</v>
      </c>
    </row>
    <row r="7668" spans="1:40" x14ac:dyDescent="0.3">
      <c r="A7668" s="1">
        <v>46210.111805555556</v>
      </c>
      <c r="B7668" t="s">
        <v>40</v>
      </c>
      <c r="C7668" t="s">
        <v>41</v>
      </c>
      <c r="D7668" s="1">
        <v>46210.114803240744</v>
      </c>
      <c r="E7668" t="s">
        <v>42</v>
      </c>
      <c r="F7668" t="s">
        <v>43</v>
      </c>
      <c r="G7668" t="s">
        <v>43</v>
      </c>
      <c r="H7668" t="s">
        <v>43</v>
      </c>
      <c r="I7668" t="s">
        <v>4020</v>
      </c>
      <c r="J7668" t="s">
        <v>43</v>
      </c>
      <c r="K7668" t="s">
        <v>43</v>
      </c>
      <c r="L7668" t="s">
        <v>43</v>
      </c>
      <c r="M7668" t="s">
        <v>43</v>
      </c>
      <c r="N7668" t="s">
        <v>45</v>
      </c>
      <c r="O7668" t="s">
        <v>43</v>
      </c>
      <c r="P7668" t="s">
        <v>43</v>
      </c>
      <c r="Q7668" t="s">
        <v>43</v>
      </c>
      <c r="R7668" t="s">
        <v>43</v>
      </c>
      <c r="S7668" t="s">
        <v>43</v>
      </c>
      <c r="T7668" t="s">
        <v>43</v>
      </c>
      <c r="U7668" t="s">
        <v>43</v>
      </c>
      <c r="V7668" t="s">
        <v>43</v>
      </c>
      <c r="W7668" t="s">
        <v>43</v>
      </c>
      <c r="X7668" t="s">
        <v>43</v>
      </c>
      <c r="Y7668" t="s">
        <v>43</v>
      </c>
      <c r="Z7668" t="s">
        <v>43</v>
      </c>
      <c r="AA7668" t="s">
        <v>43</v>
      </c>
      <c r="AB7668" t="s">
        <v>43</v>
      </c>
      <c r="AC7668" t="s">
        <v>43</v>
      </c>
      <c r="AD7668" t="s">
        <v>43</v>
      </c>
      <c r="AE7668" t="s">
        <v>43</v>
      </c>
      <c r="AF7668" t="s">
        <v>43</v>
      </c>
      <c r="AG7668" t="s">
        <v>43</v>
      </c>
      <c r="AH7668" t="s">
        <v>43</v>
      </c>
      <c r="AI7668" t="s">
        <v>43</v>
      </c>
      <c r="AJ7668" t="s">
        <v>43</v>
      </c>
      <c r="AK7668" t="s">
        <v>43</v>
      </c>
      <c r="AL7668" t="s">
        <v>43</v>
      </c>
      <c r="AM7668" t="s">
        <v>43</v>
      </c>
      <c r="AN7668" t="str">
        <f>HYPERLINK("https://www.google.com/maps?q=10.78967476,79.57876587","Open Location")</f>
        <v>Open Location</v>
      </c>
    </row>
    <row r="7669" spans="1:40" x14ac:dyDescent="0.3">
      <c r="A7669" s="1">
        <v>46210.111689814818</v>
      </c>
      <c r="B7669" t="s">
        <v>40</v>
      </c>
      <c r="C7669" t="s">
        <v>41</v>
      </c>
      <c r="D7669" s="1">
        <v>46210.114687499998</v>
      </c>
      <c r="E7669" t="s">
        <v>42</v>
      </c>
      <c r="F7669" t="s">
        <v>43</v>
      </c>
      <c r="G7669" t="s">
        <v>43</v>
      </c>
      <c r="H7669" t="s">
        <v>43</v>
      </c>
      <c r="I7669" t="s">
        <v>4317</v>
      </c>
      <c r="J7669" t="s">
        <v>43</v>
      </c>
      <c r="K7669" t="s">
        <v>43</v>
      </c>
      <c r="L7669" t="s">
        <v>43</v>
      </c>
      <c r="M7669" t="s">
        <v>43</v>
      </c>
      <c r="N7669" t="s">
        <v>45</v>
      </c>
      <c r="O7669" t="s">
        <v>43</v>
      </c>
      <c r="P7669" t="s">
        <v>43</v>
      </c>
      <c r="Q7669" t="s">
        <v>43</v>
      </c>
      <c r="R7669" t="s">
        <v>43</v>
      </c>
      <c r="S7669" t="s">
        <v>43</v>
      </c>
      <c r="T7669" t="s">
        <v>43</v>
      </c>
      <c r="U7669" t="s">
        <v>43</v>
      </c>
      <c r="V7669" t="s">
        <v>43</v>
      </c>
      <c r="W7669" t="s">
        <v>43</v>
      </c>
      <c r="X7669" t="s">
        <v>43</v>
      </c>
      <c r="Y7669" t="s">
        <v>43</v>
      </c>
      <c r="Z7669" t="s">
        <v>43</v>
      </c>
      <c r="AA7669" t="s">
        <v>43</v>
      </c>
      <c r="AB7669" t="s">
        <v>43</v>
      </c>
      <c r="AC7669" t="s">
        <v>43</v>
      </c>
      <c r="AD7669" t="s">
        <v>43</v>
      </c>
      <c r="AE7669" t="s">
        <v>43</v>
      </c>
      <c r="AF7669" t="s">
        <v>43</v>
      </c>
      <c r="AG7669" t="s">
        <v>43</v>
      </c>
      <c r="AH7669" t="s">
        <v>43</v>
      </c>
      <c r="AI7669" t="s">
        <v>43</v>
      </c>
      <c r="AJ7669" t="s">
        <v>43</v>
      </c>
      <c r="AK7669" t="s">
        <v>43</v>
      </c>
      <c r="AL7669" t="s">
        <v>43</v>
      </c>
      <c r="AM7669" t="s">
        <v>43</v>
      </c>
      <c r="AN7669" t="str">
        <f>HYPERLINK("https://www.google.com/maps?q=10.78967953,79.57876587","Open Location")</f>
        <v>Open Location</v>
      </c>
    </row>
    <row r="7670" spans="1:40" x14ac:dyDescent="0.3">
      <c r="A7670" s="1">
        <v>46210.111574074072</v>
      </c>
      <c r="B7670" t="s">
        <v>40</v>
      </c>
      <c r="C7670" t="s">
        <v>41</v>
      </c>
      <c r="D7670" s="1">
        <v>46210.114282407405</v>
      </c>
      <c r="E7670" t="s">
        <v>42</v>
      </c>
      <c r="F7670" t="s">
        <v>43</v>
      </c>
      <c r="G7670" t="s">
        <v>43</v>
      </c>
      <c r="H7670" t="s">
        <v>43</v>
      </c>
      <c r="I7670" t="s">
        <v>4317</v>
      </c>
      <c r="J7670" t="s">
        <v>43</v>
      </c>
      <c r="K7670" t="s">
        <v>43</v>
      </c>
      <c r="L7670" t="s">
        <v>43</v>
      </c>
      <c r="M7670" t="s">
        <v>43</v>
      </c>
      <c r="N7670" t="s">
        <v>45</v>
      </c>
      <c r="O7670" t="s">
        <v>43</v>
      </c>
      <c r="P7670" t="s">
        <v>43</v>
      </c>
      <c r="Q7670" t="s">
        <v>43</v>
      </c>
      <c r="R7670" t="s">
        <v>43</v>
      </c>
      <c r="S7670" t="s">
        <v>43</v>
      </c>
      <c r="T7670" t="s">
        <v>43</v>
      </c>
      <c r="U7670" t="s">
        <v>43</v>
      </c>
      <c r="V7670" t="s">
        <v>43</v>
      </c>
      <c r="W7670" t="s">
        <v>43</v>
      </c>
      <c r="X7670" t="s">
        <v>43</v>
      </c>
      <c r="Y7670" t="s">
        <v>43</v>
      </c>
      <c r="Z7670" t="s">
        <v>43</v>
      </c>
      <c r="AA7670" t="s">
        <v>43</v>
      </c>
      <c r="AB7670" t="s">
        <v>43</v>
      </c>
      <c r="AC7670" t="s">
        <v>43</v>
      </c>
      <c r="AD7670" t="s">
        <v>43</v>
      </c>
      <c r="AE7670" t="s">
        <v>43</v>
      </c>
      <c r="AF7670" t="s">
        <v>43</v>
      </c>
      <c r="AG7670" t="s">
        <v>43</v>
      </c>
      <c r="AH7670" t="s">
        <v>43</v>
      </c>
      <c r="AI7670" t="s">
        <v>43</v>
      </c>
      <c r="AJ7670" t="s">
        <v>43</v>
      </c>
      <c r="AK7670" t="s">
        <v>43</v>
      </c>
      <c r="AL7670" t="s">
        <v>43</v>
      </c>
      <c r="AM7670" t="s">
        <v>43</v>
      </c>
      <c r="AN7670" t="str">
        <f>HYPERLINK("https://www.google.com/maps?q=10.78967953,79.57876587","Open Location")</f>
        <v>Open Location</v>
      </c>
    </row>
    <row r="7671" spans="1:40" x14ac:dyDescent="0.3">
      <c r="A7671" s="1">
        <v>46210.111458333333</v>
      </c>
      <c r="B7671" t="s">
        <v>40</v>
      </c>
      <c r="C7671" t="s">
        <v>41</v>
      </c>
      <c r="D7671" s="1">
        <v>46210.114421296297</v>
      </c>
      <c r="E7671" t="s">
        <v>42</v>
      </c>
      <c r="F7671" t="s">
        <v>43</v>
      </c>
      <c r="G7671" t="s">
        <v>43</v>
      </c>
      <c r="H7671" t="s">
        <v>43</v>
      </c>
      <c r="I7671" t="s">
        <v>4033</v>
      </c>
      <c r="J7671" t="s">
        <v>43</v>
      </c>
      <c r="K7671" t="s">
        <v>43</v>
      </c>
      <c r="L7671" t="s">
        <v>43</v>
      </c>
      <c r="M7671" t="s">
        <v>43</v>
      </c>
      <c r="N7671" t="s">
        <v>45</v>
      </c>
      <c r="O7671" t="s">
        <v>43</v>
      </c>
      <c r="P7671" t="s">
        <v>43</v>
      </c>
      <c r="Q7671" t="s">
        <v>43</v>
      </c>
      <c r="R7671" t="s">
        <v>43</v>
      </c>
      <c r="S7671" t="s">
        <v>43</v>
      </c>
      <c r="T7671" t="s">
        <v>43</v>
      </c>
      <c r="U7671" t="s">
        <v>43</v>
      </c>
      <c r="V7671" t="s">
        <v>43</v>
      </c>
      <c r="W7671" t="s">
        <v>43</v>
      </c>
      <c r="X7671" t="s">
        <v>43</v>
      </c>
      <c r="Y7671" t="s">
        <v>43</v>
      </c>
      <c r="Z7671" t="s">
        <v>43</v>
      </c>
      <c r="AA7671" t="s">
        <v>43</v>
      </c>
      <c r="AB7671" t="s">
        <v>43</v>
      </c>
      <c r="AC7671" t="s">
        <v>43</v>
      </c>
      <c r="AD7671" t="s">
        <v>43</v>
      </c>
      <c r="AE7671" t="s">
        <v>43</v>
      </c>
      <c r="AF7671" t="s">
        <v>43</v>
      </c>
      <c r="AG7671" t="s">
        <v>43</v>
      </c>
      <c r="AH7671" t="s">
        <v>43</v>
      </c>
      <c r="AI7671" t="s">
        <v>43</v>
      </c>
      <c r="AJ7671" t="s">
        <v>43</v>
      </c>
      <c r="AK7671" t="s">
        <v>43</v>
      </c>
      <c r="AL7671" t="s">
        <v>43</v>
      </c>
      <c r="AM7671" t="s">
        <v>43</v>
      </c>
      <c r="AN7671" t="str">
        <f>HYPERLINK("https://www.google.com/maps?q=10.78967953,79.5787735","Open Location")</f>
        <v>Open Location</v>
      </c>
    </row>
    <row r="7672" spans="1:40" x14ac:dyDescent="0.3">
      <c r="A7672" s="1">
        <v>46210.111342592594</v>
      </c>
      <c r="B7672" t="s">
        <v>40</v>
      </c>
      <c r="C7672" t="s">
        <v>41</v>
      </c>
      <c r="D7672" s="1">
        <v>46210.114374999997</v>
      </c>
      <c r="E7672" t="s">
        <v>42</v>
      </c>
      <c r="F7672" t="s">
        <v>43</v>
      </c>
      <c r="G7672" t="s">
        <v>43</v>
      </c>
      <c r="H7672" t="s">
        <v>43</v>
      </c>
      <c r="I7672" t="s">
        <v>43</v>
      </c>
      <c r="J7672" t="s">
        <v>43</v>
      </c>
      <c r="K7672" t="s">
        <v>43</v>
      </c>
      <c r="L7672" t="s">
        <v>43</v>
      </c>
      <c r="M7672" t="s">
        <v>43</v>
      </c>
      <c r="N7672" t="s">
        <v>45</v>
      </c>
      <c r="O7672" t="s">
        <v>43</v>
      </c>
      <c r="P7672" t="s">
        <v>43</v>
      </c>
      <c r="Q7672" t="s">
        <v>43</v>
      </c>
      <c r="R7672" t="s">
        <v>43</v>
      </c>
      <c r="S7672" t="s">
        <v>43</v>
      </c>
      <c r="T7672" t="s">
        <v>43</v>
      </c>
      <c r="U7672" t="s">
        <v>43</v>
      </c>
      <c r="V7672" t="s">
        <v>43</v>
      </c>
      <c r="W7672" t="s">
        <v>43</v>
      </c>
      <c r="X7672" t="s">
        <v>43</v>
      </c>
      <c r="Y7672" t="s">
        <v>43</v>
      </c>
      <c r="Z7672" t="s">
        <v>43</v>
      </c>
      <c r="AA7672" t="s">
        <v>43</v>
      </c>
      <c r="AB7672" t="s">
        <v>43</v>
      </c>
      <c r="AC7672" t="s">
        <v>43</v>
      </c>
      <c r="AD7672" t="s">
        <v>43</v>
      </c>
      <c r="AE7672" t="s">
        <v>43</v>
      </c>
      <c r="AF7672" t="s">
        <v>43</v>
      </c>
      <c r="AG7672" t="s">
        <v>43</v>
      </c>
      <c r="AH7672" t="s">
        <v>43</v>
      </c>
      <c r="AI7672" t="s">
        <v>43</v>
      </c>
      <c r="AJ7672" t="s">
        <v>43</v>
      </c>
      <c r="AK7672" t="s">
        <v>43</v>
      </c>
      <c r="AL7672" t="s">
        <v>43</v>
      </c>
      <c r="AM7672" t="s">
        <v>43</v>
      </c>
      <c r="AN7672" t="s">
        <v>43</v>
      </c>
    </row>
    <row r="7673" spans="1:40" x14ac:dyDescent="0.3">
      <c r="A7673" s="1">
        <v>46210.111226851855</v>
      </c>
      <c r="B7673" t="s">
        <v>40</v>
      </c>
      <c r="C7673" t="s">
        <v>41</v>
      </c>
      <c r="D7673" s="1">
        <v>46210.114108796297</v>
      </c>
      <c r="E7673" t="s">
        <v>42</v>
      </c>
      <c r="F7673" t="s">
        <v>43</v>
      </c>
      <c r="G7673" t="s">
        <v>43</v>
      </c>
      <c r="H7673" t="s">
        <v>43</v>
      </c>
      <c r="I7673" t="s">
        <v>4208</v>
      </c>
      <c r="J7673" t="s">
        <v>43</v>
      </c>
      <c r="K7673" t="s">
        <v>43</v>
      </c>
      <c r="L7673" t="s">
        <v>43</v>
      </c>
      <c r="M7673" t="s">
        <v>43</v>
      </c>
      <c r="N7673" t="s">
        <v>45</v>
      </c>
      <c r="O7673" t="s">
        <v>43</v>
      </c>
      <c r="P7673" t="s">
        <v>43</v>
      </c>
      <c r="Q7673" t="s">
        <v>43</v>
      </c>
      <c r="R7673" t="s">
        <v>43</v>
      </c>
      <c r="S7673" t="s">
        <v>43</v>
      </c>
      <c r="T7673" t="s">
        <v>43</v>
      </c>
      <c r="U7673" t="s">
        <v>43</v>
      </c>
      <c r="V7673" t="s">
        <v>43</v>
      </c>
      <c r="W7673" t="s">
        <v>43</v>
      </c>
      <c r="X7673" t="s">
        <v>43</v>
      </c>
      <c r="Y7673" t="s">
        <v>43</v>
      </c>
      <c r="Z7673" t="s">
        <v>43</v>
      </c>
      <c r="AA7673" t="s">
        <v>43</v>
      </c>
      <c r="AB7673" t="s">
        <v>43</v>
      </c>
      <c r="AC7673" t="s">
        <v>43</v>
      </c>
      <c r="AD7673" t="s">
        <v>43</v>
      </c>
      <c r="AE7673" t="s">
        <v>43</v>
      </c>
      <c r="AF7673" t="s">
        <v>43</v>
      </c>
      <c r="AG7673" t="s">
        <v>43</v>
      </c>
      <c r="AH7673" t="s">
        <v>43</v>
      </c>
      <c r="AI7673" t="s">
        <v>43</v>
      </c>
      <c r="AJ7673" t="s">
        <v>43</v>
      </c>
      <c r="AK7673" t="s">
        <v>43</v>
      </c>
      <c r="AL7673" t="s">
        <v>43</v>
      </c>
      <c r="AM7673" t="s">
        <v>43</v>
      </c>
      <c r="AN7673" t="str">
        <f>HYPERLINK("https://www.google.com/maps?q=10.78968239,79.5787735","Open Location")</f>
        <v>Open Location</v>
      </c>
    </row>
    <row r="7674" spans="1:40" x14ac:dyDescent="0.3">
      <c r="A7674" s="1">
        <v>46210.111111111109</v>
      </c>
      <c r="B7674" t="s">
        <v>40</v>
      </c>
      <c r="C7674" t="s">
        <v>41</v>
      </c>
      <c r="D7674" s="1">
        <v>46210.114027777781</v>
      </c>
      <c r="E7674" t="s">
        <v>42</v>
      </c>
      <c r="F7674" t="s">
        <v>43</v>
      </c>
      <c r="G7674" t="s">
        <v>43</v>
      </c>
      <c r="H7674" t="s">
        <v>43</v>
      </c>
      <c r="I7674" t="s">
        <v>4318</v>
      </c>
      <c r="J7674" t="s">
        <v>43</v>
      </c>
      <c r="K7674" t="s">
        <v>43</v>
      </c>
      <c r="L7674" t="s">
        <v>43</v>
      </c>
      <c r="M7674" t="s">
        <v>43</v>
      </c>
      <c r="N7674" t="s">
        <v>45</v>
      </c>
      <c r="O7674" t="s">
        <v>43</v>
      </c>
      <c r="P7674" t="s">
        <v>43</v>
      </c>
      <c r="Q7674" t="s">
        <v>43</v>
      </c>
      <c r="R7674" t="s">
        <v>43</v>
      </c>
      <c r="S7674" t="s">
        <v>43</v>
      </c>
      <c r="T7674" t="s">
        <v>43</v>
      </c>
      <c r="U7674" t="s">
        <v>43</v>
      </c>
      <c r="V7674" t="s">
        <v>43</v>
      </c>
      <c r="W7674" t="s">
        <v>43</v>
      </c>
      <c r="X7674" t="s">
        <v>43</v>
      </c>
      <c r="Y7674" t="s">
        <v>43</v>
      </c>
      <c r="Z7674" t="s">
        <v>43</v>
      </c>
      <c r="AA7674" t="s">
        <v>43</v>
      </c>
      <c r="AB7674" t="s">
        <v>43</v>
      </c>
      <c r="AC7674" t="s">
        <v>43</v>
      </c>
      <c r="AD7674" t="s">
        <v>43</v>
      </c>
      <c r="AE7674" t="s">
        <v>43</v>
      </c>
      <c r="AF7674" t="s">
        <v>43</v>
      </c>
      <c r="AG7674" t="s">
        <v>43</v>
      </c>
      <c r="AH7674" t="s">
        <v>43</v>
      </c>
      <c r="AI7674" t="s">
        <v>43</v>
      </c>
      <c r="AJ7674" t="s">
        <v>43</v>
      </c>
      <c r="AK7674" t="s">
        <v>43</v>
      </c>
      <c r="AL7674" t="s">
        <v>43</v>
      </c>
      <c r="AM7674" t="s">
        <v>43</v>
      </c>
      <c r="AN7674" t="str">
        <f>HYPERLINK("https://www.google.com/maps?q=10.78968334,79.5787735","Open Location")</f>
        <v>Open Location</v>
      </c>
    </row>
    <row r="7675" spans="1:40" x14ac:dyDescent="0.3">
      <c r="A7675" s="1">
        <v>46210.110995370371</v>
      </c>
      <c r="B7675" t="s">
        <v>40</v>
      </c>
      <c r="C7675" t="s">
        <v>41</v>
      </c>
      <c r="D7675" s="1">
        <v>46210.113842592589</v>
      </c>
      <c r="E7675" t="s">
        <v>42</v>
      </c>
      <c r="F7675" t="s">
        <v>43</v>
      </c>
      <c r="G7675" t="s">
        <v>43</v>
      </c>
      <c r="H7675" t="s">
        <v>43</v>
      </c>
      <c r="I7675" t="s">
        <v>4319</v>
      </c>
      <c r="J7675" t="s">
        <v>43</v>
      </c>
      <c r="K7675" t="s">
        <v>43</v>
      </c>
      <c r="L7675" t="s">
        <v>43</v>
      </c>
      <c r="M7675" t="s">
        <v>43</v>
      </c>
      <c r="N7675" t="s">
        <v>45</v>
      </c>
      <c r="O7675" t="s">
        <v>43</v>
      </c>
      <c r="P7675" t="s">
        <v>43</v>
      </c>
      <c r="Q7675" t="s">
        <v>43</v>
      </c>
      <c r="R7675" t="s">
        <v>43</v>
      </c>
      <c r="S7675" t="s">
        <v>43</v>
      </c>
      <c r="T7675" t="s">
        <v>43</v>
      </c>
      <c r="U7675" t="s">
        <v>43</v>
      </c>
      <c r="V7675" t="s">
        <v>43</v>
      </c>
      <c r="W7675" t="s">
        <v>43</v>
      </c>
      <c r="X7675" t="s">
        <v>43</v>
      </c>
      <c r="Y7675" t="s">
        <v>43</v>
      </c>
      <c r="Z7675" t="s">
        <v>43</v>
      </c>
      <c r="AA7675" t="s">
        <v>43</v>
      </c>
      <c r="AB7675" t="s">
        <v>43</v>
      </c>
      <c r="AC7675" t="s">
        <v>43</v>
      </c>
      <c r="AD7675" t="s">
        <v>43</v>
      </c>
      <c r="AE7675" t="s">
        <v>43</v>
      </c>
      <c r="AF7675" t="s">
        <v>43</v>
      </c>
      <c r="AG7675" t="s">
        <v>43</v>
      </c>
      <c r="AH7675" t="s">
        <v>43</v>
      </c>
      <c r="AI7675" t="s">
        <v>43</v>
      </c>
      <c r="AJ7675" t="s">
        <v>43</v>
      </c>
      <c r="AK7675" t="s">
        <v>43</v>
      </c>
      <c r="AL7675" t="s">
        <v>43</v>
      </c>
      <c r="AM7675" t="s">
        <v>43</v>
      </c>
      <c r="AN7675" t="str">
        <f>HYPERLINK("https://www.google.com/maps?q=10.78968334,79.57878113","Open Location")</f>
        <v>Open Location</v>
      </c>
    </row>
    <row r="7676" spans="1:40" x14ac:dyDescent="0.3">
      <c r="A7676" s="1">
        <v>46210.110879629632</v>
      </c>
      <c r="B7676" t="s">
        <v>40</v>
      </c>
      <c r="C7676" t="s">
        <v>41</v>
      </c>
      <c r="D7676" s="1">
        <v>46210.113900462966</v>
      </c>
      <c r="E7676" t="s">
        <v>42</v>
      </c>
      <c r="F7676" t="s">
        <v>43</v>
      </c>
      <c r="G7676" t="s">
        <v>43</v>
      </c>
      <c r="H7676" t="s">
        <v>43</v>
      </c>
      <c r="I7676" t="s">
        <v>4319</v>
      </c>
      <c r="J7676" t="s">
        <v>43</v>
      </c>
      <c r="K7676" t="s">
        <v>43</v>
      </c>
      <c r="L7676" t="s">
        <v>43</v>
      </c>
      <c r="M7676" t="s">
        <v>43</v>
      </c>
      <c r="N7676" t="s">
        <v>45</v>
      </c>
      <c r="O7676" t="s">
        <v>43</v>
      </c>
      <c r="P7676" t="s">
        <v>43</v>
      </c>
      <c r="Q7676" t="s">
        <v>43</v>
      </c>
      <c r="R7676" t="s">
        <v>43</v>
      </c>
      <c r="S7676" t="s">
        <v>43</v>
      </c>
      <c r="T7676" t="s">
        <v>43</v>
      </c>
      <c r="U7676" t="s">
        <v>43</v>
      </c>
      <c r="V7676" t="s">
        <v>43</v>
      </c>
      <c r="W7676" t="s">
        <v>43</v>
      </c>
      <c r="X7676" t="s">
        <v>43</v>
      </c>
      <c r="Y7676" t="s">
        <v>43</v>
      </c>
      <c r="Z7676" t="s">
        <v>43</v>
      </c>
      <c r="AA7676" t="s">
        <v>43</v>
      </c>
      <c r="AB7676" t="s">
        <v>43</v>
      </c>
      <c r="AC7676" t="s">
        <v>43</v>
      </c>
      <c r="AD7676" t="s">
        <v>43</v>
      </c>
      <c r="AE7676" t="s">
        <v>43</v>
      </c>
      <c r="AF7676" t="s">
        <v>43</v>
      </c>
      <c r="AG7676" t="s">
        <v>43</v>
      </c>
      <c r="AH7676" t="s">
        <v>43</v>
      </c>
      <c r="AI7676" t="s">
        <v>43</v>
      </c>
      <c r="AJ7676" t="s">
        <v>43</v>
      </c>
      <c r="AK7676" t="s">
        <v>43</v>
      </c>
      <c r="AL7676" t="s">
        <v>43</v>
      </c>
      <c r="AM7676" t="s">
        <v>43</v>
      </c>
      <c r="AN7676" t="str">
        <f>HYPERLINK("https://www.google.com/maps?q=10.78968334,79.57878113","Open Location")</f>
        <v>Open Location</v>
      </c>
    </row>
    <row r="7677" spans="1:40" x14ac:dyDescent="0.3">
      <c r="A7677" s="1">
        <v>46210.110763888886</v>
      </c>
      <c r="B7677" t="s">
        <v>40</v>
      </c>
      <c r="C7677" t="s">
        <v>41</v>
      </c>
      <c r="D7677" s="1">
        <v>46210.113749999997</v>
      </c>
      <c r="E7677" t="s">
        <v>42</v>
      </c>
      <c r="F7677" t="s">
        <v>43</v>
      </c>
      <c r="G7677" t="s">
        <v>43</v>
      </c>
      <c r="H7677" t="s">
        <v>43</v>
      </c>
      <c r="I7677" t="s">
        <v>4320</v>
      </c>
      <c r="J7677" t="s">
        <v>43</v>
      </c>
      <c r="K7677" t="s">
        <v>43</v>
      </c>
      <c r="L7677" t="s">
        <v>43</v>
      </c>
      <c r="M7677" t="s">
        <v>43</v>
      </c>
      <c r="N7677" t="s">
        <v>45</v>
      </c>
      <c r="O7677" t="s">
        <v>43</v>
      </c>
      <c r="P7677" t="s">
        <v>43</v>
      </c>
      <c r="Q7677" t="s">
        <v>43</v>
      </c>
      <c r="R7677" t="s">
        <v>43</v>
      </c>
      <c r="S7677" t="s">
        <v>43</v>
      </c>
      <c r="T7677" t="s">
        <v>43</v>
      </c>
      <c r="U7677" t="s">
        <v>43</v>
      </c>
      <c r="V7677" t="s">
        <v>43</v>
      </c>
      <c r="W7677" t="s">
        <v>43</v>
      </c>
      <c r="X7677" t="s">
        <v>43</v>
      </c>
      <c r="Y7677" t="s">
        <v>43</v>
      </c>
      <c r="Z7677" t="s">
        <v>43</v>
      </c>
      <c r="AA7677" t="s">
        <v>43</v>
      </c>
      <c r="AB7677" t="s">
        <v>43</v>
      </c>
      <c r="AC7677" t="s">
        <v>43</v>
      </c>
      <c r="AD7677" t="s">
        <v>43</v>
      </c>
      <c r="AE7677" t="s">
        <v>43</v>
      </c>
      <c r="AF7677" t="s">
        <v>43</v>
      </c>
      <c r="AG7677" t="s">
        <v>43</v>
      </c>
      <c r="AH7677" t="s">
        <v>43</v>
      </c>
      <c r="AI7677" t="s">
        <v>43</v>
      </c>
      <c r="AJ7677" t="s">
        <v>43</v>
      </c>
      <c r="AK7677" t="s">
        <v>43</v>
      </c>
      <c r="AL7677" t="s">
        <v>43</v>
      </c>
      <c r="AM7677" t="s">
        <v>43</v>
      </c>
      <c r="AN7677" t="str">
        <f>HYPERLINK("https://www.google.com/maps?q=10.78968525,79.57878113","Open Location")</f>
        <v>Open Location</v>
      </c>
    </row>
    <row r="7678" spans="1:40" x14ac:dyDescent="0.3">
      <c r="A7678" s="1">
        <v>46210.110648148147</v>
      </c>
      <c r="B7678" t="s">
        <v>40</v>
      </c>
      <c r="C7678" t="s">
        <v>41</v>
      </c>
      <c r="D7678" s="1">
        <v>46210.113749999997</v>
      </c>
      <c r="E7678" t="s">
        <v>42</v>
      </c>
      <c r="F7678" t="s">
        <v>43</v>
      </c>
      <c r="G7678" t="s">
        <v>43</v>
      </c>
      <c r="H7678" t="s">
        <v>43</v>
      </c>
      <c r="I7678" t="s">
        <v>43</v>
      </c>
      <c r="J7678" t="s">
        <v>43</v>
      </c>
      <c r="K7678" t="s">
        <v>43</v>
      </c>
      <c r="L7678" t="s">
        <v>43</v>
      </c>
      <c r="M7678" t="s">
        <v>43</v>
      </c>
      <c r="N7678" t="s">
        <v>45</v>
      </c>
      <c r="O7678" t="s">
        <v>43</v>
      </c>
      <c r="P7678" t="s">
        <v>43</v>
      </c>
      <c r="Q7678" t="s">
        <v>43</v>
      </c>
      <c r="R7678" t="s">
        <v>43</v>
      </c>
      <c r="S7678" t="s">
        <v>43</v>
      </c>
      <c r="T7678" t="s">
        <v>43</v>
      </c>
      <c r="U7678" t="s">
        <v>43</v>
      </c>
      <c r="V7678" t="s">
        <v>43</v>
      </c>
      <c r="W7678" t="s">
        <v>43</v>
      </c>
      <c r="X7678" t="s">
        <v>43</v>
      </c>
      <c r="Y7678" t="s">
        <v>43</v>
      </c>
      <c r="Z7678" t="s">
        <v>43</v>
      </c>
      <c r="AA7678" t="s">
        <v>43</v>
      </c>
      <c r="AB7678" t="s">
        <v>43</v>
      </c>
      <c r="AC7678" t="s">
        <v>43</v>
      </c>
      <c r="AD7678" t="s">
        <v>43</v>
      </c>
      <c r="AE7678" t="s">
        <v>43</v>
      </c>
      <c r="AF7678" t="s">
        <v>43</v>
      </c>
      <c r="AG7678" t="s">
        <v>43</v>
      </c>
      <c r="AH7678" t="s">
        <v>43</v>
      </c>
      <c r="AI7678" t="s">
        <v>43</v>
      </c>
      <c r="AJ7678" t="s">
        <v>43</v>
      </c>
      <c r="AK7678" t="s">
        <v>43</v>
      </c>
      <c r="AL7678" t="s">
        <v>43</v>
      </c>
      <c r="AM7678" t="s">
        <v>43</v>
      </c>
      <c r="AN7678" t="s">
        <v>43</v>
      </c>
    </row>
    <row r="7679" spans="1:40" x14ac:dyDescent="0.3">
      <c r="A7679" s="1">
        <v>46210.110532407409</v>
      </c>
      <c r="B7679" t="s">
        <v>40</v>
      </c>
      <c r="C7679" t="s">
        <v>41</v>
      </c>
      <c r="D7679" s="1">
        <v>46210.113495370373</v>
      </c>
      <c r="E7679" t="s">
        <v>42</v>
      </c>
      <c r="F7679" t="s">
        <v>43</v>
      </c>
      <c r="G7679" t="s">
        <v>43</v>
      </c>
      <c r="H7679" t="s">
        <v>43</v>
      </c>
      <c r="I7679" t="s">
        <v>4086</v>
      </c>
      <c r="J7679" t="s">
        <v>43</v>
      </c>
      <c r="K7679" t="s">
        <v>43</v>
      </c>
      <c r="L7679" t="s">
        <v>43</v>
      </c>
      <c r="M7679" t="s">
        <v>43</v>
      </c>
      <c r="N7679" t="s">
        <v>45</v>
      </c>
      <c r="O7679" t="s">
        <v>43</v>
      </c>
      <c r="P7679" t="s">
        <v>43</v>
      </c>
      <c r="Q7679" t="s">
        <v>43</v>
      </c>
      <c r="R7679" t="s">
        <v>43</v>
      </c>
      <c r="S7679" t="s">
        <v>43</v>
      </c>
      <c r="T7679" t="s">
        <v>43</v>
      </c>
      <c r="U7679" t="s">
        <v>43</v>
      </c>
      <c r="V7679" t="s">
        <v>43</v>
      </c>
      <c r="W7679" t="s">
        <v>43</v>
      </c>
      <c r="X7679" t="s">
        <v>43</v>
      </c>
      <c r="Y7679" t="s">
        <v>43</v>
      </c>
      <c r="Z7679" t="s">
        <v>43</v>
      </c>
      <c r="AA7679" t="s">
        <v>43</v>
      </c>
      <c r="AB7679" t="s">
        <v>43</v>
      </c>
      <c r="AC7679" t="s">
        <v>43</v>
      </c>
      <c r="AD7679" t="s">
        <v>43</v>
      </c>
      <c r="AE7679" t="s">
        <v>43</v>
      </c>
      <c r="AF7679" t="s">
        <v>43</v>
      </c>
      <c r="AG7679" t="s">
        <v>43</v>
      </c>
      <c r="AH7679" t="s">
        <v>43</v>
      </c>
      <c r="AI7679" t="s">
        <v>43</v>
      </c>
      <c r="AJ7679" t="s">
        <v>43</v>
      </c>
      <c r="AK7679" t="s">
        <v>43</v>
      </c>
      <c r="AL7679" t="s">
        <v>43</v>
      </c>
      <c r="AM7679" t="s">
        <v>43</v>
      </c>
      <c r="AN7679" t="str">
        <f>HYPERLINK("https://www.google.com/maps?q=10.78968716,79.57878876","Open Location")</f>
        <v>Open Location</v>
      </c>
    </row>
    <row r="7680" spans="1:40" x14ac:dyDescent="0.3">
      <c r="A7680" s="1">
        <v>46210.11041666667</v>
      </c>
      <c r="B7680" t="s">
        <v>40</v>
      </c>
      <c r="C7680" t="s">
        <v>41</v>
      </c>
      <c r="D7680" s="1">
        <v>46210.113194444442</v>
      </c>
      <c r="E7680" t="s">
        <v>42</v>
      </c>
      <c r="F7680" t="s">
        <v>43</v>
      </c>
      <c r="G7680" t="s">
        <v>43</v>
      </c>
      <c r="H7680" t="s">
        <v>43</v>
      </c>
      <c r="I7680" t="s">
        <v>4086</v>
      </c>
      <c r="J7680" t="s">
        <v>43</v>
      </c>
      <c r="K7680" t="s">
        <v>43</v>
      </c>
      <c r="L7680" t="s">
        <v>43</v>
      </c>
      <c r="M7680" t="s">
        <v>43</v>
      </c>
      <c r="N7680" t="s">
        <v>45</v>
      </c>
      <c r="O7680" t="s">
        <v>43</v>
      </c>
      <c r="P7680" t="s">
        <v>43</v>
      </c>
      <c r="Q7680" t="s">
        <v>43</v>
      </c>
      <c r="R7680" t="s">
        <v>43</v>
      </c>
      <c r="S7680" t="s">
        <v>43</v>
      </c>
      <c r="T7680" t="s">
        <v>43</v>
      </c>
      <c r="U7680" t="s">
        <v>43</v>
      </c>
      <c r="V7680" t="s">
        <v>43</v>
      </c>
      <c r="W7680" t="s">
        <v>43</v>
      </c>
      <c r="X7680" t="s">
        <v>43</v>
      </c>
      <c r="Y7680" t="s">
        <v>43</v>
      </c>
      <c r="Z7680" t="s">
        <v>43</v>
      </c>
      <c r="AA7680" t="s">
        <v>43</v>
      </c>
      <c r="AB7680" t="s">
        <v>43</v>
      </c>
      <c r="AC7680" t="s">
        <v>43</v>
      </c>
      <c r="AD7680" t="s">
        <v>43</v>
      </c>
      <c r="AE7680" t="s">
        <v>43</v>
      </c>
      <c r="AF7680" t="s">
        <v>43</v>
      </c>
      <c r="AG7680" t="s">
        <v>43</v>
      </c>
      <c r="AH7680" t="s">
        <v>43</v>
      </c>
      <c r="AI7680" t="s">
        <v>43</v>
      </c>
      <c r="AJ7680" t="s">
        <v>43</v>
      </c>
      <c r="AK7680" t="s">
        <v>43</v>
      </c>
      <c r="AL7680" t="s">
        <v>43</v>
      </c>
      <c r="AM7680" t="s">
        <v>43</v>
      </c>
      <c r="AN7680" t="str">
        <f>HYPERLINK("https://www.google.com/maps?q=10.78968716,79.57878876","Open Location")</f>
        <v>Open Location</v>
      </c>
    </row>
    <row r="7681" spans="1:40" x14ac:dyDescent="0.3">
      <c r="A7681" s="1">
        <v>46210.110300925924</v>
      </c>
      <c r="B7681" t="s">
        <v>40</v>
      </c>
      <c r="C7681" t="s">
        <v>41</v>
      </c>
      <c r="D7681" s="1">
        <v>46210.113206018519</v>
      </c>
      <c r="E7681" t="s">
        <v>42</v>
      </c>
      <c r="F7681" t="s">
        <v>43</v>
      </c>
      <c r="G7681" t="s">
        <v>43</v>
      </c>
      <c r="H7681" t="s">
        <v>43</v>
      </c>
      <c r="I7681" t="s">
        <v>4307</v>
      </c>
      <c r="J7681" t="s">
        <v>43</v>
      </c>
      <c r="K7681" t="s">
        <v>43</v>
      </c>
      <c r="L7681" t="s">
        <v>43</v>
      </c>
      <c r="M7681" t="s">
        <v>43</v>
      </c>
      <c r="N7681" t="s">
        <v>45</v>
      </c>
      <c r="O7681" t="s">
        <v>43</v>
      </c>
      <c r="P7681" t="s">
        <v>43</v>
      </c>
      <c r="Q7681" t="s">
        <v>43</v>
      </c>
      <c r="R7681" t="s">
        <v>43</v>
      </c>
      <c r="S7681" t="s">
        <v>43</v>
      </c>
      <c r="T7681" t="s">
        <v>43</v>
      </c>
      <c r="U7681" t="s">
        <v>43</v>
      </c>
      <c r="V7681" t="s">
        <v>43</v>
      </c>
      <c r="W7681" t="s">
        <v>43</v>
      </c>
      <c r="X7681" t="s">
        <v>43</v>
      </c>
      <c r="Y7681" t="s">
        <v>43</v>
      </c>
      <c r="Z7681" t="s">
        <v>43</v>
      </c>
      <c r="AA7681" t="s">
        <v>43</v>
      </c>
      <c r="AB7681" t="s">
        <v>43</v>
      </c>
      <c r="AC7681" t="s">
        <v>43</v>
      </c>
      <c r="AD7681" t="s">
        <v>43</v>
      </c>
      <c r="AE7681" t="s">
        <v>43</v>
      </c>
      <c r="AF7681" t="s">
        <v>43</v>
      </c>
      <c r="AG7681" t="s">
        <v>43</v>
      </c>
      <c r="AH7681" t="s">
        <v>43</v>
      </c>
      <c r="AI7681" t="s">
        <v>43</v>
      </c>
      <c r="AJ7681" t="s">
        <v>43</v>
      </c>
      <c r="AK7681" t="s">
        <v>43</v>
      </c>
      <c r="AL7681" t="s">
        <v>43</v>
      </c>
      <c r="AM7681" t="s">
        <v>43</v>
      </c>
      <c r="AN7681" t="str">
        <f>HYPERLINK("https://www.google.com/maps?q=10.78968811,79.57878113","Open Location")</f>
        <v>Open Location</v>
      </c>
    </row>
    <row r="7682" spans="1:40" x14ac:dyDescent="0.3">
      <c r="A7682" s="1">
        <v>46210.110185185185</v>
      </c>
      <c r="B7682" t="s">
        <v>40</v>
      </c>
      <c r="C7682" t="s">
        <v>41</v>
      </c>
      <c r="D7682" s="1">
        <v>46210.113217592596</v>
      </c>
      <c r="E7682" t="s">
        <v>42</v>
      </c>
      <c r="F7682" t="s">
        <v>43</v>
      </c>
      <c r="G7682" t="s">
        <v>43</v>
      </c>
      <c r="H7682" t="s">
        <v>43</v>
      </c>
      <c r="I7682" t="s">
        <v>4321</v>
      </c>
      <c r="J7682" t="s">
        <v>43</v>
      </c>
      <c r="K7682" t="s">
        <v>43</v>
      </c>
      <c r="L7682" t="s">
        <v>43</v>
      </c>
      <c r="M7682" t="s">
        <v>43</v>
      </c>
      <c r="N7682" t="s">
        <v>45</v>
      </c>
      <c r="O7682" t="s">
        <v>43</v>
      </c>
      <c r="P7682" t="s">
        <v>43</v>
      </c>
      <c r="Q7682" t="s">
        <v>43</v>
      </c>
      <c r="R7682" t="s">
        <v>43</v>
      </c>
      <c r="S7682" t="s">
        <v>43</v>
      </c>
      <c r="T7682" t="s">
        <v>43</v>
      </c>
      <c r="U7682" t="s">
        <v>43</v>
      </c>
      <c r="V7682" t="s">
        <v>43</v>
      </c>
      <c r="W7682" t="s">
        <v>43</v>
      </c>
      <c r="X7682" t="s">
        <v>43</v>
      </c>
      <c r="Y7682" t="s">
        <v>43</v>
      </c>
      <c r="Z7682" t="s">
        <v>43</v>
      </c>
      <c r="AA7682" t="s">
        <v>43</v>
      </c>
      <c r="AB7682" t="s">
        <v>43</v>
      </c>
      <c r="AC7682" t="s">
        <v>43</v>
      </c>
      <c r="AD7682" t="s">
        <v>43</v>
      </c>
      <c r="AE7682" t="s">
        <v>43</v>
      </c>
      <c r="AF7682" t="s">
        <v>43</v>
      </c>
      <c r="AG7682" t="s">
        <v>43</v>
      </c>
      <c r="AH7682" t="s">
        <v>43</v>
      </c>
      <c r="AI7682" t="s">
        <v>43</v>
      </c>
      <c r="AJ7682" t="s">
        <v>43</v>
      </c>
      <c r="AK7682" t="s">
        <v>43</v>
      </c>
      <c r="AL7682" t="s">
        <v>43</v>
      </c>
      <c r="AM7682" t="s">
        <v>43</v>
      </c>
      <c r="AN7682" t="str">
        <f>HYPERLINK("https://www.google.com/maps?q=10.78968906,79.57878876","Open Location")</f>
        <v>Open Location</v>
      </c>
    </row>
    <row r="7683" spans="1:40" x14ac:dyDescent="0.3">
      <c r="A7683" s="1">
        <v>46210.110069444447</v>
      </c>
      <c r="B7683" t="s">
        <v>40</v>
      </c>
      <c r="C7683" t="s">
        <v>41</v>
      </c>
      <c r="D7683" s="1">
        <v>46210.113217592596</v>
      </c>
      <c r="E7683" t="s">
        <v>42</v>
      </c>
      <c r="F7683" t="s">
        <v>43</v>
      </c>
      <c r="G7683" t="s">
        <v>43</v>
      </c>
      <c r="H7683" t="s">
        <v>43</v>
      </c>
      <c r="I7683" t="s">
        <v>4322</v>
      </c>
      <c r="J7683" t="s">
        <v>43</v>
      </c>
      <c r="K7683" t="s">
        <v>43</v>
      </c>
      <c r="L7683" t="s">
        <v>43</v>
      </c>
      <c r="M7683" t="s">
        <v>43</v>
      </c>
      <c r="N7683" t="s">
        <v>45</v>
      </c>
      <c r="O7683" t="s">
        <v>43</v>
      </c>
      <c r="P7683" t="s">
        <v>43</v>
      </c>
      <c r="Q7683" t="s">
        <v>43</v>
      </c>
      <c r="R7683" t="s">
        <v>43</v>
      </c>
      <c r="S7683" t="s">
        <v>43</v>
      </c>
      <c r="T7683" t="s">
        <v>43</v>
      </c>
      <c r="U7683" t="s">
        <v>43</v>
      </c>
      <c r="V7683" t="s">
        <v>43</v>
      </c>
      <c r="W7683" t="s">
        <v>43</v>
      </c>
      <c r="X7683" t="s">
        <v>43</v>
      </c>
      <c r="Y7683" t="s">
        <v>43</v>
      </c>
      <c r="Z7683" t="s">
        <v>43</v>
      </c>
      <c r="AA7683" t="s">
        <v>43</v>
      </c>
      <c r="AB7683" t="s">
        <v>43</v>
      </c>
      <c r="AC7683" t="s">
        <v>43</v>
      </c>
      <c r="AD7683" t="s">
        <v>43</v>
      </c>
      <c r="AE7683" t="s">
        <v>43</v>
      </c>
      <c r="AF7683" t="s">
        <v>43</v>
      </c>
      <c r="AG7683" t="s">
        <v>43</v>
      </c>
      <c r="AH7683" t="s">
        <v>43</v>
      </c>
      <c r="AI7683" t="s">
        <v>43</v>
      </c>
      <c r="AJ7683" t="s">
        <v>43</v>
      </c>
      <c r="AK7683" t="s">
        <v>43</v>
      </c>
      <c r="AL7683" t="s">
        <v>43</v>
      </c>
      <c r="AM7683" t="s">
        <v>43</v>
      </c>
      <c r="AN7683" t="str">
        <f>HYPERLINK("https://www.google.com/maps?q=10.7896862,79.57878113","Open Location")</f>
        <v>Open Location</v>
      </c>
    </row>
    <row r="7684" spans="1:40" x14ac:dyDescent="0.3">
      <c r="A7684" s="1">
        <v>46210.109953703701</v>
      </c>
      <c r="B7684" t="s">
        <v>40</v>
      </c>
      <c r="C7684" t="s">
        <v>41</v>
      </c>
      <c r="D7684" s="1">
        <v>46210.112951388888</v>
      </c>
      <c r="E7684" t="s">
        <v>42</v>
      </c>
      <c r="F7684" t="s">
        <v>43</v>
      </c>
      <c r="G7684" t="s">
        <v>43</v>
      </c>
      <c r="H7684" t="s">
        <v>43</v>
      </c>
      <c r="I7684" t="s">
        <v>43</v>
      </c>
      <c r="J7684" t="s">
        <v>43</v>
      </c>
      <c r="K7684" t="s">
        <v>43</v>
      </c>
      <c r="L7684" t="s">
        <v>43</v>
      </c>
      <c r="M7684" t="s">
        <v>43</v>
      </c>
      <c r="N7684" t="s">
        <v>45</v>
      </c>
      <c r="O7684" t="s">
        <v>43</v>
      </c>
      <c r="P7684" t="s">
        <v>43</v>
      </c>
      <c r="Q7684" t="s">
        <v>43</v>
      </c>
      <c r="R7684" t="s">
        <v>43</v>
      </c>
      <c r="S7684" t="s">
        <v>43</v>
      </c>
      <c r="T7684" t="s">
        <v>43</v>
      </c>
      <c r="U7684" t="s">
        <v>43</v>
      </c>
      <c r="V7684" t="s">
        <v>43</v>
      </c>
      <c r="W7684" t="s">
        <v>43</v>
      </c>
      <c r="X7684" t="s">
        <v>43</v>
      </c>
      <c r="Y7684" t="s">
        <v>43</v>
      </c>
      <c r="Z7684" t="s">
        <v>43</v>
      </c>
      <c r="AA7684" t="s">
        <v>43</v>
      </c>
      <c r="AB7684" t="s">
        <v>43</v>
      </c>
      <c r="AC7684" t="s">
        <v>43</v>
      </c>
      <c r="AD7684" t="s">
        <v>43</v>
      </c>
      <c r="AE7684" t="s">
        <v>43</v>
      </c>
      <c r="AF7684" t="s">
        <v>43</v>
      </c>
      <c r="AG7684" t="s">
        <v>43</v>
      </c>
      <c r="AH7684" t="s">
        <v>43</v>
      </c>
      <c r="AI7684" t="s">
        <v>43</v>
      </c>
      <c r="AJ7684" t="s">
        <v>43</v>
      </c>
      <c r="AK7684" t="s">
        <v>43</v>
      </c>
      <c r="AL7684" t="s">
        <v>43</v>
      </c>
      <c r="AM7684" t="s">
        <v>43</v>
      </c>
      <c r="AN7684" t="s">
        <v>43</v>
      </c>
    </row>
    <row r="7685" spans="1:40" x14ac:dyDescent="0.3">
      <c r="A7685" s="1">
        <v>46210.109837962962</v>
      </c>
      <c r="B7685" t="s">
        <v>40</v>
      </c>
      <c r="C7685" t="s">
        <v>41</v>
      </c>
      <c r="D7685" s="1">
        <v>46210.112824074073</v>
      </c>
      <c r="E7685" t="s">
        <v>42</v>
      </c>
      <c r="F7685" t="s">
        <v>43</v>
      </c>
      <c r="G7685" t="s">
        <v>43</v>
      </c>
      <c r="H7685" t="s">
        <v>43</v>
      </c>
      <c r="I7685" t="s">
        <v>4323</v>
      </c>
      <c r="J7685" t="s">
        <v>43</v>
      </c>
      <c r="K7685" t="s">
        <v>43</v>
      </c>
      <c r="L7685" t="s">
        <v>43</v>
      </c>
      <c r="M7685" t="s">
        <v>43</v>
      </c>
      <c r="N7685" t="s">
        <v>45</v>
      </c>
      <c r="O7685" t="s">
        <v>43</v>
      </c>
      <c r="P7685" t="s">
        <v>43</v>
      </c>
      <c r="Q7685" t="s">
        <v>43</v>
      </c>
      <c r="R7685" t="s">
        <v>43</v>
      </c>
      <c r="S7685" t="s">
        <v>43</v>
      </c>
      <c r="T7685" t="s">
        <v>43</v>
      </c>
      <c r="U7685" t="s">
        <v>43</v>
      </c>
      <c r="V7685" t="s">
        <v>43</v>
      </c>
      <c r="W7685" t="s">
        <v>43</v>
      </c>
      <c r="X7685" t="s">
        <v>43</v>
      </c>
      <c r="Y7685" t="s">
        <v>43</v>
      </c>
      <c r="Z7685" t="s">
        <v>43</v>
      </c>
      <c r="AA7685" t="s">
        <v>43</v>
      </c>
      <c r="AB7685" t="s">
        <v>43</v>
      </c>
      <c r="AC7685" t="s">
        <v>43</v>
      </c>
      <c r="AD7685" t="s">
        <v>43</v>
      </c>
      <c r="AE7685" t="s">
        <v>43</v>
      </c>
      <c r="AF7685" t="s">
        <v>43</v>
      </c>
      <c r="AG7685" t="s">
        <v>43</v>
      </c>
      <c r="AH7685" t="s">
        <v>43</v>
      </c>
      <c r="AI7685" t="s">
        <v>43</v>
      </c>
      <c r="AJ7685" t="s">
        <v>43</v>
      </c>
      <c r="AK7685" t="s">
        <v>43</v>
      </c>
      <c r="AL7685" t="s">
        <v>43</v>
      </c>
      <c r="AM7685" t="s">
        <v>43</v>
      </c>
      <c r="AN7685" t="str">
        <f>HYPERLINK("https://www.google.com/maps?q=10.78967953,79.57878113","Open Location")</f>
        <v>Open Location</v>
      </c>
    </row>
    <row r="7686" spans="1:40" x14ac:dyDescent="0.3">
      <c r="A7686" s="1">
        <v>46210.109722222223</v>
      </c>
      <c r="B7686" t="s">
        <v>40</v>
      </c>
      <c r="C7686" t="s">
        <v>41</v>
      </c>
      <c r="D7686" s="1">
        <v>46210.112569444442</v>
      </c>
      <c r="E7686" t="s">
        <v>42</v>
      </c>
      <c r="F7686" t="s">
        <v>43</v>
      </c>
      <c r="G7686" t="s">
        <v>43</v>
      </c>
      <c r="H7686" t="s">
        <v>43</v>
      </c>
      <c r="I7686" t="s">
        <v>4324</v>
      </c>
      <c r="J7686" t="s">
        <v>43</v>
      </c>
      <c r="K7686" t="s">
        <v>43</v>
      </c>
      <c r="L7686" t="s">
        <v>43</v>
      </c>
      <c r="M7686" t="s">
        <v>43</v>
      </c>
      <c r="N7686" t="s">
        <v>45</v>
      </c>
      <c r="O7686" t="s">
        <v>43</v>
      </c>
      <c r="P7686" t="s">
        <v>43</v>
      </c>
      <c r="Q7686" t="s">
        <v>43</v>
      </c>
      <c r="R7686" t="s">
        <v>43</v>
      </c>
      <c r="S7686" t="s">
        <v>43</v>
      </c>
      <c r="T7686" t="s">
        <v>43</v>
      </c>
      <c r="U7686" t="s">
        <v>43</v>
      </c>
      <c r="V7686" t="s">
        <v>43</v>
      </c>
      <c r="W7686" t="s">
        <v>43</v>
      </c>
      <c r="X7686" t="s">
        <v>43</v>
      </c>
      <c r="Y7686" t="s">
        <v>43</v>
      </c>
      <c r="Z7686" t="s">
        <v>43</v>
      </c>
      <c r="AA7686" t="s">
        <v>43</v>
      </c>
      <c r="AB7686" t="s">
        <v>43</v>
      </c>
      <c r="AC7686" t="s">
        <v>43</v>
      </c>
      <c r="AD7686" t="s">
        <v>43</v>
      </c>
      <c r="AE7686" t="s">
        <v>43</v>
      </c>
      <c r="AF7686" t="s">
        <v>43</v>
      </c>
      <c r="AG7686" t="s">
        <v>43</v>
      </c>
      <c r="AH7686" t="s">
        <v>43</v>
      </c>
      <c r="AI7686" t="s">
        <v>43</v>
      </c>
      <c r="AJ7686" t="s">
        <v>43</v>
      </c>
      <c r="AK7686" t="s">
        <v>43</v>
      </c>
      <c r="AL7686" t="s">
        <v>43</v>
      </c>
      <c r="AM7686" t="s">
        <v>43</v>
      </c>
      <c r="AN7686" t="str">
        <f>HYPERLINK("https://www.google.com/maps?q=10.78968143,79.57878113","Open Location")</f>
        <v>Open Location</v>
      </c>
    </row>
    <row r="7687" spans="1:40" x14ac:dyDescent="0.3">
      <c r="A7687" s="1">
        <v>46210.109606481485</v>
      </c>
      <c r="B7687" t="s">
        <v>40</v>
      </c>
      <c r="C7687" t="s">
        <v>41</v>
      </c>
      <c r="D7687" s="1">
        <v>46210.112430555557</v>
      </c>
      <c r="E7687" t="s">
        <v>42</v>
      </c>
      <c r="F7687" t="s">
        <v>43</v>
      </c>
      <c r="G7687" t="s">
        <v>43</v>
      </c>
      <c r="H7687" t="s">
        <v>43</v>
      </c>
      <c r="I7687" t="s">
        <v>4325</v>
      </c>
      <c r="J7687" t="s">
        <v>43</v>
      </c>
      <c r="K7687" t="s">
        <v>43</v>
      </c>
      <c r="L7687" t="s">
        <v>43</v>
      </c>
      <c r="M7687" t="s">
        <v>43</v>
      </c>
      <c r="N7687" t="s">
        <v>45</v>
      </c>
      <c r="O7687" t="s">
        <v>43</v>
      </c>
      <c r="P7687" t="s">
        <v>43</v>
      </c>
      <c r="Q7687" t="s">
        <v>43</v>
      </c>
      <c r="R7687" t="s">
        <v>43</v>
      </c>
      <c r="S7687" t="s">
        <v>43</v>
      </c>
      <c r="T7687" t="s">
        <v>43</v>
      </c>
      <c r="U7687" t="s">
        <v>43</v>
      </c>
      <c r="V7687" t="s">
        <v>43</v>
      </c>
      <c r="W7687" t="s">
        <v>43</v>
      </c>
      <c r="X7687" t="s">
        <v>43</v>
      </c>
      <c r="Y7687" t="s">
        <v>43</v>
      </c>
      <c r="Z7687" t="s">
        <v>43</v>
      </c>
      <c r="AA7687" t="s">
        <v>43</v>
      </c>
      <c r="AB7687" t="s">
        <v>43</v>
      </c>
      <c r="AC7687" t="s">
        <v>43</v>
      </c>
      <c r="AD7687" t="s">
        <v>43</v>
      </c>
      <c r="AE7687" t="s">
        <v>43</v>
      </c>
      <c r="AF7687" t="s">
        <v>43</v>
      </c>
      <c r="AG7687" t="s">
        <v>43</v>
      </c>
      <c r="AH7687" t="s">
        <v>43</v>
      </c>
      <c r="AI7687" t="s">
        <v>43</v>
      </c>
      <c r="AJ7687" t="s">
        <v>43</v>
      </c>
      <c r="AK7687" t="s">
        <v>43</v>
      </c>
      <c r="AL7687" t="s">
        <v>43</v>
      </c>
      <c r="AM7687" t="s">
        <v>43</v>
      </c>
      <c r="AN7687" t="str">
        <f>HYPERLINK("https://www.google.com/maps?q=10.78968239,79.57878113","Open Location")</f>
        <v>Open Location</v>
      </c>
    </row>
    <row r="7688" spans="1:40" x14ac:dyDescent="0.3">
      <c r="A7688" s="1">
        <v>46210.109490740739</v>
      </c>
      <c r="B7688" t="s">
        <v>40</v>
      </c>
      <c r="C7688" t="s">
        <v>41</v>
      </c>
      <c r="D7688" s="1">
        <v>46210.112453703703</v>
      </c>
      <c r="E7688" t="s">
        <v>42</v>
      </c>
      <c r="F7688" t="s">
        <v>43</v>
      </c>
      <c r="G7688" t="s">
        <v>43</v>
      </c>
      <c r="H7688" t="s">
        <v>43</v>
      </c>
      <c r="I7688" t="s">
        <v>4213</v>
      </c>
      <c r="J7688" t="s">
        <v>43</v>
      </c>
      <c r="K7688" t="s">
        <v>43</v>
      </c>
      <c r="L7688" t="s">
        <v>43</v>
      </c>
      <c r="M7688" t="s">
        <v>43</v>
      </c>
      <c r="N7688" t="s">
        <v>45</v>
      </c>
      <c r="O7688" t="s">
        <v>43</v>
      </c>
      <c r="P7688" t="s">
        <v>43</v>
      </c>
      <c r="Q7688" t="s">
        <v>43</v>
      </c>
      <c r="R7688" t="s">
        <v>43</v>
      </c>
      <c r="S7688" t="s">
        <v>43</v>
      </c>
      <c r="T7688" t="s">
        <v>43</v>
      </c>
      <c r="U7688" t="s">
        <v>43</v>
      </c>
      <c r="V7688" t="s">
        <v>43</v>
      </c>
      <c r="W7688" t="s">
        <v>43</v>
      </c>
      <c r="X7688" t="s">
        <v>43</v>
      </c>
      <c r="Y7688" t="s">
        <v>43</v>
      </c>
      <c r="Z7688" t="s">
        <v>43</v>
      </c>
      <c r="AA7688" t="s">
        <v>43</v>
      </c>
      <c r="AB7688" t="s">
        <v>43</v>
      </c>
      <c r="AC7688" t="s">
        <v>43</v>
      </c>
      <c r="AD7688" t="s">
        <v>43</v>
      </c>
      <c r="AE7688" t="s">
        <v>43</v>
      </c>
      <c r="AF7688" t="s">
        <v>43</v>
      </c>
      <c r="AG7688" t="s">
        <v>43</v>
      </c>
      <c r="AH7688" t="s">
        <v>43</v>
      </c>
      <c r="AI7688" t="s">
        <v>43</v>
      </c>
      <c r="AJ7688" t="s">
        <v>43</v>
      </c>
      <c r="AK7688" t="s">
        <v>43</v>
      </c>
      <c r="AL7688" t="s">
        <v>43</v>
      </c>
      <c r="AM7688" t="s">
        <v>43</v>
      </c>
      <c r="AN7688" t="str">
        <f>HYPERLINK("https://www.google.com/maps?q=10.7896843,79.57878113","Open Location")</f>
        <v>Open Location</v>
      </c>
    </row>
    <row r="7689" spans="1:40" x14ac:dyDescent="0.3">
      <c r="A7689" s="1">
        <v>46210.109375</v>
      </c>
      <c r="B7689" t="s">
        <v>40</v>
      </c>
      <c r="C7689" t="s">
        <v>41</v>
      </c>
      <c r="D7689" s="1">
        <v>46210.112569444442</v>
      </c>
      <c r="E7689" t="s">
        <v>42</v>
      </c>
      <c r="F7689" t="s">
        <v>43</v>
      </c>
      <c r="G7689" t="s">
        <v>43</v>
      </c>
      <c r="H7689" t="s">
        <v>43</v>
      </c>
      <c r="I7689" t="s">
        <v>43</v>
      </c>
      <c r="J7689" t="s">
        <v>43</v>
      </c>
      <c r="K7689" t="s">
        <v>43</v>
      </c>
      <c r="L7689" t="s">
        <v>43</v>
      </c>
      <c r="M7689" t="s">
        <v>43</v>
      </c>
      <c r="N7689" t="s">
        <v>45</v>
      </c>
      <c r="O7689" t="s">
        <v>43</v>
      </c>
      <c r="P7689" t="s">
        <v>43</v>
      </c>
      <c r="Q7689" t="s">
        <v>43</v>
      </c>
      <c r="R7689" t="s">
        <v>43</v>
      </c>
      <c r="S7689" t="s">
        <v>43</v>
      </c>
      <c r="T7689" t="s">
        <v>43</v>
      </c>
      <c r="U7689" t="s">
        <v>43</v>
      </c>
      <c r="V7689" t="s">
        <v>43</v>
      </c>
      <c r="W7689" t="s">
        <v>43</v>
      </c>
      <c r="X7689" t="s">
        <v>43</v>
      </c>
      <c r="Y7689" t="s">
        <v>43</v>
      </c>
      <c r="Z7689" t="s">
        <v>43</v>
      </c>
      <c r="AA7689" t="s">
        <v>43</v>
      </c>
      <c r="AB7689" t="s">
        <v>43</v>
      </c>
      <c r="AC7689" t="s">
        <v>43</v>
      </c>
      <c r="AD7689" t="s">
        <v>43</v>
      </c>
      <c r="AE7689" t="s">
        <v>43</v>
      </c>
      <c r="AF7689" t="s">
        <v>43</v>
      </c>
      <c r="AG7689" t="s">
        <v>43</v>
      </c>
      <c r="AH7689" t="s">
        <v>43</v>
      </c>
      <c r="AI7689" t="s">
        <v>43</v>
      </c>
      <c r="AJ7689" t="s">
        <v>43</v>
      </c>
      <c r="AK7689" t="s">
        <v>43</v>
      </c>
      <c r="AL7689" t="s">
        <v>43</v>
      </c>
      <c r="AM7689" t="s">
        <v>43</v>
      </c>
      <c r="AN7689" t="s">
        <v>43</v>
      </c>
    </row>
    <row r="7690" spans="1:40" x14ac:dyDescent="0.3">
      <c r="A7690" s="1">
        <v>46210.109259259261</v>
      </c>
      <c r="B7690" t="s">
        <v>40</v>
      </c>
      <c r="C7690" t="s">
        <v>41</v>
      </c>
      <c r="D7690" s="1">
        <v>46210.112210648149</v>
      </c>
      <c r="E7690" t="s">
        <v>42</v>
      </c>
      <c r="F7690" t="s">
        <v>43</v>
      </c>
      <c r="G7690" t="s">
        <v>43</v>
      </c>
      <c r="H7690" t="s">
        <v>43</v>
      </c>
      <c r="I7690" t="s">
        <v>4320</v>
      </c>
      <c r="J7690" t="s">
        <v>43</v>
      </c>
      <c r="K7690" t="s">
        <v>43</v>
      </c>
      <c r="L7690" t="s">
        <v>43</v>
      </c>
      <c r="M7690" t="s">
        <v>43</v>
      </c>
      <c r="N7690" t="s">
        <v>45</v>
      </c>
      <c r="O7690" t="s">
        <v>43</v>
      </c>
      <c r="P7690" t="s">
        <v>43</v>
      </c>
      <c r="Q7690" t="s">
        <v>43</v>
      </c>
      <c r="R7690" t="s">
        <v>43</v>
      </c>
      <c r="S7690" t="s">
        <v>43</v>
      </c>
      <c r="T7690" t="s">
        <v>43</v>
      </c>
      <c r="U7690" t="s">
        <v>43</v>
      </c>
      <c r="V7690" t="s">
        <v>43</v>
      </c>
      <c r="W7690" t="s">
        <v>43</v>
      </c>
      <c r="X7690" t="s">
        <v>43</v>
      </c>
      <c r="Y7690" t="s">
        <v>43</v>
      </c>
      <c r="Z7690" t="s">
        <v>43</v>
      </c>
      <c r="AA7690" t="s">
        <v>43</v>
      </c>
      <c r="AB7690" t="s">
        <v>43</v>
      </c>
      <c r="AC7690" t="s">
        <v>43</v>
      </c>
      <c r="AD7690" t="s">
        <v>43</v>
      </c>
      <c r="AE7690" t="s">
        <v>43</v>
      </c>
      <c r="AF7690" t="s">
        <v>43</v>
      </c>
      <c r="AG7690" t="s">
        <v>43</v>
      </c>
      <c r="AH7690" t="s">
        <v>43</v>
      </c>
      <c r="AI7690" t="s">
        <v>43</v>
      </c>
      <c r="AJ7690" t="s">
        <v>43</v>
      </c>
      <c r="AK7690" t="s">
        <v>43</v>
      </c>
      <c r="AL7690" t="s">
        <v>43</v>
      </c>
      <c r="AM7690" t="s">
        <v>43</v>
      </c>
      <c r="AN7690" t="str">
        <f>HYPERLINK("https://www.google.com/maps?q=10.78968525,79.57878113","Open Location")</f>
        <v>Open Location</v>
      </c>
    </row>
    <row r="7691" spans="1:40" x14ac:dyDescent="0.3">
      <c r="A7691" s="1">
        <v>46210.109143518515</v>
      </c>
      <c r="B7691" t="s">
        <v>40</v>
      </c>
      <c r="C7691" t="s">
        <v>41</v>
      </c>
      <c r="D7691" s="1">
        <v>46210.112060185187</v>
      </c>
      <c r="E7691" t="s">
        <v>42</v>
      </c>
      <c r="F7691" t="s">
        <v>43</v>
      </c>
      <c r="G7691" t="s">
        <v>43</v>
      </c>
      <c r="H7691" t="s">
        <v>43</v>
      </c>
      <c r="I7691" t="s">
        <v>4326</v>
      </c>
      <c r="J7691" t="s">
        <v>43</v>
      </c>
      <c r="K7691" t="s">
        <v>43</v>
      </c>
      <c r="L7691" t="s">
        <v>43</v>
      </c>
      <c r="M7691" t="s">
        <v>43</v>
      </c>
      <c r="N7691" t="s">
        <v>45</v>
      </c>
      <c r="O7691" t="s">
        <v>43</v>
      </c>
      <c r="P7691" t="s">
        <v>43</v>
      </c>
      <c r="Q7691" t="s">
        <v>43</v>
      </c>
      <c r="R7691" t="s">
        <v>43</v>
      </c>
      <c r="S7691" t="s">
        <v>43</v>
      </c>
      <c r="T7691" t="s">
        <v>43</v>
      </c>
      <c r="U7691" t="s">
        <v>43</v>
      </c>
      <c r="V7691" t="s">
        <v>43</v>
      </c>
      <c r="W7691" t="s">
        <v>43</v>
      </c>
      <c r="X7691" t="s">
        <v>43</v>
      </c>
      <c r="Y7691" t="s">
        <v>43</v>
      </c>
      <c r="Z7691" t="s">
        <v>43</v>
      </c>
      <c r="AA7691" t="s">
        <v>43</v>
      </c>
      <c r="AB7691" t="s">
        <v>43</v>
      </c>
      <c r="AC7691" t="s">
        <v>43</v>
      </c>
      <c r="AD7691" t="s">
        <v>43</v>
      </c>
      <c r="AE7691" t="s">
        <v>43</v>
      </c>
      <c r="AF7691" t="s">
        <v>43</v>
      </c>
      <c r="AG7691" t="s">
        <v>43</v>
      </c>
      <c r="AH7691" t="s">
        <v>43</v>
      </c>
      <c r="AI7691" t="s">
        <v>43</v>
      </c>
      <c r="AJ7691" t="s">
        <v>43</v>
      </c>
      <c r="AK7691" t="s">
        <v>43</v>
      </c>
      <c r="AL7691" t="s">
        <v>43</v>
      </c>
      <c r="AM7691" t="s">
        <v>43</v>
      </c>
      <c r="AN7691" t="str">
        <f>HYPERLINK("https://www.google.com/maps?q=10.78968239,79.57878876","Open Location")</f>
        <v>Open Location</v>
      </c>
    </row>
    <row r="7692" spans="1:40" x14ac:dyDescent="0.3">
      <c r="A7692" s="1">
        <v>46210.109027777777</v>
      </c>
      <c r="B7692" t="s">
        <v>40</v>
      </c>
      <c r="C7692" t="s">
        <v>41</v>
      </c>
      <c r="D7692" s="1">
        <v>46210.112025462964</v>
      </c>
      <c r="E7692" t="s">
        <v>42</v>
      </c>
      <c r="F7692" t="s">
        <v>43</v>
      </c>
      <c r="G7692" t="s">
        <v>43</v>
      </c>
      <c r="H7692" t="s">
        <v>43</v>
      </c>
      <c r="I7692" t="s">
        <v>4241</v>
      </c>
      <c r="J7692" t="s">
        <v>43</v>
      </c>
      <c r="K7692" t="s">
        <v>43</v>
      </c>
      <c r="L7692" t="s">
        <v>43</v>
      </c>
      <c r="M7692" t="s">
        <v>43</v>
      </c>
      <c r="N7692" t="s">
        <v>45</v>
      </c>
      <c r="O7692" t="s">
        <v>43</v>
      </c>
      <c r="P7692" t="s">
        <v>43</v>
      </c>
      <c r="Q7692" t="s">
        <v>43</v>
      </c>
      <c r="R7692" t="s">
        <v>43</v>
      </c>
      <c r="S7692" t="s">
        <v>43</v>
      </c>
      <c r="T7692" t="s">
        <v>43</v>
      </c>
      <c r="U7692" t="s">
        <v>43</v>
      </c>
      <c r="V7692" t="s">
        <v>43</v>
      </c>
      <c r="W7692" t="s">
        <v>43</v>
      </c>
      <c r="X7692" t="s">
        <v>43</v>
      </c>
      <c r="Y7692" t="s">
        <v>43</v>
      </c>
      <c r="Z7692" t="s">
        <v>43</v>
      </c>
      <c r="AA7692" t="s">
        <v>43</v>
      </c>
      <c r="AB7692" t="s">
        <v>43</v>
      </c>
      <c r="AC7692" t="s">
        <v>43</v>
      </c>
      <c r="AD7692" t="s">
        <v>43</v>
      </c>
      <c r="AE7692" t="s">
        <v>43</v>
      </c>
      <c r="AF7692" t="s">
        <v>43</v>
      </c>
      <c r="AG7692" t="s">
        <v>43</v>
      </c>
      <c r="AH7692" t="s">
        <v>43</v>
      </c>
      <c r="AI7692" t="s">
        <v>43</v>
      </c>
      <c r="AJ7692" t="s">
        <v>43</v>
      </c>
      <c r="AK7692" t="s">
        <v>43</v>
      </c>
      <c r="AL7692" t="s">
        <v>43</v>
      </c>
      <c r="AM7692" t="s">
        <v>43</v>
      </c>
      <c r="AN7692" t="str">
        <f>HYPERLINK("https://www.google.com/maps?q=10.78968239,79.57879639","Open Location")</f>
        <v>Open Location</v>
      </c>
    </row>
    <row r="7693" spans="1:40" x14ac:dyDescent="0.3">
      <c r="A7693" s="1">
        <v>46210.108912037038</v>
      </c>
      <c r="B7693" t="s">
        <v>40</v>
      </c>
      <c r="C7693" t="s">
        <v>41</v>
      </c>
      <c r="D7693" s="1">
        <v>46210.112187500003</v>
      </c>
      <c r="E7693" t="s">
        <v>42</v>
      </c>
      <c r="F7693" t="s">
        <v>43</v>
      </c>
      <c r="G7693" t="s">
        <v>43</v>
      </c>
      <c r="H7693" t="s">
        <v>43</v>
      </c>
      <c r="I7693" t="s">
        <v>4088</v>
      </c>
      <c r="J7693" t="s">
        <v>43</v>
      </c>
      <c r="K7693" t="s">
        <v>43</v>
      </c>
      <c r="L7693" t="s">
        <v>43</v>
      </c>
      <c r="M7693" t="s">
        <v>43</v>
      </c>
      <c r="N7693" t="s">
        <v>45</v>
      </c>
      <c r="O7693" t="s">
        <v>43</v>
      </c>
      <c r="P7693" t="s">
        <v>43</v>
      </c>
      <c r="Q7693" t="s">
        <v>43</v>
      </c>
      <c r="R7693" t="s">
        <v>43</v>
      </c>
      <c r="S7693" t="s">
        <v>43</v>
      </c>
      <c r="T7693" t="s">
        <v>43</v>
      </c>
      <c r="U7693" t="s">
        <v>43</v>
      </c>
      <c r="V7693" t="s">
        <v>43</v>
      </c>
      <c r="W7693" t="s">
        <v>43</v>
      </c>
      <c r="X7693" t="s">
        <v>43</v>
      </c>
      <c r="Y7693" t="s">
        <v>43</v>
      </c>
      <c r="Z7693" t="s">
        <v>43</v>
      </c>
      <c r="AA7693" t="s">
        <v>43</v>
      </c>
      <c r="AB7693" t="s">
        <v>43</v>
      </c>
      <c r="AC7693" t="s">
        <v>43</v>
      </c>
      <c r="AD7693" t="s">
        <v>43</v>
      </c>
      <c r="AE7693" t="s">
        <v>43</v>
      </c>
      <c r="AF7693" t="s">
        <v>43</v>
      </c>
      <c r="AG7693" t="s">
        <v>43</v>
      </c>
      <c r="AH7693" t="s">
        <v>43</v>
      </c>
      <c r="AI7693" t="s">
        <v>43</v>
      </c>
      <c r="AJ7693" t="s">
        <v>43</v>
      </c>
      <c r="AK7693" t="s">
        <v>43</v>
      </c>
      <c r="AL7693" t="s">
        <v>43</v>
      </c>
      <c r="AM7693" t="s">
        <v>43</v>
      </c>
      <c r="AN7693" t="str">
        <f>HYPERLINK("https://www.google.com/maps?q=10.78968716,79.57879639","Open Location")</f>
        <v>Open Location</v>
      </c>
    </row>
    <row r="7694" spans="1:40" x14ac:dyDescent="0.3">
      <c r="A7694" s="1">
        <v>46210.108796296299</v>
      </c>
      <c r="B7694" t="s">
        <v>40</v>
      </c>
      <c r="C7694" t="s">
        <v>41</v>
      </c>
      <c r="D7694" s="1">
        <v>46210.111701388887</v>
      </c>
      <c r="E7694" t="s">
        <v>42</v>
      </c>
      <c r="F7694" t="s">
        <v>43</v>
      </c>
      <c r="G7694" t="s">
        <v>43</v>
      </c>
      <c r="H7694" t="s">
        <v>43</v>
      </c>
      <c r="I7694" t="s">
        <v>4327</v>
      </c>
      <c r="J7694" t="s">
        <v>43</v>
      </c>
      <c r="K7694" t="s">
        <v>43</v>
      </c>
      <c r="L7694" t="s">
        <v>43</v>
      </c>
      <c r="M7694" t="s">
        <v>43</v>
      </c>
      <c r="N7694" t="s">
        <v>45</v>
      </c>
      <c r="O7694" t="s">
        <v>43</v>
      </c>
      <c r="P7694" t="s">
        <v>43</v>
      </c>
      <c r="Q7694" t="s">
        <v>43</v>
      </c>
      <c r="R7694" t="s">
        <v>43</v>
      </c>
      <c r="S7694" t="s">
        <v>43</v>
      </c>
      <c r="T7694" t="s">
        <v>43</v>
      </c>
      <c r="U7694" t="s">
        <v>43</v>
      </c>
      <c r="V7694" t="s">
        <v>43</v>
      </c>
      <c r="W7694" t="s">
        <v>43</v>
      </c>
      <c r="X7694" t="s">
        <v>43</v>
      </c>
      <c r="Y7694" t="s">
        <v>43</v>
      </c>
      <c r="Z7694" t="s">
        <v>43</v>
      </c>
      <c r="AA7694" t="s">
        <v>43</v>
      </c>
      <c r="AB7694" t="s">
        <v>43</v>
      </c>
      <c r="AC7694" t="s">
        <v>43</v>
      </c>
      <c r="AD7694" t="s">
        <v>43</v>
      </c>
      <c r="AE7694" t="s">
        <v>43</v>
      </c>
      <c r="AF7694" t="s">
        <v>43</v>
      </c>
      <c r="AG7694" t="s">
        <v>43</v>
      </c>
      <c r="AH7694" t="s">
        <v>43</v>
      </c>
      <c r="AI7694" t="s">
        <v>43</v>
      </c>
      <c r="AJ7694" t="s">
        <v>43</v>
      </c>
      <c r="AK7694" t="s">
        <v>43</v>
      </c>
      <c r="AL7694" t="s">
        <v>43</v>
      </c>
      <c r="AM7694" t="s">
        <v>43</v>
      </c>
      <c r="AN7694" t="str">
        <f>HYPERLINK("https://www.google.com/maps?q=10.78968334,79.57879639","Open Location")</f>
        <v>Open Location</v>
      </c>
    </row>
    <row r="7695" spans="1:40" x14ac:dyDescent="0.3">
      <c r="A7695" s="1">
        <v>46210.108680555553</v>
      </c>
      <c r="B7695" t="s">
        <v>40</v>
      </c>
      <c r="C7695" t="s">
        <v>41</v>
      </c>
      <c r="D7695" s="1">
        <v>46210.111701388887</v>
      </c>
      <c r="E7695" t="s">
        <v>42</v>
      </c>
      <c r="F7695" t="s">
        <v>43</v>
      </c>
      <c r="G7695" t="s">
        <v>43</v>
      </c>
      <c r="H7695" t="s">
        <v>43</v>
      </c>
      <c r="I7695" t="s">
        <v>43</v>
      </c>
      <c r="J7695" t="s">
        <v>43</v>
      </c>
      <c r="K7695" t="s">
        <v>43</v>
      </c>
      <c r="L7695" t="s">
        <v>43</v>
      </c>
      <c r="M7695" t="s">
        <v>43</v>
      </c>
      <c r="N7695" t="s">
        <v>45</v>
      </c>
      <c r="O7695" t="s">
        <v>43</v>
      </c>
      <c r="P7695" t="s">
        <v>43</v>
      </c>
      <c r="Q7695" t="s">
        <v>43</v>
      </c>
      <c r="R7695" t="s">
        <v>43</v>
      </c>
      <c r="S7695" t="s">
        <v>43</v>
      </c>
      <c r="T7695" t="s">
        <v>43</v>
      </c>
      <c r="U7695" t="s">
        <v>43</v>
      </c>
      <c r="V7695" t="s">
        <v>43</v>
      </c>
      <c r="W7695" t="s">
        <v>43</v>
      </c>
      <c r="X7695" t="s">
        <v>43</v>
      </c>
      <c r="Y7695" t="s">
        <v>43</v>
      </c>
      <c r="Z7695" t="s">
        <v>43</v>
      </c>
      <c r="AA7695" t="s">
        <v>43</v>
      </c>
      <c r="AB7695" t="s">
        <v>43</v>
      </c>
      <c r="AC7695" t="s">
        <v>43</v>
      </c>
      <c r="AD7695" t="s">
        <v>43</v>
      </c>
      <c r="AE7695" t="s">
        <v>43</v>
      </c>
      <c r="AF7695" t="s">
        <v>43</v>
      </c>
      <c r="AG7695" t="s">
        <v>43</v>
      </c>
      <c r="AH7695" t="s">
        <v>43</v>
      </c>
      <c r="AI7695" t="s">
        <v>43</v>
      </c>
      <c r="AJ7695" t="s">
        <v>43</v>
      </c>
      <c r="AK7695" t="s">
        <v>43</v>
      </c>
      <c r="AL7695" t="s">
        <v>43</v>
      </c>
      <c r="AM7695" t="s">
        <v>43</v>
      </c>
      <c r="AN7695" t="s">
        <v>43</v>
      </c>
    </row>
    <row r="7696" spans="1:40" x14ac:dyDescent="0.3">
      <c r="A7696" s="1">
        <v>46210.108564814815</v>
      </c>
      <c r="B7696" t="s">
        <v>40</v>
      </c>
      <c r="C7696" t="s">
        <v>41</v>
      </c>
      <c r="D7696" s="1">
        <v>46210.111689814818</v>
      </c>
      <c r="E7696" t="s">
        <v>42</v>
      </c>
      <c r="F7696" t="s">
        <v>43</v>
      </c>
      <c r="G7696" t="s">
        <v>43</v>
      </c>
      <c r="H7696" t="s">
        <v>43</v>
      </c>
      <c r="I7696" t="s">
        <v>4327</v>
      </c>
      <c r="J7696" t="s">
        <v>43</v>
      </c>
      <c r="K7696" t="s">
        <v>43</v>
      </c>
      <c r="L7696" t="s">
        <v>43</v>
      </c>
      <c r="M7696" t="s">
        <v>43</v>
      </c>
      <c r="N7696" t="s">
        <v>45</v>
      </c>
      <c r="O7696" t="s">
        <v>43</v>
      </c>
      <c r="P7696" t="s">
        <v>43</v>
      </c>
      <c r="Q7696" t="s">
        <v>43</v>
      </c>
      <c r="R7696" t="s">
        <v>43</v>
      </c>
      <c r="S7696" t="s">
        <v>43</v>
      </c>
      <c r="T7696" t="s">
        <v>43</v>
      </c>
      <c r="U7696" t="s">
        <v>43</v>
      </c>
      <c r="V7696" t="s">
        <v>43</v>
      </c>
      <c r="W7696" t="s">
        <v>43</v>
      </c>
      <c r="X7696" t="s">
        <v>43</v>
      </c>
      <c r="Y7696" t="s">
        <v>43</v>
      </c>
      <c r="Z7696" t="s">
        <v>43</v>
      </c>
      <c r="AA7696" t="s">
        <v>43</v>
      </c>
      <c r="AB7696" t="s">
        <v>43</v>
      </c>
      <c r="AC7696" t="s">
        <v>43</v>
      </c>
      <c r="AD7696" t="s">
        <v>43</v>
      </c>
      <c r="AE7696" t="s">
        <v>43</v>
      </c>
      <c r="AF7696" t="s">
        <v>43</v>
      </c>
      <c r="AG7696" t="s">
        <v>43</v>
      </c>
      <c r="AH7696" t="s">
        <v>43</v>
      </c>
      <c r="AI7696" t="s">
        <v>43</v>
      </c>
      <c r="AJ7696" t="s">
        <v>43</v>
      </c>
      <c r="AK7696" t="s">
        <v>43</v>
      </c>
      <c r="AL7696" t="s">
        <v>43</v>
      </c>
      <c r="AM7696" t="s">
        <v>43</v>
      </c>
      <c r="AN7696" t="str">
        <f>HYPERLINK("https://www.google.com/maps?q=10.78968334,79.57879639","Open Location")</f>
        <v>Open Location</v>
      </c>
    </row>
    <row r="7697" spans="1:40" x14ac:dyDescent="0.3">
      <c r="A7697" s="1">
        <v>46210.108449074076</v>
      </c>
      <c r="B7697" t="s">
        <v>40</v>
      </c>
      <c r="C7697" t="s">
        <v>41</v>
      </c>
      <c r="D7697" s="1">
        <v>46210.111689814818</v>
      </c>
      <c r="E7697" t="s">
        <v>42</v>
      </c>
      <c r="F7697" t="s">
        <v>43</v>
      </c>
      <c r="G7697" t="s">
        <v>43</v>
      </c>
      <c r="H7697" t="s">
        <v>43</v>
      </c>
      <c r="I7697" t="s">
        <v>4327</v>
      </c>
      <c r="J7697" t="s">
        <v>43</v>
      </c>
      <c r="K7697" t="s">
        <v>43</v>
      </c>
      <c r="L7697" t="s">
        <v>43</v>
      </c>
      <c r="M7697" t="s">
        <v>43</v>
      </c>
      <c r="N7697" t="s">
        <v>45</v>
      </c>
      <c r="O7697" t="s">
        <v>43</v>
      </c>
      <c r="P7697" t="s">
        <v>43</v>
      </c>
      <c r="Q7697" t="s">
        <v>43</v>
      </c>
      <c r="R7697" t="s">
        <v>43</v>
      </c>
      <c r="S7697" t="s">
        <v>43</v>
      </c>
      <c r="T7697" t="s">
        <v>43</v>
      </c>
      <c r="U7697" t="s">
        <v>43</v>
      </c>
      <c r="V7697" t="s">
        <v>43</v>
      </c>
      <c r="W7697" t="s">
        <v>43</v>
      </c>
      <c r="X7697" t="s">
        <v>43</v>
      </c>
      <c r="Y7697" t="s">
        <v>43</v>
      </c>
      <c r="Z7697" t="s">
        <v>43</v>
      </c>
      <c r="AA7697" t="s">
        <v>43</v>
      </c>
      <c r="AB7697" t="s">
        <v>43</v>
      </c>
      <c r="AC7697" t="s">
        <v>43</v>
      </c>
      <c r="AD7697" t="s">
        <v>43</v>
      </c>
      <c r="AE7697" t="s">
        <v>43</v>
      </c>
      <c r="AF7697" t="s">
        <v>43</v>
      </c>
      <c r="AG7697" t="s">
        <v>43</v>
      </c>
      <c r="AH7697" t="s">
        <v>43</v>
      </c>
      <c r="AI7697" t="s">
        <v>43</v>
      </c>
      <c r="AJ7697" t="s">
        <v>43</v>
      </c>
      <c r="AK7697" t="s">
        <v>43</v>
      </c>
      <c r="AL7697" t="s">
        <v>43</v>
      </c>
      <c r="AM7697" t="s">
        <v>43</v>
      </c>
      <c r="AN7697" t="str">
        <f>HYPERLINK("https://www.google.com/maps?q=10.78968334,79.57879639","Open Location")</f>
        <v>Open Location</v>
      </c>
    </row>
    <row r="7698" spans="1:40" x14ac:dyDescent="0.3">
      <c r="A7698" s="1">
        <v>46210.10833333333</v>
      </c>
      <c r="B7698" t="s">
        <v>40</v>
      </c>
      <c r="C7698" t="s">
        <v>41</v>
      </c>
      <c r="D7698" s="1">
        <v>46210.111435185187</v>
      </c>
      <c r="E7698" t="s">
        <v>42</v>
      </c>
      <c r="F7698" t="s">
        <v>43</v>
      </c>
      <c r="G7698" t="s">
        <v>43</v>
      </c>
      <c r="H7698" t="s">
        <v>43</v>
      </c>
      <c r="I7698" t="s">
        <v>4087</v>
      </c>
      <c r="J7698" t="s">
        <v>43</v>
      </c>
      <c r="K7698" t="s">
        <v>43</v>
      </c>
      <c r="L7698" t="s">
        <v>43</v>
      </c>
      <c r="M7698" t="s">
        <v>43</v>
      </c>
      <c r="N7698" t="s">
        <v>45</v>
      </c>
      <c r="O7698" t="s">
        <v>43</v>
      </c>
      <c r="P7698" t="s">
        <v>43</v>
      </c>
      <c r="Q7698" t="s">
        <v>43</v>
      </c>
      <c r="R7698" t="s">
        <v>43</v>
      </c>
      <c r="S7698" t="s">
        <v>43</v>
      </c>
      <c r="T7698" t="s">
        <v>43</v>
      </c>
      <c r="U7698" t="s">
        <v>43</v>
      </c>
      <c r="V7698" t="s">
        <v>43</v>
      </c>
      <c r="W7698" t="s">
        <v>43</v>
      </c>
      <c r="X7698" t="s">
        <v>43</v>
      </c>
      <c r="Y7698" t="s">
        <v>43</v>
      </c>
      <c r="Z7698" t="s">
        <v>43</v>
      </c>
      <c r="AA7698" t="s">
        <v>43</v>
      </c>
      <c r="AB7698" t="s">
        <v>43</v>
      </c>
      <c r="AC7698" t="s">
        <v>43</v>
      </c>
      <c r="AD7698" t="s">
        <v>43</v>
      </c>
      <c r="AE7698" t="s">
        <v>43</v>
      </c>
      <c r="AF7698" t="s">
        <v>43</v>
      </c>
      <c r="AG7698" t="s">
        <v>43</v>
      </c>
      <c r="AH7698" t="s">
        <v>43</v>
      </c>
      <c r="AI7698" t="s">
        <v>43</v>
      </c>
      <c r="AJ7698" t="s">
        <v>43</v>
      </c>
      <c r="AK7698" t="s">
        <v>43</v>
      </c>
      <c r="AL7698" t="s">
        <v>43</v>
      </c>
      <c r="AM7698" t="s">
        <v>43</v>
      </c>
      <c r="AN7698" t="str">
        <f>HYPERLINK("https://www.google.com/maps?q=10.7896862,79.57879639","Open Location")</f>
        <v>Open Location</v>
      </c>
    </row>
    <row r="7699" spans="1:40" x14ac:dyDescent="0.3">
      <c r="A7699" s="1">
        <v>46210.108217592591</v>
      </c>
      <c r="B7699" t="s">
        <v>40</v>
      </c>
      <c r="C7699" t="s">
        <v>41</v>
      </c>
      <c r="D7699" s="1">
        <v>46210.111342592594</v>
      </c>
      <c r="E7699" t="s">
        <v>42</v>
      </c>
      <c r="F7699" t="s">
        <v>43</v>
      </c>
      <c r="G7699" t="s">
        <v>43</v>
      </c>
      <c r="H7699" t="s">
        <v>43</v>
      </c>
      <c r="I7699" t="s">
        <v>4328</v>
      </c>
      <c r="J7699" t="s">
        <v>43</v>
      </c>
      <c r="K7699" t="s">
        <v>43</v>
      </c>
      <c r="L7699" t="s">
        <v>43</v>
      </c>
      <c r="M7699" t="s">
        <v>43</v>
      </c>
      <c r="N7699" t="s">
        <v>45</v>
      </c>
      <c r="O7699" t="s">
        <v>43</v>
      </c>
      <c r="P7699" t="s">
        <v>43</v>
      </c>
      <c r="Q7699" t="s">
        <v>43</v>
      </c>
      <c r="R7699" t="s">
        <v>43</v>
      </c>
      <c r="S7699" t="s">
        <v>43</v>
      </c>
      <c r="T7699" t="s">
        <v>43</v>
      </c>
      <c r="U7699" t="s">
        <v>43</v>
      </c>
      <c r="V7699" t="s">
        <v>43</v>
      </c>
      <c r="W7699" t="s">
        <v>43</v>
      </c>
      <c r="X7699" t="s">
        <v>43</v>
      </c>
      <c r="Y7699" t="s">
        <v>43</v>
      </c>
      <c r="Z7699" t="s">
        <v>43</v>
      </c>
      <c r="AA7699" t="s">
        <v>43</v>
      </c>
      <c r="AB7699" t="s">
        <v>43</v>
      </c>
      <c r="AC7699" t="s">
        <v>43</v>
      </c>
      <c r="AD7699" t="s">
        <v>43</v>
      </c>
      <c r="AE7699" t="s">
        <v>43</v>
      </c>
      <c r="AF7699" t="s">
        <v>43</v>
      </c>
      <c r="AG7699" t="s">
        <v>43</v>
      </c>
      <c r="AH7699" t="s">
        <v>43</v>
      </c>
      <c r="AI7699" t="s">
        <v>43</v>
      </c>
      <c r="AJ7699" t="s">
        <v>43</v>
      </c>
      <c r="AK7699" t="s">
        <v>43</v>
      </c>
      <c r="AL7699" t="s">
        <v>43</v>
      </c>
      <c r="AM7699" t="s">
        <v>43</v>
      </c>
      <c r="AN7699" t="str">
        <f>HYPERLINK("https://www.google.com/maps?q=10.78969097,79.57879639","Open Location")</f>
        <v>Open Location</v>
      </c>
    </row>
    <row r="7700" spans="1:40" x14ac:dyDescent="0.3">
      <c r="A7700" s="1">
        <v>46210.108101851853</v>
      </c>
      <c r="B7700" t="s">
        <v>40</v>
      </c>
      <c r="C7700" t="s">
        <v>41</v>
      </c>
      <c r="D7700" s="1">
        <v>46210.111284722225</v>
      </c>
      <c r="E7700" t="s">
        <v>42</v>
      </c>
      <c r="F7700" t="s">
        <v>43</v>
      </c>
      <c r="G7700" t="s">
        <v>43</v>
      </c>
      <c r="H7700" t="s">
        <v>43</v>
      </c>
      <c r="I7700" t="s">
        <v>4329</v>
      </c>
      <c r="J7700" t="s">
        <v>43</v>
      </c>
      <c r="K7700" t="s">
        <v>43</v>
      </c>
      <c r="L7700" t="s">
        <v>43</v>
      </c>
      <c r="M7700" t="s">
        <v>43</v>
      </c>
      <c r="N7700" t="s">
        <v>45</v>
      </c>
      <c r="O7700" t="s">
        <v>43</v>
      </c>
      <c r="P7700" t="s">
        <v>43</v>
      </c>
      <c r="Q7700" t="s">
        <v>43</v>
      </c>
      <c r="R7700" t="s">
        <v>43</v>
      </c>
      <c r="S7700" t="s">
        <v>43</v>
      </c>
      <c r="T7700" t="s">
        <v>43</v>
      </c>
      <c r="U7700" t="s">
        <v>43</v>
      </c>
      <c r="V7700" t="s">
        <v>43</v>
      </c>
      <c r="W7700" t="s">
        <v>43</v>
      </c>
      <c r="X7700" t="s">
        <v>43</v>
      </c>
      <c r="Y7700" t="s">
        <v>43</v>
      </c>
      <c r="Z7700" t="s">
        <v>43</v>
      </c>
      <c r="AA7700" t="s">
        <v>43</v>
      </c>
      <c r="AB7700" t="s">
        <v>43</v>
      </c>
      <c r="AC7700" t="s">
        <v>43</v>
      </c>
      <c r="AD7700" t="s">
        <v>43</v>
      </c>
      <c r="AE7700" t="s">
        <v>43</v>
      </c>
      <c r="AF7700" t="s">
        <v>43</v>
      </c>
      <c r="AG7700" t="s">
        <v>43</v>
      </c>
      <c r="AH7700" t="s">
        <v>43</v>
      </c>
      <c r="AI7700" t="s">
        <v>43</v>
      </c>
      <c r="AJ7700" t="s">
        <v>43</v>
      </c>
      <c r="AK7700" t="s">
        <v>43</v>
      </c>
      <c r="AL7700" t="s">
        <v>43</v>
      </c>
      <c r="AM7700" t="s">
        <v>43</v>
      </c>
      <c r="AN7700" t="str">
        <f>HYPERLINK("https://www.google.com/maps?q=10.78969002,79.57879639","Open Location")</f>
        <v>Open Location</v>
      </c>
    </row>
    <row r="7701" spans="1:40" x14ac:dyDescent="0.3">
      <c r="A7701" s="1">
        <v>46210.107986111114</v>
      </c>
      <c r="B7701" t="s">
        <v>40</v>
      </c>
      <c r="C7701" t="s">
        <v>41</v>
      </c>
      <c r="D7701" s="1">
        <v>46210.111296296294</v>
      </c>
      <c r="E7701" t="s">
        <v>42</v>
      </c>
      <c r="F7701" t="s">
        <v>43</v>
      </c>
      <c r="G7701" t="s">
        <v>43</v>
      </c>
      <c r="H7701" t="s">
        <v>43</v>
      </c>
      <c r="I7701" t="s">
        <v>43</v>
      </c>
      <c r="J7701" t="s">
        <v>43</v>
      </c>
      <c r="K7701" t="s">
        <v>43</v>
      </c>
      <c r="L7701" t="s">
        <v>43</v>
      </c>
      <c r="M7701" t="s">
        <v>43</v>
      </c>
      <c r="N7701" t="s">
        <v>45</v>
      </c>
      <c r="O7701" t="s">
        <v>43</v>
      </c>
      <c r="P7701" t="s">
        <v>43</v>
      </c>
      <c r="Q7701" t="s">
        <v>43</v>
      </c>
      <c r="R7701" t="s">
        <v>43</v>
      </c>
      <c r="S7701" t="s">
        <v>43</v>
      </c>
      <c r="T7701" t="s">
        <v>43</v>
      </c>
      <c r="U7701" t="s">
        <v>43</v>
      </c>
      <c r="V7701" t="s">
        <v>43</v>
      </c>
      <c r="W7701" t="s">
        <v>43</v>
      </c>
      <c r="X7701" t="s">
        <v>43</v>
      </c>
      <c r="Y7701" t="s">
        <v>43</v>
      </c>
      <c r="Z7701" t="s">
        <v>43</v>
      </c>
      <c r="AA7701" t="s">
        <v>43</v>
      </c>
      <c r="AB7701" t="s">
        <v>43</v>
      </c>
      <c r="AC7701" t="s">
        <v>43</v>
      </c>
      <c r="AD7701" t="s">
        <v>43</v>
      </c>
      <c r="AE7701" t="s">
        <v>43</v>
      </c>
      <c r="AF7701" t="s">
        <v>43</v>
      </c>
      <c r="AG7701" t="s">
        <v>43</v>
      </c>
      <c r="AH7701" t="s">
        <v>43</v>
      </c>
      <c r="AI7701" t="s">
        <v>43</v>
      </c>
      <c r="AJ7701" t="s">
        <v>43</v>
      </c>
      <c r="AK7701" t="s">
        <v>43</v>
      </c>
      <c r="AL7701" t="s">
        <v>43</v>
      </c>
      <c r="AM7701" t="s">
        <v>43</v>
      </c>
      <c r="AN7701" t="s">
        <v>43</v>
      </c>
    </row>
    <row r="7702" spans="1:40" x14ac:dyDescent="0.3">
      <c r="A7702" s="1">
        <v>46210.107870370368</v>
      </c>
      <c r="B7702" t="s">
        <v>40</v>
      </c>
      <c r="C7702" t="s">
        <v>41</v>
      </c>
      <c r="D7702" s="1">
        <v>46210.110937500001</v>
      </c>
      <c r="E7702" t="s">
        <v>42</v>
      </c>
      <c r="F7702" t="s">
        <v>43</v>
      </c>
      <c r="G7702" t="s">
        <v>43</v>
      </c>
      <c r="H7702" t="s">
        <v>43</v>
      </c>
      <c r="I7702" t="s">
        <v>4330</v>
      </c>
      <c r="J7702" t="s">
        <v>43</v>
      </c>
      <c r="K7702" t="s">
        <v>43</v>
      </c>
      <c r="L7702" t="s">
        <v>43</v>
      </c>
      <c r="M7702" t="s">
        <v>43</v>
      </c>
      <c r="N7702" t="s">
        <v>45</v>
      </c>
      <c r="O7702" t="s">
        <v>43</v>
      </c>
      <c r="P7702" t="s">
        <v>43</v>
      </c>
      <c r="Q7702" t="s">
        <v>43</v>
      </c>
      <c r="R7702" t="s">
        <v>43</v>
      </c>
      <c r="S7702" t="s">
        <v>43</v>
      </c>
      <c r="T7702" t="s">
        <v>43</v>
      </c>
      <c r="U7702" t="s">
        <v>43</v>
      </c>
      <c r="V7702" t="s">
        <v>43</v>
      </c>
      <c r="W7702" t="s">
        <v>43</v>
      </c>
      <c r="X7702" t="s">
        <v>43</v>
      </c>
      <c r="Y7702" t="s">
        <v>43</v>
      </c>
      <c r="Z7702" t="s">
        <v>43</v>
      </c>
      <c r="AA7702" t="s">
        <v>43</v>
      </c>
      <c r="AB7702" t="s">
        <v>43</v>
      </c>
      <c r="AC7702" t="s">
        <v>43</v>
      </c>
      <c r="AD7702" t="s">
        <v>43</v>
      </c>
      <c r="AE7702" t="s">
        <v>43</v>
      </c>
      <c r="AF7702" t="s">
        <v>43</v>
      </c>
      <c r="AG7702" t="s">
        <v>43</v>
      </c>
      <c r="AH7702" t="s">
        <v>43</v>
      </c>
      <c r="AI7702" t="s">
        <v>43</v>
      </c>
      <c r="AJ7702" t="s">
        <v>43</v>
      </c>
      <c r="AK7702" t="s">
        <v>43</v>
      </c>
      <c r="AL7702" t="s">
        <v>43</v>
      </c>
      <c r="AM7702" t="s">
        <v>43</v>
      </c>
      <c r="AN7702" t="str">
        <f>HYPERLINK("https://www.google.com/maps?q=10.78969193,79.57879639","Open Location")</f>
        <v>Open Location</v>
      </c>
    </row>
    <row r="7703" spans="1:40" x14ac:dyDescent="0.3">
      <c r="A7703" s="1">
        <v>46210.107754629629</v>
      </c>
      <c r="B7703" t="s">
        <v>40</v>
      </c>
      <c r="C7703" t="s">
        <v>41</v>
      </c>
      <c r="D7703" s="1">
        <v>46210.110752314817</v>
      </c>
      <c r="E7703" t="s">
        <v>42</v>
      </c>
      <c r="F7703" t="s">
        <v>43</v>
      </c>
      <c r="G7703" t="s">
        <v>43</v>
      </c>
      <c r="H7703" t="s">
        <v>43</v>
      </c>
      <c r="I7703" t="s">
        <v>4331</v>
      </c>
      <c r="J7703" t="s">
        <v>43</v>
      </c>
      <c r="K7703" t="s">
        <v>43</v>
      </c>
      <c r="L7703" t="s">
        <v>43</v>
      </c>
      <c r="M7703" t="s">
        <v>43</v>
      </c>
      <c r="N7703" t="s">
        <v>45</v>
      </c>
      <c r="O7703" t="s">
        <v>43</v>
      </c>
      <c r="P7703" t="s">
        <v>43</v>
      </c>
      <c r="Q7703" t="s">
        <v>43</v>
      </c>
      <c r="R7703" t="s">
        <v>43</v>
      </c>
      <c r="S7703" t="s">
        <v>43</v>
      </c>
      <c r="T7703" t="s">
        <v>43</v>
      </c>
      <c r="U7703" t="s">
        <v>43</v>
      </c>
      <c r="V7703" t="s">
        <v>43</v>
      </c>
      <c r="W7703" t="s">
        <v>43</v>
      </c>
      <c r="X7703" t="s">
        <v>43</v>
      </c>
      <c r="Y7703" t="s">
        <v>43</v>
      </c>
      <c r="Z7703" t="s">
        <v>43</v>
      </c>
      <c r="AA7703" t="s">
        <v>43</v>
      </c>
      <c r="AB7703" t="s">
        <v>43</v>
      </c>
      <c r="AC7703" t="s">
        <v>43</v>
      </c>
      <c r="AD7703" t="s">
        <v>43</v>
      </c>
      <c r="AE7703" t="s">
        <v>43</v>
      </c>
      <c r="AF7703" t="s">
        <v>43</v>
      </c>
      <c r="AG7703" t="s">
        <v>43</v>
      </c>
      <c r="AH7703" t="s">
        <v>43</v>
      </c>
      <c r="AI7703" t="s">
        <v>43</v>
      </c>
      <c r="AJ7703" t="s">
        <v>43</v>
      </c>
      <c r="AK7703" t="s">
        <v>43</v>
      </c>
      <c r="AL7703" t="s">
        <v>43</v>
      </c>
      <c r="AM7703" t="s">
        <v>43</v>
      </c>
      <c r="AN7703" t="str">
        <f>HYPERLINK("https://www.google.com/maps?q=10.78969002,79.57878876","Open Location")</f>
        <v>Open Location</v>
      </c>
    </row>
    <row r="7704" spans="1:40" x14ac:dyDescent="0.3">
      <c r="A7704" s="1">
        <v>46210.107638888891</v>
      </c>
      <c r="B7704" t="s">
        <v>40</v>
      </c>
      <c r="C7704" t="s">
        <v>41</v>
      </c>
      <c r="D7704" s="1">
        <v>46210.110682870371</v>
      </c>
      <c r="E7704" t="s">
        <v>42</v>
      </c>
      <c r="F7704" t="s">
        <v>43</v>
      </c>
      <c r="G7704" t="s">
        <v>43</v>
      </c>
      <c r="H7704" t="s">
        <v>43</v>
      </c>
      <c r="I7704" t="s">
        <v>4214</v>
      </c>
      <c r="J7704" t="s">
        <v>43</v>
      </c>
      <c r="K7704" t="s">
        <v>43</v>
      </c>
      <c r="L7704" t="s">
        <v>43</v>
      </c>
      <c r="M7704" t="s">
        <v>43</v>
      </c>
      <c r="N7704" t="s">
        <v>45</v>
      </c>
      <c r="O7704" t="s">
        <v>43</v>
      </c>
      <c r="P7704" t="s">
        <v>43</v>
      </c>
      <c r="Q7704" t="s">
        <v>43</v>
      </c>
      <c r="R7704" t="s">
        <v>43</v>
      </c>
      <c r="S7704" t="s">
        <v>43</v>
      </c>
      <c r="T7704" t="s">
        <v>43</v>
      </c>
      <c r="U7704" t="s">
        <v>43</v>
      </c>
      <c r="V7704" t="s">
        <v>43</v>
      </c>
      <c r="W7704" t="s">
        <v>43</v>
      </c>
      <c r="X7704" t="s">
        <v>43</v>
      </c>
      <c r="Y7704" t="s">
        <v>43</v>
      </c>
      <c r="Z7704" t="s">
        <v>43</v>
      </c>
      <c r="AA7704" t="s">
        <v>43</v>
      </c>
      <c r="AB7704" t="s">
        <v>43</v>
      </c>
      <c r="AC7704" t="s">
        <v>43</v>
      </c>
      <c r="AD7704" t="s">
        <v>43</v>
      </c>
      <c r="AE7704" t="s">
        <v>43</v>
      </c>
      <c r="AF7704" t="s">
        <v>43</v>
      </c>
      <c r="AG7704" t="s">
        <v>43</v>
      </c>
      <c r="AH7704" t="s">
        <v>43</v>
      </c>
      <c r="AI7704" t="s">
        <v>43</v>
      </c>
      <c r="AJ7704" t="s">
        <v>43</v>
      </c>
      <c r="AK7704" t="s">
        <v>43</v>
      </c>
      <c r="AL7704" t="s">
        <v>43</v>
      </c>
      <c r="AM7704" t="s">
        <v>43</v>
      </c>
      <c r="AN7704" t="str">
        <f>HYPERLINK("https://www.google.com/maps?q=10.78968811,79.57878876","Open Location")</f>
        <v>Open Location</v>
      </c>
    </row>
    <row r="7705" spans="1:40" x14ac:dyDescent="0.3">
      <c r="A7705" s="1">
        <v>46210.107523148145</v>
      </c>
      <c r="B7705" t="s">
        <v>40</v>
      </c>
      <c r="C7705" t="s">
        <v>41</v>
      </c>
      <c r="D7705" s="1">
        <v>46210.110682870371</v>
      </c>
      <c r="E7705" t="s">
        <v>42</v>
      </c>
      <c r="F7705" t="s">
        <v>43</v>
      </c>
      <c r="G7705" t="s">
        <v>43</v>
      </c>
      <c r="H7705" t="s">
        <v>43</v>
      </c>
      <c r="I7705" t="s">
        <v>4332</v>
      </c>
      <c r="J7705" t="s">
        <v>43</v>
      </c>
      <c r="K7705" t="s">
        <v>43</v>
      </c>
      <c r="L7705" t="s">
        <v>43</v>
      </c>
      <c r="M7705" t="s">
        <v>43</v>
      </c>
      <c r="N7705" t="s">
        <v>45</v>
      </c>
      <c r="O7705" t="s">
        <v>43</v>
      </c>
      <c r="P7705" t="s">
        <v>43</v>
      </c>
      <c r="Q7705" t="s">
        <v>43</v>
      </c>
      <c r="R7705" t="s">
        <v>43</v>
      </c>
      <c r="S7705" t="s">
        <v>43</v>
      </c>
      <c r="T7705" t="s">
        <v>43</v>
      </c>
      <c r="U7705" t="s">
        <v>43</v>
      </c>
      <c r="V7705" t="s">
        <v>43</v>
      </c>
      <c r="W7705" t="s">
        <v>43</v>
      </c>
      <c r="X7705" t="s">
        <v>43</v>
      </c>
      <c r="Y7705" t="s">
        <v>43</v>
      </c>
      <c r="Z7705" t="s">
        <v>43</v>
      </c>
      <c r="AA7705" t="s">
        <v>43</v>
      </c>
      <c r="AB7705" t="s">
        <v>43</v>
      </c>
      <c r="AC7705" t="s">
        <v>43</v>
      </c>
      <c r="AD7705" t="s">
        <v>43</v>
      </c>
      <c r="AE7705" t="s">
        <v>43</v>
      </c>
      <c r="AF7705" t="s">
        <v>43</v>
      </c>
      <c r="AG7705" t="s">
        <v>43</v>
      </c>
      <c r="AH7705" t="s">
        <v>43</v>
      </c>
      <c r="AI7705" t="s">
        <v>43</v>
      </c>
      <c r="AJ7705" t="s">
        <v>43</v>
      </c>
      <c r="AK7705" t="s">
        <v>43</v>
      </c>
      <c r="AL7705" t="s">
        <v>43</v>
      </c>
      <c r="AM7705" t="s">
        <v>43</v>
      </c>
      <c r="AN7705" t="str">
        <f>HYPERLINK("https://www.google.com/maps?q=10.78969193,79.57878113","Open Location")</f>
        <v>Open Location</v>
      </c>
    </row>
    <row r="7706" spans="1:40" x14ac:dyDescent="0.3">
      <c r="A7706" s="1">
        <v>46210.107407407406</v>
      </c>
      <c r="B7706" t="s">
        <v>40</v>
      </c>
      <c r="C7706" t="s">
        <v>41</v>
      </c>
      <c r="D7706" s="1">
        <v>46210.110335648147</v>
      </c>
      <c r="E7706" t="s">
        <v>42</v>
      </c>
      <c r="F7706" t="s">
        <v>43</v>
      </c>
      <c r="G7706" t="s">
        <v>43</v>
      </c>
      <c r="H7706" t="s">
        <v>43</v>
      </c>
      <c r="I7706" t="s">
        <v>4322</v>
      </c>
      <c r="J7706" t="s">
        <v>43</v>
      </c>
      <c r="K7706" t="s">
        <v>43</v>
      </c>
      <c r="L7706" t="s">
        <v>43</v>
      </c>
      <c r="M7706" t="s">
        <v>43</v>
      </c>
      <c r="N7706" t="s">
        <v>45</v>
      </c>
      <c r="O7706" t="s">
        <v>43</v>
      </c>
      <c r="P7706" t="s">
        <v>43</v>
      </c>
      <c r="Q7706" t="s">
        <v>43</v>
      </c>
      <c r="R7706" t="s">
        <v>43</v>
      </c>
      <c r="S7706" t="s">
        <v>43</v>
      </c>
      <c r="T7706" t="s">
        <v>43</v>
      </c>
      <c r="U7706" t="s">
        <v>43</v>
      </c>
      <c r="V7706" t="s">
        <v>43</v>
      </c>
      <c r="W7706" t="s">
        <v>43</v>
      </c>
      <c r="X7706" t="s">
        <v>43</v>
      </c>
      <c r="Y7706" t="s">
        <v>43</v>
      </c>
      <c r="Z7706" t="s">
        <v>43</v>
      </c>
      <c r="AA7706" t="s">
        <v>43</v>
      </c>
      <c r="AB7706" t="s">
        <v>43</v>
      </c>
      <c r="AC7706" t="s">
        <v>43</v>
      </c>
      <c r="AD7706" t="s">
        <v>43</v>
      </c>
      <c r="AE7706" t="s">
        <v>43</v>
      </c>
      <c r="AF7706" t="s">
        <v>43</v>
      </c>
      <c r="AG7706" t="s">
        <v>43</v>
      </c>
      <c r="AH7706" t="s">
        <v>43</v>
      </c>
      <c r="AI7706" t="s">
        <v>43</v>
      </c>
      <c r="AJ7706" t="s">
        <v>43</v>
      </c>
      <c r="AK7706" t="s">
        <v>43</v>
      </c>
      <c r="AL7706" t="s">
        <v>43</v>
      </c>
      <c r="AM7706" t="s">
        <v>43</v>
      </c>
      <c r="AN7706" t="str">
        <f>HYPERLINK("https://www.google.com/maps?q=10.7896862,79.57878113","Open Location")</f>
        <v>Open Location</v>
      </c>
    </row>
    <row r="7707" spans="1:40" x14ac:dyDescent="0.3">
      <c r="A7707" s="1">
        <v>46210.107291666667</v>
      </c>
      <c r="B7707" t="s">
        <v>40</v>
      </c>
      <c r="C7707" t="s">
        <v>41</v>
      </c>
      <c r="D7707" s="1">
        <v>46210.110555555555</v>
      </c>
      <c r="E7707" t="s">
        <v>42</v>
      </c>
      <c r="F7707" t="s">
        <v>43</v>
      </c>
      <c r="G7707" t="s">
        <v>43</v>
      </c>
      <c r="H7707" t="s">
        <v>43</v>
      </c>
      <c r="I7707" t="s">
        <v>43</v>
      </c>
      <c r="J7707" t="s">
        <v>43</v>
      </c>
      <c r="K7707" t="s">
        <v>43</v>
      </c>
      <c r="L7707" t="s">
        <v>43</v>
      </c>
      <c r="M7707" t="s">
        <v>43</v>
      </c>
      <c r="N7707" t="s">
        <v>45</v>
      </c>
      <c r="O7707" t="s">
        <v>43</v>
      </c>
      <c r="P7707" t="s">
        <v>43</v>
      </c>
      <c r="Q7707" t="s">
        <v>43</v>
      </c>
      <c r="R7707" t="s">
        <v>43</v>
      </c>
      <c r="S7707" t="s">
        <v>43</v>
      </c>
      <c r="T7707" t="s">
        <v>43</v>
      </c>
      <c r="U7707" t="s">
        <v>43</v>
      </c>
      <c r="V7707" t="s">
        <v>43</v>
      </c>
      <c r="W7707" t="s">
        <v>43</v>
      </c>
      <c r="X7707" t="s">
        <v>43</v>
      </c>
      <c r="Y7707" t="s">
        <v>43</v>
      </c>
      <c r="Z7707" t="s">
        <v>43</v>
      </c>
      <c r="AA7707" t="s">
        <v>43</v>
      </c>
      <c r="AB7707" t="s">
        <v>43</v>
      </c>
      <c r="AC7707" t="s">
        <v>43</v>
      </c>
      <c r="AD7707" t="s">
        <v>43</v>
      </c>
      <c r="AE7707" t="s">
        <v>43</v>
      </c>
      <c r="AF7707" t="s">
        <v>43</v>
      </c>
      <c r="AG7707" t="s">
        <v>43</v>
      </c>
      <c r="AH7707" t="s">
        <v>43</v>
      </c>
      <c r="AI7707" t="s">
        <v>43</v>
      </c>
      <c r="AJ7707" t="s">
        <v>43</v>
      </c>
      <c r="AK7707" t="s">
        <v>43</v>
      </c>
      <c r="AL7707" t="s">
        <v>43</v>
      </c>
      <c r="AM7707" t="s">
        <v>43</v>
      </c>
      <c r="AN7707" t="s">
        <v>43</v>
      </c>
    </row>
    <row r="7708" spans="1:40" x14ac:dyDescent="0.3">
      <c r="A7708" s="1">
        <v>46210.107175925928</v>
      </c>
      <c r="B7708" t="s">
        <v>40</v>
      </c>
      <c r="C7708" t="s">
        <v>41</v>
      </c>
      <c r="D7708" s="1">
        <v>46210.110185185185</v>
      </c>
      <c r="E7708" t="s">
        <v>42</v>
      </c>
      <c r="F7708" t="s">
        <v>43</v>
      </c>
      <c r="G7708" t="s">
        <v>43</v>
      </c>
      <c r="H7708" t="s">
        <v>43</v>
      </c>
      <c r="I7708" t="s">
        <v>4333</v>
      </c>
      <c r="J7708" t="s">
        <v>43</v>
      </c>
      <c r="K7708" t="s">
        <v>43</v>
      </c>
      <c r="L7708" t="s">
        <v>43</v>
      </c>
      <c r="M7708" t="s">
        <v>43</v>
      </c>
      <c r="N7708" t="s">
        <v>45</v>
      </c>
      <c r="O7708" t="s">
        <v>43</v>
      </c>
      <c r="P7708" t="s">
        <v>43</v>
      </c>
      <c r="Q7708" t="s">
        <v>43</v>
      </c>
      <c r="R7708" t="s">
        <v>43</v>
      </c>
      <c r="S7708" t="s">
        <v>43</v>
      </c>
      <c r="T7708" t="s">
        <v>43</v>
      </c>
      <c r="U7708" t="s">
        <v>43</v>
      </c>
      <c r="V7708" t="s">
        <v>43</v>
      </c>
      <c r="W7708" t="s">
        <v>43</v>
      </c>
      <c r="X7708" t="s">
        <v>43</v>
      </c>
      <c r="Y7708" t="s">
        <v>43</v>
      </c>
      <c r="Z7708" t="s">
        <v>43</v>
      </c>
      <c r="AA7708" t="s">
        <v>43</v>
      </c>
      <c r="AB7708" t="s">
        <v>43</v>
      </c>
      <c r="AC7708" t="s">
        <v>43</v>
      </c>
      <c r="AD7708" t="s">
        <v>43</v>
      </c>
      <c r="AE7708" t="s">
        <v>43</v>
      </c>
      <c r="AF7708" t="s">
        <v>43</v>
      </c>
      <c r="AG7708" t="s">
        <v>43</v>
      </c>
      <c r="AH7708" t="s">
        <v>43</v>
      </c>
      <c r="AI7708" t="s">
        <v>43</v>
      </c>
      <c r="AJ7708" t="s">
        <v>43</v>
      </c>
      <c r="AK7708" t="s">
        <v>43</v>
      </c>
      <c r="AL7708" t="s">
        <v>43</v>
      </c>
      <c r="AM7708" t="s">
        <v>43</v>
      </c>
      <c r="AN7708" t="str">
        <f>HYPERLINK("https://www.google.com/maps?q=10.78968906,79.5787735","Open Location")</f>
        <v>Open Location</v>
      </c>
    </row>
    <row r="7709" spans="1:40" x14ac:dyDescent="0.3">
      <c r="A7709" s="1">
        <v>46210.107060185182</v>
      </c>
      <c r="B7709" t="s">
        <v>40</v>
      </c>
      <c r="C7709" t="s">
        <v>41</v>
      </c>
      <c r="D7709" s="1">
        <v>46210.110185185185</v>
      </c>
      <c r="E7709" t="s">
        <v>42</v>
      </c>
      <c r="F7709" t="s">
        <v>43</v>
      </c>
      <c r="G7709" t="s">
        <v>43</v>
      </c>
      <c r="H7709" t="s">
        <v>43</v>
      </c>
      <c r="I7709" t="s">
        <v>4334</v>
      </c>
      <c r="J7709" t="s">
        <v>43</v>
      </c>
      <c r="K7709" t="s">
        <v>43</v>
      </c>
      <c r="L7709" t="s">
        <v>43</v>
      </c>
      <c r="M7709" t="s">
        <v>43</v>
      </c>
      <c r="N7709" t="s">
        <v>45</v>
      </c>
      <c r="O7709" t="s">
        <v>43</v>
      </c>
      <c r="P7709" t="s">
        <v>43</v>
      </c>
      <c r="Q7709" t="s">
        <v>43</v>
      </c>
      <c r="R7709" t="s">
        <v>43</v>
      </c>
      <c r="S7709" t="s">
        <v>43</v>
      </c>
      <c r="T7709" t="s">
        <v>43</v>
      </c>
      <c r="U7709" t="s">
        <v>43</v>
      </c>
      <c r="V7709" t="s">
        <v>43</v>
      </c>
      <c r="W7709" t="s">
        <v>43</v>
      </c>
      <c r="X7709" t="s">
        <v>43</v>
      </c>
      <c r="Y7709" t="s">
        <v>43</v>
      </c>
      <c r="Z7709" t="s">
        <v>43</v>
      </c>
      <c r="AA7709" t="s">
        <v>43</v>
      </c>
      <c r="AB7709" t="s">
        <v>43</v>
      </c>
      <c r="AC7709" t="s">
        <v>43</v>
      </c>
      <c r="AD7709" t="s">
        <v>43</v>
      </c>
      <c r="AE7709" t="s">
        <v>43</v>
      </c>
      <c r="AF7709" t="s">
        <v>43</v>
      </c>
      <c r="AG7709" t="s">
        <v>43</v>
      </c>
      <c r="AH7709" t="s">
        <v>43</v>
      </c>
      <c r="AI7709" t="s">
        <v>43</v>
      </c>
      <c r="AJ7709" t="s">
        <v>43</v>
      </c>
      <c r="AK7709" t="s">
        <v>43</v>
      </c>
      <c r="AL7709" t="s">
        <v>43</v>
      </c>
      <c r="AM7709" t="s">
        <v>43</v>
      </c>
      <c r="AN7709" t="str">
        <f>HYPERLINK("https://www.google.com/maps?q=10.78968716,79.5787735","Open Location")</f>
        <v>Open Location</v>
      </c>
    </row>
    <row r="7710" spans="1:40" x14ac:dyDescent="0.3">
      <c r="A7710" s="1">
        <v>46210.106944444444</v>
      </c>
      <c r="B7710" t="s">
        <v>40</v>
      </c>
      <c r="C7710" t="s">
        <v>41</v>
      </c>
      <c r="D7710" s="1">
        <v>46210.109965277778</v>
      </c>
      <c r="E7710" t="s">
        <v>42</v>
      </c>
      <c r="F7710" t="s">
        <v>43</v>
      </c>
      <c r="G7710" t="s">
        <v>43</v>
      </c>
      <c r="H7710" t="s">
        <v>43</v>
      </c>
      <c r="I7710" t="s">
        <v>4335</v>
      </c>
      <c r="J7710" t="s">
        <v>43</v>
      </c>
      <c r="K7710" t="s">
        <v>43</v>
      </c>
      <c r="L7710" t="s">
        <v>43</v>
      </c>
      <c r="M7710" t="s">
        <v>43</v>
      </c>
      <c r="N7710" t="s">
        <v>45</v>
      </c>
      <c r="O7710" t="s">
        <v>43</v>
      </c>
      <c r="P7710" t="s">
        <v>43</v>
      </c>
      <c r="Q7710" t="s">
        <v>43</v>
      </c>
      <c r="R7710" t="s">
        <v>43</v>
      </c>
      <c r="S7710" t="s">
        <v>43</v>
      </c>
      <c r="T7710" t="s">
        <v>43</v>
      </c>
      <c r="U7710" t="s">
        <v>43</v>
      </c>
      <c r="V7710" t="s">
        <v>43</v>
      </c>
      <c r="W7710" t="s">
        <v>43</v>
      </c>
      <c r="X7710" t="s">
        <v>43</v>
      </c>
      <c r="Y7710" t="s">
        <v>43</v>
      </c>
      <c r="Z7710" t="s">
        <v>43</v>
      </c>
      <c r="AA7710" t="s">
        <v>43</v>
      </c>
      <c r="AB7710" t="s">
        <v>43</v>
      </c>
      <c r="AC7710" t="s">
        <v>43</v>
      </c>
      <c r="AD7710" t="s">
        <v>43</v>
      </c>
      <c r="AE7710" t="s">
        <v>43</v>
      </c>
      <c r="AF7710" t="s">
        <v>43</v>
      </c>
      <c r="AG7710" t="s">
        <v>43</v>
      </c>
      <c r="AH7710" t="s">
        <v>43</v>
      </c>
      <c r="AI7710" t="s">
        <v>43</v>
      </c>
      <c r="AJ7710" t="s">
        <v>43</v>
      </c>
      <c r="AK7710" t="s">
        <v>43</v>
      </c>
      <c r="AL7710" t="s">
        <v>43</v>
      </c>
      <c r="AM7710" t="s">
        <v>43</v>
      </c>
      <c r="AN7710" t="str">
        <f>HYPERLINK("https://www.google.com/maps?q=10.7896843,79.5787735","Open Location")</f>
        <v>Open Location</v>
      </c>
    </row>
    <row r="7711" spans="1:40" x14ac:dyDescent="0.3">
      <c r="A7711" s="1">
        <v>46210.106828703705</v>
      </c>
      <c r="B7711" t="s">
        <v>40</v>
      </c>
      <c r="C7711" t="s">
        <v>41</v>
      </c>
      <c r="D7711" s="1">
        <v>46210.109722222223</v>
      </c>
      <c r="E7711" t="s">
        <v>42</v>
      </c>
      <c r="F7711" t="s">
        <v>43</v>
      </c>
      <c r="G7711" t="s">
        <v>43</v>
      </c>
      <c r="H7711" t="s">
        <v>43</v>
      </c>
      <c r="I7711" t="s">
        <v>4336</v>
      </c>
      <c r="J7711" t="s">
        <v>43</v>
      </c>
      <c r="K7711" t="s">
        <v>43</v>
      </c>
      <c r="L7711" t="s">
        <v>43</v>
      </c>
      <c r="M7711" t="s">
        <v>43</v>
      </c>
      <c r="N7711" t="s">
        <v>45</v>
      </c>
      <c r="O7711" t="s">
        <v>43</v>
      </c>
      <c r="P7711" t="s">
        <v>43</v>
      </c>
      <c r="Q7711" t="s">
        <v>43</v>
      </c>
      <c r="R7711" t="s">
        <v>43</v>
      </c>
      <c r="S7711" t="s">
        <v>43</v>
      </c>
      <c r="T7711" t="s">
        <v>43</v>
      </c>
      <c r="U7711" t="s">
        <v>43</v>
      </c>
      <c r="V7711" t="s">
        <v>43</v>
      </c>
      <c r="W7711" t="s">
        <v>43</v>
      </c>
      <c r="X7711" t="s">
        <v>43</v>
      </c>
      <c r="Y7711" t="s">
        <v>43</v>
      </c>
      <c r="Z7711" t="s">
        <v>43</v>
      </c>
      <c r="AA7711" t="s">
        <v>43</v>
      </c>
      <c r="AB7711" t="s">
        <v>43</v>
      </c>
      <c r="AC7711" t="s">
        <v>43</v>
      </c>
      <c r="AD7711" t="s">
        <v>43</v>
      </c>
      <c r="AE7711" t="s">
        <v>43</v>
      </c>
      <c r="AF7711" t="s">
        <v>43</v>
      </c>
      <c r="AG7711" t="s">
        <v>43</v>
      </c>
      <c r="AH7711" t="s">
        <v>43</v>
      </c>
      <c r="AI7711" t="s">
        <v>43</v>
      </c>
      <c r="AJ7711" t="s">
        <v>43</v>
      </c>
      <c r="AK7711" t="s">
        <v>43</v>
      </c>
      <c r="AL7711" t="s">
        <v>43</v>
      </c>
      <c r="AM7711" t="s">
        <v>43</v>
      </c>
      <c r="AN7711" t="str">
        <f>HYPERLINK("https://www.google.com/maps?q=10.78968525,79.57876587","Open Location")</f>
        <v>Open Location</v>
      </c>
    </row>
    <row r="7712" spans="1:40" x14ac:dyDescent="0.3">
      <c r="A7712" s="1">
        <v>46210.106712962966</v>
      </c>
      <c r="B7712" t="s">
        <v>40</v>
      </c>
      <c r="C7712" t="s">
        <v>41</v>
      </c>
      <c r="D7712" s="1">
        <v>46210.109837962962</v>
      </c>
      <c r="E7712" t="s">
        <v>42</v>
      </c>
      <c r="F7712" t="s">
        <v>43</v>
      </c>
      <c r="G7712" t="s">
        <v>43</v>
      </c>
      <c r="H7712" t="s">
        <v>43</v>
      </c>
      <c r="I7712" t="s">
        <v>43</v>
      </c>
      <c r="J7712" t="s">
        <v>43</v>
      </c>
      <c r="K7712" t="s">
        <v>43</v>
      </c>
      <c r="L7712" t="s">
        <v>43</v>
      </c>
      <c r="M7712" t="s">
        <v>43</v>
      </c>
      <c r="N7712" t="s">
        <v>45</v>
      </c>
      <c r="O7712" t="s">
        <v>43</v>
      </c>
      <c r="P7712" t="s">
        <v>43</v>
      </c>
      <c r="Q7712" t="s">
        <v>43</v>
      </c>
      <c r="R7712" t="s">
        <v>43</v>
      </c>
      <c r="S7712" t="s">
        <v>43</v>
      </c>
      <c r="T7712" t="s">
        <v>43</v>
      </c>
      <c r="U7712" t="s">
        <v>43</v>
      </c>
      <c r="V7712" t="s">
        <v>43</v>
      </c>
      <c r="W7712" t="s">
        <v>43</v>
      </c>
      <c r="X7712" t="s">
        <v>43</v>
      </c>
      <c r="Y7712" t="s">
        <v>43</v>
      </c>
      <c r="Z7712" t="s">
        <v>43</v>
      </c>
      <c r="AA7712" t="s">
        <v>43</v>
      </c>
      <c r="AB7712" t="s">
        <v>43</v>
      </c>
      <c r="AC7712" t="s">
        <v>43</v>
      </c>
      <c r="AD7712" t="s">
        <v>43</v>
      </c>
      <c r="AE7712" t="s">
        <v>43</v>
      </c>
      <c r="AF7712" t="s">
        <v>43</v>
      </c>
      <c r="AG7712" t="s">
        <v>43</v>
      </c>
      <c r="AH7712" t="s">
        <v>43</v>
      </c>
      <c r="AI7712" t="s">
        <v>43</v>
      </c>
      <c r="AJ7712" t="s">
        <v>43</v>
      </c>
      <c r="AK7712" t="s">
        <v>43</v>
      </c>
      <c r="AL7712" t="s">
        <v>43</v>
      </c>
      <c r="AM7712" t="s">
        <v>43</v>
      </c>
      <c r="AN7712" t="s">
        <v>43</v>
      </c>
    </row>
    <row r="7713" spans="1:40" x14ac:dyDescent="0.3">
      <c r="A7713" s="1">
        <v>46210.10659722222</v>
      </c>
      <c r="B7713" t="s">
        <v>40</v>
      </c>
      <c r="C7713" t="s">
        <v>41</v>
      </c>
      <c r="D7713" s="1">
        <v>46210.109733796293</v>
      </c>
      <c r="E7713" t="s">
        <v>42</v>
      </c>
      <c r="F7713" t="s">
        <v>43</v>
      </c>
      <c r="G7713" t="s">
        <v>43</v>
      </c>
      <c r="H7713" t="s">
        <v>43</v>
      </c>
      <c r="I7713" t="s">
        <v>4305</v>
      </c>
      <c r="J7713" t="s">
        <v>43</v>
      </c>
      <c r="K7713" t="s">
        <v>43</v>
      </c>
      <c r="L7713" t="s">
        <v>43</v>
      </c>
      <c r="M7713" t="s">
        <v>43</v>
      </c>
      <c r="N7713" t="s">
        <v>45</v>
      </c>
      <c r="O7713" t="s">
        <v>43</v>
      </c>
      <c r="P7713" t="s">
        <v>43</v>
      </c>
      <c r="Q7713" t="s">
        <v>43</v>
      </c>
      <c r="R7713" t="s">
        <v>43</v>
      </c>
      <c r="S7713" t="s">
        <v>43</v>
      </c>
      <c r="T7713" t="s">
        <v>43</v>
      </c>
      <c r="U7713" t="s">
        <v>43</v>
      </c>
      <c r="V7713" t="s">
        <v>43</v>
      </c>
      <c r="W7713" t="s">
        <v>43</v>
      </c>
      <c r="X7713" t="s">
        <v>43</v>
      </c>
      <c r="Y7713" t="s">
        <v>43</v>
      </c>
      <c r="Z7713" t="s">
        <v>43</v>
      </c>
      <c r="AA7713" t="s">
        <v>43</v>
      </c>
      <c r="AB7713" t="s">
        <v>43</v>
      </c>
      <c r="AC7713" t="s">
        <v>43</v>
      </c>
      <c r="AD7713" t="s">
        <v>43</v>
      </c>
      <c r="AE7713" t="s">
        <v>43</v>
      </c>
      <c r="AF7713" t="s">
        <v>43</v>
      </c>
      <c r="AG7713" t="s">
        <v>43</v>
      </c>
      <c r="AH7713" t="s">
        <v>43</v>
      </c>
      <c r="AI7713" t="s">
        <v>43</v>
      </c>
      <c r="AJ7713" t="s">
        <v>43</v>
      </c>
      <c r="AK7713" t="s">
        <v>43</v>
      </c>
      <c r="AL7713" t="s">
        <v>43</v>
      </c>
      <c r="AM7713" t="s">
        <v>43</v>
      </c>
      <c r="AN7713" t="str">
        <f>HYPERLINK("https://www.google.com/maps?q=10.78968143,79.57876587","Open Location")</f>
        <v>Open Location</v>
      </c>
    </row>
    <row r="7714" spans="1:40" x14ac:dyDescent="0.3">
      <c r="A7714" s="1">
        <v>46210.106481481482</v>
      </c>
      <c r="B7714" t="s">
        <v>40</v>
      </c>
      <c r="C7714" t="s">
        <v>41</v>
      </c>
      <c r="D7714" s="1">
        <v>46210.109837962962</v>
      </c>
      <c r="E7714" t="s">
        <v>42</v>
      </c>
      <c r="F7714" t="s">
        <v>43</v>
      </c>
      <c r="G7714" t="s">
        <v>43</v>
      </c>
      <c r="H7714" t="s">
        <v>43</v>
      </c>
      <c r="I7714" t="s">
        <v>4207</v>
      </c>
      <c r="J7714" t="s">
        <v>43</v>
      </c>
      <c r="K7714" t="s">
        <v>43</v>
      </c>
      <c r="L7714" t="s">
        <v>43</v>
      </c>
      <c r="M7714" t="s">
        <v>43</v>
      </c>
      <c r="N7714" t="s">
        <v>45</v>
      </c>
      <c r="O7714" t="s">
        <v>43</v>
      </c>
      <c r="P7714" t="s">
        <v>43</v>
      </c>
      <c r="Q7714" t="s">
        <v>43</v>
      </c>
      <c r="R7714" t="s">
        <v>43</v>
      </c>
      <c r="S7714" t="s">
        <v>43</v>
      </c>
      <c r="T7714" t="s">
        <v>43</v>
      </c>
      <c r="U7714" t="s">
        <v>43</v>
      </c>
      <c r="V7714" t="s">
        <v>43</v>
      </c>
      <c r="W7714" t="s">
        <v>43</v>
      </c>
      <c r="X7714" t="s">
        <v>43</v>
      </c>
      <c r="Y7714" t="s">
        <v>43</v>
      </c>
      <c r="Z7714" t="s">
        <v>43</v>
      </c>
      <c r="AA7714" t="s">
        <v>43</v>
      </c>
      <c r="AB7714" t="s">
        <v>43</v>
      </c>
      <c r="AC7714" t="s">
        <v>43</v>
      </c>
      <c r="AD7714" t="s">
        <v>43</v>
      </c>
      <c r="AE7714" t="s">
        <v>43</v>
      </c>
      <c r="AF7714" t="s">
        <v>43</v>
      </c>
      <c r="AG7714" t="s">
        <v>43</v>
      </c>
      <c r="AH7714" t="s">
        <v>43</v>
      </c>
      <c r="AI7714" t="s">
        <v>43</v>
      </c>
      <c r="AJ7714" t="s">
        <v>43</v>
      </c>
      <c r="AK7714" t="s">
        <v>43</v>
      </c>
      <c r="AL7714" t="s">
        <v>43</v>
      </c>
      <c r="AM7714" t="s">
        <v>43</v>
      </c>
      <c r="AN7714" t="str">
        <f>HYPERLINK("https://www.google.com/maps?q=10.78967762,79.57876587","Open Location")</f>
        <v>Open Location</v>
      </c>
    </row>
    <row r="7715" spans="1:40" x14ac:dyDescent="0.3">
      <c r="A7715" s="1">
        <v>46210.106365740743</v>
      </c>
      <c r="B7715" t="s">
        <v>40</v>
      </c>
      <c r="C7715" t="s">
        <v>41</v>
      </c>
      <c r="D7715" s="1">
        <v>46210.109837962962</v>
      </c>
      <c r="E7715" t="s">
        <v>42</v>
      </c>
      <c r="F7715" t="s">
        <v>43</v>
      </c>
      <c r="G7715" t="s">
        <v>43</v>
      </c>
      <c r="H7715" t="s">
        <v>43</v>
      </c>
      <c r="I7715" t="s">
        <v>4207</v>
      </c>
      <c r="J7715" t="s">
        <v>43</v>
      </c>
      <c r="K7715" t="s">
        <v>43</v>
      </c>
      <c r="L7715" t="s">
        <v>43</v>
      </c>
      <c r="M7715" t="s">
        <v>43</v>
      </c>
      <c r="N7715" t="s">
        <v>45</v>
      </c>
      <c r="O7715" t="s">
        <v>43</v>
      </c>
      <c r="P7715" t="s">
        <v>43</v>
      </c>
      <c r="Q7715" t="s">
        <v>43</v>
      </c>
      <c r="R7715" t="s">
        <v>43</v>
      </c>
      <c r="S7715" t="s">
        <v>43</v>
      </c>
      <c r="T7715" t="s">
        <v>43</v>
      </c>
      <c r="U7715" t="s">
        <v>43</v>
      </c>
      <c r="V7715" t="s">
        <v>43</v>
      </c>
      <c r="W7715" t="s">
        <v>43</v>
      </c>
      <c r="X7715" t="s">
        <v>43</v>
      </c>
      <c r="Y7715" t="s">
        <v>43</v>
      </c>
      <c r="Z7715" t="s">
        <v>43</v>
      </c>
      <c r="AA7715" t="s">
        <v>43</v>
      </c>
      <c r="AB7715" t="s">
        <v>43</v>
      </c>
      <c r="AC7715" t="s">
        <v>43</v>
      </c>
      <c r="AD7715" t="s">
        <v>43</v>
      </c>
      <c r="AE7715" t="s">
        <v>43</v>
      </c>
      <c r="AF7715" t="s">
        <v>43</v>
      </c>
      <c r="AG7715" t="s">
        <v>43</v>
      </c>
      <c r="AH7715" t="s">
        <v>43</v>
      </c>
      <c r="AI7715" t="s">
        <v>43</v>
      </c>
      <c r="AJ7715" t="s">
        <v>43</v>
      </c>
      <c r="AK7715" t="s">
        <v>43</v>
      </c>
      <c r="AL7715" t="s">
        <v>43</v>
      </c>
      <c r="AM7715" t="s">
        <v>43</v>
      </c>
      <c r="AN7715" t="str">
        <f>HYPERLINK("https://www.google.com/maps?q=10.78967762,79.57876587","Open Location")</f>
        <v>Open Location</v>
      </c>
    </row>
    <row r="7716" spans="1:40" x14ac:dyDescent="0.3">
      <c r="A7716" s="1">
        <v>46210.106249999997</v>
      </c>
      <c r="B7716" t="s">
        <v>40</v>
      </c>
      <c r="C7716" t="s">
        <v>41</v>
      </c>
      <c r="D7716" s="1">
        <v>46210.109305555554</v>
      </c>
      <c r="E7716" t="s">
        <v>42</v>
      </c>
      <c r="F7716" t="s">
        <v>43</v>
      </c>
      <c r="G7716" t="s">
        <v>43</v>
      </c>
      <c r="H7716" t="s">
        <v>43</v>
      </c>
      <c r="I7716" t="s">
        <v>4209</v>
      </c>
      <c r="J7716" t="s">
        <v>43</v>
      </c>
      <c r="K7716" t="s">
        <v>43</v>
      </c>
      <c r="L7716" t="s">
        <v>43</v>
      </c>
      <c r="M7716" t="s">
        <v>43</v>
      </c>
      <c r="N7716" t="s">
        <v>45</v>
      </c>
      <c r="O7716" t="s">
        <v>43</v>
      </c>
      <c r="P7716" t="s">
        <v>43</v>
      </c>
      <c r="Q7716" t="s">
        <v>43</v>
      </c>
      <c r="R7716" t="s">
        <v>43</v>
      </c>
      <c r="S7716" t="s">
        <v>43</v>
      </c>
      <c r="T7716" t="s">
        <v>43</v>
      </c>
      <c r="U7716" t="s">
        <v>43</v>
      </c>
      <c r="V7716" t="s">
        <v>43</v>
      </c>
      <c r="W7716" t="s">
        <v>43</v>
      </c>
      <c r="X7716" t="s">
        <v>43</v>
      </c>
      <c r="Y7716" t="s">
        <v>43</v>
      </c>
      <c r="Z7716" t="s">
        <v>43</v>
      </c>
      <c r="AA7716" t="s">
        <v>43</v>
      </c>
      <c r="AB7716" t="s">
        <v>43</v>
      </c>
      <c r="AC7716" t="s">
        <v>43</v>
      </c>
      <c r="AD7716" t="s">
        <v>43</v>
      </c>
      <c r="AE7716" t="s">
        <v>43</v>
      </c>
      <c r="AF7716" t="s">
        <v>43</v>
      </c>
      <c r="AG7716" t="s">
        <v>43</v>
      </c>
      <c r="AH7716" t="s">
        <v>43</v>
      </c>
      <c r="AI7716" t="s">
        <v>43</v>
      </c>
      <c r="AJ7716" t="s">
        <v>43</v>
      </c>
      <c r="AK7716" t="s">
        <v>43</v>
      </c>
      <c r="AL7716" t="s">
        <v>43</v>
      </c>
      <c r="AM7716" t="s">
        <v>43</v>
      </c>
      <c r="AN7716" t="str">
        <f>HYPERLINK("https://www.google.com/maps?q=10.78968334,79.57876587","Open Location")</f>
        <v>Open Location</v>
      </c>
    </row>
    <row r="7717" spans="1:40" x14ac:dyDescent="0.3">
      <c r="A7717" s="1">
        <v>46210.106134259258</v>
      </c>
      <c r="B7717" t="s">
        <v>40</v>
      </c>
      <c r="C7717" t="s">
        <v>41</v>
      </c>
      <c r="D7717" s="1">
        <v>46210.109027777777</v>
      </c>
      <c r="E7717" t="s">
        <v>42</v>
      </c>
      <c r="F7717" t="s">
        <v>43</v>
      </c>
      <c r="G7717" t="s">
        <v>43</v>
      </c>
      <c r="H7717" t="s">
        <v>43</v>
      </c>
      <c r="I7717" t="s">
        <v>4337</v>
      </c>
      <c r="J7717" t="s">
        <v>43</v>
      </c>
      <c r="K7717" t="s">
        <v>43</v>
      </c>
      <c r="L7717" t="s">
        <v>43</v>
      </c>
      <c r="M7717" t="s">
        <v>43</v>
      </c>
      <c r="N7717" t="s">
        <v>45</v>
      </c>
      <c r="O7717" t="s">
        <v>43</v>
      </c>
      <c r="P7717" t="s">
        <v>43</v>
      </c>
      <c r="Q7717" t="s">
        <v>43</v>
      </c>
      <c r="R7717" t="s">
        <v>43</v>
      </c>
      <c r="S7717" t="s">
        <v>43</v>
      </c>
      <c r="T7717" t="s">
        <v>43</v>
      </c>
      <c r="U7717" t="s">
        <v>43</v>
      </c>
      <c r="V7717" t="s">
        <v>43</v>
      </c>
      <c r="W7717" t="s">
        <v>43</v>
      </c>
      <c r="X7717" t="s">
        <v>43</v>
      </c>
      <c r="Y7717" t="s">
        <v>43</v>
      </c>
      <c r="Z7717" t="s">
        <v>43</v>
      </c>
      <c r="AA7717" t="s">
        <v>43</v>
      </c>
      <c r="AB7717" t="s">
        <v>43</v>
      </c>
      <c r="AC7717" t="s">
        <v>43</v>
      </c>
      <c r="AD7717" t="s">
        <v>43</v>
      </c>
      <c r="AE7717" t="s">
        <v>43</v>
      </c>
      <c r="AF7717" t="s">
        <v>43</v>
      </c>
      <c r="AG7717" t="s">
        <v>43</v>
      </c>
      <c r="AH7717" t="s">
        <v>43</v>
      </c>
      <c r="AI7717" t="s">
        <v>43</v>
      </c>
      <c r="AJ7717" t="s">
        <v>43</v>
      </c>
      <c r="AK7717" t="s">
        <v>43</v>
      </c>
      <c r="AL7717" t="s">
        <v>43</v>
      </c>
      <c r="AM7717" t="s">
        <v>43</v>
      </c>
      <c r="AN7717" t="str">
        <f>HYPERLINK("https://www.google.com/maps?q=10.7896862,79.57876587","Open Location")</f>
        <v>Open Location</v>
      </c>
    </row>
    <row r="7718" spans="1:40" x14ac:dyDescent="0.3">
      <c r="A7718" s="1">
        <v>46210.10601851852</v>
      </c>
      <c r="B7718" t="s">
        <v>40</v>
      </c>
      <c r="C7718" t="s">
        <v>41</v>
      </c>
      <c r="D7718" s="1">
        <v>46210.109016203707</v>
      </c>
      <c r="E7718" t="s">
        <v>42</v>
      </c>
      <c r="F7718" t="s">
        <v>43</v>
      </c>
      <c r="G7718" t="s">
        <v>43</v>
      </c>
      <c r="H7718" t="s">
        <v>43</v>
      </c>
      <c r="I7718" t="s">
        <v>43</v>
      </c>
      <c r="J7718" t="s">
        <v>43</v>
      </c>
      <c r="K7718" t="s">
        <v>43</v>
      </c>
      <c r="L7718" t="s">
        <v>43</v>
      </c>
      <c r="M7718" t="s">
        <v>43</v>
      </c>
      <c r="N7718" t="s">
        <v>45</v>
      </c>
      <c r="O7718" t="s">
        <v>43</v>
      </c>
      <c r="P7718" t="s">
        <v>43</v>
      </c>
      <c r="Q7718" t="s">
        <v>43</v>
      </c>
      <c r="R7718" t="s">
        <v>43</v>
      </c>
      <c r="S7718" t="s">
        <v>43</v>
      </c>
      <c r="T7718" t="s">
        <v>43</v>
      </c>
      <c r="U7718" t="s">
        <v>43</v>
      </c>
      <c r="V7718" t="s">
        <v>43</v>
      </c>
      <c r="W7718" t="s">
        <v>43</v>
      </c>
      <c r="X7718" t="s">
        <v>43</v>
      </c>
      <c r="Y7718" t="s">
        <v>43</v>
      </c>
      <c r="Z7718" t="s">
        <v>43</v>
      </c>
      <c r="AA7718" t="s">
        <v>43</v>
      </c>
      <c r="AB7718" t="s">
        <v>43</v>
      </c>
      <c r="AC7718" t="s">
        <v>43</v>
      </c>
      <c r="AD7718" t="s">
        <v>43</v>
      </c>
      <c r="AE7718" t="s">
        <v>43</v>
      </c>
      <c r="AF7718" t="s">
        <v>43</v>
      </c>
      <c r="AG7718" t="s">
        <v>43</v>
      </c>
      <c r="AH7718" t="s">
        <v>43</v>
      </c>
      <c r="AI7718" t="s">
        <v>43</v>
      </c>
      <c r="AJ7718" t="s">
        <v>43</v>
      </c>
      <c r="AK7718" t="s">
        <v>43</v>
      </c>
      <c r="AL7718" t="s">
        <v>43</v>
      </c>
      <c r="AM7718" t="s">
        <v>43</v>
      </c>
      <c r="AN7718" t="s">
        <v>43</v>
      </c>
    </row>
    <row r="7719" spans="1:40" x14ac:dyDescent="0.3">
      <c r="A7719" s="1">
        <v>46210.105902777781</v>
      </c>
      <c r="B7719" t="s">
        <v>40</v>
      </c>
      <c r="C7719" t="s">
        <v>41</v>
      </c>
      <c r="D7719" s="1">
        <v>46210.109016203707</v>
      </c>
      <c r="E7719" t="s">
        <v>42</v>
      </c>
      <c r="F7719" t="s">
        <v>43</v>
      </c>
      <c r="G7719" t="s">
        <v>43</v>
      </c>
      <c r="H7719" t="s">
        <v>43</v>
      </c>
      <c r="I7719" t="s">
        <v>4338</v>
      </c>
      <c r="J7719" t="s">
        <v>43</v>
      </c>
      <c r="K7719" t="s">
        <v>43</v>
      </c>
      <c r="L7719" t="s">
        <v>43</v>
      </c>
      <c r="M7719" t="s">
        <v>43</v>
      </c>
      <c r="N7719" t="s">
        <v>45</v>
      </c>
      <c r="O7719" t="s">
        <v>43</v>
      </c>
      <c r="P7719" t="s">
        <v>43</v>
      </c>
      <c r="Q7719" t="s">
        <v>43</v>
      </c>
      <c r="R7719" t="s">
        <v>43</v>
      </c>
      <c r="S7719" t="s">
        <v>43</v>
      </c>
      <c r="T7719" t="s">
        <v>43</v>
      </c>
      <c r="U7719" t="s">
        <v>43</v>
      </c>
      <c r="V7719" t="s">
        <v>43</v>
      </c>
      <c r="W7719" t="s">
        <v>43</v>
      </c>
      <c r="X7719" t="s">
        <v>43</v>
      </c>
      <c r="Y7719" t="s">
        <v>43</v>
      </c>
      <c r="Z7719" t="s">
        <v>43</v>
      </c>
      <c r="AA7719" t="s">
        <v>43</v>
      </c>
      <c r="AB7719" t="s">
        <v>43</v>
      </c>
      <c r="AC7719" t="s">
        <v>43</v>
      </c>
      <c r="AD7719" t="s">
        <v>43</v>
      </c>
      <c r="AE7719" t="s">
        <v>43</v>
      </c>
      <c r="AF7719" t="s">
        <v>43</v>
      </c>
      <c r="AG7719" t="s">
        <v>43</v>
      </c>
      <c r="AH7719" t="s">
        <v>43</v>
      </c>
      <c r="AI7719" t="s">
        <v>43</v>
      </c>
      <c r="AJ7719" t="s">
        <v>43</v>
      </c>
      <c r="AK7719" t="s">
        <v>43</v>
      </c>
      <c r="AL7719" t="s">
        <v>43</v>
      </c>
      <c r="AM7719" t="s">
        <v>43</v>
      </c>
      <c r="AN7719" t="str">
        <f>HYPERLINK("https://www.google.com/maps?q=10.78968811,79.57876587","Open Location")</f>
        <v>Open Location</v>
      </c>
    </row>
    <row r="7720" spans="1:40" x14ac:dyDescent="0.3">
      <c r="A7720" s="1">
        <v>46210.105787037035</v>
      </c>
      <c r="B7720" t="s">
        <v>40</v>
      </c>
      <c r="C7720" t="s">
        <v>41</v>
      </c>
      <c r="D7720" s="1">
        <v>46210.108657407407</v>
      </c>
      <c r="E7720" t="s">
        <v>42</v>
      </c>
      <c r="F7720" t="s">
        <v>43</v>
      </c>
      <c r="G7720" t="s">
        <v>43</v>
      </c>
      <c r="H7720" t="s">
        <v>43</v>
      </c>
      <c r="I7720" t="s">
        <v>4339</v>
      </c>
      <c r="J7720" t="s">
        <v>43</v>
      </c>
      <c r="K7720" t="s">
        <v>43</v>
      </c>
      <c r="L7720" t="s">
        <v>43</v>
      </c>
      <c r="M7720" t="s">
        <v>43</v>
      </c>
      <c r="N7720" t="s">
        <v>45</v>
      </c>
      <c r="O7720" t="s">
        <v>43</v>
      </c>
      <c r="P7720" t="s">
        <v>43</v>
      </c>
      <c r="Q7720" t="s">
        <v>43</v>
      </c>
      <c r="R7720" t="s">
        <v>43</v>
      </c>
      <c r="S7720" t="s">
        <v>43</v>
      </c>
      <c r="T7720" t="s">
        <v>43</v>
      </c>
      <c r="U7720" t="s">
        <v>43</v>
      </c>
      <c r="V7720" t="s">
        <v>43</v>
      </c>
      <c r="W7720" t="s">
        <v>43</v>
      </c>
      <c r="X7720" t="s">
        <v>43</v>
      </c>
      <c r="Y7720" t="s">
        <v>43</v>
      </c>
      <c r="Z7720" t="s">
        <v>43</v>
      </c>
      <c r="AA7720" t="s">
        <v>43</v>
      </c>
      <c r="AB7720" t="s">
        <v>43</v>
      </c>
      <c r="AC7720" t="s">
        <v>43</v>
      </c>
      <c r="AD7720" t="s">
        <v>43</v>
      </c>
      <c r="AE7720" t="s">
        <v>43</v>
      </c>
      <c r="AF7720" t="s">
        <v>43</v>
      </c>
      <c r="AG7720" t="s">
        <v>43</v>
      </c>
      <c r="AH7720" t="s">
        <v>43</v>
      </c>
      <c r="AI7720" t="s">
        <v>43</v>
      </c>
      <c r="AJ7720" t="s">
        <v>43</v>
      </c>
      <c r="AK7720" t="s">
        <v>43</v>
      </c>
      <c r="AL7720" t="s">
        <v>43</v>
      </c>
      <c r="AM7720" t="s">
        <v>43</v>
      </c>
      <c r="AN7720" t="str">
        <f>HYPERLINK("https://www.google.com/maps?q=10.78969193,79.57876587","Open Location")</f>
        <v>Open Location</v>
      </c>
    </row>
    <row r="7721" spans="1:40" x14ac:dyDescent="0.3">
      <c r="A7721" s="1">
        <v>46210.105671296296</v>
      </c>
      <c r="B7721" t="s">
        <v>40</v>
      </c>
      <c r="C7721" t="s">
        <v>41</v>
      </c>
      <c r="D7721" s="1">
        <v>46210.108657407407</v>
      </c>
      <c r="E7721" t="s">
        <v>42</v>
      </c>
      <c r="F7721" t="s">
        <v>43</v>
      </c>
      <c r="G7721" t="s">
        <v>43</v>
      </c>
      <c r="H7721" t="s">
        <v>43</v>
      </c>
      <c r="I7721" t="s">
        <v>4306</v>
      </c>
      <c r="J7721" t="s">
        <v>43</v>
      </c>
      <c r="K7721" t="s">
        <v>43</v>
      </c>
      <c r="L7721" t="s">
        <v>43</v>
      </c>
      <c r="M7721" t="s">
        <v>43</v>
      </c>
      <c r="N7721" t="s">
        <v>45</v>
      </c>
      <c r="O7721" t="s">
        <v>43</v>
      </c>
      <c r="P7721" t="s">
        <v>43</v>
      </c>
      <c r="Q7721" t="s">
        <v>43</v>
      </c>
      <c r="R7721" t="s">
        <v>43</v>
      </c>
      <c r="S7721" t="s">
        <v>43</v>
      </c>
      <c r="T7721" t="s">
        <v>43</v>
      </c>
      <c r="U7721" t="s">
        <v>43</v>
      </c>
      <c r="V7721" t="s">
        <v>43</v>
      </c>
      <c r="W7721" t="s">
        <v>43</v>
      </c>
      <c r="X7721" t="s">
        <v>43</v>
      </c>
      <c r="Y7721" t="s">
        <v>43</v>
      </c>
      <c r="Z7721" t="s">
        <v>43</v>
      </c>
      <c r="AA7721" t="s">
        <v>43</v>
      </c>
      <c r="AB7721" t="s">
        <v>43</v>
      </c>
      <c r="AC7721" t="s">
        <v>43</v>
      </c>
      <c r="AD7721" t="s">
        <v>43</v>
      </c>
      <c r="AE7721" t="s">
        <v>43</v>
      </c>
      <c r="AF7721" t="s">
        <v>43</v>
      </c>
      <c r="AG7721" t="s">
        <v>43</v>
      </c>
      <c r="AH7721" t="s">
        <v>43</v>
      </c>
      <c r="AI7721" t="s">
        <v>43</v>
      </c>
      <c r="AJ7721" t="s">
        <v>43</v>
      </c>
      <c r="AK7721" t="s">
        <v>43</v>
      </c>
      <c r="AL7721" t="s">
        <v>43</v>
      </c>
      <c r="AM7721" t="s">
        <v>43</v>
      </c>
      <c r="AN7721" t="str">
        <f>HYPERLINK("https://www.google.com/maps?q=10.78969097,79.57876587","Open Location")</f>
        <v>Open Location</v>
      </c>
    </row>
    <row r="7722" spans="1:40" x14ac:dyDescent="0.3">
      <c r="A7722" s="1">
        <v>46210.105555555558</v>
      </c>
      <c r="B7722" t="s">
        <v>40</v>
      </c>
      <c r="C7722" t="s">
        <v>41</v>
      </c>
      <c r="D7722" s="1">
        <v>46210.108657407407</v>
      </c>
      <c r="E7722" t="s">
        <v>42</v>
      </c>
      <c r="F7722" t="s">
        <v>43</v>
      </c>
      <c r="G7722" t="s">
        <v>43</v>
      </c>
      <c r="H7722" t="s">
        <v>43</v>
      </c>
      <c r="I7722" t="s">
        <v>4339</v>
      </c>
      <c r="J7722" t="s">
        <v>43</v>
      </c>
      <c r="K7722" t="s">
        <v>43</v>
      </c>
      <c r="L7722" t="s">
        <v>43</v>
      </c>
      <c r="M7722" t="s">
        <v>43</v>
      </c>
      <c r="N7722" t="s">
        <v>45</v>
      </c>
      <c r="O7722" t="s">
        <v>43</v>
      </c>
      <c r="P7722" t="s">
        <v>43</v>
      </c>
      <c r="Q7722" t="s">
        <v>43</v>
      </c>
      <c r="R7722" t="s">
        <v>43</v>
      </c>
      <c r="S7722" t="s">
        <v>43</v>
      </c>
      <c r="T7722" t="s">
        <v>43</v>
      </c>
      <c r="U7722" t="s">
        <v>43</v>
      </c>
      <c r="V7722" t="s">
        <v>43</v>
      </c>
      <c r="W7722" t="s">
        <v>43</v>
      </c>
      <c r="X7722" t="s">
        <v>43</v>
      </c>
      <c r="Y7722" t="s">
        <v>43</v>
      </c>
      <c r="Z7722" t="s">
        <v>43</v>
      </c>
      <c r="AA7722" t="s">
        <v>43</v>
      </c>
      <c r="AB7722" t="s">
        <v>43</v>
      </c>
      <c r="AC7722" t="s">
        <v>43</v>
      </c>
      <c r="AD7722" t="s">
        <v>43</v>
      </c>
      <c r="AE7722" t="s">
        <v>43</v>
      </c>
      <c r="AF7722" t="s">
        <v>43</v>
      </c>
      <c r="AG7722" t="s">
        <v>43</v>
      </c>
      <c r="AH7722" t="s">
        <v>43</v>
      </c>
      <c r="AI7722" t="s">
        <v>43</v>
      </c>
      <c r="AJ7722" t="s">
        <v>43</v>
      </c>
      <c r="AK7722" t="s">
        <v>43</v>
      </c>
      <c r="AL7722" t="s">
        <v>43</v>
      </c>
      <c r="AM7722" t="s">
        <v>43</v>
      </c>
      <c r="AN7722" t="str">
        <f>HYPERLINK("https://www.google.com/maps?q=10.78969193,79.57876587","Open Location")</f>
        <v>Open Location</v>
      </c>
    </row>
    <row r="7723" spans="1:40" x14ac:dyDescent="0.3">
      <c r="A7723" s="1">
        <v>46210.105439814812</v>
      </c>
      <c r="B7723" t="s">
        <v>40</v>
      </c>
      <c r="C7723" t="s">
        <v>41</v>
      </c>
      <c r="D7723" s="1">
        <v>46210.108460648145</v>
      </c>
      <c r="E7723" t="s">
        <v>42</v>
      </c>
      <c r="F7723" t="s">
        <v>43</v>
      </c>
      <c r="G7723" t="s">
        <v>43</v>
      </c>
      <c r="H7723" t="s">
        <v>43</v>
      </c>
      <c r="I7723" t="s">
        <v>4340</v>
      </c>
      <c r="J7723" t="s">
        <v>43</v>
      </c>
      <c r="K7723" t="s">
        <v>43</v>
      </c>
      <c r="L7723" t="s">
        <v>43</v>
      </c>
      <c r="M7723" t="s">
        <v>43</v>
      </c>
      <c r="N7723" t="s">
        <v>45</v>
      </c>
      <c r="O7723" t="s">
        <v>43</v>
      </c>
      <c r="P7723" t="s">
        <v>43</v>
      </c>
      <c r="Q7723" t="s">
        <v>43</v>
      </c>
      <c r="R7723" t="s">
        <v>43</v>
      </c>
      <c r="S7723" t="s">
        <v>43</v>
      </c>
      <c r="T7723" t="s">
        <v>43</v>
      </c>
      <c r="U7723" t="s">
        <v>43</v>
      </c>
      <c r="V7723" t="s">
        <v>43</v>
      </c>
      <c r="W7723" t="s">
        <v>43</v>
      </c>
      <c r="X7723" t="s">
        <v>43</v>
      </c>
      <c r="Y7723" t="s">
        <v>43</v>
      </c>
      <c r="Z7723" t="s">
        <v>43</v>
      </c>
      <c r="AA7723" t="s">
        <v>43</v>
      </c>
      <c r="AB7723" t="s">
        <v>43</v>
      </c>
      <c r="AC7723" t="s">
        <v>43</v>
      </c>
      <c r="AD7723" t="s">
        <v>43</v>
      </c>
      <c r="AE7723" t="s">
        <v>43</v>
      </c>
      <c r="AF7723" t="s">
        <v>43</v>
      </c>
      <c r="AG7723" t="s">
        <v>43</v>
      </c>
      <c r="AH7723" t="s">
        <v>43</v>
      </c>
      <c r="AI7723" t="s">
        <v>43</v>
      </c>
      <c r="AJ7723" t="s">
        <v>43</v>
      </c>
      <c r="AK7723" t="s">
        <v>43</v>
      </c>
      <c r="AL7723" t="s">
        <v>43</v>
      </c>
      <c r="AM7723" t="s">
        <v>43</v>
      </c>
      <c r="AN7723" t="str">
        <f>HYPERLINK("https://www.google.com/maps?q=10.78969383,79.57876587","Open Location")</f>
        <v>Open Location</v>
      </c>
    </row>
    <row r="7724" spans="1:40" x14ac:dyDescent="0.3">
      <c r="A7724" s="1">
        <v>46210.105324074073</v>
      </c>
      <c r="B7724" t="s">
        <v>40</v>
      </c>
      <c r="C7724" t="s">
        <v>41</v>
      </c>
      <c r="D7724" s="1">
        <v>46210.108310185184</v>
      </c>
      <c r="E7724" t="s">
        <v>42</v>
      </c>
      <c r="F7724" t="s">
        <v>43</v>
      </c>
      <c r="G7724" t="s">
        <v>43</v>
      </c>
      <c r="H7724" t="s">
        <v>43</v>
      </c>
      <c r="I7724" t="s">
        <v>43</v>
      </c>
      <c r="J7724" t="s">
        <v>43</v>
      </c>
      <c r="K7724" t="s">
        <v>43</v>
      </c>
      <c r="L7724" t="s">
        <v>43</v>
      </c>
      <c r="M7724" t="s">
        <v>43</v>
      </c>
      <c r="N7724" t="s">
        <v>45</v>
      </c>
      <c r="O7724" t="s">
        <v>43</v>
      </c>
      <c r="P7724" t="s">
        <v>43</v>
      </c>
      <c r="Q7724" t="s">
        <v>43</v>
      </c>
      <c r="R7724" t="s">
        <v>43</v>
      </c>
      <c r="S7724" t="s">
        <v>43</v>
      </c>
      <c r="T7724" t="s">
        <v>43</v>
      </c>
      <c r="U7724" t="s">
        <v>43</v>
      </c>
      <c r="V7724" t="s">
        <v>43</v>
      </c>
      <c r="W7724" t="s">
        <v>43</v>
      </c>
      <c r="X7724" t="s">
        <v>43</v>
      </c>
      <c r="Y7724" t="s">
        <v>43</v>
      </c>
      <c r="Z7724" t="s">
        <v>43</v>
      </c>
      <c r="AA7724" t="s">
        <v>43</v>
      </c>
      <c r="AB7724" t="s">
        <v>43</v>
      </c>
      <c r="AC7724" t="s">
        <v>43</v>
      </c>
      <c r="AD7724" t="s">
        <v>43</v>
      </c>
      <c r="AE7724" t="s">
        <v>43</v>
      </c>
      <c r="AF7724" t="s">
        <v>43</v>
      </c>
      <c r="AG7724" t="s">
        <v>43</v>
      </c>
      <c r="AH7724" t="s">
        <v>43</v>
      </c>
      <c r="AI7724" t="s">
        <v>43</v>
      </c>
      <c r="AJ7724" t="s">
        <v>43</v>
      </c>
      <c r="AK7724" t="s">
        <v>43</v>
      </c>
      <c r="AL7724" t="s">
        <v>43</v>
      </c>
      <c r="AM7724" t="s">
        <v>43</v>
      </c>
      <c r="AN7724" t="s">
        <v>43</v>
      </c>
    </row>
    <row r="7725" spans="1:40" x14ac:dyDescent="0.3">
      <c r="A7725" s="1">
        <v>46210.105208333334</v>
      </c>
      <c r="B7725" t="s">
        <v>40</v>
      </c>
      <c r="C7725" t="s">
        <v>41</v>
      </c>
      <c r="D7725" s="1">
        <v>46210.108518518522</v>
      </c>
      <c r="E7725" t="s">
        <v>42</v>
      </c>
      <c r="F7725" t="s">
        <v>43</v>
      </c>
      <c r="G7725" t="s">
        <v>43</v>
      </c>
      <c r="H7725" t="s">
        <v>43</v>
      </c>
      <c r="I7725" t="s">
        <v>4341</v>
      </c>
      <c r="J7725" t="s">
        <v>43</v>
      </c>
      <c r="K7725" t="s">
        <v>43</v>
      </c>
      <c r="L7725" t="s">
        <v>43</v>
      </c>
      <c r="M7725" t="s">
        <v>43</v>
      </c>
      <c r="N7725" t="s">
        <v>45</v>
      </c>
      <c r="O7725" t="s">
        <v>43</v>
      </c>
      <c r="P7725" t="s">
        <v>43</v>
      </c>
      <c r="Q7725" t="s">
        <v>43</v>
      </c>
      <c r="R7725" t="s">
        <v>43</v>
      </c>
      <c r="S7725" t="s">
        <v>43</v>
      </c>
      <c r="T7725" t="s">
        <v>43</v>
      </c>
      <c r="U7725" t="s">
        <v>43</v>
      </c>
      <c r="V7725" t="s">
        <v>43</v>
      </c>
      <c r="W7725" t="s">
        <v>43</v>
      </c>
      <c r="X7725" t="s">
        <v>43</v>
      </c>
      <c r="Y7725" t="s">
        <v>43</v>
      </c>
      <c r="Z7725" t="s">
        <v>43</v>
      </c>
      <c r="AA7725" t="s">
        <v>43</v>
      </c>
      <c r="AB7725" t="s">
        <v>43</v>
      </c>
      <c r="AC7725" t="s">
        <v>43</v>
      </c>
      <c r="AD7725" t="s">
        <v>43</v>
      </c>
      <c r="AE7725" t="s">
        <v>43</v>
      </c>
      <c r="AF7725" t="s">
        <v>43</v>
      </c>
      <c r="AG7725" t="s">
        <v>43</v>
      </c>
      <c r="AH7725" t="s">
        <v>43</v>
      </c>
      <c r="AI7725" t="s">
        <v>43</v>
      </c>
      <c r="AJ7725" t="s">
        <v>43</v>
      </c>
      <c r="AK7725" t="s">
        <v>43</v>
      </c>
      <c r="AL7725" t="s">
        <v>43</v>
      </c>
      <c r="AM7725" t="s">
        <v>43</v>
      </c>
      <c r="AN7725" t="str">
        <f>HYPERLINK("https://www.google.com/maps?q=10.7896862,79.5787735","Open Location")</f>
        <v>Open Location</v>
      </c>
    </row>
    <row r="7726" spans="1:40" x14ac:dyDescent="0.3">
      <c r="A7726" s="1">
        <v>46210.105092592596</v>
      </c>
      <c r="B7726" t="s">
        <v>40</v>
      </c>
      <c r="C7726" t="s">
        <v>41</v>
      </c>
      <c r="D7726" s="1">
        <v>46210.108136574076</v>
      </c>
      <c r="E7726" t="s">
        <v>42</v>
      </c>
      <c r="F7726" t="s">
        <v>43</v>
      </c>
      <c r="G7726" t="s">
        <v>43</v>
      </c>
      <c r="H7726" t="s">
        <v>43</v>
      </c>
      <c r="I7726" t="s">
        <v>4318</v>
      </c>
      <c r="J7726" t="s">
        <v>43</v>
      </c>
      <c r="K7726" t="s">
        <v>43</v>
      </c>
      <c r="L7726" t="s">
        <v>43</v>
      </c>
      <c r="M7726" t="s">
        <v>43</v>
      </c>
      <c r="N7726" t="s">
        <v>45</v>
      </c>
      <c r="O7726" t="s">
        <v>43</v>
      </c>
      <c r="P7726" t="s">
        <v>43</v>
      </c>
      <c r="Q7726" t="s">
        <v>43</v>
      </c>
      <c r="R7726" t="s">
        <v>43</v>
      </c>
      <c r="S7726" t="s">
        <v>43</v>
      </c>
      <c r="T7726" t="s">
        <v>43</v>
      </c>
      <c r="U7726" t="s">
        <v>43</v>
      </c>
      <c r="V7726" t="s">
        <v>43</v>
      </c>
      <c r="W7726" t="s">
        <v>43</v>
      </c>
      <c r="X7726" t="s">
        <v>43</v>
      </c>
      <c r="Y7726" t="s">
        <v>43</v>
      </c>
      <c r="Z7726" t="s">
        <v>43</v>
      </c>
      <c r="AA7726" t="s">
        <v>43</v>
      </c>
      <c r="AB7726" t="s">
        <v>43</v>
      </c>
      <c r="AC7726" t="s">
        <v>43</v>
      </c>
      <c r="AD7726" t="s">
        <v>43</v>
      </c>
      <c r="AE7726" t="s">
        <v>43</v>
      </c>
      <c r="AF7726" t="s">
        <v>43</v>
      </c>
      <c r="AG7726" t="s">
        <v>43</v>
      </c>
      <c r="AH7726" t="s">
        <v>43</v>
      </c>
      <c r="AI7726" t="s">
        <v>43</v>
      </c>
      <c r="AJ7726" t="s">
        <v>43</v>
      </c>
      <c r="AK7726" t="s">
        <v>43</v>
      </c>
      <c r="AL7726" t="s">
        <v>43</v>
      </c>
      <c r="AM7726" t="s">
        <v>43</v>
      </c>
      <c r="AN7726" t="str">
        <f>HYPERLINK("https://www.google.com/maps?q=10.78968334,79.5787735","Open Location")</f>
        <v>Open Location</v>
      </c>
    </row>
    <row r="7727" spans="1:40" x14ac:dyDescent="0.3">
      <c r="A7727" s="1">
        <v>46210.10497685185</v>
      </c>
      <c r="B7727" t="s">
        <v>40</v>
      </c>
      <c r="C7727" t="s">
        <v>41</v>
      </c>
      <c r="D7727" s="1">
        <v>46210.107939814814</v>
      </c>
      <c r="E7727" t="s">
        <v>42</v>
      </c>
      <c r="F7727" t="s">
        <v>43</v>
      </c>
      <c r="G7727" t="s">
        <v>43</v>
      </c>
      <c r="H7727" t="s">
        <v>43</v>
      </c>
      <c r="I7727" t="s">
        <v>4342</v>
      </c>
      <c r="J7727" t="s">
        <v>43</v>
      </c>
      <c r="K7727" t="s">
        <v>43</v>
      </c>
      <c r="L7727" t="s">
        <v>43</v>
      </c>
      <c r="M7727" t="s">
        <v>43</v>
      </c>
      <c r="N7727" t="s">
        <v>45</v>
      </c>
      <c r="O7727" t="s">
        <v>43</v>
      </c>
      <c r="P7727" t="s">
        <v>43</v>
      </c>
      <c r="Q7727" t="s">
        <v>43</v>
      </c>
      <c r="R7727" t="s">
        <v>43</v>
      </c>
      <c r="S7727" t="s">
        <v>43</v>
      </c>
      <c r="T7727" t="s">
        <v>43</v>
      </c>
      <c r="U7727" t="s">
        <v>43</v>
      </c>
      <c r="V7727" t="s">
        <v>43</v>
      </c>
      <c r="W7727" t="s">
        <v>43</v>
      </c>
      <c r="X7727" t="s">
        <v>43</v>
      </c>
      <c r="Y7727" t="s">
        <v>43</v>
      </c>
      <c r="Z7727" t="s">
        <v>43</v>
      </c>
      <c r="AA7727" t="s">
        <v>43</v>
      </c>
      <c r="AB7727" t="s">
        <v>43</v>
      </c>
      <c r="AC7727" t="s">
        <v>43</v>
      </c>
      <c r="AD7727" t="s">
        <v>43</v>
      </c>
      <c r="AE7727" t="s">
        <v>43</v>
      </c>
      <c r="AF7727" t="s">
        <v>43</v>
      </c>
      <c r="AG7727" t="s">
        <v>43</v>
      </c>
      <c r="AH7727" t="s">
        <v>43</v>
      </c>
      <c r="AI7727" t="s">
        <v>43</v>
      </c>
      <c r="AJ7727" t="s">
        <v>43</v>
      </c>
      <c r="AK7727" t="s">
        <v>43</v>
      </c>
      <c r="AL7727" t="s">
        <v>43</v>
      </c>
      <c r="AM7727" t="s">
        <v>43</v>
      </c>
      <c r="AN7727" t="str">
        <f>HYPERLINK("https://www.google.com/maps?q=10.78967857,79.5787735","Open Location")</f>
        <v>Open Location</v>
      </c>
    </row>
    <row r="7728" spans="1:40" x14ac:dyDescent="0.3">
      <c r="A7728" s="1">
        <v>46210.104861111111</v>
      </c>
      <c r="B7728" t="s">
        <v>40</v>
      </c>
      <c r="C7728" t="s">
        <v>41</v>
      </c>
      <c r="D7728" s="1">
        <v>46210.107893518521</v>
      </c>
      <c r="E7728" t="s">
        <v>42</v>
      </c>
      <c r="F7728" t="s">
        <v>43</v>
      </c>
      <c r="G7728" t="s">
        <v>43</v>
      </c>
      <c r="H7728" t="s">
        <v>43</v>
      </c>
      <c r="I7728" t="s">
        <v>4032</v>
      </c>
      <c r="J7728" t="s">
        <v>43</v>
      </c>
      <c r="K7728" t="s">
        <v>43</v>
      </c>
      <c r="L7728" t="s">
        <v>43</v>
      </c>
      <c r="M7728" t="s">
        <v>43</v>
      </c>
      <c r="N7728" t="s">
        <v>45</v>
      </c>
      <c r="O7728" t="s">
        <v>43</v>
      </c>
      <c r="P7728" t="s">
        <v>43</v>
      </c>
      <c r="Q7728" t="s">
        <v>43</v>
      </c>
      <c r="R7728" t="s">
        <v>43</v>
      </c>
      <c r="S7728" t="s">
        <v>43</v>
      </c>
      <c r="T7728" t="s">
        <v>43</v>
      </c>
      <c r="U7728" t="s">
        <v>43</v>
      </c>
      <c r="V7728" t="s">
        <v>43</v>
      </c>
      <c r="W7728" t="s">
        <v>43</v>
      </c>
      <c r="X7728" t="s">
        <v>43</v>
      </c>
      <c r="Y7728" t="s">
        <v>43</v>
      </c>
      <c r="Z7728" t="s">
        <v>43</v>
      </c>
      <c r="AA7728" t="s">
        <v>43</v>
      </c>
      <c r="AB7728" t="s">
        <v>43</v>
      </c>
      <c r="AC7728" t="s">
        <v>43</v>
      </c>
      <c r="AD7728" t="s">
        <v>43</v>
      </c>
      <c r="AE7728" t="s">
        <v>43</v>
      </c>
      <c r="AF7728" t="s">
        <v>43</v>
      </c>
      <c r="AG7728" t="s">
        <v>43</v>
      </c>
      <c r="AH7728" t="s">
        <v>43</v>
      </c>
      <c r="AI7728" t="s">
        <v>43</v>
      </c>
      <c r="AJ7728" t="s">
        <v>43</v>
      </c>
      <c r="AK7728" t="s">
        <v>43</v>
      </c>
      <c r="AL7728" t="s">
        <v>43</v>
      </c>
      <c r="AM7728" t="s">
        <v>43</v>
      </c>
      <c r="AN7728" t="str">
        <f>HYPERLINK("https://www.google.com/maps?q=10.78967571,79.5787735","Open Location")</f>
        <v>Open Location</v>
      </c>
    </row>
    <row r="7729" spans="1:40" x14ac:dyDescent="0.3">
      <c r="A7729" s="1">
        <v>46210.104745370372</v>
      </c>
      <c r="B7729" t="s">
        <v>40</v>
      </c>
      <c r="C7729" t="s">
        <v>41</v>
      </c>
      <c r="D7729" s="1">
        <v>46210.107754629629</v>
      </c>
      <c r="E7729" t="s">
        <v>42</v>
      </c>
      <c r="F7729" t="s">
        <v>43</v>
      </c>
      <c r="G7729" t="s">
        <v>43</v>
      </c>
      <c r="H7729" t="s">
        <v>43</v>
      </c>
      <c r="I7729" t="s">
        <v>43</v>
      </c>
      <c r="J7729" t="s">
        <v>43</v>
      </c>
      <c r="K7729" t="s">
        <v>43</v>
      </c>
      <c r="L7729" t="s">
        <v>43</v>
      </c>
      <c r="M7729" t="s">
        <v>43</v>
      </c>
      <c r="N7729" t="s">
        <v>45</v>
      </c>
      <c r="O7729" t="s">
        <v>43</v>
      </c>
      <c r="P7729" t="s">
        <v>43</v>
      </c>
      <c r="Q7729" t="s">
        <v>43</v>
      </c>
      <c r="R7729" t="s">
        <v>43</v>
      </c>
      <c r="S7729" t="s">
        <v>43</v>
      </c>
      <c r="T7729" t="s">
        <v>43</v>
      </c>
      <c r="U7729" t="s">
        <v>43</v>
      </c>
      <c r="V7729" t="s">
        <v>43</v>
      </c>
      <c r="W7729" t="s">
        <v>43</v>
      </c>
      <c r="X7729" t="s">
        <v>43</v>
      </c>
      <c r="Y7729" t="s">
        <v>43</v>
      </c>
      <c r="Z7729" t="s">
        <v>43</v>
      </c>
      <c r="AA7729" t="s">
        <v>43</v>
      </c>
      <c r="AB7729" t="s">
        <v>43</v>
      </c>
      <c r="AC7729" t="s">
        <v>43</v>
      </c>
      <c r="AD7729" t="s">
        <v>43</v>
      </c>
      <c r="AE7729" t="s">
        <v>43</v>
      </c>
      <c r="AF7729" t="s">
        <v>43</v>
      </c>
      <c r="AG7729" t="s">
        <v>43</v>
      </c>
      <c r="AH7729" t="s">
        <v>43</v>
      </c>
      <c r="AI7729" t="s">
        <v>43</v>
      </c>
      <c r="AJ7729" t="s">
        <v>43</v>
      </c>
      <c r="AK7729" t="s">
        <v>43</v>
      </c>
      <c r="AL7729" t="s">
        <v>43</v>
      </c>
      <c r="AM7729" t="s">
        <v>43</v>
      </c>
      <c r="AN7729" t="s">
        <v>43</v>
      </c>
    </row>
    <row r="7730" spans="1:40" x14ac:dyDescent="0.3">
      <c r="A7730" s="1">
        <v>46210.104629629626</v>
      </c>
      <c r="B7730" t="s">
        <v>40</v>
      </c>
      <c r="C7730" t="s">
        <v>41</v>
      </c>
      <c r="D7730" s="1">
        <v>46210.107523148145</v>
      </c>
      <c r="E7730" t="s">
        <v>42</v>
      </c>
      <c r="F7730" t="s">
        <v>43</v>
      </c>
      <c r="G7730" t="s">
        <v>43</v>
      </c>
      <c r="H7730" t="s">
        <v>43</v>
      </c>
      <c r="I7730" t="s">
        <v>4343</v>
      </c>
      <c r="J7730" t="s">
        <v>43</v>
      </c>
      <c r="K7730" t="s">
        <v>43</v>
      </c>
      <c r="L7730" t="s">
        <v>43</v>
      </c>
      <c r="M7730" t="s">
        <v>43</v>
      </c>
      <c r="N7730" t="s">
        <v>45</v>
      </c>
      <c r="O7730" t="s">
        <v>43</v>
      </c>
      <c r="P7730" t="s">
        <v>43</v>
      </c>
      <c r="Q7730" t="s">
        <v>43</v>
      </c>
      <c r="R7730" t="s">
        <v>43</v>
      </c>
      <c r="S7730" t="s">
        <v>43</v>
      </c>
      <c r="T7730" t="s">
        <v>43</v>
      </c>
      <c r="U7730" t="s">
        <v>43</v>
      </c>
      <c r="V7730" t="s">
        <v>43</v>
      </c>
      <c r="W7730" t="s">
        <v>43</v>
      </c>
      <c r="X7730" t="s">
        <v>43</v>
      </c>
      <c r="Y7730" t="s">
        <v>43</v>
      </c>
      <c r="Z7730" t="s">
        <v>43</v>
      </c>
      <c r="AA7730" t="s">
        <v>43</v>
      </c>
      <c r="AB7730" t="s">
        <v>43</v>
      </c>
      <c r="AC7730" t="s">
        <v>43</v>
      </c>
      <c r="AD7730" t="s">
        <v>43</v>
      </c>
      <c r="AE7730" t="s">
        <v>43</v>
      </c>
      <c r="AF7730" t="s">
        <v>43</v>
      </c>
      <c r="AG7730" t="s">
        <v>43</v>
      </c>
      <c r="AH7730" t="s">
        <v>43</v>
      </c>
      <c r="AI7730" t="s">
        <v>43</v>
      </c>
      <c r="AJ7730" t="s">
        <v>43</v>
      </c>
      <c r="AK7730" t="s">
        <v>43</v>
      </c>
      <c r="AL7730" t="s">
        <v>43</v>
      </c>
      <c r="AM7730" t="s">
        <v>43</v>
      </c>
      <c r="AN7730" t="str">
        <f>HYPERLINK("https://www.google.com/maps?q=10.78967667,79.5787735","Open Location")</f>
        <v>Open Location</v>
      </c>
    </row>
    <row r="7731" spans="1:40" x14ac:dyDescent="0.3">
      <c r="A7731" s="1">
        <v>46210.104513888888</v>
      </c>
      <c r="B7731" t="s">
        <v>40</v>
      </c>
      <c r="C7731" t="s">
        <v>41</v>
      </c>
      <c r="D7731" s="1">
        <v>46210.107395833336</v>
      </c>
      <c r="E7731" t="s">
        <v>42</v>
      </c>
      <c r="F7731" t="s">
        <v>43</v>
      </c>
      <c r="G7731" t="s">
        <v>43</v>
      </c>
      <c r="H7731" t="s">
        <v>43</v>
      </c>
      <c r="I7731" t="s">
        <v>4238</v>
      </c>
      <c r="J7731" t="s">
        <v>43</v>
      </c>
      <c r="K7731" t="s">
        <v>43</v>
      </c>
      <c r="L7731" t="s">
        <v>43</v>
      </c>
      <c r="M7731" t="s">
        <v>43</v>
      </c>
      <c r="N7731" t="s">
        <v>45</v>
      </c>
      <c r="O7731" t="s">
        <v>43</v>
      </c>
      <c r="P7731" t="s">
        <v>43</v>
      </c>
      <c r="Q7731" t="s">
        <v>43</v>
      </c>
      <c r="R7731" t="s">
        <v>43</v>
      </c>
      <c r="S7731" t="s">
        <v>43</v>
      </c>
      <c r="T7731" t="s">
        <v>43</v>
      </c>
      <c r="U7731" t="s">
        <v>43</v>
      </c>
      <c r="V7731" t="s">
        <v>43</v>
      </c>
      <c r="W7731" t="s">
        <v>43</v>
      </c>
      <c r="X7731" t="s">
        <v>43</v>
      </c>
      <c r="Y7731" t="s">
        <v>43</v>
      </c>
      <c r="Z7731" t="s">
        <v>43</v>
      </c>
      <c r="AA7731" t="s">
        <v>43</v>
      </c>
      <c r="AB7731" t="s">
        <v>43</v>
      </c>
      <c r="AC7731" t="s">
        <v>43</v>
      </c>
      <c r="AD7731" t="s">
        <v>43</v>
      </c>
      <c r="AE7731" t="s">
        <v>43</v>
      </c>
      <c r="AF7731" t="s">
        <v>43</v>
      </c>
      <c r="AG7731" t="s">
        <v>43</v>
      </c>
      <c r="AH7731" t="s">
        <v>43</v>
      </c>
      <c r="AI7731" t="s">
        <v>43</v>
      </c>
      <c r="AJ7731" t="s">
        <v>43</v>
      </c>
      <c r="AK7731" t="s">
        <v>43</v>
      </c>
      <c r="AL7731" t="s">
        <v>43</v>
      </c>
      <c r="AM7731" t="s">
        <v>43</v>
      </c>
      <c r="AN7731" t="str">
        <f>HYPERLINK("https://www.google.com/maps?q=10.7896719,79.57876587","Open Location")</f>
        <v>Open Location</v>
      </c>
    </row>
    <row r="7732" spans="1:40" x14ac:dyDescent="0.3">
      <c r="A7732" s="1">
        <v>46210.104398148149</v>
      </c>
      <c r="B7732" t="s">
        <v>40</v>
      </c>
      <c r="C7732" t="s">
        <v>41</v>
      </c>
      <c r="D7732" s="1">
        <v>46210.107199074075</v>
      </c>
      <c r="E7732" t="s">
        <v>42</v>
      </c>
      <c r="F7732" t="s">
        <v>43</v>
      </c>
      <c r="G7732" t="s">
        <v>43</v>
      </c>
      <c r="H7732" t="s">
        <v>43</v>
      </c>
      <c r="I7732" t="s">
        <v>4344</v>
      </c>
      <c r="J7732" t="s">
        <v>43</v>
      </c>
      <c r="K7732" t="s">
        <v>43</v>
      </c>
      <c r="L7732" t="s">
        <v>43</v>
      </c>
      <c r="M7732" t="s">
        <v>43</v>
      </c>
      <c r="N7732" t="s">
        <v>45</v>
      </c>
      <c r="O7732" t="s">
        <v>43</v>
      </c>
      <c r="P7732" t="s">
        <v>43</v>
      </c>
      <c r="Q7732" t="s">
        <v>43</v>
      </c>
      <c r="R7732" t="s">
        <v>43</v>
      </c>
      <c r="S7732" t="s">
        <v>43</v>
      </c>
      <c r="T7732" t="s">
        <v>43</v>
      </c>
      <c r="U7732" t="s">
        <v>43</v>
      </c>
      <c r="V7732" t="s">
        <v>43</v>
      </c>
      <c r="W7732" t="s">
        <v>43</v>
      </c>
      <c r="X7732" t="s">
        <v>43</v>
      </c>
      <c r="Y7732" t="s">
        <v>43</v>
      </c>
      <c r="Z7732" t="s">
        <v>43</v>
      </c>
      <c r="AA7732" t="s">
        <v>43</v>
      </c>
      <c r="AB7732" t="s">
        <v>43</v>
      </c>
      <c r="AC7732" t="s">
        <v>43</v>
      </c>
      <c r="AD7732" t="s">
        <v>43</v>
      </c>
      <c r="AE7732" t="s">
        <v>43</v>
      </c>
      <c r="AF7732" t="s">
        <v>43</v>
      </c>
      <c r="AG7732" t="s">
        <v>43</v>
      </c>
      <c r="AH7732" t="s">
        <v>43</v>
      </c>
      <c r="AI7732" t="s">
        <v>43</v>
      </c>
      <c r="AJ7732" t="s">
        <v>43</v>
      </c>
      <c r="AK7732" t="s">
        <v>43</v>
      </c>
      <c r="AL7732" t="s">
        <v>43</v>
      </c>
      <c r="AM7732" t="s">
        <v>43</v>
      </c>
      <c r="AN7732" t="str">
        <f>HYPERLINK("https://www.google.com/maps?q=10.7896719,79.57875824","Open Location")</f>
        <v>Open Location</v>
      </c>
    </row>
    <row r="7733" spans="1:40" x14ac:dyDescent="0.3">
      <c r="A7733" s="1">
        <v>46210.10428240741</v>
      </c>
      <c r="B7733" t="s">
        <v>40</v>
      </c>
      <c r="C7733" t="s">
        <v>41</v>
      </c>
      <c r="D7733" s="1">
        <v>46210.107395833336</v>
      </c>
      <c r="E7733" t="s">
        <v>42</v>
      </c>
      <c r="F7733" t="s">
        <v>43</v>
      </c>
      <c r="G7733" t="s">
        <v>43</v>
      </c>
      <c r="H7733" t="s">
        <v>43</v>
      </c>
      <c r="I7733" t="s">
        <v>4239</v>
      </c>
      <c r="J7733" t="s">
        <v>43</v>
      </c>
      <c r="K7733" t="s">
        <v>43</v>
      </c>
      <c r="L7733" t="s">
        <v>43</v>
      </c>
      <c r="M7733" t="s">
        <v>43</v>
      </c>
      <c r="N7733" t="s">
        <v>45</v>
      </c>
      <c r="O7733" t="s">
        <v>43</v>
      </c>
      <c r="P7733" t="s">
        <v>43</v>
      </c>
      <c r="Q7733" t="s">
        <v>43</v>
      </c>
      <c r="R7733" t="s">
        <v>43</v>
      </c>
      <c r="S7733" t="s">
        <v>43</v>
      </c>
      <c r="T7733" t="s">
        <v>43</v>
      </c>
      <c r="U7733" t="s">
        <v>43</v>
      </c>
      <c r="V7733" t="s">
        <v>43</v>
      </c>
      <c r="W7733" t="s">
        <v>43</v>
      </c>
      <c r="X7733" t="s">
        <v>43</v>
      </c>
      <c r="Y7733" t="s">
        <v>43</v>
      </c>
      <c r="Z7733" t="s">
        <v>43</v>
      </c>
      <c r="AA7733" t="s">
        <v>43</v>
      </c>
      <c r="AB7733" t="s">
        <v>43</v>
      </c>
      <c r="AC7733" t="s">
        <v>43</v>
      </c>
      <c r="AD7733" t="s">
        <v>43</v>
      </c>
      <c r="AE7733" t="s">
        <v>43</v>
      </c>
      <c r="AF7733" t="s">
        <v>43</v>
      </c>
      <c r="AG7733" t="s">
        <v>43</v>
      </c>
      <c r="AH7733" t="s">
        <v>43</v>
      </c>
      <c r="AI7733" t="s">
        <v>43</v>
      </c>
      <c r="AJ7733" t="s">
        <v>43</v>
      </c>
      <c r="AK7733" t="s">
        <v>43</v>
      </c>
      <c r="AL7733" t="s">
        <v>43</v>
      </c>
      <c r="AM7733" t="s">
        <v>43</v>
      </c>
      <c r="AN7733" t="str">
        <f>HYPERLINK("https://www.google.com/maps?q=10.78967094,79.57875824","Open Location")</f>
        <v>Open Location</v>
      </c>
    </row>
    <row r="7734" spans="1:40" x14ac:dyDescent="0.3">
      <c r="A7734" s="1">
        <v>46210.104166666664</v>
      </c>
      <c r="B7734" t="s">
        <v>40</v>
      </c>
      <c r="C7734" t="s">
        <v>41</v>
      </c>
      <c r="D7734" s="1">
        <v>46210.107037037036</v>
      </c>
      <c r="E7734" t="s">
        <v>42</v>
      </c>
      <c r="F7734" t="s">
        <v>43</v>
      </c>
      <c r="G7734" t="s">
        <v>43</v>
      </c>
      <c r="H7734" t="s">
        <v>43</v>
      </c>
      <c r="I7734" t="s">
        <v>4345</v>
      </c>
      <c r="J7734" t="s">
        <v>43</v>
      </c>
      <c r="K7734" t="s">
        <v>43</v>
      </c>
      <c r="L7734" t="s">
        <v>43</v>
      </c>
      <c r="M7734" t="s">
        <v>43</v>
      </c>
      <c r="N7734" t="s">
        <v>45</v>
      </c>
      <c r="O7734" t="s">
        <v>43</v>
      </c>
      <c r="P7734" t="s">
        <v>43</v>
      </c>
      <c r="Q7734" t="s">
        <v>43</v>
      </c>
      <c r="R7734" t="s">
        <v>43</v>
      </c>
      <c r="S7734" t="s">
        <v>43</v>
      </c>
      <c r="T7734" t="s">
        <v>43</v>
      </c>
      <c r="U7734" t="s">
        <v>43</v>
      </c>
      <c r="V7734" t="s">
        <v>43</v>
      </c>
      <c r="W7734" t="s">
        <v>43</v>
      </c>
      <c r="X7734" t="s">
        <v>43</v>
      </c>
      <c r="Y7734" t="s">
        <v>43</v>
      </c>
      <c r="Z7734" t="s">
        <v>43</v>
      </c>
      <c r="AA7734" t="s">
        <v>43</v>
      </c>
      <c r="AB7734" t="s">
        <v>43</v>
      </c>
      <c r="AC7734" t="s">
        <v>43</v>
      </c>
      <c r="AD7734" t="s">
        <v>43</v>
      </c>
      <c r="AE7734" t="s">
        <v>43</v>
      </c>
      <c r="AF7734" t="s">
        <v>43</v>
      </c>
      <c r="AG7734" t="s">
        <v>43</v>
      </c>
      <c r="AH7734" t="s">
        <v>43</v>
      </c>
      <c r="AI7734" t="s">
        <v>43</v>
      </c>
      <c r="AJ7734" t="s">
        <v>43</v>
      </c>
      <c r="AK7734" t="s">
        <v>43</v>
      </c>
      <c r="AL7734" t="s">
        <v>43</v>
      </c>
      <c r="AM7734" t="s">
        <v>43</v>
      </c>
      <c r="AN7734" t="str">
        <f>HYPERLINK("https://www.google.com/maps?q=10.78966999,79.57875824","Open Location")</f>
        <v>Open Location</v>
      </c>
    </row>
    <row r="7735" spans="1:40" x14ac:dyDescent="0.3">
      <c r="A7735" s="1">
        <v>46210.104050925926</v>
      </c>
      <c r="B7735" t="s">
        <v>40</v>
      </c>
      <c r="C7735" t="s">
        <v>41</v>
      </c>
      <c r="D7735" s="1">
        <v>46210.107037037036</v>
      </c>
      <c r="E7735" t="s">
        <v>42</v>
      </c>
      <c r="F7735" t="s">
        <v>43</v>
      </c>
      <c r="G7735" t="s">
        <v>43</v>
      </c>
      <c r="H7735" t="s">
        <v>43</v>
      </c>
      <c r="I7735" t="s">
        <v>43</v>
      </c>
      <c r="J7735" t="s">
        <v>43</v>
      </c>
      <c r="K7735" t="s">
        <v>43</v>
      </c>
      <c r="L7735" t="s">
        <v>43</v>
      </c>
      <c r="M7735" t="s">
        <v>43</v>
      </c>
      <c r="N7735" t="s">
        <v>45</v>
      </c>
      <c r="O7735" t="s">
        <v>43</v>
      </c>
      <c r="P7735" t="s">
        <v>43</v>
      </c>
      <c r="Q7735" t="s">
        <v>43</v>
      </c>
      <c r="R7735" t="s">
        <v>43</v>
      </c>
      <c r="S7735" t="s">
        <v>43</v>
      </c>
      <c r="T7735" t="s">
        <v>43</v>
      </c>
      <c r="U7735" t="s">
        <v>43</v>
      </c>
      <c r="V7735" t="s">
        <v>43</v>
      </c>
      <c r="W7735" t="s">
        <v>43</v>
      </c>
      <c r="X7735" t="s">
        <v>43</v>
      </c>
      <c r="Y7735" t="s">
        <v>43</v>
      </c>
      <c r="Z7735" t="s">
        <v>43</v>
      </c>
      <c r="AA7735" t="s">
        <v>43</v>
      </c>
      <c r="AB7735" t="s">
        <v>43</v>
      </c>
      <c r="AC7735" t="s">
        <v>43</v>
      </c>
      <c r="AD7735" t="s">
        <v>43</v>
      </c>
      <c r="AE7735" t="s">
        <v>43</v>
      </c>
      <c r="AF7735" t="s">
        <v>43</v>
      </c>
      <c r="AG7735" t="s">
        <v>43</v>
      </c>
      <c r="AH7735" t="s">
        <v>43</v>
      </c>
      <c r="AI7735" t="s">
        <v>43</v>
      </c>
      <c r="AJ7735" t="s">
        <v>43</v>
      </c>
      <c r="AK7735" t="s">
        <v>43</v>
      </c>
      <c r="AL7735" t="s">
        <v>43</v>
      </c>
      <c r="AM7735" t="s">
        <v>43</v>
      </c>
      <c r="AN7735" t="s">
        <v>43</v>
      </c>
    </row>
    <row r="7736" spans="1:40" x14ac:dyDescent="0.3">
      <c r="A7736" s="1">
        <v>46210.103935185187</v>
      </c>
      <c r="B7736" t="s">
        <v>40</v>
      </c>
      <c r="C7736" t="s">
        <v>41</v>
      </c>
      <c r="D7736" s="1">
        <v>46210.10701388889</v>
      </c>
      <c r="E7736" t="s">
        <v>42</v>
      </c>
      <c r="F7736" t="s">
        <v>43</v>
      </c>
      <c r="G7736" t="s">
        <v>43</v>
      </c>
      <c r="H7736" t="s">
        <v>43</v>
      </c>
      <c r="I7736" t="s">
        <v>4346</v>
      </c>
      <c r="J7736" t="s">
        <v>43</v>
      </c>
      <c r="K7736" t="s">
        <v>43</v>
      </c>
      <c r="L7736" t="s">
        <v>43</v>
      </c>
      <c r="M7736" t="s">
        <v>43</v>
      </c>
      <c r="N7736" t="s">
        <v>45</v>
      </c>
      <c r="O7736" t="s">
        <v>43</v>
      </c>
      <c r="P7736" t="s">
        <v>43</v>
      </c>
      <c r="Q7736" t="s">
        <v>43</v>
      </c>
      <c r="R7736" t="s">
        <v>43</v>
      </c>
      <c r="S7736" t="s">
        <v>43</v>
      </c>
      <c r="T7736" t="s">
        <v>43</v>
      </c>
      <c r="U7736" t="s">
        <v>43</v>
      </c>
      <c r="V7736" t="s">
        <v>43</v>
      </c>
      <c r="W7736" t="s">
        <v>43</v>
      </c>
      <c r="X7736" t="s">
        <v>43</v>
      </c>
      <c r="Y7736" t="s">
        <v>43</v>
      </c>
      <c r="Z7736" t="s">
        <v>43</v>
      </c>
      <c r="AA7736" t="s">
        <v>43</v>
      </c>
      <c r="AB7736" t="s">
        <v>43</v>
      </c>
      <c r="AC7736" t="s">
        <v>43</v>
      </c>
      <c r="AD7736" t="s">
        <v>43</v>
      </c>
      <c r="AE7736" t="s">
        <v>43</v>
      </c>
      <c r="AF7736" t="s">
        <v>43</v>
      </c>
      <c r="AG7736" t="s">
        <v>43</v>
      </c>
      <c r="AH7736" t="s">
        <v>43</v>
      </c>
      <c r="AI7736" t="s">
        <v>43</v>
      </c>
      <c r="AJ7736" t="s">
        <v>43</v>
      </c>
      <c r="AK7736" t="s">
        <v>43</v>
      </c>
      <c r="AL7736" t="s">
        <v>43</v>
      </c>
      <c r="AM7736" t="s">
        <v>43</v>
      </c>
      <c r="AN7736" t="str">
        <f>HYPERLINK("https://www.google.com/maps?q=10.78966522,79.57875824","Open Location")</f>
        <v>Open Location</v>
      </c>
    </row>
    <row r="7737" spans="1:40" x14ac:dyDescent="0.3">
      <c r="A7737" s="1">
        <v>46210.103819444441</v>
      </c>
      <c r="B7737" t="s">
        <v>40</v>
      </c>
      <c r="C7737" t="s">
        <v>41</v>
      </c>
      <c r="D7737" s="1">
        <v>46210.106817129628</v>
      </c>
      <c r="E7737" t="s">
        <v>42</v>
      </c>
      <c r="F7737" t="s">
        <v>43</v>
      </c>
      <c r="G7737" t="s">
        <v>43</v>
      </c>
      <c r="H7737" t="s">
        <v>43</v>
      </c>
      <c r="I7737" t="s">
        <v>4347</v>
      </c>
      <c r="J7737" t="s">
        <v>43</v>
      </c>
      <c r="K7737" t="s">
        <v>43</v>
      </c>
      <c r="L7737" t="s">
        <v>43</v>
      </c>
      <c r="M7737" t="s">
        <v>43</v>
      </c>
      <c r="N7737" t="s">
        <v>45</v>
      </c>
      <c r="O7737" t="s">
        <v>43</v>
      </c>
      <c r="P7737" t="s">
        <v>43</v>
      </c>
      <c r="Q7737" t="s">
        <v>43</v>
      </c>
      <c r="R7737" t="s">
        <v>43</v>
      </c>
      <c r="S7737" t="s">
        <v>43</v>
      </c>
      <c r="T7737" t="s">
        <v>43</v>
      </c>
      <c r="U7737" t="s">
        <v>43</v>
      </c>
      <c r="V7737" t="s">
        <v>43</v>
      </c>
      <c r="W7737" t="s">
        <v>43</v>
      </c>
      <c r="X7737" t="s">
        <v>43</v>
      </c>
      <c r="Y7737" t="s">
        <v>43</v>
      </c>
      <c r="Z7737" t="s">
        <v>43</v>
      </c>
      <c r="AA7737" t="s">
        <v>43</v>
      </c>
      <c r="AB7737" t="s">
        <v>43</v>
      </c>
      <c r="AC7737" t="s">
        <v>43</v>
      </c>
      <c r="AD7737" t="s">
        <v>43</v>
      </c>
      <c r="AE7737" t="s">
        <v>43</v>
      </c>
      <c r="AF7737" t="s">
        <v>43</v>
      </c>
      <c r="AG7737" t="s">
        <v>43</v>
      </c>
      <c r="AH7737" t="s">
        <v>43</v>
      </c>
      <c r="AI7737" t="s">
        <v>43</v>
      </c>
      <c r="AJ7737" t="s">
        <v>43</v>
      </c>
      <c r="AK7737" t="s">
        <v>43</v>
      </c>
      <c r="AL7737" t="s">
        <v>43</v>
      </c>
      <c r="AM7737" t="s">
        <v>43</v>
      </c>
      <c r="AN7737" t="str">
        <f>HYPERLINK("https://www.google.com/maps?q=10.78966522,79.57876587","Open Location")</f>
        <v>Open Location</v>
      </c>
    </row>
    <row r="7738" spans="1:40" x14ac:dyDescent="0.3">
      <c r="A7738" s="1">
        <v>46210.103703703702</v>
      </c>
      <c r="B7738" t="s">
        <v>40</v>
      </c>
      <c r="C7738" t="s">
        <v>41</v>
      </c>
      <c r="D7738" s="1">
        <v>46210.10665509259</v>
      </c>
      <c r="E7738" t="s">
        <v>42</v>
      </c>
      <c r="F7738" t="s">
        <v>43</v>
      </c>
      <c r="G7738" t="s">
        <v>43</v>
      </c>
      <c r="H7738" t="s">
        <v>43</v>
      </c>
      <c r="I7738" t="s">
        <v>4042</v>
      </c>
      <c r="J7738" t="s">
        <v>43</v>
      </c>
      <c r="K7738" t="s">
        <v>43</v>
      </c>
      <c r="L7738" t="s">
        <v>43</v>
      </c>
      <c r="M7738" t="s">
        <v>43</v>
      </c>
      <c r="N7738" t="s">
        <v>45</v>
      </c>
      <c r="O7738" t="s">
        <v>43</v>
      </c>
      <c r="P7738" t="s">
        <v>43</v>
      </c>
      <c r="Q7738" t="s">
        <v>43</v>
      </c>
      <c r="R7738" t="s">
        <v>43</v>
      </c>
      <c r="S7738" t="s">
        <v>43</v>
      </c>
      <c r="T7738" t="s">
        <v>43</v>
      </c>
      <c r="U7738" t="s">
        <v>43</v>
      </c>
      <c r="V7738" t="s">
        <v>43</v>
      </c>
      <c r="W7738" t="s">
        <v>43</v>
      </c>
      <c r="X7738" t="s">
        <v>43</v>
      </c>
      <c r="Y7738" t="s">
        <v>43</v>
      </c>
      <c r="Z7738" t="s">
        <v>43</v>
      </c>
      <c r="AA7738" t="s">
        <v>43</v>
      </c>
      <c r="AB7738" t="s">
        <v>43</v>
      </c>
      <c r="AC7738" t="s">
        <v>43</v>
      </c>
      <c r="AD7738" t="s">
        <v>43</v>
      </c>
      <c r="AE7738" t="s">
        <v>43</v>
      </c>
      <c r="AF7738" t="s">
        <v>43</v>
      </c>
      <c r="AG7738" t="s">
        <v>43</v>
      </c>
      <c r="AH7738" t="s">
        <v>43</v>
      </c>
      <c r="AI7738" t="s">
        <v>43</v>
      </c>
      <c r="AJ7738" t="s">
        <v>43</v>
      </c>
      <c r="AK7738" t="s">
        <v>43</v>
      </c>
      <c r="AL7738" t="s">
        <v>43</v>
      </c>
      <c r="AM7738" t="s">
        <v>43</v>
      </c>
      <c r="AN7738" t="str">
        <f>HYPERLINK("https://www.google.com/maps?q=10.78966141,79.57876587","Open Location")</f>
        <v>Open Location</v>
      </c>
    </row>
    <row r="7739" spans="1:40" x14ac:dyDescent="0.3">
      <c r="A7739" s="1">
        <v>46210.103587962964</v>
      </c>
      <c r="B7739" t="s">
        <v>40</v>
      </c>
      <c r="C7739" t="s">
        <v>41</v>
      </c>
      <c r="D7739" s="1">
        <v>46210.106666666667</v>
      </c>
      <c r="E7739" t="s">
        <v>42</v>
      </c>
      <c r="F7739" t="s">
        <v>43</v>
      </c>
      <c r="G7739" t="s">
        <v>43</v>
      </c>
      <c r="H7739" t="s">
        <v>43</v>
      </c>
      <c r="I7739" t="s">
        <v>4348</v>
      </c>
      <c r="J7739" t="s">
        <v>43</v>
      </c>
      <c r="K7739" t="s">
        <v>43</v>
      </c>
      <c r="L7739" t="s">
        <v>43</v>
      </c>
      <c r="M7739" t="s">
        <v>43</v>
      </c>
      <c r="N7739" t="s">
        <v>45</v>
      </c>
      <c r="O7739" t="s">
        <v>43</v>
      </c>
      <c r="P7739" t="s">
        <v>43</v>
      </c>
      <c r="Q7739" t="s">
        <v>43</v>
      </c>
      <c r="R7739" t="s">
        <v>43</v>
      </c>
      <c r="S7739" t="s">
        <v>43</v>
      </c>
      <c r="T7739" t="s">
        <v>43</v>
      </c>
      <c r="U7739" t="s">
        <v>43</v>
      </c>
      <c r="V7739" t="s">
        <v>43</v>
      </c>
      <c r="W7739" t="s">
        <v>43</v>
      </c>
      <c r="X7739" t="s">
        <v>43</v>
      </c>
      <c r="Y7739" t="s">
        <v>43</v>
      </c>
      <c r="Z7739" t="s">
        <v>43</v>
      </c>
      <c r="AA7739" t="s">
        <v>43</v>
      </c>
      <c r="AB7739" t="s">
        <v>43</v>
      </c>
      <c r="AC7739" t="s">
        <v>43</v>
      </c>
      <c r="AD7739" t="s">
        <v>43</v>
      </c>
      <c r="AE7739" t="s">
        <v>43</v>
      </c>
      <c r="AF7739" t="s">
        <v>43</v>
      </c>
      <c r="AG7739" t="s">
        <v>43</v>
      </c>
      <c r="AH7739" t="s">
        <v>43</v>
      </c>
      <c r="AI7739" t="s">
        <v>43</v>
      </c>
      <c r="AJ7739" t="s">
        <v>43</v>
      </c>
      <c r="AK7739" t="s">
        <v>43</v>
      </c>
      <c r="AL7739" t="s">
        <v>43</v>
      </c>
      <c r="AM7739" t="s">
        <v>43</v>
      </c>
      <c r="AN7739" t="str">
        <f>HYPERLINK("https://www.google.com/maps?q=10.78966045,79.57876587","Open Location")</f>
        <v>Open Location</v>
      </c>
    </row>
    <row r="7740" spans="1:40" x14ac:dyDescent="0.3">
      <c r="A7740" s="1">
        <v>46210.103472222225</v>
      </c>
      <c r="B7740" t="s">
        <v>40</v>
      </c>
      <c r="C7740" t="s">
        <v>41</v>
      </c>
      <c r="D7740" s="1">
        <v>46210.106423611112</v>
      </c>
      <c r="E7740" t="s">
        <v>42</v>
      </c>
      <c r="F7740" t="s">
        <v>43</v>
      </c>
      <c r="G7740" t="s">
        <v>43</v>
      </c>
      <c r="H7740" t="s">
        <v>43</v>
      </c>
      <c r="I7740" t="s">
        <v>4041</v>
      </c>
      <c r="J7740" t="s">
        <v>43</v>
      </c>
      <c r="K7740" t="s">
        <v>43</v>
      </c>
      <c r="L7740" t="s">
        <v>43</v>
      </c>
      <c r="M7740" t="s">
        <v>43</v>
      </c>
      <c r="N7740" t="s">
        <v>45</v>
      </c>
      <c r="O7740" t="s">
        <v>43</v>
      </c>
      <c r="P7740" t="s">
        <v>43</v>
      </c>
      <c r="Q7740" t="s">
        <v>43</v>
      </c>
      <c r="R7740" t="s">
        <v>43</v>
      </c>
      <c r="S7740" t="s">
        <v>43</v>
      </c>
      <c r="T7740" t="s">
        <v>43</v>
      </c>
      <c r="U7740" t="s">
        <v>43</v>
      </c>
      <c r="V7740" t="s">
        <v>43</v>
      </c>
      <c r="W7740" t="s">
        <v>43</v>
      </c>
      <c r="X7740" t="s">
        <v>43</v>
      </c>
      <c r="Y7740" t="s">
        <v>43</v>
      </c>
      <c r="Z7740" t="s">
        <v>43</v>
      </c>
      <c r="AA7740" t="s">
        <v>43</v>
      </c>
      <c r="AB7740" t="s">
        <v>43</v>
      </c>
      <c r="AC7740" t="s">
        <v>43</v>
      </c>
      <c r="AD7740" t="s">
        <v>43</v>
      </c>
      <c r="AE7740" t="s">
        <v>43</v>
      </c>
      <c r="AF7740" t="s">
        <v>43</v>
      </c>
      <c r="AG7740" t="s">
        <v>43</v>
      </c>
      <c r="AH7740" t="s">
        <v>43</v>
      </c>
      <c r="AI7740" t="s">
        <v>43</v>
      </c>
      <c r="AJ7740" t="s">
        <v>43</v>
      </c>
      <c r="AK7740" t="s">
        <v>43</v>
      </c>
      <c r="AL7740" t="s">
        <v>43</v>
      </c>
      <c r="AM7740" t="s">
        <v>43</v>
      </c>
      <c r="AN7740" t="str">
        <f>HYPERLINK("https://www.google.com/maps?q=10.78966427,79.57876587","Open Location")</f>
        <v>Open Location</v>
      </c>
    </row>
    <row r="7741" spans="1:40" x14ac:dyDescent="0.3">
      <c r="A7741" s="1">
        <v>46210.103356481479</v>
      </c>
      <c r="B7741" t="s">
        <v>40</v>
      </c>
      <c r="C7741" t="s">
        <v>41</v>
      </c>
      <c r="D7741" s="1">
        <v>46210.106423611112</v>
      </c>
      <c r="E7741" t="s">
        <v>42</v>
      </c>
      <c r="F7741" t="s">
        <v>43</v>
      </c>
      <c r="G7741" t="s">
        <v>43</v>
      </c>
      <c r="H7741" t="s">
        <v>43</v>
      </c>
      <c r="I7741" t="s">
        <v>43</v>
      </c>
      <c r="J7741" t="s">
        <v>43</v>
      </c>
      <c r="K7741" t="s">
        <v>43</v>
      </c>
      <c r="L7741" t="s">
        <v>43</v>
      </c>
      <c r="M7741" t="s">
        <v>43</v>
      </c>
      <c r="N7741" t="s">
        <v>45</v>
      </c>
      <c r="O7741" t="s">
        <v>43</v>
      </c>
      <c r="P7741" t="s">
        <v>43</v>
      </c>
      <c r="Q7741" t="s">
        <v>43</v>
      </c>
      <c r="R7741" t="s">
        <v>43</v>
      </c>
      <c r="S7741" t="s">
        <v>43</v>
      </c>
      <c r="T7741" t="s">
        <v>43</v>
      </c>
      <c r="U7741" t="s">
        <v>43</v>
      </c>
      <c r="V7741" t="s">
        <v>43</v>
      </c>
      <c r="W7741" t="s">
        <v>43</v>
      </c>
      <c r="X7741" t="s">
        <v>43</v>
      </c>
      <c r="Y7741" t="s">
        <v>43</v>
      </c>
      <c r="Z7741" t="s">
        <v>43</v>
      </c>
      <c r="AA7741" t="s">
        <v>43</v>
      </c>
      <c r="AB7741" t="s">
        <v>43</v>
      </c>
      <c r="AC7741" t="s">
        <v>43</v>
      </c>
      <c r="AD7741" t="s">
        <v>43</v>
      </c>
      <c r="AE7741" t="s">
        <v>43</v>
      </c>
      <c r="AF7741" t="s">
        <v>43</v>
      </c>
      <c r="AG7741" t="s">
        <v>43</v>
      </c>
      <c r="AH7741" t="s">
        <v>43</v>
      </c>
      <c r="AI7741" t="s">
        <v>43</v>
      </c>
      <c r="AJ7741" t="s">
        <v>43</v>
      </c>
      <c r="AK7741" t="s">
        <v>43</v>
      </c>
      <c r="AL7741" t="s">
        <v>43</v>
      </c>
      <c r="AM7741" t="s">
        <v>43</v>
      </c>
      <c r="AN7741" t="s">
        <v>43</v>
      </c>
    </row>
    <row r="7742" spans="1:40" x14ac:dyDescent="0.3">
      <c r="A7742" s="1">
        <v>46210.10324074074</v>
      </c>
      <c r="B7742" t="s">
        <v>40</v>
      </c>
      <c r="C7742" t="s">
        <v>41</v>
      </c>
      <c r="D7742" s="1">
        <v>46210.105949074074</v>
      </c>
      <c r="E7742" t="s">
        <v>42</v>
      </c>
      <c r="F7742" t="s">
        <v>43</v>
      </c>
      <c r="G7742" t="s">
        <v>43</v>
      </c>
      <c r="H7742" t="s">
        <v>43</v>
      </c>
      <c r="I7742" t="s">
        <v>4349</v>
      </c>
      <c r="J7742" t="s">
        <v>43</v>
      </c>
      <c r="K7742" t="s">
        <v>43</v>
      </c>
      <c r="L7742" t="s">
        <v>43</v>
      </c>
      <c r="M7742" t="s">
        <v>43</v>
      </c>
      <c r="N7742" t="s">
        <v>45</v>
      </c>
      <c r="O7742" t="s">
        <v>43</v>
      </c>
      <c r="P7742" t="s">
        <v>43</v>
      </c>
      <c r="Q7742" t="s">
        <v>43</v>
      </c>
      <c r="R7742" t="s">
        <v>43</v>
      </c>
      <c r="S7742" t="s">
        <v>43</v>
      </c>
      <c r="T7742" t="s">
        <v>43</v>
      </c>
      <c r="U7742" t="s">
        <v>43</v>
      </c>
      <c r="V7742" t="s">
        <v>43</v>
      </c>
      <c r="W7742" t="s">
        <v>43</v>
      </c>
      <c r="X7742" t="s">
        <v>43</v>
      </c>
      <c r="Y7742" t="s">
        <v>43</v>
      </c>
      <c r="Z7742" t="s">
        <v>43</v>
      </c>
      <c r="AA7742" t="s">
        <v>43</v>
      </c>
      <c r="AB7742" t="s">
        <v>43</v>
      </c>
      <c r="AC7742" t="s">
        <v>43</v>
      </c>
      <c r="AD7742" t="s">
        <v>43</v>
      </c>
      <c r="AE7742" t="s">
        <v>43</v>
      </c>
      <c r="AF7742" t="s">
        <v>43</v>
      </c>
      <c r="AG7742" t="s">
        <v>43</v>
      </c>
      <c r="AH7742" t="s">
        <v>43</v>
      </c>
      <c r="AI7742" t="s">
        <v>43</v>
      </c>
      <c r="AJ7742" t="s">
        <v>43</v>
      </c>
      <c r="AK7742" t="s">
        <v>43</v>
      </c>
      <c r="AL7742" t="s">
        <v>43</v>
      </c>
      <c r="AM7742" t="s">
        <v>43</v>
      </c>
      <c r="AN7742" t="str">
        <f>HYPERLINK("https://www.google.com/maps?q=10.78966904,79.57876587","Open Location")</f>
        <v>Open Location</v>
      </c>
    </row>
    <row r="7743" spans="1:40" x14ac:dyDescent="0.3">
      <c r="A7743" s="1">
        <v>46210.103125000001</v>
      </c>
      <c r="B7743" t="s">
        <v>40</v>
      </c>
      <c r="C7743" t="s">
        <v>41</v>
      </c>
      <c r="D7743" s="1">
        <v>46210.106273148151</v>
      </c>
      <c r="E7743" t="s">
        <v>42</v>
      </c>
      <c r="F7743" t="s">
        <v>43</v>
      </c>
      <c r="G7743" t="s">
        <v>43</v>
      </c>
      <c r="H7743" t="s">
        <v>43</v>
      </c>
      <c r="I7743" t="s">
        <v>4028</v>
      </c>
      <c r="J7743" t="s">
        <v>43</v>
      </c>
      <c r="K7743" t="s">
        <v>43</v>
      </c>
      <c r="L7743" t="s">
        <v>43</v>
      </c>
      <c r="M7743" t="s">
        <v>43</v>
      </c>
      <c r="N7743" t="s">
        <v>45</v>
      </c>
      <c r="O7743" t="s">
        <v>43</v>
      </c>
      <c r="P7743" t="s">
        <v>43</v>
      </c>
      <c r="Q7743" t="s">
        <v>43</v>
      </c>
      <c r="R7743" t="s">
        <v>43</v>
      </c>
      <c r="S7743" t="s">
        <v>43</v>
      </c>
      <c r="T7743" t="s">
        <v>43</v>
      </c>
      <c r="U7743" t="s">
        <v>43</v>
      </c>
      <c r="V7743" t="s">
        <v>43</v>
      </c>
      <c r="W7743" t="s">
        <v>43</v>
      </c>
      <c r="X7743" t="s">
        <v>43</v>
      </c>
      <c r="Y7743" t="s">
        <v>43</v>
      </c>
      <c r="Z7743" t="s">
        <v>43</v>
      </c>
      <c r="AA7743" t="s">
        <v>43</v>
      </c>
      <c r="AB7743" t="s">
        <v>43</v>
      </c>
      <c r="AC7743" t="s">
        <v>43</v>
      </c>
      <c r="AD7743" t="s">
        <v>43</v>
      </c>
      <c r="AE7743" t="s">
        <v>43</v>
      </c>
      <c r="AF7743" t="s">
        <v>43</v>
      </c>
      <c r="AG7743" t="s">
        <v>43</v>
      </c>
      <c r="AH7743" t="s">
        <v>43</v>
      </c>
      <c r="AI7743" t="s">
        <v>43</v>
      </c>
      <c r="AJ7743" t="s">
        <v>43</v>
      </c>
      <c r="AK7743" t="s">
        <v>43</v>
      </c>
      <c r="AL7743" t="s">
        <v>43</v>
      </c>
      <c r="AM7743" t="s">
        <v>43</v>
      </c>
      <c r="AN7743" t="str">
        <f>HYPERLINK("https://www.google.com/maps?q=10.78967476,79.5787735","Open Location")</f>
        <v>Open Location</v>
      </c>
    </row>
    <row r="7744" spans="1:40" x14ac:dyDescent="0.3">
      <c r="A7744" s="1">
        <v>46210.103009259263</v>
      </c>
      <c r="B7744" t="s">
        <v>40</v>
      </c>
      <c r="C7744" t="s">
        <v>41</v>
      </c>
      <c r="D7744" s="1">
        <v>46210.105949074074</v>
      </c>
      <c r="E7744" t="s">
        <v>42</v>
      </c>
      <c r="F7744" t="s">
        <v>43</v>
      </c>
      <c r="G7744" t="s">
        <v>43</v>
      </c>
      <c r="H7744" t="s">
        <v>43</v>
      </c>
      <c r="I7744" t="s">
        <v>4022</v>
      </c>
      <c r="J7744" t="s">
        <v>43</v>
      </c>
      <c r="K7744" t="s">
        <v>43</v>
      </c>
      <c r="L7744" t="s">
        <v>43</v>
      </c>
      <c r="M7744" t="s">
        <v>43</v>
      </c>
      <c r="N7744" t="s">
        <v>45</v>
      </c>
      <c r="O7744" t="s">
        <v>43</v>
      </c>
      <c r="P7744" t="s">
        <v>43</v>
      </c>
      <c r="Q7744" t="s">
        <v>43</v>
      </c>
      <c r="R7744" t="s">
        <v>43</v>
      </c>
      <c r="S7744" t="s">
        <v>43</v>
      </c>
      <c r="T7744" t="s">
        <v>43</v>
      </c>
      <c r="U7744" t="s">
        <v>43</v>
      </c>
      <c r="V7744" t="s">
        <v>43</v>
      </c>
      <c r="W7744" t="s">
        <v>43</v>
      </c>
      <c r="X7744" t="s">
        <v>43</v>
      </c>
      <c r="Y7744" t="s">
        <v>43</v>
      </c>
      <c r="Z7744" t="s">
        <v>43</v>
      </c>
      <c r="AA7744" t="s">
        <v>43</v>
      </c>
      <c r="AB7744" t="s">
        <v>43</v>
      </c>
      <c r="AC7744" t="s">
        <v>43</v>
      </c>
      <c r="AD7744" t="s">
        <v>43</v>
      </c>
      <c r="AE7744" t="s">
        <v>43</v>
      </c>
      <c r="AF7744" t="s">
        <v>43</v>
      </c>
      <c r="AG7744" t="s">
        <v>43</v>
      </c>
      <c r="AH7744" t="s">
        <v>43</v>
      </c>
      <c r="AI7744" t="s">
        <v>43</v>
      </c>
      <c r="AJ7744" t="s">
        <v>43</v>
      </c>
      <c r="AK7744" t="s">
        <v>43</v>
      </c>
      <c r="AL7744" t="s">
        <v>43</v>
      </c>
      <c r="AM7744" t="s">
        <v>43</v>
      </c>
      <c r="AN7744" t="str">
        <f>HYPERLINK("https://www.google.com/maps?q=10.78967667,79.57876587","Open Location")</f>
        <v>Open Location</v>
      </c>
    </row>
    <row r="7745" spans="1:40" x14ac:dyDescent="0.3">
      <c r="A7745" s="1">
        <v>46210.102893518517</v>
      </c>
      <c r="B7745" t="s">
        <v>40</v>
      </c>
      <c r="C7745" t="s">
        <v>41</v>
      </c>
      <c r="D7745" s="1">
        <v>46210.105902777781</v>
      </c>
      <c r="E7745" t="s">
        <v>42</v>
      </c>
      <c r="F7745" t="s">
        <v>43</v>
      </c>
      <c r="G7745" t="s">
        <v>43</v>
      </c>
      <c r="H7745" t="s">
        <v>43</v>
      </c>
      <c r="I7745" t="s">
        <v>4350</v>
      </c>
      <c r="J7745" t="s">
        <v>43</v>
      </c>
      <c r="K7745" t="s">
        <v>43</v>
      </c>
      <c r="L7745" t="s">
        <v>43</v>
      </c>
      <c r="M7745" t="s">
        <v>43</v>
      </c>
      <c r="N7745" t="s">
        <v>45</v>
      </c>
      <c r="O7745" t="s">
        <v>43</v>
      </c>
      <c r="P7745" t="s">
        <v>43</v>
      </c>
      <c r="Q7745" t="s">
        <v>43</v>
      </c>
      <c r="R7745" t="s">
        <v>43</v>
      </c>
      <c r="S7745" t="s">
        <v>43</v>
      </c>
      <c r="T7745" t="s">
        <v>43</v>
      </c>
      <c r="U7745" t="s">
        <v>43</v>
      </c>
      <c r="V7745" t="s">
        <v>43</v>
      </c>
      <c r="W7745" t="s">
        <v>43</v>
      </c>
      <c r="X7745" t="s">
        <v>43</v>
      </c>
      <c r="Y7745" t="s">
        <v>43</v>
      </c>
      <c r="Z7745" t="s">
        <v>43</v>
      </c>
      <c r="AA7745" t="s">
        <v>43</v>
      </c>
      <c r="AB7745" t="s">
        <v>43</v>
      </c>
      <c r="AC7745" t="s">
        <v>43</v>
      </c>
      <c r="AD7745" t="s">
        <v>43</v>
      </c>
      <c r="AE7745" t="s">
        <v>43</v>
      </c>
      <c r="AF7745" t="s">
        <v>43</v>
      </c>
      <c r="AG7745" t="s">
        <v>43</v>
      </c>
      <c r="AH7745" t="s">
        <v>43</v>
      </c>
      <c r="AI7745" t="s">
        <v>43</v>
      </c>
      <c r="AJ7745" t="s">
        <v>43</v>
      </c>
      <c r="AK7745" t="s">
        <v>43</v>
      </c>
      <c r="AL7745" t="s">
        <v>43</v>
      </c>
      <c r="AM7745" t="s">
        <v>43</v>
      </c>
      <c r="AN7745" t="str">
        <f>HYPERLINK("https://www.google.com/maps?q=10.78967381,79.57876587","Open Location")</f>
        <v>Open Location</v>
      </c>
    </row>
    <row r="7746" spans="1:40" x14ac:dyDescent="0.3">
      <c r="A7746" s="1">
        <v>46210.102777777778</v>
      </c>
      <c r="B7746" t="s">
        <v>40</v>
      </c>
      <c r="C7746" t="s">
        <v>41</v>
      </c>
      <c r="D7746" s="1">
        <v>46210.10565972222</v>
      </c>
      <c r="E7746" t="s">
        <v>42</v>
      </c>
      <c r="F7746" t="s">
        <v>43</v>
      </c>
      <c r="G7746" t="s">
        <v>43</v>
      </c>
      <c r="H7746" t="s">
        <v>43</v>
      </c>
      <c r="I7746" t="s">
        <v>43</v>
      </c>
      <c r="J7746" t="s">
        <v>43</v>
      </c>
      <c r="K7746" t="s">
        <v>43</v>
      </c>
      <c r="L7746" t="s">
        <v>43</v>
      </c>
      <c r="M7746" t="s">
        <v>43</v>
      </c>
      <c r="N7746" t="s">
        <v>45</v>
      </c>
      <c r="O7746" t="s">
        <v>43</v>
      </c>
      <c r="P7746" t="s">
        <v>43</v>
      </c>
      <c r="Q7746" t="s">
        <v>43</v>
      </c>
      <c r="R7746" t="s">
        <v>43</v>
      </c>
      <c r="S7746" t="s">
        <v>43</v>
      </c>
      <c r="T7746" t="s">
        <v>43</v>
      </c>
      <c r="U7746" t="s">
        <v>43</v>
      </c>
      <c r="V7746" t="s">
        <v>43</v>
      </c>
      <c r="W7746" t="s">
        <v>43</v>
      </c>
      <c r="X7746" t="s">
        <v>43</v>
      </c>
      <c r="Y7746" t="s">
        <v>43</v>
      </c>
      <c r="Z7746" t="s">
        <v>43</v>
      </c>
      <c r="AA7746" t="s">
        <v>43</v>
      </c>
      <c r="AB7746" t="s">
        <v>43</v>
      </c>
      <c r="AC7746" t="s">
        <v>43</v>
      </c>
      <c r="AD7746" t="s">
        <v>43</v>
      </c>
      <c r="AE7746" t="s">
        <v>43</v>
      </c>
      <c r="AF7746" t="s">
        <v>43</v>
      </c>
      <c r="AG7746" t="s">
        <v>43</v>
      </c>
      <c r="AH7746" t="s">
        <v>43</v>
      </c>
      <c r="AI7746" t="s">
        <v>43</v>
      </c>
      <c r="AJ7746" t="s">
        <v>43</v>
      </c>
      <c r="AK7746" t="s">
        <v>43</v>
      </c>
      <c r="AL7746" t="s">
        <v>43</v>
      </c>
      <c r="AM7746" t="s">
        <v>43</v>
      </c>
      <c r="AN7746" t="s">
        <v>43</v>
      </c>
    </row>
    <row r="7747" spans="1:40" x14ac:dyDescent="0.3">
      <c r="A7747" s="1">
        <v>46210.102662037039</v>
      </c>
      <c r="B7747" t="s">
        <v>40</v>
      </c>
      <c r="C7747" t="s">
        <v>41</v>
      </c>
      <c r="D7747" s="1">
        <v>46210.105671296296</v>
      </c>
      <c r="E7747" t="s">
        <v>42</v>
      </c>
      <c r="F7747" t="s">
        <v>43</v>
      </c>
      <c r="G7747" t="s">
        <v>43</v>
      </c>
      <c r="H7747" t="s">
        <v>43</v>
      </c>
      <c r="I7747" t="s">
        <v>4238</v>
      </c>
      <c r="J7747" t="s">
        <v>43</v>
      </c>
      <c r="K7747" t="s">
        <v>43</v>
      </c>
      <c r="L7747" t="s">
        <v>43</v>
      </c>
      <c r="M7747" t="s">
        <v>43</v>
      </c>
      <c r="N7747" t="s">
        <v>45</v>
      </c>
      <c r="O7747" t="s">
        <v>43</v>
      </c>
      <c r="P7747" t="s">
        <v>43</v>
      </c>
      <c r="Q7747" t="s">
        <v>43</v>
      </c>
      <c r="R7747" t="s">
        <v>43</v>
      </c>
      <c r="S7747" t="s">
        <v>43</v>
      </c>
      <c r="T7747" t="s">
        <v>43</v>
      </c>
      <c r="U7747" t="s">
        <v>43</v>
      </c>
      <c r="V7747" t="s">
        <v>43</v>
      </c>
      <c r="W7747" t="s">
        <v>43</v>
      </c>
      <c r="X7747" t="s">
        <v>43</v>
      </c>
      <c r="Y7747" t="s">
        <v>43</v>
      </c>
      <c r="Z7747" t="s">
        <v>43</v>
      </c>
      <c r="AA7747" t="s">
        <v>43</v>
      </c>
      <c r="AB7747" t="s">
        <v>43</v>
      </c>
      <c r="AC7747" t="s">
        <v>43</v>
      </c>
      <c r="AD7747" t="s">
        <v>43</v>
      </c>
      <c r="AE7747" t="s">
        <v>43</v>
      </c>
      <c r="AF7747" t="s">
        <v>43</v>
      </c>
      <c r="AG7747" t="s">
        <v>43</v>
      </c>
      <c r="AH7747" t="s">
        <v>43</v>
      </c>
      <c r="AI7747" t="s">
        <v>43</v>
      </c>
      <c r="AJ7747" t="s">
        <v>43</v>
      </c>
      <c r="AK7747" t="s">
        <v>43</v>
      </c>
      <c r="AL7747" t="s">
        <v>43</v>
      </c>
      <c r="AM7747" t="s">
        <v>43</v>
      </c>
      <c r="AN7747" t="str">
        <f>HYPERLINK("https://www.google.com/maps?q=10.7896719,79.57876587","Open Location")</f>
        <v>Open Location</v>
      </c>
    </row>
    <row r="7748" spans="1:40" x14ac:dyDescent="0.3">
      <c r="A7748" s="1">
        <v>46210.102546296293</v>
      </c>
      <c r="B7748" t="s">
        <v>40</v>
      </c>
      <c r="C7748" t="s">
        <v>41</v>
      </c>
      <c r="D7748" s="1">
        <v>46210.105671296296</v>
      </c>
      <c r="E7748" t="s">
        <v>42</v>
      </c>
      <c r="F7748" t="s">
        <v>43</v>
      </c>
      <c r="G7748" t="s">
        <v>43</v>
      </c>
      <c r="H7748" t="s">
        <v>43</v>
      </c>
      <c r="I7748" t="s">
        <v>4042</v>
      </c>
      <c r="J7748" t="s">
        <v>43</v>
      </c>
      <c r="K7748" t="s">
        <v>43</v>
      </c>
      <c r="L7748" t="s">
        <v>43</v>
      </c>
      <c r="M7748" t="s">
        <v>43</v>
      </c>
      <c r="N7748" t="s">
        <v>45</v>
      </c>
      <c r="O7748" t="s">
        <v>43</v>
      </c>
      <c r="P7748" t="s">
        <v>43</v>
      </c>
      <c r="Q7748" t="s">
        <v>43</v>
      </c>
      <c r="R7748" t="s">
        <v>43</v>
      </c>
      <c r="S7748" t="s">
        <v>43</v>
      </c>
      <c r="T7748" t="s">
        <v>43</v>
      </c>
      <c r="U7748" t="s">
        <v>43</v>
      </c>
      <c r="V7748" t="s">
        <v>43</v>
      </c>
      <c r="W7748" t="s">
        <v>43</v>
      </c>
      <c r="X7748" t="s">
        <v>43</v>
      </c>
      <c r="Y7748" t="s">
        <v>43</v>
      </c>
      <c r="Z7748" t="s">
        <v>43</v>
      </c>
      <c r="AA7748" t="s">
        <v>43</v>
      </c>
      <c r="AB7748" t="s">
        <v>43</v>
      </c>
      <c r="AC7748" t="s">
        <v>43</v>
      </c>
      <c r="AD7748" t="s">
        <v>43</v>
      </c>
      <c r="AE7748" t="s">
        <v>43</v>
      </c>
      <c r="AF7748" t="s">
        <v>43</v>
      </c>
      <c r="AG7748" t="s">
        <v>43</v>
      </c>
      <c r="AH7748" t="s">
        <v>43</v>
      </c>
      <c r="AI7748" t="s">
        <v>43</v>
      </c>
      <c r="AJ7748" t="s">
        <v>43</v>
      </c>
      <c r="AK7748" t="s">
        <v>43</v>
      </c>
      <c r="AL7748" t="s">
        <v>43</v>
      </c>
      <c r="AM7748" t="s">
        <v>43</v>
      </c>
      <c r="AN7748" t="str">
        <f>HYPERLINK("https://www.google.com/maps?q=10.78966141,79.57876587","Open Location")</f>
        <v>Open Location</v>
      </c>
    </row>
    <row r="7749" spans="1:40" x14ac:dyDescent="0.3">
      <c r="A7749" s="1">
        <v>46210.102430555555</v>
      </c>
      <c r="B7749" t="s">
        <v>40</v>
      </c>
      <c r="C7749" t="s">
        <v>41</v>
      </c>
      <c r="D7749" s="1">
        <v>46210.105671296296</v>
      </c>
      <c r="E7749" t="s">
        <v>42</v>
      </c>
      <c r="F7749" t="s">
        <v>43</v>
      </c>
      <c r="G7749" t="s">
        <v>43</v>
      </c>
      <c r="H7749" t="s">
        <v>43</v>
      </c>
      <c r="I7749" t="s">
        <v>3984</v>
      </c>
      <c r="J7749" t="s">
        <v>43</v>
      </c>
      <c r="K7749" t="s">
        <v>43</v>
      </c>
      <c r="L7749" t="s">
        <v>43</v>
      </c>
      <c r="M7749" t="s">
        <v>43</v>
      </c>
      <c r="N7749" t="s">
        <v>45</v>
      </c>
      <c r="O7749" t="s">
        <v>43</v>
      </c>
      <c r="P7749" t="s">
        <v>43</v>
      </c>
      <c r="Q7749" t="s">
        <v>43</v>
      </c>
      <c r="R7749" t="s">
        <v>43</v>
      </c>
      <c r="S7749" t="s">
        <v>43</v>
      </c>
      <c r="T7749" t="s">
        <v>43</v>
      </c>
      <c r="U7749" t="s">
        <v>43</v>
      </c>
      <c r="V7749" t="s">
        <v>43</v>
      </c>
      <c r="W7749" t="s">
        <v>43</v>
      </c>
      <c r="X7749" t="s">
        <v>43</v>
      </c>
      <c r="Y7749" t="s">
        <v>43</v>
      </c>
      <c r="Z7749" t="s">
        <v>43</v>
      </c>
      <c r="AA7749" t="s">
        <v>43</v>
      </c>
      <c r="AB7749" t="s">
        <v>43</v>
      </c>
      <c r="AC7749" t="s">
        <v>43</v>
      </c>
      <c r="AD7749" t="s">
        <v>43</v>
      </c>
      <c r="AE7749" t="s">
        <v>43</v>
      </c>
      <c r="AF7749" t="s">
        <v>43</v>
      </c>
      <c r="AG7749" t="s">
        <v>43</v>
      </c>
      <c r="AH7749" t="s">
        <v>43</v>
      </c>
      <c r="AI7749" t="s">
        <v>43</v>
      </c>
      <c r="AJ7749" t="s">
        <v>43</v>
      </c>
      <c r="AK7749" t="s">
        <v>43</v>
      </c>
      <c r="AL7749" t="s">
        <v>43</v>
      </c>
      <c r="AM7749" t="s">
        <v>43</v>
      </c>
      <c r="AN7749" t="str">
        <f>HYPERLINK("https://www.google.com/maps?q=10.78965664,79.57876587","Open Location")</f>
        <v>Open Location</v>
      </c>
    </row>
    <row r="7750" spans="1:40" x14ac:dyDescent="0.3">
      <c r="A7750" s="1">
        <v>46210.102314814816</v>
      </c>
      <c r="B7750" t="s">
        <v>40</v>
      </c>
      <c r="C7750" t="s">
        <v>41</v>
      </c>
      <c r="D7750" s="1">
        <v>46210.105312500003</v>
      </c>
      <c r="E7750" t="s">
        <v>42</v>
      </c>
      <c r="F7750" t="s">
        <v>43</v>
      </c>
      <c r="G7750" t="s">
        <v>43</v>
      </c>
      <c r="H7750" t="s">
        <v>43</v>
      </c>
      <c r="I7750" t="s">
        <v>3959</v>
      </c>
      <c r="J7750" t="s">
        <v>43</v>
      </c>
      <c r="K7750" t="s">
        <v>43</v>
      </c>
      <c r="L7750" t="s">
        <v>43</v>
      </c>
      <c r="M7750" t="s">
        <v>43</v>
      </c>
      <c r="N7750" t="s">
        <v>45</v>
      </c>
      <c r="O7750" t="s">
        <v>43</v>
      </c>
      <c r="P7750" t="s">
        <v>43</v>
      </c>
      <c r="Q7750" t="s">
        <v>43</v>
      </c>
      <c r="R7750" t="s">
        <v>43</v>
      </c>
      <c r="S7750" t="s">
        <v>43</v>
      </c>
      <c r="T7750" t="s">
        <v>43</v>
      </c>
      <c r="U7750" t="s">
        <v>43</v>
      </c>
      <c r="V7750" t="s">
        <v>43</v>
      </c>
      <c r="W7750" t="s">
        <v>43</v>
      </c>
      <c r="X7750" t="s">
        <v>43</v>
      </c>
      <c r="Y7750" t="s">
        <v>43</v>
      </c>
      <c r="Z7750" t="s">
        <v>43</v>
      </c>
      <c r="AA7750" t="s">
        <v>43</v>
      </c>
      <c r="AB7750" t="s">
        <v>43</v>
      </c>
      <c r="AC7750" t="s">
        <v>43</v>
      </c>
      <c r="AD7750" t="s">
        <v>43</v>
      </c>
      <c r="AE7750" t="s">
        <v>43</v>
      </c>
      <c r="AF7750" t="s">
        <v>43</v>
      </c>
      <c r="AG7750" t="s">
        <v>43</v>
      </c>
      <c r="AH7750" t="s">
        <v>43</v>
      </c>
      <c r="AI7750" t="s">
        <v>43</v>
      </c>
      <c r="AJ7750" t="s">
        <v>43</v>
      </c>
      <c r="AK7750" t="s">
        <v>43</v>
      </c>
      <c r="AL7750" t="s">
        <v>43</v>
      </c>
      <c r="AM7750" t="s">
        <v>43</v>
      </c>
      <c r="AN7750" t="str">
        <f>HYPERLINK("https://www.google.com/maps?q=10.78965282,79.57876587","Open Location")</f>
        <v>Open Location</v>
      </c>
    </row>
    <row r="7751" spans="1:40" x14ac:dyDescent="0.3">
      <c r="A7751" s="1">
        <v>46210.102199074077</v>
      </c>
      <c r="B7751" t="s">
        <v>40</v>
      </c>
      <c r="C7751" t="s">
        <v>41</v>
      </c>
      <c r="D7751" s="1">
        <v>46210.105185185188</v>
      </c>
      <c r="E7751" t="s">
        <v>42</v>
      </c>
      <c r="F7751" t="s">
        <v>43</v>
      </c>
      <c r="G7751" t="s">
        <v>43</v>
      </c>
      <c r="H7751" t="s">
        <v>43</v>
      </c>
      <c r="I7751" t="s">
        <v>3961</v>
      </c>
      <c r="J7751" t="s">
        <v>43</v>
      </c>
      <c r="K7751" t="s">
        <v>43</v>
      </c>
      <c r="L7751" t="s">
        <v>43</v>
      </c>
      <c r="M7751" t="s">
        <v>43</v>
      </c>
      <c r="N7751" t="s">
        <v>45</v>
      </c>
      <c r="O7751" t="s">
        <v>43</v>
      </c>
      <c r="P7751" t="s">
        <v>43</v>
      </c>
      <c r="Q7751" t="s">
        <v>43</v>
      </c>
      <c r="R7751" t="s">
        <v>43</v>
      </c>
      <c r="S7751" t="s">
        <v>43</v>
      </c>
      <c r="T7751" t="s">
        <v>43</v>
      </c>
      <c r="U7751" t="s">
        <v>43</v>
      </c>
      <c r="V7751" t="s">
        <v>43</v>
      </c>
      <c r="W7751" t="s">
        <v>43</v>
      </c>
      <c r="X7751" t="s">
        <v>43</v>
      </c>
      <c r="Y7751" t="s">
        <v>43</v>
      </c>
      <c r="Z7751" t="s">
        <v>43</v>
      </c>
      <c r="AA7751" t="s">
        <v>43</v>
      </c>
      <c r="AB7751" t="s">
        <v>43</v>
      </c>
      <c r="AC7751" t="s">
        <v>43</v>
      </c>
      <c r="AD7751" t="s">
        <v>43</v>
      </c>
      <c r="AE7751" t="s">
        <v>43</v>
      </c>
      <c r="AF7751" t="s">
        <v>43</v>
      </c>
      <c r="AG7751" t="s">
        <v>43</v>
      </c>
      <c r="AH7751" t="s">
        <v>43</v>
      </c>
      <c r="AI7751" t="s">
        <v>43</v>
      </c>
      <c r="AJ7751" t="s">
        <v>43</v>
      </c>
      <c r="AK7751" t="s">
        <v>43</v>
      </c>
      <c r="AL7751" t="s">
        <v>43</v>
      </c>
      <c r="AM7751" t="s">
        <v>43</v>
      </c>
      <c r="AN7751" t="str">
        <f>HYPERLINK("https://www.google.com/maps?q=10.78965473,79.57876587","Open Location")</f>
        <v>Open Location</v>
      </c>
    </row>
    <row r="7752" spans="1:40" x14ac:dyDescent="0.3">
      <c r="A7752" s="1">
        <v>46210.102083333331</v>
      </c>
      <c r="B7752" t="s">
        <v>40</v>
      </c>
      <c r="C7752" t="s">
        <v>41</v>
      </c>
      <c r="D7752" s="1">
        <v>46210.105185185188</v>
      </c>
      <c r="E7752" t="s">
        <v>42</v>
      </c>
      <c r="F7752" t="s">
        <v>43</v>
      </c>
      <c r="G7752" t="s">
        <v>43</v>
      </c>
      <c r="H7752" t="s">
        <v>43</v>
      </c>
      <c r="I7752" t="s">
        <v>43</v>
      </c>
      <c r="J7752" t="s">
        <v>43</v>
      </c>
      <c r="K7752" t="s">
        <v>43</v>
      </c>
      <c r="L7752" t="s">
        <v>43</v>
      </c>
      <c r="M7752" t="s">
        <v>43</v>
      </c>
      <c r="N7752" t="s">
        <v>45</v>
      </c>
      <c r="O7752" t="s">
        <v>43</v>
      </c>
      <c r="P7752" t="s">
        <v>43</v>
      </c>
      <c r="Q7752" t="s">
        <v>43</v>
      </c>
      <c r="R7752" t="s">
        <v>43</v>
      </c>
      <c r="S7752" t="s">
        <v>43</v>
      </c>
      <c r="T7752" t="s">
        <v>43</v>
      </c>
      <c r="U7752" t="s">
        <v>43</v>
      </c>
      <c r="V7752" t="s">
        <v>43</v>
      </c>
      <c r="W7752" t="s">
        <v>43</v>
      </c>
      <c r="X7752" t="s">
        <v>43</v>
      </c>
      <c r="Y7752" t="s">
        <v>43</v>
      </c>
      <c r="Z7752" t="s">
        <v>43</v>
      </c>
      <c r="AA7752" t="s">
        <v>43</v>
      </c>
      <c r="AB7752" t="s">
        <v>43</v>
      </c>
      <c r="AC7752" t="s">
        <v>43</v>
      </c>
      <c r="AD7752" t="s">
        <v>43</v>
      </c>
      <c r="AE7752" t="s">
        <v>43</v>
      </c>
      <c r="AF7752" t="s">
        <v>43</v>
      </c>
      <c r="AG7752" t="s">
        <v>43</v>
      </c>
      <c r="AH7752" t="s">
        <v>43</v>
      </c>
      <c r="AI7752" t="s">
        <v>43</v>
      </c>
      <c r="AJ7752" t="s">
        <v>43</v>
      </c>
      <c r="AK7752" t="s">
        <v>43</v>
      </c>
      <c r="AL7752" t="s">
        <v>43</v>
      </c>
      <c r="AM7752" t="s">
        <v>43</v>
      </c>
      <c r="AN7752" t="s">
        <v>43</v>
      </c>
    </row>
    <row r="7753" spans="1:40" x14ac:dyDescent="0.3">
      <c r="A7753" s="1">
        <v>46210.101967592593</v>
      </c>
      <c r="B7753" t="s">
        <v>40</v>
      </c>
      <c r="C7753" t="s">
        <v>41</v>
      </c>
      <c r="D7753" s="1">
        <v>46210.104884259257</v>
      </c>
      <c r="E7753" t="s">
        <v>42</v>
      </c>
      <c r="F7753" t="s">
        <v>43</v>
      </c>
      <c r="G7753" t="s">
        <v>43</v>
      </c>
      <c r="H7753" t="s">
        <v>43</v>
      </c>
      <c r="I7753" t="s">
        <v>3964</v>
      </c>
      <c r="J7753" t="s">
        <v>43</v>
      </c>
      <c r="K7753" t="s">
        <v>43</v>
      </c>
      <c r="L7753" t="s">
        <v>43</v>
      </c>
      <c r="M7753" t="s">
        <v>43</v>
      </c>
      <c r="N7753" t="s">
        <v>45</v>
      </c>
      <c r="O7753" t="s">
        <v>43</v>
      </c>
      <c r="P7753" t="s">
        <v>43</v>
      </c>
      <c r="Q7753" t="s">
        <v>43</v>
      </c>
      <c r="R7753" t="s">
        <v>43</v>
      </c>
      <c r="S7753" t="s">
        <v>43</v>
      </c>
      <c r="T7753" t="s">
        <v>43</v>
      </c>
      <c r="U7753" t="s">
        <v>43</v>
      </c>
      <c r="V7753" t="s">
        <v>43</v>
      </c>
      <c r="W7753" t="s">
        <v>43</v>
      </c>
      <c r="X7753" t="s">
        <v>43</v>
      </c>
      <c r="Y7753" t="s">
        <v>43</v>
      </c>
      <c r="Z7753" t="s">
        <v>43</v>
      </c>
      <c r="AA7753" t="s">
        <v>43</v>
      </c>
      <c r="AB7753" t="s">
        <v>43</v>
      </c>
      <c r="AC7753" t="s">
        <v>43</v>
      </c>
      <c r="AD7753" t="s">
        <v>43</v>
      </c>
      <c r="AE7753" t="s">
        <v>43</v>
      </c>
      <c r="AF7753" t="s">
        <v>43</v>
      </c>
      <c r="AG7753" t="s">
        <v>43</v>
      </c>
      <c r="AH7753" t="s">
        <v>43</v>
      </c>
      <c r="AI7753" t="s">
        <v>43</v>
      </c>
      <c r="AJ7753" t="s">
        <v>43</v>
      </c>
      <c r="AK7753" t="s">
        <v>43</v>
      </c>
      <c r="AL7753" t="s">
        <v>43</v>
      </c>
      <c r="AM7753" t="s">
        <v>43</v>
      </c>
      <c r="AN7753" t="str">
        <f>HYPERLINK("https://www.google.com/maps?q=10.78965378,79.57876587","Open Location")</f>
        <v>Open Location</v>
      </c>
    </row>
    <row r="7754" spans="1:40" x14ac:dyDescent="0.3">
      <c r="A7754" s="1">
        <v>46210.101851851854</v>
      </c>
      <c r="B7754" t="s">
        <v>40</v>
      </c>
      <c r="C7754" t="s">
        <v>41</v>
      </c>
      <c r="D7754" s="1">
        <v>46210.10491898148</v>
      </c>
      <c r="E7754" t="s">
        <v>42</v>
      </c>
      <c r="F7754" t="s">
        <v>43</v>
      </c>
      <c r="G7754" t="s">
        <v>43</v>
      </c>
      <c r="H7754" t="s">
        <v>43</v>
      </c>
      <c r="I7754" t="s">
        <v>3958</v>
      </c>
      <c r="J7754" t="s">
        <v>43</v>
      </c>
      <c r="K7754" t="s">
        <v>43</v>
      </c>
      <c r="L7754" t="s">
        <v>43</v>
      </c>
      <c r="M7754" t="s">
        <v>43</v>
      </c>
      <c r="N7754" t="s">
        <v>45</v>
      </c>
      <c r="O7754" t="s">
        <v>43</v>
      </c>
      <c r="P7754" t="s">
        <v>43</v>
      </c>
      <c r="Q7754" t="s">
        <v>43</v>
      </c>
      <c r="R7754" t="s">
        <v>43</v>
      </c>
      <c r="S7754" t="s">
        <v>43</v>
      </c>
      <c r="T7754" t="s">
        <v>43</v>
      </c>
      <c r="U7754" t="s">
        <v>43</v>
      </c>
      <c r="V7754" t="s">
        <v>43</v>
      </c>
      <c r="W7754" t="s">
        <v>43</v>
      </c>
      <c r="X7754" t="s">
        <v>43</v>
      </c>
      <c r="Y7754" t="s">
        <v>43</v>
      </c>
      <c r="Z7754" t="s">
        <v>43</v>
      </c>
      <c r="AA7754" t="s">
        <v>43</v>
      </c>
      <c r="AB7754" t="s">
        <v>43</v>
      </c>
      <c r="AC7754" t="s">
        <v>43</v>
      </c>
      <c r="AD7754" t="s">
        <v>43</v>
      </c>
      <c r="AE7754" t="s">
        <v>43</v>
      </c>
      <c r="AF7754" t="s">
        <v>43</v>
      </c>
      <c r="AG7754" t="s">
        <v>43</v>
      </c>
      <c r="AH7754" t="s">
        <v>43</v>
      </c>
      <c r="AI7754" t="s">
        <v>43</v>
      </c>
      <c r="AJ7754" t="s">
        <v>43</v>
      </c>
      <c r="AK7754" t="s">
        <v>43</v>
      </c>
      <c r="AL7754" t="s">
        <v>43</v>
      </c>
      <c r="AM7754" t="s">
        <v>43</v>
      </c>
      <c r="AN7754" t="str">
        <f>HYPERLINK("https://www.google.com/maps?q=10.78965569,79.57876587","Open Location")</f>
        <v>Open Location</v>
      </c>
    </row>
    <row r="7755" spans="1:40" x14ac:dyDescent="0.3">
      <c r="A7755" s="1">
        <v>46210.101736111108</v>
      </c>
      <c r="B7755" t="s">
        <v>40</v>
      </c>
      <c r="C7755" t="s">
        <v>41</v>
      </c>
      <c r="D7755" s="1">
        <v>46210.104664351849</v>
      </c>
      <c r="E7755" t="s">
        <v>42</v>
      </c>
      <c r="F7755" t="s">
        <v>43</v>
      </c>
      <c r="G7755" t="s">
        <v>43</v>
      </c>
      <c r="H7755" t="s">
        <v>43</v>
      </c>
      <c r="I7755" t="s">
        <v>3964</v>
      </c>
      <c r="J7755" t="s">
        <v>43</v>
      </c>
      <c r="K7755" t="s">
        <v>43</v>
      </c>
      <c r="L7755" t="s">
        <v>43</v>
      </c>
      <c r="M7755" t="s">
        <v>43</v>
      </c>
      <c r="N7755" t="s">
        <v>45</v>
      </c>
      <c r="O7755" t="s">
        <v>43</v>
      </c>
      <c r="P7755" t="s">
        <v>43</v>
      </c>
      <c r="Q7755" t="s">
        <v>43</v>
      </c>
      <c r="R7755" t="s">
        <v>43</v>
      </c>
      <c r="S7755" t="s">
        <v>43</v>
      </c>
      <c r="T7755" t="s">
        <v>43</v>
      </c>
      <c r="U7755" t="s">
        <v>43</v>
      </c>
      <c r="V7755" t="s">
        <v>43</v>
      </c>
      <c r="W7755" t="s">
        <v>43</v>
      </c>
      <c r="X7755" t="s">
        <v>43</v>
      </c>
      <c r="Y7755" t="s">
        <v>43</v>
      </c>
      <c r="Z7755" t="s">
        <v>43</v>
      </c>
      <c r="AA7755" t="s">
        <v>43</v>
      </c>
      <c r="AB7755" t="s">
        <v>43</v>
      </c>
      <c r="AC7755" t="s">
        <v>43</v>
      </c>
      <c r="AD7755" t="s">
        <v>43</v>
      </c>
      <c r="AE7755" t="s">
        <v>43</v>
      </c>
      <c r="AF7755" t="s">
        <v>43</v>
      </c>
      <c r="AG7755" t="s">
        <v>43</v>
      </c>
      <c r="AH7755" t="s">
        <v>43</v>
      </c>
      <c r="AI7755" t="s">
        <v>43</v>
      </c>
      <c r="AJ7755" t="s">
        <v>43</v>
      </c>
      <c r="AK7755" t="s">
        <v>43</v>
      </c>
      <c r="AL7755" t="s">
        <v>43</v>
      </c>
      <c r="AM7755" t="s">
        <v>43</v>
      </c>
      <c r="AN7755" t="str">
        <f>HYPERLINK("https://www.google.com/maps?q=10.78965378,79.57876587","Open Location")</f>
        <v>Open Location</v>
      </c>
    </row>
    <row r="7756" spans="1:40" x14ac:dyDescent="0.3">
      <c r="A7756" s="1">
        <v>46210.101620370369</v>
      </c>
      <c r="B7756" t="s">
        <v>40</v>
      </c>
      <c r="C7756" t="s">
        <v>41</v>
      </c>
      <c r="D7756" s="1">
        <v>46210.104444444441</v>
      </c>
      <c r="E7756" t="s">
        <v>42</v>
      </c>
      <c r="F7756" t="s">
        <v>43</v>
      </c>
      <c r="G7756" t="s">
        <v>43</v>
      </c>
      <c r="H7756" t="s">
        <v>43</v>
      </c>
      <c r="I7756" t="s">
        <v>3961</v>
      </c>
      <c r="J7756" t="s">
        <v>43</v>
      </c>
      <c r="K7756" t="s">
        <v>43</v>
      </c>
      <c r="L7756" t="s">
        <v>43</v>
      </c>
      <c r="M7756" t="s">
        <v>43</v>
      </c>
      <c r="N7756" t="s">
        <v>45</v>
      </c>
      <c r="O7756" t="s">
        <v>43</v>
      </c>
      <c r="P7756" t="s">
        <v>43</v>
      </c>
      <c r="Q7756" t="s">
        <v>43</v>
      </c>
      <c r="R7756" t="s">
        <v>43</v>
      </c>
      <c r="S7756" t="s">
        <v>43</v>
      </c>
      <c r="T7756" t="s">
        <v>43</v>
      </c>
      <c r="U7756" t="s">
        <v>43</v>
      </c>
      <c r="V7756" t="s">
        <v>43</v>
      </c>
      <c r="W7756" t="s">
        <v>43</v>
      </c>
      <c r="X7756" t="s">
        <v>43</v>
      </c>
      <c r="Y7756" t="s">
        <v>43</v>
      </c>
      <c r="Z7756" t="s">
        <v>43</v>
      </c>
      <c r="AA7756" t="s">
        <v>43</v>
      </c>
      <c r="AB7756" t="s">
        <v>43</v>
      </c>
      <c r="AC7756" t="s">
        <v>43</v>
      </c>
      <c r="AD7756" t="s">
        <v>43</v>
      </c>
      <c r="AE7756" t="s">
        <v>43</v>
      </c>
      <c r="AF7756" t="s">
        <v>43</v>
      </c>
      <c r="AG7756" t="s">
        <v>43</v>
      </c>
      <c r="AH7756" t="s">
        <v>43</v>
      </c>
      <c r="AI7756" t="s">
        <v>43</v>
      </c>
      <c r="AJ7756" t="s">
        <v>43</v>
      </c>
      <c r="AK7756" t="s">
        <v>43</v>
      </c>
      <c r="AL7756" t="s">
        <v>43</v>
      </c>
      <c r="AM7756" t="s">
        <v>43</v>
      </c>
      <c r="AN7756" t="str">
        <f>HYPERLINK("https://www.google.com/maps?q=10.78965473,79.57876587","Open Location")</f>
        <v>Open Location</v>
      </c>
    </row>
    <row r="7757" spans="1:40" x14ac:dyDescent="0.3">
      <c r="A7757" s="1">
        <v>46210.101504629631</v>
      </c>
      <c r="B7757" t="s">
        <v>40</v>
      </c>
      <c r="C7757" t="s">
        <v>41</v>
      </c>
      <c r="D7757" s="1">
        <v>46210.104560185187</v>
      </c>
      <c r="E7757" t="s">
        <v>42</v>
      </c>
      <c r="F7757" t="s">
        <v>43</v>
      </c>
      <c r="G7757" t="s">
        <v>43</v>
      </c>
      <c r="H7757" t="s">
        <v>43</v>
      </c>
      <c r="I7757" t="s">
        <v>3994</v>
      </c>
      <c r="J7757" t="s">
        <v>43</v>
      </c>
      <c r="K7757" t="s">
        <v>43</v>
      </c>
      <c r="L7757" t="s">
        <v>43</v>
      </c>
      <c r="M7757" t="s">
        <v>43</v>
      </c>
      <c r="N7757" t="s">
        <v>45</v>
      </c>
      <c r="O7757" t="s">
        <v>43</v>
      </c>
      <c r="P7757" t="s">
        <v>43</v>
      </c>
      <c r="Q7757" t="s">
        <v>43</v>
      </c>
      <c r="R7757" t="s">
        <v>43</v>
      </c>
      <c r="S7757" t="s">
        <v>43</v>
      </c>
      <c r="T7757" t="s">
        <v>43</v>
      </c>
      <c r="U7757" t="s">
        <v>43</v>
      </c>
      <c r="V7757" t="s">
        <v>43</v>
      </c>
      <c r="W7757" t="s">
        <v>43</v>
      </c>
      <c r="X7757" t="s">
        <v>43</v>
      </c>
      <c r="Y7757" t="s">
        <v>43</v>
      </c>
      <c r="Z7757" t="s">
        <v>43</v>
      </c>
      <c r="AA7757" t="s">
        <v>43</v>
      </c>
      <c r="AB7757" t="s">
        <v>43</v>
      </c>
      <c r="AC7757" t="s">
        <v>43</v>
      </c>
      <c r="AD7757" t="s">
        <v>43</v>
      </c>
      <c r="AE7757" t="s">
        <v>43</v>
      </c>
      <c r="AF7757" t="s">
        <v>43</v>
      </c>
      <c r="AG7757" t="s">
        <v>43</v>
      </c>
      <c r="AH7757" t="s">
        <v>43</v>
      </c>
      <c r="AI7757" t="s">
        <v>43</v>
      </c>
      <c r="AJ7757" t="s">
        <v>43</v>
      </c>
      <c r="AK7757" t="s">
        <v>43</v>
      </c>
      <c r="AL7757" t="s">
        <v>43</v>
      </c>
      <c r="AM7757" t="s">
        <v>43</v>
      </c>
      <c r="AN7757" t="str">
        <f>HYPERLINK("https://www.google.com/maps?q=10.78965759,79.57876587","Open Location")</f>
        <v>Open Location</v>
      </c>
    </row>
    <row r="7758" spans="1:40" x14ac:dyDescent="0.3">
      <c r="A7758" s="1">
        <v>46210.101388888892</v>
      </c>
      <c r="B7758" t="s">
        <v>40</v>
      </c>
      <c r="C7758" t="s">
        <v>41</v>
      </c>
      <c r="D7758" s="1">
        <v>46210.104560185187</v>
      </c>
      <c r="E7758" t="s">
        <v>42</v>
      </c>
      <c r="F7758" t="s">
        <v>43</v>
      </c>
      <c r="G7758" t="s">
        <v>43</v>
      </c>
      <c r="H7758" t="s">
        <v>43</v>
      </c>
      <c r="I7758" t="s">
        <v>43</v>
      </c>
      <c r="J7758" t="s">
        <v>43</v>
      </c>
      <c r="K7758" t="s">
        <v>43</v>
      </c>
      <c r="L7758" t="s">
        <v>43</v>
      </c>
      <c r="M7758" t="s">
        <v>43</v>
      </c>
      <c r="N7758" t="s">
        <v>45</v>
      </c>
      <c r="O7758" t="s">
        <v>43</v>
      </c>
      <c r="P7758" t="s">
        <v>43</v>
      </c>
      <c r="Q7758" t="s">
        <v>43</v>
      </c>
      <c r="R7758" t="s">
        <v>43</v>
      </c>
      <c r="S7758" t="s">
        <v>43</v>
      </c>
      <c r="T7758" t="s">
        <v>43</v>
      </c>
      <c r="U7758" t="s">
        <v>43</v>
      </c>
      <c r="V7758" t="s">
        <v>43</v>
      </c>
      <c r="W7758" t="s">
        <v>43</v>
      </c>
      <c r="X7758" t="s">
        <v>43</v>
      </c>
      <c r="Y7758" t="s">
        <v>43</v>
      </c>
      <c r="Z7758" t="s">
        <v>43</v>
      </c>
      <c r="AA7758" t="s">
        <v>43</v>
      </c>
      <c r="AB7758" t="s">
        <v>43</v>
      </c>
      <c r="AC7758" t="s">
        <v>43</v>
      </c>
      <c r="AD7758" t="s">
        <v>43</v>
      </c>
      <c r="AE7758" t="s">
        <v>43</v>
      </c>
      <c r="AF7758" t="s">
        <v>43</v>
      </c>
      <c r="AG7758" t="s">
        <v>43</v>
      </c>
      <c r="AH7758" t="s">
        <v>43</v>
      </c>
      <c r="AI7758" t="s">
        <v>43</v>
      </c>
      <c r="AJ7758" t="s">
        <v>43</v>
      </c>
      <c r="AK7758" t="s">
        <v>43</v>
      </c>
      <c r="AL7758" t="s">
        <v>43</v>
      </c>
      <c r="AM7758" t="s">
        <v>43</v>
      </c>
      <c r="AN7758" t="s">
        <v>43</v>
      </c>
    </row>
    <row r="7759" spans="1:40" x14ac:dyDescent="0.3">
      <c r="A7759" s="1">
        <v>46210.101273148146</v>
      </c>
      <c r="B7759" t="s">
        <v>40</v>
      </c>
      <c r="C7759" t="s">
        <v>41</v>
      </c>
      <c r="D7759" s="1">
        <v>46210.104467592595</v>
      </c>
      <c r="E7759" t="s">
        <v>42</v>
      </c>
      <c r="F7759" t="s">
        <v>43</v>
      </c>
      <c r="G7759" t="s">
        <v>43</v>
      </c>
      <c r="H7759" t="s">
        <v>43</v>
      </c>
      <c r="I7759" t="s">
        <v>4037</v>
      </c>
      <c r="J7759" t="s">
        <v>43</v>
      </c>
      <c r="K7759" t="s">
        <v>43</v>
      </c>
      <c r="L7759" t="s">
        <v>43</v>
      </c>
      <c r="M7759" t="s">
        <v>43</v>
      </c>
      <c r="N7759" t="s">
        <v>45</v>
      </c>
      <c r="O7759" t="s">
        <v>43</v>
      </c>
      <c r="P7759" t="s">
        <v>43</v>
      </c>
      <c r="Q7759" t="s">
        <v>43</v>
      </c>
      <c r="R7759" t="s">
        <v>43</v>
      </c>
      <c r="S7759" t="s">
        <v>43</v>
      </c>
      <c r="T7759" t="s">
        <v>43</v>
      </c>
      <c r="U7759" t="s">
        <v>43</v>
      </c>
      <c r="V7759" t="s">
        <v>43</v>
      </c>
      <c r="W7759" t="s">
        <v>43</v>
      </c>
      <c r="X7759" t="s">
        <v>43</v>
      </c>
      <c r="Y7759" t="s">
        <v>43</v>
      </c>
      <c r="Z7759" t="s">
        <v>43</v>
      </c>
      <c r="AA7759" t="s">
        <v>43</v>
      </c>
      <c r="AB7759" t="s">
        <v>43</v>
      </c>
      <c r="AC7759" t="s">
        <v>43</v>
      </c>
      <c r="AD7759" t="s">
        <v>43</v>
      </c>
      <c r="AE7759" t="s">
        <v>43</v>
      </c>
      <c r="AF7759" t="s">
        <v>43</v>
      </c>
      <c r="AG7759" t="s">
        <v>43</v>
      </c>
      <c r="AH7759" t="s">
        <v>43</v>
      </c>
      <c r="AI7759" t="s">
        <v>43</v>
      </c>
      <c r="AJ7759" t="s">
        <v>43</v>
      </c>
      <c r="AK7759" t="s">
        <v>43</v>
      </c>
      <c r="AL7759" t="s">
        <v>43</v>
      </c>
      <c r="AM7759" t="s">
        <v>43</v>
      </c>
      <c r="AN7759" t="str">
        <f>HYPERLINK("https://www.google.com/maps?q=10.78966045,79.5787735","Open Location")</f>
        <v>Open Location</v>
      </c>
    </row>
    <row r="7760" spans="1:40" x14ac:dyDescent="0.3">
      <c r="A7760" s="1">
        <v>46210.101157407407</v>
      </c>
      <c r="B7760" t="s">
        <v>40</v>
      </c>
      <c r="C7760" t="s">
        <v>41</v>
      </c>
      <c r="D7760" s="1">
        <v>46210.104097222225</v>
      </c>
      <c r="E7760" t="s">
        <v>42</v>
      </c>
      <c r="F7760" t="s">
        <v>43</v>
      </c>
      <c r="G7760" t="s">
        <v>43</v>
      </c>
      <c r="H7760" t="s">
        <v>43</v>
      </c>
      <c r="I7760" t="s">
        <v>4351</v>
      </c>
      <c r="J7760" t="s">
        <v>43</v>
      </c>
      <c r="K7760" t="s">
        <v>43</v>
      </c>
      <c r="L7760" t="s">
        <v>43</v>
      </c>
      <c r="M7760" t="s">
        <v>43</v>
      </c>
      <c r="N7760" t="s">
        <v>45</v>
      </c>
      <c r="O7760" t="s">
        <v>43</v>
      </c>
      <c r="P7760" t="s">
        <v>43</v>
      </c>
      <c r="Q7760" t="s">
        <v>43</v>
      </c>
      <c r="R7760" t="s">
        <v>43</v>
      </c>
      <c r="S7760" t="s">
        <v>43</v>
      </c>
      <c r="T7760" t="s">
        <v>43</v>
      </c>
      <c r="U7760" t="s">
        <v>43</v>
      </c>
      <c r="V7760" t="s">
        <v>43</v>
      </c>
      <c r="W7760" t="s">
        <v>43</v>
      </c>
      <c r="X7760" t="s">
        <v>43</v>
      </c>
      <c r="Y7760" t="s">
        <v>43</v>
      </c>
      <c r="Z7760" t="s">
        <v>43</v>
      </c>
      <c r="AA7760" t="s">
        <v>43</v>
      </c>
      <c r="AB7760" t="s">
        <v>43</v>
      </c>
      <c r="AC7760" t="s">
        <v>43</v>
      </c>
      <c r="AD7760" t="s">
        <v>43</v>
      </c>
      <c r="AE7760" t="s">
        <v>43</v>
      </c>
      <c r="AF7760" t="s">
        <v>43</v>
      </c>
      <c r="AG7760" t="s">
        <v>43</v>
      </c>
      <c r="AH7760" t="s">
        <v>43</v>
      </c>
      <c r="AI7760" t="s">
        <v>43</v>
      </c>
      <c r="AJ7760" t="s">
        <v>43</v>
      </c>
      <c r="AK7760" t="s">
        <v>43</v>
      </c>
      <c r="AL7760" t="s">
        <v>43</v>
      </c>
      <c r="AM7760" t="s">
        <v>43</v>
      </c>
      <c r="AN7760" t="str">
        <f>HYPERLINK("https://www.google.com/maps?q=10.78966236,79.57878113","Open Location")</f>
        <v>Open Location</v>
      </c>
    </row>
    <row r="7761" spans="1:40" x14ac:dyDescent="0.3">
      <c r="A7761" s="1">
        <v>46210.101041666669</v>
      </c>
      <c r="B7761" t="s">
        <v>40</v>
      </c>
      <c r="C7761" t="s">
        <v>41</v>
      </c>
      <c r="D7761" s="1">
        <v>46210.104108796295</v>
      </c>
      <c r="E7761" t="s">
        <v>42</v>
      </c>
      <c r="F7761" t="s">
        <v>43</v>
      </c>
      <c r="G7761" t="s">
        <v>43</v>
      </c>
      <c r="H7761" t="s">
        <v>43</v>
      </c>
      <c r="I7761" t="s">
        <v>3996</v>
      </c>
      <c r="J7761" t="s">
        <v>43</v>
      </c>
      <c r="K7761" t="s">
        <v>43</v>
      </c>
      <c r="L7761" t="s">
        <v>43</v>
      </c>
      <c r="M7761" t="s">
        <v>43</v>
      </c>
      <c r="N7761" t="s">
        <v>45</v>
      </c>
      <c r="O7761" t="s">
        <v>43</v>
      </c>
      <c r="P7761" t="s">
        <v>43</v>
      </c>
      <c r="Q7761" t="s">
        <v>43</v>
      </c>
      <c r="R7761" t="s">
        <v>43</v>
      </c>
      <c r="S7761" t="s">
        <v>43</v>
      </c>
      <c r="T7761" t="s">
        <v>43</v>
      </c>
      <c r="U7761" t="s">
        <v>43</v>
      </c>
      <c r="V7761" t="s">
        <v>43</v>
      </c>
      <c r="W7761" t="s">
        <v>43</v>
      </c>
      <c r="X7761" t="s">
        <v>43</v>
      </c>
      <c r="Y7761" t="s">
        <v>43</v>
      </c>
      <c r="Z7761" t="s">
        <v>43</v>
      </c>
      <c r="AA7761" t="s">
        <v>43</v>
      </c>
      <c r="AB7761" t="s">
        <v>43</v>
      </c>
      <c r="AC7761" t="s">
        <v>43</v>
      </c>
      <c r="AD7761" t="s">
        <v>43</v>
      </c>
      <c r="AE7761" t="s">
        <v>43</v>
      </c>
      <c r="AF7761" t="s">
        <v>43</v>
      </c>
      <c r="AG7761" t="s">
        <v>43</v>
      </c>
      <c r="AH7761" t="s">
        <v>43</v>
      </c>
      <c r="AI7761" t="s">
        <v>43</v>
      </c>
      <c r="AJ7761" t="s">
        <v>43</v>
      </c>
      <c r="AK7761" t="s">
        <v>43</v>
      </c>
      <c r="AL7761" t="s">
        <v>43</v>
      </c>
      <c r="AM7761" t="s">
        <v>43</v>
      </c>
      <c r="AN7761" t="str">
        <f>HYPERLINK("https://www.google.com/maps?q=10.78965855,79.57878113","Open Location")</f>
        <v>Open Location</v>
      </c>
    </row>
    <row r="7762" spans="1:40" x14ac:dyDescent="0.3">
      <c r="A7762" s="1">
        <v>46210.100925925923</v>
      </c>
      <c r="B7762" t="s">
        <v>40</v>
      </c>
      <c r="C7762" t="s">
        <v>41</v>
      </c>
      <c r="D7762" s="1">
        <v>46210.103773148148</v>
      </c>
      <c r="E7762" t="s">
        <v>42</v>
      </c>
      <c r="F7762" t="s">
        <v>43</v>
      </c>
      <c r="G7762" t="s">
        <v>43</v>
      </c>
      <c r="H7762" t="s">
        <v>43</v>
      </c>
      <c r="I7762" t="s">
        <v>3996</v>
      </c>
      <c r="J7762" t="s">
        <v>43</v>
      </c>
      <c r="K7762" t="s">
        <v>43</v>
      </c>
      <c r="L7762" t="s">
        <v>43</v>
      </c>
      <c r="M7762" t="s">
        <v>43</v>
      </c>
      <c r="N7762" t="s">
        <v>45</v>
      </c>
      <c r="O7762" t="s">
        <v>43</v>
      </c>
      <c r="P7762" t="s">
        <v>43</v>
      </c>
      <c r="Q7762" t="s">
        <v>43</v>
      </c>
      <c r="R7762" t="s">
        <v>43</v>
      </c>
      <c r="S7762" t="s">
        <v>43</v>
      </c>
      <c r="T7762" t="s">
        <v>43</v>
      </c>
      <c r="U7762" t="s">
        <v>43</v>
      </c>
      <c r="V7762" t="s">
        <v>43</v>
      </c>
      <c r="W7762" t="s">
        <v>43</v>
      </c>
      <c r="X7762" t="s">
        <v>43</v>
      </c>
      <c r="Y7762" t="s">
        <v>43</v>
      </c>
      <c r="Z7762" t="s">
        <v>43</v>
      </c>
      <c r="AA7762" t="s">
        <v>43</v>
      </c>
      <c r="AB7762" t="s">
        <v>43</v>
      </c>
      <c r="AC7762" t="s">
        <v>43</v>
      </c>
      <c r="AD7762" t="s">
        <v>43</v>
      </c>
      <c r="AE7762" t="s">
        <v>43</v>
      </c>
      <c r="AF7762" t="s">
        <v>43</v>
      </c>
      <c r="AG7762" t="s">
        <v>43</v>
      </c>
      <c r="AH7762" t="s">
        <v>43</v>
      </c>
      <c r="AI7762" t="s">
        <v>43</v>
      </c>
      <c r="AJ7762" t="s">
        <v>43</v>
      </c>
      <c r="AK7762" t="s">
        <v>43</v>
      </c>
      <c r="AL7762" t="s">
        <v>43</v>
      </c>
      <c r="AM7762" t="s">
        <v>43</v>
      </c>
      <c r="AN7762" t="str">
        <f>HYPERLINK("https://www.google.com/maps?q=10.78965855,79.57878113","Open Location")</f>
        <v>Open Location</v>
      </c>
    </row>
    <row r="7763" spans="1:40" x14ac:dyDescent="0.3">
      <c r="A7763" s="1">
        <v>46210.100810185184</v>
      </c>
      <c r="B7763" t="s">
        <v>40</v>
      </c>
      <c r="C7763" t="s">
        <v>41</v>
      </c>
      <c r="D7763" s="1">
        <v>46210.104097222225</v>
      </c>
      <c r="E7763" t="s">
        <v>42</v>
      </c>
      <c r="F7763" t="s">
        <v>43</v>
      </c>
      <c r="G7763" t="s">
        <v>43</v>
      </c>
      <c r="H7763" t="s">
        <v>43</v>
      </c>
      <c r="I7763" t="s">
        <v>43</v>
      </c>
      <c r="J7763" t="s">
        <v>43</v>
      </c>
      <c r="K7763" t="s">
        <v>43</v>
      </c>
      <c r="L7763" t="s">
        <v>43</v>
      </c>
      <c r="M7763" t="s">
        <v>43</v>
      </c>
      <c r="N7763" t="s">
        <v>45</v>
      </c>
      <c r="O7763" t="s">
        <v>43</v>
      </c>
      <c r="P7763" t="s">
        <v>43</v>
      </c>
      <c r="Q7763" t="s">
        <v>43</v>
      </c>
      <c r="R7763" t="s">
        <v>43</v>
      </c>
      <c r="S7763" t="s">
        <v>43</v>
      </c>
      <c r="T7763" t="s">
        <v>43</v>
      </c>
      <c r="U7763" t="s">
        <v>43</v>
      </c>
      <c r="V7763" t="s">
        <v>43</v>
      </c>
      <c r="W7763" t="s">
        <v>43</v>
      </c>
      <c r="X7763" t="s">
        <v>43</v>
      </c>
      <c r="Y7763" t="s">
        <v>43</v>
      </c>
      <c r="Z7763" t="s">
        <v>43</v>
      </c>
      <c r="AA7763" t="s">
        <v>43</v>
      </c>
      <c r="AB7763" t="s">
        <v>43</v>
      </c>
      <c r="AC7763" t="s">
        <v>43</v>
      </c>
      <c r="AD7763" t="s">
        <v>43</v>
      </c>
      <c r="AE7763" t="s">
        <v>43</v>
      </c>
      <c r="AF7763" t="s">
        <v>43</v>
      </c>
      <c r="AG7763" t="s">
        <v>43</v>
      </c>
      <c r="AH7763" t="s">
        <v>43</v>
      </c>
      <c r="AI7763" t="s">
        <v>43</v>
      </c>
      <c r="AJ7763" t="s">
        <v>43</v>
      </c>
      <c r="AK7763" t="s">
        <v>43</v>
      </c>
      <c r="AL7763" t="s">
        <v>43</v>
      </c>
      <c r="AM7763" t="s">
        <v>43</v>
      </c>
      <c r="AN7763" t="s">
        <v>43</v>
      </c>
    </row>
    <row r="7764" spans="1:40" x14ac:dyDescent="0.3">
      <c r="A7764" s="1">
        <v>46210.100694444445</v>
      </c>
      <c r="B7764" t="s">
        <v>40</v>
      </c>
      <c r="C7764" t="s">
        <v>41</v>
      </c>
      <c r="D7764" s="1">
        <v>46210.10359953704</v>
      </c>
      <c r="E7764" t="s">
        <v>42</v>
      </c>
      <c r="F7764" t="s">
        <v>43</v>
      </c>
      <c r="G7764" t="s">
        <v>43</v>
      </c>
      <c r="H7764" t="s">
        <v>43</v>
      </c>
      <c r="I7764" t="s">
        <v>4291</v>
      </c>
      <c r="J7764" t="s">
        <v>43</v>
      </c>
      <c r="K7764" t="s">
        <v>43</v>
      </c>
      <c r="L7764" t="s">
        <v>43</v>
      </c>
      <c r="M7764" t="s">
        <v>43</v>
      </c>
      <c r="N7764" t="s">
        <v>45</v>
      </c>
      <c r="O7764" t="s">
        <v>43</v>
      </c>
      <c r="P7764" t="s">
        <v>43</v>
      </c>
      <c r="Q7764" t="s">
        <v>43</v>
      </c>
      <c r="R7764" t="s">
        <v>43</v>
      </c>
      <c r="S7764" t="s">
        <v>43</v>
      </c>
      <c r="T7764" t="s">
        <v>43</v>
      </c>
      <c r="U7764" t="s">
        <v>43</v>
      </c>
      <c r="V7764" t="s">
        <v>43</v>
      </c>
      <c r="W7764" t="s">
        <v>43</v>
      </c>
      <c r="X7764" t="s">
        <v>43</v>
      </c>
      <c r="Y7764" t="s">
        <v>43</v>
      </c>
      <c r="Z7764" t="s">
        <v>43</v>
      </c>
      <c r="AA7764" t="s">
        <v>43</v>
      </c>
      <c r="AB7764" t="s">
        <v>43</v>
      </c>
      <c r="AC7764" t="s">
        <v>43</v>
      </c>
      <c r="AD7764" t="s">
        <v>43</v>
      </c>
      <c r="AE7764" t="s">
        <v>43</v>
      </c>
      <c r="AF7764" t="s">
        <v>43</v>
      </c>
      <c r="AG7764" t="s">
        <v>43</v>
      </c>
      <c r="AH7764" t="s">
        <v>43</v>
      </c>
      <c r="AI7764" t="s">
        <v>43</v>
      </c>
      <c r="AJ7764" t="s">
        <v>43</v>
      </c>
      <c r="AK7764" t="s">
        <v>43</v>
      </c>
      <c r="AL7764" t="s">
        <v>43</v>
      </c>
      <c r="AM7764" t="s">
        <v>43</v>
      </c>
      <c r="AN7764" t="str">
        <f>HYPERLINK("https://www.google.com/maps?q=10.78965473,79.5787735","Open Location")</f>
        <v>Open Location</v>
      </c>
    </row>
    <row r="7765" spans="1:40" x14ac:dyDescent="0.3">
      <c r="A7765" s="1">
        <v>46210.100578703707</v>
      </c>
      <c r="B7765" t="s">
        <v>40</v>
      </c>
      <c r="C7765" t="s">
        <v>41</v>
      </c>
      <c r="D7765" s="1">
        <v>46210.103715277779</v>
      </c>
      <c r="E7765" t="s">
        <v>42</v>
      </c>
      <c r="F7765" t="s">
        <v>43</v>
      </c>
      <c r="G7765" t="s">
        <v>43</v>
      </c>
      <c r="H7765" t="s">
        <v>43</v>
      </c>
      <c r="I7765" t="s">
        <v>4352</v>
      </c>
      <c r="J7765" t="s">
        <v>43</v>
      </c>
      <c r="K7765" t="s">
        <v>43</v>
      </c>
      <c r="L7765" t="s">
        <v>43</v>
      </c>
      <c r="M7765" t="s">
        <v>43</v>
      </c>
      <c r="N7765" t="s">
        <v>45</v>
      </c>
      <c r="O7765" t="s">
        <v>43</v>
      </c>
      <c r="P7765" t="s">
        <v>43</v>
      </c>
      <c r="Q7765" t="s">
        <v>43</v>
      </c>
      <c r="R7765" t="s">
        <v>43</v>
      </c>
      <c r="S7765" t="s">
        <v>43</v>
      </c>
      <c r="T7765" t="s">
        <v>43</v>
      </c>
      <c r="U7765" t="s">
        <v>43</v>
      </c>
      <c r="V7765" t="s">
        <v>43</v>
      </c>
      <c r="W7765" t="s">
        <v>43</v>
      </c>
      <c r="X7765" t="s">
        <v>43</v>
      </c>
      <c r="Y7765" t="s">
        <v>43</v>
      </c>
      <c r="Z7765" t="s">
        <v>43</v>
      </c>
      <c r="AA7765" t="s">
        <v>43</v>
      </c>
      <c r="AB7765" t="s">
        <v>43</v>
      </c>
      <c r="AC7765" t="s">
        <v>43</v>
      </c>
      <c r="AD7765" t="s">
        <v>43</v>
      </c>
      <c r="AE7765" t="s">
        <v>43</v>
      </c>
      <c r="AF7765" t="s">
        <v>43</v>
      </c>
      <c r="AG7765" t="s">
        <v>43</v>
      </c>
      <c r="AH7765" t="s">
        <v>43</v>
      </c>
      <c r="AI7765" t="s">
        <v>43</v>
      </c>
      <c r="AJ7765" t="s">
        <v>43</v>
      </c>
      <c r="AK7765" t="s">
        <v>43</v>
      </c>
      <c r="AL7765" t="s">
        <v>43</v>
      </c>
      <c r="AM7765" t="s">
        <v>43</v>
      </c>
      <c r="AN7765" t="str">
        <f>HYPERLINK("https://www.google.com/maps?q=10.78965569,79.57878113","Open Location")</f>
        <v>Open Location</v>
      </c>
    </row>
    <row r="7766" spans="1:40" x14ac:dyDescent="0.3">
      <c r="A7766" s="1">
        <v>46210.100462962961</v>
      </c>
      <c r="B7766" t="s">
        <v>40</v>
      </c>
      <c r="C7766" t="s">
        <v>41</v>
      </c>
      <c r="D7766" s="1">
        <v>46210.103344907409</v>
      </c>
      <c r="E7766" t="s">
        <v>42</v>
      </c>
      <c r="F7766" t="s">
        <v>43</v>
      </c>
      <c r="G7766" t="s">
        <v>43</v>
      </c>
      <c r="H7766" t="s">
        <v>43</v>
      </c>
      <c r="I7766" t="s">
        <v>4284</v>
      </c>
      <c r="J7766" t="s">
        <v>43</v>
      </c>
      <c r="K7766" t="s">
        <v>43</v>
      </c>
      <c r="L7766" t="s">
        <v>43</v>
      </c>
      <c r="M7766" t="s">
        <v>43</v>
      </c>
      <c r="N7766" t="s">
        <v>45</v>
      </c>
      <c r="O7766" t="s">
        <v>43</v>
      </c>
      <c r="P7766" t="s">
        <v>43</v>
      </c>
      <c r="Q7766" t="s">
        <v>43</v>
      </c>
      <c r="R7766" t="s">
        <v>43</v>
      </c>
      <c r="S7766" t="s">
        <v>43</v>
      </c>
      <c r="T7766" t="s">
        <v>43</v>
      </c>
      <c r="U7766" t="s">
        <v>43</v>
      </c>
      <c r="V7766" t="s">
        <v>43</v>
      </c>
      <c r="W7766" t="s">
        <v>43</v>
      </c>
      <c r="X7766" t="s">
        <v>43</v>
      </c>
      <c r="Y7766" t="s">
        <v>43</v>
      </c>
      <c r="Z7766" t="s">
        <v>43</v>
      </c>
      <c r="AA7766" t="s">
        <v>43</v>
      </c>
      <c r="AB7766" t="s">
        <v>43</v>
      </c>
      <c r="AC7766" t="s">
        <v>43</v>
      </c>
      <c r="AD7766" t="s">
        <v>43</v>
      </c>
      <c r="AE7766" t="s">
        <v>43</v>
      </c>
      <c r="AF7766" t="s">
        <v>43</v>
      </c>
      <c r="AG7766" t="s">
        <v>43</v>
      </c>
      <c r="AH7766" t="s">
        <v>43</v>
      </c>
      <c r="AI7766" t="s">
        <v>43</v>
      </c>
      <c r="AJ7766" t="s">
        <v>43</v>
      </c>
      <c r="AK7766" t="s">
        <v>43</v>
      </c>
      <c r="AL7766" t="s">
        <v>43</v>
      </c>
      <c r="AM7766" t="s">
        <v>43</v>
      </c>
      <c r="AN7766" t="str">
        <f>HYPERLINK("https://www.google.com/maps?q=10.78965759,79.57878113","Open Location")</f>
        <v>Open Location</v>
      </c>
    </row>
    <row r="7767" spans="1:40" x14ac:dyDescent="0.3">
      <c r="A7767" s="1">
        <v>46210.100347222222</v>
      </c>
      <c r="B7767" t="s">
        <v>40</v>
      </c>
      <c r="C7767" t="s">
        <v>41</v>
      </c>
      <c r="D7767" s="1">
        <v>46210.103391203702</v>
      </c>
      <c r="E7767" t="s">
        <v>42</v>
      </c>
      <c r="F7767" t="s">
        <v>43</v>
      </c>
      <c r="G7767" t="s">
        <v>43</v>
      </c>
      <c r="H7767" t="s">
        <v>43</v>
      </c>
      <c r="I7767" t="s">
        <v>4353</v>
      </c>
      <c r="J7767" t="s">
        <v>43</v>
      </c>
      <c r="K7767" t="s">
        <v>43</v>
      </c>
      <c r="L7767" t="s">
        <v>43</v>
      </c>
      <c r="M7767" t="s">
        <v>43</v>
      </c>
      <c r="N7767" t="s">
        <v>45</v>
      </c>
      <c r="O7767" t="s">
        <v>43</v>
      </c>
      <c r="P7767" t="s">
        <v>43</v>
      </c>
      <c r="Q7767" t="s">
        <v>43</v>
      </c>
      <c r="R7767" t="s">
        <v>43</v>
      </c>
      <c r="S7767" t="s">
        <v>43</v>
      </c>
      <c r="T7767" t="s">
        <v>43</v>
      </c>
      <c r="U7767" t="s">
        <v>43</v>
      </c>
      <c r="V7767" t="s">
        <v>43</v>
      </c>
      <c r="W7767" t="s">
        <v>43</v>
      </c>
      <c r="X7767" t="s">
        <v>43</v>
      </c>
      <c r="Y7767" t="s">
        <v>43</v>
      </c>
      <c r="Z7767" t="s">
        <v>43</v>
      </c>
      <c r="AA7767" t="s">
        <v>43</v>
      </c>
      <c r="AB7767" t="s">
        <v>43</v>
      </c>
      <c r="AC7767" t="s">
        <v>43</v>
      </c>
      <c r="AD7767" t="s">
        <v>43</v>
      </c>
      <c r="AE7767" t="s">
        <v>43</v>
      </c>
      <c r="AF7767" t="s">
        <v>43</v>
      </c>
      <c r="AG7767" t="s">
        <v>43</v>
      </c>
      <c r="AH7767" t="s">
        <v>43</v>
      </c>
      <c r="AI7767" t="s">
        <v>43</v>
      </c>
      <c r="AJ7767" t="s">
        <v>43</v>
      </c>
      <c r="AK7767" t="s">
        <v>43</v>
      </c>
      <c r="AL7767" t="s">
        <v>43</v>
      </c>
      <c r="AM7767" t="s">
        <v>43</v>
      </c>
      <c r="AN7767" t="str">
        <f>HYPERLINK("https://www.google.com/maps?q=10.78964996,79.57878876","Open Location")</f>
        <v>Open Location</v>
      </c>
    </row>
    <row r="7768" spans="1:40" x14ac:dyDescent="0.3">
      <c r="A7768" s="1">
        <v>46210.100231481483</v>
      </c>
      <c r="B7768" t="s">
        <v>40</v>
      </c>
      <c r="C7768" t="s">
        <v>41</v>
      </c>
      <c r="D7768" s="1">
        <v>46210.103275462963</v>
      </c>
      <c r="E7768" t="s">
        <v>42</v>
      </c>
      <c r="F7768" t="s">
        <v>43</v>
      </c>
      <c r="G7768" t="s">
        <v>43</v>
      </c>
      <c r="H7768" t="s">
        <v>43</v>
      </c>
      <c r="I7768" t="s">
        <v>3910</v>
      </c>
      <c r="J7768" t="s">
        <v>43</v>
      </c>
      <c r="K7768" t="s">
        <v>43</v>
      </c>
      <c r="L7768" t="s">
        <v>43</v>
      </c>
      <c r="M7768" t="s">
        <v>43</v>
      </c>
      <c r="N7768" t="s">
        <v>45</v>
      </c>
      <c r="O7768" t="s">
        <v>43</v>
      </c>
      <c r="P7768" t="s">
        <v>43</v>
      </c>
      <c r="Q7768" t="s">
        <v>43</v>
      </c>
      <c r="R7768" t="s">
        <v>43</v>
      </c>
      <c r="S7768" t="s">
        <v>43</v>
      </c>
      <c r="T7768" t="s">
        <v>43</v>
      </c>
      <c r="U7768" t="s">
        <v>43</v>
      </c>
      <c r="V7768" t="s">
        <v>43</v>
      </c>
      <c r="W7768" t="s">
        <v>43</v>
      </c>
      <c r="X7768" t="s">
        <v>43</v>
      </c>
      <c r="Y7768" t="s">
        <v>43</v>
      </c>
      <c r="Z7768" t="s">
        <v>43</v>
      </c>
      <c r="AA7768" t="s">
        <v>43</v>
      </c>
      <c r="AB7768" t="s">
        <v>43</v>
      </c>
      <c r="AC7768" t="s">
        <v>43</v>
      </c>
      <c r="AD7768" t="s">
        <v>43</v>
      </c>
      <c r="AE7768" t="s">
        <v>43</v>
      </c>
      <c r="AF7768" t="s">
        <v>43</v>
      </c>
      <c r="AG7768" t="s">
        <v>43</v>
      </c>
      <c r="AH7768" t="s">
        <v>43</v>
      </c>
      <c r="AI7768" t="s">
        <v>43</v>
      </c>
      <c r="AJ7768" t="s">
        <v>43</v>
      </c>
      <c r="AK7768" t="s">
        <v>43</v>
      </c>
      <c r="AL7768" t="s">
        <v>43</v>
      </c>
      <c r="AM7768" t="s">
        <v>43</v>
      </c>
      <c r="AN7768" t="str">
        <f>HYPERLINK("https://www.google.com/maps?q=10.78964806,79.57878876","Open Location")</f>
        <v>Open Location</v>
      </c>
    </row>
    <row r="7769" spans="1:40" x14ac:dyDescent="0.3">
      <c r="A7769" s="1">
        <v>46210.100115740737</v>
      </c>
      <c r="B7769" t="s">
        <v>40</v>
      </c>
      <c r="C7769" t="s">
        <v>41</v>
      </c>
      <c r="D7769" s="1">
        <v>46210.103344907409</v>
      </c>
      <c r="E7769" t="s">
        <v>42</v>
      </c>
      <c r="F7769" t="s">
        <v>43</v>
      </c>
      <c r="G7769" t="s">
        <v>43</v>
      </c>
      <c r="H7769" t="s">
        <v>43</v>
      </c>
      <c r="I7769" t="s">
        <v>43</v>
      </c>
      <c r="J7769" t="s">
        <v>43</v>
      </c>
      <c r="K7769" t="s">
        <v>43</v>
      </c>
      <c r="L7769" t="s">
        <v>43</v>
      </c>
      <c r="M7769" t="s">
        <v>43</v>
      </c>
      <c r="N7769" t="s">
        <v>45</v>
      </c>
      <c r="O7769" t="s">
        <v>43</v>
      </c>
      <c r="P7769" t="s">
        <v>43</v>
      </c>
      <c r="Q7769" t="s">
        <v>43</v>
      </c>
      <c r="R7769" t="s">
        <v>43</v>
      </c>
      <c r="S7769" t="s">
        <v>43</v>
      </c>
      <c r="T7769" t="s">
        <v>43</v>
      </c>
      <c r="U7769" t="s">
        <v>43</v>
      </c>
      <c r="V7769" t="s">
        <v>43</v>
      </c>
      <c r="W7769" t="s">
        <v>43</v>
      </c>
      <c r="X7769" t="s">
        <v>43</v>
      </c>
      <c r="Y7769" t="s">
        <v>43</v>
      </c>
      <c r="Z7769" t="s">
        <v>43</v>
      </c>
      <c r="AA7769" t="s">
        <v>43</v>
      </c>
      <c r="AB7769" t="s">
        <v>43</v>
      </c>
      <c r="AC7769" t="s">
        <v>43</v>
      </c>
      <c r="AD7769" t="s">
        <v>43</v>
      </c>
      <c r="AE7769" t="s">
        <v>43</v>
      </c>
      <c r="AF7769" t="s">
        <v>43</v>
      </c>
      <c r="AG7769" t="s">
        <v>43</v>
      </c>
      <c r="AH7769" t="s">
        <v>43</v>
      </c>
      <c r="AI7769" t="s">
        <v>43</v>
      </c>
      <c r="AJ7769" t="s">
        <v>43</v>
      </c>
      <c r="AK7769" t="s">
        <v>43</v>
      </c>
      <c r="AL7769" t="s">
        <v>43</v>
      </c>
      <c r="AM7769" t="s">
        <v>43</v>
      </c>
      <c r="AN7769" t="s">
        <v>43</v>
      </c>
    </row>
    <row r="7770" spans="1:40" x14ac:dyDescent="0.3">
      <c r="A7770" s="1">
        <v>46210.1</v>
      </c>
      <c r="B7770" t="s">
        <v>40</v>
      </c>
      <c r="C7770" t="s">
        <v>41</v>
      </c>
      <c r="D7770" s="1">
        <v>46210.103009259263</v>
      </c>
      <c r="E7770" t="s">
        <v>42</v>
      </c>
      <c r="F7770" t="s">
        <v>43</v>
      </c>
      <c r="G7770" t="s">
        <v>43</v>
      </c>
      <c r="H7770" t="s">
        <v>43</v>
      </c>
      <c r="I7770" t="s">
        <v>3914</v>
      </c>
      <c r="J7770" t="s">
        <v>43</v>
      </c>
      <c r="K7770" t="s">
        <v>43</v>
      </c>
      <c r="L7770" t="s">
        <v>43</v>
      </c>
      <c r="M7770" t="s">
        <v>43</v>
      </c>
      <c r="N7770" t="s">
        <v>45</v>
      </c>
      <c r="O7770" t="s">
        <v>43</v>
      </c>
      <c r="P7770" t="s">
        <v>43</v>
      </c>
      <c r="Q7770" t="s">
        <v>43</v>
      </c>
      <c r="R7770" t="s">
        <v>43</v>
      </c>
      <c r="S7770" t="s">
        <v>43</v>
      </c>
      <c r="T7770" t="s">
        <v>43</v>
      </c>
      <c r="U7770" t="s">
        <v>43</v>
      </c>
      <c r="V7770" t="s">
        <v>43</v>
      </c>
      <c r="W7770" t="s">
        <v>43</v>
      </c>
      <c r="X7770" t="s">
        <v>43</v>
      </c>
      <c r="Y7770" t="s">
        <v>43</v>
      </c>
      <c r="Z7770" t="s">
        <v>43</v>
      </c>
      <c r="AA7770" t="s">
        <v>43</v>
      </c>
      <c r="AB7770" t="s">
        <v>43</v>
      </c>
      <c r="AC7770" t="s">
        <v>43</v>
      </c>
      <c r="AD7770" t="s">
        <v>43</v>
      </c>
      <c r="AE7770" t="s">
        <v>43</v>
      </c>
      <c r="AF7770" t="s">
        <v>43</v>
      </c>
      <c r="AG7770" t="s">
        <v>43</v>
      </c>
      <c r="AH7770" t="s">
        <v>43</v>
      </c>
      <c r="AI7770" t="s">
        <v>43</v>
      </c>
      <c r="AJ7770" t="s">
        <v>43</v>
      </c>
      <c r="AK7770" t="s">
        <v>43</v>
      </c>
      <c r="AL7770" t="s">
        <v>43</v>
      </c>
      <c r="AM7770" t="s">
        <v>43</v>
      </c>
      <c r="AN7770" t="str">
        <f>HYPERLINK("https://www.google.com/maps?q=10.78964615,79.57878876","Open Location")</f>
        <v>Open Location</v>
      </c>
    </row>
    <row r="7771" spans="1:40" x14ac:dyDescent="0.3">
      <c r="A7771" s="1">
        <v>46210.09988425926</v>
      </c>
      <c r="B7771" t="s">
        <v>40</v>
      </c>
      <c r="C7771" t="s">
        <v>41</v>
      </c>
      <c r="D7771" s="1">
        <v>46210.10297453704</v>
      </c>
      <c r="E7771" t="s">
        <v>42</v>
      </c>
      <c r="F7771" t="s">
        <v>43</v>
      </c>
      <c r="G7771" t="s">
        <v>43</v>
      </c>
      <c r="H7771" t="s">
        <v>43</v>
      </c>
      <c r="I7771" t="s">
        <v>3895</v>
      </c>
      <c r="J7771" t="s">
        <v>43</v>
      </c>
      <c r="K7771" t="s">
        <v>43</v>
      </c>
      <c r="L7771" t="s">
        <v>43</v>
      </c>
      <c r="M7771" t="s">
        <v>43</v>
      </c>
      <c r="N7771" t="s">
        <v>45</v>
      </c>
      <c r="O7771" t="s">
        <v>43</v>
      </c>
      <c r="P7771" t="s">
        <v>43</v>
      </c>
      <c r="Q7771" t="s">
        <v>43</v>
      </c>
      <c r="R7771" t="s">
        <v>43</v>
      </c>
      <c r="S7771" t="s">
        <v>43</v>
      </c>
      <c r="T7771" t="s">
        <v>43</v>
      </c>
      <c r="U7771" t="s">
        <v>43</v>
      </c>
      <c r="V7771" t="s">
        <v>43</v>
      </c>
      <c r="W7771" t="s">
        <v>43</v>
      </c>
      <c r="X7771" t="s">
        <v>43</v>
      </c>
      <c r="Y7771" t="s">
        <v>43</v>
      </c>
      <c r="Z7771" t="s">
        <v>43</v>
      </c>
      <c r="AA7771" t="s">
        <v>43</v>
      </c>
      <c r="AB7771" t="s">
        <v>43</v>
      </c>
      <c r="AC7771" t="s">
        <v>43</v>
      </c>
      <c r="AD7771" t="s">
        <v>43</v>
      </c>
      <c r="AE7771" t="s">
        <v>43</v>
      </c>
      <c r="AF7771" t="s">
        <v>43</v>
      </c>
      <c r="AG7771" t="s">
        <v>43</v>
      </c>
      <c r="AH7771" t="s">
        <v>43</v>
      </c>
      <c r="AI7771" t="s">
        <v>43</v>
      </c>
      <c r="AJ7771" t="s">
        <v>43</v>
      </c>
      <c r="AK7771" t="s">
        <v>43</v>
      </c>
      <c r="AL7771" t="s">
        <v>43</v>
      </c>
      <c r="AM7771" t="s">
        <v>43</v>
      </c>
      <c r="AN7771" t="str">
        <f>HYPERLINK("https://www.google.com/maps?q=10.78965187,79.57878876","Open Location")</f>
        <v>Open Location</v>
      </c>
    </row>
    <row r="7772" spans="1:40" x14ac:dyDescent="0.3">
      <c r="A7772" s="1">
        <v>46210.099768518521</v>
      </c>
      <c r="B7772" t="s">
        <v>40</v>
      </c>
      <c r="C7772" t="s">
        <v>41</v>
      </c>
      <c r="D7772" s="1">
        <v>46210.102986111109</v>
      </c>
      <c r="E7772" t="s">
        <v>42</v>
      </c>
      <c r="F7772" t="s">
        <v>43</v>
      </c>
      <c r="G7772" t="s">
        <v>43</v>
      </c>
      <c r="H7772" t="s">
        <v>43</v>
      </c>
      <c r="I7772" t="s">
        <v>3898</v>
      </c>
      <c r="J7772" t="s">
        <v>43</v>
      </c>
      <c r="K7772" t="s">
        <v>43</v>
      </c>
      <c r="L7772" t="s">
        <v>43</v>
      </c>
      <c r="M7772" t="s">
        <v>43</v>
      </c>
      <c r="N7772" t="s">
        <v>45</v>
      </c>
      <c r="O7772" t="s">
        <v>43</v>
      </c>
      <c r="P7772" t="s">
        <v>43</v>
      </c>
      <c r="Q7772" t="s">
        <v>43</v>
      </c>
      <c r="R7772" t="s">
        <v>43</v>
      </c>
      <c r="S7772" t="s">
        <v>43</v>
      </c>
      <c r="T7772" t="s">
        <v>43</v>
      </c>
      <c r="U7772" t="s">
        <v>43</v>
      </c>
      <c r="V7772" t="s">
        <v>43</v>
      </c>
      <c r="W7772" t="s">
        <v>43</v>
      </c>
      <c r="X7772" t="s">
        <v>43</v>
      </c>
      <c r="Y7772" t="s">
        <v>43</v>
      </c>
      <c r="Z7772" t="s">
        <v>43</v>
      </c>
      <c r="AA7772" t="s">
        <v>43</v>
      </c>
      <c r="AB7772" t="s">
        <v>43</v>
      </c>
      <c r="AC7772" t="s">
        <v>43</v>
      </c>
      <c r="AD7772" t="s">
        <v>43</v>
      </c>
      <c r="AE7772" t="s">
        <v>43</v>
      </c>
      <c r="AF7772" t="s">
        <v>43</v>
      </c>
      <c r="AG7772" t="s">
        <v>43</v>
      </c>
      <c r="AH7772" t="s">
        <v>43</v>
      </c>
      <c r="AI7772" t="s">
        <v>43</v>
      </c>
      <c r="AJ7772" t="s">
        <v>43</v>
      </c>
      <c r="AK7772" t="s">
        <v>43</v>
      </c>
      <c r="AL7772" t="s">
        <v>43</v>
      </c>
      <c r="AM7772" t="s">
        <v>43</v>
      </c>
      <c r="AN7772" t="str">
        <f>HYPERLINK("https://www.google.com/maps?q=10.78965378,79.57878113","Open Location")</f>
        <v>Open Location</v>
      </c>
    </row>
    <row r="7773" spans="1:40" x14ac:dyDescent="0.3">
      <c r="A7773" s="1">
        <v>46210.099652777775</v>
      </c>
      <c r="B7773" t="s">
        <v>40</v>
      </c>
      <c r="C7773" t="s">
        <v>41</v>
      </c>
      <c r="D7773" s="1">
        <v>46210.10297453704</v>
      </c>
      <c r="E7773" t="s">
        <v>42</v>
      </c>
      <c r="F7773" t="s">
        <v>43</v>
      </c>
      <c r="G7773" t="s">
        <v>43</v>
      </c>
      <c r="H7773" t="s">
        <v>43</v>
      </c>
      <c r="I7773" t="s">
        <v>4352</v>
      </c>
      <c r="J7773" t="s">
        <v>43</v>
      </c>
      <c r="K7773" t="s">
        <v>43</v>
      </c>
      <c r="L7773" t="s">
        <v>43</v>
      </c>
      <c r="M7773" t="s">
        <v>43</v>
      </c>
      <c r="N7773" t="s">
        <v>45</v>
      </c>
      <c r="O7773" t="s">
        <v>43</v>
      </c>
      <c r="P7773" t="s">
        <v>43</v>
      </c>
      <c r="Q7773" t="s">
        <v>43</v>
      </c>
      <c r="R7773" t="s">
        <v>43</v>
      </c>
      <c r="S7773" t="s">
        <v>43</v>
      </c>
      <c r="T7773" t="s">
        <v>43</v>
      </c>
      <c r="U7773" t="s">
        <v>43</v>
      </c>
      <c r="V7773" t="s">
        <v>43</v>
      </c>
      <c r="W7773" t="s">
        <v>43</v>
      </c>
      <c r="X7773" t="s">
        <v>43</v>
      </c>
      <c r="Y7773" t="s">
        <v>43</v>
      </c>
      <c r="Z7773" t="s">
        <v>43</v>
      </c>
      <c r="AA7773" t="s">
        <v>43</v>
      </c>
      <c r="AB7773" t="s">
        <v>43</v>
      </c>
      <c r="AC7773" t="s">
        <v>43</v>
      </c>
      <c r="AD7773" t="s">
        <v>43</v>
      </c>
      <c r="AE7773" t="s">
        <v>43</v>
      </c>
      <c r="AF7773" t="s">
        <v>43</v>
      </c>
      <c r="AG7773" t="s">
        <v>43</v>
      </c>
      <c r="AH7773" t="s">
        <v>43</v>
      </c>
      <c r="AI7773" t="s">
        <v>43</v>
      </c>
      <c r="AJ7773" t="s">
        <v>43</v>
      </c>
      <c r="AK7773" t="s">
        <v>43</v>
      </c>
      <c r="AL7773" t="s">
        <v>43</v>
      </c>
      <c r="AM7773" t="s">
        <v>43</v>
      </c>
      <c r="AN7773" t="str">
        <f>HYPERLINK("https://www.google.com/maps?q=10.78965569,79.57878113","Open Location")</f>
        <v>Open Location</v>
      </c>
    </row>
    <row r="7774" spans="1:40" x14ac:dyDescent="0.3">
      <c r="A7774" s="1">
        <v>46210.099537037036</v>
      </c>
      <c r="B7774" t="s">
        <v>40</v>
      </c>
      <c r="C7774" t="s">
        <v>41</v>
      </c>
      <c r="D7774" s="1">
        <v>46210.102592592593</v>
      </c>
      <c r="E7774" t="s">
        <v>42</v>
      </c>
      <c r="F7774" t="s">
        <v>43</v>
      </c>
      <c r="G7774" t="s">
        <v>43</v>
      </c>
      <c r="H7774" t="s">
        <v>43</v>
      </c>
      <c r="I7774" t="s">
        <v>3963</v>
      </c>
      <c r="J7774" t="s">
        <v>43</v>
      </c>
      <c r="K7774" t="s">
        <v>43</v>
      </c>
      <c r="L7774" t="s">
        <v>43</v>
      </c>
      <c r="M7774" t="s">
        <v>43</v>
      </c>
      <c r="N7774" t="s">
        <v>45</v>
      </c>
      <c r="O7774" t="s">
        <v>43</v>
      </c>
      <c r="P7774" t="s">
        <v>43</v>
      </c>
      <c r="Q7774" t="s">
        <v>43</v>
      </c>
      <c r="R7774" t="s">
        <v>43</v>
      </c>
      <c r="S7774" t="s">
        <v>43</v>
      </c>
      <c r="T7774" t="s">
        <v>43</v>
      </c>
      <c r="U7774" t="s">
        <v>43</v>
      </c>
      <c r="V7774" t="s">
        <v>43</v>
      </c>
      <c r="W7774" t="s">
        <v>43</v>
      </c>
      <c r="X7774" t="s">
        <v>43</v>
      </c>
      <c r="Y7774" t="s">
        <v>43</v>
      </c>
      <c r="Z7774" t="s">
        <v>43</v>
      </c>
      <c r="AA7774" t="s">
        <v>43</v>
      </c>
      <c r="AB7774" t="s">
        <v>43</v>
      </c>
      <c r="AC7774" t="s">
        <v>43</v>
      </c>
      <c r="AD7774" t="s">
        <v>43</v>
      </c>
      <c r="AE7774" t="s">
        <v>43</v>
      </c>
      <c r="AF7774" t="s">
        <v>43</v>
      </c>
      <c r="AG7774" t="s">
        <v>43</v>
      </c>
      <c r="AH7774" t="s">
        <v>43</v>
      </c>
      <c r="AI7774" t="s">
        <v>43</v>
      </c>
      <c r="AJ7774" t="s">
        <v>43</v>
      </c>
      <c r="AK7774" t="s">
        <v>43</v>
      </c>
      <c r="AL7774" t="s">
        <v>43</v>
      </c>
      <c r="AM7774" t="s">
        <v>43</v>
      </c>
      <c r="AN7774" t="str">
        <f>HYPERLINK("https://www.google.com/maps?q=10.78965759,79.5787735","Open Location")</f>
        <v>Open Location</v>
      </c>
    </row>
    <row r="7775" spans="1:40" x14ac:dyDescent="0.3">
      <c r="A7775" s="1">
        <v>46210.099421296298</v>
      </c>
      <c r="B7775" t="s">
        <v>40</v>
      </c>
      <c r="C7775" t="s">
        <v>41</v>
      </c>
      <c r="D7775" s="1">
        <v>46210.102638888886</v>
      </c>
      <c r="E7775" t="s">
        <v>42</v>
      </c>
      <c r="F7775" t="s">
        <v>43</v>
      </c>
      <c r="G7775" t="s">
        <v>43</v>
      </c>
      <c r="H7775" t="s">
        <v>43</v>
      </c>
      <c r="I7775" t="s">
        <v>43</v>
      </c>
      <c r="J7775" t="s">
        <v>43</v>
      </c>
      <c r="K7775" t="s">
        <v>43</v>
      </c>
      <c r="L7775" t="s">
        <v>43</v>
      </c>
      <c r="M7775" t="s">
        <v>43</v>
      </c>
      <c r="N7775" t="s">
        <v>45</v>
      </c>
      <c r="O7775" t="s">
        <v>43</v>
      </c>
      <c r="P7775" t="s">
        <v>43</v>
      </c>
      <c r="Q7775" t="s">
        <v>43</v>
      </c>
      <c r="R7775" t="s">
        <v>43</v>
      </c>
      <c r="S7775" t="s">
        <v>43</v>
      </c>
      <c r="T7775" t="s">
        <v>43</v>
      </c>
      <c r="U7775" t="s">
        <v>43</v>
      </c>
      <c r="V7775" t="s">
        <v>43</v>
      </c>
      <c r="W7775" t="s">
        <v>43</v>
      </c>
      <c r="X7775" t="s">
        <v>43</v>
      </c>
      <c r="Y7775" t="s">
        <v>43</v>
      </c>
      <c r="Z7775" t="s">
        <v>43</v>
      </c>
      <c r="AA7775" t="s">
        <v>43</v>
      </c>
      <c r="AB7775" t="s">
        <v>43</v>
      </c>
      <c r="AC7775" t="s">
        <v>43</v>
      </c>
      <c r="AD7775" t="s">
        <v>43</v>
      </c>
      <c r="AE7775" t="s">
        <v>43</v>
      </c>
      <c r="AF7775" t="s">
        <v>43</v>
      </c>
      <c r="AG7775" t="s">
        <v>43</v>
      </c>
      <c r="AH7775" t="s">
        <v>43</v>
      </c>
      <c r="AI7775" t="s">
        <v>43</v>
      </c>
      <c r="AJ7775" t="s">
        <v>43</v>
      </c>
      <c r="AK7775" t="s">
        <v>43</v>
      </c>
      <c r="AL7775" t="s">
        <v>43</v>
      </c>
      <c r="AM7775" t="s">
        <v>43</v>
      </c>
      <c r="AN7775" t="s">
        <v>43</v>
      </c>
    </row>
    <row r="7776" spans="1:40" x14ac:dyDescent="0.3">
      <c r="A7776" s="1">
        <v>46210.099305555559</v>
      </c>
      <c r="B7776" t="s">
        <v>40</v>
      </c>
      <c r="C7776" t="s">
        <v>41</v>
      </c>
      <c r="D7776" s="1">
        <v>46210.102210648147</v>
      </c>
      <c r="E7776" t="s">
        <v>42</v>
      </c>
      <c r="F7776" t="s">
        <v>43</v>
      </c>
      <c r="G7776" t="s">
        <v>43</v>
      </c>
      <c r="H7776" t="s">
        <v>43</v>
      </c>
      <c r="I7776" t="s">
        <v>4037</v>
      </c>
      <c r="J7776" t="s">
        <v>43</v>
      </c>
      <c r="K7776" t="s">
        <v>43</v>
      </c>
      <c r="L7776" t="s">
        <v>43</v>
      </c>
      <c r="M7776" t="s">
        <v>43</v>
      </c>
      <c r="N7776" t="s">
        <v>45</v>
      </c>
      <c r="O7776" t="s">
        <v>43</v>
      </c>
      <c r="P7776" t="s">
        <v>43</v>
      </c>
      <c r="Q7776" t="s">
        <v>43</v>
      </c>
      <c r="R7776" t="s">
        <v>43</v>
      </c>
      <c r="S7776" t="s">
        <v>43</v>
      </c>
      <c r="T7776" t="s">
        <v>43</v>
      </c>
      <c r="U7776" t="s">
        <v>43</v>
      </c>
      <c r="V7776" t="s">
        <v>43</v>
      </c>
      <c r="W7776" t="s">
        <v>43</v>
      </c>
      <c r="X7776" t="s">
        <v>43</v>
      </c>
      <c r="Y7776" t="s">
        <v>43</v>
      </c>
      <c r="Z7776" t="s">
        <v>43</v>
      </c>
      <c r="AA7776" t="s">
        <v>43</v>
      </c>
      <c r="AB7776" t="s">
        <v>43</v>
      </c>
      <c r="AC7776" t="s">
        <v>43</v>
      </c>
      <c r="AD7776" t="s">
        <v>43</v>
      </c>
      <c r="AE7776" t="s">
        <v>43</v>
      </c>
      <c r="AF7776" t="s">
        <v>43</v>
      </c>
      <c r="AG7776" t="s">
        <v>43</v>
      </c>
      <c r="AH7776" t="s">
        <v>43</v>
      </c>
      <c r="AI7776" t="s">
        <v>43</v>
      </c>
      <c r="AJ7776" t="s">
        <v>43</v>
      </c>
      <c r="AK7776" t="s">
        <v>43</v>
      </c>
      <c r="AL7776" t="s">
        <v>43</v>
      </c>
      <c r="AM7776" t="s">
        <v>43</v>
      </c>
      <c r="AN7776" t="str">
        <f>HYPERLINK("https://www.google.com/maps?q=10.78966045,79.5787735","Open Location")</f>
        <v>Open Location</v>
      </c>
    </row>
    <row r="7777" spans="1:40" x14ac:dyDescent="0.3">
      <c r="A7777" s="1">
        <v>46210.099189814813</v>
      </c>
      <c r="B7777" t="s">
        <v>40</v>
      </c>
      <c r="C7777" t="s">
        <v>41</v>
      </c>
      <c r="D7777" s="1">
        <v>46210.10229166667</v>
      </c>
      <c r="E7777" t="s">
        <v>42</v>
      </c>
      <c r="F7777" t="s">
        <v>43</v>
      </c>
      <c r="G7777" t="s">
        <v>43</v>
      </c>
      <c r="H7777" t="s">
        <v>43</v>
      </c>
      <c r="I7777" t="s">
        <v>3986</v>
      </c>
      <c r="J7777" t="s">
        <v>43</v>
      </c>
      <c r="K7777" t="s">
        <v>43</v>
      </c>
      <c r="L7777" t="s">
        <v>43</v>
      </c>
      <c r="M7777" t="s">
        <v>43</v>
      </c>
      <c r="N7777" t="s">
        <v>45</v>
      </c>
      <c r="O7777" t="s">
        <v>43</v>
      </c>
      <c r="P7777" t="s">
        <v>43</v>
      </c>
      <c r="Q7777" t="s">
        <v>43</v>
      </c>
      <c r="R7777" t="s">
        <v>43</v>
      </c>
      <c r="S7777" t="s">
        <v>43</v>
      </c>
      <c r="T7777" t="s">
        <v>43</v>
      </c>
      <c r="U7777" t="s">
        <v>43</v>
      </c>
      <c r="V7777" t="s">
        <v>43</v>
      </c>
      <c r="W7777" t="s">
        <v>43</v>
      </c>
      <c r="X7777" t="s">
        <v>43</v>
      </c>
      <c r="Y7777" t="s">
        <v>43</v>
      </c>
      <c r="Z7777" t="s">
        <v>43</v>
      </c>
      <c r="AA7777" t="s">
        <v>43</v>
      </c>
      <c r="AB7777" t="s">
        <v>43</v>
      </c>
      <c r="AC7777" t="s">
        <v>43</v>
      </c>
      <c r="AD7777" t="s">
        <v>43</v>
      </c>
      <c r="AE7777" t="s">
        <v>43</v>
      </c>
      <c r="AF7777" t="s">
        <v>43</v>
      </c>
      <c r="AG7777" t="s">
        <v>43</v>
      </c>
      <c r="AH7777" t="s">
        <v>43</v>
      </c>
      <c r="AI7777" t="s">
        <v>43</v>
      </c>
      <c r="AJ7777" t="s">
        <v>43</v>
      </c>
      <c r="AK7777" t="s">
        <v>43</v>
      </c>
      <c r="AL7777" t="s">
        <v>43</v>
      </c>
      <c r="AM7777" t="s">
        <v>43</v>
      </c>
      <c r="AN7777" t="str">
        <f>HYPERLINK("https://www.google.com/maps?q=10.78966522,79.57878113","Open Location")</f>
        <v>Open Location</v>
      </c>
    </row>
    <row r="7778" spans="1:40" x14ac:dyDescent="0.3">
      <c r="A7778" s="1">
        <v>46210.099074074074</v>
      </c>
      <c r="B7778" t="s">
        <v>40</v>
      </c>
      <c r="C7778" t="s">
        <v>41</v>
      </c>
      <c r="D7778" s="1">
        <v>46210.101863425924</v>
      </c>
      <c r="E7778" t="s">
        <v>42</v>
      </c>
      <c r="F7778" t="s">
        <v>43</v>
      </c>
      <c r="G7778" t="s">
        <v>43</v>
      </c>
      <c r="H7778" t="s">
        <v>43</v>
      </c>
      <c r="I7778" t="s">
        <v>4040</v>
      </c>
      <c r="J7778" t="s">
        <v>43</v>
      </c>
      <c r="K7778" t="s">
        <v>43</v>
      </c>
      <c r="L7778" t="s">
        <v>43</v>
      </c>
      <c r="M7778" t="s">
        <v>43</v>
      </c>
      <c r="N7778" t="s">
        <v>45</v>
      </c>
      <c r="O7778" t="s">
        <v>43</v>
      </c>
      <c r="P7778" t="s">
        <v>43</v>
      </c>
      <c r="Q7778" t="s">
        <v>43</v>
      </c>
      <c r="R7778" t="s">
        <v>43</v>
      </c>
      <c r="S7778" t="s">
        <v>43</v>
      </c>
      <c r="T7778" t="s">
        <v>43</v>
      </c>
      <c r="U7778" t="s">
        <v>43</v>
      </c>
      <c r="V7778" t="s">
        <v>43</v>
      </c>
      <c r="W7778" t="s">
        <v>43</v>
      </c>
      <c r="X7778" t="s">
        <v>43</v>
      </c>
      <c r="Y7778" t="s">
        <v>43</v>
      </c>
      <c r="Z7778" t="s">
        <v>43</v>
      </c>
      <c r="AA7778" t="s">
        <v>43</v>
      </c>
      <c r="AB7778" t="s">
        <v>43</v>
      </c>
      <c r="AC7778" t="s">
        <v>43</v>
      </c>
      <c r="AD7778" t="s">
        <v>43</v>
      </c>
      <c r="AE7778" t="s">
        <v>43</v>
      </c>
      <c r="AF7778" t="s">
        <v>43</v>
      </c>
      <c r="AG7778" t="s">
        <v>43</v>
      </c>
      <c r="AH7778" t="s">
        <v>43</v>
      </c>
      <c r="AI7778" t="s">
        <v>43</v>
      </c>
      <c r="AJ7778" t="s">
        <v>43</v>
      </c>
      <c r="AK7778" t="s">
        <v>43</v>
      </c>
      <c r="AL7778" t="s">
        <v>43</v>
      </c>
      <c r="AM7778" t="s">
        <v>43</v>
      </c>
      <c r="AN7778" t="str">
        <f>HYPERLINK("https://www.google.com/maps?q=10.78966618,79.5787735","Open Location")</f>
        <v>Open Location</v>
      </c>
    </row>
    <row r="7779" spans="1:40" x14ac:dyDescent="0.3">
      <c r="A7779" s="1">
        <v>46210.098958333336</v>
      </c>
      <c r="B7779" t="s">
        <v>40</v>
      </c>
      <c r="C7779" t="s">
        <v>41</v>
      </c>
      <c r="D7779" s="1">
        <v>46210.102199074077</v>
      </c>
      <c r="E7779" t="s">
        <v>42</v>
      </c>
      <c r="F7779" t="s">
        <v>43</v>
      </c>
      <c r="G7779" t="s">
        <v>43</v>
      </c>
      <c r="H7779" t="s">
        <v>43</v>
      </c>
      <c r="I7779" t="s">
        <v>3986</v>
      </c>
      <c r="J7779" t="s">
        <v>43</v>
      </c>
      <c r="K7779" t="s">
        <v>43</v>
      </c>
      <c r="L7779" t="s">
        <v>43</v>
      </c>
      <c r="M7779" t="s">
        <v>43</v>
      </c>
      <c r="N7779" t="s">
        <v>45</v>
      </c>
      <c r="O7779" t="s">
        <v>43</v>
      </c>
      <c r="P7779" t="s">
        <v>43</v>
      </c>
      <c r="Q7779" t="s">
        <v>43</v>
      </c>
      <c r="R7779" t="s">
        <v>43</v>
      </c>
      <c r="S7779" t="s">
        <v>43</v>
      </c>
      <c r="T7779" t="s">
        <v>43</v>
      </c>
      <c r="U7779" t="s">
        <v>43</v>
      </c>
      <c r="V7779" t="s">
        <v>43</v>
      </c>
      <c r="W7779" t="s">
        <v>43</v>
      </c>
      <c r="X7779" t="s">
        <v>43</v>
      </c>
      <c r="Y7779" t="s">
        <v>43</v>
      </c>
      <c r="Z7779" t="s">
        <v>43</v>
      </c>
      <c r="AA7779" t="s">
        <v>43</v>
      </c>
      <c r="AB7779" t="s">
        <v>43</v>
      </c>
      <c r="AC7779" t="s">
        <v>43</v>
      </c>
      <c r="AD7779" t="s">
        <v>43</v>
      </c>
      <c r="AE7779" t="s">
        <v>43</v>
      </c>
      <c r="AF7779" t="s">
        <v>43</v>
      </c>
      <c r="AG7779" t="s">
        <v>43</v>
      </c>
      <c r="AH7779" t="s">
        <v>43</v>
      </c>
      <c r="AI7779" t="s">
        <v>43</v>
      </c>
      <c r="AJ7779" t="s">
        <v>43</v>
      </c>
      <c r="AK7779" t="s">
        <v>43</v>
      </c>
      <c r="AL7779" t="s">
        <v>43</v>
      </c>
      <c r="AM7779" t="s">
        <v>43</v>
      </c>
      <c r="AN7779" t="str">
        <f>HYPERLINK("https://www.google.com/maps?q=10.78966522,79.57878113","Open Location")</f>
        <v>Open Location</v>
      </c>
    </row>
    <row r="7780" spans="1:40" x14ac:dyDescent="0.3">
      <c r="A7780" s="1">
        <v>46210.09884259259</v>
      </c>
      <c r="B7780" t="s">
        <v>40</v>
      </c>
      <c r="C7780" t="s">
        <v>41</v>
      </c>
      <c r="D7780" s="1">
        <v>46210.101863425924</v>
      </c>
      <c r="E7780" t="s">
        <v>42</v>
      </c>
      <c r="F7780" t="s">
        <v>43</v>
      </c>
      <c r="G7780" t="s">
        <v>43</v>
      </c>
      <c r="H7780" t="s">
        <v>43</v>
      </c>
      <c r="I7780" t="s">
        <v>43</v>
      </c>
      <c r="J7780" t="s">
        <v>43</v>
      </c>
      <c r="K7780" t="s">
        <v>43</v>
      </c>
      <c r="L7780" t="s">
        <v>43</v>
      </c>
      <c r="M7780" t="s">
        <v>43</v>
      </c>
      <c r="N7780" t="s">
        <v>45</v>
      </c>
      <c r="O7780" t="s">
        <v>43</v>
      </c>
      <c r="P7780" t="s">
        <v>43</v>
      </c>
      <c r="Q7780" t="s">
        <v>43</v>
      </c>
      <c r="R7780" t="s">
        <v>43</v>
      </c>
      <c r="S7780" t="s">
        <v>43</v>
      </c>
      <c r="T7780" t="s">
        <v>43</v>
      </c>
      <c r="U7780" t="s">
        <v>43</v>
      </c>
      <c r="V7780" t="s">
        <v>43</v>
      </c>
      <c r="W7780" t="s">
        <v>43</v>
      </c>
      <c r="X7780" t="s">
        <v>43</v>
      </c>
      <c r="Y7780" t="s">
        <v>43</v>
      </c>
      <c r="Z7780" t="s">
        <v>43</v>
      </c>
      <c r="AA7780" t="s">
        <v>43</v>
      </c>
      <c r="AB7780" t="s">
        <v>43</v>
      </c>
      <c r="AC7780" t="s">
        <v>43</v>
      </c>
      <c r="AD7780" t="s">
        <v>43</v>
      </c>
      <c r="AE7780" t="s">
        <v>43</v>
      </c>
      <c r="AF7780" t="s">
        <v>43</v>
      </c>
      <c r="AG7780" t="s">
        <v>43</v>
      </c>
      <c r="AH7780" t="s">
        <v>43</v>
      </c>
      <c r="AI7780" t="s">
        <v>43</v>
      </c>
      <c r="AJ7780" t="s">
        <v>43</v>
      </c>
      <c r="AK7780" t="s">
        <v>43</v>
      </c>
      <c r="AL7780" t="s">
        <v>43</v>
      </c>
      <c r="AM7780" t="s">
        <v>43</v>
      </c>
      <c r="AN7780" t="s">
        <v>43</v>
      </c>
    </row>
    <row r="7781" spans="1:40" x14ac:dyDescent="0.3">
      <c r="A7781" s="1">
        <v>46210.098726851851</v>
      </c>
      <c r="B7781" t="s">
        <v>40</v>
      </c>
      <c r="C7781" t="s">
        <v>41</v>
      </c>
      <c r="D7781" s="1">
        <v>46210.101817129631</v>
      </c>
      <c r="E7781" t="s">
        <v>42</v>
      </c>
      <c r="F7781" t="s">
        <v>43</v>
      </c>
      <c r="G7781" t="s">
        <v>43</v>
      </c>
      <c r="H7781" t="s">
        <v>43</v>
      </c>
      <c r="I7781" t="s">
        <v>4018</v>
      </c>
      <c r="J7781" t="s">
        <v>43</v>
      </c>
      <c r="K7781" t="s">
        <v>43</v>
      </c>
      <c r="L7781" t="s">
        <v>43</v>
      </c>
      <c r="M7781" t="s">
        <v>43</v>
      </c>
      <c r="N7781" t="s">
        <v>45</v>
      </c>
      <c r="O7781" t="s">
        <v>43</v>
      </c>
      <c r="P7781" t="s">
        <v>43</v>
      </c>
      <c r="Q7781" t="s">
        <v>43</v>
      </c>
      <c r="R7781" t="s">
        <v>43</v>
      </c>
      <c r="S7781" t="s">
        <v>43</v>
      </c>
      <c r="T7781" t="s">
        <v>43</v>
      </c>
      <c r="U7781" t="s">
        <v>43</v>
      </c>
      <c r="V7781" t="s">
        <v>43</v>
      </c>
      <c r="W7781" t="s">
        <v>43</v>
      </c>
      <c r="X7781" t="s">
        <v>43</v>
      </c>
      <c r="Y7781" t="s">
        <v>43</v>
      </c>
      <c r="Z7781" t="s">
        <v>43</v>
      </c>
      <c r="AA7781" t="s">
        <v>43</v>
      </c>
      <c r="AB7781" t="s">
        <v>43</v>
      </c>
      <c r="AC7781" t="s">
        <v>43</v>
      </c>
      <c r="AD7781" t="s">
        <v>43</v>
      </c>
      <c r="AE7781" t="s">
        <v>43</v>
      </c>
      <c r="AF7781" t="s">
        <v>43</v>
      </c>
      <c r="AG7781" t="s">
        <v>43</v>
      </c>
      <c r="AH7781" t="s">
        <v>43</v>
      </c>
      <c r="AI7781" t="s">
        <v>43</v>
      </c>
      <c r="AJ7781" t="s">
        <v>43</v>
      </c>
      <c r="AK7781" t="s">
        <v>43</v>
      </c>
      <c r="AL7781" t="s">
        <v>43</v>
      </c>
      <c r="AM7781" t="s">
        <v>43</v>
      </c>
      <c r="AN7781" t="str">
        <f>HYPERLINK("https://www.google.com/maps?q=10.78966808,79.57878113","Open Location")</f>
        <v>Open Location</v>
      </c>
    </row>
    <row r="7782" spans="1:40" x14ac:dyDescent="0.3">
      <c r="A7782" s="1">
        <v>46210.098611111112</v>
      </c>
      <c r="B7782" t="s">
        <v>40</v>
      </c>
      <c r="C7782" t="s">
        <v>41</v>
      </c>
      <c r="D7782" s="1">
        <v>46210.101446759261</v>
      </c>
      <c r="E7782" t="s">
        <v>42</v>
      </c>
      <c r="F7782" t="s">
        <v>43</v>
      </c>
      <c r="G7782" t="s">
        <v>43</v>
      </c>
      <c r="H7782" t="s">
        <v>43</v>
      </c>
      <c r="I7782" t="s">
        <v>4011</v>
      </c>
      <c r="J7782" t="s">
        <v>43</v>
      </c>
      <c r="K7782" t="s">
        <v>43</v>
      </c>
      <c r="L7782" t="s">
        <v>43</v>
      </c>
      <c r="M7782" t="s">
        <v>43</v>
      </c>
      <c r="N7782" t="s">
        <v>45</v>
      </c>
      <c r="O7782" t="s">
        <v>43</v>
      </c>
      <c r="P7782" t="s">
        <v>43</v>
      </c>
      <c r="Q7782" t="s">
        <v>43</v>
      </c>
      <c r="R7782" t="s">
        <v>43</v>
      </c>
      <c r="S7782" t="s">
        <v>43</v>
      </c>
      <c r="T7782" t="s">
        <v>43</v>
      </c>
      <c r="U7782" t="s">
        <v>43</v>
      </c>
      <c r="V7782" t="s">
        <v>43</v>
      </c>
      <c r="W7782" t="s">
        <v>43</v>
      </c>
      <c r="X7782" t="s">
        <v>43</v>
      </c>
      <c r="Y7782" t="s">
        <v>43</v>
      </c>
      <c r="Z7782" t="s">
        <v>43</v>
      </c>
      <c r="AA7782" t="s">
        <v>43</v>
      </c>
      <c r="AB7782" t="s">
        <v>43</v>
      </c>
      <c r="AC7782" t="s">
        <v>43</v>
      </c>
      <c r="AD7782" t="s">
        <v>43</v>
      </c>
      <c r="AE7782" t="s">
        <v>43</v>
      </c>
      <c r="AF7782" t="s">
        <v>43</v>
      </c>
      <c r="AG7782" t="s">
        <v>43</v>
      </c>
      <c r="AH7782" t="s">
        <v>43</v>
      </c>
      <c r="AI7782" t="s">
        <v>43</v>
      </c>
      <c r="AJ7782" t="s">
        <v>43</v>
      </c>
      <c r="AK7782" t="s">
        <v>43</v>
      </c>
      <c r="AL7782" t="s">
        <v>43</v>
      </c>
      <c r="AM7782" t="s">
        <v>43</v>
      </c>
      <c r="AN7782" t="str">
        <f>HYPERLINK("https://www.google.com/maps?q=10.78967476,79.57878113","Open Location")</f>
        <v>Open Location</v>
      </c>
    </row>
    <row r="7783" spans="1:40" x14ac:dyDescent="0.3">
      <c r="A7783" s="1">
        <v>46210.098495370374</v>
      </c>
      <c r="B7783" t="s">
        <v>40</v>
      </c>
      <c r="C7783" t="s">
        <v>41</v>
      </c>
      <c r="D7783" s="1">
        <v>46210.101481481484</v>
      </c>
      <c r="E7783" t="s">
        <v>42</v>
      </c>
      <c r="F7783" t="s">
        <v>43</v>
      </c>
      <c r="G7783" t="s">
        <v>43</v>
      </c>
      <c r="H7783" t="s">
        <v>43</v>
      </c>
      <c r="I7783" t="s">
        <v>4012</v>
      </c>
      <c r="J7783" t="s">
        <v>43</v>
      </c>
      <c r="K7783" t="s">
        <v>43</v>
      </c>
      <c r="L7783" t="s">
        <v>43</v>
      </c>
      <c r="M7783" t="s">
        <v>43</v>
      </c>
      <c r="N7783" t="s">
        <v>45</v>
      </c>
      <c r="O7783" t="s">
        <v>43</v>
      </c>
      <c r="P7783" t="s">
        <v>43</v>
      </c>
      <c r="Q7783" t="s">
        <v>43</v>
      </c>
      <c r="R7783" t="s">
        <v>43</v>
      </c>
      <c r="S7783" t="s">
        <v>43</v>
      </c>
      <c r="T7783" t="s">
        <v>43</v>
      </c>
      <c r="U7783" t="s">
        <v>43</v>
      </c>
      <c r="V7783" t="s">
        <v>43</v>
      </c>
      <c r="W7783" t="s">
        <v>43</v>
      </c>
      <c r="X7783" t="s">
        <v>43</v>
      </c>
      <c r="Y7783" t="s">
        <v>43</v>
      </c>
      <c r="Z7783" t="s">
        <v>43</v>
      </c>
      <c r="AA7783" t="s">
        <v>43</v>
      </c>
      <c r="AB7783" t="s">
        <v>43</v>
      </c>
      <c r="AC7783" t="s">
        <v>43</v>
      </c>
      <c r="AD7783" t="s">
        <v>43</v>
      </c>
      <c r="AE7783" t="s">
        <v>43</v>
      </c>
      <c r="AF7783" t="s">
        <v>43</v>
      </c>
      <c r="AG7783" t="s">
        <v>43</v>
      </c>
      <c r="AH7783" t="s">
        <v>43</v>
      </c>
      <c r="AI7783" t="s">
        <v>43</v>
      </c>
      <c r="AJ7783" t="s">
        <v>43</v>
      </c>
      <c r="AK7783" t="s">
        <v>43</v>
      </c>
      <c r="AL7783" t="s">
        <v>43</v>
      </c>
      <c r="AM7783" t="s">
        <v>43</v>
      </c>
      <c r="AN7783" t="str">
        <f>HYPERLINK("https://www.google.com/maps?q=10.78967381,79.57878113","Open Location")</f>
        <v>Open Location</v>
      </c>
    </row>
    <row r="7784" spans="1:40" x14ac:dyDescent="0.3">
      <c r="A7784" s="1">
        <v>46210.098379629628</v>
      </c>
      <c r="B7784" t="s">
        <v>40</v>
      </c>
      <c r="C7784" t="s">
        <v>41</v>
      </c>
      <c r="D7784" s="1">
        <v>46210.101145833331</v>
      </c>
      <c r="E7784" t="s">
        <v>42</v>
      </c>
      <c r="F7784" t="s">
        <v>43</v>
      </c>
      <c r="G7784" t="s">
        <v>43</v>
      </c>
      <c r="H7784" t="s">
        <v>43</v>
      </c>
      <c r="I7784" t="s">
        <v>4014</v>
      </c>
      <c r="J7784" t="s">
        <v>43</v>
      </c>
      <c r="K7784" t="s">
        <v>43</v>
      </c>
      <c r="L7784" t="s">
        <v>43</v>
      </c>
      <c r="M7784" t="s">
        <v>43</v>
      </c>
      <c r="N7784" t="s">
        <v>45</v>
      </c>
      <c r="O7784" t="s">
        <v>43</v>
      </c>
      <c r="P7784" t="s">
        <v>43</v>
      </c>
      <c r="Q7784" t="s">
        <v>43</v>
      </c>
      <c r="R7784" t="s">
        <v>43</v>
      </c>
      <c r="S7784" t="s">
        <v>43</v>
      </c>
      <c r="T7784" t="s">
        <v>43</v>
      </c>
      <c r="U7784" t="s">
        <v>43</v>
      </c>
      <c r="V7784" t="s">
        <v>43</v>
      </c>
      <c r="W7784" t="s">
        <v>43</v>
      </c>
      <c r="X7784" t="s">
        <v>43</v>
      </c>
      <c r="Y7784" t="s">
        <v>43</v>
      </c>
      <c r="Z7784" t="s">
        <v>43</v>
      </c>
      <c r="AA7784" t="s">
        <v>43</v>
      </c>
      <c r="AB7784" t="s">
        <v>43</v>
      </c>
      <c r="AC7784" t="s">
        <v>43</v>
      </c>
      <c r="AD7784" t="s">
        <v>43</v>
      </c>
      <c r="AE7784" t="s">
        <v>43</v>
      </c>
      <c r="AF7784" t="s">
        <v>43</v>
      </c>
      <c r="AG7784" t="s">
        <v>43</v>
      </c>
      <c r="AH7784" t="s">
        <v>43</v>
      </c>
      <c r="AI7784" t="s">
        <v>43</v>
      </c>
      <c r="AJ7784" t="s">
        <v>43</v>
      </c>
      <c r="AK7784" t="s">
        <v>43</v>
      </c>
      <c r="AL7784" t="s">
        <v>43</v>
      </c>
      <c r="AM7784" t="s">
        <v>43</v>
      </c>
      <c r="AN7784" t="str">
        <f>HYPERLINK("https://www.google.com/maps?q=10.78967762,79.57878113","Open Location")</f>
        <v>Open Location</v>
      </c>
    </row>
    <row r="7785" spans="1:40" x14ac:dyDescent="0.3">
      <c r="A7785" s="1">
        <v>46210.098263888889</v>
      </c>
      <c r="B7785" t="s">
        <v>40</v>
      </c>
      <c r="C7785" t="s">
        <v>41</v>
      </c>
      <c r="D7785" s="1">
        <v>46210.101122685184</v>
      </c>
      <c r="E7785" t="s">
        <v>42</v>
      </c>
      <c r="F7785" t="s">
        <v>43</v>
      </c>
      <c r="G7785" t="s">
        <v>43</v>
      </c>
      <c r="H7785" t="s">
        <v>43</v>
      </c>
      <c r="I7785" t="s">
        <v>4319</v>
      </c>
      <c r="J7785" t="s">
        <v>43</v>
      </c>
      <c r="K7785" t="s">
        <v>43</v>
      </c>
      <c r="L7785" t="s">
        <v>43</v>
      </c>
      <c r="M7785" t="s">
        <v>43</v>
      </c>
      <c r="N7785" t="s">
        <v>45</v>
      </c>
      <c r="O7785" t="s">
        <v>43</v>
      </c>
      <c r="P7785" t="s">
        <v>43</v>
      </c>
      <c r="Q7785" t="s">
        <v>43</v>
      </c>
      <c r="R7785" t="s">
        <v>43</v>
      </c>
      <c r="S7785" t="s">
        <v>43</v>
      </c>
      <c r="T7785" t="s">
        <v>43</v>
      </c>
      <c r="U7785" t="s">
        <v>43</v>
      </c>
      <c r="V7785" t="s">
        <v>43</v>
      </c>
      <c r="W7785" t="s">
        <v>43</v>
      </c>
      <c r="X7785" t="s">
        <v>43</v>
      </c>
      <c r="Y7785" t="s">
        <v>43</v>
      </c>
      <c r="Z7785" t="s">
        <v>43</v>
      </c>
      <c r="AA7785" t="s">
        <v>43</v>
      </c>
      <c r="AB7785" t="s">
        <v>43</v>
      </c>
      <c r="AC7785" t="s">
        <v>43</v>
      </c>
      <c r="AD7785" t="s">
        <v>43</v>
      </c>
      <c r="AE7785" t="s">
        <v>43</v>
      </c>
      <c r="AF7785" t="s">
        <v>43</v>
      </c>
      <c r="AG7785" t="s">
        <v>43</v>
      </c>
      <c r="AH7785" t="s">
        <v>43</v>
      </c>
      <c r="AI7785" t="s">
        <v>43</v>
      </c>
      <c r="AJ7785" t="s">
        <v>43</v>
      </c>
      <c r="AK7785" t="s">
        <v>43</v>
      </c>
      <c r="AL7785" t="s">
        <v>43</v>
      </c>
      <c r="AM7785" t="s">
        <v>43</v>
      </c>
      <c r="AN7785" t="str">
        <f>HYPERLINK("https://www.google.com/maps?q=10.78968334,79.57878113","Open Location")</f>
        <v>Open Location</v>
      </c>
    </row>
    <row r="7786" spans="1:40" x14ac:dyDescent="0.3">
      <c r="A7786" s="1">
        <v>46210.09814814815</v>
      </c>
      <c r="B7786" t="s">
        <v>40</v>
      </c>
      <c r="C7786" t="s">
        <v>41</v>
      </c>
      <c r="D7786" s="1">
        <v>46210.101145833331</v>
      </c>
      <c r="E7786" t="s">
        <v>42</v>
      </c>
      <c r="F7786" t="s">
        <v>43</v>
      </c>
      <c r="G7786" t="s">
        <v>43</v>
      </c>
      <c r="H7786" t="s">
        <v>43</v>
      </c>
      <c r="I7786" t="s">
        <v>43</v>
      </c>
      <c r="J7786" t="s">
        <v>43</v>
      </c>
      <c r="K7786" t="s">
        <v>43</v>
      </c>
      <c r="L7786" t="s">
        <v>43</v>
      </c>
      <c r="M7786" t="s">
        <v>43</v>
      </c>
      <c r="N7786" t="s">
        <v>45</v>
      </c>
      <c r="O7786" t="s">
        <v>43</v>
      </c>
      <c r="P7786" t="s">
        <v>43</v>
      </c>
      <c r="Q7786" t="s">
        <v>43</v>
      </c>
      <c r="R7786" t="s">
        <v>43</v>
      </c>
      <c r="S7786" t="s">
        <v>43</v>
      </c>
      <c r="T7786" t="s">
        <v>43</v>
      </c>
      <c r="U7786" t="s">
        <v>43</v>
      </c>
      <c r="V7786" t="s">
        <v>43</v>
      </c>
      <c r="W7786" t="s">
        <v>43</v>
      </c>
      <c r="X7786" t="s">
        <v>43</v>
      </c>
      <c r="Y7786" t="s">
        <v>43</v>
      </c>
      <c r="Z7786" t="s">
        <v>43</v>
      </c>
      <c r="AA7786" t="s">
        <v>43</v>
      </c>
      <c r="AB7786" t="s">
        <v>43</v>
      </c>
      <c r="AC7786" t="s">
        <v>43</v>
      </c>
      <c r="AD7786" t="s">
        <v>43</v>
      </c>
      <c r="AE7786" t="s">
        <v>43</v>
      </c>
      <c r="AF7786" t="s">
        <v>43</v>
      </c>
      <c r="AG7786" t="s">
        <v>43</v>
      </c>
      <c r="AH7786" t="s">
        <v>43</v>
      </c>
      <c r="AI7786" t="s">
        <v>43</v>
      </c>
      <c r="AJ7786" t="s">
        <v>43</v>
      </c>
      <c r="AK7786" t="s">
        <v>43</v>
      </c>
      <c r="AL7786" t="s">
        <v>43</v>
      </c>
      <c r="AM7786" t="s">
        <v>43</v>
      </c>
      <c r="AN7786" t="s">
        <v>43</v>
      </c>
    </row>
    <row r="7787" spans="1:40" x14ac:dyDescent="0.3">
      <c r="A7787" s="1">
        <v>46210.098032407404</v>
      </c>
      <c r="B7787" t="s">
        <v>40</v>
      </c>
      <c r="C7787" t="s">
        <v>41</v>
      </c>
      <c r="D7787" s="1">
        <v>46210.101111111115</v>
      </c>
      <c r="E7787" t="s">
        <v>42</v>
      </c>
      <c r="F7787" t="s">
        <v>43</v>
      </c>
      <c r="G7787" t="s">
        <v>43</v>
      </c>
      <c r="H7787" t="s">
        <v>43</v>
      </c>
      <c r="I7787" t="s">
        <v>4318</v>
      </c>
      <c r="J7787" t="s">
        <v>43</v>
      </c>
      <c r="K7787" t="s">
        <v>43</v>
      </c>
      <c r="L7787" t="s">
        <v>43</v>
      </c>
      <c r="M7787" t="s">
        <v>43</v>
      </c>
      <c r="N7787" t="s">
        <v>45</v>
      </c>
      <c r="O7787" t="s">
        <v>43</v>
      </c>
      <c r="P7787" t="s">
        <v>43</v>
      </c>
      <c r="Q7787" t="s">
        <v>43</v>
      </c>
      <c r="R7787" t="s">
        <v>43</v>
      </c>
      <c r="S7787" t="s">
        <v>43</v>
      </c>
      <c r="T7787" t="s">
        <v>43</v>
      </c>
      <c r="U7787" t="s">
        <v>43</v>
      </c>
      <c r="V7787" t="s">
        <v>43</v>
      </c>
      <c r="W7787" t="s">
        <v>43</v>
      </c>
      <c r="X7787" t="s">
        <v>43</v>
      </c>
      <c r="Y7787" t="s">
        <v>43</v>
      </c>
      <c r="Z7787" t="s">
        <v>43</v>
      </c>
      <c r="AA7787" t="s">
        <v>43</v>
      </c>
      <c r="AB7787" t="s">
        <v>43</v>
      </c>
      <c r="AC7787" t="s">
        <v>43</v>
      </c>
      <c r="AD7787" t="s">
        <v>43</v>
      </c>
      <c r="AE7787" t="s">
        <v>43</v>
      </c>
      <c r="AF7787" t="s">
        <v>43</v>
      </c>
      <c r="AG7787" t="s">
        <v>43</v>
      </c>
      <c r="AH7787" t="s">
        <v>43</v>
      </c>
      <c r="AI7787" t="s">
        <v>43</v>
      </c>
      <c r="AJ7787" t="s">
        <v>43</v>
      </c>
      <c r="AK7787" t="s">
        <v>43</v>
      </c>
      <c r="AL7787" t="s">
        <v>43</v>
      </c>
      <c r="AM7787" t="s">
        <v>43</v>
      </c>
      <c r="AN7787" t="str">
        <f>HYPERLINK("https://www.google.com/maps?q=10.78968334,79.5787735","Open Location")</f>
        <v>Open Location</v>
      </c>
    </row>
    <row r="7788" spans="1:40" x14ac:dyDescent="0.3">
      <c r="A7788" s="1">
        <v>46210.097916666666</v>
      </c>
      <c r="B7788" t="s">
        <v>40</v>
      </c>
      <c r="C7788" t="s">
        <v>41</v>
      </c>
      <c r="D7788" s="1">
        <v>46210.100706018522</v>
      </c>
      <c r="E7788" t="s">
        <v>42</v>
      </c>
      <c r="F7788" t="s">
        <v>43</v>
      </c>
      <c r="G7788" t="s">
        <v>43</v>
      </c>
      <c r="H7788" t="s">
        <v>43</v>
      </c>
      <c r="I7788" t="s">
        <v>4316</v>
      </c>
      <c r="J7788" t="s">
        <v>43</v>
      </c>
      <c r="K7788" t="s">
        <v>43</v>
      </c>
      <c r="L7788" t="s">
        <v>43</v>
      </c>
      <c r="M7788" t="s">
        <v>43</v>
      </c>
      <c r="N7788" t="s">
        <v>45</v>
      </c>
      <c r="O7788" t="s">
        <v>43</v>
      </c>
      <c r="P7788" t="s">
        <v>43</v>
      </c>
      <c r="Q7788" t="s">
        <v>43</v>
      </c>
      <c r="R7788" t="s">
        <v>43</v>
      </c>
      <c r="S7788" t="s">
        <v>43</v>
      </c>
      <c r="T7788" t="s">
        <v>43</v>
      </c>
      <c r="U7788" t="s">
        <v>43</v>
      </c>
      <c r="V7788" t="s">
        <v>43</v>
      </c>
      <c r="W7788" t="s">
        <v>43</v>
      </c>
      <c r="X7788" t="s">
        <v>43</v>
      </c>
      <c r="Y7788" t="s">
        <v>43</v>
      </c>
      <c r="Z7788" t="s">
        <v>43</v>
      </c>
      <c r="AA7788" t="s">
        <v>43</v>
      </c>
      <c r="AB7788" t="s">
        <v>43</v>
      </c>
      <c r="AC7788" t="s">
        <v>43</v>
      </c>
      <c r="AD7788" t="s">
        <v>43</v>
      </c>
      <c r="AE7788" t="s">
        <v>43</v>
      </c>
      <c r="AF7788" t="s">
        <v>43</v>
      </c>
      <c r="AG7788" t="s">
        <v>43</v>
      </c>
      <c r="AH7788" t="s">
        <v>43</v>
      </c>
      <c r="AI7788" t="s">
        <v>43</v>
      </c>
      <c r="AJ7788" t="s">
        <v>43</v>
      </c>
      <c r="AK7788" t="s">
        <v>43</v>
      </c>
      <c r="AL7788" t="s">
        <v>43</v>
      </c>
      <c r="AM7788" t="s">
        <v>43</v>
      </c>
      <c r="AN7788" t="str">
        <f>HYPERLINK("https://www.google.com/maps?q=10.78967762,79.5787735","Open Location")</f>
        <v>Open Location</v>
      </c>
    </row>
    <row r="7789" spans="1:40" x14ac:dyDescent="0.3">
      <c r="A7789" s="1">
        <v>46210.097800925927</v>
      </c>
      <c r="B7789" t="s">
        <v>40</v>
      </c>
      <c r="C7789" t="s">
        <v>41</v>
      </c>
      <c r="D7789" s="1">
        <v>46210.100659722222</v>
      </c>
      <c r="E7789" t="s">
        <v>42</v>
      </c>
      <c r="F7789" t="s">
        <v>43</v>
      </c>
      <c r="G7789" t="s">
        <v>43</v>
      </c>
      <c r="H7789" t="s">
        <v>43</v>
      </c>
      <c r="I7789" t="s">
        <v>4233</v>
      </c>
      <c r="J7789" t="s">
        <v>43</v>
      </c>
      <c r="K7789" t="s">
        <v>43</v>
      </c>
      <c r="L7789" t="s">
        <v>43</v>
      </c>
      <c r="M7789" t="s">
        <v>43</v>
      </c>
      <c r="N7789" t="s">
        <v>45</v>
      </c>
      <c r="O7789" t="s">
        <v>43</v>
      </c>
      <c r="P7789" t="s">
        <v>43</v>
      </c>
      <c r="Q7789" t="s">
        <v>43</v>
      </c>
      <c r="R7789" t="s">
        <v>43</v>
      </c>
      <c r="S7789" t="s">
        <v>43</v>
      </c>
      <c r="T7789" t="s">
        <v>43</v>
      </c>
      <c r="U7789" t="s">
        <v>43</v>
      </c>
      <c r="V7789" t="s">
        <v>43</v>
      </c>
      <c r="W7789" t="s">
        <v>43</v>
      </c>
      <c r="X7789" t="s">
        <v>43</v>
      </c>
      <c r="Y7789" t="s">
        <v>43</v>
      </c>
      <c r="Z7789" t="s">
        <v>43</v>
      </c>
      <c r="AA7789" t="s">
        <v>43</v>
      </c>
      <c r="AB7789" t="s">
        <v>43</v>
      </c>
      <c r="AC7789" t="s">
        <v>43</v>
      </c>
      <c r="AD7789" t="s">
        <v>43</v>
      </c>
      <c r="AE7789" t="s">
        <v>43</v>
      </c>
      <c r="AF7789" t="s">
        <v>43</v>
      </c>
      <c r="AG7789" t="s">
        <v>43</v>
      </c>
      <c r="AH7789" t="s">
        <v>43</v>
      </c>
      <c r="AI7789" t="s">
        <v>43</v>
      </c>
      <c r="AJ7789" t="s">
        <v>43</v>
      </c>
      <c r="AK7789" t="s">
        <v>43</v>
      </c>
      <c r="AL7789" t="s">
        <v>43</v>
      </c>
      <c r="AM7789" t="s">
        <v>43</v>
      </c>
      <c r="AN7789" t="str">
        <f>HYPERLINK("https://www.google.com/maps?q=10.78967094,79.57876587","Open Location")</f>
        <v>Open Location</v>
      </c>
    </row>
    <row r="7790" spans="1:40" x14ac:dyDescent="0.3">
      <c r="A7790" s="1">
        <v>46210.097685185188</v>
      </c>
      <c r="B7790" t="s">
        <v>40</v>
      </c>
      <c r="C7790" t="s">
        <v>41</v>
      </c>
      <c r="D7790" s="1">
        <v>46210.100706018522</v>
      </c>
      <c r="E7790" t="s">
        <v>42</v>
      </c>
      <c r="F7790" t="s">
        <v>43</v>
      </c>
      <c r="G7790" t="s">
        <v>43</v>
      </c>
      <c r="H7790" t="s">
        <v>43</v>
      </c>
      <c r="I7790" t="s">
        <v>4354</v>
      </c>
      <c r="J7790" t="s">
        <v>43</v>
      </c>
      <c r="K7790" t="s">
        <v>43</v>
      </c>
      <c r="L7790" t="s">
        <v>43</v>
      </c>
      <c r="M7790" t="s">
        <v>43</v>
      </c>
      <c r="N7790" t="s">
        <v>45</v>
      </c>
      <c r="O7790" t="s">
        <v>43</v>
      </c>
      <c r="P7790" t="s">
        <v>43</v>
      </c>
      <c r="Q7790" t="s">
        <v>43</v>
      </c>
      <c r="R7790" t="s">
        <v>43</v>
      </c>
      <c r="S7790" t="s">
        <v>43</v>
      </c>
      <c r="T7790" t="s">
        <v>43</v>
      </c>
      <c r="U7790" t="s">
        <v>43</v>
      </c>
      <c r="V7790" t="s">
        <v>43</v>
      </c>
      <c r="W7790" t="s">
        <v>43</v>
      </c>
      <c r="X7790" t="s">
        <v>43</v>
      </c>
      <c r="Y7790" t="s">
        <v>43</v>
      </c>
      <c r="Z7790" t="s">
        <v>43</v>
      </c>
      <c r="AA7790" t="s">
        <v>43</v>
      </c>
      <c r="AB7790" t="s">
        <v>43</v>
      </c>
      <c r="AC7790" t="s">
        <v>43</v>
      </c>
      <c r="AD7790" t="s">
        <v>43</v>
      </c>
      <c r="AE7790" t="s">
        <v>43</v>
      </c>
      <c r="AF7790" t="s">
        <v>43</v>
      </c>
      <c r="AG7790" t="s">
        <v>43</v>
      </c>
      <c r="AH7790" t="s">
        <v>43</v>
      </c>
      <c r="AI7790" t="s">
        <v>43</v>
      </c>
      <c r="AJ7790" t="s">
        <v>43</v>
      </c>
      <c r="AK7790" t="s">
        <v>43</v>
      </c>
      <c r="AL7790" t="s">
        <v>43</v>
      </c>
      <c r="AM7790" t="s">
        <v>43</v>
      </c>
      <c r="AN7790" t="str">
        <f>HYPERLINK("https://www.google.com/maps?q=10.78966331,79.57876587","Open Location")</f>
        <v>Open Location</v>
      </c>
    </row>
    <row r="7791" spans="1:40" x14ac:dyDescent="0.3">
      <c r="A7791" s="1">
        <v>46210.097569444442</v>
      </c>
      <c r="B7791" t="s">
        <v>40</v>
      </c>
      <c r="C7791" t="s">
        <v>41</v>
      </c>
      <c r="D7791" s="1">
        <v>46210.100775462961</v>
      </c>
      <c r="E7791" t="s">
        <v>42</v>
      </c>
      <c r="F7791" t="s">
        <v>43</v>
      </c>
      <c r="G7791" t="s">
        <v>43</v>
      </c>
      <c r="H7791" t="s">
        <v>43</v>
      </c>
      <c r="I7791" t="s">
        <v>4354</v>
      </c>
      <c r="J7791" t="s">
        <v>43</v>
      </c>
      <c r="K7791" t="s">
        <v>43</v>
      </c>
      <c r="L7791" t="s">
        <v>43</v>
      </c>
      <c r="M7791" t="s">
        <v>43</v>
      </c>
      <c r="N7791" t="s">
        <v>45</v>
      </c>
      <c r="O7791" t="s">
        <v>43</v>
      </c>
      <c r="P7791" t="s">
        <v>43</v>
      </c>
      <c r="Q7791" t="s">
        <v>43</v>
      </c>
      <c r="R7791" t="s">
        <v>43</v>
      </c>
      <c r="S7791" t="s">
        <v>43</v>
      </c>
      <c r="T7791" t="s">
        <v>43</v>
      </c>
      <c r="U7791" t="s">
        <v>43</v>
      </c>
      <c r="V7791" t="s">
        <v>43</v>
      </c>
      <c r="W7791" t="s">
        <v>43</v>
      </c>
      <c r="X7791" t="s">
        <v>43</v>
      </c>
      <c r="Y7791" t="s">
        <v>43</v>
      </c>
      <c r="Z7791" t="s">
        <v>43</v>
      </c>
      <c r="AA7791" t="s">
        <v>43</v>
      </c>
      <c r="AB7791" t="s">
        <v>43</v>
      </c>
      <c r="AC7791" t="s">
        <v>43</v>
      </c>
      <c r="AD7791" t="s">
        <v>43</v>
      </c>
      <c r="AE7791" t="s">
        <v>43</v>
      </c>
      <c r="AF7791" t="s">
        <v>43</v>
      </c>
      <c r="AG7791" t="s">
        <v>43</v>
      </c>
      <c r="AH7791" t="s">
        <v>43</v>
      </c>
      <c r="AI7791" t="s">
        <v>43</v>
      </c>
      <c r="AJ7791" t="s">
        <v>43</v>
      </c>
      <c r="AK7791" t="s">
        <v>43</v>
      </c>
      <c r="AL7791" t="s">
        <v>43</v>
      </c>
      <c r="AM7791" t="s">
        <v>43</v>
      </c>
      <c r="AN7791" t="str">
        <f>HYPERLINK("https://www.google.com/maps?q=10.78966331,79.57876587","Open Location")</f>
        <v>Open Location</v>
      </c>
    </row>
    <row r="7792" spans="1:40" x14ac:dyDescent="0.3">
      <c r="A7792" s="1">
        <v>46210.097453703704</v>
      </c>
      <c r="B7792" t="s">
        <v>40</v>
      </c>
      <c r="C7792" t="s">
        <v>41</v>
      </c>
      <c r="D7792" s="1">
        <v>46210.100659722222</v>
      </c>
      <c r="E7792" t="s">
        <v>42</v>
      </c>
      <c r="F7792" t="s">
        <v>43</v>
      </c>
      <c r="G7792" t="s">
        <v>43</v>
      </c>
      <c r="H7792" t="s">
        <v>43</v>
      </c>
      <c r="I7792" t="s">
        <v>43</v>
      </c>
      <c r="J7792" t="s">
        <v>43</v>
      </c>
      <c r="K7792" t="s">
        <v>43</v>
      </c>
      <c r="L7792" t="s">
        <v>43</v>
      </c>
      <c r="M7792" t="s">
        <v>43</v>
      </c>
      <c r="N7792" t="s">
        <v>45</v>
      </c>
      <c r="O7792" t="s">
        <v>43</v>
      </c>
      <c r="P7792" t="s">
        <v>43</v>
      </c>
      <c r="Q7792" t="s">
        <v>43</v>
      </c>
      <c r="R7792" t="s">
        <v>43</v>
      </c>
      <c r="S7792" t="s">
        <v>43</v>
      </c>
      <c r="T7792" t="s">
        <v>43</v>
      </c>
      <c r="U7792" t="s">
        <v>43</v>
      </c>
      <c r="V7792" t="s">
        <v>43</v>
      </c>
      <c r="W7792" t="s">
        <v>43</v>
      </c>
      <c r="X7792" t="s">
        <v>43</v>
      </c>
      <c r="Y7792" t="s">
        <v>43</v>
      </c>
      <c r="Z7792" t="s">
        <v>43</v>
      </c>
      <c r="AA7792" t="s">
        <v>43</v>
      </c>
      <c r="AB7792" t="s">
        <v>43</v>
      </c>
      <c r="AC7792" t="s">
        <v>43</v>
      </c>
      <c r="AD7792" t="s">
        <v>43</v>
      </c>
      <c r="AE7792" t="s">
        <v>43</v>
      </c>
      <c r="AF7792" t="s">
        <v>43</v>
      </c>
      <c r="AG7792" t="s">
        <v>43</v>
      </c>
      <c r="AH7792" t="s">
        <v>43</v>
      </c>
      <c r="AI7792" t="s">
        <v>43</v>
      </c>
      <c r="AJ7792" t="s">
        <v>43</v>
      </c>
      <c r="AK7792" t="s">
        <v>43</v>
      </c>
      <c r="AL7792" t="s">
        <v>43</v>
      </c>
      <c r="AM7792" t="s">
        <v>43</v>
      </c>
      <c r="AN7792" t="s">
        <v>43</v>
      </c>
    </row>
    <row r="7793" spans="1:40" x14ac:dyDescent="0.3">
      <c r="A7793" s="1">
        <v>46210.097337962965</v>
      </c>
      <c r="B7793" t="s">
        <v>40</v>
      </c>
      <c r="C7793" t="s">
        <v>41</v>
      </c>
      <c r="D7793" s="1">
        <v>46210.100335648145</v>
      </c>
      <c r="E7793" t="s">
        <v>42</v>
      </c>
      <c r="F7793" t="s">
        <v>43</v>
      </c>
      <c r="G7793" t="s">
        <v>43</v>
      </c>
      <c r="H7793" t="s">
        <v>43</v>
      </c>
      <c r="I7793" t="s">
        <v>4355</v>
      </c>
      <c r="J7793" t="s">
        <v>43</v>
      </c>
      <c r="K7793" t="s">
        <v>43</v>
      </c>
      <c r="L7793" t="s">
        <v>43</v>
      </c>
      <c r="M7793" t="s">
        <v>43</v>
      </c>
      <c r="N7793" t="s">
        <v>45</v>
      </c>
      <c r="O7793" t="s">
        <v>43</v>
      </c>
      <c r="P7793" t="s">
        <v>43</v>
      </c>
      <c r="Q7793" t="s">
        <v>43</v>
      </c>
      <c r="R7793" t="s">
        <v>43</v>
      </c>
      <c r="S7793" t="s">
        <v>43</v>
      </c>
      <c r="T7793" t="s">
        <v>43</v>
      </c>
      <c r="U7793" t="s">
        <v>43</v>
      </c>
      <c r="V7793" t="s">
        <v>43</v>
      </c>
      <c r="W7793" t="s">
        <v>43</v>
      </c>
      <c r="X7793" t="s">
        <v>43</v>
      </c>
      <c r="Y7793" t="s">
        <v>43</v>
      </c>
      <c r="Z7793" t="s">
        <v>43</v>
      </c>
      <c r="AA7793" t="s">
        <v>43</v>
      </c>
      <c r="AB7793" t="s">
        <v>43</v>
      </c>
      <c r="AC7793" t="s">
        <v>43</v>
      </c>
      <c r="AD7793" t="s">
        <v>43</v>
      </c>
      <c r="AE7793" t="s">
        <v>43</v>
      </c>
      <c r="AF7793" t="s">
        <v>43</v>
      </c>
      <c r="AG7793" t="s">
        <v>43</v>
      </c>
      <c r="AH7793" t="s">
        <v>43</v>
      </c>
      <c r="AI7793" t="s">
        <v>43</v>
      </c>
      <c r="AJ7793" t="s">
        <v>43</v>
      </c>
      <c r="AK7793" t="s">
        <v>43</v>
      </c>
      <c r="AL7793" t="s">
        <v>43</v>
      </c>
      <c r="AM7793" t="s">
        <v>43</v>
      </c>
      <c r="AN7793" t="str">
        <f>HYPERLINK("https://www.google.com/maps?q=10.78965855,79.57875824","Open Location")</f>
        <v>Open Location</v>
      </c>
    </row>
    <row r="7794" spans="1:40" x14ac:dyDescent="0.3">
      <c r="A7794" s="1">
        <v>46210.097222222219</v>
      </c>
      <c r="B7794" t="s">
        <v>40</v>
      </c>
      <c r="C7794" t="s">
        <v>41</v>
      </c>
      <c r="D7794" s="1">
        <v>46210.100405092591</v>
      </c>
      <c r="E7794" t="s">
        <v>42</v>
      </c>
      <c r="F7794" t="s">
        <v>43</v>
      </c>
      <c r="G7794" t="s">
        <v>43</v>
      </c>
      <c r="H7794" t="s">
        <v>43</v>
      </c>
      <c r="I7794" t="s">
        <v>3970</v>
      </c>
      <c r="J7794" t="s">
        <v>43</v>
      </c>
      <c r="K7794" t="s">
        <v>43</v>
      </c>
      <c r="L7794" t="s">
        <v>43</v>
      </c>
      <c r="M7794" t="s">
        <v>43</v>
      </c>
      <c r="N7794" t="s">
        <v>45</v>
      </c>
      <c r="O7794" t="s">
        <v>43</v>
      </c>
      <c r="P7794" t="s">
        <v>43</v>
      </c>
      <c r="Q7794" t="s">
        <v>43</v>
      </c>
      <c r="R7794" t="s">
        <v>43</v>
      </c>
      <c r="S7794" t="s">
        <v>43</v>
      </c>
      <c r="T7794" t="s">
        <v>43</v>
      </c>
      <c r="U7794" t="s">
        <v>43</v>
      </c>
      <c r="V7794" t="s">
        <v>43</v>
      </c>
      <c r="W7794" t="s">
        <v>43</v>
      </c>
      <c r="X7794" t="s">
        <v>43</v>
      </c>
      <c r="Y7794" t="s">
        <v>43</v>
      </c>
      <c r="Z7794" t="s">
        <v>43</v>
      </c>
      <c r="AA7794" t="s">
        <v>43</v>
      </c>
      <c r="AB7794" t="s">
        <v>43</v>
      </c>
      <c r="AC7794" t="s">
        <v>43</v>
      </c>
      <c r="AD7794" t="s">
        <v>43</v>
      </c>
      <c r="AE7794" t="s">
        <v>43</v>
      </c>
      <c r="AF7794" t="s">
        <v>43</v>
      </c>
      <c r="AG7794" t="s">
        <v>43</v>
      </c>
      <c r="AH7794" t="s">
        <v>43</v>
      </c>
      <c r="AI7794" t="s">
        <v>43</v>
      </c>
      <c r="AJ7794" t="s">
        <v>43</v>
      </c>
      <c r="AK7794" t="s">
        <v>43</v>
      </c>
      <c r="AL7794" t="s">
        <v>43</v>
      </c>
      <c r="AM7794" t="s">
        <v>43</v>
      </c>
      <c r="AN7794" t="str">
        <f>HYPERLINK("https://www.google.com/maps?q=10.78965473,79.57875061","Open Location")</f>
        <v>Open Location</v>
      </c>
    </row>
    <row r="7795" spans="1:40" x14ac:dyDescent="0.3">
      <c r="A7795" s="1">
        <v>46210.09710648148</v>
      </c>
      <c r="B7795" t="s">
        <v>40</v>
      </c>
      <c r="C7795" t="s">
        <v>41</v>
      </c>
      <c r="D7795" s="1">
        <v>46210.100335648145</v>
      </c>
      <c r="E7795" t="s">
        <v>42</v>
      </c>
      <c r="F7795" t="s">
        <v>43</v>
      </c>
      <c r="G7795" t="s">
        <v>43</v>
      </c>
      <c r="H7795" t="s">
        <v>43</v>
      </c>
      <c r="I7795" t="s">
        <v>4356</v>
      </c>
      <c r="J7795" t="s">
        <v>43</v>
      </c>
      <c r="K7795" t="s">
        <v>43</v>
      </c>
      <c r="L7795" t="s">
        <v>43</v>
      </c>
      <c r="M7795" t="s">
        <v>43</v>
      </c>
      <c r="N7795" t="s">
        <v>45</v>
      </c>
      <c r="O7795" t="s">
        <v>43</v>
      </c>
      <c r="P7795" t="s">
        <v>43</v>
      </c>
      <c r="Q7795" t="s">
        <v>43</v>
      </c>
      <c r="R7795" t="s">
        <v>43</v>
      </c>
      <c r="S7795" t="s">
        <v>43</v>
      </c>
      <c r="T7795" t="s">
        <v>43</v>
      </c>
      <c r="U7795" t="s">
        <v>43</v>
      </c>
      <c r="V7795" t="s">
        <v>43</v>
      </c>
      <c r="W7795" t="s">
        <v>43</v>
      </c>
      <c r="X7795" t="s">
        <v>43</v>
      </c>
      <c r="Y7795" t="s">
        <v>43</v>
      </c>
      <c r="Z7795" t="s">
        <v>43</v>
      </c>
      <c r="AA7795" t="s">
        <v>43</v>
      </c>
      <c r="AB7795" t="s">
        <v>43</v>
      </c>
      <c r="AC7795" t="s">
        <v>43</v>
      </c>
      <c r="AD7795" t="s">
        <v>43</v>
      </c>
      <c r="AE7795" t="s">
        <v>43</v>
      </c>
      <c r="AF7795" t="s">
        <v>43</v>
      </c>
      <c r="AG7795" t="s">
        <v>43</v>
      </c>
      <c r="AH7795" t="s">
        <v>43</v>
      </c>
      <c r="AI7795" t="s">
        <v>43</v>
      </c>
      <c r="AJ7795" t="s">
        <v>43</v>
      </c>
      <c r="AK7795" t="s">
        <v>43</v>
      </c>
      <c r="AL7795" t="s">
        <v>43</v>
      </c>
      <c r="AM7795" t="s">
        <v>43</v>
      </c>
      <c r="AN7795" t="str">
        <f>HYPERLINK("https://www.google.com/maps?q=10.78965187,79.57875824","Open Location")</f>
        <v>Open Location</v>
      </c>
    </row>
    <row r="7796" spans="1:40" x14ac:dyDescent="0.3">
      <c r="A7796" s="1">
        <v>46210.096990740742</v>
      </c>
      <c r="B7796" t="s">
        <v>40</v>
      </c>
      <c r="C7796" t="s">
        <v>41</v>
      </c>
      <c r="D7796" s="1">
        <v>46210.099918981483</v>
      </c>
      <c r="E7796" t="s">
        <v>42</v>
      </c>
      <c r="F7796" t="s">
        <v>43</v>
      </c>
      <c r="G7796" t="s">
        <v>43</v>
      </c>
      <c r="H7796" t="s">
        <v>43</v>
      </c>
      <c r="I7796" t="s">
        <v>3961</v>
      </c>
      <c r="J7796" t="s">
        <v>43</v>
      </c>
      <c r="K7796" t="s">
        <v>43</v>
      </c>
      <c r="L7796" t="s">
        <v>43</v>
      </c>
      <c r="M7796" t="s">
        <v>43</v>
      </c>
      <c r="N7796" t="s">
        <v>45</v>
      </c>
      <c r="O7796" t="s">
        <v>43</v>
      </c>
      <c r="P7796" t="s">
        <v>43</v>
      </c>
      <c r="Q7796" t="s">
        <v>43</v>
      </c>
      <c r="R7796" t="s">
        <v>43</v>
      </c>
      <c r="S7796" t="s">
        <v>43</v>
      </c>
      <c r="T7796" t="s">
        <v>43</v>
      </c>
      <c r="U7796" t="s">
        <v>43</v>
      </c>
      <c r="V7796" t="s">
        <v>43</v>
      </c>
      <c r="W7796" t="s">
        <v>43</v>
      </c>
      <c r="X7796" t="s">
        <v>43</v>
      </c>
      <c r="Y7796" t="s">
        <v>43</v>
      </c>
      <c r="Z7796" t="s">
        <v>43</v>
      </c>
      <c r="AA7796" t="s">
        <v>43</v>
      </c>
      <c r="AB7796" t="s">
        <v>43</v>
      </c>
      <c r="AC7796" t="s">
        <v>43</v>
      </c>
      <c r="AD7796" t="s">
        <v>43</v>
      </c>
      <c r="AE7796" t="s">
        <v>43</v>
      </c>
      <c r="AF7796" t="s">
        <v>43</v>
      </c>
      <c r="AG7796" t="s">
        <v>43</v>
      </c>
      <c r="AH7796" t="s">
        <v>43</v>
      </c>
      <c r="AI7796" t="s">
        <v>43</v>
      </c>
      <c r="AJ7796" t="s">
        <v>43</v>
      </c>
      <c r="AK7796" t="s">
        <v>43</v>
      </c>
      <c r="AL7796" t="s">
        <v>43</v>
      </c>
      <c r="AM7796" t="s">
        <v>43</v>
      </c>
      <c r="AN7796" t="str">
        <f>HYPERLINK("https://www.google.com/maps?q=10.78965473,79.57876587","Open Location")</f>
        <v>Open Location</v>
      </c>
    </row>
    <row r="7797" spans="1:40" x14ac:dyDescent="0.3">
      <c r="A7797" s="1">
        <v>46210.096875000003</v>
      </c>
      <c r="B7797" t="s">
        <v>40</v>
      </c>
      <c r="C7797" t="s">
        <v>41</v>
      </c>
      <c r="D7797" s="1">
        <v>46210.099814814814</v>
      </c>
      <c r="E7797" t="s">
        <v>42</v>
      </c>
      <c r="F7797" t="s">
        <v>43</v>
      </c>
      <c r="G7797" t="s">
        <v>43</v>
      </c>
      <c r="H7797" t="s">
        <v>43</v>
      </c>
      <c r="I7797" t="s">
        <v>43</v>
      </c>
      <c r="J7797" t="s">
        <v>43</v>
      </c>
      <c r="K7797" t="s">
        <v>43</v>
      </c>
      <c r="L7797" t="s">
        <v>43</v>
      </c>
      <c r="M7797" t="s">
        <v>43</v>
      </c>
      <c r="N7797" t="s">
        <v>45</v>
      </c>
      <c r="O7797" t="s">
        <v>43</v>
      </c>
      <c r="P7797" t="s">
        <v>43</v>
      </c>
      <c r="Q7797" t="s">
        <v>43</v>
      </c>
      <c r="R7797" t="s">
        <v>43</v>
      </c>
      <c r="S7797" t="s">
        <v>43</v>
      </c>
      <c r="T7797" t="s">
        <v>43</v>
      </c>
      <c r="U7797" t="s">
        <v>43</v>
      </c>
      <c r="V7797" t="s">
        <v>43</v>
      </c>
      <c r="W7797" t="s">
        <v>43</v>
      </c>
      <c r="X7797" t="s">
        <v>43</v>
      </c>
      <c r="Y7797" t="s">
        <v>43</v>
      </c>
      <c r="Z7797" t="s">
        <v>43</v>
      </c>
      <c r="AA7797" t="s">
        <v>43</v>
      </c>
      <c r="AB7797" t="s">
        <v>43</v>
      </c>
      <c r="AC7797" t="s">
        <v>43</v>
      </c>
      <c r="AD7797" t="s">
        <v>43</v>
      </c>
      <c r="AE7797" t="s">
        <v>43</v>
      </c>
      <c r="AF7797" t="s">
        <v>43</v>
      </c>
      <c r="AG7797" t="s">
        <v>43</v>
      </c>
      <c r="AH7797" t="s">
        <v>43</v>
      </c>
      <c r="AI7797" t="s">
        <v>43</v>
      </c>
      <c r="AJ7797" t="s">
        <v>43</v>
      </c>
      <c r="AK7797" t="s">
        <v>43</v>
      </c>
      <c r="AL7797" t="s">
        <v>43</v>
      </c>
      <c r="AM7797" t="s">
        <v>43</v>
      </c>
      <c r="AN7797" t="s">
        <v>43</v>
      </c>
    </row>
    <row r="7798" spans="1:40" x14ac:dyDescent="0.3">
      <c r="A7798" s="1">
        <v>46210.096759259257</v>
      </c>
      <c r="B7798" t="s">
        <v>40</v>
      </c>
      <c r="C7798" t="s">
        <v>41</v>
      </c>
      <c r="D7798" s="1">
        <v>46210.099560185183</v>
      </c>
      <c r="E7798" t="s">
        <v>42</v>
      </c>
      <c r="F7798" t="s">
        <v>43</v>
      </c>
      <c r="G7798" t="s">
        <v>43</v>
      </c>
      <c r="H7798" t="s">
        <v>43</v>
      </c>
      <c r="I7798" t="s">
        <v>4357</v>
      </c>
      <c r="J7798" t="s">
        <v>43</v>
      </c>
      <c r="K7798" t="s">
        <v>43</v>
      </c>
      <c r="L7798" t="s">
        <v>43</v>
      </c>
      <c r="M7798" t="s">
        <v>43</v>
      </c>
      <c r="N7798" t="s">
        <v>45</v>
      </c>
      <c r="O7798" t="s">
        <v>43</v>
      </c>
      <c r="P7798" t="s">
        <v>43</v>
      </c>
      <c r="Q7798" t="s">
        <v>43</v>
      </c>
      <c r="R7798" t="s">
        <v>43</v>
      </c>
      <c r="S7798" t="s">
        <v>43</v>
      </c>
      <c r="T7798" t="s">
        <v>43</v>
      </c>
      <c r="U7798" t="s">
        <v>43</v>
      </c>
      <c r="V7798" t="s">
        <v>43</v>
      </c>
      <c r="W7798" t="s">
        <v>43</v>
      </c>
      <c r="X7798" t="s">
        <v>43</v>
      </c>
      <c r="Y7798" t="s">
        <v>43</v>
      </c>
      <c r="Z7798" t="s">
        <v>43</v>
      </c>
      <c r="AA7798" t="s">
        <v>43</v>
      </c>
      <c r="AB7798" t="s">
        <v>43</v>
      </c>
      <c r="AC7798" t="s">
        <v>43</v>
      </c>
      <c r="AD7798" t="s">
        <v>43</v>
      </c>
      <c r="AE7798" t="s">
        <v>43</v>
      </c>
      <c r="AF7798" t="s">
        <v>43</v>
      </c>
      <c r="AG7798" t="s">
        <v>43</v>
      </c>
      <c r="AH7798" t="s">
        <v>43</v>
      </c>
      <c r="AI7798" t="s">
        <v>43</v>
      </c>
      <c r="AJ7798" t="s">
        <v>43</v>
      </c>
      <c r="AK7798" t="s">
        <v>43</v>
      </c>
      <c r="AL7798" t="s">
        <v>43</v>
      </c>
      <c r="AM7798" t="s">
        <v>43</v>
      </c>
      <c r="AN7798" t="str">
        <f>HYPERLINK("https://www.google.com/maps?q=10.78965473,79.57875824","Open Location")</f>
        <v>Open Location</v>
      </c>
    </row>
    <row r="7799" spans="1:40" x14ac:dyDescent="0.3">
      <c r="A7799" s="1">
        <v>46210.096643518518</v>
      </c>
      <c r="B7799" t="s">
        <v>40</v>
      </c>
      <c r="C7799" t="s">
        <v>41</v>
      </c>
      <c r="D7799" s="1">
        <v>46210.099618055552</v>
      </c>
      <c r="E7799" t="s">
        <v>42</v>
      </c>
      <c r="F7799" t="s">
        <v>43</v>
      </c>
      <c r="G7799" t="s">
        <v>43</v>
      </c>
      <c r="H7799" t="s">
        <v>43</v>
      </c>
      <c r="I7799" t="s">
        <v>3971</v>
      </c>
      <c r="J7799" t="s">
        <v>43</v>
      </c>
      <c r="K7799" t="s">
        <v>43</v>
      </c>
      <c r="L7799" t="s">
        <v>43</v>
      </c>
      <c r="M7799" t="s">
        <v>43</v>
      </c>
      <c r="N7799" t="s">
        <v>45</v>
      </c>
      <c r="O7799" t="s">
        <v>43</v>
      </c>
      <c r="P7799" t="s">
        <v>43</v>
      </c>
      <c r="Q7799" t="s">
        <v>43</v>
      </c>
      <c r="R7799" t="s">
        <v>43</v>
      </c>
      <c r="S7799" t="s">
        <v>43</v>
      </c>
      <c r="T7799" t="s">
        <v>43</v>
      </c>
      <c r="U7799" t="s">
        <v>43</v>
      </c>
      <c r="V7799" t="s">
        <v>43</v>
      </c>
      <c r="W7799" t="s">
        <v>43</v>
      </c>
      <c r="X7799" t="s">
        <v>43</v>
      </c>
      <c r="Y7799" t="s">
        <v>43</v>
      </c>
      <c r="Z7799" t="s">
        <v>43</v>
      </c>
      <c r="AA7799" t="s">
        <v>43</v>
      </c>
      <c r="AB7799" t="s">
        <v>43</v>
      </c>
      <c r="AC7799" t="s">
        <v>43</v>
      </c>
      <c r="AD7799" t="s">
        <v>43</v>
      </c>
      <c r="AE7799" t="s">
        <v>43</v>
      </c>
      <c r="AF7799" t="s">
        <v>43</v>
      </c>
      <c r="AG7799" t="s">
        <v>43</v>
      </c>
      <c r="AH7799" t="s">
        <v>43</v>
      </c>
      <c r="AI7799" t="s">
        <v>43</v>
      </c>
      <c r="AJ7799" t="s">
        <v>43</v>
      </c>
      <c r="AK7799" t="s">
        <v>43</v>
      </c>
      <c r="AL7799" t="s">
        <v>43</v>
      </c>
      <c r="AM7799" t="s">
        <v>43</v>
      </c>
      <c r="AN7799" t="str">
        <f>HYPERLINK("https://www.google.com/maps?q=10.78965569,79.57875824","Open Location")</f>
        <v>Open Location</v>
      </c>
    </row>
    <row r="7800" spans="1:40" x14ac:dyDescent="0.3">
      <c r="A7800" s="1">
        <v>46210.09652777778</v>
      </c>
      <c r="B7800" t="s">
        <v>40</v>
      </c>
      <c r="C7800" t="s">
        <v>41</v>
      </c>
      <c r="D7800" s="1">
        <v>46210.09952546296</v>
      </c>
      <c r="E7800" t="s">
        <v>42</v>
      </c>
      <c r="F7800" t="s">
        <v>43</v>
      </c>
      <c r="G7800" t="s">
        <v>43</v>
      </c>
      <c r="H7800" t="s">
        <v>43</v>
      </c>
      <c r="I7800" t="s">
        <v>4358</v>
      </c>
      <c r="J7800" t="s">
        <v>43</v>
      </c>
      <c r="K7800" t="s">
        <v>43</v>
      </c>
      <c r="L7800" t="s">
        <v>43</v>
      </c>
      <c r="M7800" t="s">
        <v>43</v>
      </c>
      <c r="N7800" t="s">
        <v>45</v>
      </c>
      <c r="O7800" t="s">
        <v>43</v>
      </c>
      <c r="P7800" t="s">
        <v>43</v>
      </c>
      <c r="Q7800" t="s">
        <v>43</v>
      </c>
      <c r="R7800" t="s">
        <v>43</v>
      </c>
      <c r="S7800" t="s">
        <v>43</v>
      </c>
      <c r="T7800" t="s">
        <v>43</v>
      </c>
      <c r="U7800" t="s">
        <v>43</v>
      </c>
      <c r="V7800" t="s">
        <v>43</v>
      </c>
      <c r="W7800" t="s">
        <v>43</v>
      </c>
      <c r="X7800" t="s">
        <v>43</v>
      </c>
      <c r="Y7800" t="s">
        <v>43</v>
      </c>
      <c r="Z7800" t="s">
        <v>43</v>
      </c>
      <c r="AA7800" t="s">
        <v>43</v>
      </c>
      <c r="AB7800" t="s">
        <v>43</v>
      </c>
      <c r="AC7800" t="s">
        <v>43</v>
      </c>
      <c r="AD7800" t="s">
        <v>43</v>
      </c>
      <c r="AE7800" t="s">
        <v>43</v>
      </c>
      <c r="AF7800" t="s">
        <v>43</v>
      </c>
      <c r="AG7800" t="s">
        <v>43</v>
      </c>
      <c r="AH7800" t="s">
        <v>43</v>
      </c>
      <c r="AI7800" t="s">
        <v>43</v>
      </c>
      <c r="AJ7800" t="s">
        <v>43</v>
      </c>
      <c r="AK7800" t="s">
        <v>43</v>
      </c>
      <c r="AL7800" t="s">
        <v>43</v>
      </c>
      <c r="AM7800" t="s">
        <v>43</v>
      </c>
      <c r="AN7800" t="str">
        <f>HYPERLINK("https://www.google.com/maps?q=10.78965282,79.57875824","Open Location")</f>
        <v>Open Location</v>
      </c>
    </row>
    <row r="7801" spans="1:40" x14ac:dyDescent="0.3">
      <c r="A7801" s="1">
        <v>46210.096412037034</v>
      </c>
      <c r="B7801" t="s">
        <v>40</v>
      </c>
      <c r="C7801" t="s">
        <v>41</v>
      </c>
      <c r="D7801" s="1">
        <v>46210.099537037036</v>
      </c>
      <c r="E7801" t="s">
        <v>42</v>
      </c>
      <c r="F7801" t="s">
        <v>43</v>
      </c>
      <c r="G7801" t="s">
        <v>43</v>
      </c>
      <c r="H7801" t="s">
        <v>43</v>
      </c>
      <c r="I7801" t="s">
        <v>3955</v>
      </c>
      <c r="J7801" t="s">
        <v>43</v>
      </c>
      <c r="K7801" t="s">
        <v>43</v>
      </c>
      <c r="L7801" t="s">
        <v>43</v>
      </c>
      <c r="M7801" t="s">
        <v>43</v>
      </c>
      <c r="N7801" t="s">
        <v>45</v>
      </c>
      <c r="O7801" t="s">
        <v>43</v>
      </c>
      <c r="P7801" t="s">
        <v>43</v>
      </c>
      <c r="Q7801" t="s">
        <v>43</v>
      </c>
      <c r="R7801" t="s">
        <v>43</v>
      </c>
      <c r="S7801" t="s">
        <v>43</v>
      </c>
      <c r="T7801" t="s">
        <v>43</v>
      </c>
      <c r="U7801" t="s">
        <v>43</v>
      </c>
      <c r="V7801" t="s">
        <v>43</v>
      </c>
      <c r="W7801" t="s">
        <v>43</v>
      </c>
      <c r="X7801" t="s">
        <v>43</v>
      </c>
      <c r="Y7801" t="s">
        <v>43</v>
      </c>
      <c r="Z7801" t="s">
        <v>43</v>
      </c>
      <c r="AA7801" t="s">
        <v>43</v>
      </c>
      <c r="AB7801" t="s">
        <v>43</v>
      </c>
      <c r="AC7801" t="s">
        <v>43</v>
      </c>
      <c r="AD7801" t="s">
        <v>43</v>
      </c>
      <c r="AE7801" t="s">
        <v>43</v>
      </c>
      <c r="AF7801" t="s">
        <v>43</v>
      </c>
      <c r="AG7801" t="s">
        <v>43</v>
      </c>
      <c r="AH7801" t="s">
        <v>43</v>
      </c>
      <c r="AI7801" t="s">
        <v>43</v>
      </c>
      <c r="AJ7801" t="s">
        <v>43</v>
      </c>
      <c r="AK7801" t="s">
        <v>43</v>
      </c>
      <c r="AL7801" t="s">
        <v>43</v>
      </c>
      <c r="AM7801" t="s">
        <v>43</v>
      </c>
      <c r="AN7801" t="str">
        <f>HYPERLINK("https://www.google.com/maps?q=10.7896471,79.57876587","Open Location")</f>
        <v>Open Location</v>
      </c>
    </row>
    <row r="7802" spans="1:40" x14ac:dyDescent="0.3">
      <c r="A7802" s="1">
        <v>46210.096296296295</v>
      </c>
      <c r="B7802" t="s">
        <v>40</v>
      </c>
      <c r="C7802" t="s">
        <v>41</v>
      </c>
      <c r="D7802" s="1">
        <v>46210.099108796298</v>
      </c>
      <c r="E7802" t="s">
        <v>42</v>
      </c>
      <c r="F7802" t="s">
        <v>43</v>
      </c>
      <c r="G7802" t="s">
        <v>43</v>
      </c>
      <c r="H7802" t="s">
        <v>43</v>
      </c>
      <c r="I7802" t="s">
        <v>3952</v>
      </c>
      <c r="J7802" t="s">
        <v>43</v>
      </c>
      <c r="K7802" t="s">
        <v>43</v>
      </c>
      <c r="L7802" t="s">
        <v>43</v>
      </c>
      <c r="M7802" t="s">
        <v>43</v>
      </c>
      <c r="N7802" t="s">
        <v>45</v>
      </c>
      <c r="O7802" t="s">
        <v>43</v>
      </c>
      <c r="P7802" t="s">
        <v>43</v>
      </c>
      <c r="Q7802" t="s">
        <v>43</v>
      </c>
      <c r="R7802" t="s">
        <v>43</v>
      </c>
      <c r="S7802" t="s">
        <v>43</v>
      </c>
      <c r="T7802" t="s">
        <v>43</v>
      </c>
      <c r="U7802" t="s">
        <v>43</v>
      </c>
      <c r="V7802" t="s">
        <v>43</v>
      </c>
      <c r="W7802" t="s">
        <v>43</v>
      </c>
      <c r="X7802" t="s">
        <v>43</v>
      </c>
      <c r="Y7802" t="s">
        <v>43</v>
      </c>
      <c r="Z7802" t="s">
        <v>43</v>
      </c>
      <c r="AA7802" t="s">
        <v>43</v>
      </c>
      <c r="AB7802" t="s">
        <v>43</v>
      </c>
      <c r="AC7802" t="s">
        <v>43</v>
      </c>
      <c r="AD7802" t="s">
        <v>43</v>
      </c>
      <c r="AE7802" t="s">
        <v>43</v>
      </c>
      <c r="AF7802" t="s">
        <v>43</v>
      </c>
      <c r="AG7802" t="s">
        <v>43</v>
      </c>
      <c r="AH7802" t="s">
        <v>43</v>
      </c>
      <c r="AI7802" t="s">
        <v>43</v>
      </c>
      <c r="AJ7802" t="s">
        <v>43</v>
      </c>
      <c r="AK7802" t="s">
        <v>43</v>
      </c>
      <c r="AL7802" t="s">
        <v>43</v>
      </c>
      <c r="AM7802" t="s">
        <v>43</v>
      </c>
      <c r="AN7802" t="str">
        <f>HYPERLINK("https://www.google.com/maps?q=10.78964424,79.5787735","Open Location")</f>
        <v>Open Location</v>
      </c>
    </row>
    <row r="7803" spans="1:40" x14ac:dyDescent="0.3">
      <c r="A7803" s="1">
        <v>46210.096180555556</v>
      </c>
      <c r="B7803" t="s">
        <v>40</v>
      </c>
      <c r="C7803" t="s">
        <v>41</v>
      </c>
      <c r="D7803" s="1">
        <v>46210.099247685182</v>
      </c>
      <c r="E7803" t="s">
        <v>42</v>
      </c>
      <c r="F7803" t="s">
        <v>43</v>
      </c>
      <c r="G7803" t="s">
        <v>43</v>
      </c>
      <c r="H7803" t="s">
        <v>43</v>
      </c>
      <c r="I7803" t="s">
        <v>43</v>
      </c>
      <c r="J7803" t="s">
        <v>43</v>
      </c>
      <c r="K7803" t="s">
        <v>43</v>
      </c>
      <c r="L7803" t="s">
        <v>43</v>
      </c>
      <c r="M7803" t="s">
        <v>43</v>
      </c>
      <c r="N7803" t="s">
        <v>45</v>
      </c>
      <c r="O7803" t="s">
        <v>43</v>
      </c>
      <c r="P7803" t="s">
        <v>43</v>
      </c>
      <c r="Q7803" t="s">
        <v>43</v>
      </c>
      <c r="R7803" t="s">
        <v>43</v>
      </c>
      <c r="S7803" t="s">
        <v>43</v>
      </c>
      <c r="T7803" t="s">
        <v>43</v>
      </c>
      <c r="U7803" t="s">
        <v>43</v>
      </c>
      <c r="V7803" t="s">
        <v>43</v>
      </c>
      <c r="W7803" t="s">
        <v>43</v>
      </c>
      <c r="X7803" t="s">
        <v>43</v>
      </c>
      <c r="Y7803" t="s">
        <v>43</v>
      </c>
      <c r="Z7803" t="s">
        <v>43</v>
      </c>
      <c r="AA7803" t="s">
        <v>43</v>
      </c>
      <c r="AB7803" t="s">
        <v>43</v>
      </c>
      <c r="AC7803" t="s">
        <v>43</v>
      </c>
      <c r="AD7803" t="s">
        <v>43</v>
      </c>
      <c r="AE7803" t="s">
        <v>43</v>
      </c>
      <c r="AF7803" t="s">
        <v>43</v>
      </c>
      <c r="AG7803" t="s">
        <v>43</v>
      </c>
      <c r="AH7803" t="s">
        <v>43</v>
      </c>
      <c r="AI7803" t="s">
        <v>43</v>
      </c>
      <c r="AJ7803" t="s">
        <v>43</v>
      </c>
      <c r="AK7803" t="s">
        <v>43</v>
      </c>
      <c r="AL7803" t="s">
        <v>43</v>
      </c>
      <c r="AM7803" t="s">
        <v>43</v>
      </c>
      <c r="AN7803" t="s">
        <v>43</v>
      </c>
    </row>
    <row r="7804" spans="1:40" x14ac:dyDescent="0.3">
      <c r="A7804" s="1">
        <v>46210.096064814818</v>
      </c>
      <c r="B7804" t="s">
        <v>40</v>
      </c>
      <c r="C7804" t="s">
        <v>41</v>
      </c>
      <c r="D7804" s="1">
        <v>46210.099247685182</v>
      </c>
      <c r="E7804" t="s">
        <v>42</v>
      </c>
      <c r="F7804" t="s">
        <v>43</v>
      </c>
      <c r="G7804" t="s">
        <v>43</v>
      </c>
      <c r="H7804" t="s">
        <v>43</v>
      </c>
      <c r="I7804" t="s">
        <v>3990</v>
      </c>
      <c r="J7804" t="s">
        <v>43</v>
      </c>
      <c r="K7804" t="s">
        <v>43</v>
      </c>
      <c r="L7804" t="s">
        <v>43</v>
      </c>
      <c r="M7804" t="s">
        <v>43</v>
      </c>
      <c r="N7804" t="s">
        <v>45</v>
      </c>
      <c r="O7804" t="s">
        <v>43</v>
      </c>
      <c r="P7804" t="s">
        <v>43</v>
      </c>
      <c r="Q7804" t="s">
        <v>43</v>
      </c>
      <c r="R7804" t="s">
        <v>43</v>
      </c>
      <c r="S7804" t="s">
        <v>43</v>
      </c>
      <c r="T7804" t="s">
        <v>43</v>
      </c>
      <c r="U7804" t="s">
        <v>43</v>
      </c>
      <c r="V7804" t="s">
        <v>43</v>
      </c>
      <c r="W7804" t="s">
        <v>43</v>
      </c>
      <c r="X7804" t="s">
        <v>43</v>
      </c>
      <c r="Y7804" t="s">
        <v>43</v>
      </c>
      <c r="Z7804" t="s">
        <v>43</v>
      </c>
      <c r="AA7804" t="s">
        <v>43</v>
      </c>
      <c r="AB7804" t="s">
        <v>43</v>
      </c>
      <c r="AC7804" t="s">
        <v>43</v>
      </c>
      <c r="AD7804" t="s">
        <v>43</v>
      </c>
      <c r="AE7804" t="s">
        <v>43</v>
      </c>
      <c r="AF7804" t="s">
        <v>43</v>
      </c>
      <c r="AG7804" t="s">
        <v>43</v>
      </c>
      <c r="AH7804" t="s">
        <v>43</v>
      </c>
      <c r="AI7804" t="s">
        <v>43</v>
      </c>
      <c r="AJ7804" t="s">
        <v>43</v>
      </c>
      <c r="AK7804" t="s">
        <v>43</v>
      </c>
      <c r="AL7804" t="s">
        <v>43</v>
      </c>
      <c r="AM7804" t="s">
        <v>43</v>
      </c>
      <c r="AN7804" t="str">
        <f>HYPERLINK("https://www.google.com/maps?q=10.7896471,79.57878113","Open Location")</f>
        <v>Open Location</v>
      </c>
    </row>
    <row r="7805" spans="1:40" x14ac:dyDescent="0.3">
      <c r="A7805" s="1">
        <v>46210.095949074072</v>
      </c>
      <c r="B7805" t="s">
        <v>40</v>
      </c>
      <c r="C7805" t="s">
        <v>41</v>
      </c>
      <c r="D7805" s="1">
        <v>46210.099178240744</v>
      </c>
      <c r="E7805" t="s">
        <v>42</v>
      </c>
      <c r="F7805" t="s">
        <v>43</v>
      </c>
      <c r="G7805" t="s">
        <v>43</v>
      </c>
      <c r="H7805" t="s">
        <v>43</v>
      </c>
      <c r="I7805" t="s">
        <v>3897</v>
      </c>
      <c r="J7805" t="s">
        <v>43</v>
      </c>
      <c r="K7805" t="s">
        <v>43</v>
      </c>
      <c r="L7805" t="s">
        <v>43</v>
      </c>
      <c r="M7805" t="s">
        <v>43</v>
      </c>
      <c r="N7805" t="s">
        <v>45</v>
      </c>
      <c r="O7805" t="s">
        <v>43</v>
      </c>
      <c r="P7805" t="s">
        <v>43</v>
      </c>
      <c r="Q7805" t="s">
        <v>43</v>
      </c>
      <c r="R7805" t="s">
        <v>43</v>
      </c>
      <c r="S7805" t="s">
        <v>43</v>
      </c>
      <c r="T7805" t="s">
        <v>43</v>
      </c>
      <c r="U7805" t="s">
        <v>43</v>
      </c>
      <c r="V7805" t="s">
        <v>43</v>
      </c>
      <c r="W7805" t="s">
        <v>43</v>
      </c>
      <c r="X7805" t="s">
        <v>43</v>
      </c>
      <c r="Y7805" t="s">
        <v>43</v>
      </c>
      <c r="Z7805" t="s">
        <v>43</v>
      </c>
      <c r="AA7805" t="s">
        <v>43</v>
      </c>
      <c r="AB7805" t="s">
        <v>43</v>
      </c>
      <c r="AC7805" t="s">
        <v>43</v>
      </c>
      <c r="AD7805" t="s">
        <v>43</v>
      </c>
      <c r="AE7805" t="s">
        <v>43</v>
      </c>
      <c r="AF7805" t="s">
        <v>43</v>
      </c>
      <c r="AG7805" t="s">
        <v>43</v>
      </c>
      <c r="AH7805" t="s">
        <v>43</v>
      </c>
      <c r="AI7805" t="s">
        <v>43</v>
      </c>
      <c r="AJ7805" t="s">
        <v>43</v>
      </c>
      <c r="AK7805" t="s">
        <v>43</v>
      </c>
      <c r="AL7805" t="s">
        <v>43</v>
      </c>
      <c r="AM7805" t="s">
        <v>43</v>
      </c>
      <c r="AN7805" t="str">
        <f>HYPERLINK("https://www.google.com/maps?q=10.78964996,79.57878113","Open Location")</f>
        <v>Open Location</v>
      </c>
    </row>
    <row r="7806" spans="1:40" x14ac:dyDescent="0.3">
      <c r="A7806" s="1">
        <v>46210.095833333333</v>
      </c>
      <c r="B7806" t="s">
        <v>40</v>
      </c>
      <c r="C7806" t="s">
        <v>41</v>
      </c>
      <c r="D7806" s="1">
        <v>46210.098657407405</v>
      </c>
      <c r="E7806" t="s">
        <v>42</v>
      </c>
      <c r="F7806" t="s">
        <v>43</v>
      </c>
      <c r="G7806" t="s">
        <v>43</v>
      </c>
      <c r="H7806" t="s">
        <v>43</v>
      </c>
      <c r="I7806" t="s">
        <v>4359</v>
      </c>
      <c r="J7806" t="s">
        <v>43</v>
      </c>
      <c r="K7806" t="s">
        <v>43</v>
      </c>
      <c r="L7806" t="s">
        <v>43</v>
      </c>
      <c r="M7806" t="s">
        <v>43</v>
      </c>
      <c r="N7806" t="s">
        <v>45</v>
      </c>
      <c r="O7806" t="s">
        <v>43</v>
      </c>
      <c r="P7806" t="s">
        <v>43</v>
      </c>
      <c r="Q7806" t="s">
        <v>43</v>
      </c>
      <c r="R7806" t="s">
        <v>43</v>
      </c>
      <c r="S7806" t="s">
        <v>43</v>
      </c>
      <c r="T7806" t="s">
        <v>43</v>
      </c>
      <c r="U7806" t="s">
        <v>43</v>
      </c>
      <c r="V7806" t="s">
        <v>43</v>
      </c>
      <c r="W7806" t="s">
        <v>43</v>
      </c>
      <c r="X7806" t="s">
        <v>43</v>
      </c>
      <c r="Y7806" t="s">
        <v>43</v>
      </c>
      <c r="Z7806" t="s">
        <v>43</v>
      </c>
      <c r="AA7806" t="s">
        <v>43</v>
      </c>
      <c r="AB7806" t="s">
        <v>43</v>
      </c>
      <c r="AC7806" t="s">
        <v>43</v>
      </c>
      <c r="AD7806" t="s">
        <v>43</v>
      </c>
      <c r="AE7806" t="s">
        <v>43</v>
      </c>
      <c r="AF7806" t="s">
        <v>43</v>
      </c>
      <c r="AG7806" t="s">
        <v>43</v>
      </c>
      <c r="AH7806" t="s">
        <v>43</v>
      </c>
      <c r="AI7806" t="s">
        <v>43</v>
      </c>
      <c r="AJ7806" t="s">
        <v>43</v>
      </c>
      <c r="AK7806" t="s">
        <v>43</v>
      </c>
      <c r="AL7806" t="s">
        <v>43</v>
      </c>
      <c r="AM7806" t="s">
        <v>43</v>
      </c>
      <c r="AN7806" t="str">
        <f>HYPERLINK("https://www.google.com/maps?q=10.7896452,79.57878113","Open Location")</f>
        <v>Open Location</v>
      </c>
    </row>
    <row r="7807" spans="1:40" x14ac:dyDescent="0.3">
      <c r="A7807" s="1">
        <v>46210.095717592594</v>
      </c>
      <c r="B7807" t="s">
        <v>40</v>
      </c>
      <c r="C7807" t="s">
        <v>41</v>
      </c>
      <c r="D7807" s="1">
        <v>46210.098819444444</v>
      </c>
      <c r="E7807" t="s">
        <v>42</v>
      </c>
      <c r="F7807" t="s">
        <v>43</v>
      </c>
      <c r="G7807" t="s">
        <v>43</v>
      </c>
      <c r="H7807" t="s">
        <v>43</v>
      </c>
      <c r="I7807" t="s">
        <v>3909</v>
      </c>
      <c r="J7807" t="s">
        <v>43</v>
      </c>
      <c r="K7807" t="s">
        <v>43</v>
      </c>
      <c r="L7807" t="s">
        <v>43</v>
      </c>
      <c r="M7807" t="s">
        <v>43</v>
      </c>
      <c r="N7807" t="s">
        <v>45</v>
      </c>
      <c r="O7807" t="s">
        <v>43</v>
      </c>
      <c r="P7807" t="s">
        <v>43</v>
      </c>
      <c r="Q7807" t="s">
        <v>43</v>
      </c>
      <c r="R7807" t="s">
        <v>43</v>
      </c>
      <c r="S7807" t="s">
        <v>43</v>
      </c>
      <c r="T7807" t="s">
        <v>43</v>
      </c>
      <c r="U7807" t="s">
        <v>43</v>
      </c>
      <c r="V7807" t="s">
        <v>43</v>
      </c>
      <c r="W7807" t="s">
        <v>43</v>
      </c>
      <c r="X7807" t="s">
        <v>43</v>
      </c>
      <c r="Y7807" t="s">
        <v>43</v>
      </c>
      <c r="Z7807" t="s">
        <v>43</v>
      </c>
      <c r="AA7807" t="s">
        <v>43</v>
      </c>
      <c r="AB7807" t="s">
        <v>43</v>
      </c>
      <c r="AC7807" t="s">
        <v>43</v>
      </c>
      <c r="AD7807" t="s">
        <v>43</v>
      </c>
      <c r="AE7807" t="s">
        <v>43</v>
      </c>
      <c r="AF7807" t="s">
        <v>43</v>
      </c>
      <c r="AG7807" t="s">
        <v>43</v>
      </c>
      <c r="AH7807" t="s">
        <v>43</v>
      </c>
      <c r="AI7807" t="s">
        <v>43</v>
      </c>
      <c r="AJ7807" t="s">
        <v>43</v>
      </c>
      <c r="AK7807" t="s">
        <v>43</v>
      </c>
      <c r="AL7807" t="s">
        <v>43</v>
      </c>
      <c r="AM7807" t="s">
        <v>43</v>
      </c>
      <c r="AN7807" t="str">
        <f>HYPERLINK("https://www.google.com/maps?q=10.78964615,79.57878113","Open Location")</f>
        <v>Open Location</v>
      </c>
    </row>
    <row r="7808" spans="1:40" x14ac:dyDescent="0.3">
      <c r="A7808" s="1">
        <v>46210.095601851855</v>
      </c>
      <c r="B7808" t="s">
        <v>40</v>
      </c>
      <c r="C7808" t="s">
        <v>41</v>
      </c>
      <c r="D7808" s="1">
        <v>46210.098425925928</v>
      </c>
      <c r="E7808" t="s">
        <v>42</v>
      </c>
      <c r="F7808" t="s">
        <v>43</v>
      </c>
      <c r="G7808" t="s">
        <v>43</v>
      </c>
      <c r="H7808" t="s">
        <v>43</v>
      </c>
      <c r="I7808" t="s">
        <v>4359</v>
      </c>
      <c r="J7808" t="s">
        <v>43</v>
      </c>
      <c r="K7808" t="s">
        <v>43</v>
      </c>
      <c r="L7808" t="s">
        <v>43</v>
      </c>
      <c r="M7808" t="s">
        <v>43</v>
      </c>
      <c r="N7808" t="s">
        <v>45</v>
      </c>
      <c r="O7808" t="s">
        <v>43</v>
      </c>
      <c r="P7808" t="s">
        <v>43</v>
      </c>
      <c r="Q7808" t="s">
        <v>43</v>
      </c>
      <c r="R7808" t="s">
        <v>43</v>
      </c>
      <c r="S7808" t="s">
        <v>43</v>
      </c>
      <c r="T7808" t="s">
        <v>43</v>
      </c>
      <c r="U7808" t="s">
        <v>43</v>
      </c>
      <c r="V7808" t="s">
        <v>43</v>
      </c>
      <c r="W7808" t="s">
        <v>43</v>
      </c>
      <c r="X7808" t="s">
        <v>43</v>
      </c>
      <c r="Y7808" t="s">
        <v>43</v>
      </c>
      <c r="Z7808" t="s">
        <v>43</v>
      </c>
      <c r="AA7808" t="s">
        <v>43</v>
      </c>
      <c r="AB7808" t="s">
        <v>43</v>
      </c>
      <c r="AC7808" t="s">
        <v>43</v>
      </c>
      <c r="AD7808" t="s">
        <v>43</v>
      </c>
      <c r="AE7808" t="s">
        <v>43</v>
      </c>
      <c r="AF7808" t="s">
        <v>43</v>
      </c>
      <c r="AG7808" t="s">
        <v>43</v>
      </c>
      <c r="AH7808" t="s">
        <v>43</v>
      </c>
      <c r="AI7808" t="s">
        <v>43</v>
      </c>
      <c r="AJ7808" t="s">
        <v>43</v>
      </c>
      <c r="AK7808" t="s">
        <v>43</v>
      </c>
      <c r="AL7808" t="s">
        <v>43</v>
      </c>
      <c r="AM7808" t="s">
        <v>43</v>
      </c>
      <c r="AN7808" t="str">
        <f>HYPERLINK("https://www.google.com/maps?q=10.7896452,79.57878113","Open Location")</f>
        <v>Open Location</v>
      </c>
    </row>
    <row r="7809" spans="1:40" x14ac:dyDescent="0.3">
      <c r="A7809" s="1">
        <v>46210.095486111109</v>
      </c>
      <c r="B7809" t="s">
        <v>40</v>
      </c>
      <c r="C7809" t="s">
        <v>41</v>
      </c>
      <c r="D7809" s="1">
        <v>46210.098425925928</v>
      </c>
      <c r="E7809" t="s">
        <v>42</v>
      </c>
      <c r="F7809" t="s">
        <v>43</v>
      </c>
      <c r="G7809" t="s">
        <v>43</v>
      </c>
      <c r="H7809" t="s">
        <v>43</v>
      </c>
      <c r="I7809" t="s">
        <v>43</v>
      </c>
      <c r="J7809" t="s">
        <v>43</v>
      </c>
      <c r="K7809" t="s">
        <v>43</v>
      </c>
      <c r="L7809" t="s">
        <v>43</v>
      </c>
      <c r="M7809" t="s">
        <v>43</v>
      </c>
      <c r="N7809" t="s">
        <v>45</v>
      </c>
      <c r="O7809" t="s">
        <v>43</v>
      </c>
      <c r="P7809" t="s">
        <v>43</v>
      </c>
      <c r="Q7809" t="s">
        <v>43</v>
      </c>
      <c r="R7809" t="s">
        <v>43</v>
      </c>
      <c r="S7809" t="s">
        <v>43</v>
      </c>
      <c r="T7809" t="s">
        <v>43</v>
      </c>
      <c r="U7809" t="s">
        <v>43</v>
      </c>
      <c r="V7809" t="s">
        <v>43</v>
      </c>
      <c r="W7809" t="s">
        <v>43</v>
      </c>
      <c r="X7809" t="s">
        <v>43</v>
      </c>
      <c r="Y7809" t="s">
        <v>43</v>
      </c>
      <c r="Z7809" t="s">
        <v>43</v>
      </c>
      <c r="AA7809" t="s">
        <v>43</v>
      </c>
      <c r="AB7809" t="s">
        <v>43</v>
      </c>
      <c r="AC7809" t="s">
        <v>43</v>
      </c>
      <c r="AD7809" t="s">
        <v>43</v>
      </c>
      <c r="AE7809" t="s">
        <v>43</v>
      </c>
      <c r="AF7809" t="s">
        <v>43</v>
      </c>
      <c r="AG7809" t="s">
        <v>43</v>
      </c>
      <c r="AH7809" t="s">
        <v>43</v>
      </c>
      <c r="AI7809" t="s">
        <v>43</v>
      </c>
      <c r="AJ7809" t="s">
        <v>43</v>
      </c>
      <c r="AK7809" t="s">
        <v>43</v>
      </c>
      <c r="AL7809" t="s">
        <v>43</v>
      </c>
      <c r="AM7809" t="s">
        <v>43</v>
      </c>
      <c r="AN7809" t="s">
        <v>43</v>
      </c>
    </row>
    <row r="7810" spans="1:40" x14ac:dyDescent="0.3">
      <c r="A7810" s="1">
        <v>46210.095370370371</v>
      </c>
      <c r="B7810" t="s">
        <v>40</v>
      </c>
      <c r="C7810" t="s">
        <v>41</v>
      </c>
      <c r="D7810" s="1">
        <v>46210.098263888889</v>
      </c>
      <c r="E7810" t="s">
        <v>42</v>
      </c>
      <c r="F7810" t="s">
        <v>43</v>
      </c>
      <c r="G7810" t="s">
        <v>43</v>
      </c>
      <c r="H7810" t="s">
        <v>43</v>
      </c>
      <c r="I7810" t="s">
        <v>3909</v>
      </c>
      <c r="J7810" t="s">
        <v>43</v>
      </c>
      <c r="K7810" t="s">
        <v>43</v>
      </c>
      <c r="L7810" t="s">
        <v>43</v>
      </c>
      <c r="M7810" t="s">
        <v>43</v>
      </c>
      <c r="N7810" t="s">
        <v>45</v>
      </c>
      <c r="O7810" t="s">
        <v>43</v>
      </c>
      <c r="P7810" t="s">
        <v>43</v>
      </c>
      <c r="Q7810" t="s">
        <v>43</v>
      </c>
      <c r="R7810" t="s">
        <v>43</v>
      </c>
      <c r="S7810" t="s">
        <v>43</v>
      </c>
      <c r="T7810" t="s">
        <v>43</v>
      </c>
      <c r="U7810" t="s">
        <v>43</v>
      </c>
      <c r="V7810" t="s">
        <v>43</v>
      </c>
      <c r="W7810" t="s">
        <v>43</v>
      </c>
      <c r="X7810" t="s">
        <v>43</v>
      </c>
      <c r="Y7810" t="s">
        <v>43</v>
      </c>
      <c r="Z7810" t="s">
        <v>43</v>
      </c>
      <c r="AA7810" t="s">
        <v>43</v>
      </c>
      <c r="AB7810" t="s">
        <v>43</v>
      </c>
      <c r="AC7810" t="s">
        <v>43</v>
      </c>
      <c r="AD7810" t="s">
        <v>43</v>
      </c>
      <c r="AE7810" t="s">
        <v>43</v>
      </c>
      <c r="AF7810" t="s">
        <v>43</v>
      </c>
      <c r="AG7810" t="s">
        <v>43</v>
      </c>
      <c r="AH7810" t="s">
        <v>43</v>
      </c>
      <c r="AI7810" t="s">
        <v>43</v>
      </c>
      <c r="AJ7810" t="s">
        <v>43</v>
      </c>
      <c r="AK7810" t="s">
        <v>43</v>
      </c>
      <c r="AL7810" t="s">
        <v>43</v>
      </c>
      <c r="AM7810" t="s">
        <v>43</v>
      </c>
      <c r="AN7810" t="str">
        <f>HYPERLINK("https://www.google.com/maps?q=10.78964615,79.57878113","Open Location")</f>
        <v>Open Location</v>
      </c>
    </row>
    <row r="7811" spans="1:40" x14ac:dyDescent="0.3">
      <c r="A7811" s="1">
        <v>46210.095254629632</v>
      </c>
      <c r="B7811" t="s">
        <v>40</v>
      </c>
      <c r="C7811" t="s">
        <v>41</v>
      </c>
      <c r="D7811" s="1">
        <v>46210.098414351851</v>
      </c>
      <c r="E7811" t="s">
        <v>42</v>
      </c>
      <c r="F7811" t="s">
        <v>43</v>
      </c>
      <c r="G7811" t="s">
        <v>43</v>
      </c>
      <c r="H7811" t="s">
        <v>43</v>
      </c>
      <c r="I7811" t="s">
        <v>4360</v>
      </c>
      <c r="J7811" t="s">
        <v>43</v>
      </c>
      <c r="K7811" t="s">
        <v>43</v>
      </c>
      <c r="L7811" t="s">
        <v>43</v>
      </c>
      <c r="M7811" t="s">
        <v>43</v>
      </c>
      <c r="N7811" t="s">
        <v>45</v>
      </c>
      <c r="O7811" t="s">
        <v>43</v>
      </c>
      <c r="P7811" t="s">
        <v>43</v>
      </c>
      <c r="Q7811" t="s">
        <v>43</v>
      </c>
      <c r="R7811" t="s">
        <v>43</v>
      </c>
      <c r="S7811" t="s">
        <v>43</v>
      </c>
      <c r="T7811" t="s">
        <v>43</v>
      </c>
      <c r="U7811" t="s">
        <v>43</v>
      </c>
      <c r="V7811" t="s">
        <v>43</v>
      </c>
      <c r="W7811" t="s">
        <v>43</v>
      </c>
      <c r="X7811" t="s">
        <v>43</v>
      </c>
      <c r="Y7811" t="s">
        <v>43</v>
      </c>
      <c r="Z7811" t="s">
        <v>43</v>
      </c>
      <c r="AA7811" t="s">
        <v>43</v>
      </c>
      <c r="AB7811" t="s">
        <v>43</v>
      </c>
      <c r="AC7811" t="s">
        <v>43</v>
      </c>
      <c r="AD7811" t="s">
        <v>43</v>
      </c>
      <c r="AE7811" t="s">
        <v>43</v>
      </c>
      <c r="AF7811" t="s">
        <v>43</v>
      </c>
      <c r="AG7811" t="s">
        <v>43</v>
      </c>
      <c r="AH7811" t="s">
        <v>43</v>
      </c>
      <c r="AI7811" t="s">
        <v>43</v>
      </c>
      <c r="AJ7811" t="s">
        <v>43</v>
      </c>
      <c r="AK7811" t="s">
        <v>43</v>
      </c>
      <c r="AL7811" t="s">
        <v>43</v>
      </c>
      <c r="AM7811" t="s">
        <v>43</v>
      </c>
      <c r="AN7811" t="str">
        <f>HYPERLINK("https://www.google.com/maps?q=10.78964043,79.57878113","Open Location")</f>
        <v>Open Location</v>
      </c>
    </row>
    <row r="7812" spans="1:40" x14ac:dyDescent="0.3">
      <c r="A7812" s="1">
        <v>46210.095138888886</v>
      </c>
      <c r="B7812" t="s">
        <v>40</v>
      </c>
      <c r="C7812" t="s">
        <v>41</v>
      </c>
      <c r="D7812" s="1">
        <v>46210.097916666666</v>
      </c>
      <c r="E7812" t="s">
        <v>42</v>
      </c>
      <c r="F7812" t="s">
        <v>43</v>
      </c>
      <c r="G7812" t="s">
        <v>43</v>
      </c>
      <c r="H7812" t="s">
        <v>43</v>
      </c>
      <c r="I7812" t="s">
        <v>4361</v>
      </c>
      <c r="J7812" t="s">
        <v>43</v>
      </c>
      <c r="K7812" t="s">
        <v>43</v>
      </c>
      <c r="L7812" t="s">
        <v>43</v>
      </c>
      <c r="M7812" t="s">
        <v>43</v>
      </c>
      <c r="N7812" t="s">
        <v>45</v>
      </c>
      <c r="O7812" t="s">
        <v>43</v>
      </c>
      <c r="P7812" t="s">
        <v>43</v>
      </c>
      <c r="Q7812" t="s">
        <v>43</v>
      </c>
      <c r="R7812" t="s">
        <v>43</v>
      </c>
      <c r="S7812" t="s">
        <v>43</v>
      </c>
      <c r="T7812" t="s">
        <v>43</v>
      </c>
      <c r="U7812" t="s">
        <v>43</v>
      </c>
      <c r="V7812" t="s">
        <v>43</v>
      </c>
      <c r="W7812" t="s">
        <v>43</v>
      </c>
      <c r="X7812" t="s">
        <v>43</v>
      </c>
      <c r="Y7812" t="s">
        <v>43</v>
      </c>
      <c r="Z7812" t="s">
        <v>43</v>
      </c>
      <c r="AA7812" t="s">
        <v>43</v>
      </c>
      <c r="AB7812" t="s">
        <v>43</v>
      </c>
      <c r="AC7812" t="s">
        <v>43</v>
      </c>
      <c r="AD7812" t="s">
        <v>43</v>
      </c>
      <c r="AE7812" t="s">
        <v>43</v>
      </c>
      <c r="AF7812" t="s">
        <v>43</v>
      </c>
      <c r="AG7812" t="s">
        <v>43</v>
      </c>
      <c r="AH7812" t="s">
        <v>43</v>
      </c>
      <c r="AI7812" t="s">
        <v>43</v>
      </c>
      <c r="AJ7812" t="s">
        <v>43</v>
      </c>
      <c r="AK7812" t="s">
        <v>43</v>
      </c>
      <c r="AL7812" t="s">
        <v>43</v>
      </c>
      <c r="AM7812" t="s">
        <v>43</v>
      </c>
      <c r="AN7812" t="str">
        <f>HYPERLINK("https://www.google.com/maps?q=10.78964233,79.57878876","Open Location")</f>
        <v>Open Location</v>
      </c>
    </row>
    <row r="7813" spans="1:40" x14ac:dyDescent="0.3">
      <c r="A7813" s="1">
        <v>46210.095023148147</v>
      </c>
      <c r="B7813" t="s">
        <v>40</v>
      </c>
      <c r="C7813" t="s">
        <v>41</v>
      </c>
      <c r="D7813" s="1">
        <v>46210.098020833335</v>
      </c>
      <c r="E7813" t="s">
        <v>42</v>
      </c>
      <c r="F7813" t="s">
        <v>43</v>
      </c>
      <c r="G7813" t="s">
        <v>43</v>
      </c>
      <c r="H7813" t="s">
        <v>43</v>
      </c>
      <c r="I7813" t="s">
        <v>3950</v>
      </c>
      <c r="J7813" t="s">
        <v>43</v>
      </c>
      <c r="K7813" t="s">
        <v>43</v>
      </c>
      <c r="L7813" t="s">
        <v>43</v>
      </c>
      <c r="M7813" t="s">
        <v>43</v>
      </c>
      <c r="N7813" t="s">
        <v>45</v>
      </c>
      <c r="O7813" t="s">
        <v>43</v>
      </c>
      <c r="P7813" t="s">
        <v>43</v>
      </c>
      <c r="Q7813" t="s">
        <v>43</v>
      </c>
      <c r="R7813" t="s">
        <v>43</v>
      </c>
      <c r="S7813" t="s">
        <v>43</v>
      </c>
      <c r="T7813" t="s">
        <v>43</v>
      </c>
      <c r="U7813" t="s">
        <v>43</v>
      </c>
      <c r="V7813" t="s">
        <v>43</v>
      </c>
      <c r="W7813" t="s">
        <v>43</v>
      </c>
      <c r="X7813" t="s">
        <v>43</v>
      </c>
      <c r="Y7813" t="s">
        <v>43</v>
      </c>
      <c r="Z7813" t="s">
        <v>43</v>
      </c>
      <c r="AA7813" t="s">
        <v>43</v>
      </c>
      <c r="AB7813" t="s">
        <v>43</v>
      </c>
      <c r="AC7813" t="s">
        <v>43</v>
      </c>
      <c r="AD7813" t="s">
        <v>43</v>
      </c>
      <c r="AE7813" t="s">
        <v>43</v>
      </c>
      <c r="AF7813" t="s">
        <v>43</v>
      </c>
      <c r="AG7813" t="s">
        <v>43</v>
      </c>
      <c r="AH7813" t="s">
        <v>43</v>
      </c>
      <c r="AI7813" t="s">
        <v>43</v>
      </c>
      <c r="AJ7813" t="s">
        <v>43</v>
      </c>
      <c r="AK7813" t="s">
        <v>43</v>
      </c>
      <c r="AL7813" t="s">
        <v>43</v>
      </c>
      <c r="AM7813" t="s">
        <v>43</v>
      </c>
      <c r="AN7813" t="str">
        <f>HYPERLINK("https://www.google.com/maps?q=10.78964806,79.57878113","Open Location")</f>
        <v>Open Location</v>
      </c>
    </row>
    <row r="7814" spans="1:40" x14ac:dyDescent="0.3">
      <c r="A7814" s="1">
        <v>46210.094907407409</v>
      </c>
      <c r="B7814" t="s">
        <v>40</v>
      </c>
      <c r="C7814" t="s">
        <v>41</v>
      </c>
      <c r="D7814" s="1">
        <v>46210.097916666666</v>
      </c>
      <c r="E7814" t="s">
        <v>42</v>
      </c>
      <c r="F7814" t="s">
        <v>43</v>
      </c>
      <c r="G7814" t="s">
        <v>43</v>
      </c>
      <c r="H7814" t="s">
        <v>43</v>
      </c>
      <c r="I7814" t="s">
        <v>43</v>
      </c>
      <c r="J7814" t="s">
        <v>43</v>
      </c>
      <c r="K7814" t="s">
        <v>43</v>
      </c>
      <c r="L7814" t="s">
        <v>43</v>
      </c>
      <c r="M7814" t="s">
        <v>43</v>
      </c>
      <c r="N7814" t="s">
        <v>45</v>
      </c>
      <c r="O7814" t="s">
        <v>43</v>
      </c>
      <c r="P7814" t="s">
        <v>43</v>
      </c>
      <c r="Q7814" t="s">
        <v>43</v>
      </c>
      <c r="R7814" t="s">
        <v>43</v>
      </c>
      <c r="S7814" t="s">
        <v>43</v>
      </c>
      <c r="T7814" t="s">
        <v>43</v>
      </c>
      <c r="U7814" t="s">
        <v>43</v>
      </c>
      <c r="V7814" t="s">
        <v>43</v>
      </c>
      <c r="W7814" t="s">
        <v>43</v>
      </c>
      <c r="X7814" t="s">
        <v>43</v>
      </c>
      <c r="Y7814" t="s">
        <v>43</v>
      </c>
      <c r="Z7814" t="s">
        <v>43</v>
      </c>
      <c r="AA7814" t="s">
        <v>43</v>
      </c>
      <c r="AB7814" t="s">
        <v>43</v>
      </c>
      <c r="AC7814" t="s">
        <v>43</v>
      </c>
      <c r="AD7814" t="s">
        <v>43</v>
      </c>
      <c r="AE7814" t="s">
        <v>43</v>
      </c>
      <c r="AF7814" t="s">
        <v>43</v>
      </c>
      <c r="AG7814" t="s">
        <v>43</v>
      </c>
      <c r="AH7814" t="s">
        <v>43</v>
      </c>
      <c r="AI7814" t="s">
        <v>43</v>
      </c>
      <c r="AJ7814" t="s">
        <v>43</v>
      </c>
      <c r="AK7814" t="s">
        <v>43</v>
      </c>
      <c r="AL7814" t="s">
        <v>43</v>
      </c>
      <c r="AM7814" t="s">
        <v>43</v>
      </c>
      <c r="AN7814" t="s">
        <v>43</v>
      </c>
    </row>
    <row r="7815" spans="1:40" x14ac:dyDescent="0.3">
      <c r="A7815" s="1">
        <v>46210.09479166667</v>
      </c>
      <c r="B7815" t="s">
        <v>40</v>
      </c>
      <c r="C7815" t="s">
        <v>41</v>
      </c>
      <c r="D7815" s="1">
        <v>46210.098032407404</v>
      </c>
      <c r="E7815" t="s">
        <v>42</v>
      </c>
      <c r="F7815" t="s">
        <v>43</v>
      </c>
      <c r="G7815" t="s">
        <v>43</v>
      </c>
      <c r="H7815" t="s">
        <v>43</v>
      </c>
      <c r="I7815" t="s">
        <v>3896</v>
      </c>
      <c r="J7815" t="s">
        <v>43</v>
      </c>
      <c r="K7815" t="s">
        <v>43</v>
      </c>
      <c r="L7815" t="s">
        <v>43</v>
      </c>
      <c r="M7815" t="s">
        <v>43</v>
      </c>
      <c r="N7815" t="s">
        <v>45</v>
      </c>
      <c r="O7815" t="s">
        <v>43</v>
      </c>
      <c r="P7815" t="s">
        <v>43</v>
      </c>
      <c r="Q7815" t="s">
        <v>43</v>
      </c>
      <c r="R7815" t="s">
        <v>43</v>
      </c>
      <c r="S7815" t="s">
        <v>43</v>
      </c>
      <c r="T7815" t="s">
        <v>43</v>
      </c>
      <c r="U7815" t="s">
        <v>43</v>
      </c>
      <c r="V7815" t="s">
        <v>43</v>
      </c>
      <c r="W7815" t="s">
        <v>43</v>
      </c>
      <c r="X7815" t="s">
        <v>43</v>
      </c>
      <c r="Y7815" t="s">
        <v>43</v>
      </c>
      <c r="Z7815" t="s">
        <v>43</v>
      </c>
      <c r="AA7815" t="s">
        <v>43</v>
      </c>
      <c r="AB7815" t="s">
        <v>43</v>
      </c>
      <c r="AC7815" t="s">
        <v>43</v>
      </c>
      <c r="AD7815" t="s">
        <v>43</v>
      </c>
      <c r="AE7815" t="s">
        <v>43</v>
      </c>
      <c r="AF7815" t="s">
        <v>43</v>
      </c>
      <c r="AG7815" t="s">
        <v>43</v>
      </c>
      <c r="AH7815" t="s">
        <v>43</v>
      </c>
      <c r="AI7815" t="s">
        <v>43</v>
      </c>
      <c r="AJ7815" t="s">
        <v>43</v>
      </c>
      <c r="AK7815" t="s">
        <v>43</v>
      </c>
      <c r="AL7815" t="s">
        <v>43</v>
      </c>
      <c r="AM7815" t="s">
        <v>43</v>
      </c>
      <c r="AN7815" t="str">
        <f>HYPERLINK("https://www.google.com/maps?q=10.78964901,79.57878113","Open Location")</f>
        <v>Open Location</v>
      </c>
    </row>
    <row r="7816" spans="1:40" x14ac:dyDescent="0.3">
      <c r="A7816" s="1">
        <v>46210.094675925924</v>
      </c>
      <c r="B7816" t="s">
        <v>40</v>
      </c>
      <c r="C7816" t="s">
        <v>41</v>
      </c>
      <c r="D7816" s="1">
        <v>46210.09747685185</v>
      </c>
      <c r="E7816" t="s">
        <v>42</v>
      </c>
      <c r="F7816" t="s">
        <v>43</v>
      </c>
      <c r="G7816" t="s">
        <v>43</v>
      </c>
      <c r="H7816" t="s">
        <v>43</v>
      </c>
      <c r="I7816" t="s">
        <v>3979</v>
      </c>
      <c r="J7816" t="s">
        <v>43</v>
      </c>
      <c r="K7816" t="s">
        <v>43</v>
      </c>
      <c r="L7816" t="s">
        <v>43</v>
      </c>
      <c r="M7816" t="s">
        <v>43</v>
      </c>
      <c r="N7816" t="s">
        <v>45</v>
      </c>
      <c r="O7816" t="s">
        <v>43</v>
      </c>
      <c r="P7816" t="s">
        <v>43</v>
      </c>
      <c r="Q7816" t="s">
        <v>43</v>
      </c>
      <c r="R7816" t="s">
        <v>43</v>
      </c>
      <c r="S7816" t="s">
        <v>43</v>
      </c>
      <c r="T7816" t="s">
        <v>43</v>
      </c>
      <c r="U7816" t="s">
        <v>43</v>
      </c>
      <c r="V7816" t="s">
        <v>43</v>
      </c>
      <c r="W7816" t="s">
        <v>43</v>
      </c>
      <c r="X7816" t="s">
        <v>43</v>
      </c>
      <c r="Y7816" t="s">
        <v>43</v>
      </c>
      <c r="Z7816" t="s">
        <v>43</v>
      </c>
      <c r="AA7816" t="s">
        <v>43</v>
      </c>
      <c r="AB7816" t="s">
        <v>43</v>
      </c>
      <c r="AC7816" t="s">
        <v>43</v>
      </c>
      <c r="AD7816" t="s">
        <v>43</v>
      </c>
      <c r="AE7816" t="s">
        <v>43</v>
      </c>
      <c r="AF7816" t="s">
        <v>43</v>
      </c>
      <c r="AG7816" t="s">
        <v>43</v>
      </c>
      <c r="AH7816" t="s">
        <v>43</v>
      </c>
      <c r="AI7816" t="s">
        <v>43</v>
      </c>
      <c r="AJ7816" t="s">
        <v>43</v>
      </c>
      <c r="AK7816" t="s">
        <v>43</v>
      </c>
      <c r="AL7816" t="s">
        <v>43</v>
      </c>
      <c r="AM7816" t="s">
        <v>43</v>
      </c>
      <c r="AN7816" t="str">
        <f>HYPERLINK("https://www.google.com/maps?q=10.78965378,79.5787735","Open Location")</f>
        <v>Open Location</v>
      </c>
    </row>
    <row r="7817" spans="1:40" x14ac:dyDescent="0.3">
      <c r="A7817" s="1">
        <v>46210.094560185185</v>
      </c>
      <c r="B7817" t="s">
        <v>40</v>
      </c>
      <c r="C7817" t="s">
        <v>41</v>
      </c>
      <c r="D7817" s="1">
        <v>46210.097557870373</v>
      </c>
      <c r="E7817" t="s">
        <v>42</v>
      </c>
      <c r="F7817" t="s">
        <v>43</v>
      </c>
      <c r="G7817" t="s">
        <v>43</v>
      </c>
      <c r="H7817" t="s">
        <v>43</v>
      </c>
      <c r="I7817" t="s">
        <v>3963</v>
      </c>
      <c r="J7817" t="s">
        <v>43</v>
      </c>
      <c r="K7817" t="s">
        <v>43</v>
      </c>
      <c r="L7817" t="s">
        <v>43</v>
      </c>
      <c r="M7817" t="s">
        <v>43</v>
      </c>
      <c r="N7817" t="s">
        <v>45</v>
      </c>
      <c r="O7817" t="s">
        <v>43</v>
      </c>
      <c r="P7817" t="s">
        <v>43</v>
      </c>
      <c r="Q7817" t="s">
        <v>43</v>
      </c>
      <c r="R7817" t="s">
        <v>43</v>
      </c>
      <c r="S7817" t="s">
        <v>43</v>
      </c>
      <c r="T7817" t="s">
        <v>43</v>
      </c>
      <c r="U7817" t="s">
        <v>43</v>
      </c>
      <c r="V7817" t="s">
        <v>43</v>
      </c>
      <c r="W7817" t="s">
        <v>43</v>
      </c>
      <c r="X7817" t="s">
        <v>43</v>
      </c>
      <c r="Y7817" t="s">
        <v>43</v>
      </c>
      <c r="Z7817" t="s">
        <v>43</v>
      </c>
      <c r="AA7817" t="s">
        <v>43</v>
      </c>
      <c r="AB7817" t="s">
        <v>43</v>
      </c>
      <c r="AC7817" t="s">
        <v>43</v>
      </c>
      <c r="AD7817" t="s">
        <v>43</v>
      </c>
      <c r="AE7817" t="s">
        <v>43</v>
      </c>
      <c r="AF7817" t="s">
        <v>43</v>
      </c>
      <c r="AG7817" t="s">
        <v>43</v>
      </c>
      <c r="AH7817" t="s">
        <v>43</v>
      </c>
      <c r="AI7817" t="s">
        <v>43</v>
      </c>
      <c r="AJ7817" t="s">
        <v>43</v>
      </c>
      <c r="AK7817" t="s">
        <v>43</v>
      </c>
      <c r="AL7817" t="s">
        <v>43</v>
      </c>
      <c r="AM7817" t="s">
        <v>43</v>
      </c>
      <c r="AN7817" t="str">
        <f>HYPERLINK("https://www.google.com/maps?q=10.78965759,79.5787735","Open Location")</f>
        <v>Open Location</v>
      </c>
    </row>
    <row r="7818" spans="1:40" x14ac:dyDescent="0.3">
      <c r="A7818" s="1">
        <v>46210.094444444447</v>
      </c>
      <c r="B7818" t="s">
        <v>40</v>
      </c>
      <c r="C7818" t="s">
        <v>41</v>
      </c>
      <c r="D7818" s="1">
        <v>46210.097233796296</v>
      </c>
      <c r="E7818" t="s">
        <v>42</v>
      </c>
      <c r="F7818" t="s">
        <v>43</v>
      </c>
      <c r="G7818" t="s">
        <v>43</v>
      </c>
      <c r="H7818" t="s">
        <v>43</v>
      </c>
      <c r="I7818" t="s">
        <v>4289</v>
      </c>
      <c r="J7818" t="s">
        <v>43</v>
      </c>
      <c r="K7818" t="s">
        <v>43</v>
      </c>
      <c r="L7818" t="s">
        <v>43</v>
      </c>
      <c r="M7818" t="s">
        <v>43</v>
      </c>
      <c r="N7818" t="s">
        <v>45</v>
      </c>
      <c r="O7818" t="s">
        <v>43</v>
      </c>
      <c r="P7818" t="s">
        <v>43</v>
      </c>
      <c r="Q7818" t="s">
        <v>43</v>
      </c>
      <c r="R7818" t="s">
        <v>43</v>
      </c>
      <c r="S7818" t="s">
        <v>43</v>
      </c>
      <c r="T7818" t="s">
        <v>43</v>
      </c>
      <c r="U7818" t="s">
        <v>43</v>
      </c>
      <c r="V7818" t="s">
        <v>43</v>
      </c>
      <c r="W7818" t="s">
        <v>43</v>
      </c>
      <c r="X7818" t="s">
        <v>43</v>
      </c>
      <c r="Y7818" t="s">
        <v>43</v>
      </c>
      <c r="Z7818" t="s">
        <v>43</v>
      </c>
      <c r="AA7818" t="s">
        <v>43</v>
      </c>
      <c r="AB7818" t="s">
        <v>43</v>
      </c>
      <c r="AC7818" t="s">
        <v>43</v>
      </c>
      <c r="AD7818" t="s">
        <v>43</v>
      </c>
      <c r="AE7818" t="s">
        <v>43</v>
      </c>
      <c r="AF7818" t="s">
        <v>43</v>
      </c>
      <c r="AG7818" t="s">
        <v>43</v>
      </c>
      <c r="AH7818" t="s">
        <v>43</v>
      </c>
      <c r="AI7818" t="s">
        <v>43</v>
      </c>
      <c r="AJ7818" t="s">
        <v>43</v>
      </c>
      <c r="AK7818" t="s">
        <v>43</v>
      </c>
      <c r="AL7818" t="s">
        <v>43</v>
      </c>
      <c r="AM7818" t="s">
        <v>43</v>
      </c>
      <c r="AN7818" t="str">
        <f>HYPERLINK("https://www.google.com/maps?q=10.78965664,79.5787735","Open Location")</f>
        <v>Open Location</v>
      </c>
    </row>
    <row r="7819" spans="1:40" x14ac:dyDescent="0.3">
      <c r="A7819" s="1">
        <v>46210.094328703701</v>
      </c>
      <c r="B7819" t="s">
        <v>40</v>
      </c>
      <c r="C7819" t="s">
        <v>41</v>
      </c>
      <c r="D7819" s="1">
        <v>46210.097256944442</v>
      </c>
      <c r="E7819" t="s">
        <v>42</v>
      </c>
      <c r="F7819" t="s">
        <v>43</v>
      </c>
      <c r="G7819" t="s">
        <v>43</v>
      </c>
      <c r="H7819" t="s">
        <v>43</v>
      </c>
      <c r="I7819" t="s">
        <v>4290</v>
      </c>
      <c r="J7819" t="s">
        <v>43</v>
      </c>
      <c r="K7819" t="s">
        <v>43</v>
      </c>
      <c r="L7819" t="s">
        <v>43</v>
      </c>
      <c r="M7819" t="s">
        <v>43</v>
      </c>
      <c r="N7819" t="s">
        <v>45</v>
      </c>
      <c r="O7819" t="s">
        <v>43</v>
      </c>
      <c r="P7819" t="s">
        <v>43</v>
      </c>
      <c r="Q7819" t="s">
        <v>43</v>
      </c>
      <c r="R7819" t="s">
        <v>43</v>
      </c>
      <c r="S7819" t="s">
        <v>43</v>
      </c>
      <c r="T7819" t="s">
        <v>43</v>
      </c>
      <c r="U7819" t="s">
        <v>43</v>
      </c>
      <c r="V7819" t="s">
        <v>43</v>
      </c>
      <c r="W7819" t="s">
        <v>43</v>
      </c>
      <c r="X7819" t="s">
        <v>43</v>
      </c>
      <c r="Y7819" t="s">
        <v>43</v>
      </c>
      <c r="Z7819" t="s">
        <v>43</v>
      </c>
      <c r="AA7819" t="s">
        <v>43</v>
      </c>
      <c r="AB7819" t="s">
        <v>43</v>
      </c>
      <c r="AC7819" t="s">
        <v>43</v>
      </c>
      <c r="AD7819" t="s">
        <v>43</v>
      </c>
      <c r="AE7819" t="s">
        <v>43</v>
      </c>
      <c r="AF7819" t="s">
        <v>43</v>
      </c>
      <c r="AG7819" t="s">
        <v>43</v>
      </c>
      <c r="AH7819" t="s">
        <v>43</v>
      </c>
      <c r="AI7819" t="s">
        <v>43</v>
      </c>
      <c r="AJ7819" t="s">
        <v>43</v>
      </c>
      <c r="AK7819" t="s">
        <v>43</v>
      </c>
      <c r="AL7819" t="s">
        <v>43</v>
      </c>
      <c r="AM7819" t="s">
        <v>43</v>
      </c>
      <c r="AN7819" t="str">
        <f>HYPERLINK("https://www.google.com/maps?q=10.78966141,79.5787735","Open Location")</f>
        <v>Open Location</v>
      </c>
    </row>
    <row r="7820" spans="1:40" x14ac:dyDescent="0.3">
      <c r="A7820" s="1">
        <v>46210.094212962962</v>
      </c>
      <c r="B7820" t="s">
        <v>40</v>
      </c>
      <c r="C7820" t="s">
        <v>41</v>
      </c>
      <c r="D7820" s="1">
        <v>46210.097118055557</v>
      </c>
      <c r="E7820" t="s">
        <v>42</v>
      </c>
      <c r="F7820" t="s">
        <v>43</v>
      </c>
      <c r="G7820" t="s">
        <v>43</v>
      </c>
      <c r="H7820" t="s">
        <v>43</v>
      </c>
      <c r="I7820" t="s">
        <v>43</v>
      </c>
      <c r="J7820" t="s">
        <v>43</v>
      </c>
      <c r="K7820" t="s">
        <v>43</v>
      </c>
      <c r="L7820" t="s">
        <v>43</v>
      </c>
      <c r="M7820" t="s">
        <v>43</v>
      </c>
      <c r="N7820" t="s">
        <v>45</v>
      </c>
      <c r="O7820" t="s">
        <v>43</v>
      </c>
      <c r="P7820" t="s">
        <v>43</v>
      </c>
      <c r="Q7820" t="s">
        <v>43</v>
      </c>
      <c r="R7820" t="s">
        <v>43</v>
      </c>
      <c r="S7820" t="s">
        <v>43</v>
      </c>
      <c r="T7820" t="s">
        <v>43</v>
      </c>
      <c r="U7820" t="s">
        <v>43</v>
      </c>
      <c r="V7820" t="s">
        <v>43</v>
      </c>
      <c r="W7820" t="s">
        <v>43</v>
      </c>
      <c r="X7820" t="s">
        <v>43</v>
      </c>
      <c r="Y7820" t="s">
        <v>43</v>
      </c>
      <c r="Z7820" t="s">
        <v>43</v>
      </c>
      <c r="AA7820" t="s">
        <v>43</v>
      </c>
      <c r="AB7820" t="s">
        <v>43</v>
      </c>
      <c r="AC7820" t="s">
        <v>43</v>
      </c>
      <c r="AD7820" t="s">
        <v>43</v>
      </c>
      <c r="AE7820" t="s">
        <v>43</v>
      </c>
      <c r="AF7820" t="s">
        <v>43</v>
      </c>
      <c r="AG7820" t="s">
        <v>43</v>
      </c>
      <c r="AH7820" t="s">
        <v>43</v>
      </c>
      <c r="AI7820" t="s">
        <v>43</v>
      </c>
      <c r="AJ7820" t="s">
        <v>43</v>
      </c>
      <c r="AK7820" t="s">
        <v>43</v>
      </c>
      <c r="AL7820" t="s">
        <v>43</v>
      </c>
      <c r="AM7820" t="s">
        <v>43</v>
      </c>
      <c r="AN7820" t="s">
        <v>43</v>
      </c>
    </row>
    <row r="7821" spans="1:40" x14ac:dyDescent="0.3">
      <c r="A7821" s="1">
        <v>46210.094097222223</v>
      </c>
      <c r="B7821" t="s">
        <v>40</v>
      </c>
      <c r="C7821" t="s">
        <v>41</v>
      </c>
      <c r="D7821" s="1">
        <v>46210.097083333334</v>
      </c>
      <c r="E7821" t="s">
        <v>42</v>
      </c>
      <c r="F7821" t="s">
        <v>43</v>
      </c>
      <c r="G7821" t="s">
        <v>43</v>
      </c>
      <c r="H7821" t="s">
        <v>43</v>
      </c>
      <c r="I7821" t="s">
        <v>4283</v>
      </c>
      <c r="J7821" t="s">
        <v>43</v>
      </c>
      <c r="K7821" t="s">
        <v>43</v>
      </c>
      <c r="L7821" t="s">
        <v>43</v>
      </c>
      <c r="M7821" t="s">
        <v>43</v>
      </c>
      <c r="N7821" t="s">
        <v>45</v>
      </c>
      <c r="O7821" t="s">
        <v>43</v>
      </c>
      <c r="P7821" t="s">
        <v>43</v>
      </c>
      <c r="Q7821" t="s">
        <v>43</v>
      </c>
      <c r="R7821" t="s">
        <v>43</v>
      </c>
      <c r="S7821" t="s">
        <v>43</v>
      </c>
      <c r="T7821" t="s">
        <v>43</v>
      </c>
      <c r="U7821" t="s">
        <v>43</v>
      </c>
      <c r="V7821" t="s">
        <v>43</v>
      </c>
      <c r="W7821" t="s">
        <v>43</v>
      </c>
      <c r="X7821" t="s">
        <v>43</v>
      </c>
      <c r="Y7821" t="s">
        <v>43</v>
      </c>
      <c r="Z7821" t="s">
        <v>43</v>
      </c>
      <c r="AA7821" t="s">
        <v>43</v>
      </c>
      <c r="AB7821" t="s">
        <v>43</v>
      </c>
      <c r="AC7821" t="s">
        <v>43</v>
      </c>
      <c r="AD7821" t="s">
        <v>43</v>
      </c>
      <c r="AE7821" t="s">
        <v>43</v>
      </c>
      <c r="AF7821" t="s">
        <v>43</v>
      </c>
      <c r="AG7821" t="s">
        <v>43</v>
      </c>
      <c r="AH7821" t="s">
        <v>43</v>
      </c>
      <c r="AI7821" t="s">
        <v>43</v>
      </c>
      <c r="AJ7821" t="s">
        <v>43</v>
      </c>
      <c r="AK7821" t="s">
        <v>43</v>
      </c>
      <c r="AL7821" t="s">
        <v>43</v>
      </c>
      <c r="AM7821" t="s">
        <v>43</v>
      </c>
      <c r="AN7821" t="str">
        <f>HYPERLINK("https://www.google.com/maps?q=10.78965855,79.5787735","Open Location")</f>
        <v>Open Location</v>
      </c>
    </row>
    <row r="7822" spans="1:40" x14ac:dyDescent="0.3">
      <c r="A7822" s="1">
        <v>46210.093981481485</v>
      </c>
      <c r="B7822" t="s">
        <v>40</v>
      </c>
      <c r="C7822" t="s">
        <v>41</v>
      </c>
      <c r="D7822" s="1">
        <v>46210.096851851849</v>
      </c>
      <c r="E7822" t="s">
        <v>42</v>
      </c>
      <c r="F7822" t="s">
        <v>43</v>
      </c>
      <c r="G7822" t="s">
        <v>43</v>
      </c>
      <c r="H7822" t="s">
        <v>43</v>
      </c>
      <c r="I7822" t="s">
        <v>3986</v>
      </c>
      <c r="J7822" t="s">
        <v>43</v>
      </c>
      <c r="K7822" t="s">
        <v>43</v>
      </c>
      <c r="L7822" t="s">
        <v>43</v>
      </c>
      <c r="M7822" t="s">
        <v>43</v>
      </c>
      <c r="N7822" t="s">
        <v>45</v>
      </c>
      <c r="O7822" t="s">
        <v>43</v>
      </c>
      <c r="P7822" t="s">
        <v>43</v>
      </c>
      <c r="Q7822" t="s">
        <v>43</v>
      </c>
      <c r="R7822" t="s">
        <v>43</v>
      </c>
      <c r="S7822" t="s">
        <v>43</v>
      </c>
      <c r="T7822" t="s">
        <v>43</v>
      </c>
      <c r="U7822" t="s">
        <v>43</v>
      </c>
      <c r="V7822" t="s">
        <v>43</v>
      </c>
      <c r="W7822" t="s">
        <v>43</v>
      </c>
      <c r="X7822" t="s">
        <v>43</v>
      </c>
      <c r="Y7822" t="s">
        <v>43</v>
      </c>
      <c r="Z7822" t="s">
        <v>43</v>
      </c>
      <c r="AA7822" t="s">
        <v>43</v>
      </c>
      <c r="AB7822" t="s">
        <v>43</v>
      </c>
      <c r="AC7822" t="s">
        <v>43</v>
      </c>
      <c r="AD7822" t="s">
        <v>43</v>
      </c>
      <c r="AE7822" t="s">
        <v>43</v>
      </c>
      <c r="AF7822" t="s">
        <v>43</v>
      </c>
      <c r="AG7822" t="s">
        <v>43</v>
      </c>
      <c r="AH7822" t="s">
        <v>43</v>
      </c>
      <c r="AI7822" t="s">
        <v>43</v>
      </c>
      <c r="AJ7822" t="s">
        <v>43</v>
      </c>
      <c r="AK7822" t="s">
        <v>43</v>
      </c>
      <c r="AL7822" t="s">
        <v>43</v>
      </c>
      <c r="AM7822" t="s">
        <v>43</v>
      </c>
      <c r="AN7822" t="str">
        <f>HYPERLINK("https://www.google.com/maps?q=10.78966522,79.57878113","Open Location")</f>
        <v>Open Location</v>
      </c>
    </row>
    <row r="7823" spans="1:40" x14ac:dyDescent="0.3">
      <c r="A7823" s="1">
        <v>46210.093865740739</v>
      </c>
      <c r="B7823" t="s">
        <v>40</v>
      </c>
      <c r="C7823" t="s">
        <v>41</v>
      </c>
      <c r="D7823" s="1">
        <v>46210.096875000003</v>
      </c>
      <c r="E7823" t="s">
        <v>42</v>
      </c>
      <c r="F7823" t="s">
        <v>43</v>
      </c>
      <c r="G7823" t="s">
        <v>43</v>
      </c>
      <c r="H7823" t="s">
        <v>43</v>
      </c>
      <c r="I7823" t="s">
        <v>4237</v>
      </c>
      <c r="J7823" t="s">
        <v>43</v>
      </c>
      <c r="K7823" t="s">
        <v>43</v>
      </c>
      <c r="L7823" t="s">
        <v>43</v>
      </c>
      <c r="M7823" t="s">
        <v>43</v>
      </c>
      <c r="N7823" t="s">
        <v>45</v>
      </c>
      <c r="O7823" t="s">
        <v>43</v>
      </c>
      <c r="P7823" t="s">
        <v>43</v>
      </c>
      <c r="Q7823" t="s">
        <v>43</v>
      </c>
      <c r="R7823" t="s">
        <v>43</v>
      </c>
      <c r="S7823" t="s">
        <v>43</v>
      </c>
      <c r="T7823" t="s">
        <v>43</v>
      </c>
      <c r="U7823" t="s">
        <v>43</v>
      </c>
      <c r="V7823" t="s">
        <v>43</v>
      </c>
      <c r="W7823" t="s">
        <v>43</v>
      </c>
      <c r="X7823" t="s">
        <v>43</v>
      </c>
      <c r="Y7823" t="s">
        <v>43</v>
      </c>
      <c r="Z7823" t="s">
        <v>43</v>
      </c>
      <c r="AA7823" t="s">
        <v>43</v>
      </c>
      <c r="AB7823" t="s">
        <v>43</v>
      </c>
      <c r="AC7823" t="s">
        <v>43</v>
      </c>
      <c r="AD7823" t="s">
        <v>43</v>
      </c>
      <c r="AE7823" t="s">
        <v>43</v>
      </c>
      <c r="AF7823" t="s">
        <v>43</v>
      </c>
      <c r="AG7823" t="s">
        <v>43</v>
      </c>
      <c r="AH7823" t="s">
        <v>43</v>
      </c>
      <c r="AI7823" t="s">
        <v>43</v>
      </c>
      <c r="AJ7823" t="s">
        <v>43</v>
      </c>
      <c r="AK7823" t="s">
        <v>43</v>
      </c>
      <c r="AL7823" t="s">
        <v>43</v>
      </c>
      <c r="AM7823" t="s">
        <v>43</v>
      </c>
      <c r="AN7823" t="str">
        <f>HYPERLINK("https://www.google.com/maps?q=10.78966808,79.5787735","Open Location")</f>
        <v>Open Location</v>
      </c>
    </row>
    <row r="7824" spans="1:40" x14ac:dyDescent="0.3">
      <c r="A7824" s="1">
        <v>46210.09375</v>
      </c>
      <c r="B7824" t="s">
        <v>40</v>
      </c>
      <c r="C7824" t="s">
        <v>41</v>
      </c>
      <c r="D7824" s="1">
        <v>46210.096886574072</v>
      </c>
      <c r="E7824" t="s">
        <v>42</v>
      </c>
      <c r="F7824" t="s">
        <v>43</v>
      </c>
      <c r="G7824" t="s">
        <v>43</v>
      </c>
      <c r="H7824" t="s">
        <v>43</v>
      </c>
      <c r="I7824" t="s">
        <v>4035</v>
      </c>
      <c r="J7824" t="s">
        <v>43</v>
      </c>
      <c r="K7824" t="s">
        <v>43</v>
      </c>
      <c r="L7824" t="s">
        <v>43</v>
      </c>
      <c r="M7824" t="s">
        <v>43</v>
      </c>
      <c r="N7824" t="s">
        <v>45</v>
      </c>
      <c r="O7824" t="s">
        <v>43</v>
      </c>
      <c r="P7824" t="s">
        <v>43</v>
      </c>
      <c r="Q7824" t="s">
        <v>43</v>
      </c>
      <c r="R7824" t="s">
        <v>43</v>
      </c>
      <c r="S7824" t="s">
        <v>43</v>
      </c>
      <c r="T7824" t="s">
        <v>43</v>
      </c>
      <c r="U7824" t="s">
        <v>43</v>
      </c>
      <c r="V7824" t="s">
        <v>43</v>
      </c>
      <c r="W7824" t="s">
        <v>43</v>
      </c>
      <c r="X7824" t="s">
        <v>43</v>
      </c>
      <c r="Y7824" t="s">
        <v>43</v>
      </c>
      <c r="Z7824" t="s">
        <v>43</v>
      </c>
      <c r="AA7824" t="s">
        <v>43</v>
      </c>
      <c r="AB7824" t="s">
        <v>43</v>
      </c>
      <c r="AC7824" t="s">
        <v>43</v>
      </c>
      <c r="AD7824" t="s">
        <v>43</v>
      </c>
      <c r="AE7824" t="s">
        <v>43</v>
      </c>
      <c r="AF7824" t="s">
        <v>43</v>
      </c>
      <c r="AG7824" t="s">
        <v>43</v>
      </c>
      <c r="AH7824" t="s">
        <v>43</v>
      </c>
      <c r="AI7824" t="s">
        <v>43</v>
      </c>
      <c r="AJ7824" t="s">
        <v>43</v>
      </c>
      <c r="AK7824" t="s">
        <v>43</v>
      </c>
      <c r="AL7824" t="s">
        <v>43</v>
      </c>
      <c r="AM7824" t="s">
        <v>43</v>
      </c>
      <c r="AN7824" t="str">
        <f>HYPERLINK("https://www.google.com/maps?q=10.78966999,79.5787735","Open Location")</f>
        <v>Open Location</v>
      </c>
    </row>
    <row r="7825" spans="1:40" x14ac:dyDescent="0.3">
      <c r="A7825" s="1">
        <v>46210.093634259261</v>
      </c>
      <c r="B7825" t="s">
        <v>40</v>
      </c>
      <c r="C7825" t="s">
        <v>41</v>
      </c>
      <c r="D7825" s="1">
        <v>46210.096851851849</v>
      </c>
      <c r="E7825" t="s">
        <v>42</v>
      </c>
      <c r="F7825" t="s">
        <v>43</v>
      </c>
      <c r="G7825" t="s">
        <v>43</v>
      </c>
      <c r="H7825" t="s">
        <v>43</v>
      </c>
      <c r="I7825" t="s">
        <v>4022</v>
      </c>
      <c r="J7825" t="s">
        <v>43</v>
      </c>
      <c r="K7825" t="s">
        <v>43</v>
      </c>
      <c r="L7825" t="s">
        <v>43</v>
      </c>
      <c r="M7825" t="s">
        <v>43</v>
      </c>
      <c r="N7825" t="s">
        <v>45</v>
      </c>
      <c r="O7825" t="s">
        <v>43</v>
      </c>
      <c r="P7825" t="s">
        <v>43</v>
      </c>
      <c r="Q7825" t="s">
        <v>43</v>
      </c>
      <c r="R7825" t="s">
        <v>43</v>
      </c>
      <c r="S7825" t="s">
        <v>43</v>
      </c>
      <c r="T7825" t="s">
        <v>43</v>
      </c>
      <c r="U7825" t="s">
        <v>43</v>
      </c>
      <c r="V7825" t="s">
        <v>43</v>
      </c>
      <c r="W7825" t="s">
        <v>43</v>
      </c>
      <c r="X7825" t="s">
        <v>43</v>
      </c>
      <c r="Y7825" t="s">
        <v>43</v>
      </c>
      <c r="Z7825" t="s">
        <v>43</v>
      </c>
      <c r="AA7825" t="s">
        <v>43</v>
      </c>
      <c r="AB7825" t="s">
        <v>43</v>
      </c>
      <c r="AC7825" t="s">
        <v>43</v>
      </c>
      <c r="AD7825" t="s">
        <v>43</v>
      </c>
      <c r="AE7825" t="s">
        <v>43</v>
      </c>
      <c r="AF7825" t="s">
        <v>43</v>
      </c>
      <c r="AG7825" t="s">
        <v>43</v>
      </c>
      <c r="AH7825" t="s">
        <v>43</v>
      </c>
      <c r="AI7825" t="s">
        <v>43</v>
      </c>
      <c r="AJ7825" t="s">
        <v>43</v>
      </c>
      <c r="AK7825" t="s">
        <v>43</v>
      </c>
      <c r="AL7825" t="s">
        <v>43</v>
      </c>
      <c r="AM7825" t="s">
        <v>43</v>
      </c>
      <c r="AN7825" t="str">
        <f>HYPERLINK("https://www.google.com/maps?q=10.78967667,79.57876587","Open Location")</f>
        <v>Open Location</v>
      </c>
    </row>
    <row r="7826" spans="1:40" x14ac:dyDescent="0.3">
      <c r="A7826" s="1">
        <v>46210.093518518515</v>
      </c>
      <c r="B7826" t="s">
        <v>40</v>
      </c>
      <c r="C7826" t="s">
        <v>41</v>
      </c>
      <c r="D7826" s="1">
        <v>46210.096493055556</v>
      </c>
      <c r="E7826" t="s">
        <v>42</v>
      </c>
      <c r="F7826" t="s">
        <v>43</v>
      </c>
      <c r="G7826" t="s">
        <v>43</v>
      </c>
      <c r="H7826" t="s">
        <v>43</v>
      </c>
      <c r="I7826" t="s">
        <v>43</v>
      </c>
      <c r="J7826" t="s">
        <v>43</v>
      </c>
      <c r="K7826" t="s">
        <v>43</v>
      </c>
      <c r="L7826" t="s">
        <v>43</v>
      </c>
      <c r="M7826" t="s">
        <v>43</v>
      </c>
      <c r="N7826" t="s">
        <v>45</v>
      </c>
      <c r="O7826" t="s">
        <v>43</v>
      </c>
      <c r="P7826" t="s">
        <v>43</v>
      </c>
      <c r="Q7826" t="s">
        <v>43</v>
      </c>
      <c r="R7826" t="s">
        <v>43</v>
      </c>
      <c r="S7826" t="s">
        <v>43</v>
      </c>
      <c r="T7826" t="s">
        <v>43</v>
      </c>
      <c r="U7826" t="s">
        <v>43</v>
      </c>
      <c r="V7826" t="s">
        <v>43</v>
      </c>
      <c r="W7826" t="s">
        <v>43</v>
      </c>
      <c r="X7826" t="s">
        <v>43</v>
      </c>
      <c r="Y7826" t="s">
        <v>43</v>
      </c>
      <c r="Z7826" t="s">
        <v>43</v>
      </c>
      <c r="AA7826" t="s">
        <v>43</v>
      </c>
      <c r="AB7826" t="s">
        <v>43</v>
      </c>
      <c r="AC7826" t="s">
        <v>43</v>
      </c>
      <c r="AD7826" t="s">
        <v>43</v>
      </c>
      <c r="AE7826" t="s">
        <v>43</v>
      </c>
      <c r="AF7826" t="s">
        <v>43</v>
      </c>
      <c r="AG7826" t="s">
        <v>43</v>
      </c>
      <c r="AH7826" t="s">
        <v>43</v>
      </c>
      <c r="AI7826" t="s">
        <v>43</v>
      </c>
      <c r="AJ7826" t="s">
        <v>43</v>
      </c>
      <c r="AK7826" t="s">
        <v>43</v>
      </c>
      <c r="AL7826" t="s">
        <v>43</v>
      </c>
      <c r="AM7826" t="s">
        <v>43</v>
      </c>
      <c r="AN7826" t="s">
        <v>43</v>
      </c>
    </row>
    <row r="7827" spans="1:40" x14ac:dyDescent="0.3">
      <c r="A7827" s="1">
        <v>46210.093402777777</v>
      </c>
      <c r="B7827" t="s">
        <v>40</v>
      </c>
      <c r="C7827" t="s">
        <v>41</v>
      </c>
      <c r="D7827" s="1">
        <v>46210.096504629626</v>
      </c>
      <c r="E7827" t="s">
        <v>42</v>
      </c>
      <c r="F7827" t="s">
        <v>43</v>
      </c>
      <c r="G7827" t="s">
        <v>43</v>
      </c>
      <c r="H7827" t="s">
        <v>43</v>
      </c>
      <c r="I7827" t="s">
        <v>4362</v>
      </c>
      <c r="J7827" t="s">
        <v>43</v>
      </c>
      <c r="K7827" t="s">
        <v>43</v>
      </c>
      <c r="L7827" t="s">
        <v>43</v>
      </c>
      <c r="M7827" t="s">
        <v>43</v>
      </c>
      <c r="N7827" t="s">
        <v>45</v>
      </c>
      <c r="O7827" t="s">
        <v>43</v>
      </c>
      <c r="P7827" t="s">
        <v>43</v>
      </c>
      <c r="Q7827" t="s">
        <v>43</v>
      </c>
      <c r="R7827" t="s">
        <v>43</v>
      </c>
      <c r="S7827" t="s">
        <v>43</v>
      </c>
      <c r="T7827" t="s">
        <v>43</v>
      </c>
      <c r="U7827" t="s">
        <v>43</v>
      </c>
      <c r="V7827" t="s">
        <v>43</v>
      </c>
      <c r="W7827" t="s">
        <v>43</v>
      </c>
      <c r="X7827" t="s">
        <v>43</v>
      </c>
      <c r="Y7827" t="s">
        <v>43</v>
      </c>
      <c r="Z7827" t="s">
        <v>43</v>
      </c>
      <c r="AA7827" t="s">
        <v>43</v>
      </c>
      <c r="AB7827" t="s">
        <v>43</v>
      </c>
      <c r="AC7827" t="s">
        <v>43</v>
      </c>
      <c r="AD7827" t="s">
        <v>43</v>
      </c>
      <c r="AE7827" t="s">
        <v>43</v>
      </c>
      <c r="AF7827" t="s">
        <v>43</v>
      </c>
      <c r="AG7827" t="s">
        <v>43</v>
      </c>
      <c r="AH7827" t="s">
        <v>43</v>
      </c>
      <c r="AI7827" t="s">
        <v>43</v>
      </c>
      <c r="AJ7827" t="s">
        <v>43</v>
      </c>
      <c r="AK7827" t="s">
        <v>43</v>
      </c>
      <c r="AL7827" t="s">
        <v>43</v>
      </c>
      <c r="AM7827" t="s">
        <v>43</v>
      </c>
      <c r="AN7827" t="str">
        <f>HYPERLINK("https://www.google.com/maps?q=10.78968143,79.5787735","Open Location")</f>
        <v>Open Location</v>
      </c>
    </row>
    <row r="7828" spans="1:40" x14ac:dyDescent="0.3">
      <c r="A7828" s="1">
        <v>46210.093287037038</v>
      </c>
      <c r="B7828" t="s">
        <v>40</v>
      </c>
      <c r="C7828" t="s">
        <v>41</v>
      </c>
      <c r="D7828" s="1">
        <v>46210.096134259256</v>
      </c>
      <c r="E7828" t="s">
        <v>42</v>
      </c>
      <c r="F7828" t="s">
        <v>43</v>
      </c>
      <c r="G7828" t="s">
        <v>43</v>
      </c>
      <c r="H7828" t="s">
        <v>43</v>
      </c>
      <c r="I7828" t="s">
        <v>4307</v>
      </c>
      <c r="J7828" t="s">
        <v>43</v>
      </c>
      <c r="K7828" t="s">
        <v>43</v>
      </c>
      <c r="L7828" t="s">
        <v>43</v>
      </c>
      <c r="M7828" t="s">
        <v>43</v>
      </c>
      <c r="N7828" t="s">
        <v>45</v>
      </c>
      <c r="O7828" t="s">
        <v>43</v>
      </c>
      <c r="P7828" t="s">
        <v>43</v>
      </c>
      <c r="Q7828" t="s">
        <v>43</v>
      </c>
      <c r="R7828" t="s">
        <v>43</v>
      </c>
      <c r="S7828" t="s">
        <v>43</v>
      </c>
      <c r="T7828" t="s">
        <v>43</v>
      </c>
      <c r="U7828" t="s">
        <v>43</v>
      </c>
      <c r="V7828" t="s">
        <v>43</v>
      </c>
      <c r="W7828" t="s">
        <v>43</v>
      </c>
      <c r="X7828" t="s">
        <v>43</v>
      </c>
      <c r="Y7828" t="s">
        <v>43</v>
      </c>
      <c r="Z7828" t="s">
        <v>43</v>
      </c>
      <c r="AA7828" t="s">
        <v>43</v>
      </c>
      <c r="AB7828" t="s">
        <v>43</v>
      </c>
      <c r="AC7828" t="s">
        <v>43</v>
      </c>
      <c r="AD7828" t="s">
        <v>43</v>
      </c>
      <c r="AE7828" t="s">
        <v>43</v>
      </c>
      <c r="AF7828" t="s">
        <v>43</v>
      </c>
      <c r="AG7828" t="s">
        <v>43</v>
      </c>
      <c r="AH7828" t="s">
        <v>43</v>
      </c>
      <c r="AI7828" t="s">
        <v>43</v>
      </c>
      <c r="AJ7828" t="s">
        <v>43</v>
      </c>
      <c r="AK7828" t="s">
        <v>43</v>
      </c>
      <c r="AL7828" t="s">
        <v>43</v>
      </c>
      <c r="AM7828" t="s">
        <v>43</v>
      </c>
      <c r="AN7828" t="str">
        <f>HYPERLINK("https://www.google.com/maps?q=10.78968811,79.57878113","Open Location")</f>
        <v>Open Location</v>
      </c>
    </row>
    <row r="7829" spans="1:40" x14ac:dyDescent="0.3">
      <c r="A7829" s="1">
        <v>46210.093171296299</v>
      </c>
      <c r="B7829" t="s">
        <v>40</v>
      </c>
      <c r="C7829" t="s">
        <v>41</v>
      </c>
      <c r="D7829" s="1">
        <v>46210.096122685187</v>
      </c>
      <c r="E7829" t="s">
        <v>42</v>
      </c>
      <c r="F7829" t="s">
        <v>43</v>
      </c>
      <c r="G7829" t="s">
        <v>43</v>
      </c>
      <c r="H7829" t="s">
        <v>43</v>
      </c>
      <c r="I7829" t="s">
        <v>4332</v>
      </c>
      <c r="J7829" t="s">
        <v>43</v>
      </c>
      <c r="K7829" t="s">
        <v>43</v>
      </c>
      <c r="L7829" t="s">
        <v>43</v>
      </c>
      <c r="M7829" t="s">
        <v>43</v>
      </c>
      <c r="N7829" t="s">
        <v>45</v>
      </c>
      <c r="O7829" t="s">
        <v>43</v>
      </c>
      <c r="P7829" t="s">
        <v>43</v>
      </c>
      <c r="Q7829" t="s">
        <v>43</v>
      </c>
      <c r="R7829" t="s">
        <v>43</v>
      </c>
      <c r="S7829" t="s">
        <v>43</v>
      </c>
      <c r="T7829" t="s">
        <v>43</v>
      </c>
      <c r="U7829" t="s">
        <v>43</v>
      </c>
      <c r="V7829" t="s">
        <v>43</v>
      </c>
      <c r="W7829" t="s">
        <v>43</v>
      </c>
      <c r="X7829" t="s">
        <v>43</v>
      </c>
      <c r="Y7829" t="s">
        <v>43</v>
      </c>
      <c r="Z7829" t="s">
        <v>43</v>
      </c>
      <c r="AA7829" t="s">
        <v>43</v>
      </c>
      <c r="AB7829" t="s">
        <v>43</v>
      </c>
      <c r="AC7829" t="s">
        <v>43</v>
      </c>
      <c r="AD7829" t="s">
        <v>43</v>
      </c>
      <c r="AE7829" t="s">
        <v>43</v>
      </c>
      <c r="AF7829" t="s">
        <v>43</v>
      </c>
      <c r="AG7829" t="s">
        <v>43</v>
      </c>
      <c r="AH7829" t="s">
        <v>43</v>
      </c>
      <c r="AI7829" t="s">
        <v>43</v>
      </c>
      <c r="AJ7829" t="s">
        <v>43</v>
      </c>
      <c r="AK7829" t="s">
        <v>43</v>
      </c>
      <c r="AL7829" t="s">
        <v>43</v>
      </c>
      <c r="AM7829" t="s">
        <v>43</v>
      </c>
      <c r="AN7829" t="str">
        <f>HYPERLINK("https://www.google.com/maps?q=10.78969193,79.57878113","Open Location")</f>
        <v>Open Location</v>
      </c>
    </row>
    <row r="7830" spans="1:40" x14ac:dyDescent="0.3">
      <c r="A7830" s="1">
        <v>46210.093055555553</v>
      </c>
      <c r="B7830" t="s">
        <v>40</v>
      </c>
      <c r="C7830" t="s">
        <v>41</v>
      </c>
      <c r="D7830" s="1">
        <v>46210.095949074072</v>
      </c>
      <c r="E7830" t="s">
        <v>42</v>
      </c>
      <c r="F7830" t="s">
        <v>43</v>
      </c>
      <c r="G7830" t="s">
        <v>43</v>
      </c>
      <c r="H7830" t="s">
        <v>43</v>
      </c>
      <c r="I7830" t="s">
        <v>4307</v>
      </c>
      <c r="J7830" t="s">
        <v>43</v>
      </c>
      <c r="K7830" t="s">
        <v>43</v>
      </c>
      <c r="L7830" t="s">
        <v>43</v>
      </c>
      <c r="M7830" t="s">
        <v>43</v>
      </c>
      <c r="N7830" t="s">
        <v>45</v>
      </c>
      <c r="O7830" t="s">
        <v>43</v>
      </c>
      <c r="P7830" t="s">
        <v>43</v>
      </c>
      <c r="Q7830" t="s">
        <v>43</v>
      </c>
      <c r="R7830" t="s">
        <v>43</v>
      </c>
      <c r="S7830" t="s">
        <v>43</v>
      </c>
      <c r="T7830" t="s">
        <v>43</v>
      </c>
      <c r="U7830" t="s">
        <v>43</v>
      </c>
      <c r="V7830" t="s">
        <v>43</v>
      </c>
      <c r="W7830" t="s">
        <v>43</v>
      </c>
      <c r="X7830" t="s">
        <v>43</v>
      </c>
      <c r="Y7830" t="s">
        <v>43</v>
      </c>
      <c r="Z7830" t="s">
        <v>43</v>
      </c>
      <c r="AA7830" t="s">
        <v>43</v>
      </c>
      <c r="AB7830" t="s">
        <v>43</v>
      </c>
      <c r="AC7830" t="s">
        <v>43</v>
      </c>
      <c r="AD7830" t="s">
        <v>43</v>
      </c>
      <c r="AE7830" t="s">
        <v>43</v>
      </c>
      <c r="AF7830" t="s">
        <v>43</v>
      </c>
      <c r="AG7830" t="s">
        <v>43</v>
      </c>
      <c r="AH7830" t="s">
        <v>43</v>
      </c>
      <c r="AI7830" t="s">
        <v>43</v>
      </c>
      <c r="AJ7830" t="s">
        <v>43</v>
      </c>
      <c r="AK7830" t="s">
        <v>43</v>
      </c>
      <c r="AL7830" t="s">
        <v>43</v>
      </c>
      <c r="AM7830" t="s">
        <v>43</v>
      </c>
      <c r="AN7830" t="str">
        <f>HYPERLINK("https://www.google.com/maps?q=10.78968811,79.57878113","Open Location")</f>
        <v>Open Location</v>
      </c>
    </row>
    <row r="7831" spans="1:40" x14ac:dyDescent="0.3">
      <c r="A7831" s="1">
        <v>46210.092939814815</v>
      </c>
      <c r="B7831" t="s">
        <v>40</v>
      </c>
      <c r="C7831" t="s">
        <v>41</v>
      </c>
      <c r="D7831" s="1">
        <v>46210.096076388887</v>
      </c>
      <c r="E7831" t="s">
        <v>42</v>
      </c>
      <c r="F7831" t="s">
        <v>43</v>
      </c>
      <c r="G7831" t="s">
        <v>43</v>
      </c>
      <c r="H7831" t="s">
        <v>43</v>
      </c>
      <c r="I7831" t="s">
        <v>43</v>
      </c>
      <c r="J7831" t="s">
        <v>43</v>
      </c>
      <c r="K7831" t="s">
        <v>43</v>
      </c>
      <c r="L7831" t="s">
        <v>43</v>
      </c>
      <c r="M7831" t="s">
        <v>43</v>
      </c>
      <c r="N7831" t="s">
        <v>45</v>
      </c>
      <c r="O7831" t="s">
        <v>43</v>
      </c>
      <c r="P7831" t="s">
        <v>43</v>
      </c>
      <c r="Q7831" t="s">
        <v>43</v>
      </c>
      <c r="R7831" t="s">
        <v>43</v>
      </c>
      <c r="S7831" t="s">
        <v>43</v>
      </c>
      <c r="T7831" t="s">
        <v>43</v>
      </c>
      <c r="U7831" t="s">
        <v>43</v>
      </c>
      <c r="V7831" t="s">
        <v>43</v>
      </c>
      <c r="W7831" t="s">
        <v>43</v>
      </c>
      <c r="X7831" t="s">
        <v>43</v>
      </c>
      <c r="Y7831" t="s">
        <v>43</v>
      </c>
      <c r="Z7831" t="s">
        <v>43</v>
      </c>
      <c r="AA7831" t="s">
        <v>43</v>
      </c>
      <c r="AB7831" t="s">
        <v>43</v>
      </c>
      <c r="AC7831" t="s">
        <v>43</v>
      </c>
      <c r="AD7831" t="s">
        <v>43</v>
      </c>
      <c r="AE7831" t="s">
        <v>43</v>
      </c>
      <c r="AF7831" t="s">
        <v>43</v>
      </c>
      <c r="AG7831" t="s">
        <v>43</v>
      </c>
      <c r="AH7831" t="s">
        <v>43</v>
      </c>
      <c r="AI7831" t="s">
        <v>43</v>
      </c>
      <c r="AJ7831" t="s">
        <v>43</v>
      </c>
      <c r="AK7831" t="s">
        <v>43</v>
      </c>
      <c r="AL7831" t="s">
        <v>43</v>
      </c>
      <c r="AM7831" t="s">
        <v>43</v>
      </c>
      <c r="AN7831" t="s">
        <v>43</v>
      </c>
    </row>
    <row r="7832" spans="1:40" x14ac:dyDescent="0.3">
      <c r="A7832" s="1">
        <v>46210.092824074076</v>
      </c>
      <c r="B7832" t="s">
        <v>40</v>
      </c>
      <c r="C7832" t="s">
        <v>41</v>
      </c>
      <c r="D7832" s="1">
        <v>46210.095752314817</v>
      </c>
      <c r="E7832" t="s">
        <v>42</v>
      </c>
      <c r="F7832" t="s">
        <v>43</v>
      </c>
      <c r="G7832" t="s">
        <v>43</v>
      </c>
      <c r="H7832" t="s">
        <v>43</v>
      </c>
      <c r="I7832" t="s">
        <v>4363</v>
      </c>
      <c r="J7832" t="s">
        <v>43</v>
      </c>
      <c r="K7832" t="s">
        <v>43</v>
      </c>
      <c r="L7832" t="s">
        <v>43</v>
      </c>
      <c r="M7832" t="s">
        <v>43</v>
      </c>
      <c r="N7832" t="s">
        <v>45</v>
      </c>
      <c r="O7832" t="s">
        <v>43</v>
      </c>
      <c r="P7832" t="s">
        <v>43</v>
      </c>
      <c r="Q7832" t="s">
        <v>43</v>
      </c>
      <c r="R7832" t="s">
        <v>43</v>
      </c>
      <c r="S7832" t="s">
        <v>43</v>
      </c>
      <c r="T7832" t="s">
        <v>43</v>
      </c>
      <c r="U7832" t="s">
        <v>43</v>
      </c>
      <c r="V7832" t="s">
        <v>43</v>
      </c>
      <c r="W7832" t="s">
        <v>43</v>
      </c>
      <c r="X7832" t="s">
        <v>43</v>
      </c>
      <c r="Y7832" t="s">
        <v>43</v>
      </c>
      <c r="Z7832" t="s">
        <v>43</v>
      </c>
      <c r="AA7832" t="s">
        <v>43</v>
      </c>
      <c r="AB7832" t="s">
        <v>43</v>
      </c>
      <c r="AC7832" t="s">
        <v>43</v>
      </c>
      <c r="AD7832" t="s">
        <v>43</v>
      </c>
      <c r="AE7832" t="s">
        <v>43</v>
      </c>
      <c r="AF7832" t="s">
        <v>43</v>
      </c>
      <c r="AG7832" t="s">
        <v>43</v>
      </c>
      <c r="AH7832" t="s">
        <v>43</v>
      </c>
      <c r="AI7832" t="s">
        <v>43</v>
      </c>
      <c r="AJ7832" t="s">
        <v>43</v>
      </c>
      <c r="AK7832" t="s">
        <v>43</v>
      </c>
      <c r="AL7832" t="s">
        <v>43</v>
      </c>
      <c r="AM7832" t="s">
        <v>43</v>
      </c>
      <c r="AN7832" t="str">
        <f>HYPERLINK("https://www.google.com/maps?q=10.78968811,79.5787735","Open Location")</f>
        <v>Open Location</v>
      </c>
    </row>
    <row r="7833" spans="1:40" x14ac:dyDescent="0.3">
      <c r="A7833" s="1">
        <v>46210.09270833333</v>
      </c>
      <c r="B7833" t="s">
        <v>40</v>
      </c>
      <c r="C7833" t="s">
        <v>41</v>
      </c>
      <c r="D7833" s="1">
        <v>46210.095752314817</v>
      </c>
      <c r="E7833" t="s">
        <v>42</v>
      </c>
      <c r="F7833" t="s">
        <v>43</v>
      </c>
      <c r="G7833" t="s">
        <v>43</v>
      </c>
      <c r="H7833" t="s">
        <v>43</v>
      </c>
      <c r="I7833" t="s">
        <v>4208</v>
      </c>
      <c r="J7833" t="s">
        <v>43</v>
      </c>
      <c r="K7833" t="s">
        <v>43</v>
      </c>
      <c r="L7833" t="s">
        <v>43</v>
      </c>
      <c r="M7833" t="s">
        <v>43</v>
      </c>
      <c r="N7833" t="s">
        <v>45</v>
      </c>
      <c r="O7833" t="s">
        <v>43</v>
      </c>
      <c r="P7833" t="s">
        <v>43</v>
      </c>
      <c r="Q7833" t="s">
        <v>43</v>
      </c>
      <c r="R7833" t="s">
        <v>43</v>
      </c>
      <c r="S7833" t="s">
        <v>43</v>
      </c>
      <c r="T7833" t="s">
        <v>43</v>
      </c>
      <c r="U7833" t="s">
        <v>43</v>
      </c>
      <c r="V7833" t="s">
        <v>43</v>
      </c>
      <c r="W7833" t="s">
        <v>43</v>
      </c>
      <c r="X7833" t="s">
        <v>43</v>
      </c>
      <c r="Y7833" t="s">
        <v>43</v>
      </c>
      <c r="Z7833" t="s">
        <v>43</v>
      </c>
      <c r="AA7833" t="s">
        <v>43</v>
      </c>
      <c r="AB7833" t="s">
        <v>43</v>
      </c>
      <c r="AC7833" t="s">
        <v>43</v>
      </c>
      <c r="AD7833" t="s">
        <v>43</v>
      </c>
      <c r="AE7833" t="s">
        <v>43</v>
      </c>
      <c r="AF7833" t="s">
        <v>43</v>
      </c>
      <c r="AG7833" t="s">
        <v>43</v>
      </c>
      <c r="AH7833" t="s">
        <v>43</v>
      </c>
      <c r="AI7833" t="s">
        <v>43</v>
      </c>
      <c r="AJ7833" t="s">
        <v>43</v>
      </c>
      <c r="AK7833" t="s">
        <v>43</v>
      </c>
      <c r="AL7833" t="s">
        <v>43</v>
      </c>
      <c r="AM7833" t="s">
        <v>43</v>
      </c>
      <c r="AN7833" t="str">
        <f>HYPERLINK("https://www.google.com/maps?q=10.78968239,79.5787735","Open Location")</f>
        <v>Open Location</v>
      </c>
    </row>
    <row r="7834" spans="1:40" x14ac:dyDescent="0.3">
      <c r="A7834" s="1">
        <v>46210.092592592591</v>
      </c>
      <c r="B7834" t="s">
        <v>40</v>
      </c>
      <c r="C7834" t="s">
        <v>41</v>
      </c>
      <c r="D7834" s="1">
        <v>46210.095393518517</v>
      </c>
      <c r="E7834" t="s">
        <v>42</v>
      </c>
      <c r="F7834" t="s">
        <v>43</v>
      </c>
      <c r="G7834" t="s">
        <v>43</v>
      </c>
      <c r="H7834" t="s">
        <v>43</v>
      </c>
      <c r="I7834" t="s">
        <v>4308</v>
      </c>
      <c r="J7834" t="s">
        <v>43</v>
      </c>
      <c r="K7834" t="s">
        <v>43</v>
      </c>
      <c r="L7834" t="s">
        <v>43</v>
      </c>
      <c r="M7834" t="s">
        <v>43</v>
      </c>
      <c r="N7834" t="s">
        <v>45</v>
      </c>
      <c r="O7834" t="s">
        <v>43</v>
      </c>
      <c r="P7834" t="s">
        <v>43</v>
      </c>
      <c r="Q7834" t="s">
        <v>43</v>
      </c>
      <c r="R7834" t="s">
        <v>43</v>
      </c>
      <c r="S7834" t="s">
        <v>43</v>
      </c>
      <c r="T7834" t="s">
        <v>43</v>
      </c>
      <c r="U7834" t="s">
        <v>43</v>
      </c>
      <c r="V7834" t="s">
        <v>43</v>
      </c>
      <c r="W7834" t="s">
        <v>43</v>
      </c>
      <c r="X7834" t="s">
        <v>43</v>
      </c>
      <c r="Y7834" t="s">
        <v>43</v>
      </c>
      <c r="Z7834" t="s">
        <v>43</v>
      </c>
      <c r="AA7834" t="s">
        <v>43</v>
      </c>
      <c r="AB7834" t="s">
        <v>43</v>
      </c>
      <c r="AC7834" t="s">
        <v>43</v>
      </c>
      <c r="AD7834" t="s">
        <v>43</v>
      </c>
      <c r="AE7834" t="s">
        <v>43</v>
      </c>
      <c r="AF7834" t="s">
        <v>43</v>
      </c>
      <c r="AG7834" t="s">
        <v>43</v>
      </c>
      <c r="AH7834" t="s">
        <v>43</v>
      </c>
      <c r="AI7834" t="s">
        <v>43</v>
      </c>
      <c r="AJ7834" t="s">
        <v>43</v>
      </c>
      <c r="AK7834" t="s">
        <v>43</v>
      </c>
      <c r="AL7834" t="s">
        <v>43</v>
      </c>
      <c r="AM7834" t="s">
        <v>43</v>
      </c>
      <c r="AN7834" t="str">
        <f>HYPERLINK("https://www.google.com/maps?q=10.78968716,79.57878113","Open Location")</f>
        <v>Open Location</v>
      </c>
    </row>
    <row r="7835" spans="1:40" x14ac:dyDescent="0.3">
      <c r="A7835" s="1">
        <v>46210.092476851853</v>
      </c>
      <c r="B7835" t="s">
        <v>40</v>
      </c>
      <c r="C7835" t="s">
        <v>41</v>
      </c>
      <c r="D7835" s="1">
        <v>46210.095752314817</v>
      </c>
      <c r="E7835" t="s">
        <v>42</v>
      </c>
      <c r="F7835" t="s">
        <v>43</v>
      </c>
      <c r="G7835" t="s">
        <v>43</v>
      </c>
      <c r="H7835" t="s">
        <v>43</v>
      </c>
      <c r="I7835" t="s">
        <v>4332</v>
      </c>
      <c r="J7835" t="s">
        <v>43</v>
      </c>
      <c r="K7835" t="s">
        <v>43</v>
      </c>
      <c r="L7835" t="s">
        <v>43</v>
      </c>
      <c r="M7835" t="s">
        <v>43</v>
      </c>
      <c r="N7835" t="s">
        <v>45</v>
      </c>
      <c r="O7835" t="s">
        <v>43</v>
      </c>
      <c r="P7835" t="s">
        <v>43</v>
      </c>
      <c r="Q7835" t="s">
        <v>43</v>
      </c>
      <c r="R7835" t="s">
        <v>43</v>
      </c>
      <c r="S7835" t="s">
        <v>43</v>
      </c>
      <c r="T7835" t="s">
        <v>43</v>
      </c>
      <c r="U7835" t="s">
        <v>43</v>
      </c>
      <c r="V7835" t="s">
        <v>43</v>
      </c>
      <c r="W7835" t="s">
        <v>43</v>
      </c>
      <c r="X7835" t="s">
        <v>43</v>
      </c>
      <c r="Y7835" t="s">
        <v>43</v>
      </c>
      <c r="Z7835" t="s">
        <v>43</v>
      </c>
      <c r="AA7835" t="s">
        <v>43</v>
      </c>
      <c r="AB7835" t="s">
        <v>43</v>
      </c>
      <c r="AC7835" t="s">
        <v>43</v>
      </c>
      <c r="AD7835" t="s">
        <v>43</v>
      </c>
      <c r="AE7835" t="s">
        <v>43</v>
      </c>
      <c r="AF7835" t="s">
        <v>43</v>
      </c>
      <c r="AG7835" t="s">
        <v>43</v>
      </c>
      <c r="AH7835" t="s">
        <v>43</v>
      </c>
      <c r="AI7835" t="s">
        <v>43</v>
      </c>
      <c r="AJ7835" t="s">
        <v>43</v>
      </c>
      <c r="AK7835" t="s">
        <v>43</v>
      </c>
      <c r="AL7835" t="s">
        <v>43</v>
      </c>
      <c r="AM7835" t="s">
        <v>43</v>
      </c>
      <c r="AN7835" t="str">
        <f>HYPERLINK("https://www.google.com/maps?q=10.78969193,79.57878113","Open Location")</f>
        <v>Open Location</v>
      </c>
    </row>
    <row r="7836" spans="1:40" x14ac:dyDescent="0.3">
      <c r="A7836" s="1">
        <v>46210.092361111114</v>
      </c>
      <c r="B7836" t="s">
        <v>40</v>
      </c>
      <c r="C7836" t="s">
        <v>41</v>
      </c>
      <c r="D7836" s="1">
        <v>46210.095034722224</v>
      </c>
      <c r="E7836" t="s">
        <v>42</v>
      </c>
      <c r="F7836" t="s">
        <v>43</v>
      </c>
      <c r="G7836" t="s">
        <v>43</v>
      </c>
      <c r="H7836" t="s">
        <v>43</v>
      </c>
      <c r="I7836" t="s">
        <v>4153</v>
      </c>
      <c r="J7836" t="s">
        <v>43</v>
      </c>
      <c r="K7836" t="s">
        <v>43</v>
      </c>
      <c r="L7836" t="s">
        <v>43</v>
      </c>
      <c r="M7836" t="s">
        <v>43</v>
      </c>
      <c r="N7836" t="s">
        <v>45</v>
      </c>
      <c r="O7836" t="s">
        <v>43</v>
      </c>
      <c r="P7836" t="s">
        <v>43</v>
      </c>
      <c r="Q7836" t="s">
        <v>43</v>
      </c>
      <c r="R7836" t="s">
        <v>43</v>
      </c>
      <c r="S7836" t="s">
        <v>43</v>
      </c>
      <c r="T7836" t="s">
        <v>43</v>
      </c>
      <c r="U7836" t="s">
        <v>43</v>
      </c>
      <c r="V7836" t="s">
        <v>43</v>
      </c>
      <c r="W7836" t="s">
        <v>43</v>
      </c>
      <c r="X7836" t="s">
        <v>43</v>
      </c>
      <c r="Y7836" t="s">
        <v>43</v>
      </c>
      <c r="Z7836" t="s">
        <v>43</v>
      </c>
      <c r="AA7836" t="s">
        <v>43</v>
      </c>
      <c r="AB7836" t="s">
        <v>43</v>
      </c>
      <c r="AC7836" t="s">
        <v>43</v>
      </c>
      <c r="AD7836" t="s">
        <v>43</v>
      </c>
      <c r="AE7836" t="s">
        <v>43</v>
      </c>
      <c r="AF7836" t="s">
        <v>43</v>
      </c>
      <c r="AG7836" t="s">
        <v>43</v>
      </c>
      <c r="AH7836" t="s">
        <v>43</v>
      </c>
      <c r="AI7836" t="s">
        <v>43</v>
      </c>
      <c r="AJ7836" t="s">
        <v>43</v>
      </c>
      <c r="AK7836" t="s">
        <v>43</v>
      </c>
      <c r="AL7836" t="s">
        <v>43</v>
      </c>
      <c r="AM7836" t="s">
        <v>43</v>
      </c>
      <c r="AN7836" t="str">
        <f>HYPERLINK("https://www.google.com/maps?q=10.78969479,79.57878876","Open Location")</f>
        <v>Open Location</v>
      </c>
    </row>
    <row r="7837" spans="1:40" x14ac:dyDescent="0.3">
      <c r="A7837" s="1">
        <v>46210.092245370368</v>
      </c>
      <c r="B7837" t="s">
        <v>40</v>
      </c>
      <c r="C7837" t="s">
        <v>41</v>
      </c>
      <c r="D7837" s="1">
        <v>46210.095034722224</v>
      </c>
      <c r="E7837" t="s">
        <v>42</v>
      </c>
      <c r="F7837" t="s">
        <v>43</v>
      </c>
      <c r="G7837" t="s">
        <v>43</v>
      </c>
      <c r="H7837" t="s">
        <v>43</v>
      </c>
      <c r="I7837" t="s">
        <v>43</v>
      </c>
      <c r="J7837" t="s">
        <v>43</v>
      </c>
      <c r="K7837" t="s">
        <v>43</v>
      </c>
      <c r="L7837" t="s">
        <v>43</v>
      </c>
      <c r="M7837" t="s">
        <v>43</v>
      </c>
      <c r="N7837" t="s">
        <v>45</v>
      </c>
      <c r="O7837" t="s">
        <v>43</v>
      </c>
      <c r="P7837" t="s">
        <v>43</v>
      </c>
      <c r="Q7837" t="s">
        <v>43</v>
      </c>
      <c r="R7837" t="s">
        <v>43</v>
      </c>
      <c r="S7837" t="s">
        <v>43</v>
      </c>
      <c r="T7837" t="s">
        <v>43</v>
      </c>
      <c r="U7837" t="s">
        <v>43</v>
      </c>
      <c r="V7837" t="s">
        <v>43</v>
      </c>
      <c r="W7837" t="s">
        <v>43</v>
      </c>
      <c r="X7837" t="s">
        <v>43</v>
      </c>
      <c r="Y7837" t="s">
        <v>43</v>
      </c>
      <c r="Z7837" t="s">
        <v>43</v>
      </c>
      <c r="AA7837" t="s">
        <v>43</v>
      </c>
      <c r="AB7837" t="s">
        <v>43</v>
      </c>
      <c r="AC7837" t="s">
        <v>43</v>
      </c>
      <c r="AD7837" t="s">
        <v>43</v>
      </c>
      <c r="AE7837" t="s">
        <v>43</v>
      </c>
      <c r="AF7837" t="s">
        <v>43</v>
      </c>
      <c r="AG7837" t="s">
        <v>43</v>
      </c>
      <c r="AH7837" t="s">
        <v>43</v>
      </c>
      <c r="AI7837" t="s">
        <v>43</v>
      </c>
      <c r="AJ7837" t="s">
        <v>43</v>
      </c>
      <c r="AK7837" t="s">
        <v>43</v>
      </c>
      <c r="AL7837" t="s">
        <v>43</v>
      </c>
      <c r="AM7837" t="s">
        <v>43</v>
      </c>
      <c r="AN7837" t="s">
        <v>43</v>
      </c>
    </row>
    <row r="7838" spans="1:40" x14ac:dyDescent="0.3">
      <c r="A7838" s="1">
        <v>46210.092129629629</v>
      </c>
      <c r="B7838" t="s">
        <v>40</v>
      </c>
      <c r="C7838" t="s">
        <v>41</v>
      </c>
      <c r="D7838" s="1">
        <v>46210.095324074071</v>
      </c>
      <c r="E7838" t="s">
        <v>42</v>
      </c>
      <c r="F7838" t="s">
        <v>43</v>
      </c>
      <c r="G7838" t="s">
        <v>43</v>
      </c>
      <c r="H7838" t="s">
        <v>43</v>
      </c>
      <c r="I7838" t="s">
        <v>4364</v>
      </c>
      <c r="J7838" t="s">
        <v>43</v>
      </c>
      <c r="K7838" t="s">
        <v>43</v>
      </c>
      <c r="L7838" t="s">
        <v>43</v>
      </c>
      <c r="M7838" t="s">
        <v>43</v>
      </c>
      <c r="N7838" t="s">
        <v>45</v>
      </c>
      <c r="O7838" t="s">
        <v>43</v>
      </c>
      <c r="P7838" t="s">
        <v>43</v>
      </c>
      <c r="Q7838" t="s">
        <v>43</v>
      </c>
      <c r="R7838" t="s">
        <v>43</v>
      </c>
      <c r="S7838" t="s">
        <v>43</v>
      </c>
      <c r="T7838" t="s">
        <v>43</v>
      </c>
      <c r="U7838" t="s">
        <v>43</v>
      </c>
      <c r="V7838" t="s">
        <v>43</v>
      </c>
      <c r="W7838" t="s">
        <v>43</v>
      </c>
      <c r="X7838" t="s">
        <v>43</v>
      </c>
      <c r="Y7838" t="s">
        <v>43</v>
      </c>
      <c r="Z7838" t="s">
        <v>43</v>
      </c>
      <c r="AA7838" t="s">
        <v>43</v>
      </c>
      <c r="AB7838" t="s">
        <v>43</v>
      </c>
      <c r="AC7838" t="s">
        <v>43</v>
      </c>
      <c r="AD7838" t="s">
        <v>43</v>
      </c>
      <c r="AE7838" t="s">
        <v>43</v>
      </c>
      <c r="AF7838" t="s">
        <v>43</v>
      </c>
      <c r="AG7838" t="s">
        <v>43</v>
      </c>
      <c r="AH7838" t="s">
        <v>43</v>
      </c>
      <c r="AI7838" t="s">
        <v>43</v>
      </c>
      <c r="AJ7838" t="s">
        <v>43</v>
      </c>
      <c r="AK7838" t="s">
        <v>43</v>
      </c>
      <c r="AL7838" t="s">
        <v>43</v>
      </c>
      <c r="AM7838" t="s">
        <v>43</v>
      </c>
      <c r="AN7838" t="str">
        <f>HYPERLINK("https://www.google.com/maps?q=10.78969383,79.57878113","Open Location")</f>
        <v>Open Location</v>
      </c>
    </row>
    <row r="7839" spans="1:40" x14ac:dyDescent="0.3">
      <c r="A7839" s="1">
        <v>46210.092013888891</v>
      </c>
      <c r="B7839" t="s">
        <v>40</v>
      </c>
      <c r="C7839" t="s">
        <v>41</v>
      </c>
      <c r="D7839" s="1">
        <v>46210.095231481479</v>
      </c>
      <c r="E7839" t="s">
        <v>42</v>
      </c>
      <c r="F7839" t="s">
        <v>43</v>
      </c>
      <c r="G7839" t="s">
        <v>43</v>
      </c>
      <c r="H7839" t="s">
        <v>43</v>
      </c>
      <c r="I7839" t="s">
        <v>4307</v>
      </c>
      <c r="J7839" t="s">
        <v>43</v>
      </c>
      <c r="K7839" t="s">
        <v>43</v>
      </c>
      <c r="L7839" t="s">
        <v>43</v>
      </c>
      <c r="M7839" t="s">
        <v>43</v>
      </c>
      <c r="N7839" t="s">
        <v>45</v>
      </c>
      <c r="O7839" t="s">
        <v>43</v>
      </c>
      <c r="P7839" t="s">
        <v>43</v>
      </c>
      <c r="Q7839" t="s">
        <v>43</v>
      </c>
      <c r="R7839" t="s">
        <v>43</v>
      </c>
      <c r="S7839" t="s">
        <v>43</v>
      </c>
      <c r="T7839" t="s">
        <v>43</v>
      </c>
      <c r="U7839" t="s">
        <v>43</v>
      </c>
      <c r="V7839" t="s">
        <v>43</v>
      </c>
      <c r="W7839" t="s">
        <v>43</v>
      </c>
      <c r="X7839" t="s">
        <v>43</v>
      </c>
      <c r="Y7839" t="s">
        <v>43</v>
      </c>
      <c r="Z7839" t="s">
        <v>43</v>
      </c>
      <c r="AA7839" t="s">
        <v>43</v>
      </c>
      <c r="AB7839" t="s">
        <v>43</v>
      </c>
      <c r="AC7839" t="s">
        <v>43</v>
      </c>
      <c r="AD7839" t="s">
        <v>43</v>
      </c>
      <c r="AE7839" t="s">
        <v>43</v>
      </c>
      <c r="AF7839" t="s">
        <v>43</v>
      </c>
      <c r="AG7839" t="s">
        <v>43</v>
      </c>
      <c r="AH7839" t="s">
        <v>43</v>
      </c>
      <c r="AI7839" t="s">
        <v>43</v>
      </c>
      <c r="AJ7839" t="s">
        <v>43</v>
      </c>
      <c r="AK7839" t="s">
        <v>43</v>
      </c>
      <c r="AL7839" t="s">
        <v>43</v>
      </c>
      <c r="AM7839" t="s">
        <v>43</v>
      </c>
      <c r="AN7839" t="str">
        <f>HYPERLINK("https://www.google.com/maps?q=10.78968811,79.57878113","Open Location")</f>
        <v>Open Location</v>
      </c>
    </row>
    <row r="7840" spans="1:40" x14ac:dyDescent="0.3">
      <c r="A7840" s="1">
        <v>46210.091898148145</v>
      </c>
      <c r="B7840" t="s">
        <v>40</v>
      </c>
      <c r="C7840" t="s">
        <v>41</v>
      </c>
      <c r="D7840" s="1">
        <v>46210.094942129632</v>
      </c>
      <c r="E7840" t="s">
        <v>42</v>
      </c>
      <c r="F7840" t="s">
        <v>43</v>
      </c>
      <c r="G7840" t="s">
        <v>43</v>
      </c>
      <c r="H7840" t="s">
        <v>43</v>
      </c>
      <c r="I7840" t="s">
        <v>4308</v>
      </c>
      <c r="J7840" t="s">
        <v>43</v>
      </c>
      <c r="K7840" t="s">
        <v>43</v>
      </c>
      <c r="L7840" t="s">
        <v>43</v>
      </c>
      <c r="M7840" t="s">
        <v>43</v>
      </c>
      <c r="N7840" t="s">
        <v>45</v>
      </c>
      <c r="O7840" t="s">
        <v>43</v>
      </c>
      <c r="P7840" t="s">
        <v>43</v>
      </c>
      <c r="Q7840" t="s">
        <v>43</v>
      </c>
      <c r="R7840" t="s">
        <v>43</v>
      </c>
      <c r="S7840" t="s">
        <v>43</v>
      </c>
      <c r="T7840" t="s">
        <v>43</v>
      </c>
      <c r="U7840" t="s">
        <v>43</v>
      </c>
      <c r="V7840" t="s">
        <v>43</v>
      </c>
      <c r="W7840" t="s">
        <v>43</v>
      </c>
      <c r="X7840" t="s">
        <v>43</v>
      </c>
      <c r="Y7840" t="s">
        <v>43</v>
      </c>
      <c r="Z7840" t="s">
        <v>43</v>
      </c>
      <c r="AA7840" t="s">
        <v>43</v>
      </c>
      <c r="AB7840" t="s">
        <v>43</v>
      </c>
      <c r="AC7840" t="s">
        <v>43</v>
      </c>
      <c r="AD7840" t="s">
        <v>43</v>
      </c>
      <c r="AE7840" t="s">
        <v>43</v>
      </c>
      <c r="AF7840" t="s">
        <v>43</v>
      </c>
      <c r="AG7840" t="s">
        <v>43</v>
      </c>
      <c r="AH7840" t="s">
        <v>43</v>
      </c>
      <c r="AI7840" t="s">
        <v>43</v>
      </c>
      <c r="AJ7840" t="s">
        <v>43</v>
      </c>
      <c r="AK7840" t="s">
        <v>43</v>
      </c>
      <c r="AL7840" t="s">
        <v>43</v>
      </c>
      <c r="AM7840" t="s">
        <v>43</v>
      </c>
      <c r="AN7840" t="str">
        <f>HYPERLINK("https://www.google.com/maps?q=10.78968716,79.57878113","Open Location")</f>
        <v>Open Location</v>
      </c>
    </row>
    <row r="7841" spans="1:40" x14ac:dyDescent="0.3">
      <c r="A7841" s="1">
        <v>46210.091782407406</v>
      </c>
      <c r="B7841" t="s">
        <v>40</v>
      </c>
      <c r="C7841" t="s">
        <v>41</v>
      </c>
      <c r="D7841" s="1">
        <v>46210.094872685186</v>
      </c>
      <c r="E7841" t="s">
        <v>42</v>
      </c>
      <c r="F7841" t="s">
        <v>43</v>
      </c>
      <c r="G7841" t="s">
        <v>43</v>
      </c>
      <c r="H7841" t="s">
        <v>43</v>
      </c>
      <c r="I7841" t="s">
        <v>4320</v>
      </c>
      <c r="J7841" t="s">
        <v>43</v>
      </c>
      <c r="K7841" t="s">
        <v>43</v>
      </c>
      <c r="L7841" t="s">
        <v>43</v>
      </c>
      <c r="M7841" t="s">
        <v>43</v>
      </c>
      <c r="N7841" t="s">
        <v>45</v>
      </c>
      <c r="O7841" t="s">
        <v>43</v>
      </c>
      <c r="P7841" t="s">
        <v>43</v>
      </c>
      <c r="Q7841" t="s">
        <v>43</v>
      </c>
      <c r="R7841" t="s">
        <v>43</v>
      </c>
      <c r="S7841" t="s">
        <v>43</v>
      </c>
      <c r="T7841" t="s">
        <v>43</v>
      </c>
      <c r="U7841" t="s">
        <v>43</v>
      </c>
      <c r="V7841" t="s">
        <v>43</v>
      </c>
      <c r="W7841" t="s">
        <v>43</v>
      </c>
      <c r="X7841" t="s">
        <v>43</v>
      </c>
      <c r="Y7841" t="s">
        <v>43</v>
      </c>
      <c r="Z7841" t="s">
        <v>43</v>
      </c>
      <c r="AA7841" t="s">
        <v>43</v>
      </c>
      <c r="AB7841" t="s">
        <v>43</v>
      </c>
      <c r="AC7841" t="s">
        <v>43</v>
      </c>
      <c r="AD7841" t="s">
        <v>43</v>
      </c>
      <c r="AE7841" t="s">
        <v>43</v>
      </c>
      <c r="AF7841" t="s">
        <v>43</v>
      </c>
      <c r="AG7841" t="s">
        <v>43</v>
      </c>
      <c r="AH7841" t="s">
        <v>43</v>
      </c>
      <c r="AI7841" t="s">
        <v>43</v>
      </c>
      <c r="AJ7841" t="s">
        <v>43</v>
      </c>
      <c r="AK7841" t="s">
        <v>43</v>
      </c>
      <c r="AL7841" t="s">
        <v>43</v>
      </c>
      <c r="AM7841" t="s">
        <v>43</v>
      </c>
      <c r="AN7841" t="str">
        <f>HYPERLINK("https://www.google.com/maps?q=10.78968525,79.57878113","Open Location")</f>
        <v>Open Location</v>
      </c>
    </row>
    <row r="7842" spans="1:40" x14ac:dyDescent="0.3">
      <c r="A7842" s="1">
        <v>46210.091666666667</v>
      </c>
      <c r="B7842" t="s">
        <v>40</v>
      </c>
      <c r="C7842" t="s">
        <v>41</v>
      </c>
      <c r="D7842" s="1">
        <v>46210.094525462962</v>
      </c>
      <c r="E7842" t="s">
        <v>42</v>
      </c>
      <c r="F7842" t="s">
        <v>43</v>
      </c>
      <c r="G7842" t="s">
        <v>43</v>
      </c>
      <c r="H7842" t="s">
        <v>43</v>
      </c>
      <c r="I7842" t="s">
        <v>4320</v>
      </c>
      <c r="J7842" t="s">
        <v>43</v>
      </c>
      <c r="K7842" t="s">
        <v>43</v>
      </c>
      <c r="L7842" t="s">
        <v>43</v>
      </c>
      <c r="M7842" t="s">
        <v>43</v>
      </c>
      <c r="N7842" t="s">
        <v>45</v>
      </c>
      <c r="O7842" t="s">
        <v>43</v>
      </c>
      <c r="P7842" t="s">
        <v>43</v>
      </c>
      <c r="Q7842" t="s">
        <v>43</v>
      </c>
      <c r="R7842" t="s">
        <v>43</v>
      </c>
      <c r="S7842" t="s">
        <v>43</v>
      </c>
      <c r="T7842" t="s">
        <v>43</v>
      </c>
      <c r="U7842" t="s">
        <v>43</v>
      </c>
      <c r="V7842" t="s">
        <v>43</v>
      </c>
      <c r="W7842" t="s">
        <v>43</v>
      </c>
      <c r="X7842" t="s">
        <v>43</v>
      </c>
      <c r="Y7842" t="s">
        <v>43</v>
      </c>
      <c r="Z7842" t="s">
        <v>43</v>
      </c>
      <c r="AA7842" t="s">
        <v>43</v>
      </c>
      <c r="AB7842" t="s">
        <v>43</v>
      </c>
      <c r="AC7842" t="s">
        <v>43</v>
      </c>
      <c r="AD7842" t="s">
        <v>43</v>
      </c>
      <c r="AE7842" t="s">
        <v>43</v>
      </c>
      <c r="AF7842" t="s">
        <v>43</v>
      </c>
      <c r="AG7842" t="s">
        <v>43</v>
      </c>
      <c r="AH7842" t="s">
        <v>43</v>
      </c>
      <c r="AI7842" t="s">
        <v>43</v>
      </c>
      <c r="AJ7842" t="s">
        <v>43</v>
      </c>
      <c r="AK7842" t="s">
        <v>43</v>
      </c>
      <c r="AL7842" t="s">
        <v>43</v>
      </c>
      <c r="AM7842" t="s">
        <v>43</v>
      </c>
      <c r="AN7842" t="str">
        <f>HYPERLINK("https://www.google.com/maps?q=10.78968525,79.57878113","Open Location")</f>
        <v>Open Location</v>
      </c>
    </row>
    <row r="7843" spans="1:40" x14ac:dyDescent="0.3">
      <c r="A7843" s="1">
        <v>46210.091550925928</v>
      </c>
      <c r="B7843" t="s">
        <v>40</v>
      </c>
      <c r="C7843" t="s">
        <v>41</v>
      </c>
      <c r="D7843" s="1">
        <v>46210.094571759262</v>
      </c>
      <c r="E7843" t="s">
        <v>42</v>
      </c>
      <c r="F7843" t="s">
        <v>43</v>
      </c>
      <c r="G7843" t="s">
        <v>43</v>
      </c>
      <c r="H7843" t="s">
        <v>43</v>
      </c>
      <c r="I7843" t="s">
        <v>43</v>
      </c>
      <c r="J7843" t="s">
        <v>43</v>
      </c>
      <c r="K7843" t="s">
        <v>43</v>
      </c>
      <c r="L7843" t="s">
        <v>43</v>
      </c>
      <c r="M7843" t="s">
        <v>43</v>
      </c>
      <c r="N7843" t="s">
        <v>45</v>
      </c>
      <c r="O7843" t="s">
        <v>43</v>
      </c>
      <c r="P7843" t="s">
        <v>43</v>
      </c>
      <c r="Q7843" t="s">
        <v>43</v>
      </c>
      <c r="R7843" t="s">
        <v>43</v>
      </c>
      <c r="S7843" t="s">
        <v>43</v>
      </c>
      <c r="T7843" t="s">
        <v>43</v>
      </c>
      <c r="U7843" t="s">
        <v>43</v>
      </c>
      <c r="V7843" t="s">
        <v>43</v>
      </c>
      <c r="W7843" t="s">
        <v>43</v>
      </c>
      <c r="X7843" t="s">
        <v>43</v>
      </c>
      <c r="Y7843" t="s">
        <v>43</v>
      </c>
      <c r="Z7843" t="s">
        <v>43</v>
      </c>
      <c r="AA7843" t="s">
        <v>43</v>
      </c>
      <c r="AB7843" t="s">
        <v>43</v>
      </c>
      <c r="AC7843" t="s">
        <v>43</v>
      </c>
      <c r="AD7843" t="s">
        <v>43</v>
      </c>
      <c r="AE7843" t="s">
        <v>43</v>
      </c>
      <c r="AF7843" t="s">
        <v>43</v>
      </c>
      <c r="AG7843" t="s">
        <v>43</v>
      </c>
      <c r="AH7843" t="s">
        <v>43</v>
      </c>
      <c r="AI7843" t="s">
        <v>43</v>
      </c>
      <c r="AJ7843" t="s">
        <v>43</v>
      </c>
      <c r="AK7843" t="s">
        <v>43</v>
      </c>
      <c r="AL7843" t="s">
        <v>43</v>
      </c>
      <c r="AM7843" t="s">
        <v>43</v>
      </c>
      <c r="AN7843" t="s">
        <v>43</v>
      </c>
    </row>
    <row r="7844" spans="1:40" x14ac:dyDescent="0.3">
      <c r="A7844" s="1">
        <v>46210.091435185182</v>
      </c>
      <c r="B7844" t="s">
        <v>40</v>
      </c>
      <c r="C7844" t="s">
        <v>41</v>
      </c>
      <c r="D7844" s="1">
        <v>46210.094409722224</v>
      </c>
      <c r="E7844" t="s">
        <v>42</v>
      </c>
      <c r="F7844" t="s">
        <v>43</v>
      </c>
      <c r="G7844" t="s">
        <v>43</v>
      </c>
      <c r="H7844" t="s">
        <v>43</v>
      </c>
      <c r="I7844" t="s">
        <v>4154</v>
      </c>
      <c r="J7844" t="s">
        <v>43</v>
      </c>
      <c r="K7844" t="s">
        <v>43</v>
      </c>
      <c r="L7844" t="s">
        <v>43</v>
      </c>
      <c r="M7844" t="s">
        <v>43</v>
      </c>
      <c r="N7844" t="s">
        <v>45</v>
      </c>
      <c r="O7844" t="s">
        <v>43</v>
      </c>
      <c r="P7844" t="s">
        <v>43</v>
      </c>
      <c r="Q7844" t="s">
        <v>43</v>
      </c>
      <c r="R7844" t="s">
        <v>43</v>
      </c>
      <c r="S7844" t="s">
        <v>43</v>
      </c>
      <c r="T7844" t="s">
        <v>43</v>
      </c>
      <c r="U7844" t="s">
        <v>43</v>
      </c>
      <c r="V7844" t="s">
        <v>43</v>
      </c>
      <c r="W7844" t="s">
        <v>43</v>
      </c>
      <c r="X7844" t="s">
        <v>43</v>
      </c>
      <c r="Y7844" t="s">
        <v>43</v>
      </c>
      <c r="Z7844" t="s">
        <v>43</v>
      </c>
      <c r="AA7844" t="s">
        <v>43</v>
      </c>
      <c r="AB7844" t="s">
        <v>43</v>
      </c>
      <c r="AC7844" t="s">
        <v>43</v>
      </c>
      <c r="AD7844" t="s">
        <v>43</v>
      </c>
      <c r="AE7844" t="s">
        <v>43</v>
      </c>
      <c r="AF7844" t="s">
        <v>43</v>
      </c>
      <c r="AG7844" t="s">
        <v>43</v>
      </c>
      <c r="AH7844" t="s">
        <v>43</v>
      </c>
      <c r="AI7844" t="s">
        <v>43</v>
      </c>
      <c r="AJ7844" t="s">
        <v>43</v>
      </c>
      <c r="AK7844" t="s">
        <v>43</v>
      </c>
      <c r="AL7844" t="s">
        <v>43</v>
      </c>
      <c r="AM7844" t="s">
        <v>43</v>
      </c>
      <c r="AN7844" t="str">
        <f>HYPERLINK("https://www.google.com/maps?q=10.78969097,79.57878876","Open Location")</f>
        <v>Open Location</v>
      </c>
    </row>
    <row r="7845" spans="1:40" x14ac:dyDescent="0.3">
      <c r="A7845" s="1">
        <v>46210.091319444444</v>
      </c>
      <c r="B7845" t="s">
        <v>40</v>
      </c>
      <c r="C7845" t="s">
        <v>41</v>
      </c>
      <c r="D7845" s="1">
        <v>46210.094201388885</v>
      </c>
      <c r="E7845" t="s">
        <v>42</v>
      </c>
      <c r="F7845" t="s">
        <v>43</v>
      </c>
      <c r="G7845" t="s">
        <v>43</v>
      </c>
      <c r="H7845" t="s">
        <v>43</v>
      </c>
      <c r="I7845" t="s">
        <v>4365</v>
      </c>
      <c r="J7845" t="s">
        <v>43</v>
      </c>
      <c r="K7845" t="s">
        <v>43</v>
      </c>
      <c r="L7845" t="s">
        <v>43</v>
      </c>
      <c r="M7845" t="s">
        <v>43</v>
      </c>
      <c r="N7845" t="s">
        <v>45</v>
      </c>
      <c r="O7845" t="s">
        <v>43</v>
      </c>
      <c r="P7845" t="s">
        <v>43</v>
      </c>
      <c r="Q7845" t="s">
        <v>43</v>
      </c>
      <c r="R7845" t="s">
        <v>43</v>
      </c>
      <c r="S7845" t="s">
        <v>43</v>
      </c>
      <c r="T7845" t="s">
        <v>43</v>
      </c>
      <c r="U7845" t="s">
        <v>43</v>
      </c>
      <c r="V7845" t="s">
        <v>43</v>
      </c>
      <c r="W7845" t="s">
        <v>43</v>
      </c>
      <c r="X7845" t="s">
        <v>43</v>
      </c>
      <c r="Y7845" t="s">
        <v>43</v>
      </c>
      <c r="Z7845" t="s">
        <v>43</v>
      </c>
      <c r="AA7845" t="s">
        <v>43</v>
      </c>
      <c r="AB7845" t="s">
        <v>43</v>
      </c>
      <c r="AC7845" t="s">
        <v>43</v>
      </c>
      <c r="AD7845" t="s">
        <v>43</v>
      </c>
      <c r="AE7845" t="s">
        <v>43</v>
      </c>
      <c r="AF7845" t="s">
        <v>43</v>
      </c>
      <c r="AG7845" t="s">
        <v>43</v>
      </c>
      <c r="AH7845" t="s">
        <v>43</v>
      </c>
      <c r="AI7845" t="s">
        <v>43</v>
      </c>
      <c r="AJ7845" t="s">
        <v>43</v>
      </c>
      <c r="AK7845" t="s">
        <v>43</v>
      </c>
      <c r="AL7845" t="s">
        <v>43</v>
      </c>
      <c r="AM7845" t="s">
        <v>43</v>
      </c>
      <c r="AN7845" t="str">
        <f>HYPERLINK("https://www.google.com/maps?q=10.78969479,79.57879639","Open Location")</f>
        <v>Open Location</v>
      </c>
    </row>
    <row r="7846" spans="1:40" x14ac:dyDescent="0.3">
      <c r="A7846" s="1">
        <v>46210.091203703705</v>
      </c>
      <c r="B7846" t="s">
        <v>40</v>
      </c>
      <c r="C7846" t="s">
        <v>41</v>
      </c>
      <c r="D7846" s="1">
        <v>46210.094085648147</v>
      </c>
      <c r="E7846" t="s">
        <v>42</v>
      </c>
      <c r="F7846" t="s">
        <v>43</v>
      </c>
      <c r="G7846" t="s">
        <v>43</v>
      </c>
      <c r="H7846" t="s">
        <v>43</v>
      </c>
      <c r="I7846" t="s">
        <v>4366</v>
      </c>
      <c r="J7846" t="s">
        <v>43</v>
      </c>
      <c r="K7846" t="s">
        <v>43</v>
      </c>
      <c r="L7846" t="s">
        <v>43</v>
      </c>
      <c r="M7846" t="s">
        <v>43</v>
      </c>
      <c r="N7846" t="s">
        <v>45</v>
      </c>
      <c r="O7846" t="s">
        <v>43</v>
      </c>
      <c r="P7846" t="s">
        <v>43</v>
      </c>
      <c r="Q7846" t="s">
        <v>43</v>
      </c>
      <c r="R7846" t="s">
        <v>43</v>
      </c>
      <c r="S7846" t="s">
        <v>43</v>
      </c>
      <c r="T7846" t="s">
        <v>43</v>
      </c>
      <c r="U7846" t="s">
        <v>43</v>
      </c>
      <c r="V7846" t="s">
        <v>43</v>
      </c>
      <c r="W7846" t="s">
        <v>43</v>
      </c>
      <c r="X7846" t="s">
        <v>43</v>
      </c>
      <c r="Y7846" t="s">
        <v>43</v>
      </c>
      <c r="Z7846" t="s">
        <v>43</v>
      </c>
      <c r="AA7846" t="s">
        <v>43</v>
      </c>
      <c r="AB7846" t="s">
        <v>43</v>
      </c>
      <c r="AC7846" t="s">
        <v>43</v>
      </c>
      <c r="AD7846" t="s">
        <v>43</v>
      </c>
      <c r="AE7846" t="s">
        <v>43</v>
      </c>
      <c r="AF7846" t="s">
        <v>43</v>
      </c>
      <c r="AG7846" t="s">
        <v>43</v>
      </c>
      <c r="AH7846" t="s">
        <v>43</v>
      </c>
      <c r="AI7846" t="s">
        <v>43</v>
      </c>
      <c r="AJ7846" t="s">
        <v>43</v>
      </c>
      <c r="AK7846" t="s">
        <v>43</v>
      </c>
      <c r="AL7846" t="s">
        <v>43</v>
      </c>
      <c r="AM7846" t="s">
        <v>43</v>
      </c>
      <c r="AN7846" t="str">
        <f>HYPERLINK("https://www.google.com/maps?q=10.78969288,79.57879639","Open Location")</f>
        <v>Open Location</v>
      </c>
    </row>
    <row r="7847" spans="1:40" x14ac:dyDescent="0.3">
      <c r="A7847" s="1">
        <v>46210.091087962966</v>
      </c>
      <c r="B7847" t="s">
        <v>40</v>
      </c>
      <c r="C7847" t="s">
        <v>41</v>
      </c>
      <c r="D7847" s="1">
        <v>46210.094178240739</v>
      </c>
      <c r="E7847" t="s">
        <v>42</v>
      </c>
      <c r="F7847" t="s">
        <v>43</v>
      </c>
      <c r="G7847" t="s">
        <v>43</v>
      </c>
      <c r="H7847" t="s">
        <v>43</v>
      </c>
      <c r="I7847" t="s">
        <v>4328</v>
      </c>
      <c r="J7847" t="s">
        <v>43</v>
      </c>
      <c r="K7847" t="s">
        <v>43</v>
      </c>
      <c r="L7847" t="s">
        <v>43</v>
      </c>
      <c r="M7847" t="s">
        <v>43</v>
      </c>
      <c r="N7847" t="s">
        <v>45</v>
      </c>
      <c r="O7847" t="s">
        <v>43</v>
      </c>
      <c r="P7847" t="s">
        <v>43</v>
      </c>
      <c r="Q7847" t="s">
        <v>43</v>
      </c>
      <c r="R7847" t="s">
        <v>43</v>
      </c>
      <c r="S7847" t="s">
        <v>43</v>
      </c>
      <c r="T7847" t="s">
        <v>43</v>
      </c>
      <c r="U7847" t="s">
        <v>43</v>
      </c>
      <c r="V7847" t="s">
        <v>43</v>
      </c>
      <c r="W7847" t="s">
        <v>43</v>
      </c>
      <c r="X7847" t="s">
        <v>43</v>
      </c>
      <c r="Y7847" t="s">
        <v>43</v>
      </c>
      <c r="Z7847" t="s">
        <v>43</v>
      </c>
      <c r="AA7847" t="s">
        <v>43</v>
      </c>
      <c r="AB7847" t="s">
        <v>43</v>
      </c>
      <c r="AC7847" t="s">
        <v>43</v>
      </c>
      <c r="AD7847" t="s">
        <v>43</v>
      </c>
      <c r="AE7847" t="s">
        <v>43</v>
      </c>
      <c r="AF7847" t="s">
        <v>43</v>
      </c>
      <c r="AG7847" t="s">
        <v>43</v>
      </c>
      <c r="AH7847" t="s">
        <v>43</v>
      </c>
      <c r="AI7847" t="s">
        <v>43</v>
      </c>
      <c r="AJ7847" t="s">
        <v>43</v>
      </c>
      <c r="AK7847" t="s">
        <v>43</v>
      </c>
      <c r="AL7847" t="s">
        <v>43</v>
      </c>
      <c r="AM7847" t="s">
        <v>43</v>
      </c>
      <c r="AN7847" t="str">
        <f>HYPERLINK("https://www.google.com/maps?q=10.78969097,79.57879639","Open Location")</f>
        <v>Open Location</v>
      </c>
    </row>
    <row r="7848" spans="1:40" x14ac:dyDescent="0.3">
      <c r="A7848" s="1">
        <v>46210.09097222222</v>
      </c>
      <c r="B7848" t="s">
        <v>40</v>
      </c>
      <c r="C7848" t="s">
        <v>41</v>
      </c>
      <c r="D7848" s="1">
        <v>46210.093831018516</v>
      </c>
      <c r="E7848" t="s">
        <v>42</v>
      </c>
      <c r="F7848" t="s">
        <v>43</v>
      </c>
      <c r="G7848" t="s">
        <v>43</v>
      </c>
      <c r="H7848" t="s">
        <v>43</v>
      </c>
      <c r="I7848" t="s">
        <v>43</v>
      </c>
      <c r="J7848" t="s">
        <v>43</v>
      </c>
      <c r="K7848" t="s">
        <v>43</v>
      </c>
      <c r="L7848" t="s">
        <v>43</v>
      </c>
      <c r="M7848" t="s">
        <v>43</v>
      </c>
      <c r="N7848" t="s">
        <v>45</v>
      </c>
      <c r="O7848" t="s">
        <v>43</v>
      </c>
      <c r="P7848" t="s">
        <v>43</v>
      </c>
      <c r="Q7848" t="s">
        <v>43</v>
      </c>
      <c r="R7848" t="s">
        <v>43</v>
      </c>
      <c r="S7848" t="s">
        <v>43</v>
      </c>
      <c r="T7848" t="s">
        <v>43</v>
      </c>
      <c r="U7848" t="s">
        <v>43</v>
      </c>
      <c r="V7848" t="s">
        <v>43</v>
      </c>
      <c r="W7848" t="s">
        <v>43</v>
      </c>
      <c r="X7848" t="s">
        <v>43</v>
      </c>
      <c r="Y7848" t="s">
        <v>43</v>
      </c>
      <c r="Z7848" t="s">
        <v>43</v>
      </c>
      <c r="AA7848" t="s">
        <v>43</v>
      </c>
      <c r="AB7848" t="s">
        <v>43</v>
      </c>
      <c r="AC7848" t="s">
        <v>43</v>
      </c>
      <c r="AD7848" t="s">
        <v>43</v>
      </c>
      <c r="AE7848" t="s">
        <v>43</v>
      </c>
      <c r="AF7848" t="s">
        <v>43</v>
      </c>
      <c r="AG7848" t="s">
        <v>43</v>
      </c>
      <c r="AH7848" t="s">
        <v>43</v>
      </c>
      <c r="AI7848" t="s">
        <v>43</v>
      </c>
      <c r="AJ7848" t="s">
        <v>43</v>
      </c>
      <c r="AK7848" t="s">
        <v>43</v>
      </c>
      <c r="AL7848" t="s">
        <v>43</v>
      </c>
      <c r="AM7848" t="s">
        <v>43</v>
      </c>
      <c r="AN7848" t="s">
        <v>43</v>
      </c>
    </row>
    <row r="7849" spans="1:40" x14ac:dyDescent="0.3">
      <c r="A7849" s="1">
        <v>46210.090856481482</v>
      </c>
      <c r="B7849" t="s">
        <v>40</v>
      </c>
      <c r="C7849" t="s">
        <v>41</v>
      </c>
      <c r="D7849" s="1">
        <v>46210.093819444446</v>
      </c>
      <c r="E7849" t="s">
        <v>42</v>
      </c>
      <c r="F7849" t="s">
        <v>43</v>
      </c>
      <c r="G7849" t="s">
        <v>43</v>
      </c>
      <c r="H7849" t="s">
        <v>43</v>
      </c>
      <c r="I7849" t="s">
        <v>4329</v>
      </c>
      <c r="J7849" t="s">
        <v>43</v>
      </c>
      <c r="K7849" t="s">
        <v>43</v>
      </c>
      <c r="L7849" t="s">
        <v>43</v>
      </c>
      <c r="M7849" t="s">
        <v>43</v>
      </c>
      <c r="N7849" t="s">
        <v>45</v>
      </c>
      <c r="O7849" t="s">
        <v>43</v>
      </c>
      <c r="P7849" t="s">
        <v>43</v>
      </c>
      <c r="Q7849" t="s">
        <v>43</v>
      </c>
      <c r="R7849" t="s">
        <v>43</v>
      </c>
      <c r="S7849" t="s">
        <v>43</v>
      </c>
      <c r="T7849" t="s">
        <v>43</v>
      </c>
      <c r="U7849" t="s">
        <v>43</v>
      </c>
      <c r="V7849" t="s">
        <v>43</v>
      </c>
      <c r="W7849" t="s">
        <v>43</v>
      </c>
      <c r="X7849" t="s">
        <v>43</v>
      </c>
      <c r="Y7849" t="s">
        <v>43</v>
      </c>
      <c r="Z7849" t="s">
        <v>43</v>
      </c>
      <c r="AA7849" t="s">
        <v>43</v>
      </c>
      <c r="AB7849" t="s">
        <v>43</v>
      </c>
      <c r="AC7849" t="s">
        <v>43</v>
      </c>
      <c r="AD7849" t="s">
        <v>43</v>
      </c>
      <c r="AE7849" t="s">
        <v>43</v>
      </c>
      <c r="AF7849" t="s">
        <v>43</v>
      </c>
      <c r="AG7849" t="s">
        <v>43</v>
      </c>
      <c r="AH7849" t="s">
        <v>43</v>
      </c>
      <c r="AI7849" t="s">
        <v>43</v>
      </c>
      <c r="AJ7849" t="s">
        <v>43</v>
      </c>
      <c r="AK7849" t="s">
        <v>43</v>
      </c>
      <c r="AL7849" t="s">
        <v>43</v>
      </c>
      <c r="AM7849" t="s">
        <v>43</v>
      </c>
      <c r="AN7849" t="str">
        <f>HYPERLINK("https://www.google.com/maps?q=10.78969002,79.57879639","Open Location")</f>
        <v>Open Location</v>
      </c>
    </row>
    <row r="7850" spans="1:40" x14ac:dyDescent="0.3">
      <c r="A7850" s="1">
        <v>46210.090740740743</v>
      </c>
      <c r="B7850" t="s">
        <v>40</v>
      </c>
      <c r="C7850" t="s">
        <v>41</v>
      </c>
      <c r="D7850" s="1">
        <v>46210.093831018516</v>
      </c>
      <c r="E7850" t="s">
        <v>42</v>
      </c>
      <c r="F7850" t="s">
        <v>43</v>
      </c>
      <c r="G7850" t="s">
        <v>43</v>
      </c>
      <c r="H7850" t="s">
        <v>43</v>
      </c>
      <c r="I7850" t="s">
        <v>4367</v>
      </c>
      <c r="J7850" t="s">
        <v>43</v>
      </c>
      <c r="K7850" t="s">
        <v>43</v>
      </c>
      <c r="L7850" t="s">
        <v>43</v>
      </c>
      <c r="M7850" t="s">
        <v>43</v>
      </c>
      <c r="N7850" t="s">
        <v>45</v>
      </c>
      <c r="O7850" t="s">
        <v>43</v>
      </c>
      <c r="P7850" t="s">
        <v>43</v>
      </c>
      <c r="Q7850" t="s">
        <v>43</v>
      </c>
      <c r="R7850" t="s">
        <v>43</v>
      </c>
      <c r="S7850" t="s">
        <v>43</v>
      </c>
      <c r="T7850" t="s">
        <v>43</v>
      </c>
      <c r="U7850" t="s">
        <v>43</v>
      </c>
      <c r="V7850" t="s">
        <v>43</v>
      </c>
      <c r="W7850" t="s">
        <v>43</v>
      </c>
      <c r="X7850" t="s">
        <v>43</v>
      </c>
      <c r="Y7850" t="s">
        <v>43</v>
      </c>
      <c r="Z7850" t="s">
        <v>43</v>
      </c>
      <c r="AA7850" t="s">
        <v>43</v>
      </c>
      <c r="AB7850" t="s">
        <v>43</v>
      </c>
      <c r="AC7850" t="s">
        <v>43</v>
      </c>
      <c r="AD7850" t="s">
        <v>43</v>
      </c>
      <c r="AE7850" t="s">
        <v>43</v>
      </c>
      <c r="AF7850" t="s">
        <v>43</v>
      </c>
      <c r="AG7850" t="s">
        <v>43</v>
      </c>
      <c r="AH7850" t="s">
        <v>43</v>
      </c>
      <c r="AI7850" t="s">
        <v>43</v>
      </c>
      <c r="AJ7850" t="s">
        <v>43</v>
      </c>
      <c r="AK7850" t="s">
        <v>43</v>
      </c>
      <c r="AL7850" t="s">
        <v>43</v>
      </c>
      <c r="AM7850" t="s">
        <v>43</v>
      </c>
      <c r="AN7850" t="str">
        <f>HYPERLINK("https://www.google.com/maps?q=10.78968525,79.57879639","Open Location")</f>
        <v>Open Location</v>
      </c>
    </row>
    <row r="7851" spans="1:40" x14ac:dyDescent="0.3">
      <c r="A7851" s="1">
        <v>46210.090624999997</v>
      </c>
      <c r="B7851" t="s">
        <v>40</v>
      </c>
      <c r="C7851" t="s">
        <v>41</v>
      </c>
      <c r="D7851" s="1">
        <v>46210.093599537038</v>
      </c>
      <c r="E7851" t="s">
        <v>42</v>
      </c>
      <c r="F7851" t="s">
        <v>43</v>
      </c>
      <c r="G7851" t="s">
        <v>43</v>
      </c>
      <c r="H7851" t="s">
        <v>43</v>
      </c>
      <c r="I7851" t="s">
        <v>4367</v>
      </c>
      <c r="J7851" t="s">
        <v>43</v>
      </c>
      <c r="K7851" t="s">
        <v>43</v>
      </c>
      <c r="L7851" t="s">
        <v>43</v>
      </c>
      <c r="M7851" t="s">
        <v>43</v>
      </c>
      <c r="N7851" t="s">
        <v>45</v>
      </c>
      <c r="O7851" t="s">
        <v>43</v>
      </c>
      <c r="P7851" t="s">
        <v>43</v>
      </c>
      <c r="Q7851" t="s">
        <v>43</v>
      </c>
      <c r="R7851" t="s">
        <v>43</v>
      </c>
      <c r="S7851" t="s">
        <v>43</v>
      </c>
      <c r="T7851" t="s">
        <v>43</v>
      </c>
      <c r="U7851" t="s">
        <v>43</v>
      </c>
      <c r="V7851" t="s">
        <v>43</v>
      </c>
      <c r="W7851" t="s">
        <v>43</v>
      </c>
      <c r="X7851" t="s">
        <v>43</v>
      </c>
      <c r="Y7851" t="s">
        <v>43</v>
      </c>
      <c r="Z7851" t="s">
        <v>43</v>
      </c>
      <c r="AA7851" t="s">
        <v>43</v>
      </c>
      <c r="AB7851" t="s">
        <v>43</v>
      </c>
      <c r="AC7851" t="s">
        <v>43</v>
      </c>
      <c r="AD7851" t="s">
        <v>43</v>
      </c>
      <c r="AE7851" t="s">
        <v>43</v>
      </c>
      <c r="AF7851" t="s">
        <v>43</v>
      </c>
      <c r="AG7851" t="s">
        <v>43</v>
      </c>
      <c r="AH7851" t="s">
        <v>43</v>
      </c>
      <c r="AI7851" t="s">
        <v>43</v>
      </c>
      <c r="AJ7851" t="s">
        <v>43</v>
      </c>
      <c r="AK7851" t="s">
        <v>43</v>
      </c>
      <c r="AL7851" t="s">
        <v>43</v>
      </c>
      <c r="AM7851" t="s">
        <v>43</v>
      </c>
      <c r="AN7851" t="str">
        <f>HYPERLINK("https://www.google.com/maps?q=10.78968525,79.57879639","Open Location")</f>
        <v>Open Location</v>
      </c>
    </row>
    <row r="7852" spans="1:40" x14ac:dyDescent="0.3">
      <c r="A7852" s="1">
        <v>46210.090509259258</v>
      </c>
      <c r="B7852" t="s">
        <v>40</v>
      </c>
      <c r="C7852" t="s">
        <v>41</v>
      </c>
      <c r="D7852" s="1">
        <v>46210.093425925923</v>
      </c>
      <c r="E7852" t="s">
        <v>42</v>
      </c>
      <c r="F7852" t="s">
        <v>43</v>
      </c>
      <c r="G7852" t="s">
        <v>43</v>
      </c>
      <c r="H7852" t="s">
        <v>43</v>
      </c>
      <c r="I7852" t="s">
        <v>4326</v>
      </c>
      <c r="J7852" t="s">
        <v>43</v>
      </c>
      <c r="K7852" t="s">
        <v>43</v>
      </c>
      <c r="L7852" t="s">
        <v>43</v>
      </c>
      <c r="M7852" t="s">
        <v>43</v>
      </c>
      <c r="N7852" t="s">
        <v>45</v>
      </c>
      <c r="O7852" t="s">
        <v>43</v>
      </c>
      <c r="P7852" t="s">
        <v>43</v>
      </c>
      <c r="Q7852" t="s">
        <v>43</v>
      </c>
      <c r="R7852" t="s">
        <v>43</v>
      </c>
      <c r="S7852" t="s">
        <v>43</v>
      </c>
      <c r="T7852" t="s">
        <v>43</v>
      </c>
      <c r="U7852" t="s">
        <v>43</v>
      </c>
      <c r="V7852" t="s">
        <v>43</v>
      </c>
      <c r="W7852" t="s">
        <v>43</v>
      </c>
      <c r="X7852" t="s">
        <v>43</v>
      </c>
      <c r="Y7852" t="s">
        <v>43</v>
      </c>
      <c r="Z7852" t="s">
        <v>43</v>
      </c>
      <c r="AA7852" t="s">
        <v>43</v>
      </c>
      <c r="AB7852" t="s">
        <v>43</v>
      </c>
      <c r="AC7852" t="s">
        <v>43</v>
      </c>
      <c r="AD7852" t="s">
        <v>43</v>
      </c>
      <c r="AE7852" t="s">
        <v>43</v>
      </c>
      <c r="AF7852" t="s">
        <v>43</v>
      </c>
      <c r="AG7852" t="s">
        <v>43</v>
      </c>
      <c r="AH7852" t="s">
        <v>43</v>
      </c>
      <c r="AI7852" t="s">
        <v>43</v>
      </c>
      <c r="AJ7852" t="s">
        <v>43</v>
      </c>
      <c r="AK7852" t="s">
        <v>43</v>
      </c>
      <c r="AL7852" t="s">
        <v>43</v>
      </c>
      <c r="AM7852" t="s">
        <v>43</v>
      </c>
      <c r="AN7852" t="str">
        <f>HYPERLINK("https://www.google.com/maps?q=10.78968239,79.57878876","Open Location")</f>
        <v>Open Location</v>
      </c>
    </row>
    <row r="7853" spans="1:40" x14ac:dyDescent="0.3">
      <c r="A7853" s="1">
        <v>46210.09039351852</v>
      </c>
      <c r="B7853" t="s">
        <v>40</v>
      </c>
      <c r="C7853" t="s">
        <v>41</v>
      </c>
      <c r="D7853" s="1">
        <v>46210.093240740738</v>
      </c>
      <c r="E7853" t="s">
        <v>42</v>
      </c>
      <c r="F7853" t="s">
        <v>43</v>
      </c>
      <c r="G7853" t="s">
        <v>43</v>
      </c>
      <c r="H7853" t="s">
        <v>43</v>
      </c>
      <c r="I7853" t="s">
        <v>4319</v>
      </c>
      <c r="J7853" t="s">
        <v>43</v>
      </c>
      <c r="K7853" t="s">
        <v>43</v>
      </c>
      <c r="L7853" t="s">
        <v>43</v>
      </c>
      <c r="M7853" t="s">
        <v>43</v>
      </c>
      <c r="N7853" t="s">
        <v>45</v>
      </c>
      <c r="O7853" t="s">
        <v>43</v>
      </c>
      <c r="P7853" t="s">
        <v>43</v>
      </c>
      <c r="Q7853" t="s">
        <v>43</v>
      </c>
      <c r="R7853" t="s">
        <v>43</v>
      </c>
      <c r="S7853" t="s">
        <v>43</v>
      </c>
      <c r="T7853" t="s">
        <v>43</v>
      </c>
      <c r="U7853" t="s">
        <v>43</v>
      </c>
      <c r="V7853" t="s">
        <v>43</v>
      </c>
      <c r="W7853" t="s">
        <v>43</v>
      </c>
      <c r="X7853" t="s">
        <v>43</v>
      </c>
      <c r="Y7853" t="s">
        <v>43</v>
      </c>
      <c r="Z7853" t="s">
        <v>43</v>
      </c>
      <c r="AA7853" t="s">
        <v>43</v>
      </c>
      <c r="AB7853" t="s">
        <v>43</v>
      </c>
      <c r="AC7853" t="s">
        <v>43</v>
      </c>
      <c r="AD7853" t="s">
        <v>43</v>
      </c>
      <c r="AE7853" t="s">
        <v>43</v>
      </c>
      <c r="AF7853" t="s">
        <v>43</v>
      </c>
      <c r="AG7853" t="s">
        <v>43</v>
      </c>
      <c r="AH7853" t="s">
        <v>43</v>
      </c>
      <c r="AI7853" t="s">
        <v>43</v>
      </c>
      <c r="AJ7853" t="s">
        <v>43</v>
      </c>
      <c r="AK7853" t="s">
        <v>43</v>
      </c>
      <c r="AL7853" t="s">
        <v>43</v>
      </c>
      <c r="AM7853" t="s">
        <v>43</v>
      </c>
      <c r="AN7853" t="str">
        <f>HYPERLINK("https://www.google.com/maps?q=10.78968334,79.57878113","Open Location")</f>
        <v>Open Location</v>
      </c>
    </row>
    <row r="7854" spans="1:40" x14ac:dyDescent="0.3">
      <c r="A7854" s="1">
        <v>46210.090277777781</v>
      </c>
      <c r="B7854" t="s">
        <v>40</v>
      </c>
      <c r="C7854" t="s">
        <v>41</v>
      </c>
      <c r="D7854" s="1">
        <v>46210.093344907407</v>
      </c>
      <c r="E7854" t="s">
        <v>42</v>
      </c>
      <c r="F7854" t="s">
        <v>43</v>
      </c>
      <c r="G7854" t="s">
        <v>43</v>
      </c>
      <c r="H7854" t="s">
        <v>43</v>
      </c>
      <c r="I7854" t="s">
        <v>43</v>
      </c>
      <c r="J7854" t="s">
        <v>43</v>
      </c>
      <c r="K7854" t="s">
        <v>43</v>
      </c>
      <c r="L7854" t="s">
        <v>43</v>
      </c>
      <c r="M7854" t="s">
        <v>43</v>
      </c>
      <c r="N7854" t="s">
        <v>45</v>
      </c>
      <c r="O7854" t="s">
        <v>43</v>
      </c>
      <c r="P7854" t="s">
        <v>43</v>
      </c>
      <c r="Q7854" t="s">
        <v>43</v>
      </c>
      <c r="R7854" t="s">
        <v>43</v>
      </c>
      <c r="S7854" t="s">
        <v>43</v>
      </c>
      <c r="T7854" t="s">
        <v>43</v>
      </c>
      <c r="U7854" t="s">
        <v>43</v>
      </c>
      <c r="V7854" t="s">
        <v>43</v>
      </c>
      <c r="W7854" t="s">
        <v>43</v>
      </c>
      <c r="X7854" t="s">
        <v>43</v>
      </c>
      <c r="Y7854" t="s">
        <v>43</v>
      </c>
      <c r="Z7854" t="s">
        <v>43</v>
      </c>
      <c r="AA7854" t="s">
        <v>43</v>
      </c>
      <c r="AB7854" t="s">
        <v>43</v>
      </c>
      <c r="AC7854" t="s">
        <v>43</v>
      </c>
      <c r="AD7854" t="s">
        <v>43</v>
      </c>
      <c r="AE7854" t="s">
        <v>43</v>
      </c>
      <c r="AF7854" t="s">
        <v>43</v>
      </c>
      <c r="AG7854" t="s">
        <v>43</v>
      </c>
      <c r="AH7854" t="s">
        <v>43</v>
      </c>
      <c r="AI7854" t="s">
        <v>43</v>
      </c>
      <c r="AJ7854" t="s">
        <v>43</v>
      </c>
      <c r="AK7854" t="s">
        <v>43</v>
      </c>
      <c r="AL7854" t="s">
        <v>43</v>
      </c>
      <c r="AM7854" t="s">
        <v>43</v>
      </c>
      <c r="AN7854" t="s">
        <v>43</v>
      </c>
    </row>
    <row r="7855" spans="1:40" x14ac:dyDescent="0.3">
      <c r="A7855" s="1">
        <v>46210.090162037035</v>
      </c>
      <c r="B7855" t="s">
        <v>40</v>
      </c>
      <c r="C7855" t="s">
        <v>41</v>
      </c>
      <c r="D7855" s="1">
        <v>46210.093321759261</v>
      </c>
      <c r="E7855" t="s">
        <v>42</v>
      </c>
      <c r="F7855" t="s">
        <v>43</v>
      </c>
      <c r="G7855" t="s">
        <v>43</v>
      </c>
      <c r="H7855" t="s">
        <v>43</v>
      </c>
      <c r="I7855" t="s">
        <v>4324</v>
      </c>
      <c r="J7855" t="s">
        <v>43</v>
      </c>
      <c r="K7855" t="s">
        <v>43</v>
      </c>
      <c r="L7855" t="s">
        <v>43</v>
      </c>
      <c r="M7855" t="s">
        <v>43</v>
      </c>
      <c r="N7855" t="s">
        <v>45</v>
      </c>
      <c r="O7855" t="s">
        <v>43</v>
      </c>
      <c r="P7855" t="s">
        <v>43</v>
      </c>
      <c r="Q7855" t="s">
        <v>43</v>
      </c>
      <c r="R7855" t="s">
        <v>43</v>
      </c>
      <c r="S7855" t="s">
        <v>43</v>
      </c>
      <c r="T7855" t="s">
        <v>43</v>
      </c>
      <c r="U7855" t="s">
        <v>43</v>
      </c>
      <c r="V7855" t="s">
        <v>43</v>
      </c>
      <c r="W7855" t="s">
        <v>43</v>
      </c>
      <c r="X7855" t="s">
        <v>43</v>
      </c>
      <c r="Y7855" t="s">
        <v>43</v>
      </c>
      <c r="Z7855" t="s">
        <v>43</v>
      </c>
      <c r="AA7855" t="s">
        <v>43</v>
      </c>
      <c r="AB7855" t="s">
        <v>43</v>
      </c>
      <c r="AC7855" t="s">
        <v>43</v>
      </c>
      <c r="AD7855" t="s">
        <v>43</v>
      </c>
      <c r="AE7855" t="s">
        <v>43</v>
      </c>
      <c r="AF7855" t="s">
        <v>43</v>
      </c>
      <c r="AG7855" t="s">
        <v>43</v>
      </c>
      <c r="AH7855" t="s">
        <v>43</v>
      </c>
      <c r="AI7855" t="s">
        <v>43</v>
      </c>
      <c r="AJ7855" t="s">
        <v>43</v>
      </c>
      <c r="AK7855" t="s">
        <v>43</v>
      </c>
      <c r="AL7855" t="s">
        <v>43</v>
      </c>
      <c r="AM7855" t="s">
        <v>43</v>
      </c>
      <c r="AN7855" t="str">
        <f>HYPERLINK("https://www.google.com/maps?q=10.78968143,79.57878113","Open Location")</f>
        <v>Open Location</v>
      </c>
    </row>
    <row r="7856" spans="1:40" x14ac:dyDescent="0.3">
      <c r="A7856" s="1">
        <v>46210.090046296296</v>
      </c>
      <c r="B7856" t="s">
        <v>40</v>
      </c>
      <c r="C7856" t="s">
        <v>41</v>
      </c>
      <c r="D7856" s="1">
        <v>46210.09306712963</v>
      </c>
      <c r="E7856" t="s">
        <v>42</v>
      </c>
      <c r="F7856" t="s">
        <v>43</v>
      </c>
      <c r="G7856" t="s">
        <v>43</v>
      </c>
      <c r="H7856" t="s">
        <v>43</v>
      </c>
      <c r="I7856" t="s">
        <v>4213</v>
      </c>
      <c r="J7856" t="s">
        <v>43</v>
      </c>
      <c r="K7856" t="s">
        <v>43</v>
      </c>
      <c r="L7856" t="s">
        <v>43</v>
      </c>
      <c r="M7856" t="s">
        <v>43</v>
      </c>
      <c r="N7856" t="s">
        <v>45</v>
      </c>
      <c r="O7856" t="s">
        <v>43</v>
      </c>
      <c r="P7856" t="s">
        <v>43</v>
      </c>
      <c r="Q7856" t="s">
        <v>43</v>
      </c>
      <c r="R7856" t="s">
        <v>43</v>
      </c>
      <c r="S7856" t="s">
        <v>43</v>
      </c>
      <c r="T7856" t="s">
        <v>43</v>
      </c>
      <c r="U7856" t="s">
        <v>43</v>
      </c>
      <c r="V7856" t="s">
        <v>43</v>
      </c>
      <c r="W7856" t="s">
        <v>43</v>
      </c>
      <c r="X7856" t="s">
        <v>43</v>
      </c>
      <c r="Y7856" t="s">
        <v>43</v>
      </c>
      <c r="Z7856" t="s">
        <v>43</v>
      </c>
      <c r="AA7856" t="s">
        <v>43</v>
      </c>
      <c r="AB7856" t="s">
        <v>43</v>
      </c>
      <c r="AC7856" t="s">
        <v>43</v>
      </c>
      <c r="AD7856" t="s">
        <v>43</v>
      </c>
      <c r="AE7856" t="s">
        <v>43</v>
      </c>
      <c r="AF7856" t="s">
        <v>43</v>
      </c>
      <c r="AG7856" t="s">
        <v>43</v>
      </c>
      <c r="AH7856" t="s">
        <v>43</v>
      </c>
      <c r="AI7856" t="s">
        <v>43</v>
      </c>
      <c r="AJ7856" t="s">
        <v>43</v>
      </c>
      <c r="AK7856" t="s">
        <v>43</v>
      </c>
      <c r="AL7856" t="s">
        <v>43</v>
      </c>
      <c r="AM7856" t="s">
        <v>43</v>
      </c>
      <c r="AN7856" t="str">
        <f>HYPERLINK("https://www.google.com/maps?q=10.7896843,79.57878113","Open Location")</f>
        <v>Open Location</v>
      </c>
    </row>
    <row r="7857" spans="1:40" x14ac:dyDescent="0.3">
      <c r="A7857" s="1">
        <v>46210.089930555558</v>
      </c>
      <c r="B7857" t="s">
        <v>40</v>
      </c>
      <c r="C7857" t="s">
        <v>41</v>
      </c>
      <c r="D7857" s="1">
        <v>46210.092858796299</v>
      </c>
      <c r="E7857" t="s">
        <v>42</v>
      </c>
      <c r="F7857" t="s">
        <v>43</v>
      </c>
      <c r="G7857" t="s">
        <v>43</v>
      </c>
      <c r="H7857" t="s">
        <v>43</v>
      </c>
      <c r="I7857" t="s">
        <v>4213</v>
      </c>
      <c r="J7857" t="s">
        <v>43</v>
      </c>
      <c r="K7857" t="s">
        <v>43</v>
      </c>
      <c r="L7857" t="s">
        <v>43</v>
      </c>
      <c r="M7857" t="s">
        <v>43</v>
      </c>
      <c r="N7857" t="s">
        <v>45</v>
      </c>
      <c r="O7857" t="s">
        <v>43</v>
      </c>
      <c r="P7857" t="s">
        <v>43</v>
      </c>
      <c r="Q7857" t="s">
        <v>43</v>
      </c>
      <c r="R7857" t="s">
        <v>43</v>
      </c>
      <c r="S7857" t="s">
        <v>43</v>
      </c>
      <c r="T7857" t="s">
        <v>43</v>
      </c>
      <c r="U7857" t="s">
        <v>43</v>
      </c>
      <c r="V7857" t="s">
        <v>43</v>
      </c>
      <c r="W7857" t="s">
        <v>43</v>
      </c>
      <c r="X7857" t="s">
        <v>43</v>
      </c>
      <c r="Y7857" t="s">
        <v>43</v>
      </c>
      <c r="Z7857" t="s">
        <v>43</v>
      </c>
      <c r="AA7857" t="s">
        <v>43</v>
      </c>
      <c r="AB7857" t="s">
        <v>43</v>
      </c>
      <c r="AC7857" t="s">
        <v>43</v>
      </c>
      <c r="AD7857" t="s">
        <v>43</v>
      </c>
      <c r="AE7857" t="s">
        <v>43</v>
      </c>
      <c r="AF7857" t="s">
        <v>43</v>
      </c>
      <c r="AG7857" t="s">
        <v>43</v>
      </c>
      <c r="AH7857" t="s">
        <v>43</v>
      </c>
      <c r="AI7857" t="s">
        <v>43</v>
      </c>
      <c r="AJ7857" t="s">
        <v>43</v>
      </c>
      <c r="AK7857" t="s">
        <v>43</v>
      </c>
      <c r="AL7857" t="s">
        <v>43</v>
      </c>
      <c r="AM7857" t="s">
        <v>43</v>
      </c>
      <c r="AN7857" t="str">
        <f>HYPERLINK("https://www.google.com/maps?q=10.7896843,79.57878113","Open Location")</f>
        <v>Open Location</v>
      </c>
    </row>
    <row r="7858" spans="1:40" x14ac:dyDescent="0.3">
      <c r="A7858" s="1">
        <v>46210.089814814812</v>
      </c>
      <c r="B7858" t="s">
        <v>40</v>
      </c>
      <c r="C7858" t="s">
        <v>41</v>
      </c>
      <c r="D7858" s="1">
        <v>46210.092523148145</v>
      </c>
      <c r="E7858" t="s">
        <v>42</v>
      </c>
      <c r="F7858" t="s">
        <v>43</v>
      </c>
      <c r="G7858" t="s">
        <v>43</v>
      </c>
      <c r="H7858" t="s">
        <v>43</v>
      </c>
      <c r="I7858" t="s">
        <v>4324</v>
      </c>
      <c r="J7858" t="s">
        <v>43</v>
      </c>
      <c r="K7858" t="s">
        <v>43</v>
      </c>
      <c r="L7858" t="s">
        <v>43</v>
      </c>
      <c r="M7858" t="s">
        <v>43</v>
      </c>
      <c r="N7858" t="s">
        <v>45</v>
      </c>
      <c r="O7858" t="s">
        <v>43</v>
      </c>
      <c r="P7858" t="s">
        <v>43</v>
      </c>
      <c r="Q7858" t="s">
        <v>43</v>
      </c>
      <c r="R7858" t="s">
        <v>43</v>
      </c>
      <c r="S7858" t="s">
        <v>43</v>
      </c>
      <c r="T7858" t="s">
        <v>43</v>
      </c>
      <c r="U7858" t="s">
        <v>43</v>
      </c>
      <c r="V7858" t="s">
        <v>43</v>
      </c>
      <c r="W7858" t="s">
        <v>43</v>
      </c>
      <c r="X7858" t="s">
        <v>43</v>
      </c>
      <c r="Y7858" t="s">
        <v>43</v>
      </c>
      <c r="Z7858" t="s">
        <v>43</v>
      </c>
      <c r="AA7858" t="s">
        <v>43</v>
      </c>
      <c r="AB7858" t="s">
        <v>43</v>
      </c>
      <c r="AC7858" t="s">
        <v>43</v>
      </c>
      <c r="AD7858" t="s">
        <v>43</v>
      </c>
      <c r="AE7858" t="s">
        <v>43</v>
      </c>
      <c r="AF7858" t="s">
        <v>43</v>
      </c>
      <c r="AG7858" t="s">
        <v>43</v>
      </c>
      <c r="AH7858" t="s">
        <v>43</v>
      </c>
      <c r="AI7858" t="s">
        <v>43</v>
      </c>
      <c r="AJ7858" t="s">
        <v>43</v>
      </c>
      <c r="AK7858" t="s">
        <v>43</v>
      </c>
      <c r="AL7858" t="s">
        <v>43</v>
      </c>
      <c r="AM7858" t="s">
        <v>43</v>
      </c>
      <c r="AN7858" t="str">
        <f>HYPERLINK("https://www.google.com/maps?q=10.78968143,79.57878113","Open Location")</f>
        <v>Open Location</v>
      </c>
    </row>
    <row r="7859" spans="1:40" x14ac:dyDescent="0.3">
      <c r="A7859" s="1">
        <v>46210.089699074073</v>
      </c>
      <c r="B7859" t="s">
        <v>40</v>
      </c>
      <c r="C7859" t="s">
        <v>41</v>
      </c>
      <c r="D7859" s="1">
        <v>46210.092523148145</v>
      </c>
      <c r="E7859" t="s">
        <v>42</v>
      </c>
      <c r="F7859" t="s">
        <v>43</v>
      </c>
      <c r="G7859" t="s">
        <v>43</v>
      </c>
      <c r="H7859" t="s">
        <v>43</v>
      </c>
      <c r="I7859" t="s">
        <v>4323</v>
      </c>
      <c r="J7859" t="s">
        <v>43</v>
      </c>
      <c r="K7859" t="s">
        <v>43</v>
      </c>
      <c r="L7859" t="s">
        <v>43</v>
      </c>
      <c r="M7859" t="s">
        <v>43</v>
      </c>
      <c r="N7859" t="s">
        <v>45</v>
      </c>
      <c r="O7859" t="s">
        <v>43</v>
      </c>
      <c r="P7859" t="s">
        <v>43</v>
      </c>
      <c r="Q7859" t="s">
        <v>43</v>
      </c>
      <c r="R7859" t="s">
        <v>43</v>
      </c>
      <c r="S7859" t="s">
        <v>43</v>
      </c>
      <c r="T7859" t="s">
        <v>43</v>
      </c>
      <c r="U7859" t="s">
        <v>43</v>
      </c>
      <c r="V7859" t="s">
        <v>43</v>
      </c>
      <c r="W7859" t="s">
        <v>43</v>
      </c>
      <c r="X7859" t="s">
        <v>43</v>
      </c>
      <c r="Y7859" t="s">
        <v>43</v>
      </c>
      <c r="Z7859" t="s">
        <v>43</v>
      </c>
      <c r="AA7859" t="s">
        <v>43</v>
      </c>
      <c r="AB7859" t="s">
        <v>43</v>
      </c>
      <c r="AC7859" t="s">
        <v>43</v>
      </c>
      <c r="AD7859" t="s">
        <v>43</v>
      </c>
      <c r="AE7859" t="s">
        <v>43</v>
      </c>
      <c r="AF7859" t="s">
        <v>43</v>
      </c>
      <c r="AG7859" t="s">
        <v>43</v>
      </c>
      <c r="AH7859" t="s">
        <v>43</v>
      </c>
      <c r="AI7859" t="s">
        <v>43</v>
      </c>
      <c r="AJ7859" t="s">
        <v>43</v>
      </c>
      <c r="AK7859" t="s">
        <v>43</v>
      </c>
      <c r="AL7859" t="s">
        <v>43</v>
      </c>
      <c r="AM7859" t="s">
        <v>43</v>
      </c>
      <c r="AN7859" t="str">
        <f>HYPERLINK("https://www.google.com/maps?q=10.78967953,79.57878113","Open Location")</f>
        <v>Open Location</v>
      </c>
    </row>
    <row r="7860" spans="1:40" x14ac:dyDescent="0.3">
      <c r="A7860" s="1">
        <v>46210.089583333334</v>
      </c>
      <c r="B7860" t="s">
        <v>40</v>
      </c>
      <c r="C7860" t="s">
        <v>41</v>
      </c>
      <c r="D7860" s="1">
        <v>46210.092465277776</v>
      </c>
      <c r="E7860" t="s">
        <v>42</v>
      </c>
      <c r="F7860" t="s">
        <v>43</v>
      </c>
      <c r="G7860" t="s">
        <v>43</v>
      </c>
      <c r="H7860" t="s">
        <v>43</v>
      </c>
      <c r="I7860" t="s">
        <v>43</v>
      </c>
      <c r="J7860" t="s">
        <v>43</v>
      </c>
      <c r="K7860" t="s">
        <v>43</v>
      </c>
      <c r="L7860" t="s">
        <v>43</v>
      </c>
      <c r="M7860" t="s">
        <v>43</v>
      </c>
      <c r="N7860" t="s">
        <v>45</v>
      </c>
      <c r="O7860" t="s">
        <v>43</v>
      </c>
      <c r="P7860" t="s">
        <v>43</v>
      </c>
      <c r="Q7860" t="s">
        <v>43</v>
      </c>
      <c r="R7860" t="s">
        <v>43</v>
      </c>
      <c r="S7860" t="s">
        <v>43</v>
      </c>
      <c r="T7860" t="s">
        <v>43</v>
      </c>
      <c r="U7860" t="s">
        <v>43</v>
      </c>
      <c r="V7860" t="s">
        <v>43</v>
      </c>
      <c r="W7860" t="s">
        <v>43</v>
      </c>
      <c r="X7860" t="s">
        <v>43</v>
      </c>
      <c r="Y7860" t="s">
        <v>43</v>
      </c>
      <c r="Z7860" t="s">
        <v>43</v>
      </c>
      <c r="AA7860" t="s">
        <v>43</v>
      </c>
      <c r="AB7860" t="s">
        <v>43</v>
      </c>
      <c r="AC7860" t="s">
        <v>43</v>
      </c>
      <c r="AD7860" t="s">
        <v>43</v>
      </c>
      <c r="AE7860" t="s">
        <v>43</v>
      </c>
      <c r="AF7860" t="s">
        <v>43</v>
      </c>
      <c r="AG7860" t="s">
        <v>43</v>
      </c>
      <c r="AH7860" t="s">
        <v>43</v>
      </c>
      <c r="AI7860" t="s">
        <v>43</v>
      </c>
      <c r="AJ7860" t="s">
        <v>43</v>
      </c>
      <c r="AK7860" t="s">
        <v>43</v>
      </c>
      <c r="AL7860" t="s">
        <v>43</v>
      </c>
      <c r="AM7860" t="s">
        <v>43</v>
      </c>
      <c r="AN7860" t="s">
        <v>43</v>
      </c>
    </row>
    <row r="7861" spans="1:40" x14ac:dyDescent="0.3">
      <c r="A7861" s="1">
        <v>46210.089467592596</v>
      </c>
      <c r="B7861" t="s">
        <v>40</v>
      </c>
      <c r="C7861" t="s">
        <v>41</v>
      </c>
      <c r="D7861" s="1">
        <v>46210.092453703706</v>
      </c>
      <c r="E7861" t="s">
        <v>42</v>
      </c>
      <c r="F7861" t="s">
        <v>43</v>
      </c>
      <c r="G7861" t="s">
        <v>43</v>
      </c>
      <c r="H7861" t="s">
        <v>43</v>
      </c>
      <c r="I7861" t="s">
        <v>4013</v>
      </c>
      <c r="J7861" t="s">
        <v>43</v>
      </c>
      <c r="K7861" t="s">
        <v>43</v>
      </c>
      <c r="L7861" t="s">
        <v>43</v>
      </c>
      <c r="M7861" t="s">
        <v>43</v>
      </c>
      <c r="N7861" t="s">
        <v>45</v>
      </c>
      <c r="O7861" t="s">
        <v>43</v>
      </c>
      <c r="P7861" t="s">
        <v>43</v>
      </c>
      <c r="Q7861" t="s">
        <v>43</v>
      </c>
      <c r="R7861" t="s">
        <v>43</v>
      </c>
      <c r="S7861" t="s">
        <v>43</v>
      </c>
      <c r="T7861" t="s">
        <v>43</v>
      </c>
      <c r="U7861" t="s">
        <v>43</v>
      </c>
      <c r="V7861" t="s">
        <v>43</v>
      </c>
      <c r="W7861" t="s">
        <v>43</v>
      </c>
      <c r="X7861" t="s">
        <v>43</v>
      </c>
      <c r="Y7861" t="s">
        <v>43</v>
      </c>
      <c r="Z7861" t="s">
        <v>43</v>
      </c>
      <c r="AA7861" t="s">
        <v>43</v>
      </c>
      <c r="AB7861" t="s">
        <v>43</v>
      </c>
      <c r="AC7861" t="s">
        <v>43</v>
      </c>
      <c r="AD7861" t="s">
        <v>43</v>
      </c>
      <c r="AE7861" t="s">
        <v>43</v>
      </c>
      <c r="AF7861" t="s">
        <v>43</v>
      </c>
      <c r="AG7861" t="s">
        <v>43</v>
      </c>
      <c r="AH7861" t="s">
        <v>43</v>
      </c>
      <c r="AI7861" t="s">
        <v>43</v>
      </c>
      <c r="AJ7861" t="s">
        <v>43</v>
      </c>
      <c r="AK7861" t="s">
        <v>43</v>
      </c>
      <c r="AL7861" t="s">
        <v>43</v>
      </c>
      <c r="AM7861" t="s">
        <v>43</v>
      </c>
      <c r="AN7861" t="str">
        <f>HYPERLINK("https://www.google.com/maps?q=10.78967285,79.57878113","Open Location")</f>
        <v>Open Location</v>
      </c>
    </row>
    <row r="7862" spans="1:40" x14ac:dyDescent="0.3">
      <c r="A7862" s="1">
        <v>46210.08935185185</v>
      </c>
      <c r="B7862" t="s">
        <v>40</v>
      </c>
      <c r="C7862" t="s">
        <v>41</v>
      </c>
      <c r="D7862" s="1">
        <v>46210.092256944445</v>
      </c>
      <c r="E7862" t="s">
        <v>42</v>
      </c>
      <c r="F7862" t="s">
        <v>43</v>
      </c>
      <c r="G7862" t="s">
        <v>43</v>
      </c>
      <c r="H7862" t="s">
        <v>43</v>
      </c>
      <c r="I7862" t="s">
        <v>4028</v>
      </c>
      <c r="J7862" t="s">
        <v>43</v>
      </c>
      <c r="K7862" t="s">
        <v>43</v>
      </c>
      <c r="L7862" t="s">
        <v>43</v>
      </c>
      <c r="M7862" t="s">
        <v>43</v>
      </c>
      <c r="N7862" t="s">
        <v>45</v>
      </c>
      <c r="O7862" t="s">
        <v>43</v>
      </c>
      <c r="P7862" t="s">
        <v>43</v>
      </c>
      <c r="Q7862" t="s">
        <v>43</v>
      </c>
      <c r="R7862" t="s">
        <v>43</v>
      </c>
      <c r="S7862" t="s">
        <v>43</v>
      </c>
      <c r="T7862" t="s">
        <v>43</v>
      </c>
      <c r="U7862" t="s">
        <v>43</v>
      </c>
      <c r="V7862" t="s">
        <v>43</v>
      </c>
      <c r="W7862" t="s">
        <v>43</v>
      </c>
      <c r="X7862" t="s">
        <v>43</v>
      </c>
      <c r="Y7862" t="s">
        <v>43</v>
      </c>
      <c r="Z7862" t="s">
        <v>43</v>
      </c>
      <c r="AA7862" t="s">
        <v>43</v>
      </c>
      <c r="AB7862" t="s">
        <v>43</v>
      </c>
      <c r="AC7862" t="s">
        <v>43</v>
      </c>
      <c r="AD7862" t="s">
        <v>43</v>
      </c>
      <c r="AE7862" t="s">
        <v>43</v>
      </c>
      <c r="AF7862" t="s">
        <v>43</v>
      </c>
      <c r="AG7862" t="s">
        <v>43</v>
      </c>
      <c r="AH7862" t="s">
        <v>43</v>
      </c>
      <c r="AI7862" t="s">
        <v>43</v>
      </c>
      <c r="AJ7862" t="s">
        <v>43</v>
      </c>
      <c r="AK7862" t="s">
        <v>43</v>
      </c>
      <c r="AL7862" t="s">
        <v>43</v>
      </c>
      <c r="AM7862" t="s">
        <v>43</v>
      </c>
      <c r="AN7862" t="str">
        <f>HYPERLINK("https://www.google.com/maps?q=10.78967476,79.5787735","Open Location")</f>
        <v>Open Location</v>
      </c>
    </row>
    <row r="7863" spans="1:40" x14ac:dyDescent="0.3">
      <c r="A7863" s="1">
        <v>46210.089236111111</v>
      </c>
      <c r="B7863" t="s">
        <v>40</v>
      </c>
      <c r="C7863" t="s">
        <v>41</v>
      </c>
      <c r="D7863" s="1">
        <v>46210.092256944445</v>
      </c>
      <c r="E7863" t="s">
        <v>42</v>
      </c>
      <c r="F7863" t="s">
        <v>43</v>
      </c>
      <c r="G7863" t="s">
        <v>43</v>
      </c>
      <c r="H7863" t="s">
        <v>43</v>
      </c>
      <c r="I7863" t="s">
        <v>43</v>
      </c>
      <c r="J7863" t="s">
        <v>43</v>
      </c>
      <c r="K7863" t="s">
        <v>43</v>
      </c>
      <c r="L7863" t="s">
        <v>43</v>
      </c>
      <c r="M7863" t="s">
        <v>43</v>
      </c>
      <c r="N7863" t="s">
        <v>45</v>
      </c>
      <c r="O7863" t="s">
        <v>43</v>
      </c>
      <c r="P7863" t="s">
        <v>43</v>
      </c>
      <c r="Q7863" t="s">
        <v>43</v>
      </c>
      <c r="R7863" t="s">
        <v>43</v>
      </c>
      <c r="S7863" t="s">
        <v>43</v>
      </c>
      <c r="T7863" t="s">
        <v>43</v>
      </c>
      <c r="U7863" t="s">
        <v>43</v>
      </c>
      <c r="V7863" t="s">
        <v>43</v>
      </c>
      <c r="W7863" t="s">
        <v>43</v>
      </c>
      <c r="X7863" t="s">
        <v>43</v>
      </c>
      <c r="Y7863" t="s">
        <v>43</v>
      </c>
      <c r="Z7863" t="s">
        <v>43</v>
      </c>
      <c r="AA7863" t="s">
        <v>43</v>
      </c>
      <c r="AB7863" t="s">
        <v>43</v>
      </c>
      <c r="AC7863" t="s">
        <v>43</v>
      </c>
      <c r="AD7863" t="s">
        <v>43</v>
      </c>
      <c r="AE7863" t="s">
        <v>43</v>
      </c>
      <c r="AF7863" t="s">
        <v>43</v>
      </c>
      <c r="AG7863" t="s">
        <v>43</v>
      </c>
      <c r="AH7863" t="s">
        <v>43</v>
      </c>
      <c r="AI7863" t="s">
        <v>43</v>
      </c>
      <c r="AJ7863" t="s">
        <v>43</v>
      </c>
      <c r="AK7863" t="s">
        <v>43</v>
      </c>
      <c r="AL7863" t="s">
        <v>43</v>
      </c>
      <c r="AM7863" t="s">
        <v>43</v>
      </c>
      <c r="AN7863" t="s">
        <v>43</v>
      </c>
    </row>
    <row r="7864" spans="1:40" x14ac:dyDescent="0.3">
      <c r="A7864" s="1">
        <v>46210.089120370372</v>
      </c>
      <c r="B7864" t="s">
        <v>40</v>
      </c>
      <c r="C7864" t="s">
        <v>41</v>
      </c>
      <c r="D7864" s="1">
        <v>46210.091840277775</v>
      </c>
      <c r="E7864" t="s">
        <v>42</v>
      </c>
      <c r="F7864" t="s">
        <v>43</v>
      </c>
      <c r="G7864" t="s">
        <v>43</v>
      </c>
      <c r="H7864" t="s">
        <v>43</v>
      </c>
      <c r="I7864" t="s">
        <v>4231</v>
      </c>
      <c r="J7864" t="s">
        <v>43</v>
      </c>
      <c r="K7864" t="s">
        <v>43</v>
      </c>
      <c r="L7864" t="s">
        <v>43</v>
      </c>
      <c r="M7864" t="s">
        <v>43</v>
      </c>
      <c r="N7864" t="s">
        <v>45</v>
      </c>
      <c r="O7864" t="s">
        <v>43</v>
      </c>
      <c r="P7864" t="s">
        <v>43</v>
      </c>
      <c r="Q7864" t="s">
        <v>43</v>
      </c>
      <c r="R7864" t="s">
        <v>43</v>
      </c>
      <c r="S7864" t="s">
        <v>43</v>
      </c>
      <c r="T7864" t="s">
        <v>43</v>
      </c>
      <c r="U7864" t="s">
        <v>43</v>
      </c>
      <c r="V7864" t="s">
        <v>43</v>
      </c>
      <c r="W7864" t="s">
        <v>43</v>
      </c>
      <c r="X7864" t="s">
        <v>43</v>
      </c>
      <c r="Y7864" t="s">
        <v>43</v>
      </c>
      <c r="Z7864" t="s">
        <v>43</v>
      </c>
      <c r="AA7864" t="s">
        <v>43</v>
      </c>
      <c r="AB7864" t="s">
        <v>43</v>
      </c>
      <c r="AC7864" t="s">
        <v>43</v>
      </c>
      <c r="AD7864" t="s">
        <v>43</v>
      </c>
      <c r="AE7864" t="s">
        <v>43</v>
      </c>
      <c r="AF7864" t="s">
        <v>43</v>
      </c>
      <c r="AG7864" t="s">
        <v>43</v>
      </c>
      <c r="AH7864" t="s">
        <v>43</v>
      </c>
      <c r="AI7864" t="s">
        <v>43</v>
      </c>
      <c r="AJ7864" t="s">
        <v>43</v>
      </c>
      <c r="AK7864" t="s">
        <v>43</v>
      </c>
      <c r="AL7864" t="s">
        <v>43</v>
      </c>
      <c r="AM7864" t="s">
        <v>43</v>
      </c>
      <c r="AN7864" t="str">
        <f>HYPERLINK("https://www.google.com/maps?q=10.78967571,79.57876587","Open Location")</f>
        <v>Open Location</v>
      </c>
    </row>
    <row r="7865" spans="1:40" x14ac:dyDescent="0.3">
      <c r="A7865" s="1">
        <v>46210.089004629626</v>
      </c>
      <c r="B7865" t="s">
        <v>40</v>
      </c>
      <c r="C7865" t="s">
        <v>41</v>
      </c>
      <c r="D7865" s="1">
        <v>46210.091840277775</v>
      </c>
      <c r="E7865" t="s">
        <v>42</v>
      </c>
      <c r="F7865" t="s">
        <v>43</v>
      </c>
      <c r="G7865" t="s">
        <v>43</v>
      </c>
      <c r="H7865" t="s">
        <v>43</v>
      </c>
      <c r="I7865" t="s">
        <v>4305</v>
      </c>
      <c r="J7865" t="s">
        <v>43</v>
      </c>
      <c r="K7865" t="s">
        <v>43</v>
      </c>
      <c r="L7865" t="s">
        <v>43</v>
      </c>
      <c r="M7865" t="s">
        <v>43</v>
      </c>
      <c r="N7865" t="s">
        <v>45</v>
      </c>
      <c r="O7865" t="s">
        <v>43</v>
      </c>
      <c r="P7865" t="s">
        <v>43</v>
      </c>
      <c r="Q7865" t="s">
        <v>43</v>
      </c>
      <c r="R7865" t="s">
        <v>43</v>
      </c>
      <c r="S7865" t="s">
        <v>43</v>
      </c>
      <c r="T7865" t="s">
        <v>43</v>
      </c>
      <c r="U7865" t="s">
        <v>43</v>
      </c>
      <c r="V7865" t="s">
        <v>43</v>
      </c>
      <c r="W7865" t="s">
        <v>43</v>
      </c>
      <c r="X7865" t="s">
        <v>43</v>
      </c>
      <c r="Y7865" t="s">
        <v>43</v>
      </c>
      <c r="Z7865" t="s">
        <v>43</v>
      </c>
      <c r="AA7865" t="s">
        <v>43</v>
      </c>
      <c r="AB7865" t="s">
        <v>43</v>
      </c>
      <c r="AC7865" t="s">
        <v>43</v>
      </c>
      <c r="AD7865" t="s">
        <v>43</v>
      </c>
      <c r="AE7865" t="s">
        <v>43</v>
      </c>
      <c r="AF7865" t="s">
        <v>43</v>
      </c>
      <c r="AG7865" t="s">
        <v>43</v>
      </c>
      <c r="AH7865" t="s">
        <v>43</v>
      </c>
      <c r="AI7865" t="s">
        <v>43</v>
      </c>
      <c r="AJ7865" t="s">
        <v>43</v>
      </c>
      <c r="AK7865" t="s">
        <v>43</v>
      </c>
      <c r="AL7865" t="s">
        <v>43</v>
      </c>
      <c r="AM7865" t="s">
        <v>43</v>
      </c>
      <c r="AN7865" t="str">
        <f>HYPERLINK("https://www.google.com/maps?q=10.78968143,79.57876587","Open Location")</f>
        <v>Open Location</v>
      </c>
    </row>
    <row r="7866" spans="1:40" x14ac:dyDescent="0.3">
      <c r="A7866" s="1">
        <v>46210.088888888888</v>
      </c>
      <c r="B7866" t="s">
        <v>40</v>
      </c>
      <c r="C7866" t="s">
        <v>41</v>
      </c>
      <c r="D7866" s="1">
        <v>46210.09171296296</v>
      </c>
      <c r="E7866" t="s">
        <v>42</v>
      </c>
      <c r="F7866" t="s">
        <v>43</v>
      </c>
      <c r="G7866" t="s">
        <v>43</v>
      </c>
      <c r="H7866" t="s">
        <v>43</v>
      </c>
      <c r="I7866" t="s">
        <v>43</v>
      </c>
      <c r="J7866" t="s">
        <v>43</v>
      </c>
      <c r="K7866" t="s">
        <v>43</v>
      </c>
      <c r="L7866" t="s">
        <v>43</v>
      </c>
      <c r="M7866" t="s">
        <v>43</v>
      </c>
      <c r="N7866" t="s">
        <v>45</v>
      </c>
      <c r="O7866" t="s">
        <v>43</v>
      </c>
      <c r="P7866" t="s">
        <v>43</v>
      </c>
      <c r="Q7866" t="s">
        <v>43</v>
      </c>
      <c r="R7866" t="s">
        <v>43</v>
      </c>
      <c r="S7866" t="s">
        <v>43</v>
      </c>
      <c r="T7866" t="s">
        <v>43</v>
      </c>
      <c r="U7866" t="s">
        <v>43</v>
      </c>
      <c r="V7866" t="s">
        <v>43</v>
      </c>
      <c r="W7866" t="s">
        <v>43</v>
      </c>
      <c r="X7866" t="s">
        <v>43</v>
      </c>
      <c r="Y7866" t="s">
        <v>43</v>
      </c>
      <c r="Z7866" t="s">
        <v>43</v>
      </c>
      <c r="AA7866" t="s">
        <v>43</v>
      </c>
      <c r="AB7866" t="s">
        <v>43</v>
      </c>
      <c r="AC7866" t="s">
        <v>43</v>
      </c>
      <c r="AD7866" t="s">
        <v>43</v>
      </c>
      <c r="AE7866" t="s">
        <v>43</v>
      </c>
      <c r="AF7866" t="s">
        <v>43</v>
      </c>
      <c r="AG7866" t="s">
        <v>43</v>
      </c>
      <c r="AH7866" t="s">
        <v>43</v>
      </c>
      <c r="AI7866" t="s">
        <v>43</v>
      </c>
      <c r="AJ7866" t="s">
        <v>43</v>
      </c>
      <c r="AK7866" t="s">
        <v>43</v>
      </c>
      <c r="AL7866" t="s">
        <v>43</v>
      </c>
      <c r="AM7866" t="s">
        <v>43</v>
      </c>
      <c r="AN7866" t="s">
        <v>43</v>
      </c>
    </row>
    <row r="7867" spans="1:40" x14ac:dyDescent="0.3">
      <c r="A7867" s="1">
        <v>46210.088773148149</v>
      </c>
      <c r="B7867" t="s">
        <v>40</v>
      </c>
      <c r="C7867" t="s">
        <v>41</v>
      </c>
      <c r="D7867" s="1">
        <v>46210.091481481482</v>
      </c>
      <c r="E7867" t="s">
        <v>42</v>
      </c>
      <c r="F7867" t="s">
        <v>43</v>
      </c>
      <c r="G7867" t="s">
        <v>43</v>
      </c>
      <c r="H7867" t="s">
        <v>43</v>
      </c>
      <c r="I7867" t="s">
        <v>4209</v>
      </c>
      <c r="J7867" t="s">
        <v>43</v>
      </c>
      <c r="K7867" t="s">
        <v>43</v>
      </c>
      <c r="L7867" t="s">
        <v>43</v>
      </c>
      <c r="M7867" t="s">
        <v>43</v>
      </c>
      <c r="N7867" t="s">
        <v>45</v>
      </c>
      <c r="O7867" t="s">
        <v>43</v>
      </c>
      <c r="P7867" t="s">
        <v>43</v>
      </c>
      <c r="Q7867" t="s">
        <v>43</v>
      </c>
      <c r="R7867" t="s">
        <v>43</v>
      </c>
      <c r="S7867" t="s">
        <v>43</v>
      </c>
      <c r="T7867" t="s">
        <v>43</v>
      </c>
      <c r="U7867" t="s">
        <v>43</v>
      </c>
      <c r="V7867" t="s">
        <v>43</v>
      </c>
      <c r="W7867" t="s">
        <v>43</v>
      </c>
      <c r="X7867" t="s">
        <v>43</v>
      </c>
      <c r="Y7867" t="s">
        <v>43</v>
      </c>
      <c r="Z7867" t="s">
        <v>43</v>
      </c>
      <c r="AA7867" t="s">
        <v>43</v>
      </c>
      <c r="AB7867" t="s">
        <v>43</v>
      </c>
      <c r="AC7867" t="s">
        <v>43</v>
      </c>
      <c r="AD7867" t="s">
        <v>43</v>
      </c>
      <c r="AE7867" t="s">
        <v>43</v>
      </c>
      <c r="AF7867" t="s">
        <v>43</v>
      </c>
      <c r="AG7867" t="s">
        <v>43</v>
      </c>
      <c r="AH7867" t="s">
        <v>43</v>
      </c>
      <c r="AI7867" t="s">
        <v>43</v>
      </c>
      <c r="AJ7867" t="s">
        <v>43</v>
      </c>
      <c r="AK7867" t="s">
        <v>43</v>
      </c>
      <c r="AL7867" t="s">
        <v>43</v>
      </c>
      <c r="AM7867" t="s">
        <v>43</v>
      </c>
      <c r="AN7867" t="str">
        <f>HYPERLINK("https://www.google.com/maps?q=10.78968334,79.57876587","Open Location")</f>
        <v>Open Location</v>
      </c>
    </row>
    <row r="7868" spans="1:40" x14ac:dyDescent="0.3">
      <c r="A7868" s="1">
        <v>46210.08865740741</v>
      </c>
      <c r="B7868" t="s">
        <v>40</v>
      </c>
      <c r="C7868" t="s">
        <v>41</v>
      </c>
      <c r="D7868" s="1">
        <v>46210.091493055559</v>
      </c>
      <c r="E7868" t="s">
        <v>42</v>
      </c>
      <c r="F7868" t="s">
        <v>43</v>
      </c>
      <c r="G7868" t="s">
        <v>43</v>
      </c>
      <c r="H7868" t="s">
        <v>43</v>
      </c>
      <c r="I7868" t="s">
        <v>4021</v>
      </c>
      <c r="J7868" t="s">
        <v>43</v>
      </c>
      <c r="K7868" t="s">
        <v>43</v>
      </c>
      <c r="L7868" t="s">
        <v>43</v>
      </c>
      <c r="M7868" t="s">
        <v>43</v>
      </c>
      <c r="N7868" t="s">
        <v>45</v>
      </c>
      <c r="O7868" t="s">
        <v>43</v>
      </c>
      <c r="P7868" t="s">
        <v>43</v>
      </c>
      <c r="Q7868" t="s">
        <v>43</v>
      </c>
      <c r="R7868" t="s">
        <v>43</v>
      </c>
      <c r="S7868" t="s">
        <v>43</v>
      </c>
      <c r="T7868" t="s">
        <v>43</v>
      </c>
      <c r="U7868" t="s">
        <v>43</v>
      </c>
      <c r="V7868" t="s">
        <v>43</v>
      </c>
      <c r="W7868" t="s">
        <v>43</v>
      </c>
      <c r="X7868" t="s">
        <v>43</v>
      </c>
      <c r="Y7868" t="s">
        <v>43</v>
      </c>
      <c r="Z7868" t="s">
        <v>43</v>
      </c>
      <c r="AA7868" t="s">
        <v>43</v>
      </c>
      <c r="AB7868" t="s">
        <v>43</v>
      </c>
      <c r="AC7868" t="s">
        <v>43</v>
      </c>
      <c r="AD7868" t="s">
        <v>43</v>
      </c>
      <c r="AE7868" t="s">
        <v>43</v>
      </c>
      <c r="AF7868" t="s">
        <v>43</v>
      </c>
      <c r="AG7868" t="s">
        <v>43</v>
      </c>
      <c r="AH7868" t="s">
        <v>43</v>
      </c>
      <c r="AI7868" t="s">
        <v>43</v>
      </c>
      <c r="AJ7868" t="s">
        <v>43</v>
      </c>
      <c r="AK7868" t="s">
        <v>43</v>
      </c>
      <c r="AL7868" t="s">
        <v>43</v>
      </c>
      <c r="AM7868" t="s">
        <v>43</v>
      </c>
      <c r="AN7868" t="str">
        <f>HYPERLINK("https://www.google.com/maps?q=10.78967857,79.57876587","Open Location")</f>
        <v>Open Location</v>
      </c>
    </row>
    <row r="7869" spans="1:40" x14ac:dyDescent="0.3">
      <c r="A7869" s="1">
        <v>46210.088541666664</v>
      </c>
      <c r="B7869" t="s">
        <v>40</v>
      </c>
      <c r="C7869" t="s">
        <v>41</v>
      </c>
      <c r="D7869" s="1">
        <v>46210.09138888889</v>
      </c>
      <c r="E7869" t="s">
        <v>42</v>
      </c>
      <c r="F7869" t="s">
        <v>43</v>
      </c>
      <c r="G7869" t="s">
        <v>43</v>
      </c>
      <c r="H7869" t="s">
        <v>43</v>
      </c>
      <c r="I7869" t="s">
        <v>4362</v>
      </c>
      <c r="J7869" t="s">
        <v>43</v>
      </c>
      <c r="K7869" t="s">
        <v>43</v>
      </c>
      <c r="L7869" t="s">
        <v>43</v>
      </c>
      <c r="M7869" t="s">
        <v>43</v>
      </c>
      <c r="N7869" t="s">
        <v>45</v>
      </c>
      <c r="O7869" t="s">
        <v>43</v>
      </c>
      <c r="P7869" t="s">
        <v>43</v>
      </c>
      <c r="Q7869" t="s">
        <v>43</v>
      </c>
      <c r="R7869" t="s">
        <v>43</v>
      </c>
      <c r="S7869" t="s">
        <v>43</v>
      </c>
      <c r="T7869" t="s">
        <v>43</v>
      </c>
      <c r="U7869" t="s">
        <v>43</v>
      </c>
      <c r="V7869" t="s">
        <v>43</v>
      </c>
      <c r="W7869" t="s">
        <v>43</v>
      </c>
      <c r="X7869" t="s">
        <v>43</v>
      </c>
      <c r="Y7869" t="s">
        <v>43</v>
      </c>
      <c r="Z7869" t="s">
        <v>43</v>
      </c>
      <c r="AA7869" t="s">
        <v>43</v>
      </c>
      <c r="AB7869" t="s">
        <v>43</v>
      </c>
      <c r="AC7869" t="s">
        <v>43</v>
      </c>
      <c r="AD7869" t="s">
        <v>43</v>
      </c>
      <c r="AE7869" t="s">
        <v>43</v>
      </c>
      <c r="AF7869" t="s">
        <v>43</v>
      </c>
      <c r="AG7869" t="s">
        <v>43</v>
      </c>
      <c r="AH7869" t="s">
        <v>43</v>
      </c>
      <c r="AI7869" t="s">
        <v>43</v>
      </c>
      <c r="AJ7869" t="s">
        <v>43</v>
      </c>
      <c r="AK7869" t="s">
        <v>43</v>
      </c>
      <c r="AL7869" t="s">
        <v>43</v>
      </c>
      <c r="AM7869" t="s">
        <v>43</v>
      </c>
      <c r="AN7869" t="str">
        <f>HYPERLINK("https://www.google.com/maps?q=10.78968143,79.5787735","Open Location")</f>
        <v>Open Location</v>
      </c>
    </row>
    <row r="7870" spans="1:40" x14ac:dyDescent="0.3">
      <c r="A7870" s="1">
        <v>46210.088425925926</v>
      </c>
      <c r="B7870" t="s">
        <v>40</v>
      </c>
      <c r="C7870" t="s">
        <v>41</v>
      </c>
      <c r="D7870" s="1">
        <v>46210.091354166667</v>
      </c>
      <c r="E7870" t="s">
        <v>42</v>
      </c>
      <c r="F7870" t="s">
        <v>43</v>
      </c>
      <c r="G7870" t="s">
        <v>43</v>
      </c>
      <c r="H7870" t="s">
        <v>43</v>
      </c>
      <c r="I7870" t="s">
        <v>4033</v>
      </c>
      <c r="J7870" t="s">
        <v>43</v>
      </c>
      <c r="K7870" t="s">
        <v>43</v>
      </c>
      <c r="L7870" t="s">
        <v>43</v>
      </c>
      <c r="M7870" t="s">
        <v>43</v>
      </c>
      <c r="N7870" t="s">
        <v>45</v>
      </c>
      <c r="O7870" t="s">
        <v>43</v>
      </c>
      <c r="P7870" t="s">
        <v>43</v>
      </c>
      <c r="Q7870" t="s">
        <v>43</v>
      </c>
      <c r="R7870" t="s">
        <v>43</v>
      </c>
      <c r="S7870" t="s">
        <v>43</v>
      </c>
      <c r="T7870" t="s">
        <v>43</v>
      </c>
      <c r="U7870" t="s">
        <v>43</v>
      </c>
      <c r="V7870" t="s">
        <v>43</v>
      </c>
      <c r="W7870" t="s">
        <v>43</v>
      </c>
      <c r="X7870" t="s">
        <v>43</v>
      </c>
      <c r="Y7870" t="s">
        <v>43</v>
      </c>
      <c r="Z7870" t="s">
        <v>43</v>
      </c>
      <c r="AA7870" t="s">
        <v>43</v>
      </c>
      <c r="AB7870" t="s">
        <v>43</v>
      </c>
      <c r="AC7870" t="s">
        <v>43</v>
      </c>
      <c r="AD7870" t="s">
        <v>43</v>
      </c>
      <c r="AE7870" t="s">
        <v>43</v>
      </c>
      <c r="AF7870" t="s">
        <v>43</v>
      </c>
      <c r="AG7870" t="s">
        <v>43</v>
      </c>
      <c r="AH7870" t="s">
        <v>43</v>
      </c>
      <c r="AI7870" t="s">
        <v>43</v>
      </c>
      <c r="AJ7870" t="s">
        <v>43</v>
      </c>
      <c r="AK7870" t="s">
        <v>43</v>
      </c>
      <c r="AL7870" t="s">
        <v>43</v>
      </c>
      <c r="AM7870" t="s">
        <v>43</v>
      </c>
      <c r="AN7870" t="str">
        <f>HYPERLINK("https://www.google.com/maps?q=10.78967953,79.5787735","Open Location")</f>
        <v>Open Location</v>
      </c>
    </row>
    <row r="7871" spans="1:40" x14ac:dyDescent="0.3">
      <c r="A7871" s="1">
        <v>46210.088310185187</v>
      </c>
      <c r="B7871" t="s">
        <v>40</v>
      </c>
      <c r="C7871" t="s">
        <v>41</v>
      </c>
      <c r="D7871" s="1">
        <v>46210.09097222222</v>
      </c>
      <c r="E7871" t="s">
        <v>42</v>
      </c>
      <c r="F7871" t="s">
        <v>43</v>
      </c>
      <c r="G7871" t="s">
        <v>43</v>
      </c>
      <c r="H7871" t="s">
        <v>43</v>
      </c>
      <c r="I7871" t="s">
        <v>4342</v>
      </c>
      <c r="J7871" t="s">
        <v>43</v>
      </c>
      <c r="K7871" t="s">
        <v>43</v>
      </c>
      <c r="L7871" t="s">
        <v>43</v>
      </c>
      <c r="M7871" t="s">
        <v>43</v>
      </c>
      <c r="N7871" t="s">
        <v>45</v>
      </c>
      <c r="O7871" t="s">
        <v>43</v>
      </c>
      <c r="P7871" t="s">
        <v>43</v>
      </c>
      <c r="Q7871" t="s">
        <v>43</v>
      </c>
      <c r="R7871" t="s">
        <v>43</v>
      </c>
      <c r="S7871" t="s">
        <v>43</v>
      </c>
      <c r="T7871" t="s">
        <v>43</v>
      </c>
      <c r="U7871" t="s">
        <v>43</v>
      </c>
      <c r="V7871" t="s">
        <v>43</v>
      </c>
      <c r="W7871" t="s">
        <v>43</v>
      </c>
      <c r="X7871" t="s">
        <v>43</v>
      </c>
      <c r="Y7871" t="s">
        <v>43</v>
      </c>
      <c r="Z7871" t="s">
        <v>43</v>
      </c>
      <c r="AA7871" t="s">
        <v>43</v>
      </c>
      <c r="AB7871" t="s">
        <v>43</v>
      </c>
      <c r="AC7871" t="s">
        <v>43</v>
      </c>
      <c r="AD7871" t="s">
        <v>43</v>
      </c>
      <c r="AE7871" t="s">
        <v>43</v>
      </c>
      <c r="AF7871" t="s">
        <v>43</v>
      </c>
      <c r="AG7871" t="s">
        <v>43</v>
      </c>
      <c r="AH7871" t="s">
        <v>43</v>
      </c>
      <c r="AI7871" t="s">
        <v>43</v>
      </c>
      <c r="AJ7871" t="s">
        <v>43</v>
      </c>
      <c r="AK7871" t="s">
        <v>43</v>
      </c>
      <c r="AL7871" t="s">
        <v>43</v>
      </c>
      <c r="AM7871" t="s">
        <v>43</v>
      </c>
      <c r="AN7871" t="str">
        <f>HYPERLINK("https://www.google.com/maps?q=10.78967857,79.5787735","Open Location")</f>
        <v>Open Location</v>
      </c>
    </row>
    <row r="7872" spans="1:40" x14ac:dyDescent="0.3">
      <c r="A7872" s="1">
        <v>46210.088194444441</v>
      </c>
      <c r="B7872" t="s">
        <v>40</v>
      </c>
      <c r="C7872" t="s">
        <v>41</v>
      </c>
      <c r="D7872" s="1">
        <v>46210.091122685182</v>
      </c>
      <c r="E7872" t="s">
        <v>42</v>
      </c>
      <c r="F7872" t="s">
        <v>43</v>
      </c>
      <c r="G7872" t="s">
        <v>43</v>
      </c>
      <c r="H7872" t="s">
        <v>43</v>
      </c>
      <c r="I7872" t="s">
        <v>43</v>
      </c>
      <c r="J7872" t="s">
        <v>43</v>
      </c>
      <c r="K7872" t="s">
        <v>43</v>
      </c>
      <c r="L7872" t="s">
        <v>43</v>
      </c>
      <c r="M7872" t="s">
        <v>43</v>
      </c>
      <c r="N7872" t="s">
        <v>45</v>
      </c>
      <c r="O7872" t="s">
        <v>43</v>
      </c>
      <c r="P7872" t="s">
        <v>43</v>
      </c>
      <c r="Q7872" t="s">
        <v>43</v>
      </c>
      <c r="R7872" t="s">
        <v>43</v>
      </c>
      <c r="S7872" t="s">
        <v>43</v>
      </c>
      <c r="T7872" t="s">
        <v>43</v>
      </c>
      <c r="U7872" t="s">
        <v>43</v>
      </c>
      <c r="V7872" t="s">
        <v>43</v>
      </c>
      <c r="W7872" t="s">
        <v>43</v>
      </c>
      <c r="X7872" t="s">
        <v>43</v>
      </c>
      <c r="Y7872" t="s">
        <v>43</v>
      </c>
      <c r="Z7872" t="s">
        <v>43</v>
      </c>
      <c r="AA7872" t="s">
        <v>43</v>
      </c>
      <c r="AB7872" t="s">
        <v>43</v>
      </c>
      <c r="AC7872" t="s">
        <v>43</v>
      </c>
      <c r="AD7872" t="s">
        <v>43</v>
      </c>
      <c r="AE7872" t="s">
        <v>43</v>
      </c>
      <c r="AF7872" t="s">
        <v>43</v>
      </c>
      <c r="AG7872" t="s">
        <v>43</v>
      </c>
      <c r="AH7872" t="s">
        <v>43</v>
      </c>
      <c r="AI7872" t="s">
        <v>43</v>
      </c>
      <c r="AJ7872" t="s">
        <v>43</v>
      </c>
      <c r="AK7872" t="s">
        <v>43</v>
      </c>
      <c r="AL7872" t="s">
        <v>43</v>
      </c>
      <c r="AM7872" t="s">
        <v>43</v>
      </c>
      <c r="AN7872" t="s">
        <v>43</v>
      </c>
    </row>
    <row r="7873" spans="1:40" x14ac:dyDescent="0.3">
      <c r="A7873" s="1">
        <v>46210.088078703702</v>
      </c>
      <c r="B7873" t="s">
        <v>40</v>
      </c>
      <c r="C7873" t="s">
        <v>41</v>
      </c>
      <c r="D7873" s="1">
        <v>46210.090752314813</v>
      </c>
      <c r="E7873" t="s">
        <v>42</v>
      </c>
      <c r="F7873" t="s">
        <v>43</v>
      </c>
      <c r="G7873" t="s">
        <v>43</v>
      </c>
      <c r="H7873" t="s">
        <v>43</v>
      </c>
      <c r="I7873" t="s">
        <v>4342</v>
      </c>
      <c r="J7873" t="s">
        <v>43</v>
      </c>
      <c r="K7873" t="s">
        <v>43</v>
      </c>
      <c r="L7873" t="s">
        <v>43</v>
      </c>
      <c r="M7873" t="s">
        <v>43</v>
      </c>
      <c r="N7873" t="s">
        <v>45</v>
      </c>
      <c r="O7873" t="s">
        <v>43</v>
      </c>
      <c r="P7873" t="s">
        <v>43</v>
      </c>
      <c r="Q7873" t="s">
        <v>43</v>
      </c>
      <c r="R7873" t="s">
        <v>43</v>
      </c>
      <c r="S7873" t="s">
        <v>43</v>
      </c>
      <c r="T7873" t="s">
        <v>43</v>
      </c>
      <c r="U7873" t="s">
        <v>43</v>
      </c>
      <c r="V7873" t="s">
        <v>43</v>
      </c>
      <c r="W7873" t="s">
        <v>43</v>
      </c>
      <c r="X7873" t="s">
        <v>43</v>
      </c>
      <c r="Y7873" t="s">
        <v>43</v>
      </c>
      <c r="Z7873" t="s">
        <v>43</v>
      </c>
      <c r="AA7873" t="s">
        <v>43</v>
      </c>
      <c r="AB7873" t="s">
        <v>43</v>
      </c>
      <c r="AC7873" t="s">
        <v>43</v>
      </c>
      <c r="AD7873" t="s">
        <v>43</v>
      </c>
      <c r="AE7873" t="s">
        <v>43</v>
      </c>
      <c r="AF7873" t="s">
        <v>43</v>
      </c>
      <c r="AG7873" t="s">
        <v>43</v>
      </c>
      <c r="AH7873" t="s">
        <v>43</v>
      </c>
      <c r="AI7873" t="s">
        <v>43</v>
      </c>
      <c r="AJ7873" t="s">
        <v>43</v>
      </c>
      <c r="AK7873" t="s">
        <v>43</v>
      </c>
      <c r="AL7873" t="s">
        <v>43</v>
      </c>
      <c r="AM7873" t="s">
        <v>43</v>
      </c>
      <c r="AN7873" t="str">
        <f>HYPERLINK("https://www.google.com/maps?q=10.78967857,79.5787735","Open Location")</f>
        <v>Open Location</v>
      </c>
    </row>
    <row r="7874" spans="1:40" x14ac:dyDescent="0.3">
      <c r="A7874" s="1">
        <v>46210.087962962964</v>
      </c>
      <c r="B7874" t="s">
        <v>40</v>
      </c>
      <c r="C7874" t="s">
        <v>41</v>
      </c>
      <c r="D7874" s="1">
        <v>46210.091087962966</v>
      </c>
      <c r="E7874" t="s">
        <v>42</v>
      </c>
      <c r="F7874" t="s">
        <v>43</v>
      </c>
      <c r="G7874" t="s">
        <v>43</v>
      </c>
      <c r="H7874" t="s">
        <v>43</v>
      </c>
      <c r="I7874" t="s">
        <v>4362</v>
      </c>
      <c r="J7874" t="s">
        <v>43</v>
      </c>
      <c r="K7874" t="s">
        <v>43</v>
      </c>
      <c r="L7874" t="s">
        <v>43</v>
      </c>
      <c r="M7874" t="s">
        <v>43</v>
      </c>
      <c r="N7874" t="s">
        <v>45</v>
      </c>
      <c r="O7874" t="s">
        <v>43</v>
      </c>
      <c r="P7874" t="s">
        <v>43</v>
      </c>
      <c r="Q7874" t="s">
        <v>43</v>
      </c>
      <c r="R7874" t="s">
        <v>43</v>
      </c>
      <c r="S7874" t="s">
        <v>43</v>
      </c>
      <c r="T7874" t="s">
        <v>43</v>
      </c>
      <c r="U7874" t="s">
        <v>43</v>
      </c>
      <c r="V7874" t="s">
        <v>43</v>
      </c>
      <c r="W7874" t="s">
        <v>43</v>
      </c>
      <c r="X7874" t="s">
        <v>43</v>
      </c>
      <c r="Y7874" t="s">
        <v>43</v>
      </c>
      <c r="Z7874" t="s">
        <v>43</v>
      </c>
      <c r="AA7874" t="s">
        <v>43</v>
      </c>
      <c r="AB7874" t="s">
        <v>43</v>
      </c>
      <c r="AC7874" t="s">
        <v>43</v>
      </c>
      <c r="AD7874" t="s">
        <v>43</v>
      </c>
      <c r="AE7874" t="s">
        <v>43</v>
      </c>
      <c r="AF7874" t="s">
        <v>43</v>
      </c>
      <c r="AG7874" t="s">
        <v>43</v>
      </c>
      <c r="AH7874" t="s">
        <v>43</v>
      </c>
      <c r="AI7874" t="s">
        <v>43</v>
      </c>
      <c r="AJ7874" t="s">
        <v>43</v>
      </c>
      <c r="AK7874" t="s">
        <v>43</v>
      </c>
      <c r="AL7874" t="s">
        <v>43</v>
      </c>
      <c r="AM7874" t="s">
        <v>43</v>
      </c>
      <c r="AN7874" t="str">
        <f>HYPERLINK("https://www.google.com/maps?q=10.78968143,79.5787735","Open Location")</f>
        <v>Open Location</v>
      </c>
    </row>
    <row r="7875" spans="1:40" x14ac:dyDescent="0.3">
      <c r="A7875" s="1">
        <v>46210.087847222225</v>
      </c>
      <c r="B7875" t="s">
        <v>40</v>
      </c>
      <c r="C7875" t="s">
        <v>41</v>
      </c>
      <c r="D7875" s="1">
        <v>46210.090752314813</v>
      </c>
      <c r="E7875" t="s">
        <v>42</v>
      </c>
      <c r="F7875" t="s">
        <v>43</v>
      </c>
      <c r="G7875" t="s">
        <v>43</v>
      </c>
      <c r="H7875" t="s">
        <v>43</v>
      </c>
      <c r="I7875" t="s">
        <v>4208</v>
      </c>
      <c r="J7875" t="s">
        <v>43</v>
      </c>
      <c r="K7875" t="s">
        <v>43</v>
      </c>
      <c r="L7875" t="s">
        <v>43</v>
      </c>
      <c r="M7875" t="s">
        <v>43</v>
      </c>
      <c r="N7875" t="s">
        <v>45</v>
      </c>
      <c r="O7875" t="s">
        <v>43</v>
      </c>
      <c r="P7875" t="s">
        <v>43</v>
      </c>
      <c r="Q7875" t="s">
        <v>43</v>
      </c>
      <c r="R7875" t="s">
        <v>43</v>
      </c>
      <c r="S7875" t="s">
        <v>43</v>
      </c>
      <c r="T7875" t="s">
        <v>43</v>
      </c>
      <c r="U7875" t="s">
        <v>43</v>
      </c>
      <c r="V7875" t="s">
        <v>43</v>
      </c>
      <c r="W7875" t="s">
        <v>43</v>
      </c>
      <c r="X7875" t="s">
        <v>43</v>
      </c>
      <c r="Y7875" t="s">
        <v>43</v>
      </c>
      <c r="Z7875" t="s">
        <v>43</v>
      </c>
      <c r="AA7875" t="s">
        <v>43</v>
      </c>
      <c r="AB7875" t="s">
        <v>43</v>
      </c>
      <c r="AC7875" t="s">
        <v>43</v>
      </c>
      <c r="AD7875" t="s">
        <v>43</v>
      </c>
      <c r="AE7875" t="s">
        <v>43</v>
      </c>
      <c r="AF7875" t="s">
        <v>43</v>
      </c>
      <c r="AG7875" t="s">
        <v>43</v>
      </c>
      <c r="AH7875" t="s">
        <v>43</v>
      </c>
      <c r="AI7875" t="s">
        <v>43</v>
      </c>
      <c r="AJ7875" t="s">
        <v>43</v>
      </c>
      <c r="AK7875" t="s">
        <v>43</v>
      </c>
      <c r="AL7875" t="s">
        <v>43</v>
      </c>
      <c r="AM7875" t="s">
        <v>43</v>
      </c>
      <c r="AN7875" t="str">
        <f>HYPERLINK("https://www.google.com/maps?q=10.78968239,79.5787735","Open Location")</f>
        <v>Open Location</v>
      </c>
    </row>
    <row r="7876" spans="1:40" x14ac:dyDescent="0.3">
      <c r="A7876" s="1">
        <v>46210.087731481479</v>
      </c>
      <c r="B7876" t="s">
        <v>40</v>
      </c>
      <c r="C7876" t="s">
        <v>41</v>
      </c>
      <c r="D7876" s="1">
        <v>46210.090624999997</v>
      </c>
      <c r="E7876" t="s">
        <v>42</v>
      </c>
      <c r="F7876" t="s">
        <v>43</v>
      </c>
      <c r="G7876" t="s">
        <v>43</v>
      </c>
      <c r="H7876" t="s">
        <v>43</v>
      </c>
      <c r="I7876" t="s">
        <v>4318</v>
      </c>
      <c r="J7876" t="s">
        <v>43</v>
      </c>
      <c r="K7876" t="s">
        <v>43</v>
      </c>
      <c r="L7876" t="s">
        <v>43</v>
      </c>
      <c r="M7876" t="s">
        <v>43</v>
      </c>
      <c r="N7876" t="s">
        <v>45</v>
      </c>
      <c r="O7876" t="s">
        <v>43</v>
      </c>
      <c r="P7876" t="s">
        <v>43</v>
      </c>
      <c r="Q7876" t="s">
        <v>43</v>
      </c>
      <c r="R7876" t="s">
        <v>43</v>
      </c>
      <c r="S7876" t="s">
        <v>43</v>
      </c>
      <c r="T7876" t="s">
        <v>43</v>
      </c>
      <c r="U7876" t="s">
        <v>43</v>
      </c>
      <c r="V7876" t="s">
        <v>43</v>
      </c>
      <c r="W7876" t="s">
        <v>43</v>
      </c>
      <c r="X7876" t="s">
        <v>43</v>
      </c>
      <c r="Y7876" t="s">
        <v>43</v>
      </c>
      <c r="Z7876" t="s">
        <v>43</v>
      </c>
      <c r="AA7876" t="s">
        <v>43</v>
      </c>
      <c r="AB7876" t="s">
        <v>43</v>
      </c>
      <c r="AC7876" t="s">
        <v>43</v>
      </c>
      <c r="AD7876" t="s">
        <v>43</v>
      </c>
      <c r="AE7876" t="s">
        <v>43</v>
      </c>
      <c r="AF7876" t="s">
        <v>43</v>
      </c>
      <c r="AG7876" t="s">
        <v>43</v>
      </c>
      <c r="AH7876" t="s">
        <v>43</v>
      </c>
      <c r="AI7876" t="s">
        <v>43</v>
      </c>
      <c r="AJ7876" t="s">
        <v>43</v>
      </c>
      <c r="AK7876" t="s">
        <v>43</v>
      </c>
      <c r="AL7876" t="s">
        <v>43</v>
      </c>
      <c r="AM7876" t="s">
        <v>43</v>
      </c>
      <c r="AN7876" t="str">
        <f>HYPERLINK("https://www.google.com/maps?q=10.78968334,79.5787735","Open Location")</f>
        <v>Open Location</v>
      </c>
    </row>
    <row r="7877" spans="1:40" x14ac:dyDescent="0.3">
      <c r="A7877" s="1">
        <v>46210.08761574074</v>
      </c>
      <c r="B7877" t="s">
        <v>40</v>
      </c>
      <c r="C7877" t="s">
        <v>41</v>
      </c>
      <c r="D7877" s="1">
        <v>46210.090254629627</v>
      </c>
      <c r="E7877" t="s">
        <v>42</v>
      </c>
      <c r="F7877" t="s">
        <v>43</v>
      </c>
      <c r="G7877" t="s">
        <v>43</v>
      </c>
      <c r="H7877" t="s">
        <v>43</v>
      </c>
      <c r="I7877" t="s">
        <v>43</v>
      </c>
      <c r="J7877" t="s">
        <v>43</v>
      </c>
      <c r="K7877" t="s">
        <v>43</v>
      </c>
      <c r="L7877" t="s">
        <v>43</v>
      </c>
      <c r="M7877" t="s">
        <v>43</v>
      </c>
      <c r="N7877" t="s">
        <v>45</v>
      </c>
      <c r="O7877" t="s">
        <v>43</v>
      </c>
      <c r="P7877" t="s">
        <v>43</v>
      </c>
      <c r="Q7877" t="s">
        <v>43</v>
      </c>
      <c r="R7877" t="s">
        <v>43</v>
      </c>
      <c r="S7877" t="s">
        <v>43</v>
      </c>
      <c r="T7877" t="s">
        <v>43</v>
      </c>
      <c r="U7877" t="s">
        <v>43</v>
      </c>
      <c r="V7877" t="s">
        <v>43</v>
      </c>
      <c r="W7877" t="s">
        <v>43</v>
      </c>
      <c r="X7877" t="s">
        <v>43</v>
      </c>
      <c r="Y7877" t="s">
        <v>43</v>
      </c>
      <c r="Z7877" t="s">
        <v>43</v>
      </c>
      <c r="AA7877" t="s">
        <v>43</v>
      </c>
      <c r="AB7877" t="s">
        <v>43</v>
      </c>
      <c r="AC7877" t="s">
        <v>43</v>
      </c>
      <c r="AD7877" t="s">
        <v>43</v>
      </c>
      <c r="AE7877" t="s">
        <v>43</v>
      </c>
      <c r="AF7877" t="s">
        <v>43</v>
      </c>
      <c r="AG7877" t="s">
        <v>43</v>
      </c>
      <c r="AH7877" t="s">
        <v>43</v>
      </c>
      <c r="AI7877" t="s">
        <v>43</v>
      </c>
      <c r="AJ7877" t="s">
        <v>43</v>
      </c>
      <c r="AK7877" t="s">
        <v>43</v>
      </c>
      <c r="AL7877" t="s">
        <v>43</v>
      </c>
      <c r="AM7877" t="s">
        <v>43</v>
      </c>
      <c r="AN7877" t="s">
        <v>43</v>
      </c>
    </row>
    <row r="7878" spans="1:40" x14ac:dyDescent="0.3">
      <c r="A7878" s="1">
        <v>46210.087500000001</v>
      </c>
      <c r="B7878" t="s">
        <v>40</v>
      </c>
      <c r="C7878" t="s">
        <v>41</v>
      </c>
      <c r="D7878" s="1">
        <v>46210.090277777781</v>
      </c>
      <c r="E7878" t="s">
        <v>42</v>
      </c>
      <c r="F7878" t="s">
        <v>43</v>
      </c>
      <c r="G7878" t="s">
        <v>43</v>
      </c>
      <c r="H7878" t="s">
        <v>43</v>
      </c>
      <c r="I7878" t="s">
        <v>4335</v>
      </c>
      <c r="J7878" t="s">
        <v>43</v>
      </c>
      <c r="K7878" t="s">
        <v>43</v>
      </c>
      <c r="L7878" t="s">
        <v>43</v>
      </c>
      <c r="M7878" t="s">
        <v>43</v>
      </c>
      <c r="N7878" t="s">
        <v>45</v>
      </c>
      <c r="O7878" t="s">
        <v>43</v>
      </c>
      <c r="P7878" t="s">
        <v>43</v>
      </c>
      <c r="Q7878" t="s">
        <v>43</v>
      </c>
      <c r="R7878" t="s">
        <v>43</v>
      </c>
      <c r="S7878" t="s">
        <v>43</v>
      </c>
      <c r="T7878" t="s">
        <v>43</v>
      </c>
      <c r="U7878" t="s">
        <v>43</v>
      </c>
      <c r="V7878" t="s">
        <v>43</v>
      </c>
      <c r="W7878" t="s">
        <v>43</v>
      </c>
      <c r="X7878" t="s">
        <v>43</v>
      </c>
      <c r="Y7878" t="s">
        <v>43</v>
      </c>
      <c r="Z7878" t="s">
        <v>43</v>
      </c>
      <c r="AA7878" t="s">
        <v>43</v>
      </c>
      <c r="AB7878" t="s">
        <v>43</v>
      </c>
      <c r="AC7878" t="s">
        <v>43</v>
      </c>
      <c r="AD7878" t="s">
        <v>43</v>
      </c>
      <c r="AE7878" t="s">
        <v>43</v>
      </c>
      <c r="AF7878" t="s">
        <v>43</v>
      </c>
      <c r="AG7878" t="s">
        <v>43</v>
      </c>
      <c r="AH7878" t="s">
        <v>43</v>
      </c>
      <c r="AI7878" t="s">
        <v>43</v>
      </c>
      <c r="AJ7878" t="s">
        <v>43</v>
      </c>
      <c r="AK7878" t="s">
        <v>43</v>
      </c>
      <c r="AL7878" t="s">
        <v>43</v>
      </c>
      <c r="AM7878" t="s">
        <v>43</v>
      </c>
      <c r="AN7878" t="str">
        <f>HYPERLINK("https://www.google.com/maps?q=10.7896843,79.5787735","Open Location")</f>
        <v>Open Location</v>
      </c>
    </row>
    <row r="7879" spans="1:40" x14ac:dyDescent="0.3">
      <c r="A7879" s="1">
        <v>46210.087384259263</v>
      </c>
      <c r="B7879" t="s">
        <v>40</v>
      </c>
      <c r="C7879" t="s">
        <v>41</v>
      </c>
      <c r="D7879" s="1">
        <v>46210.090277777781</v>
      </c>
      <c r="E7879" t="s">
        <v>42</v>
      </c>
      <c r="F7879" t="s">
        <v>43</v>
      </c>
      <c r="G7879" t="s">
        <v>43</v>
      </c>
      <c r="H7879" t="s">
        <v>43</v>
      </c>
      <c r="I7879" t="s">
        <v>4320</v>
      </c>
      <c r="J7879" t="s">
        <v>43</v>
      </c>
      <c r="K7879" t="s">
        <v>43</v>
      </c>
      <c r="L7879" t="s">
        <v>43</v>
      </c>
      <c r="M7879" t="s">
        <v>43</v>
      </c>
      <c r="N7879" t="s">
        <v>45</v>
      </c>
      <c r="O7879" t="s">
        <v>43</v>
      </c>
      <c r="P7879" t="s">
        <v>43</v>
      </c>
      <c r="Q7879" t="s">
        <v>43</v>
      </c>
      <c r="R7879" t="s">
        <v>43</v>
      </c>
      <c r="S7879" t="s">
        <v>43</v>
      </c>
      <c r="T7879" t="s">
        <v>43</v>
      </c>
      <c r="U7879" t="s">
        <v>43</v>
      </c>
      <c r="V7879" t="s">
        <v>43</v>
      </c>
      <c r="W7879" t="s">
        <v>43</v>
      </c>
      <c r="X7879" t="s">
        <v>43</v>
      </c>
      <c r="Y7879" t="s">
        <v>43</v>
      </c>
      <c r="Z7879" t="s">
        <v>43</v>
      </c>
      <c r="AA7879" t="s">
        <v>43</v>
      </c>
      <c r="AB7879" t="s">
        <v>43</v>
      </c>
      <c r="AC7879" t="s">
        <v>43</v>
      </c>
      <c r="AD7879" t="s">
        <v>43</v>
      </c>
      <c r="AE7879" t="s">
        <v>43</v>
      </c>
      <c r="AF7879" t="s">
        <v>43</v>
      </c>
      <c r="AG7879" t="s">
        <v>43</v>
      </c>
      <c r="AH7879" t="s">
        <v>43</v>
      </c>
      <c r="AI7879" t="s">
        <v>43</v>
      </c>
      <c r="AJ7879" t="s">
        <v>43</v>
      </c>
      <c r="AK7879" t="s">
        <v>43</v>
      </c>
      <c r="AL7879" t="s">
        <v>43</v>
      </c>
      <c r="AM7879" t="s">
        <v>43</v>
      </c>
      <c r="AN7879" t="str">
        <f>HYPERLINK("https://www.google.com/maps?q=10.78968525,79.57878113","Open Location")</f>
        <v>Open Location</v>
      </c>
    </row>
    <row r="7880" spans="1:40" x14ac:dyDescent="0.3">
      <c r="A7880" s="1">
        <v>46210.087268518517</v>
      </c>
      <c r="B7880" t="s">
        <v>40</v>
      </c>
      <c r="C7880" t="s">
        <v>41</v>
      </c>
      <c r="D7880" s="1">
        <v>46210.090370370373</v>
      </c>
      <c r="E7880" t="s">
        <v>42</v>
      </c>
      <c r="F7880" t="s">
        <v>43</v>
      </c>
      <c r="G7880" t="s">
        <v>43</v>
      </c>
      <c r="H7880" t="s">
        <v>43</v>
      </c>
      <c r="I7880" t="s">
        <v>4325</v>
      </c>
      <c r="J7880" t="s">
        <v>43</v>
      </c>
      <c r="K7880" t="s">
        <v>43</v>
      </c>
      <c r="L7880" t="s">
        <v>43</v>
      </c>
      <c r="M7880" t="s">
        <v>43</v>
      </c>
      <c r="N7880" t="s">
        <v>45</v>
      </c>
      <c r="O7880" t="s">
        <v>43</v>
      </c>
      <c r="P7880" t="s">
        <v>43</v>
      </c>
      <c r="Q7880" t="s">
        <v>43</v>
      </c>
      <c r="R7880" t="s">
        <v>43</v>
      </c>
      <c r="S7880" t="s">
        <v>43</v>
      </c>
      <c r="T7880" t="s">
        <v>43</v>
      </c>
      <c r="U7880" t="s">
        <v>43</v>
      </c>
      <c r="V7880" t="s">
        <v>43</v>
      </c>
      <c r="W7880" t="s">
        <v>43</v>
      </c>
      <c r="X7880" t="s">
        <v>43</v>
      </c>
      <c r="Y7880" t="s">
        <v>43</v>
      </c>
      <c r="Z7880" t="s">
        <v>43</v>
      </c>
      <c r="AA7880" t="s">
        <v>43</v>
      </c>
      <c r="AB7880" t="s">
        <v>43</v>
      </c>
      <c r="AC7880" t="s">
        <v>43</v>
      </c>
      <c r="AD7880" t="s">
        <v>43</v>
      </c>
      <c r="AE7880" t="s">
        <v>43</v>
      </c>
      <c r="AF7880" t="s">
        <v>43</v>
      </c>
      <c r="AG7880" t="s">
        <v>43</v>
      </c>
      <c r="AH7880" t="s">
        <v>43</v>
      </c>
      <c r="AI7880" t="s">
        <v>43</v>
      </c>
      <c r="AJ7880" t="s">
        <v>43</v>
      </c>
      <c r="AK7880" t="s">
        <v>43</v>
      </c>
      <c r="AL7880" t="s">
        <v>43</v>
      </c>
      <c r="AM7880" t="s">
        <v>43</v>
      </c>
      <c r="AN7880" t="str">
        <f>HYPERLINK("https://www.google.com/maps?q=10.78968239,79.57878113","Open Location")</f>
        <v>Open Location</v>
      </c>
    </row>
    <row r="7881" spans="1:40" x14ac:dyDescent="0.3">
      <c r="A7881" s="1">
        <v>46210.087152777778</v>
      </c>
      <c r="B7881" t="s">
        <v>40</v>
      </c>
      <c r="C7881" t="s">
        <v>41</v>
      </c>
      <c r="D7881" s="1">
        <v>46210.089918981481</v>
      </c>
      <c r="E7881" t="s">
        <v>42</v>
      </c>
      <c r="F7881" t="s">
        <v>43</v>
      </c>
      <c r="G7881" t="s">
        <v>43</v>
      </c>
      <c r="H7881" t="s">
        <v>43</v>
      </c>
      <c r="I7881" t="s">
        <v>4030</v>
      </c>
      <c r="J7881" t="s">
        <v>43</v>
      </c>
      <c r="K7881" t="s">
        <v>43</v>
      </c>
      <c r="L7881" t="s">
        <v>43</v>
      </c>
      <c r="M7881" t="s">
        <v>43</v>
      </c>
      <c r="N7881" t="s">
        <v>45</v>
      </c>
      <c r="O7881" t="s">
        <v>43</v>
      </c>
      <c r="P7881" t="s">
        <v>43</v>
      </c>
      <c r="Q7881" t="s">
        <v>43</v>
      </c>
      <c r="R7881" t="s">
        <v>43</v>
      </c>
      <c r="S7881" t="s">
        <v>43</v>
      </c>
      <c r="T7881" t="s">
        <v>43</v>
      </c>
      <c r="U7881" t="s">
        <v>43</v>
      </c>
      <c r="V7881" t="s">
        <v>43</v>
      </c>
      <c r="W7881" t="s">
        <v>43</v>
      </c>
      <c r="X7881" t="s">
        <v>43</v>
      </c>
      <c r="Y7881" t="s">
        <v>43</v>
      </c>
      <c r="Z7881" t="s">
        <v>43</v>
      </c>
      <c r="AA7881" t="s">
        <v>43</v>
      </c>
      <c r="AB7881" t="s">
        <v>43</v>
      </c>
      <c r="AC7881" t="s">
        <v>43</v>
      </c>
      <c r="AD7881" t="s">
        <v>43</v>
      </c>
      <c r="AE7881" t="s">
        <v>43</v>
      </c>
      <c r="AF7881" t="s">
        <v>43</v>
      </c>
      <c r="AG7881" t="s">
        <v>43</v>
      </c>
      <c r="AH7881" t="s">
        <v>43</v>
      </c>
      <c r="AI7881" t="s">
        <v>43</v>
      </c>
      <c r="AJ7881" t="s">
        <v>43</v>
      </c>
      <c r="AK7881" t="s">
        <v>43</v>
      </c>
      <c r="AL7881" t="s">
        <v>43</v>
      </c>
      <c r="AM7881" t="s">
        <v>43</v>
      </c>
      <c r="AN7881" t="str">
        <f>HYPERLINK("https://www.google.com/maps?q=10.78967857,79.57878113","Open Location")</f>
        <v>Open Location</v>
      </c>
    </row>
    <row r="7882" spans="1:40" x14ac:dyDescent="0.3">
      <c r="A7882" s="1">
        <v>46210.087037037039</v>
      </c>
      <c r="B7882" t="s">
        <v>40</v>
      </c>
      <c r="C7882" t="s">
        <v>41</v>
      </c>
      <c r="D7882" s="1">
        <v>46210.089884259258</v>
      </c>
      <c r="E7882" t="s">
        <v>42</v>
      </c>
      <c r="F7882" t="s">
        <v>43</v>
      </c>
      <c r="G7882" t="s">
        <v>43</v>
      </c>
      <c r="H7882" t="s">
        <v>43</v>
      </c>
      <c r="I7882" t="s">
        <v>4029</v>
      </c>
      <c r="J7882" t="s">
        <v>43</v>
      </c>
      <c r="K7882" t="s">
        <v>43</v>
      </c>
      <c r="L7882" t="s">
        <v>43</v>
      </c>
      <c r="M7882" t="s">
        <v>43</v>
      </c>
      <c r="N7882" t="s">
        <v>45</v>
      </c>
      <c r="O7882" t="s">
        <v>43</v>
      </c>
      <c r="P7882" t="s">
        <v>43</v>
      </c>
      <c r="Q7882" t="s">
        <v>43</v>
      </c>
      <c r="R7882" t="s">
        <v>43</v>
      </c>
      <c r="S7882" t="s">
        <v>43</v>
      </c>
      <c r="T7882" t="s">
        <v>43</v>
      </c>
      <c r="U7882" t="s">
        <v>43</v>
      </c>
      <c r="V7882" t="s">
        <v>43</v>
      </c>
      <c r="W7882" t="s">
        <v>43</v>
      </c>
      <c r="X7882" t="s">
        <v>43</v>
      </c>
      <c r="Y7882" t="s">
        <v>43</v>
      </c>
      <c r="Z7882" t="s">
        <v>43</v>
      </c>
      <c r="AA7882" t="s">
        <v>43</v>
      </c>
      <c r="AB7882" t="s">
        <v>43</v>
      </c>
      <c r="AC7882" t="s">
        <v>43</v>
      </c>
      <c r="AD7882" t="s">
        <v>43</v>
      </c>
      <c r="AE7882" t="s">
        <v>43</v>
      </c>
      <c r="AF7882" t="s">
        <v>43</v>
      </c>
      <c r="AG7882" t="s">
        <v>43</v>
      </c>
      <c r="AH7882" t="s">
        <v>43</v>
      </c>
      <c r="AI7882" t="s">
        <v>43</v>
      </c>
      <c r="AJ7882" t="s">
        <v>43</v>
      </c>
      <c r="AK7882" t="s">
        <v>43</v>
      </c>
      <c r="AL7882" t="s">
        <v>43</v>
      </c>
      <c r="AM7882" t="s">
        <v>43</v>
      </c>
      <c r="AN7882" t="str">
        <f>HYPERLINK("https://www.google.com/maps?q=10.78967667,79.57878113","Open Location")</f>
        <v>Open Location</v>
      </c>
    </row>
    <row r="7883" spans="1:40" x14ac:dyDescent="0.3">
      <c r="A7883" s="1">
        <v>46210.086921296293</v>
      </c>
      <c r="B7883" t="s">
        <v>40</v>
      </c>
      <c r="C7883" t="s">
        <v>41</v>
      </c>
      <c r="D7883" s="1">
        <v>46210.089918981481</v>
      </c>
      <c r="E7883" t="s">
        <v>42</v>
      </c>
      <c r="F7883" t="s">
        <v>43</v>
      </c>
      <c r="G7883" t="s">
        <v>43</v>
      </c>
      <c r="H7883" t="s">
        <v>43</v>
      </c>
      <c r="I7883" t="s">
        <v>43</v>
      </c>
      <c r="J7883" t="s">
        <v>43</v>
      </c>
      <c r="K7883" t="s">
        <v>43</v>
      </c>
      <c r="L7883" t="s">
        <v>43</v>
      </c>
      <c r="M7883" t="s">
        <v>43</v>
      </c>
      <c r="N7883" t="s">
        <v>45</v>
      </c>
      <c r="O7883" t="s">
        <v>43</v>
      </c>
      <c r="P7883" t="s">
        <v>43</v>
      </c>
      <c r="Q7883" t="s">
        <v>43</v>
      </c>
      <c r="R7883" t="s">
        <v>43</v>
      </c>
      <c r="S7883" t="s">
        <v>43</v>
      </c>
      <c r="T7883" t="s">
        <v>43</v>
      </c>
      <c r="U7883" t="s">
        <v>43</v>
      </c>
      <c r="V7883" t="s">
        <v>43</v>
      </c>
      <c r="W7883" t="s">
        <v>43</v>
      </c>
      <c r="X7883" t="s">
        <v>43</v>
      </c>
      <c r="Y7883" t="s">
        <v>43</v>
      </c>
      <c r="Z7883" t="s">
        <v>43</v>
      </c>
      <c r="AA7883" t="s">
        <v>43</v>
      </c>
      <c r="AB7883" t="s">
        <v>43</v>
      </c>
      <c r="AC7883" t="s">
        <v>43</v>
      </c>
      <c r="AD7883" t="s">
        <v>43</v>
      </c>
      <c r="AE7883" t="s">
        <v>43</v>
      </c>
      <c r="AF7883" t="s">
        <v>43</v>
      </c>
      <c r="AG7883" t="s">
        <v>43</v>
      </c>
      <c r="AH7883" t="s">
        <v>43</v>
      </c>
      <c r="AI7883" t="s">
        <v>43</v>
      </c>
      <c r="AJ7883" t="s">
        <v>43</v>
      </c>
      <c r="AK7883" t="s">
        <v>43</v>
      </c>
      <c r="AL7883" t="s">
        <v>43</v>
      </c>
      <c r="AM7883" t="s">
        <v>43</v>
      </c>
      <c r="AN7883" t="s">
        <v>43</v>
      </c>
    </row>
    <row r="7884" spans="1:40" x14ac:dyDescent="0.3">
      <c r="A7884" s="1">
        <v>46210.086805555555</v>
      </c>
      <c r="B7884" t="s">
        <v>40</v>
      </c>
      <c r="C7884" t="s">
        <v>41</v>
      </c>
      <c r="D7884" s="1">
        <v>46210.089884259258</v>
      </c>
      <c r="E7884" t="s">
        <v>42</v>
      </c>
      <c r="F7884" t="s">
        <v>43</v>
      </c>
      <c r="G7884" t="s">
        <v>43</v>
      </c>
      <c r="H7884" t="s">
        <v>43</v>
      </c>
      <c r="I7884" t="s">
        <v>4029</v>
      </c>
      <c r="J7884" t="s">
        <v>43</v>
      </c>
      <c r="K7884" t="s">
        <v>43</v>
      </c>
      <c r="L7884" t="s">
        <v>43</v>
      </c>
      <c r="M7884" t="s">
        <v>43</v>
      </c>
      <c r="N7884" t="s">
        <v>45</v>
      </c>
      <c r="O7884" t="s">
        <v>43</v>
      </c>
      <c r="P7884" t="s">
        <v>43</v>
      </c>
      <c r="Q7884" t="s">
        <v>43</v>
      </c>
      <c r="R7884" t="s">
        <v>43</v>
      </c>
      <c r="S7884" t="s">
        <v>43</v>
      </c>
      <c r="T7884" t="s">
        <v>43</v>
      </c>
      <c r="U7884" t="s">
        <v>43</v>
      </c>
      <c r="V7884" t="s">
        <v>43</v>
      </c>
      <c r="W7884" t="s">
        <v>43</v>
      </c>
      <c r="X7884" t="s">
        <v>43</v>
      </c>
      <c r="Y7884" t="s">
        <v>43</v>
      </c>
      <c r="Z7884" t="s">
        <v>43</v>
      </c>
      <c r="AA7884" t="s">
        <v>43</v>
      </c>
      <c r="AB7884" t="s">
        <v>43</v>
      </c>
      <c r="AC7884" t="s">
        <v>43</v>
      </c>
      <c r="AD7884" t="s">
        <v>43</v>
      </c>
      <c r="AE7884" t="s">
        <v>43</v>
      </c>
      <c r="AF7884" t="s">
        <v>43</v>
      </c>
      <c r="AG7884" t="s">
        <v>43</v>
      </c>
      <c r="AH7884" t="s">
        <v>43</v>
      </c>
      <c r="AI7884" t="s">
        <v>43</v>
      </c>
      <c r="AJ7884" t="s">
        <v>43</v>
      </c>
      <c r="AK7884" t="s">
        <v>43</v>
      </c>
      <c r="AL7884" t="s">
        <v>43</v>
      </c>
      <c r="AM7884" t="s">
        <v>43</v>
      </c>
      <c r="AN7884" t="str">
        <f>HYPERLINK("https://www.google.com/maps?q=10.78967667,79.57878113","Open Location")</f>
        <v>Open Location</v>
      </c>
    </row>
    <row r="7885" spans="1:40" x14ac:dyDescent="0.3">
      <c r="A7885" s="1">
        <v>46210.086689814816</v>
      </c>
      <c r="B7885" t="s">
        <v>40</v>
      </c>
      <c r="C7885" t="s">
        <v>41</v>
      </c>
      <c r="D7885" s="1">
        <v>46210.089513888888</v>
      </c>
      <c r="E7885" t="s">
        <v>42</v>
      </c>
      <c r="F7885" t="s">
        <v>43</v>
      </c>
      <c r="G7885" t="s">
        <v>43</v>
      </c>
      <c r="H7885" t="s">
        <v>43</v>
      </c>
      <c r="I7885" t="s">
        <v>4229</v>
      </c>
      <c r="J7885" t="s">
        <v>43</v>
      </c>
      <c r="K7885" t="s">
        <v>43</v>
      </c>
      <c r="L7885" t="s">
        <v>43</v>
      </c>
      <c r="M7885" t="s">
        <v>43</v>
      </c>
      <c r="N7885" t="s">
        <v>45</v>
      </c>
      <c r="O7885" t="s">
        <v>43</v>
      </c>
      <c r="P7885" t="s">
        <v>43</v>
      </c>
      <c r="Q7885" t="s">
        <v>43</v>
      </c>
      <c r="R7885" t="s">
        <v>43</v>
      </c>
      <c r="S7885" t="s">
        <v>43</v>
      </c>
      <c r="T7885" t="s">
        <v>43</v>
      </c>
      <c r="U7885" t="s">
        <v>43</v>
      </c>
      <c r="V7885" t="s">
        <v>43</v>
      </c>
      <c r="W7885" t="s">
        <v>43</v>
      </c>
      <c r="X7885" t="s">
        <v>43</v>
      </c>
      <c r="Y7885" t="s">
        <v>43</v>
      </c>
      <c r="Z7885" t="s">
        <v>43</v>
      </c>
      <c r="AA7885" t="s">
        <v>43</v>
      </c>
      <c r="AB7885" t="s">
        <v>43</v>
      </c>
      <c r="AC7885" t="s">
        <v>43</v>
      </c>
      <c r="AD7885" t="s">
        <v>43</v>
      </c>
      <c r="AE7885" t="s">
        <v>43</v>
      </c>
      <c r="AF7885" t="s">
        <v>43</v>
      </c>
      <c r="AG7885" t="s">
        <v>43</v>
      </c>
      <c r="AH7885" t="s">
        <v>43</v>
      </c>
      <c r="AI7885" t="s">
        <v>43</v>
      </c>
      <c r="AJ7885" t="s">
        <v>43</v>
      </c>
      <c r="AK7885" t="s">
        <v>43</v>
      </c>
      <c r="AL7885" t="s">
        <v>43</v>
      </c>
      <c r="AM7885" t="s">
        <v>43</v>
      </c>
      <c r="AN7885" t="str">
        <f>HYPERLINK("https://www.google.com/maps?q=10.78967953,79.57878876","Open Location")</f>
        <v>Open Location</v>
      </c>
    </row>
    <row r="7886" spans="1:40" x14ac:dyDescent="0.3">
      <c r="A7886" s="1">
        <v>46210.086574074077</v>
      </c>
      <c r="B7886" t="s">
        <v>40</v>
      </c>
      <c r="C7886" t="s">
        <v>41</v>
      </c>
      <c r="D7886" s="1">
        <v>46210.089560185188</v>
      </c>
      <c r="E7886" t="s">
        <v>42</v>
      </c>
      <c r="F7886" t="s">
        <v>43</v>
      </c>
      <c r="G7886" t="s">
        <v>43</v>
      </c>
      <c r="H7886" t="s">
        <v>43</v>
      </c>
      <c r="I7886" t="s">
        <v>4030</v>
      </c>
      <c r="J7886" t="s">
        <v>43</v>
      </c>
      <c r="K7886" t="s">
        <v>43</v>
      </c>
      <c r="L7886" t="s">
        <v>43</v>
      </c>
      <c r="M7886" t="s">
        <v>43</v>
      </c>
      <c r="N7886" t="s">
        <v>45</v>
      </c>
      <c r="O7886" t="s">
        <v>43</v>
      </c>
      <c r="P7886" t="s">
        <v>43</v>
      </c>
      <c r="Q7886" t="s">
        <v>43</v>
      </c>
      <c r="R7886" t="s">
        <v>43</v>
      </c>
      <c r="S7886" t="s">
        <v>43</v>
      </c>
      <c r="T7886" t="s">
        <v>43</v>
      </c>
      <c r="U7886" t="s">
        <v>43</v>
      </c>
      <c r="V7886" t="s">
        <v>43</v>
      </c>
      <c r="W7886" t="s">
        <v>43</v>
      </c>
      <c r="X7886" t="s">
        <v>43</v>
      </c>
      <c r="Y7886" t="s">
        <v>43</v>
      </c>
      <c r="Z7886" t="s">
        <v>43</v>
      </c>
      <c r="AA7886" t="s">
        <v>43</v>
      </c>
      <c r="AB7886" t="s">
        <v>43</v>
      </c>
      <c r="AC7886" t="s">
        <v>43</v>
      </c>
      <c r="AD7886" t="s">
        <v>43</v>
      </c>
      <c r="AE7886" t="s">
        <v>43</v>
      </c>
      <c r="AF7886" t="s">
        <v>43</v>
      </c>
      <c r="AG7886" t="s">
        <v>43</v>
      </c>
      <c r="AH7886" t="s">
        <v>43</v>
      </c>
      <c r="AI7886" t="s">
        <v>43</v>
      </c>
      <c r="AJ7886" t="s">
        <v>43</v>
      </c>
      <c r="AK7886" t="s">
        <v>43</v>
      </c>
      <c r="AL7886" t="s">
        <v>43</v>
      </c>
      <c r="AM7886" t="s">
        <v>43</v>
      </c>
      <c r="AN7886" t="str">
        <f>HYPERLINK("https://www.google.com/maps?q=10.78967857,79.57878113","Open Location")</f>
        <v>Open Location</v>
      </c>
    </row>
    <row r="7887" spans="1:40" x14ac:dyDescent="0.3">
      <c r="A7887" s="1">
        <v>46210.086458333331</v>
      </c>
      <c r="B7887" t="s">
        <v>40</v>
      </c>
      <c r="C7887" t="s">
        <v>41</v>
      </c>
      <c r="D7887" s="1">
        <v>46210.089513888888</v>
      </c>
      <c r="E7887" t="s">
        <v>42</v>
      </c>
      <c r="F7887" t="s">
        <v>43</v>
      </c>
      <c r="G7887" t="s">
        <v>43</v>
      </c>
      <c r="H7887" t="s">
        <v>43</v>
      </c>
      <c r="I7887" t="s">
        <v>4325</v>
      </c>
      <c r="J7887" t="s">
        <v>43</v>
      </c>
      <c r="K7887" t="s">
        <v>43</v>
      </c>
      <c r="L7887" t="s">
        <v>43</v>
      </c>
      <c r="M7887" t="s">
        <v>43</v>
      </c>
      <c r="N7887" t="s">
        <v>45</v>
      </c>
      <c r="O7887" t="s">
        <v>43</v>
      </c>
      <c r="P7887" t="s">
        <v>43</v>
      </c>
      <c r="Q7887" t="s">
        <v>43</v>
      </c>
      <c r="R7887" t="s">
        <v>43</v>
      </c>
      <c r="S7887" t="s">
        <v>43</v>
      </c>
      <c r="T7887" t="s">
        <v>43</v>
      </c>
      <c r="U7887" t="s">
        <v>43</v>
      </c>
      <c r="V7887" t="s">
        <v>43</v>
      </c>
      <c r="W7887" t="s">
        <v>43</v>
      </c>
      <c r="X7887" t="s">
        <v>43</v>
      </c>
      <c r="Y7887" t="s">
        <v>43</v>
      </c>
      <c r="Z7887" t="s">
        <v>43</v>
      </c>
      <c r="AA7887" t="s">
        <v>43</v>
      </c>
      <c r="AB7887" t="s">
        <v>43</v>
      </c>
      <c r="AC7887" t="s">
        <v>43</v>
      </c>
      <c r="AD7887" t="s">
        <v>43</v>
      </c>
      <c r="AE7887" t="s">
        <v>43</v>
      </c>
      <c r="AF7887" t="s">
        <v>43</v>
      </c>
      <c r="AG7887" t="s">
        <v>43</v>
      </c>
      <c r="AH7887" t="s">
        <v>43</v>
      </c>
      <c r="AI7887" t="s">
        <v>43</v>
      </c>
      <c r="AJ7887" t="s">
        <v>43</v>
      </c>
      <c r="AK7887" t="s">
        <v>43</v>
      </c>
      <c r="AL7887" t="s">
        <v>43</v>
      </c>
      <c r="AM7887" t="s">
        <v>43</v>
      </c>
      <c r="AN7887" t="str">
        <f>HYPERLINK("https://www.google.com/maps?q=10.78968239,79.57878113","Open Location")</f>
        <v>Open Location</v>
      </c>
    </row>
    <row r="7888" spans="1:40" x14ac:dyDescent="0.3">
      <c r="A7888" s="1">
        <v>46210.086342592593</v>
      </c>
      <c r="B7888" t="s">
        <v>40</v>
      </c>
      <c r="C7888" t="s">
        <v>41</v>
      </c>
      <c r="D7888" s="1">
        <v>46210.089513888888</v>
      </c>
      <c r="E7888" t="s">
        <v>42</v>
      </c>
      <c r="F7888" t="s">
        <v>43</v>
      </c>
      <c r="G7888" t="s">
        <v>43</v>
      </c>
      <c r="H7888" t="s">
        <v>43</v>
      </c>
      <c r="I7888" t="s">
        <v>4324</v>
      </c>
      <c r="J7888" t="s">
        <v>43</v>
      </c>
      <c r="K7888" t="s">
        <v>43</v>
      </c>
      <c r="L7888" t="s">
        <v>43</v>
      </c>
      <c r="M7888" t="s">
        <v>43</v>
      </c>
      <c r="N7888" t="s">
        <v>45</v>
      </c>
      <c r="O7888" t="s">
        <v>43</v>
      </c>
      <c r="P7888" t="s">
        <v>43</v>
      </c>
      <c r="Q7888" t="s">
        <v>43</v>
      </c>
      <c r="R7888" t="s">
        <v>43</v>
      </c>
      <c r="S7888" t="s">
        <v>43</v>
      </c>
      <c r="T7888" t="s">
        <v>43</v>
      </c>
      <c r="U7888" t="s">
        <v>43</v>
      </c>
      <c r="V7888" t="s">
        <v>43</v>
      </c>
      <c r="W7888" t="s">
        <v>43</v>
      </c>
      <c r="X7888" t="s">
        <v>43</v>
      </c>
      <c r="Y7888" t="s">
        <v>43</v>
      </c>
      <c r="Z7888" t="s">
        <v>43</v>
      </c>
      <c r="AA7888" t="s">
        <v>43</v>
      </c>
      <c r="AB7888" t="s">
        <v>43</v>
      </c>
      <c r="AC7888" t="s">
        <v>43</v>
      </c>
      <c r="AD7888" t="s">
        <v>43</v>
      </c>
      <c r="AE7888" t="s">
        <v>43</v>
      </c>
      <c r="AF7888" t="s">
        <v>43</v>
      </c>
      <c r="AG7888" t="s">
        <v>43</v>
      </c>
      <c r="AH7888" t="s">
        <v>43</v>
      </c>
      <c r="AI7888" t="s">
        <v>43</v>
      </c>
      <c r="AJ7888" t="s">
        <v>43</v>
      </c>
      <c r="AK7888" t="s">
        <v>43</v>
      </c>
      <c r="AL7888" t="s">
        <v>43</v>
      </c>
      <c r="AM7888" t="s">
        <v>43</v>
      </c>
      <c r="AN7888" t="str">
        <f>HYPERLINK("https://www.google.com/maps?q=10.78968143,79.57878113","Open Location")</f>
        <v>Open Location</v>
      </c>
    </row>
    <row r="7889" spans="1:40" x14ac:dyDescent="0.3">
      <c r="A7889" s="1">
        <v>46210.086226851854</v>
      </c>
      <c r="B7889" t="s">
        <v>40</v>
      </c>
      <c r="C7889" t="s">
        <v>41</v>
      </c>
      <c r="D7889" s="1">
        <v>46210.089166666665</v>
      </c>
      <c r="E7889" t="s">
        <v>42</v>
      </c>
      <c r="F7889" t="s">
        <v>43</v>
      </c>
      <c r="G7889" t="s">
        <v>43</v>
      </c>
      <c r="H7889" t="s">
        <v>43</v>
      </c>
      <c r="I7889" t="s">
        <v>43</v>
      </c>
      <c r="J7889" t="s">
        <v>43</v>
      </c>
      <c r="K7889" t="s">
        <v>43</v>
      </c>
      <c r="L7889" t="s">
        <v>43</v>
      </c>
      <c r="M7889" t="s">
        <v>43</v>
      </c>
      <c r="N7889" t="s">
        <v>45</v>
      </c>
      <c r="O7889" t="s">
        <v>43</v>
      </c>
      <c r="P7889" t="s">
        <v>43</v>
      </c>
      <c r="Q7889" t="s">
        <v>43</v>
      </c>
      <c r="R7889" t="s">
        <v>43</v>
      </c>
      <c r="S7889" t="s">
        <v>43</v>
      </c>
      <c r="T7889" t="s">
        <v>43</v>
      </c>
      <c r="U7889" t="s">
        <v>43</v>
      </c>
      <c r="V7889" t="s">
        <v>43</v>
      </c>
      <c r="W7889" t="s">
        <v>43</v>
      </c>
      <c r="X7889" t="s">
        <v>43</v>
      </c>
      <c r="Y7889" t="s">
        <v>43</v>
      </c>
      <c r="Z7889" t="s">
        <v>43</v>
      </c>
      <c r="AA7889" t="s">
        <v>43</v>
      </c>
      <c r="AB7889" t="s">
        <v>43</v>
      </c>
      <c r="AC7889" t="s">
        <v>43</v>
      </c>
      <c r="AD7889" t="s">
        <v>43</v>
      </c>
      <c r="AE7889" t="s">
        <v>43</v>
      </c>
      <c r="AF7889" t="s">
        <v>43</v>
      </c>
      <c r="AG7889" t="s">
        <v>43</v>
      </c>
      <c r="AH7889" t="s">
        <v>43</v>
      </c>
      <c r="AI7889" t="s">
        <v>43</v>
      </c>
      <c r="AJ7889" t="s">
        <v>43</v>
      </c>
      <c r="AK7889" t="s">
        <v>43</v>
      </c>
      <c r="AL7889" t="s">
        <v>43</v>
      </c>
      <c r="AM7889" t="s">
        <v>43</v>
      </c>
      <c r="AN7889" t="s">
        <v>43</v>
      </c>
    </row>
    <row r="7890" spans="1:40" x14ac:dyDescent="0.3">
      <c r="A7890" s="1">
        <v>46210.086111111108</v>
      </c>
      <c r="B7890" t="s">
        <v>40</v>
      </c>
      <c r="C7890" t="s">
        <v>41</v>
      </c>
      <c r="D7890" s="1">
        <v>46210.089155092595</v>
      </c>
      <c r="E7890" t="s">
        <v>42</v>
      </c>
      <c r="F7890" t="s">
        <v>43</v>
      </c>
      <c r="G7890" t="s">
        <v>43</v>
      </c>
      <c r="H7890" t="s">
        <v>43</v>
      </c>
      <c r="I7890" t="s">
        <v>4325</v>
      </c>
      <c r="J7890" t="s">
        <v>43</v>
      </c>
      <c r="K7890" t="s">
        <v>43</v>
      </c>
      <c r="L7890" t="s">
        <v>43</v>
      </c>
      <c r="M7890" t="s">
        <v>43</v>
      </c>
      <c r="N7890" t="s">
        <v>45</v>
      </c>
      <c r="O7890" t="s">
        <v>43</v>
      </c>
      <c r="P7890" t="s">
        <v>43</v>
      </c>
      <c r="Q7890" t="s">
        <v>43</v>
      </c>
      <c r="R7890" t="s">
        <v>43</v>
      </c>
      <c r="S7890" t="s">
        <v>43</v>
      </c>
      <c r="T7890" t="s">
        <v>43</v>
      </c>
      <c r="U7890" t="s">
        <v>43</v>
      </c>
      <c r="V7890" t="s">
        <v>43</v>
      </c>
      <c r="W7890" t="s">
        <v>43</v>
      </c>
      <c r="X7890" t="s">
        <v>43</v>
      </c>
      <c r="Y7890" t="s">
        <v>43</v>
      </c>
      <c r="Z7890" t="s">
        <v>43</v>
      </c>
      <c r="AA7890" t="s">
        <v>43</v>
      </c>
      <c r="AB7890" t="s">
        <v>43</v>
      </c>
      <c r="AC7890" t="s">
        <v>43</v>
      </c>
      <c r="AD7890" t="s">
        <v>43</v>
      </c>
      <c r="AE7890" t="s">
        <v>43</v>
      </c>
      <c r="AF7890" t="s">
        <v>43</v>
      </c>
      <c r="AG7890" t="s">
        <v>43</v>
      </c>
      <c r="AH7890" t="s">
        <v>43</v>
      </c>
      <c r="AI7890" t="s">
        <v>43</v>
      </c>
      <c r="AJ7890" t="s">
        <v>43</v>
      </c>
      <c r="AK7890" t="s">
        <v>43</v>
      </c>
      <c r="AL7890" t="s">
        <v>43</v>
      </c>
      <c r="AM7890" t="s">
        <v>43</v>
      </c>
      <c r="AN7890" t="str">
        <f>HYPERLINK("https://www.google.com/maps?q=10.78968239,79.57878113","Open Location")</f>
        <v>Open Location</v>
      </c>
    </row>
    <row r="7891" spans="1:40" x14ac:dyDescent="0.3">
      <c r="A7891" s="1">
        <v>46210.085995370369</v>
      </c>
      <c r="B7891" t="s">
        <v>40</v>
      </c>
      <c r="C7891" t="s">
        <v>41</v>
      </c>
      <c r="D7891" s="1">
        <v>46210.088784722226</v>
      </c>
      <c r="E7891" t="s">
        <v>42</v>
      </c>
      <c r="F7891" t="s">
        <v>43</v>
      </c>
      <c r="G7891" t="s">
        <v>43</v>
      </c>
      <c r="H7891" t="s">
        <v>43</v>
      </c>
      <c r="I7891" t="s">
        <v>4213</v>
      </c>
      <c r="J7891" t="s">
        <v>43</v>
      </c>
      <c r="K7891" t="s">
        <v>43</v>
      </c>
      <c r="L7891" t="s">
        <v>43</v>
      </c>
      <c r="M7891" t="s">
        <v>43</v>
      </c>
      <c r="N7891" t="s">
        <v>45</v>
      </c>
      <c r="O7891" t="s">
        <v>43</v>
      </c>
      <c r="P7891" t="s">
        <v>43</v>
      </c>
      <c r="Q7891" t="s">
        <v>43</v>
      </c>
      <c r="R7891" t="s">
        <v>43</v>
      </c>
      <c r="S7891" t="s">
        <v>43</v>
      </c>
      <c r="T7891" t="s">
        <v>43</v>
      </c>
      <c r="U7891" t="s">
        <v>43</v>
      </c>
      <c r="V7891" t="s">
        <v>43</v>
      </c>
      <c r="W7891" t="s">
        <v>43</v>
      </c>
      <c r="X7891" t="s">
        <v>43</v>
      </c>
      <c r="Y7891" t="s">
        <v>43</v>
      </c>
      <c r="Z7891" t="s">
        <v>43</v>
      </c>
      <c r="AA7891" t="s">
        <v>43</v>
      </c>
      <c r="AB7891" t="s">
        <v>43</v>
      </c>
      <c r="AC7891" t="s">
        <v>43</v>
      </c>
      <c r="AD7891" t="s">
        <v>43</v>
      </c>
      <c r="AE7891" t="s">
        <v>43</v>
      </c>
      <c r="AF7891" t="s">
        <v>43</v>
      </c>
      <c r="AG7891" t="s">
        <v>43</v>
      </c>
      <c r="AH7891" t="s">
        <v>43</v>
      </c>
      <c r="AI7891" t="s">
        <v>43</v>
      </c>
      <c r="AJ7891" t="s">
        <v>43</v>
      </c>
      <c r="AK7891" t="s">
        <v>43</v>
      </c>
      <c r="AL7891" t="s">
        <v>43</v>
      </c>
      <c r="AM7891" t="s">
        <v>43</v>
      </c>
      <c r="AN7891" t="str">
        <f>HYPERLINK("https://www.google.com/maps?q=10.7896843,79.57878113","Open Location")</f>
        <v>Open Location</v>
      </c>
    </row>
    <row r="7892" spans="1:40" x14ac:dyDescent="0.3">
      <c r="A7892" s="1">
        <v>46210.085879629631</v>
      </c>
      <c r="B7892" t="s">
        <v>40</v>
      </c>
      <c r="C7892" t="s">
        <v>41</v>
      </c>
      <c r="D7892" s="1">
        <v>46210.088877314818</v>
      </c>
      <c r="E7892" t="s">
        <v>42</v>
      </c>
      <c r="F7892" t="s">
        <v>43</v>
      </c>
      <c r="G7892" t="s">
        <v>43</v>
      </c>
      <c r="H7892" t="s">
        <v>43</v>
      </c>
      <c r="I7892" t="s">
        <v>4307</v>
      </c>
      <c r="J7892" t="s">
        <v>43</v>
      </c>
      <c r="K7892" t="s">
        <v>43</v>
      </c>
      <c r="L7892" t="s">
        <v>43</v>
      </c>
      <c r="M7892" t="s">
        <v>43</v>
      </c>
      <c r="N7892" t="s">
        <v>45</v>
      </c>
      <c r="O7892" t="s">
        <v>43</v>
      </c>
      <c r="P7892" t="s">
        <v>43</v>
      </c>
      <c r="Q7892" t="s">
        <v>43</v>
      </c>
      <c r="R7892" t="s">
        <v>43</v>
      </c>
      <c r="S7892" t="s">
        <v>43</v>
      </c>
      <c r="T7892" t="s">
        <v>43</v>
      </c>
      <c r="U7892" t="s">
        <v>43</v>
      </c>
      <c r="V7892" t="s">
        <v>43</v>
      </c>
      <c r="W7892" t="s">
        <v>43</v>
      </c>
      <c r="X7892" t="s">
        <v>43</v>
      </c>
      <c r="Y7892" t="s">
        <v>43</v>
      </c>
      <c r="Z7892" t="s">
        <v>43</v>
      </c>
      <c r="AA7892" t="s">
        <v>43</v>
      </c>
      <c r="AB7892" t="s">
        <v>43</v>
      </c>
      <c r="AC7892" t="s">
        <v>43</v>
      </c>
      <c r="AD7892" t="s">
        <v>43</v>
      </c>
      <c r="AE7892" t="s">
        <v>43</v>
      </c>
      <c r="AF7892" t="s">
        <v>43</v>
      </c>
      <c r="AG7892" t="s">
        <v>43</v>
      </c>
      <c r="AH7892" t="s">
        <v>43</v>
      </c>
      <c r="AI7892" t="s">
        <v>43</v>
      </c>
      <c r="AJ7892" t="s">
        <v>43</v>
      </c>
      <c r="AK7892" t="s">
        <v>43</v>
      </c>
      <c r="AL7892" t="s">
        <v>43</v>
      </c>
      <c r="AM7892" t="s">
        <v>43</v>
      </c>
      <c r="AN7892" t="str">
        <f>HYPERLINK("https://www.google.com/maps?q=10.78968811,79.57878113","Open Location")</f>
        <v>Open Location</v>
      </c>
    </row>
    <row r="7893" spans="1:40" x14ac:dyDescent="0.3">
      <c r="A7893" s="1">
        <v>46210.085763888892</v>
      </c>
      <c r="B7893" t="s">
        <v>40</v>
      </c>
      <c r="C7893" t="s">
        <v>41</v>
      </c>
      <c r="D7893" s="1">
        <v>46210.088506944441</v>
      </c>
      <c r="E7893" t="s">
        <v>42</v>
      </c>
      <c r="F7893" t="s">
        <v>43</v>
      </c>
      <c r="G7893" t="s">
        <v>43</v>
      </c>
      <c r="H7893" t="s">
        <v>43</v>
      </c>
      <c r="I7893" t="s">
        <v>4322</v>
      </c>
      <c r="J7893" t="s">
        <v>43</v>
      </c>
      <c r="K7893" t="s">
        <v>43</v>
      </c>
      <c r="L7893" t="s">
        <v>43</v>
      </c>
      <c r="M7893" t="s">
        <v>43</v>
      </c>
      <c r="N7893" t="s">
        <v>45</v>
      </c>
      <c r="O7893" t="s">
        <v>43</v>
      </c>
      <c r="P7893" t="s">
        <v>43</v>
      </c>
      <c r="Q7893" t="s">
        <v>43</v>
      </c>
      <c r="R7893" t="s">
        <v>43</v>
      </c>
      <c r="S7893" t="s">
        <v>43</v>
      </c>
      <c r="T7893" t="s">
        <v>43</v>
      </c>
      <c r="U7893" t="s">
        <v>43</v>
      </c>
      <c r="V7893" t="s">
        <v>43</v>
      </c>
      <c r="W7893" t="s">
        <v>43</v>
      </c>
      <c r="X7893" t="s">
        <v>43</v>
      </c>
      <c r="Y7893" t="s">
        <v>43</v>
      </c>
      <c r="Z7893" t="s">
        <v>43</v>
      </c>
      <c r="AA7893" t="s">
        <v>43</v>
      </c>
      <c r="AB7893" t="s">
        <v>43</v>
      </c>
      <c r="AC7893" t="s">
        <v>43</v>
      </c>
      <c r="AD7893" t="s">
        <v>43</v>
      </c>
      <c r="AE7893" t="s">
        <v>43</v>
      </c>
      <c r="AF7893" t="s">
        <v>43</v>
      </c>
      <c r="AG7893" t="s">
        <v>43</v>
      </c>
      <c r="AH7893" t="s">
        <v>43</v>
      </c>
      <c r="AI7893" t="s">
        <v>43</v>
      </c>
      <c r="AJ7893" t="s">
        <v>43</v>
      </c>
      <c r="AK7893" t="s">
        <v>43</v>
      </c>
      <c r="AL7893" t="s">
        <v>43</v>
      </c>
      <c r="AM7893" t="s">
        <v>43</v>
      </c>
      <c r="AN7893" t="str">
        <f>HYPERLINK("https://www.google.com/maps?q=10.7896862,79.57878113","Open Location")</f>
        <v>Open Location</v>
      </c>
    </row>
    <row r="7894" spans="1:40" x14ac:dyDescent="0.3">
      <c r="A7894" s="1">
        <v>46210.085648148146</v>
      </c>
      <c r="B7894" t="s">
        <v>40</v>
      </c>
      <c r="C7894" t="s">
        <v>41</v>
      </c>
      <c r="D7894" s="1">
        <v>46210.088506944441</v>
      </c>
      <c r="E7894" t="s">
        <v>42</v>
      </c>
      <c r="F7894" t="s">
        <v>43</v>
      </c>
      <c r="G7894" t="s">
        <v>43</v>
      </c>
      <c r="H7894" t="s">
        <v>43</v>
      </c>
      <c r="I7894" t="s">
        <v>43</v>
      </c>
      <c r="J7894" t="s">
        <v>43</v>
      </c>
      <c r="K7894" t="s">
        <v>43</v>
      </c>
      <c r="L7894" t="s">
        <v>43</v>
      </c>
      <c r="M7894" t="s">
        <v>43</v>
      </c>
      <c r="N7894" t="s">
        <v>45</v>
      </c>
      <c r="O7894" t="s">
        <v>43</v>
      </c>
      <c r="P7894" t="s">
        <v>43</v>
      </c>
      <c r="Q7894" t="s">
        <v>43</v>
      </c>
      <c r="R7894" t="s">
        <v>43</v>
      </c>
      <c r="S7894" t="s">
        <v>43</v>
      </c>
      <c r="T7894" t="s">
        <v>43</v>
      </c>
      <c r="U7894" t="s">
        <v>43</v>
      </c>
      <c r="V7894" t="s">
        <v>43</v>
      </c>
      <c r="W7894" t="s">
        <v>43</v>
      </c>
      <c r="X7894" t="s">
        <v>43</v>
      </c>
      <c r="Y7894" t="s">
        <v>43</v>
      </c>
      <c r="Z7894" t="s">
        <v>43</v>
      </c>
      <c r="AA7894" t="s">
        <v>43</v>
      </c>
      <c r="AB7894" t="s">
        <v>43</v>
      </c>
      <c r="AC7894" t="s">
        <v>43</v>
      </c>
      <c r="AD7894" t="s">
        <v>43</v>
      </c>
      <c r="AE7894" t="s">
        <v>43</v>
      </c>
      <c r="AF7894" t="s">
        <v>43</v>
      </c>
      <c r="AG7894" t="s">
        <v>43</v>
      </c>
      <c r="AH7894" t="s">
        <v>43</v>
      </c>
      <c r="AI7894" t="s">
        <v>43</v>
      </c>
      <c r="AJ7894" t="s">
        <v>43</v>
      </c>
      <c r="AK7894" t="s">
        <v>43</v>
      </c>
      <c r="AL7894" t="s">
        <v>43</v>
      </c>
      <c r="AM7894" t="s">
        <v>43</v>
      </c>
      <c r="AN7894" t="s">
        <v>43</v>
      </c>
    </row>
    <row r="7895" spans="1:40" x14ac:dyDescent="0.3">
      <c r="A7895" s="1">
        <v>46210.085532407407</v>
      </c>
      <c r="B7895" t="s">
        <v>40</v>
      </c>
      <c r="C7895" t="s">
        <v>41</v>
      </c>
      <c r="D7895" s="1">
        <v>46210.088148148148</v>
      </c>
      <c r="E7895" t="s">
        <v>42</v>
      </c>
      <c r="F7895" t="s">
        <v>43</v>
      </c>
      <c r="G7895" t="s">
        <v>43</v>
      </c>
      <c r="H7895" t="s">
        <v>43</v>
      </c>
      <c r="I7895" t="s">
        <v>4368</v>
      </c>
      <c r="J7895" t="s">
        <v>43</v>
      </c>
      <c r="K7895" t="s">
        <v>43</v>
      </c>
      <c r="L7895" t="s">
        <v>43</v>
      </c>
      <c r="M7895" t="s">
        <v>43</v>
      </c>
      <c r="N7895" t="s">
        <v>45</v>
      </c>
      <c r="O7895" t="s">
        <v>43</v>
      </c>
      <c r="P7895" t="s">
        <v>43</v>
      </c>
      <c r="Q7895" t="s">
        <v>43</v>
      </c>
      <c r="R7895" t="s">
        <v>43</v>
      </c>
      <c r="S7895" t="s">
        <v>43</v>
      </c>
      <c r="T7895" t="s">
        <v>43</v>
      </c>
      <c r="U7895" t="s">
        <v>43</v>
      </c>
      <c r="V7895" t="s">
        <v>43</v>
      </c>
      <c r="W7895" t="s">
        <v>43</v>
      </c>
      <c r="X7895" t="s">
        <v>43</v>
      </c>
      <c r="Y7895" t="s">
        <v>43</v>
      </c>
      <c r="Z7895" t="s">
        <v>43</v>
      </c>
      <c r="AA7895" t="s">
        <v>43</v>
      </c>
      <c r="AB7895" t="s">
        <v>43</v>
      </c>
      <c r="AC7895" t="s">
        <v>43</v>
      </c>
      <c r="AD7895" t="s">
        <v>43</v>
      </c>
      <c r="AE7895" t="s">
        <v>43</v>
      </c>
      <c r="AF7895" t="s">
        <v>43</v>
      </c>
      <c r="AG7895" t="s">
        <v>43</v>
      </c>
      <c r="AH7895" t="s">
        <v>43</v>
      </c>
      <c r="AI7895" t="s">
        <v>43</v>
      </c>
      <c r="AJ7895" t="s">
        <v>43</v>
      </c>
      <c r="AK7895" t="s">
        <v>43</v>
      </c>
      <c r="AL7895" t="s">
        <v>43</v>
      </c>
      <c r="AM7895" t="s">
        <v>43</v>
      </c>
      <c r="AN7895" t="str">
        <f>HYPERLINK("https://www.google.com/maps?q=10.78968525,79.57878876","Open Location")</f>
        <v>Open Location</v>
      </c>
    </row>
    <row r="7896" spans="1:40" x14ac:dyDescent="0.3">
      <c r="A7896" s="1">
        <v>46210.085416666669</v>
      </c>
      <c r="B7896" t="s">
        <v>40</v>
      </c>
      <c r="C7896" t="s">
        <v>41</v>
      </c>
      <c r="D7896" s="1">
        <v>46210.088356481479</v>
      </c>
      <c r="E7896" t="s">
        <v>42</v>
      </c>
      <c r="F7896" t="s">
        <v>43</v>
      </c>
      <c r="G7896" t="s">
        <v>43</v>
      </c>
      <c r="H7896" t="s">
        <v>43</v>
      </c>
      <c r="I7896" t="s">
        <v>4368</v>
      </c>
      <c r="J7896" t="s">
        <v>43</v>
      </c>
      <c r="K7896" t="s">
        <v>43</v>
      </c>
      <c r="L7896" t="s">
        <v>43</v>
      </c>
      <c r="M7896" t="s">
        <v>43</v>
      </c>
      <c r="N7896" t="s">
        <v>45</v>
      </c>
      <c r="O7896" t="s">
        <v>43</v>
      </c>
      <c r="P7896" t="s">
        <v>43</v>
      </c>
      <c r="Q7896" t="s">
        <v>43</v>
      </c>
      <c r="R7896" t="s">
        <v>43</v>
      </c>
      <c r="S7896" t="s">
        <v>43</v>
      </c>
      <c r="T7896" t="s">
        <v>43</v>
      </c>
      <c r="U7896" t="s">
        <v>43</v>
      </c>
      <c r="V7896" t="s">
        <v>43</v>
      </c>
      <c r="W7896" t="s">
        <v>43</v>
      </c>
      <c r="X7896" t="s">
        <v>43</v>
      </c>
      <c r="Y7896" t="s">
        <v>43</v>
      </c>
      <c r="Z7896" t="s">
        <v>43</v>
      </c>
      <c r="AA7896" t="s">
        <v>43</v>
      </c>
      <c r="AB7896" t="s">
        <v>43</v>
      </c>
      <c r="AC7896" t="s">
        <v>43</v>
      </c>
      <c r="AD7896" t="s">
        <v>43</v>
      </c>
      <c r="AE7896" t="s">
        <v>43</v>
      </c>
      <c r="AF7896" t="s">
        <v>43</v>
      </c>
      <c r="AG7896" t="s">
        <v>43</v>
      </c>
      <c r="AH7896" t="s">
        <v>43</v>
      </c>
      <c r="AI7896" t="s">
        <v>43</v>
      </c>
      <c r="AJ7896" t="s">
        <v>43</v>
      </c>
      <c r="AK7896" t="s">
        <v>43</v>
      </c>
      <c r="AL7896" t="s">
        <v>43</v>
      </c>
      <c r="AM7896" t="s">
        <v>43</v>
      </c>
      <c r="AN7896" t="str">
        <f>HYPERLINK("https://www.google.com/maps?q=10.78968525,79.57878876","Open Location")</f>
        <v>Open Location</v>
      </c>
    </row>
    <row r="7897" spans="1:40" x14ac:dyDescent="0.3">
      <c r="A7897" s="1">
        <v>46210.085300925923</v>
      </c>
      <c r="B7897" t="s">
        <v>40</v>
      </c>
      <c r="C7897" t="s">
        <v>41</v>
      </c>
      <c r="D7897" s="1">
        <v>46210.087997685187</v>
      </c>
      <c r="E7897" t="s">
        <v>42</v>
      </c>
      <c r="F7897" t="s">
        <v>43</v>
      </c>
      <c r="G7897" t="s">
        <v>43</v>
      </c>
      <c r="H7897" t="s">
        <v>43</v>
      </c>
      <c r="I7897" t="s">
        <v>4368</v>
      </c>
      <c r="J7897" t="s">
        <v>43</v>
      </c>
      <c r="K7897" t="s">
        <v>43</v>
      </c>
      <c r="L7897" t="s">
        <v>43</v>
      </c>
      <c r="M7897" t="s">
        <v>43</v>
      </c>
      <c r="N7897" t="s">
        <v>45</v>
      </c>
      <c r="O7897" t="s">
        <v>43</v>
      </c>
      <c r="P7897" t="s">
        <v>43</v>
      </c>
      <c r="Q7897" t="s">
        <v>43</v>
      </c>
      <c r="R7897" t="s">
        <v>43</v>
      </c>
      <c r="S7897" t="s">
        <v>43</v>
      </c>
      <c r="T7897" t="s">
        <v>43</v>
      </c>
      <c r="U7897" t="s">
        <v>43</v>
      </c>
      <c r="V7897" t="s">
        <v>43</v>
      </c>
      <c r="W7897" t="s">
        <v>43</v>
      </c>
      <c r="X7897" t="s">
        <v>43</v>
      </c>
      <c r="Y7897" t="s">
        <v>43</v>
      </c>
      <c r="Z7897" t="s">
        <v>43</v>
      </c>
      <c r="AA7897" t="s">
        <v>43</v>
      </c>
      <c r="AB7897" t="s">
        <v>43</v>
      </c>
      <c r="AC7897" t="s">
        <v>43</v>
      </c>
      <c r="AD7897" t="s">
        <v>43</v>
      </c>
      <c r="AE7897" t="s">
        <v>43</v>
      </c>
      <c r="AF7897" t="s">
        <v>43</v>
      </c>
      <c r="AG7897" t="s">
        <v>43</v>
      </c>
      <c r="AH7897" t="s">
        <v>43</v>
      </c>
      <c r="AI7897" t="s">
        <v>43</v>
      </c>
      <c r="AJ7897" t="s">
        <v>43</v>
      </c>
      <c r="AK7897" t="s">
        <v>43</v>
      </c>
      <c r="AL7897" t="s">
        <v>43</v>
      </c>
      <c r="AM7897" t="s">
        <v>43</v>
      </c>
      <c r="AN7897" t="str">
        <f>HYPERLINK("https://www.google.com/maps?q=10.78968525,79.57878876","Open Location")</f>
        <v>Open Location</v>
      </c>
    </row>
    <row r="7898" spans="1:40" x14ac:dyDescent="0.3">
      <c r="A7898" s="1">
        <v>46210.085185185184</v>
      </c>
      <c r="B7898" t="s">
        <v>40</v>
      </c>
      <c r="C7898" t="s">
        <v>41</v>
      </c>
      <c r="D7898" s="1">
        <v>46210.088009259256</v>
      </c>
      <c r="E7898" t="s">
        <v>42</v>
      </c>
      <c r="F7898" t="s">
        <v>43</v>
      </c>
      <c r="G7898" t="s">
        <v>43</v>
      </c>
      <c r="H7898" t="s">
        <v>43</v>
      </c>
      <c r="I7898" t="s">
        <v>4369</v>
      </c>
      <c r="J7898" t="s">
        <v>43</v>
      </c>
      <c r="K7898" t="s">
        <v>43</v>
      </c>
      <c r="L7898" t="s">
        <v>43</v>
      </c>
      <c r="M7898" t="s">
        <v>43</v>
      </c>
      <c r="N7898" t="s">
        <v>45</v>
      </c>
      <c r="O7898" t="s">
        <v>43</v>
      </c>
      <c r="P7898" t="s">
        <v>43</v>
      </c>
      <c r="Q7898" t="s">
        <v>43</v>
      </c>
      <c r="R7898" t="s">
        <v>43</v>
      </c>
      <c r="S7898" t="s">
        <v>43</v>
      </c>
      <c r="T7898" t="s">
        <v>43</v>
      </c>
      <c r="U7898" t="s">
        <v>43</v>
      </c>
      <c r="V7898" t="s">
        <v>43</v>
      </c>
      <c r="W7898" t="s">
        <v>43</v>
      </c>
      <c r="X7898" t="s">
        <v>43</v>
      </c>
      <c r="Y7898" t="s">
        <v>43</v>
      </c>
      <c r="Z7898" t="s">
        <v>43</v>
      </c>
      <c r="AA7898" t="s">
        <v>43</v>
      </c>
      <c r="AB7898" t="s">
        <v>43</v>
      </c>
      <c r="AC7898" t="s">
        <v>43</v>
      </c>
      <c r="AD7898" t="s">
        <v>43</v>
      </c>
      <c r="AE7898" t="s">
        <v>43</v>
      </c>
      <c r="AF7898" t="s">
        <v>43</v>
      </c>
      <c r="AG7898" t="s">
        <v>43</v>
      </c>
      <c r="AH7898" t="s">
        <v>43</v>
      </c>
      <c r="AI7898" t="s">
        <v>43</v>
      </c>
      <c r="AJ7898" t="s">
        <v>43</v>
      </c>
      <c r="AK7898" t="s">
        <v>43</v>
      </c>
      <c r="AL7898" t="s">
        <v>43</v>
      </c>
      <c r="AM7898" t="s">
        <v>43</v>
      </c>
      <c r="AN7898" t="str">
        <f>HYPERLINK("https://www.google.com/maps?q=10.7896843,79.57878876","Open Location")</f>
        <v>Open Location</v>
      </c>
    </row>
    <row r="7899" spans="1:40" x14ac:dyDescent="0.3">
      <c r="A7899" s="1">
        <v>46210.085069444445</v>
      </c>
      <c r="B7899" t="s">
        <v>40</v>
      </c>
      <c r="C7899" t="s">
        <v>41</v>
      </c>
      <c r="D7899" s="1">
        <v>46210.087789351855</v>
      </c>
      <c r="E7899" t="s">
        <v>42</v>
      </c>
      <c r="F7899" t="s">
        <v>43</v>
      </c>
      <c r="G7899" t="s">
        <v>43</v>
      </c>
      <c r="H7899" t="s">
        <v>43</v>
      </c>
      <c r="I7899" t="s">
        <v>4367</v>
      </c>
      <c r="J7899" t="s">
        <v>43</v>
      </c>
      <c r="K7899" t="s">
        <v>43</v>
      </c>
      <c r="L7899" t="s">
        <v>43</v>
      </c>
      <c r="M7899" t="s">
        <v>43</v>
      </c>
      <c r="N7899" t="s">
        <v>45</v>
      </c>
      <c r="O7899" t="s">
        <v>43</v>
      </c>
      <c r="P7899" t="s">
        <v>43</v>
      </c>
      <c r="Q7899" t="s">
        <v>43</v>
      </c>
      <c r="R7899" t="s">
        <v>43</v>
      </c>
      <c r="S7899" t="s">
        <v>43</v>
      </c>
      <c r="T7899" t="s">
        <v>43</v>
      </c>
      <c r="U7899" t="s">
        <v>43</v>
      </c>
      <c r="V7899" t="s">
        <v>43</v>
      </c>
      <c r="W7899" t="s">
        <v>43</v>
      </c>
      <c r="X7899" t="s">
        <v>43</v>
      </c>
      <c r="Y7899" t="s">
        <v>43</v>
      </c>
      <c r="Z7899" t="s">
        <v>43</v>
      </c>
      <c r="AA7899" t="s">
        <v>43</v>
      </c>
      <c r="AB7899" t="s">
        <v>43</v>
      </c>
      <c r="AC7899" t="s">
        <v>43</v>
      </c>
      <c r="AD7899" t="s">
        <v>43</v>
      </c>
      <c r="AE7899" t="s">
        <v>43</v>
      </c>
      <c r="AF7899" t="s">
        <v>43</v>
      </c>
      <c r="AG7899" t="s">
        <v>43</v>
      </c>
      <c r="AH7899" t="s">
        <v>43</v>
      </c>
      <c r="AI7899" t="s">
        <v>43</v>
      </c>
      <c r="AJ7899" t="s">
        <v>43</v>
      </c>
      <c r="AK7899" t="s">
        <v>43</v>
      </c>
      <c r="AL7899" t="s">
        <v>43</v>
      </c>
      <c r="AM7899" t="s">
        <v>43</v>
      </c>
      <c r="AN7899" t="str">
        <f>HYPERLINK("https://www.google.com/maps?q=10.78968525,79.57879639","Open Location")</f>
        <v>Open Location</v>
      </c>
    </row>
    <row r="7900" spans="1:40" x14ac:dyDescent="0.3">
      <c r="A7900" s="1">
        <v>46210.084953703707</v>
      </c>
      <c r="B7900" t="s">
        <v>40</v>
      </c>
      <c r="C7900" t="s">
        <v>41</v>
      </c>
      <c r="D7900" s="1">
        <v>46210.088009259256</v>
      </c>
      <c r="E7900" t="s">
        <v>42</v>
      </c>
      <c r="F7900" t="s">
        <v>43</v>
      </c>
      <c r="G7900" t="s">
        <v>43</v>
      </c>
      <c r="H7900" t="s">
        <v>43</v>
      </c>
      <c r="I7900" t="s">
        <v>43</v>
      </c>
      <c r="J7900" t="s">
        <v>43</v>
      </c>
      <c r="K7900" t="s">
        <v>43</v>
      </c>
      <c r="L7900" t="s">
        <v>43</v>
      </c>
      <c r="M7900" t="s">
        <v>43</v>
      </c>
      <c r="N7900" t="s">
        <v>45</v>
      </c>
      <c r="O7900" t="s">
        <v>43</v>
      </c>
      <c r="P7900" t="s">
        <v>43</v>
      </c>
      <c r="Q7900" t="s">
        <v>43</v>
      </c>
      <c r="R7900" t="s">
        <v>43</v>
      </c>
      <c r="S7900" t="s">
        <v>43</v>
      </c>
      <c r="T7900" t="s">
        <v>43</v>
      </c>
      <c r="U7900" t="s">
        <v>43</v>
      </c>
      <c r="V7900" t="s">
        <v>43</v>
      </c>
      <c r="W7900" t="s">
        <v>43</v>
      </c>
      <c r="X7900" t="s">
        <v>43</v>
      </c>
      <c r="Y7900" t="s">
        <v>43</v>
      </c>
      <c r="Z7900" t="s">
        <v>43</v>
      </c>
      <c r="AA7900" t="s">
        <v>43</v>
      </c>
      <c r="AB7900" t="s">
        <v>43</v>
      </c>
      <c r="AC7900" t="s">
        <v>43</v>
      </c>
      <c r="AD7900" t="s">
        <v>43</v>
      </c>
      <c r="AE7900" t="s">
        <v>43</v>
      </c>
      <c r="AF7900" t="s">
        <v>43</v>
      </c>
      <c r="AG7900" t="s">
        <v>43</v>
      </c>
      <c r="AH7900" t="s">
        <v>43</v>
      </c>
      <c r="AI7900" t="s">
        <v>43</v>
      </c>
      <c r="AJ7900" t="s">
        <v>43</v>
      </c>
      <c r="AK7900" t="s">
        <v>43</v>
      </c>
      <c r="AL7900" t="s">
        <v>43</v>
      </c>
      <c r="AM7900" t="s">
        <v>43</v>
      </c>
      <c r="AN7900" t="s">
        <v>43</v>
      </c>
    </row>
    <row r="7901" spans="1:40" x14ac:dyDescent="0.3">
      <c r="A7901" s="1">
        <v>46210.084837962961</v>
      </c>
      <c r="B7901" t="s">
        <v>40</v>
      </c>
      <c r="C7901" t="s">
        <v>41</v>
      </c>
      <c r="D7901" s="1">
        <v>46210.087777777779</v>
      </c>
      <c r="E7901" t="s">
        <v>42</v>
      </c>
      <c r="F7901" t="s">
        <v>43</v>
      </c>
      <c r="G7901" t="s">
        <v>43</v>
      </c>
      <c r="H7901" t="s">
        <v>43</v>
      </c>
      <c r="I7901" t="s">
        <v>4370</v>
      </c>
      <c r="J7901" t="s">
        <v>43</v>
      </c>
      <c r="K7901" t="s">
        <v>43</v>
      </c>
      <c r="L7901" t="s">
        <v>43</v>
      </c>
      <c r="M7901" t="s">
        <v>43</v>
      </c>
      <c r="N7901" t="s">
        <v>45</v>
      </c>
      <c r="O7901" t="s">
        <v>43</v>
      </c>
      <c r="P7901" t="s">
        <v>43</v>
      </c>
      <c r="Q7901" t="s">
        <v>43</v>
      </c>
      <c r="R7901" t="s">
        <v>43</v>
      </c>
      <c r="S7901" t="s">
        <v>43</v>
      </c>
      <c r="T7901" t="s">
        <v>43</v>
      </c>
      <c r="U7901" t="s">
        <v>43</v>
      </c>
      <c r="V7901" t="s">
        <v>43</v>
      </c>
      <c r="W7901" t="s">
        <v>43</v>
      </c>
      <c r="X7901" t="s">
        <v>43</v>
      </c>
      <c r="Y7901" t="s">
        <v>43</v>
      </c>
      <c r="Z7901" t="s">
        <v>43</v>
      </c>
      <c r="AA7901" t="s">
        <v>43</v>
      </c>
      <c r="AB7901" t="s">
        <v>43</v>
      </c>
      <c r="AC7901" t="s">
        <v>43</v>
      </c>
      <c r="AD7901" t="s">
        <v>43</v>
      </c>
      <c r="AE7901" t="s">
        <v>43</v>
      </c>
      <c r="AF7901" t="s">
        <v>43</v>
      </c>
      <c r="AG7901" t="s">
        <v>43</v>
      </c>
      <c r="AH7901" t="s">
        <v>43</v>
      </c>
      <c r="AI7901" t="s">
        <v>43</v>
      </c>
      <c r="AJ7901" t="s">
        <v>43</v>
      </c>
      <c r="AK7901" t="s">
        <v>43</v>
      </c>
      <c r="AL7901" t="s">
        <v>43</v>
      </c>
      <c r="AM7901" t="s">
        <v>43</v>
      </c>
      <c r="AN7901" t="str">
        <f>HYPERLINK("https://www.google.com/maps?q=10.78967953,79.57879639","Open Location")</f>
        <v>Open Location</v>
      </c>
    </row>
    <row r="7902" spans="1:40" x14ac:dyDescent="0.3">
      <c r="A7902" s="1">
        <v>46210.084722222222</v>
      </c>
      <c r="B7902" t="s">
        <v>40</v>
      </c>
      <c r="C7902" t="s">
        <v>41</v>
      </c>
      <c r="D7902" s="1">
        <v>46210.08761574074</v>
      </c>
      <c r="E7902" t="s">
        <v>42</v>
      </c>
      <c r="F7902" t="s">
        <v>43</v>
      </c>
      <c r="G7902" t="s">
        <v>43</v>
      </c>
      <c r="H7902" t="s">
        <v>43</v>
      </c>
      <c r="I7902" t="s">
        <v>4371</v>
      </c>
      <c r="J7902" t="s">
        <v>43</v>
      </c>
      <c r="K7902" t="s">
        <v>43</v>
      </c>
      <c r="L7902" t="s">
        <v>43</v>
      </c>
      <c r="M7902" t="s">
        <v>43</v>
      </c>
      <c r="N7902" t="s">
        <v>45</v>
      </c>
      <c r="O7902" t="s">
        <v>43</v>
      </c>
      <c r="P7902" t="s">
        <v>43</v>
      </c>
      <c r="Q7902" t="s">
        <v>43</v>
      </c>
      <c r="R7902" t="s">
        <v>43</v>
      </c>
      <c r="S7902" t="s">
        <v>43</v>
      </c>
      <c r="T7902" t="s">
        <v>43</v>
      </c>
      <c r="U7902" t="s">
        <v>43</v>
      </c>
      <c r="V7902" t="s">
        <v>43</v>
      </c>
      <c r="W7902" t="s">
        <v>43</v>
      </c>
      <c r="X7902" t="s">
        <v>43</v>
      </c>
      <c r="Y7902" t="s">
        <v>43</v>
      </c>
      <c r="Z7902" t="s">
        <v>43</v>
      </c>
      <c r="AA7902" t="s">
        <v>43</v>
      </c>
      <c r="AB7902" t="s">
        <v>43</v>
      </c>
      <c r="AC7902" t="s">
        <v>43</v>
      </c>
      <c r="AD7902" t="s">
        <v>43</v>
      </c>
      <c r="AE7902" t="s">
        <v>43</v>
      </c>
      <c r="AF7902" t="s">
        <v>43</v>
      </c>
      <c r="AG7902" t="s">
        <v>43</v>
      </c>
      <c r="AH7902" t="s">
        <v>43</v>
      </c>
      <c r="AI7902" t="s">
        <v>43</v>
      </c>
      <c r="AJ7902" t="s">
        <v>43</v>
      </c>
      <c r="AK7902" t="s">
        <v>43</v>
      </c>
      <c r="AL7902" t="s">
        <v>43</v>
      </c>
      <c r="AM7902" t="s">
        <v>43</v>
      </c>
      <c r="AN7902" t="str">
        <f>HYPERLINK("https://www.google.com/maps?q=10.78967476,79.57879639","Open Location")</f>
        <v>Open Location</v>
      </c>
    </row>
    <row r="7903" spans="1:40" x14ac:dyDescent="0.3">
      <c r="A7903" s="1">
        <v>46210.084606481483</v>
      </c>
      <c r="B7903" t="s">
        <v>40</v>
      </c>
      <c r="C7903" t="s">
        <v>41</v>
      </c>
      <c r="D7903" s="1">
        <v>46210.087291666663</v>
      </c>
      <c r="E7903" t="s">
        <v>42</v>
      </c>
      <c r="F7903" t="s">
        <v>43</v>
      </c>
      <c r="G7903" t="s">
        <v>43</v>
      </c>
      <c r="H7903" t="s">
        <v>43</v>
      </c>
      <c r="I7903" t="s">
        <v>3925</v>
      </c>
      <c r="J7903" t="s">
        <v>43</v>
      </c>
      <c r="K7903" t="s">
        <v>43</v>
      </c>
      <c r="L7903" t="s">
        <v>43</v>
      </c>
      <c r="M7903" t="s">
        <v>43</v>
      </c>
      <c r="N7903" t="s">
        <v>45</v>
      </c>
      <c r="O7903" t="s">
        <v>43</v>
      </c>
      <c r="P7903" t="s">
        <v>43</v>
      </c>
      <c r="Q7903" t="s">
        <v>43</v>
      </c>
      <c r="R7903" t="s">
        <v>43</v>
      </c>
      <c r="S7903" t="s">
        <v>43</v>
      </c>
      <c r="T7903" t="s">
        <v>43</v>
      </c>
      <c r="U7903" t="s">
        <v>43</v>
      </c>
      <c r="V7903" t="s">
        <v>43</v>
      </c>
      <c r="W7903" t="s">
        <v>43</v>
      </c>
      <c r="X7903" t="s">
        <v>43</v>
      </c>
      <c r="Y7903" t="s">
        <v>43</v>
      </c>
      <c r="Z7903" t="s">
        <v>43</v>
      </c>
      <c r="AA7903" t="s">
        <v>43</v>
      </c>
      <c r="AB7903" t="s">
        <v>43</v>
      </c>
      <c r="AC7903" t="s">
        <v>43</v>
      </c>
      <c r="AD7903" t="s">
        <v>43</v>
      </c>
      <c r="AE7903" t="s">
        <v>43</v>
      </c>
      <c r="AF7903" t="s">
        <v>43</v>
      </c>
      <c r="AG7903" t="s">
        <v>43</v>
      </c>
      <c r="AH7903" t="s">
        <v>43</v>
      </c>
      <c r="AI7903" t="s">
        <v>43</v>
      </c>
      <c r="AJ7903" t="s">
        <v>43</v>
      </c>
      <c r="AK7903" t="s">
        <v>43</v>
      </c>
      <c r="AL7903" t="s">
        <v>43</v>
      </c>
      <c r="AM7903" t="s">
        <v>43</v>
      </c>
      <c r="AN7903" t="str">
        <f>HYPERLINK("https://www.google.com/maps?q=10.78966999,79.57879639","Open Location")</f>
        <v>Open Location</v>
      </c>
    </row>
    <row r="7904" spans="1:40" x14ac:dyDescent="0.3">
      <c r="A7904" s="1">
        <v>46210.084490740737</v>
      </c>
      <c r="B7904" t="s">
        <v>40</v>
      </c>
      <c r="C7904" t="s">
        <v>41</v>
      </c>
      <c r="D7904" s="1">
        <v>46210.08761574074</v>
      </c>
      <c r="E7904" t="s">
        <v>42</v>
      </c>
      <c r="F7904" t="s">
        <v>43</v>
      </c>
      <c r="G7904" t="s">
        <v>43</v>
      </c>
      <c r="H7904" t="s">
        <v>43</v>
      </c>
      <c r="I7904" t="s">
        <v>4156</v>
      </c>
      <c r="J7904" t="s">
        <v>43</v>
      </c>
      <c r="K7904" t="s">
        <v>43</v>
      </c>
      <c r="L7904" t="s">
        <v>43</v>
      </c>
      <c r="M7904" t="s">
        <v>43</v>
      </c>
      <c r="N7904" t="s">
        <v>45</v>
      </c>
      <c r="O7904" t="s">
        <v>43</v>
      </c>
      <c r="P7904" t="s">
        <v>43</v>
      </c>
      <c r="Q7904" t="s">
        <v>43</v>
      </c>
      <c r="R7904" t="s">
        <v>43</v>
      </c>
      <c r="S7904" t="s">
        <v>43</v>
      </c>
      <c r="T7904" t="s">
        <v>43</v>
      </c>
      <c r="U7904" t="s">
        <v>43</v>
      </c>
      <c r="V7904" t="s">
        <v>43</v>
      </c>
      <c r="W7904" t="s">
        <v>43</v>
      </c>
      <c r="X7904" t="s">
        <v>43</v>
      </c>
      <c r="Y7904" t="s">
        <v>43</v>
      </c>
      <c r="Z7904" t="s">
        <v>43</v>
      </c>
      <c r="AA7904" t="s">
        <v>43</v>
      </c>
      <c r="AB7904" t="s">
        <v>43</v>
      </c>
      <c r="AC7904" t="s">
        <v>43</v>
      </c>
      <c r="AD7904" t="s">
        <v>43</v>
      </c>
      <c r="AE7904" t="s">
        <v>43</v>
      </c>
      <c r="AF7904" t="s">
        <v>43</v>
      </c>
      <c r="AG7904" t="s">
        <v>43</v>
      </c>
      <c r="AH7904" t="s">
        <v>43</v>
      </c>
      <c r="AI7904" t="s">
        <v>43</v>
      </c>
      <c r="AJ7904" t="s">
        <v>43</v>
      </c>
      <c r="AK7904" t="s">
        <v>43</v>
      </c>
      <c r="AL7904" t="s">
        <v>43</v>
      </c>
      <c r="AM7904" t="s">
        <v>43</v>
      </c>
      <c r="AN7904" t="str">
        <f>HYPERLINK("https://www.google.com/maps?q=10.78967094,79.57879639","Open Location")</f>
        <v>Open Location</v>
      </c>
    </row>
    <row r="7905" spans="1:40" x14ac:dyDescent="0.3">
      <c r="A7905" s="1">
        <v>46210.084374999999</v>
      </c>
      <c r="B7905" t="s">
        <v>40</v>
      </c>
      <c r="C7905" t="s">
        <v>41</v>
      </c>
      <c r="D7905" s="1">
        <v>46210.087291666663</v>
      </c>
      <c r="E7905" t="s">
        <v>42</v>
      </c>
      <c r="F7905" t="s">
        <v>43</v>
      </c>
      <c r="G7905" t="s">
        <v>43</v>
      </c>
      <c r="H7905" t="s">
        <v>43</v>
      </c>
      <c r="I7905" t="s">
        <v>4002</v>
      </c>
      <c r="J7905" t="s">
        <v>43</v>
      </c>
      <c r="K7905" t="s">
        <v>43</v>
      </c>
      <c r="L7905" t="s">
        <v>43</v>
      </c>
      <c r="M7905" t="s">
        <v>43</v>
      </c>
      <c r="N7905" t="s">
        <v>45</v>
      </c>
      <c r="O7905" t="s">
        <v>43</v>
      </c>
      <c r="P7905" t="s">
        <v>43</v>
      </c>
      <c r="Q7905" t="s">
        <v>43</v>
      </c>
      <c r="R7905" t="s">
        <v>43</v>
      </c>
      <c r="S7905" t="s">
        <v>43</v>
      </c>
      <c r="T7905" t="s">
        <v>43</v>
      </c>
      <c r="U7905" t="s">
        <v>43</v>
      </c>
      <c r="V7905" t="s">
        <v>43</v>
      </c>
      <c r="W7905" t="s">
        <v>43</v>
      </c>
      <c r="X7905" t="s">
        <v>43</v>
      </c>
      <c r="Y7905" t="s">
        <v>43</v>
      </c>
      <c r="Z7905" t="s">
        <v>43</v>
      </c>
      <c r="AA7905" t="s">
        <v>43</v>
      </c>
      <c r="AB7905" t="s">
        <v>43</v>
      </c>
      <c r="AC7905" t="s">
        <v>43</v>
      </c>
      <c r="AD7905" t="s">
        <v>43</v>
      </c>
      <c r="AE7905" t="s">
        <v>43</v>
      </c>
      <c r="AF7905" t="s">
        <v>43</v>
      </c>
      <c r="AG7905" t="s">
        <v>43</v>
      </c>
      <c r="AH7905" t="s">
        <v>43</v>
      </c>
      <c r="AI7905" t="s">
        <v>43</v>
      </c>
      <c r="AJ7905" t="s">
        <v>43</v>
      </c>
      <c r="AK7905" t="s">
        <v>43</v>
      </c>
      <c r="AL7905" t="s">
        <v>43</v>
      </c>
      <c r="AM7905" t="s">
        <v>43</v>
      </c>
      <c r="AN7905" t="str">
        <f>HYPERLINK("https://www.google.com/maps?q=10.78966522,79.57879639","Open Location")</f>
        <v>Open Location</v>
      </c>
    </row>
    <row r="7906" spans="1:40" x14ac:dyDescent="0.3">
      <c r="A7906" s="1">
        <v>46210.08425925926</v>
      </c>
      <c r="B7906" t="s">
        <v>40</v>
      </c>
      <c r="C7906" t="s">
        <v>41</v>
      </c>
      <c r="D7906" s="1">
        <v>46210.087025462963</v>
      </c>
      <c r="E7906" t="s">
        <v>42</v>
      </c>
      <c r="F7906" t="s">
        <v>43</v>
      </c>
      <c r="G7906" t="s">
        <v>43</v>
      </c>
      <c r="H7906" t="s">
        <v>43</v>
      </c>
      <c r="I7906" t="s">
        <v>43</v>
      </c>
      <c r="J7906" t="s">
        <v>43</v>
      </c>
      <c r="K7906" t="s">
        <v>43</v>
      </c>
      <c r="L7906" t="s">
        <v>43</v>
      </c>
      <c r="M7906" t="s">
        <v>43</v>
      </c>
      <c r="N7906" t="s">
        <v>45</v>
      </c>
      <c r="O7906" t="s">
        <v>43</v>
      </c>
      <c r="P7906" t="s">
        <v>43</v>
      </c>
      <c r="Q7906" t="s">
        <v>43</v>
      </c>
      <c r="R7906" t="s">
        <v>43</v>
      </c>
      <c r="S7906" t="s">
        <v>43</v>
      </c>
      <c r="T7906" t="s">
        <v>43</v>
      </c>
      <c r="U7906" t="s">
        <v>43</v>
      </c>
      <c r="V7906" t="s">
        <v>43</v>
      </c>
      <c r="W7906" t="s">
        <v>43</v>
      </c>
      <c r="X7906" t="s">
        <v>43</v>
      </c>
      <c r="Y7906" t="s">
        <v>43</v>
      </c>
      <c r="Z7906" t="s">
        <v>43</v>
      </c>
      <c r="AA7906" t="s">
        <v>43</v>
      </c>
      <c r="AB7906" t="s">
        <v>43</v>
      </c>
      <c r="AC7906" t="s">
        <v>43</v>
      </c>
      <c r="AD7906" t="s">
        <v>43</v>
      </c>
      <c r="AE7906" t="s">
        <v>43</v>
      </c>
      <c r="AF7906" t="s">
        <v>43</v>
      </c>
      <c r="AG7906" t="s">
        <v>43</v>
      </c>
      <c r="AH7906" t="s">
        <v>43</v>
      </c>
      <c r="AI7906" t="s">
        <v>43</v>
      </c>
      <c r="AJ7906" t="s">
        <v>43</v>
      </c>
      <c r="AK7906" t="s">
        <v>43</v>
      </c>
      <c r="AL7906" t="s">
        <v>43</v>
      </c>
      <c r="AM7906" t="s">
        <v>43</v>
      </c>
      <c r="AN7906" t="s">
        <v>43</v>
      </c>
    </row>
    <row r="7907" spans="1:40" x14ac:dyDescent="0.3">
      <c r="A7907" s="1">
        <v>46210.084143518521</v>
      </c>
      <c r="B7907" t="s">
        <v>40</v>
      </c>
      <c r="C7907" t="s">
        <v>41</v>
      </c>
      <c r="D7907" s="1">
        <v>46210.086863425924</v>
      </c>
      <c r="E7907" t="s">
        <v>42</v>
      </c>
      <c r="F7907" t="s">
        <v>43</v>
      </c>
      <c r="G7907" t="s">
        <v>43</v>
      </c>
      <c r="H7907" t="s">
        <v>43</v>
      </c>
      <c r="I7907" t="s">
        <v>4372</v>
      </c>
      <c r="J7907" t="s">
        <v>43</v>
      </c>
      <c r="K7907" t="s">
        <v>43</v>
      </c>
      <c r="L7907" t="s">
        <v>43</v>
      </c>
      <c r="M7907" t="s">
        <v>43</v>
      </c>
      <c r="N7907" t="s">
        <v>45</v>
      </c>
      <c r="O7907" t="s">
        <v>43</v>
      </c>
      <c r="P7907" t="s">
        <v>43</v>
      </c>
      <c r="Q7907" t="s">
        <v>43</v>
      </c>
      <c r="R7907" t="s">
        <v>43</v>
      </c>
      <c r="S7907" t="s">
        <v>43</v>
      </c>
      <c r="T7907" t="s">
        <v>43</v>
      </c>
      <c r="U7907" t="s">
        <v>43</v>
      </c>
      <c r="V7907" t="s">
        <v>43</v>
      </c>
      <c r="W7907" t="s">
        <v>43</v>
      </c>
      <c r="X7907" t="s">
        <v>43</v>
      </c>
      <c r="Y7907" t="s">
        <v>43</v>
      </c>
      <c r="Z7907" t="s">
        <v>43</v>
      </c>
      <c r="AA7907" t="s">
        <v>43</v>
      </c>
      <c r="AB7907" t="s">
        <v>43</v>
      </c>
      <c r="AC7907" t="s">
        <v>43</v>
      </c>
      <c r="AD7907" t="s">
        <v>43</v>
      </c>
      <c r="AE7907" t="s">
        <v>43</v>
      </c>
      <c r="AF7907" t="s">
        <v>43</v>
      </c>
      <c r="AG7907" t="s">
        <v>43</v>
      </c>
      <c r="AH7907" t="s">
        <v>43</v>
      </c>
      <c r="AI7907" t="s">
        <v>43</v>
      </c>
      <c r="AJ7907" t="s">
        <v>43</v>
      </c>
      <c r="AK7907" t="s">
        <v>43</v>
      </c>
      <c r="AL7907" t="s">
        <v>43</v>
      </c>
      <c r="AM7907" t="s">
        <v>43</v>
      </c>
      <c r="AN7907" t="str">
        <f>HYPERLINK("https://www.google.com/maps?q=10.78965759,79.57878876","Open Location")</f>
        <v>Open Location</v>
      </c>
    </row>
    <row r="7908" spans="1:40" x14ac:dyDescent="0.3">
      <c r="A7908" s="1">
        <v>46210.084027777775</v>
      </c>
      <c r="B7908" t="s">
        <v>40</v>
      </c>
      <c r="C7908" t="s">
        <v>41</v>
      </c>
      <c r="D7908" s="1">
        <v>46210.086863425924</v>
      </c>
      <c r="E7908" t="s">
        <v>42</v>
      </c>
      <c r="F7908" t="s">
        <v>43</v>
      </c>
      <c r="G7908" t="s">
        <v>43</v>
      </c>
      <c r="H7908" t="s">
        <v>43</v>
      </c>
      <c r="I7908" t="s">
        <v>3929</v>
      </c>
      <c r="J7908" t="s">
        <v>43</v>
      </c>
      <c r="K7908" t="s">
        <v>43</v>
      </c>
      <c r="L7908" t="s">
        <v>43</v>
      </c>
      <c r="M7908" t="s">
        <v>43</v>
      </c>
      <c r="N7908" t="s">
        <v>45</v>
      </c>
      <c r="O7908" t="s">
        <v>43</v>
      </c>
      <c r="P7908" t="s">
        <v>43</v>
      </c>
      <c r="Q7908" t="s">
        <v>43</v>
      </c>
      <c r="R7908" t="s">
        <v>43</v>
      </c>
      <c r="S7908" t="s">
        <v>43</v>
      </c>
      <c r="T7908" t="s">
        <v>43</v>
      </c>
      <c r="U7908" t="s">
        <v>43</v>
      </c>
      <c r="V7908" t="s">
        <v>43</v>
      </c>
      <c r="W7908" t="s">
        <v>43</v>
      </c>
      <c r="X7908" t="s">
        <v>43</v>
      </c>
      <c r="Y7908" t="s">
        <v>43</v>
      </c>
      <c r="Z7908" t="s">
        <v>43</v>
      </c>
      <c r="AA7908" t="s">
        <v>43</v>
      </c>
      <c r="AB7908" t="s">
        <v>43</v>
      </c>
      <c r="AC7908" t="s">
        <v>43</v>
      </c>
      <c r="AD7908" t="s">
        <v>43</v>
      </c>
      <c r="AE7908" t="s">
        <v>43</v>
      </c>
      <c r="AF7908" t="s">
        <v>43</v>
      </c>
      <c r="AG7908" t="s">
        <v>43</v>
      </c>
      <c r="AH7908" t="s">
        <v>43</v>
      </c>
      <c r="AI7908" t="s">
        <v>43</v>
      </c>
      <c r="AJ7908" t="s">
        <v>43</v>
      </c>
      <c r="AK7908" t="s">
        <v>43</v>
      </c>
      <c r="AL7908" t="s">
        <v>43</v>
      </c>
      <c r="AM7908" t="s">
        <v>43</v>
      </c>
      <c r="AN7908" t="str">
        <f>HYPERLINK("https://www.google.com/maps?q=10.78965855,79.57879639","Open Location")</f>
        <v>Open Location</v>
      </c>
    </row>
    <row r="7909" spans="1:40" x14ac:dyDescent="0.3">
      <c r="A7909" s="1">
        <v>46210.083912037036</v>
      </c>
      <c r="B7909" t="s">
        <v>40</v>
      </c>
      <c r="C7909" t="s">
        <v>41</v>
      </c>
      <c r="D7909" s="1">
        <v>46210.086643518516</v>
      </c>
      <c r="E7909" t="s">
        <v>42</v>
      </c>
      <c r="F7909" t="s">
        <v>43</v>
      </c>
      <c r="G7909" t="s">
        <v>43</v>
      </c>
      <c r="H7909" t="s">
        <v>43</v>
      </c>
      <c r="I7909" t="s">
        <v>4097</v>
      </c>
      <c r="J7909" t="s">
        <v>43</v>
      </c>
      <c r="K7909" t="s">
        <v>43</v>
      </c>
      <c r="L7909" t="s">
        <v>43</v>
      </c>
      <c r="M7909" t="s">
        <v>43</v>
      </c>
      <c r="N7909" t="s">
        <v>45</v>
      </c>
      <c r="O7909" t="s">
        <v>43</v>
      </c>
      <c r="P7909" t="s">
        <v>43</v>
      </c>
      <c r="Q7909" t="s">
        <v>43</v>
      </c>
      <c r="R7909" t="s">
        <v>43</v>
      </c>
      <c r="S7909" t="s">
        <v>43</v>
      </c>
      <c r="T7909" t="s">
        <v>43</v>
      </c>
      <c r="U7909" t="s">
        <v>43</v>
      </c>
      <c r="V7909" t="s">
        <v>43</v>
      </c>
      <c r="W7909" t="s">
        <v>43</v>
      </c>
      <c r="X7909" t="s">
        <v>43</v>
      </c>
      <c r="Y7909" t="s">
        <v>43</v>
      </c>
      <c r="Z7909" t="s">
        <v>43</v>
      </c>
      <c r="AA7909" t="s">
        <v>43</v>
      </c>
      <c r="AB7909" t="s">
        <v>43</v>
      </c>
      <c r="AC7909" t="s">
        <v>43</v>
      </c>
      <c r="AD7909" t="s">
        <v>43</v>
      </c>
      <c r="AE7909" t="s">
        <v>43</v>
      </c>
      <c r="AF7909" t="s">
        <v>43</v>
      </c>
      <c r="AG7909" t="s">
        <v>43</v>
      </c>
      <c r="AH7909" t="s">
        <v>43</v>
      </c>
      <c r="AI7909" t="s">
        <v>43</v>
      </c>
      <c r="AJ7909" t="s">
        <v>43</v>
      </c>
      <c r="AK7909" t="s">
        <v>43</v>
      </c>
      <c r="AL7909" t="s">
        <v>43</v>
      </c>
      <c r="AM7909" t="s">
        <v>43</v>
      </c>
      <c r="AN7909" t="str">
        <f>HYPERLINK("https://www.google.com/maps?q=10.78965378,79.57879639","Open Location")</f>
        <v>Open Location</v>
      </c>
    </row>
    <row r="7910" spans="1:40" x14ac:dyDescent="0.3">
      <c r="A7910" s="1">
        <v>46210.083796296298</v>
      </c>
      <c r="B7910" t="s">
        <v>40</v>
      </c>
      <c r="C7910" t="s">
        <v>41</v>
      </c>
      <c r="D7910" s="1">
        <v>46210.086863425924</v>
      </c>
      <c r="E7910" t="s">
        <v>42</v>
      </c>
      <c r="F7910" t="s">
        <v>43</v>
      </c>
      <c r="G7910" t="s">
        <v>43</v>
      </c>
      <c r="H7910" t="s">
        <v>43</v>
      </c>
      <c r="I7910" t="s">
        <v>4097</v>
      </c>
      <c r="J7910" t="s">
        <v>43</v>
      </c>
      <c r="K7910" t="s">
        <v>43</v>
      </c>
      <c r="L7910" t="s">
        <v>43</v>
      </c>
      <c r="M7910" t="s">
        <v>43</v>
      </c>
      <c r="N7910" t="s">
        <v>45</v>
      </c>
      <c r="O7910" t="s">
        <v>43</v>
      </c>
      <c r="P7910" t="s">
        <v>43</v>
      </c>
      <c r="Q7910" t="s">
        <v>43</v>
      </c>
      <c r="R7910" t="s">
        <v>43</v>
      </c>
      <c r="S7910" t="s">
        <v>43</v>
      </c>
      <c r="T7910" t="s">
        <v>43</v>
      </c>
      <c r="U7910" t="s">
        <v>43</v>
      </c>
      <c r="V7910" t="s">
        <v>43</v>
      </c>
      <c r="W7910" t="s">
        <v>43</v>
      </c>
      <c r="X7910" t="s">
        <v>43</v>
      </c>
      <c r="Y7910" t="s">
        <v>43</v>
      </c>
      <c r="Z7910" t="s">
        <v>43</v>
      </c>
      <c r="AA7910" t="s">
        <v>43</v>
      </c>
      <c r="AB7910" t="s">
        <v>43</v>
      </c>
      <c r="AC7910" t="s">
        <v>43</v>
      </c>
      <c r="AD7910" t="s">
        <v>43</v>
      </c>
      <c r="AE7910" t="s">
        <v>43</v>
      </c>
      <c r="AF7910" t="s">
        <v>43</v>
      </c>
      <c r="AG7910" t="s">
        <v>43</v>
      </c>
      <c r="AH7910" t="s">
        <v>43</v>
      </c>
      <c r="AI7910" t="s">
        <v>43</v>
      </c>
      <c r="AJ7910" t="s">
        <v>43</v>
      </c>
      <c r="AK7910" t="s">
        <v>43</v>
      </c>
      <c r="AL7910" t="s">
        <v>43</v>
      </c>
      <c r="AM7910" t="s">
        <v>43</v>
      </c>
      <c r="AN7910" t="str">
        <f>HYPERLINK("https://www.google.com/maps?q=10.78965378,79.57879639","Open Location")</f>
        <v>Open Location</v>
      </c>
    </row>
    <row r="7911" spans="1:40" x14ac:dyDescent="0.3">
      <c r="A7911" s="1">
        <v>46210.083680555559</v>
      </c>
      <c r="B7911" t="s">
        <v>40</v>
      </c>
      <c r="C7911" t="s">
        <v>41</v>
      </c>
      <c r="D7911" s="1">
        <v>46210.086516203701</v>
      </c>
      <c r="E7911" t="s">
        <v>42</v>
      </c>
      <c r="F7911" t="s">
        <v>43</v>
      </c>
      <c r="G7911" t="s">
        <v>43</v>
      </c>
      <c r="H7911" t="s">
        <v>43</v>
      </c>
      <c r="I7911" t="s">
        <v>43</v>
      </c>
      <c r="J7911" t="s">
        <v>43</v>
      </c>
      <c r="K7911" t="s">
        <v>43</v>
      </c>
      <c r="L7911" t="s">
        <v>43</v>
      </c>
      <c r="M7911" t="s">
        <v>43</v>
      </c>
      <c r="N7911" t="s">
        <v>45</v>
      </c>
      <c r="O7911" t="s">
        <v>43</v>
      </c>
      <c r="P7911" t="s">
        <v>43</v>
      </c>
      <c r="Q7911" t="s">
        <v>43</v>
      </c>
      <c r="R7911" t="s">
        <v>43</v>
      </c>
      <c r="S7911" t="s">
        <v>43</v>
      </c>
      <c r="T7911" t="s">
        <v>43</v>
      </c>
      <c r="U7911" t="s">
        <v>43</v>
      </c>
      <c r="V7911" t="s">
        <v>43</v>
      </c>
      <c r="W7911" t="s">
        <v>43</v>
      </c>
      <c r="X7911" t="s">
        <v>43</v>
      </c>
      <c r="Y7911" t="s">
        <v>43</v>
      </c>
      <c r="Z7911" t="s">
        <v>43</v>
      </c>
      <c r="AA7911" t="s">
        <v>43</v>
      </c>
      <c r="AB7911" t="s">
        <v>43</v>
      </c>
      <c r="AC7911" t="s">
        <v>43</v>
      </c>
      <c r="AD7911" t="s">
        <v>43</v>
      </c>
      <c r="AE7911" t="s">
        <v>43</v>
      </c>
      <c r="AF7911" t="s">
        <v>43</v>
      </c>
      <c r="AG7911" t="s">
        <v>43</v>
      </c>
      <c r="AH7911" t="s">
        <v>43</v>
      </c>
      <c r="AI7911" t="s">
        <v>43</v>
      </c>
      <c r="AJ7911" t="s">
        <v>43</v>
      </c>
      <c r="AK7911" t="s">
        <v>43</v>
      </c>
      <c r="AL7911" t="s">
        <v>43</v>
      </c>
      <c r="AM7911" t="s">
        <v>43</v>
      </c>
      <c r="AN7911" t="s">
        <v>43</v>
      </c>
    </row>
    <row r="7912" spans="1:40" x14ac:dyDescent="0.3">
      <c r="A7912" s="1">
        <v>46210.083564814813</v>
      </c>
      <c r="B7912" t="s">
        <v>40</v>
      </c>
      <c r="C7912" t="s">
        <v>41</v>
      </c>
      <c r="D7912" s="1">
        <v>46210.086504629631</v>
      </c>
      <c r="E7912" t="s">
        <v>42</v>
      </c>
      <c r="F7912" t="s">
        <v>43</v>
      </c>
      <c r="G7912" t="s">
        <v>43</v>
      </c>
      <c r="H7912" t="s">
        <v>43</v>
      </c>
      <c r="I7912" t="s">
        <v>3901</v>
      </c>
      <c r="J7912" t="s">
        <v>43</v>
      </c>
      <c r="K7912" t="s">
        <v>43</v>
      </c>
      <c r="L7912" t="s">
        <v>43</v>
      </c>
      <c r="M7912" t="s">
        <v>43</v>
      </c>
      <c r="N7912" t="s">
        <v>45</v>
      </c>
      <c r="O7912" t="s">
        <v>43</v>
      </c>
      <c r="P7912" t="s">
        <v>43</v>
      </c>
      <c r="Q7912" t="s">
        <v>43</v>
      </c>
      <c r="R7912" t="s">
        <v>43</v>
      </c>
      <c r="S7912" t="s">
        <v>43</v>
      </c>
      <c r="T7912" t="s">
        <v>43</v>
      </c>
      <c r="U7912" t="s">
        <v>43</v>
      </c>
      <c r="V7912" t="s">
        <v>43</v>
      </c>
      <c r="W7912" t="s">
        <v>43</v>
      </c>
      <c r="X7912" t="s">
        <v>43</v>
      </c>
      <c r="Y7912" t="s">
        <v>43</v>
      </c>
      <c r="Z7912" t="s">
        <v>43</v>
      </c>
      <c r="AA7912" t="s">
        <v>43</v>
      </c>
      <c r="AB7912" t="s">
        <v>43</v>
      </c>
      <c r="AC7912" t="s">
        <v>43</v>
      </c>
      <c r="AD7912" t="s">
        <v>43</v>
      </c>
      <c r="AE7912" t="s">
        <v>43</v>
      </c>
      <c r="AF7912" t="s">
        <v>43</v>
      </c>
      <c r="AG7912" t="s">
        <v>43</v>
      </c>
      <c r="AH7912" t="s">
        <v>43</v>
      </c>
      <c r="AI7912" t="s">
        <v>43</v>
      </c>
      <c r="AJ7912" t="s">
        <v>43</v>
      </c>
      <c r="AK7912" t="s">
        <v>43</v>
      </c>
      <c r="AL7912" t="s">
        <v>43</v>
      </c>
      <c r="AM7912" t="s">
        <v>43</v>
      </c>
      <c r="AN7912" t="str">
        <f>HYPERLINK("https://www.google.com/maps?q=10.78965092,79.57879639","Open Location")</f>
        <v>Open Location</v>
      </c>
    </row>
    <row r="7913" spans="1:40" x14ac:dyDescent="0.3">
      <c r="A7913" s="1">
        <v>46210.083449074074</v>
      </c>
      <c r="B7913" t="s">
        <v>40</v>
      </c>
      <c r="C7913" t="s">
        <v>41</v>
      </c>
      <c r="D7913" s="1">
        <v>46210.086215277777</v>
      </c>
      <c r="E7913" t="s">
        <v>42</v>
      </c>
      <c r="F7913" t="s">
        <v>43</v>
      </c>
      <c r="G7913" t="s">
        <v>43</v>
      </c>
      <c r="H7913" t="s">
        <v>43</v>
      </c>
      <c r="I7913" t="s">
        <v>4050</v>
      </c>
      <c r="J7913" t="s">
        <v>43</v>
      </c>
      <c r="K7913" t="s">
        <v>43</v>
      </c>
      <c r="L7913" t="s">
        <v>43</v>
      </c>
      <c r="M7913" t="s">
        <v>43</v>
      </c>
      <c r="N7913" t="s">
        <v>45</v>
      </c>
      <c r="O7913" t="s">
        <v>43</v>
      </c>
      <c r="P7913" t="s">
        <v>43</v>
      </c>
      <c r="Q7913" t="s">
        <v>43</v>
      </c>
      <c r="R7913" t="s">
        <v>43</v>
      </c>
      <c r="S7913" t="s">
        <v>43</v>
      </c>
      <c r="T7913" t="s">
        <v>43</v>
      </c>
      <c r="U7913" t="s">
        <v>43</v>
      </c>
      <c r="V7913" t="s">
        <v>43</v>
      </c>
      <c r="W7913" t="s">
        <v>43</v>
      </c>
      <c r="X7913" t="s">
        <v>43</v>
      </c>
      <c r="Y7913" t="s">
        <v>43</v>
      </c>
      <c r="Z7913" t="s">
        <v>43</v>
      </c>
      <c r="AA7913" t="s">
        <v>43</v>
      </c>
      <c r="AB7913" t="s">
        <v>43</v>
      </c>
      <c r="AC7913" t="s">
        <v>43</v>
      </c>
      <c r="AD7913" t="s">
        <v>43</v>
      </c>
      <c r="AE7913" t="s">
        <v>43</v>
      </c>
      <c r="AF7913" t="s">
        <v>43</v>
      </c>
      <c r="AG7913" t="s">
        <v>43</v>
      </c>
      <c r="AH7913" t="s">
        <v>43</v>
      </c>
      <c r="AI7913" t="s">
        <v>43</v>
      </c>
      <c r="AJ7913" t="s">
        <v>43</v>
      </c>
      <c r="AK7913" t="s">
        <v>43</v>
      </c>
      <c r="AL7913" t="s">
        <v>43</v>
      </c>
      <c r="AM7913" t="s">
        <v>43</v>
      </c>
      <c r="AN7913" t="str">
        <f>HYPERLINK("https://www.google.com/maps?q=10.78965378,79.57881165","Open Location")</f>
        <v>Open Location</v>
      </c>
    </row>
    <row r="7914" spans="1:40" x14ac:dyDescent="0.3">
      <c r="A7914" s="1">
        <v>46210.083333333336</v>
      </c>
      <c r="B7914" t="s">
        <v>40</v>
      </c>
      <c r="C7914" t="s">
        <v>41</v>
      </c>
      <c r="D7914" s="1">
        <v>46210.086111111108</v>
      </c>
      <c r="E7914" t="s">
        <v>42</v>
      </c>
      <c r="F7914" t="s">
        <v>43</v>
      </c>
      <c r="G7914" t="s">
        <v>43</v>
      </c>
      <c r="H7914" t="s">
        <v>43</v>
      </c>
      <c r="I7914" t="s">
        <v>3936</v>
      </c>
      <c r="J7914" t="s">
        <v>43</v>
      </c>
      <c r="K7914" t="s">
        <v>43</v>
      </c>
      <c r="L7914" t="s">
        <v>43</v>
      </c>
      <c r="M7914" t="s">
        <v>43</v>
      </c>
      <c r="N7914" t="s">
        <v>45</v>
      </c>
      <c r="O7914" t="s">
        <v>43</v>
      </c>
      <c r="P7914" t="s">
        <v>43</v>
      </c>
      <c r="Q7914" t="s">
        <v>43</v>
      </c>
      <c r="R7914" t="s">
        <v>43</v>
      </c>
      <c r="S7914" t="s">
        <v>43</v>
      </c>
      <c r="T7914" t="s">
        <v>43</v>
      </c>
      <c r="U7914" t="s">
        <v>43</v>
      </c>
      <c r="V7914" t="s">
        <v>43</v>
      </c>
      <c r="W7914" t="s">
        <v>43</v>
      </c>
      <c r="X7914" t="s">
        <v>43</v>
      </c>
      <c r="Y7914" t="s">
        <v>43</v>
      </c>
      <c r="Z7914" t="s">
        <v>43</v>
      </c>
      <c r="AA7914" t="s">
        <v>43</v>
      </c>
      <c r="AB7914" t="s">
        <v>43</v>
      </c>
      <c r="AC7914" t="s">
        <v>43</v>
      </c>
      <c r="AD7914" t="s">
        <v>43</v>
      </c>
      <c r="AE7914" t="s">
        <v>43</v>
      </c>
      <c r="AF7914" t="s">
        <v>43</v>
      </c>
      <c r="AG7914" t="s">
        <v>43</v>
      </c>
      <c r="AH7914" t="s">
        <v>43</v>
      </c>
      <c r="AI7914" t="s">
        <v>43</v>
      </c>
      <c r="AJ7914" t="s">
        <v>43</v>
      </c>
      <c r="AK7914" t="s">
        <v>43</v>
      </c>
      <c r="AL7914" t="s">
        <v>43</v>
      </c>
      <c r="AM7914" t="s">
        <v>43</v>
      </c>
      <c r="AN7914" t="str">
        <f>HYPERLINK("https://www.google.com/maps?q=10.78965855,79.57881165","Open Location")</f>
        <v>Open Location</v>
      </c>
    </row>
    <row r="7915" spans="1:40" x14ac:dyDescent="0.3">
      <c r="A7915" s="1">
        <v>46210.08321759259</v>
      </c>
      <c r="B7915" t="s">
        <v>40</v>
      </c>
      <c r="C7915" t="s">
        <v>41</v>
      </c>
      <c r="D7915" s="1">
        <v>46210.085902777777</v>
      </c>
      <c r="E7915" t="s">
        <v>42</v>
      </c>
      <c r="F7915" t="s">
        <v>43</v>
      </c>
      <c r="G7915" t="s">
        <v>43</v>
      </c>
      <c r="H7915" t="s">
        <v>43</v>
      </c>
      <c r="I7915" t="s">
        <v>3936</v>
      </c>
      <c r="J7915" t="s">
        <v>43</v>
      </c>
      <c r="K7915" t="s">
        <v>43</v>
      </c>
      <c r="L7915" t="s">
        <v>43</v>
      </c>
      <c r="M7915" t="s">
        <v>43</v>
      </c>
      <c r="N7915" t="s">
        <v>45</v>
      </c>
      <c r="O7915" t="s">
        <v>43</v>
      </c>
      <c r="P7915" t="s">
        <v>43</v>
      </c>
      <c r="Q7915" t="s">
        <v>43</v>
      </c>
      <c r="R7915" t="s">
        <v>43</v>
      </c>
      <c r="S7915" t="s">
        <v>43</v>
      </c>
      <c r="T7915" t="s">
        <v>43</v>
      </c>
      <c r="U7915" t="s">
        <v>43</v>
      </c>
      <c r="V7915" t="s">
        <v>43</v>
      </c>
      <c r="W7915" t="s">
        <v>43</v>
      </c>
      <c r="X7915" t="s">
        <v>43</v>
      </c>
      <c r="Y7915" t="s">
        <v>43</v>
      </c>
      <c r="Z7915" t="s">
        <v>43</v>
      </c>
      <c r="AA7915" t="s">
        <v>43</v>
      </c>
      <c r="AB7915" t="s">
        <v>43</v>
      </c>
      <c r="AC7915" t="s">
        <v>43</v>
      </c>
      <c r="AD7915" t="s">
        <v>43</v>
      </c>
      <c r="AE7915" t="s">
        <v>43</v>
      </c>
      <c r="AF7915" t="s">
        <v>43</v>
      </c>
      <c r="AG7915" t="s">
        <v>43</v>
      </c>
      <c r="AH7915" t="s">
        <v>43</v>
      </c>
      <c r="AI7915" t="s">
        <v>43</v>
      </c>
      <c r="AJ7915" t="s">
        <v>43</v>
      </c>
      <c r="AK7915" t="s">
        <v>43</v>
      </c>
      <c r="AL7915" t="s">
        <v>43</v>
      </c>
      <c r="AM7915" t="s">
        <v>43</v>
      </c>
      <c r="AN7915" t="str">
        <f>HYPERLINK("https://www.google.com/maps?q=10.78965855,79.57881165","Open Location")</f>
        <v>Open Location</v>
      </c>
    </row>
    <row r="7916" spans="1:40" x14ac:dyDescent="0.3">
      <c r="A7916" s="1">
        <v>46210.083101851851</v>
      </c>
      <c r="B7916" t="s">
        <v>40</v>
      </c>
      <c r="C7916" t="s">
        <v>41</v>
      </c>
      <c r="D7916" s="1">
        <v>46210.085879629631</v>
      </c>
      <c r="E7916" t="s">
        <v>42</v>
      </c>
      <c r="F7916" t="s">
        <v>43</v>
      </c>
      <c r="G7916" t="s">
        <v>43</v>
      </c>
      <c r="H7916" t="s">
        <v>43</v>
      </c>
      <c r="I7916" t="s">
        <v>4293</v>
      </c>
      <c r="J7916" t="s">
        <v>43</v>
      </c>
      <c r="K7916" t="s">
        <v>43</v>
      </c>
      <c r="L7916" t="s">
        <v>43</v>
      </c>
      <c r="M7916" t="s">
        <v>43</v>
      </c>
      <c r="N7916" t="s">
        <v>45</v>
      </c>
      <c r="O7916" t="s">
        <v>43</v>
      </c>
      <c r="P7916" t="s">
        <v>43</v>
      </c>
      <c r="Q7916" t="s">
        <v>43</v>
      </c>
      <c r="R7916" t="s">
        <v>43</v>
      </c>
      <c r="S7916" t="s">
        <v>43</v>
      </c>
      <c r="T7916" t="s">
        <v>43</v>
      </c>
      <c r="U7916" t="s">
        <v>43</v>
      </c>
      <c r="V7916" t="s">
        <v>43</v>
      </c>
      <c r="W7916" t="s">
        <v>43</v>
      </c>
      <c r="X7916" t="s">
        <v>43</v>
      </c>
      <c r="Y7916" t="s">
        <v>43</v>
      </c>
      <c r="Z7916" t="s">
        <v>43</v>
      </c>
      <c r="AA7916" t="s">
        <v>43</v>
      </c>
      <c r="AB7916" t="s">
        <v>43</v>
      </c>
      <c r="AC7916" t="s">
        <v>43</v>
      </c>
      <c r="AD7916" t="s">
        <v>43</v>
      </c>
      <c r="AE7916" t="s">
        <v>43</v>
      </c>
      <c r="AF7916" t="s">
        <v>43</v>
      </c>
      <c r="AG7916" t="s">
        <v>43</v>
      </c>
      <c r="AH7916" t="s">
        <v>43</v>
      </c>
      <c r="AI7916" t="s">
        <v>43</v>
      </c>
      <c r="AJ7916" t="s">
        <v>43</v>
      </c>
      <c r="AK7916" t="s">
        <v>43</v>
      </c>
      <c r="AL7916" t="s">
        <v>43</v>
      </c>
      <c r="AM7916" t="s">
        <v>43</v>
      </c>
      <c r="AN7916" t="str">
        <f>HYPERLINK("https://www.google.com/maps?q=10.78966236,79.57881165","Open Location")</f>
        <v>Open Location</v>
      </c>
    </row>
    <row r="7917" spans="1:40" x14ac:dyDescent="0.3">
      <c r="A7917" s="1">
        <v>46210.082986111112</v>
      </c>
      <c r="B7917" t="s">
        <v>40</v>
      </c>
      <c r="C7917" t="s">
        <v>41</v>
      </c>
      <c r="D7917" s="1">
        <v>46210.085717592592</v>
      </c>
      <c r="E7917" t="s">
        <v>42</v>
      </c>
      <c r="F7917" t="s">
        <v>43</v>
      </c>
      <c r="G7917" t="s">
        <v>43</v>
      </c>
      <c r="H7917" t="s">
        <v>43</v>
      </c>
      <c r="I7917" t="s">
        <v>43</v>
      </c>
      <c r="J7917" t="s">
        <v>43</v>
      </c>
      <c r="K7917" t="s">
        <v>43</v>
      </c>
      <c r="L7917" t="s">
        <v>43</v>
      </c>
      <c r="M7917" t="s">
        <v>43</v>
      </c>
      <c r="N7917" t="s">
        <v>45</v>
      </c>
      <c r="O7917" t="s">
        <v>43</v>
      </c>
      <c r="P7917" t="s">
        <v>43</v>
      </c>
      <c r="Q7917" t="s">
        <v>43</v>
      </c>
      <c r="R7917" t="s">
        <v>43</v>
      </c>
      <c r="S7917" t="s">
        <v>43</v>
      </c>
      <c r="T7917" t="s">
        <v>43</v>
      </c>
      <c r="U7917" t="s">
        <v>43</v>
      </c>
      <c r="V7917" t="s">
        <v>43</v>
      </c>
      <c r="W7917" t="s">
        <v>43</v>
      </c>
      <c r="X7917" t="s">
        <v>43</v>
      </c>
      <c r="Y7917" t="s">
        <v>43</v>
      </c>
      <c r="Z7917" t="s">
        <v>43</v>
      </c>
      <c r="AA7917" t="s">
        <v>43</v>
      </c>
      <c r="AB7917" t="s">
        <v>43</v>
      </c>
      <c r="AC7917" t="s">
        <v>43</v>
      </c>
      <c r="AD7917" t="s">
        <v>43</v>
      </c>
      <c r="AE7917" t="s">
        <v>43</v>
      </c>
      <c r="AF7917" t="s">
        <v>43</v>
      </c>
      <c r="AG7917" t="s">
        <v>43</v>
      </c>
      <c r="AH7917" t="s">
        <v>43</v>
      </c>
      <c r="AI7917" t="s">
        <v>43</v>
      </c>
      <c r="AJ7917" t="s">
        <v>43</v>
      </c>
      <c r="AK7917" t="s">
        <v>43</v>
      </c>
      <c r="AL7917" t="s">
        <v>43</v>
      </c>
      <c r="AM7917" t="s">
        <v>43</v>
      </c>
      <c r="AN7917" t="s">
        <v>43</v>
      </c>
    </row>
    <row r="7918" spans="1:40" x14ac:dyDescent="0.3">
      <c r="A7918" s="1">
        <v>46210.082870370374</v>
      </c>
      <c r="B7918" t="s">
        <v>40</v>
      </c>
      <c r="C7918" t="s">
        <v>41</v>
      </c>
      <c r="D7918" s="1">
        <v>46210.085879629631</v>
      </c>
      <c r="E7918" t="s">
        <v>42</v>
      </c>
      <c r="F7918" t="s">
        <v>43</v>
      </c>
      <c r="G7918" t="s">
        <v>43</v>
      </c>
      <c r="H7918" t="s">
        <v>43</v>
      </c>
      <c r="I7918" t="s">
        <v>4003</v>
      </c>
      <c r="J7918" t="s">
        <v>43</v>
      </c>
      <c r="K7918" t="s">
        <v>43</v>
      </c>
      <c r="L7918" t="s">
        <v>43</v>
      </c>
      <c r="M7918" t="s">
        <v>43</v>
      </c>
      <c r="N7918" t="s">
        <v>45</v>
      </c>
      <c r="O7918" t="s">
        <v>43</v>
      </c>
      <c r="P7918" t="s">
        <v>43</v>
      </c>
      <c r="Q7918" t="s">
        <v>43</v>
      </c>
      <c r="R7918" t="s">
        <v>43</v>
      </c>
      <c r="S7918" t="s">
        <v>43</v>
      </c>
      <c r="T7918" t="s">
        <v>43</v>
      </c>
      <c r="U7918" t="s">
        <v>43</v>
      </c>
      <c r="V7918" t="s">
        <v>43</v>
      </c>
      <c r="W7918" t="s">
        <v>43</v>
      </c>
      <c r="X7918" t="s">
        <v>43</v>
      </c>
      <c r="Y7918" t="s">
        <v>43</v>
      </c>
      <c r="Z7918" t="s">
        <v>43</v>
      </c>
      <c r="AA7918" t="s">
        <v>43</v>
      </c>
      <c r="AB7918" t="s">
        <v>43</v>
      </c>
      <c r="AC7918" t="s">
        <v>43</v>
      </c>
      <c r="AD7918" t="s">
        <v>43</v>
      </c>
      <c r="AE7918" t="s">
        <v>43</v>
      </c>
      <c r="AF7918" t="s">
        <v>43</v>
      </c>
      <c r="AG7918" t="s">
        <v>43</v>
      </c>
      <c r="AH7918" t="s">
        <v>43</v>
      </c>
      <c r="AI7918" t="s">
        <v>43</v>
      </c>
      <c r="AJ7918" t="s">
        <v>43</v>
      </c>
      <c r="AK7918" t="s">
        <v>43</v>
      </c>
      <c r="AL7918" t="s">
        <v>43</v>
      </c>
      <c r="AM7918" t="s">
        <v>43</v>
      </c>
      <c r="AN7918" t="str">
        <f>HYPERLINK("https://www.google.com/maps?q=10.78966427,79.57881165","Open Location")</f>
        <v>Open Location</v>
      </c>
    </row>
    <row r="7919" spans="1:40" x14ac:dyDescent="0.3">
      <c r="A7919" s="1">
        <v>46210.082754629628</v>
      </c>
      <c r="B7919" t="s">
        <v>40</v>
      </c>
      <c r="C7919" t="s">
        <v>41</v>
      </c>
      <c r="D7919" s="1">
        <v>46210.085393518515</v>
      </c>
      <c r="E7919" t="s">
        <v>42</v>
      </c>
      <c r="F7919" t="s">
        <v>43</v>
      </c>
      <c r="G7919" t="s">
        <v>43</v>
      </c>
      <c r="H7919" t="s">
        <v>43</v>
      </c>
      <c r="I7919" t="s">
        <v>3926</v>
      </c>
      <c r="J7919" t="s">
        <v>43</v>
      </c>
      <c r="K7919" t="s">
        <v>43</v>
      </c>
      <c r="L7919" t="s">
        <v>43</v>
      </c>
      <c r="M7919" t="s">
        <v>43</v>
      </c>
      <c r="N7919" t="s">
        <v>45</v>
      </c>
      <c r="O7919" t="s">
        <v>43</v>
      </c>
      <c r="P7919" t="s">
        <v>43</v>
      </c>
      <c r="Q7919" t="s">
        <v>43</v>
      </c>
      <c r="R7919" t="s">
        <v>43</v>
      </c>
      <c r="S7919" t="s">
        <v>43</v>
      </c>
      <c r="T7919" t="s">
        <v>43</v>
      </c>
      <c r="U7919" t="s">
        <v>43</v>
      </c>
      <c r="V7919" t="s">
        <v>43</v>
      </c>
      <c r="W7919" t="s">
        <v>43</v>
      </c>
      <c r="X7919" t="s">
        <v>43</v>
      </c>
      <c r="Y7919" t="s">
        <v>43</v>
      </c>
      <c r="Z7919" t="s">
        <v>43</v>
      </c>
      <c r="AA7919" t="s">
        <v>43</v>
      </c>
      <c r="AB7919" t="s">
        <v>43</v>
      </c>
      <c r="AC7919" t="s">
        <v>43</v>
      </c>
      <c r="AD7919" t="s">
        <v>43</v>
      </c>
      <c r="AE7919" t="s">
        <v>43</v>
      </c>
      <c r="AF7919" t="s">
        <v>43</v>
      </c>
      <c r="AG7919" t="s">
        <v>43</v>
      </c>
      <c r="AH7919" t="s">
        <v>43</v>
      </c>
      <c r="AI7919" t="s">
        <v>43</v>
      </c>
      <c r="AJ7919" t="s">
        <v>43</v>
      </c>
      <c r="AK7919" t="s">
        <v>43</v>
      </c>
      <c r="AL7919" t="s">
        <v>43</v>
      </c>
      <c r="AM7919" t="s">
        <v>43</v>
      </c>
      <c r="AN7919" t="str">
        <f>HYPERLINK("https://www.google.com/maps?q=10.78966713,79.57879639","Open Location")</f>
        <v>Open Location</v>
      </c>
    </row>
    <row r="7920" spans="1:40" x14ac:dyDescent="0.3">
      <c r="A7920" s="1">
        <v>46210.082638888889</v>
      </c>
      <c r="B7920" t="s">
        <v>40</v>
      </c>
      <c r="C7920" t="s">
        <v>41</v>
      </c>
      <c r="D7920" s="1">
        <v>46210.085393518515</v>
      </c>
      <c r="E7920" t="s">
        <v>42</v>
      </c>
      <c r="F7920" t="s">
        <v>43</v>
      </c>
      <c r="G7920" t="s">
        <v>43</v>
      </c>
      <c r="H7920" t="s">
        <v>43</v>
      </c>
      <c r="I7920" t="s">
        <v>4287</v>
      </c>
      <c r="J7920" t="s">
        <v>43</v>
      </c>
      <c r="K7920" t="s">
        <v>43</v>
      </c>
      <c r="L7920" t="s">
        <v>43</v>
      </c>
      <c r="M7920" t="s">
        <v>43</v>
      </c>
      <c r="N7920" t="s">
        <v>45</v>
      </c>
      <c r="O7920" t="s">
        <v>43</v>
      </c>
      <c r="P7920" t="s">
        <v>43</v>
      </c>
      <c r="Q7920" t="s">
        <v>43</v>
      </c>
      <c r="R7920" t="s">
        <v>43</v>
      </c>
      <c r="S7920" t="s">
        <v>43</v>
      </c>
      <c r="T7920" t="s">
        <v>43</v>
      </c>
      <c r="U7920" t="s">
        <v>43</v>
      </c>
      <c r="V7920" t="s">
        <v>43</v>
      </c>
      <c r="W7920" t="s">
        <v>43</v>
      </c>
      <c r="X7920" t="s">
        <v>43</v>
      </c>
      <c r="Y7920" t="s">
        <v>43</v>
      </c>
      <c r="Z7920" t="s">
        <v>43</v>
      </c>
      <c r="AA7920" t="s">
        <v>43</v>
      </c>
      <c r="AB7920" t="s">
        <v>43</v>
      </c>
      <c r="AC7920" t="s">
        <v>43</v>
      </c>
      <c r="AD7920" t="s">
        <v>43</v>
      </c>
      <c r="AE7920" t="s">
        <v>43</v>
      </c>
      <c r="AF7920" t="s">
        <v>43</v>
      </c>
      <c r="AG7920" t="s">
        <v>43</v>
      </c>
      <c r="AH7920" t="s">
        <v>43</v>
      </c>
      <c r="AI7920" t="s">
        <v>43</v>
      </c>
      <c r="AJ7920" t="s">
        <v>43</v>
      </c>
      <c r="AK7920" t="s">
        <v>43</v>
      </c>
      <c r="AL7920" t="s">
        <v>43</v>
      </c>
      <c r="AM7920" t="s">
        <v>43</v>
      </c>
      <c r="AN7920" t="str">
        <f>HYPERLINK("https://www.google.com/maps?q=10.78967381,79.57881165","Open Location")</f>
        <v>Open Location</v>
      </c>
    </row>
    <row r="7921" spans="1:40" x14ac:dyDescent="0.3">
      <c r="A7921" s="1">
        <v>46210.08252314815</v>
      </c>
      <c r="B7921" t="s">
        <v>40</v>
      </c>
      <c r="C7921" t="s">
        <v>41</v>
      </c>
      <c r="D7921" s="1">
        <v>46210.085416666669</v>
      </c>
      <c r="E7921" t="s">
        <v>42</v>
      </c>
      <c r="F7921" t="s">
        <v>43</v>
      </c>
      <c r="G7921" t="s">
        <v>43</v>
      </c>
      <c r="H7921" t="s">
        <v>43</v>
      </c>
      <c r="I7921" t="s">
        <v>4248</v>
      </c>
      <c r="J7921" t="s">
        <v>43</v>
      </c>
      <c r="K7921" t="s">
        <v>43</v>
      </c>
      <c r="L7921" t="s">
        <v>43</v>
      </c>
      <c r="M7921" t="s">
        <v>43</v>
      </c>
      <c r="N7921" t="s">
        <v>45</v>
      </c>
      <c r="O7921" t="s">
        <v>43</v>
      </c>
      <c r="P7921" t="s">
        <v>43</v>
      </c>
      <c r="Q7921" t="s">
        <v>43</v>
      </c>
      <c r="R7921" t="s">
        <v>43</v>
      </c>
      <c r="S7921" t="s">
        <v>43</v>
      </c>
      <c r="T7921" t="s">
        <v>43</v>
      </c>
      <c r="U7921" t="s">
        <v>43</v>
      </c>
      <c r="V7921" t="s">
        <v>43</v>
      </c>
      <c r="W7921" t="s">
        <v>43</v>
      </c>
      <c r="X7921" t="s">
        <v>43</v>
      </c>
      <c r="Y7921" t="s">
        <v>43</v>
      </c>
      <c r="Z7921" t="s">
        <v>43</v>
      </c>
      <c r="AA7921" t="s">
        <v>43</v>
      </c>
      <c r="AB7921" t="s">
        <v>43</v>
      </c>
      <c r="AC7921" t="s">
        <v>43</v>
      </c>
      <c r="AD7921" t="s">
        <v>43</v>
      </c>
      <c r="AE7921" t="s">
        <v>43</v>
      </c>
      <c r="AF7921" t="s">
        <v>43</v>
      </c>
      <c r="AG7921" t="s">
        <v>43</v>
      </c>
      <c r="AH7921" t="s">
        <v>43</v>
      </c>
      <c r="AI7921" t="s">
        <v>43</v>
      </c>
      <c r="AJ7921" t="s">
        <v>43</v>
      </c>
      <c r="AK7921" t="s">
        <v>43</v>
      </c>
      <c r="AL7921" t="s">
        <v>43</v>
      </c>
      <c r="AM7921" t="s">
        <v>43</v>
      </c>
      <c r="AN7921" t="str">
        <f>HYPERLINK("https://www.google.com/maps?q=10.78967762,79.57881927","Open Location")</f>
        <v>Open Location</v>
      </c>
    </row>
    <row r="7922" spans="1:40" x14ac:dyDescent="0.3">
      <c r="A7922" s="1">
        <v>46210.082407407404</v>
      </c>
      <c r="B7922" t="s">
        <v>40</v>
      </c>
      <c r="C7922" t="s">
        <v>41</v>
      </c>
      <c r="D7922" s="1">
        <v>46210.085370370369</v>
      </c>
      <c r="E7922" t="s">
        <v>42</v>
      </c>
      <c r="F7922" t="s">
        <v>43</v>
      </c>
      <c r="G7922" t="s">
        <v>43</v>
      </c>
      <c r="H7922" t="s">
        <v>43</v>
      </c>
      <c r="I7922" t="s">
        <v>4164</v>
      </c>
      <c r="J7922" t="s">
        <v>43</v>
      </c>
      <c r="K7922" t="s">
        <v>43</v>
      </c>
      <c r="L7922" t="s">
        <v>43</v>
      </c>
      <c r="M7922" t="s">
        <v>43</v>
      </c>
      <c r="N7922" t="s">
        <v>45</v>
      </c>
      <c r="O7922" t="s">
        <v>43</v>
      </c>
      <c r="P7922" t="s">
        <v>43</v>
      </c>
      <c r="Q7922" t="s">
        <v>43</v>
      </c>
      <c r="R7922" t="s">
        <v>43</v>
      </c>
      <c r="S7922" t="s">
        <v>43</v>
      </c>
      <c r="T7922" t="s">
        <v>43</v>
      </c>
      <c r="U7922" t="s">
        <v>43</v>
      </c>
      <c r="V7922" t="s">
        <v>43</v>
      </c>
      <c r="W7922" t="s">
        <v>43</v>
      </c>
      <c r="X7922" t="s">
        <v>43</v>
      </c>
      <c r="Y7922" t="s">
        <v>43</v>
      </c>
      <c r="Z7922" t="s">
        <v>43</v>
      </c>
      <c r="AA7922" t="s">
        <v>43</v>
      </c>
      <c r="AB7922" t="s">
        <v>43</v>
      </c>
      <c r="AC7922" t="s">
        <v>43</v>
      </c>
      <c r="AD7922" t="s">
        <v>43</v>
      </c>
      <c r="AE7922" t="s">
        <v>43</v>
      </c>
      <c r="AF7922" t="s">
        <v>43</v>
      </c>
      <c r="AG7922" t="s">
        <v>43</v>
      </c>
      <c r="AH7922" t="s">
        <v>43</v>
      </c>
      <c r="AI7922" t="s">
        <v>43</v>
      </c>
      <c r="AJ7922" t="s">
        <v>43</v>
      </c>
      <c r="AK7922" t="s">
        <v>43</v>
      </c>
      <c r="AL7922" t="s">
        <v>43</v>
      </c>
      <c r="AM7922" t="s">
        <v>43</v>
      </c>
      <c r="AN7922" t="str">
        <f>HYPERLINK("https://www.google.com/maps?q=10.78967571,79.57881927","Open Location")</f>
        <v>Open Location</v>
      </c>
    </row>
    <row r="7923" spans="1:40" x14ac:dyDescent="0.3">
      <c r="A7923" s="1">
        <v>46210.082291666666</v>
      </c>
      <c r="B7923" t="s">
        <v>40</v>
      </c>
      <c r="C7923" t="s">
        <v>41</v>
      </c>
      <c r="D7923" s="1">
        <v>46210.084999999999</v>
      </c>
      <c r="E7923" t="s">
        <v>42</v>
      </c>
      <c r="F7923" t="s">
        <v>43</v>
      </c>
      <c r="G7923" t="s">
        <v>43</v>
      </c>
      <c r="H7923" t="s">
        <v>43</v>
      </c>
      <c r="I7923" t="s">
        <v>43</v>
      </c>
      <c r="J7923" t="s">
        <v>43</v>
      </c>
      <c r="K7923" t="s">
        <v>43</v>
      </c>
      <c r="L7923" t="s">
        <v>43</v>
      </c>
      <c r="M7923" t="s">
        <v>43</v>
      </c>
      <c r="N7923" t="s">
        <v>45</v>
      </c>
      <c r="O7923" t="s">
        <v>43</v>
      </c>
      <c r="P7923" t="s">
        <v>43</v>
      </c>
      <c r="Q7923" t="s">
        <v>43</v>
      </c>
      <c r="R7923" t="s">
        <v>43</v>
      </c>
      <c r="S7923" t="s">
        <v>43</v>
      </c>
      <c r="T7923" t="s">
        <v>43</v>
      </c>
      <c r="U7923" t="s">
        <v>43</v>
      </c>
      <c r="V7923" t="s">
        <v>43</v>
      </c>
      <c r="W7923" t="s">
        <v>43</v>
      </c>
      <c r="X7923" t="s">
        <v>43</v>
      </c>
      <c r="Y7923" t="s">
        <v>43</v>
      </c>
      <c r="Z7923" t="s">
        <v>43</v>
      </c>
      <c r="AA7923" t="s">
        <v>43</v>
      </c>
      <c r="AB7923" t="s">
        <v>43</v>
      </c>
      <c r="AC7923" t="s">
        <v>43</v>
      </c>
      <c r="AD7923" t="s">
        <v>43</v>
      </c>
      <c r="AE7923" t="s">
        <v>43</v>
      </c>
      <c r="AF7923" t="s">
        <v>43</v>
      </c>
      <c r="AG7923" t="s">
        <v>43</v>
      </c>
      <c r="AH7923" t="s">
        <v>43</v>
      </c>
      <c r="AI7923" t="s">
        <v>43</v>
      </c>
      <c r="AJ7923" t="s">
        <v>43</v>
      </c>
      <c r="AK7923" t="s">
        <v>43</v>
      </c>
      <c r="AL7923" t="s">
        <v>43</v>
      </c>
      <c r="AM7923" t="s">
        <v>43</v>
      </c>
      <c r="AN7923" t="s">
        <v>43</v>
      </c>
    </row>
    <row r="7924" spans="1:40" x14ac:dyDescent="0.3">
      <c r="A7924" s="1">
        <v>46210.082175925927</v>
      </c>
      <c r="B7924" t="s">
        <v>40</v>
      </c>
      <c r="C7924" t="s">
        <v>41</v>
      </c>
      <c r="D7924" s="1">
        <v>46210.084872685184</v>
      </c>
      <c r="E7924" t="s">
        <v>42</v>
      </c>
      <c r="F7924" t="s">
        <v>43</v>
      </c>
      <c r="G7924" t="s">
        <v>43</v>
      </c>
      <c r="H7924" t="s">
        <v>43</v>
      </c>
      <c r="I7924" t="s">
        <v>4165</v>
      </c>
      <c r="J7924" t="s">
        <v>43</v>
      </c>
      <c r="K7924" t="s">
        <v>43</v>
      </c>
      <c r="L7924" t="s">
        <v>43</v>
      </c>
      <c r="M7924" t="s">
        <v>43</v>
      </c>
      <c r="N7924" t="s">
        <v>45</v>
      </c>
      <c r="O7924" t="s">
        <v>43</v>
      </c>
      <c r="P7924" t="s">
        <v>43</v>
      </c>
      <c r="Q7924" t="s">
        <v>43</v>
      </c>
      <c r="R7924" t="s">
        <v>43</v>
      </c>
      <c r="S7924" t="s">
        <v>43</v>
      </c>
      <c r="T7924" t="s">
        <v>43</v>
      </c>
      <c r="U7924" t="s">
        <v>43</v>
      </c>
      <c r="V7924" t="s">
        <v>43</v>
      </c>
      <c r="W7924" t="s">
        <v>43</v>
      </c>
      <c r="X7924" t="s">
        <v>43</v>
      </c>
      <c r="Y7924" t="s">
        <v>43</v>
      </c>
      <c r="Z7924" t="s">
        <v>43</v>
      </c>
      <c r="AA7924" t="s">
        <v>43</v>
      </c>
      <c r="AB7924" t="s">
        <v>43</v>
      </c>
      <c r="AC7924" t="s">
        <v>43</v>
      </c>
      <c r="AD7924" t="s">
        <v>43</v>
      </c>
      <c r="AE7924" t="s">
        <v>43</v>
      </c>
      <c r="AF7924" t="s">
        <v>43</v>
      </c>
      <c r="AG7924" t="s">
        <v>43</v>
      </c>
      <c r="AH7924" t="s">
        <v>43</v>
      </c>
      <c r="AI7924" t="s">
        <v>43</v>
      </c>
      <c r="AJ7924" t="s">
        <v>43</v>
      </c>
      <c r="AK7924" t="s">
        <v>43</v>
      </c>
      <c r="AL7924" t="s">
        <v>43</v>
      </c>
      <c r="AM7924" t="s">
        <v>43</v>
      </c>
      <c r="AN7924" t="str">
        <f>HYPERLINK("https://www.google.com/maps?q=10.78967476,79.57881927","Open Location")</f>
        <v>Open Location</v>
      </c>
    </row>
    <row r="7925" spans="1:40" x14ac:dyDescent="0.3">
      <c r="A7925" s="1">
        <v>46210.082060185188</v>
      </c>
      <c r="B7925" t="s">
        <v>40</v>
      </c>
      <c r="C7925" t="s">
        <v>41</v>
      </c>
      <c r="D7925" s="1">
        <v>46210.084745370368</v>
      </c>
      <c r="E7925" t="s">
        <v>42</v>
      </c>
      <c r="F7925" t="s">
        <v>43</v>
      </c>
      <c r="G7925" t="s">
        <v>43</v>
      </c>
      <c r="H7925" t="s">
        <v>43</v>
      </c>
      <c r="I7925" t="s">
        <v>4159</v>
      </c>
      <c r="J7925" t="s">
        <v>43</v>
      </c>
      <c r="K7925" t="s">
        <v>43</v>
      </c>
      <c r="L7925" t="s">
        <v>43</v>
      </c>
      <c r="M7925" t="s">
        <v>43</v>
      </c>
      <c r="N7925" t="s">
        <v>45</v>
      </c>
      <c r="O7925" t="s">
        <v>43</v>
      </c>
      <c r="P7925" t="s">
        <v>43</v>
      </c>
      <c r="Q7925" t="s">
        <v>43</v>
      </c>
      <c r="R7925" t="s">
        <v>43</v>
      </c>
      <c r="S7925" t="s">
        <v>43</v>
      </c>
      <c r="T7925" t="s">
        <v>43</v>
      </c>
      <c r="U7925" t="s">
        <v>43</v>
      </c>
      <c r="V7925" t="s">
        <v>43</v>
      </c>
      <c r="W7925" t="s">
        <v>43</v>
      </c>
      <c r="X7925" t="s">
        <v>43</v>
      </c>
      <c r="Y7925" t="s">
        <v>43</v>
      </c>
      <c r="Z7925" t="s">
        <v>43</v>
      </c>
      <c r="AA7925" t="s">
        <v>43</v>
      </c>
      <c r="AB7925" t="s">
        <v>43</v>
      </c>
      <c r="AC7925" t="s">
        <v>43</v>
      </c>
      <c r="AD7925" t="s">
        <v>43</v>
      </c>
      <c r="AE7925" t="s">
        <v>43</v>
      </c>
      <c r="AF7925" t="s">
        <v>43</v>
      </c>
      <c r="AG7925" t="s">
        <v>43</v>
      </c>
      <c r="AH7925" t="s">
        <v>43</v>
      </c>
      <c r="AI7925" t="s">
        <v>43</v>
      </c>
      <c r="AJ7925" t="s">
        <v>43</v>
      </c>
      <c r="AK7925" t="s">
        <v>43</v>
      </c>
      <c r="AL7925" t="s">
        <v>43</v>
      </c>
      <c r="AM7925" t="s">
        <v>43</v>
      </c>
      <c r="AN7925" t="str">
        <f>HYPERLINK("https://www.google.com/maps?q=10.78967285,79.57881165","Open Location")</f>
        <v>Open Location</v>
      </c>
    </row>
    <row r="7926" spans="1:40" x14ac:dyDescent="0.3">
      <c r="A7926" s="1">
        <v>46210.081944444442</v>
      </c>
      <c r="B7926" t="s">
        <v>40</v>
      </c>
      <c r="C7926" t="s">
        <v>41</v>
      </c>
      <c r="D7926" s="1">
        <v>46210.084641203706</v>
      </c>
      <c r="E7926" t="s">
        <v>42</v>
      </c>
      <c r="F7926" t="s">
        <v>43</v>
      </c>
      <c r="G7926" t="s">
        <v>43</v>
      </c>
      <c r="H7926" t="s">
        <v>43</v>
      </c>
      <c r="I7926" t="s">
        <v>4090</v>
      </c>
      <c r="J7926" t="s">
        <v>43</v>
      </c>
      <c r="K7926" t="s">
        <v>43</v>
      </c>
      <c r="L7926" t="s">
        <v>43</v>
      </c>
      <c r="M7926" t="s">
        <v>43</v>
      </c>
      <c r="N7926" t="s">
        <v>45</v>
      </c>
      <c r="O7926" t="s">
        <v>43</v>
      </c>
      <c r="P7926" t="s">
        <v>43</v>
      </c>
      <c r="Q7926" t="s">
        <v>43</v>
      </c>
      <c r="R7926" t="s">
        <v>43</v>
      </c>
      <c r="S7926" t="s">
        <v>43</v>
      </c>
      <c r="T7926" t="s">
        <v>43</v>
      </c>
      <c r="U7926" t="s">
        <v>43</v>
      </c>
      <c r="V7926" t="s">
        <v>43</v>
      </c>
      <c r="W7926" t="s">
        <v>43</v>
      </c>
      <c r="X7926" t="s">
        <v>43</v>
      </c>
      <c r="Y7926" t="s">
        <v>43</v>
      </c>
      <c r="Z7926" t="s">
        <v>43</v>
      </c>
      <c r="AA7926" t="s">
        <v>43</v>
      </c>
      <c r="AB7926" t="s">
        <v>43</v>
      </c>
      <c r="AC7926" t="s">
        <v>43</v>
      </c>
      <c r="AD7926" t="s">
        <v>43</v>
      </c>
      <c r="AE7926" t="s">
        <v>43</v>
      </c>
      <c r="AF7926" t="s">
        <v>43</v>
      </c>
      <c r="AG7926" t="s">
        <v>43</v>
      </c>
      <c r="AH7926" t="s">
        <v>43</v>
      </c>
      <c r="AI7926" t="s">
        <v>43</v>
      </c>
      <c r="AJ7926" t="s">
        <v>43</v>
      </c>
      <c r="AK7926" t="s">
        <v>43</v>
      </c>
      <c r="AL7926" t="s">
        <v>43</v>
      </c>
      <c r="AM7926" t="s">
        <v>43</v>
      </c>
      <c r="AN7926" t="str">
        <f>HYPERLINK("https://www.google.com/maps?q=10.78967381,79.57881927","Open Location")</f>
        <v>Open Location</v>
      </c>
    </row>
    <row r="7927" spans="1:40" x14ac:dyDescent="0.3">
      <c r="A7927" s="1">
        <v>46210.081828703704</v>
      </c>
      <c r="B7927" t="s">
        <v>40</v>
      </c>
      <c r="C7927" t="s">
        <v>41</v>
      </c>
      <c r="D7927" s="1">
        <v>46210.084629629629</v>
      </c>
      <c r="E7927" t="s">
        <v>42</v>
      </c>
      <c r="F7927" t="s">
        <v>43</v>
      </c>
      <c r="G7927" t="s">
        <v>43</v>
      </c>
      <c r="H7927" t="s">
        <v>43</v>
      </c>
      <c r="I7927" t="s">
        <v>4287</v>
      </c>
      <c r="J7927" t="s">
        <v>43</v>
      </c>
      <c r="K7927" t="s">
        <v>43</v>
      </c>
      <c r="L7927" t="s">
        <v>43</v>
      </c>
      <c r="M7927" t="s">
        <v>43</v>
      </c>
      <c r="N7927" t="s">
        <v>45</v>
      </c>
      <c r="O7927" t="s">
        <v>43</v>
      </c>
      <c r="P7927" t="s">
        <v>43</v>
      </c>
      <c r="Q7927" t="s">
        <v>43</v>
      </c>
      <c r="R7927" t="s">
        <v>43</v>
      </c>
      <c r="S7927" t="s">
        <v>43</v>
      </c>
      <c r="T7927" t="s">
        <v>43</v>
      </c>
      <c r="U7927" t="s">
        <v>43</v>
      </c>
      <c r="V7927" t="s">
        <v>43</v>
      </c>
      <c r="W7927" t="s">
        <v>43</v>
      </c>
      <c r="X7927" t="s">
        <v>43</v>
      </c>
      <c r="Y7927" t="s">
        <v>43</v>
      </c>
      <c r="Z7927" t="s">
        <v>43</v>
      </c>
      <c r="AA7927" t="s">
        <v>43</v>
      </c>
      <c r="AB7927" t="s">
        <v>43</v>
      </c>
      <c r="AC7927" t="s">
        <v>43</v>
      </c>
      <c r="AD7927" t="s">
        <v>43</v>
      </c>
      <c r="AE7927" t="s">
        <v>43</v>
      </c>
      <c r="AF7927" t="s">
        <v>43</v>
      </c>
      <c r="AG7927" t="s">
        <v>43</v>
      </c>
      <c r="AH7927" t="s">
        <v>43</v>
      </c>
      <c r="AI7927" t="s">
        <v>43</v>
      </c>
      <c r="AJ7927" t="s">
        <v>43</v>
      </c>
      <c r="AK7927" t="s">
        <v>43</v>
      </c>
      <c r="AL7927" t="s">
        <v>43</v>
      </c>
      <c r="AM7927" t="s">
        <v>43</v>
      </c>
      <c r="AN7927" t="str">
        <f>HYPERLINK("https://www.google.com/maps?q=10.78967381,79.57881165","Open Location")</f>
        <v>Open Location</v>
      </c>
    </row>
    <row r="7928" spans="1:40" x14ac:dyDescent="0.3">
      <c r="A7928" s="1">
        <v>46210.081712962965</v>
      </c>
      <c r="B7928" t="s">
        <v>40</v>
      </c>
      <c r="C7928" t="s">
        <v>41</v>
      </c>
      <c r="D7928" s="1">
        <v>46210.084675925929</v>
      </c>
      <c r="E7928" t="s">
        <v>42</v>
      </c>
      <c r="F7928" t="s">
        <v>43</v>
      </c>
      <c r="G7928" t="s">
        <v>43</v>
      </c>
      <c r="H7928" t="s">
        <v>43</v>
      </c>
      <c r="I7928" t="s">
        <v>43</v>
      </c>
      <c r="J7928" t="s">
        <v>43</v>
      </c>
      <c r="K7928" t="s">
        <v>43</v>
      </c>
      <c r="L7928" t="s">
        <v>43</v>
      </c>
      <c r="M7928" t="s">
        <v>43</v>
      </c>
      <c r="N7928" t="s">
        <v>45</v>
      </c>
      <c r="O7928" t="s">
        <v>43</v>
      </c>
      <c r="P7928" t="s">
        <v>43</v>
      </c>
      <c r="Q7928" t="s">
        <v>43</v>
      </c>
      <c r="R7928" t="s">
        <v>43</v>
      </c>
      <c r="S7928" t="s">
        <v>43</v>
      </c>
      <c r="T7928" t="s">
        <v>43</v>
      </c>
      <c r="U7928" t="s">
        <v>43</v>
      </c>
      <c r="V7928" t="s">
        <v>43</v>
      </c>
      <c r="W7928" t="s">
        <v>43</v>
      </c>
      <c r="X7928" t="s">
        <v>43</v>
      </c>
      <c r="Y7928" t="s">
        <v>43</v>
      </c>
      <c r="Z7928" t="s">
        <v>43</v>
      </c>
      <c r="AA7928" t="s">
        <v>43</v>
      </c>
      <c r="AB7928" t="s">
        <v>43</v>
      </c>
      <c r="AC7928" t="s">
        <v>43</v>
      </c>
      <c r="AD7928" t="s">
        <v>43</v>
      </c>
      <c r="AE7928" t="s">
        <v>43</v>
      </c>
      <c r="AF7928" t="s">
        <v>43</v>
      </c>
      <c r="AG7928" t="s">
        <v>43</v>
      </c>
      <c r="AH7928" t="s">
        <v>43</v>
      </c>
      <c r="AI7928" t="s">
        <v>43</v>
      </c>
      <c r="AJ7928" t="s">
        <v>43</v>
      </c>
      <c r="AK7928" t="s">
        <v>43</v>
      </c>
      <c r="AL7928" t="s">
        <v>43</v>
      </c>
      <c r="AM7928" t="s">
        <v>43</v>
      </c>
      <c r="AN7928" t="s">
        <v>43</v>
      </c>
    </row>
    <row r="7929" spans="1:40" x14ac:dyDescent="0.3">
      <c r="A7929" s="1">
        <v>46210.081597222219</v>
      </c>
      <c r="B7929" t="s">
        <v>40</v>
      </c>
      <c r="C7929" t="s">
        <v>41</v>
      </c>
      <c r="D7929" s="1">
        <v>46210.084421296298</v>
      </c>
      <c r="E7929" t="s">
        <v>42</v>
      </c>
      <c r="F7929" t="s">
        <v>43</v>
      </c>
      <c r="G7929" t="s">
        <v>43</v>
      </c>
      <c r="H7929" t="s">
        <v>43</v>
      </c>
      <c r="I7929" t="s">
        <v>4286</v>
      </c>
      <c r="J7929" t="s">
        <v>43</v>
      </c>
      <c r="K7929" t="s">
        <v>43</v>
      </c>
      <c r="L7929" t="s">
        <v>43</v>
      </c>
      <c r="M7929" t="s">
        <v>43</v>
      </c>
      <c r="N7929" t="s">
        <v>45</v>
      </c>
      <c r="O7929" t="s">
        <v>43</v>
      </c>
      <c r="P7929" t="s">
        <v>43</v>
      </c>
      <c r="Q7929" t="s">
        <v>43</v>
      </c>
      <c r="R7929" t="s">
        <v>43</v>
      </c>
      <c r="S7929" t="s">
        <v>43</v>
      </c>
      <c r="T7929" t="s">
        <v>43</v>
      </c>
      <c r="U7929" t="s">
        <v>43</v>
      </c>
      <c r="V7929" t="s">
        <v>43</v>
      </c>
      <c r="W7929" t="s">
        <v>43</v>
      </c>
      <c r="X7929" t="s">
        <v>43</v>
      </c>
      <c r="Y7929" t="s">
        <v>43</v>
      </c>
      <c r="Z7929" t="s">
        <v>43</v>
      </c>
      <c r="AA7929" t="s">
        <v>43</v>
      </c>
      <c r="AB7929" t="s">
        <v>43</v>
      </c>
      <c r="AC7929" t="s">
        <v>43</v>
      </c>
      <c r="AD7929" t="s">
        <v>43</v>
      </c>
      <c r="AE7929" t="s">
        <v>43</v>
      </c>
      <c r="AF7929" t="s">
        <v>43</v>
      </c>
      <c r="AG7929" t="s">
        <v>43</v>
      </c>
      <c r="AH7929" t="s">
        <v>43</v>
      </c>
      <c r="AI7929" t="s">
        <v>43</v>
      </c>
      <c r="AJ7929" t="s">
        <v>43</v>
      </c>
      <c r="AK7929" t="s">
        <v>43</v>
      </c>
      <c r="AL7929" t="s">
        <v>43</v>
      </c>
      <c r="AM7929" t="s">
        <v>43</v>
      </c>
      <c r="AN7929" t="str">
        <f>HYPERLINK("https://www.google.com/maps?q=10.78967094,79.57881165","Open Location")</f>
        <v>Open Location</v>
      </c>
    </row>
    <row r="7930" spans="1:40" x14ac:dyDescent="0.3">
      <c r="A7930" s="1">
        <v>46210.08148148148</v>
      </c>
      <c r="B7930" t="s">
        <v>40</v>
      </c>
      <c r="C7930" t="s">
        <v>41</v>
      </c>
      <c r="D7930" s="1">
        <v>46210.084409722222</v>
      </c>
      <c r="E7930" t="s">
        <v>42</v>
      </c>
      <c r="F7930" t="s">
        <v>43</v>
      </c>
      <c r="G7930" t="s">
        <v>43</v>
      </c>
      <c r="H7930" t="s">
        <v>43</v>
      </c>
      <c r="I7930" t="s">
        <v>3934</v>
      </c>
      <c r="J7930" t="s">
        <v>43</v>
      </c>
      <c r="K7930" t="s">
        <v>43</v>
      </c>
      <c r="L7930" t="s">
        <v>43</v>
      </c>
      <c r="M7930" t="s">
        <v>43</v>
      </c>
      <c r="N7930" t="s">
        <v>45</v>
      </c>
      <c r="O7930" t="s">
        <v>43</v>
      </c>
      <c r="P7930" t="s">
        <v>43</v>
      </c>
      <c r="Q7930" t="s">
        <v>43</v>
      </c>
      <c r="R7930" t="s">
        <v>43</v>
      </c>
      <c r="S7930" t="s">
        <v>43</v>
      </c>
      <c r="T7930" t="s">
        <v>43</v>
      </c>
      <c r="U7930" t="s">
        <v>43</v>
      </c>
      <c r="V7930" t="s">
        <v>43</v>
      </c>
      <c r="W7930" t="s">
        <v>43</v>
      </c>
      <c r="X7930" t="s">
        <v>43</v>
      </c>
      <c r="Y7930" t="s">
        <v>43</v>
      </c>
      <c r="Z7930" t="s">
        <v>43</v>
      </c>
      <c r="AA7930" t="s">
        <v>43</v>
      </c>
      <c r="AB7930" t="s">
        <v>43</v>
      </c>
      <c r="AC7930" t="s">
        <v>43</v>
      </c>
      <c r="AD7930" t="s">
        <v>43</v>
      </c>
      <c r="AE7930" t="s">
        <v>43</v>
      </c>
      <c r="AF7930" t="s">
        <v>43</v>
      </c>
      <c r="AG7930" t="s">
        <v>43</v>
      </c>
      <c r="AH7930" t="s">
        <v>43</v>
      </c>
      <c r="AI7930" t="s">
        <v>43</v>
      </c>
      <c r="AJ7930" t="s">
        <v>43</v>
      </c>
      <c r="AK7930" t="s">
        <v>43</v>
      </c>
      <c r="AL7930" t="s">
        <v>43</v>
      </c>
      <c r="AM7930" t="s">
        <v>43</v>
      </c>
      <c r="AN7930" t="str">
        <f>HYPERLINK("https://www.google.com/maps?q=10.78966522,79.57881165","Open Location")</f>
        <v>Open Location</v>
      </c>
    </row>
    <row r="7931" spans="1:40" x14ac:dyDescent="0.3">
      <c r="A7931" s="1">
        <v>46210.081365740742</v>
      </c>
      <c r="B7931" t="s">
        <v>40</v>
      </c>
      <c r="C7931" t="s">
        <v>41</v>
      </c>
      <c r="D7931" s="1">
        <v>46210.084050925929</v>
      </c>
      <c r="E7931" t="s">
        <v>42</v>
      </c>
      <c r="F7931" t="s">
        <v>43</v>
      </c>
      <c r="G7931" t="s">
        <v>43</v>
      </c>
      <c r="H7931" t="s">
        <v>43</v>
      </c>
      <c r="I7931" t="s">
        <v>4293</v>
      </c>
      <c r="J7931" t="s">
        <v>43</v>
      </c>
      <c r="K7931" t="s">
        <v>43</v>
      </c>
      <c r="L7931" t="s">
        <v>43</v>
      </c>
      <c r="M7931" t="s">
        <v>43</v>
      </c>
      <c r="N7931" t="s">
        <v>45</v>
      </c>
      <c r="O7931" t="s">
        <v>43</v>
      </c>
      <c r="P7931" t="s">
        <v>43</v>
      </c>
      <c r="Q7931" t="s">
        <v>43</v>
      </c>
      <c r="R7931" t="s">
        <v>43</v>
      </c>
      <c r="S7931" t="s">
        <v>43</v>
      </c>
      <c r="T7931" t="s">
        <v>43</v>
      </c>
      <c r="U7931" t="s">
        <v>43</v>
      </c>
      <c r="V7931" t="s">
        <v>43</v>
      </c>
      <c r="W7931" t="s">
        <v>43</v>
      </c>
      <c r="X7931" t="s">
        <v>43</v>
      </c>
      <c r="Y7931" t="s">
        <v>43</v>
      </c>
      <c r="Z7931" t="s">
        <v>43</v>
      </c>
      <c r="AA7931" t="s">
        <v>43</v>
      </c>
      <c r="AB7931" t="s">
        <v>43</v>
      </c>
      <c r="AC7931" t="s">
        <v>43</v>
      </c>
      <c r="AD7931" t="s">
        <v>43</v>
      </c>
      <c r="AE7931" t="s">
        <v>43</v>
      </c>
      <c r="AF7931" t="s">
        <v>43</v>
      </c>
      <c r="AG7931" t="s">
        <v>43</v>
      </c>
      <c r="AH7931" t="s">
        <v>43</v>
      </c>
      <c r="AI7931" t="s">
        <v>43</v>
      </c>
      <c r="AJ7931" t="s">
        <v>43</v>
      </c>
      <c r="AK7931" t="s">
        <v>43</v>
      </c>
      <c r="AL7931" t="s">
        <v>43</v>
      </c>
      <c r="AM7931" t="s">
        <v>43</v>
      </c>
      <c r="AN7931" t="str">
        <f>HYPERLINK("https://www.google.com/maps?q=10.78966236,79.57881165","Open Location")</f>
        <v>Open Location</v>
      </c>
    </row>
    <row r="7932" spans="1:40" x14ac:dyDescent="0.3">
      <c r="A7932" s="1">
        <v>46210.081250000003</v>
      </c>
      <c r="B7932" t="s">
        <v>40</v>
      </c>
      <c r="C7932" t="s">
        <v>41</v>
      </c>
      <c r="D7932" s="1">
        <v>46210.084039351852</v>
      </c>
      <c r="E7932" t="s">
        <v>42</v>
      </c>
      <c r="F7932" t="s">
        <v>43</v>
      </c>
      <c r="G7932" t="s">
        <v>43</v>
      </c>
      <c r="H7932" t="s">
        <v>43</v>
      </c>
      <c r="I7932" t="s">
        <v>4001</v>
      </c>
      <c r="J7932" t="s">
        <v>43</v>
      </c>
      <c r="K7932" t="s">
        <v>43</v>
      </c>
      <c r="L7932" t="s">
        <v>43</v>
      </c>
      <c r="M7932" t="s">
        <v>43</v>
      </c>
      <c r="N7932" t="s">
        <v>45</v>
      </c>
      <c r="O7932" t="s">
        <v>43</v>
      </c>
      <c r="P7932" t="s">
        <v>43</v>
      </c>
      <c r="Q7932" t="s">
        <v>43</v>
      </c>
      <c r="R7932" t="s">
        <v>43</v>
      </c>
      <c r="S7932" t="s">
        <v>43</v>
      </c>
      <c r="T7932" t="s">
        <v>43</v>
      </c>
      <c r="U7932" t="s">
        <v>43</v>
      </c>
      <c r="V7932" t="s">
        <v>43</v>
      </c>
      <c r="W7932" t="s">
        <v>43</v>
      </c>
      <c r="X7932" t="s">
        <v>43</v>
      </c>
      <c r="Y7932" t="s">
        <v>43</v>
      </c>
      <c r="Z7932" t="s">
        <v>43</v>
      </c>
      <c r="AA7932" t="s">
        <v>43</v>
      </c>
      <c r="AB7932" t="s">
        <v>43</v>
      </c>
      <c r="AC7932" t="s">
        <v>43</v>
      </c>
      <c r="AD7932" t="s">
        <v>43</v>
      </c>
      <c r="AE7932" t="s">
        <v>43</v>
      </c>
      <c r="AF7932" t="s">
        <v>43</v>
      </c>
      <c r="AG7932" t="s">
        <v>43</v>
      </c>
      <c r="AH7932" t="s">
        <v>43</v>
      </c>
      <c r="AI7932" t="s">
        <v>43</v>
      </c>
      <c r="AJ7932" t="s">
        <v>43</v>
      </c>
      <c r="AK7932" t="s">
        <v>43</v>
      </c>
      <c r="AL7932" t="s">
        <v>43</v>
      </c>
      <c r="AM7932" t="s">
        <v>43</v>
      </c>
      <c r="AN7932" t="str">
        <f>HYPERLINK("https://www.google.com/maps?q=10.78966236,79.57879639","Open Location")</f>
        <v>Open Location</v>
      </c>
    </row>
    <row r="7933" spans="1:40" x14ac:dyDescent="0.3">
      <c r="A7933" s="1">
        <v>46210.081134259257</v>
      </c>
      <c r="B7933" t="s">
        <v>40</v>
      </c>
      <c r="C7933" t="s">
        <v>41</v>
      </c>
      <c r="D7933" s="1">
        <v>46210.083923611113</v>
      </c>
      <c r="E7933" t="s">
        <v>42</v>
      </c>
      <c r="F7933" t="s">
        <v>43</v>
      </c>
      <c r="G7933" t="s">
        <v>43</v>
      </c>
      <c r="H7933" t="s">
        <v>43</v>
      </c>
      <c r="I7933" t="s">
        <v>3934</v>
      </c>
      <c r="J7933" t="s">
        <v>43</v>
      </c>
      <c r="K7933" t="s">
        <v>43</v>
      </c>
      <c r="L7933" t="s">
        <v>43</v>
      </c>
      <c r="M7933" t="s">
        <v>43</v>
      </c>
      <c r="N7933" t="s">
        <v>45</v>
      </c>
      <c r="O7933" t="s">
        <v>43</v>
      </c>
      <c r="P7933" t="s">
        <v>43</v>
      </c>
      <c r="Q7933" t="s">
        <v>43</v>
      </c>
      <c r="R7933" t="s">
        <v>43</v>
      </c>
      <c r="S7933" t="s">
        <v>43</v>
      </c>
      <c r="T7933" t="s">
        <v>43</v>
      </c>
      <c r="U7933" t="s">
        <v>43</v>
      </c>
      <c r="V7933" t="s">
        <v>43</v>
      </c>
      <c r="W7933" t="s">
        <v>43</v>
      </c>
      <c r="X7933" t="s">
        <v>43</v>
      </c>
      <c r="Y7933" t="s">
        <v>43</v>
      </c>
      <c r="Z7933" t="s">
        <v>43</v>
      </c>
      <c r="AA7933" t="s">
        <v>43</v>
      </c>
      <c r="AB7933" t="s">
        <v>43</v>
      </c>
      <c r="AC7933" t="s">
        <v>43</v>
      </c>
      <c r="AD7933" t="s">
        <v>43</v>
      </c>
      <c r="AE7933" t="s">
        <v>43</v>
      </c>
      <c r="AF7933" t="s">
        <v>43</v>
      </c>
      <c r="AG7933" t="s">
        <v>43</v>
      </c>
      <c r="AH7933" t="s">
        <v>43</v>
      </c>
      <c r="AI7933" t="s">
        <v>43</v>
      </c>
      <c r="AJ7933" t="s">
        <v>43</v>
      </c>
      <c r="AK7933" t="s">
        <v>43</v>
      </c>
      <c r="AL7933" t="s">
        <v>43</v>
      </c>
      <c r="AM7933" t="s">
        <v>43</v>
      </c>
      <c r="AN7933" t="str">
        <f>HYPERLINK("https://www.google.com/maps?q=10.78966522,79.57881165","Open Location")</f>
        <v>Open Location</v>
      </c>
    </row>
    <row r="7934" spans="1:40" x14ac:dyDescent="0.3">
      <c r="A7934" s="1">
        <v>46210.081018518518</v>
      </c>
      <c r="B7934" t="s">
        <v>40</v>
      </c>
      <c r="C7934" t="s">
        <v>41</v>
      </c>
      <c r="D7934" s="1">
        <v>46210.083738425928</v>
      </c>
      <c r="E7934" t="s">
        <v>42</v>
      </c>
      <c r="F7934" t="s">
        <v>43</v>
      </c>
      <c r="G7934" t="s">
        <v>43</v>
      </c>
      <c r="H7934" t="s">
        <v>43</v>
      </c>
      <c r="I7934" t="s">
        <v>43</v>
      </c>
      <c r="J7934" t="s">
        <v>43</v>
      </c>
      <c r="K7934" t="s">
        <v>43</v>
      </c>
      <c r="L7934" t="s">
        <v>43</v>
      </c>
      <c r="M7934" t="s">
        <v>43</v>
      </c>
      <c r="N7934" t="s">
        <v>45</v>
      </c>
      <c r="O7934" t="s">
        <v>43</v>
      </c>
      <c r="P7934" t="s">
        <v>43</v>
      </c>
      <c r="Q7934" t="s">
        <v>43</v>
      </c>
      <c r="R7934" t="s">
        <v>43</v>
      </c>
      <c r="S7934" t="s">
        <v>43</v>
      </c>
      <c r="T7934" t="s">
        <v>43</v>
      </c>
      <c r="U7934" t="s">
        <v>43</v>
      </c>
      <c r="V7934" t="s">
        <v>43</v>
      </c>
      <c r="W7934" t="s">
        <v>43</v>
      </c>
      <c r="X7934" t="s">
        <v>43</v>
      </c>
      <c r="Y7934" t="s">
        <v>43</v>
      </c>
      <c r="Z7934" t="s">
        <v>43</v>
      </c>
      <c r="AA7934" t="s">
        <v>43</v>
      </c>
      <c r="AB7934" t="s">
        <v>43</v>
      </c>
      <c r="AC7934" t="s">
        <v>43</v>
      </c>
      <c r="AD7934" t="s">
        <v>43</v>
      </c>
      <c r="AE7934" t="s">
        <v>43</v>
      </c>
      <c r="AF7934" t="s">
        <v>43</v>
      </c>
      <c r="AG7934" t="s">
        <v>43</v>
      </c>
      <c r="AH7934" t="s">
        <v>43</v>
      </c>
      <c r="AI7934" t="s">
        <v>43</v>
      </c>
      <c r="AJ7934" t="s">
        <v>43</v>
      </c>
      <c r="AK7934" t="s">
        <v>43</v>
      </c>
      <c r="AL7934" t="s">
        <v>43</v>
      </c>
      <c r="AM7934" t="s">
        <v>43</v>
      </c>
      <c r="AN7934" t="s">
        <v>43</v>
      </c>
    </row>
    <row r="7935" spans="1:40" x14ac:dyDescent="0.3">
      <c r="A7935" s="1">
        <v>46210.08090277778</v>
      </c>
      <c r="B7935" t="s">
        <v>40</v>
      </c>
      <c r="C7935" t="s">
        <v>41</v>
      </c>
      <c r="D7935" s="1">
        <v>46210.083738425928</v>
      </c>
      <c r="E7935" t="s">
        <v>42</v>
      </c>
      <c r="F7935" t="s">
        <v>43</v>
      </c>
      <c r="G7935" t="s">
        <v>43</v>
      </c>
      <c r="H7935" t="s">
        <v>43</v>
      </c>
      <c r="I7935" t="s">
        <v>4223</v>
      </c>
      <c r="J7935" t="s">
        <v>43</v>
      </c>
      <c r="K7935" t="s">
        <v>43</v>
      </c>
      <c r="L7935" t="s">
        <v>43</v>
      </c>
      <c r="M7935" t="s">
        <v>43</v>
      </c>
      <c r="N7935" t="s">
        <v>45</v>
      </c>
      <c r="O7935" t="s">
        <v>43</v>
      </c>
      <c r="P7935" t="s">
        <v>43</v>
      </c>
      <c r="Q7935" t="s">
        <v>43</v>
      </c>
      <c r="R7935" t="s">
        <v>43</v>
      </c>
      <c r="S7935" t="s">
        <v>43</v>
      </c>
      <c r="T7935" t="s">
        <v>43</v>
      </c>
      <c r="U7935" t="s">
        <v>43</v>
      </c>
      <c r="V7935" t="s">
        <v>43</v>
      </c>
      <c r="W7935" t="s">
        <v>43</v>
      </c>
      <c r="X7935" t="s">
        <v>43</v>
      </c>
      <c r="Y7935" t="s">
        <v>43</v>
      </c>
      <c r="Z7935" t="s">
        <v>43</v>
      </c>
      <c r="AA7935" t="s">
        <v>43</v>
      </c>
      <c r="AB7935" t="s">
        <v>43</v>
      </c>
      <c r="AC7935" t="s">
        <v>43</v>
      </c>
      <c r="AD7935" t="s">
        <v>43</v>
      </c>
      <c r="AE7935" t="s">
        <v>43</v>
      </c>
      <c r="AF7935" t="s">
        <v>43</v>
      </c>
      <c r="AG7935" t="s">
        <v>43</v>
      </c>
      <c r="AH7935" t="s">
        <v>43</v>
      </c>
      <c r="AI7935" t="s">
        <v>43</v>
      </c>
      <c r="AJ7935" t="s">
        <v>43</v>
      </c>
      <c r="AK7935" t="s">
        <v>43</v>
      </c>
      <c r="AL7935" t="s">
        <v>43</v>
      </c>
      <c r="AM7935" t="s">
        <v>43</v>
      </c>
      <c r="AN7935" t="str">
        <f>HYPERLINK("https://www.google.com/maps?q=10.78966713,79.57881165","Open Location")</f>
        <v>Open Location</v>
      </c>
    </row>
    <row r="7936" spans="1:40" x14ac:dyDescent="0.3">
      <c r="A7936" s="1">
        <v>46210.080787037034</v>
      </c>
      <c r="B7936" t="s">
        <v>40</v>
      </c>
      <c r="C7936" t="s">
        <v>41</v>
      </c>
      <c r="D7936" s="1">
        <v>46210.083680555559</v>
      </c>
      <c r="E7936" t="s">
        <v>42</v>
      </c>
      <c r="F7936" t="s">
        <v>43</v>
      </c>
      <c r="G7936" t="s">
        <v>43</v>
      </c>
      <c r="H7936" t="s">
        <v>43</v>
      </c>
      <c r="I7936" t="s">
        <v>4001</v>
      </c>
      <c r="J7936" t="s">
        <v>43</v>
      </c>
      <c r="K7936" t="s">
        <v>43</v>
      </c>
      <c r="L7936" t="s">
        <v>43</v>
      </c>
      <c r="M7936" t="s">
        <v>43</v>
      </c>
      <c r="N7936" t="s">
        <v>45</v>
      </c>
      <c r="O7936" t="s">
        <v>43</v>
      </c>
      <c r="P7936" t="s">
        <v>43</v>
      </c>
      <c r="Q7936" t="s">
        <v>43</v>
      </c>
      <c r="R7936" t="s">
        <v>43</v>
      </c>
      <c r="S7936" t="s">
        <v>43</v>
      </c>
      <c r="T7936" t="s">
        <v>43</v>
      </c>
      <c r="U7936" t="s">
        <v>43</v>
      </c>
      <c r="V7936" t="s">
        <v>43</v>
      </c>
      <c r="W7936" t="s">
        <v>43</v>
      </c>
      <c r="X7936" t="s">
        <v>43</v>
      </c>
      <c r="Y7936" t="s">
        <v>43</v>
      </c>
      <c r="Z7936" t="s">
        <v>43</v>
      </c>
      <c r="AA7936" t="s">
        <v>43</v>
      </c>
      <c r="AB7936" t="s">
        <v>43</v>
      </c>
      <c r="AC7936" t="s">
        <v>43</v>
      </c>
      <c r="AD7936" t="s">
        <v>43</v>
      </c>
      <c r="AE7936" t="s">
        <v>43</v>
      </c>
      <c r="AF7936" t="s">
        <v>43</v>
      </c>
      <c r="AG7936" t="s">
        <v>43</v>
      </c>
      <c r="AH7936" t="s">
        <v>43</v>
      </c>
      <c r="AI7936" t="s">
        <v>43</v>
      </c>
      <c r="AJ7936" t="s">
        <v>43</v>
      </c>
      <c r="AK7936" t="s">
        <v>43</v>
      </c>
      <c r="AL7936" t="s">
        <v>43</v>
      </c>
      <c r="AM7936" t="s">
        <v>43</v>
      </c>
      <c r="AN7936" t="str">
        <f>HYPERLINK("https://www.google.com/maps?q=10.78966236,79.57879639","Open Location")</f>
        <v>Open Location</v>
      </c>
    </row>
    <row r="7937" spans="1:40" x14ac:dyDescent="0.3">
      <c r="A7937" s="1">
        <v>46210.080671296295</v>
      </c>
      <c r="B7937" t="s">
        <v>40</v>
      </c>
      <c r="C7937" t="s">
        <v>41</v>
      </c>
      <c r="D7937" s="1">
        <v>46210.083657407406</v>
      </c>
      <c r="E7937" t="s">
        <v>42</v>
      </c>
      <c r="F7937" t="s">
        <v>43</v>
      </c>
      <c r="G7937" t="s">
        <v>43</v>
      </c>
      <c r="H7937" t="s">
        <v>43</v>
      </c>
      <c r="I7937" t="s">
        <v>3929</v>
      </c>
      <c r="J7937" t="s">
        <v>43</v>
      </c>
      <c r="K7937" t="s">
        <v>43</v>
      </c>
      <c r="L7937" t="s">
        <v>43</v>
      </c>
      <c r="M7937" t="s">
        <v>43</v>
      </c>
      <c r="N7937" t="s">
        <v>45</v>
      </c>
      <c r="O7937" t="s">
        <v>43</v>
      </c>
      <c r="P7937" t="s">
        <v>43</v>
      </c>
      <c r="Q7937" t="s">
        <v>43</v>
      </c>
      <c r="R7937" t="s">
        <v>43</v>
      </c>
      <c r="S7937" t="s">
        <v>43</v>
      </c>
      <c r="T7937" t="s">
        <v>43</v>
      </c>
      <c r="U7937" t="s">
        <v>43</v>
      </c>
      <c r="V7937" t="s">
        <v>43</v>
      </c>
      <c r="W7937" t="s">
        <v>43</v>
      </c>
      <c r="X7937" t="s">
        <v>43</v>
      </c>
      <c r="Y7937" t="s">
        <v>43</v>
      </c>
      <c r="Z7937" t="s">
        <v>43</v>
      </c>
      <c r="AA7937" t="s">
        <v>43</v>
      </c>
      <c r="AB7937" t="s">
        <v>43</v>
      </c>
      <c r="AC7937" t="s">
        <v>43</v>
      </c>
      <c r="AD7937" t="s">
        <v>43</v>
      </c>
      <c r="AE7937" t="s">
        <v>43</v>
      </c>
      <c r="AF7937" t="s">
        <v>43</v>
      </c>
      <c r="AG7937" t="s">
        <v>43</v>
      </c>
      <c r="AH7937" t="s">
        <v>43</v>
      </c>
      <c r="AI7937" t="s">
        <v>43</v>
      </c>
      <c r="AJ7937" t="s">
        <v>43</v>
      </c>
      <c r="AK7937" t="s">
        <v>43</v>
      </c>
      <c r="AL7937" t="s">
        <v>43</v>
      </c>
      <c r="AM7937" t="s">
        <v>43</v>
      </c>
      <c r="AN7937" t="str">
        <f>HYPERLINK("https://www.google.com/maps?q=10.78965855,79.57879639","Open Location")</f>
        <v>Open Location</v>
      </c>
    </row>
    <row r="7938" spans="1:40" x14ac:dyDescent="0.3">
      <c r="A7938" s="1">
        <v>46210.080555555556</v>
      </c>
      <c r="B7938" t="s">
        <v>40</v>
      </c>
      <c r="C7938" t="s">
        <v>41</v>
      </c>
      <c r="D7938" s="1">
        <v>46210.08353009259</v>
      </c>
      <c r="E7938" t="s">
        <v>42</v>
      </c>
      <c r="F7938" t="s">
        <v>43</v>
      </c>
      <c r="G7938" t="s">
        <v>43</v>
      </c>
      <c r="H7938" t="s">
        <v>43</v>
      </c>
      <c r="I7938" t="s">
        <v>3929</v>
      </c>
      <c r="J7938" t="s">
        <v>43</v>
      </c>
      <c r="K7938" t="s">
        <v>43</v>
      </c>
      <c r="L7938" t="s">
        <v>43</v>
      </c>
      <c r="M7938" t="s">
        <v>43</v>
      </c>
      <c r="N7938" t="s">
        <v>45</v>
      </c>
      <c r="O7938" t="s">
        <v>43</v>
      </c>
      <c r="P7938" t="s">
        <v>43</v>
      </c>
      <c r="Q7938" t="s">
        <v>43</v>
      </c>
      <c r="R7938" t="s">
        <v>43</v>
      </c>
      <c r="S7938" t="s">
        <v>43</v>
      </c>
      <c r="T7938" t="s">
        <v>43</v>
      </c>
      <c r="U7938" t="s">
        <v>43</v>
      </c>
      <c r="V7938" t="s">
        <v>43</v>
      </c>
      <c r="W7938" t="s">
        <v>43</v>
      </c>
      <c r="X7938" t="s">
        <v>43</v>
      </c>
      <c r="Y7938" t="s">
        <v>43</v>
      </c>
      <c r="Z7938" t="s">
        <v>43</v>
      </c>
      <c r="AA7938" t="s">
        <v>43</v>
      </c>
      <c r="AB7938" t="s">
        <v>43</v>
      </c>
      <c r="AC7938" t="s">
        <v>43</v>
      </c>
      <c r="AD7938" t="s">
        <v>43</v>
      </c>
      <c r="AE7938" t="s">
        <v>43</v>
      </c>
      <c r="AF7938" t="s">
        <v>43</v>
      </c>
      <c r="AG7938" t="s">
        <v>43</v>
      </c>
      <c r="AH7938" t="s">
        <v>43</v>
      </c>
      <c r="AI7938" t="s">
        <v>43</v>
      </c>
      <c r="AJ7938" t="s">
        <v>43</v>
      </c>
      <c r="AK7938" t="s">
        <v>43</v>
      </c>
      <c r="AL7938" t="s">
        <v>43</v>
      </c>
      <c r="AM7938" t="s">
        <v>43</v>
      </c>
      <c r="AN7938" t="str">
        <f>HYPERLINK("https://www.google.com/maps?q=10.78965855,79.57879639","Open Location")</f>
        <v>Open Location</v>
      </c>
    </row>
    <row r="7939" spans="1:40" x14ac:dyDescent="0.3">
      <c r="A7939" s="1">
        <v>46210.080439814818</v>
      </c>
      <c r="B7939" t="s">
        <v>40</v>
      </c>
      <c r="C7939" t="s">
        <v>41</v>
      </c>
      <c r="D7939" s="1">
        <v>46210.083321759259</v>
      </c>
      <c r="E7939" t="s">
        <v>42</v>
      </c>
      <c r="F7939" t="s">
        <v>43</v>
      </c>
      <c r="G7939" t="s">
        <v>43</v>
      </c>
      <c r="H7939" t="s">
        <v>43</v>
      </c>
      <c r="I7939" t="s">
        <v>3929</v>
      </c>
      <c r="J7939" t="s">
        <v>43</v>
      </c>
      <c r="K7939" t="s">
        <v>43</v>
      </c>
      <c r="L7939" t="s">
        <v>43</v>
      </c>
      <c r="M7939" t="s">
        <v>43</v>
      </c>
      <c r="N7939" t="s">
        <v>45</v>
      </c>
      <c r="O7939" t="s">
        <v>43</v>
      </c>
      <c r="P7939" t="s">
        <v>43</v>
      </c>
      <c r="Q7939" t="s">
        <v>43</v>
      </c>
      <c r="R7939" t="s">
        <v>43</v>
      </c>
      <c r="S7939" t="s">
        <v>43</v>
      </c>
      <c r="T7939" t="s">
        <v>43</v>
      </c>
      <c r="U7939" t="s">
        <v>43</v>
      </c>
      <c r="V7939" t="s">
        <v>43</v>
      </c>
      <c r="W7939" t="s">
        <v>43</v>
      </c>
      <c r="X7939" t="s">
        <v>43</v>
      </c>
      <c r="Y7939" t="s">
        <v>43</v>
      </c>
      <c r="Z7939" t="s">
        <v>43</v>
      </c>
      <c r="AA7939" t="s">
        <v>43</v>
      </c>
      <c r="AB7939" t="s">
        <v>43</v>
      </c>
      <c r="AC7939" t="s">
        <v>43</v>
      </c>
      <c r="AD7939" t="s">
        <v>43</v>
      </c>
      <c r="AE7939" t="s">
        <v>43</v>
      </c>
      <c r="AF7939" t="s">
        <v>43</v>
      </c>
      <c r="AG7939" t="s">
        <v>43</v>
      </c>
      <c r="AH7939" t="s">
        <v>43</v>
      </c>
      <c r="AI7939" t="s">
        <v>43</v>
      </c>
      <c r="AJ7939" t="s">
        <v>43</v>
      </c>
      <c r="AK7939" t="s">
        <v>43</v>
      </c>
      <c r="AL7939" t="s">
        <v>43</v>
      </c>
      <c r="AM7939" t="s">
        <v>43</v>
      </c>
      <c r="AN7939" t="str">
        <f>HYPERLINK("https://www.google.com/maps?q=10.78965855,79.57879639","Open Location")</f>
        <v>Open Location</v>
      </c>
    </row>
    <row r="7940" spans="1:40" x14ac:dyDescent="0.3">
      <c r="A7940" s="1">
        <v>46210.080324074072</v>
      </c>
      <c r="B7940" t="s">
        <v>40</v>
      </c>
      <c r="C7940" t="s">
        <v>41</v>
      </c>
      <c r="D7940" s="1">
        <v>46210.083275462966</v>
      </c>
      <c r="E7940" t="s">
        <v>42</v>
      </c>
      <c r="F7940" t="s">
        <v>43</v>
      </c>
      <c r="G7940" t="s">
        <v>43</v>
      </c>
      <c r="H7940" t="s">
        <v>43</v>
      </c>
      <c r="I7940" t="s">
        <v>43</v>
      </c>
      <c r="J7940" t="s">
        <v>43</v>
      </c>
      <c r="K7940" t="s">
        <v>43</v>
      </c>
      <c r="L7940" t="s">
        <v>43</v>
      </c>
      <c r="M7940" t="s">
        <v>43</v>
      </c>
      <c r="N7940" t="s">
        <v>45</v>
      </c>
      <c r="O7940" t="s">
        <v>43</v>
      </c>
      <c r="P7940" t="s">
        <v>43</v>
      </c>
      <c r="Q7940" t="s">
        <v>43</v>
      </c>
      <c r="R7940" t="s">
        <v>43</v>
      </c>
      <c r="S7940" t="s">
        <v>43</v>
      </c>
      <c r="T7940" t="s">
        <v>43</v>
      </c>
      <c r="U7940" t="s">
        <v>43</v>
      </c>
      <c r="V7940" t="s">
        <v>43</v>
      </c>
      <c r="W7940" t="s">
        <v>43</v>
      </c>
      <c r="X7940" t="s">
        <v>43</v>
      </c>
      <c r="Y7940" t="s">
        <v>43</v>
      </c>
      <c r="Z7940" t="s">
        <v>43</v>
      </c>
      <c r="AA7940" t="s">
        <v>43</v>
      </c>
      <c r="AB7940" t="s">
        <v>43</v>
      </c>
      <c r="AC7940" t="s">
        <v>43</v>
      </c>
      <c r="AD7940" t="s">
        <v>43</v>
      </c>
      <c r="AE7940" t="s">
        <v>43</v>
      </c>
      <c r="AF7940" t="s">
        <v>43</v>
      </c>
      <c r="AG7940" t="s">
        <v>43</v>
      </c>
      <c r="AH7940" t="s">
        <v>43</v>
      </c>
      <c r="AI7940" t="s">
        <v>43</v>
      </c>
      <c r="AJ7940" t="s">
        <v>43</v>
      </c>
      <c r="AK7940" t="s">
        <v>43</v>
      </c>
      <c r="AL7940" t="s">
        <v>43</v>
      </c>
      <c r="AM7940" t="s">
        <v>43</v>
      </c>
      <c r="AN7940" t="s">
        <v>43</v>
      </c>
    </row>
    <row r="7941" spans="1:40" x14ac:dyDescent="0.3">
      <c r="A7941" s="1">
        <v>46210.080208333333</v>
      </c>
      <c r="B7941" t="s">
        <v>40</v>
      </c>
      <c r="C7941" t="s">
        <v>41</v>
      </c>
      <c r="D7941" s="1">
        <v>46210.083113425928</v>
      </c>
      <c r="E7941" t="s">
        <v>42</v>
      </c>
      <c r="F7941" t="s">
        <v>43</v>
      </c>
      <c r="G7941" t="s">
        <v>43</v>
      </c>
      <c r="H7941" t="s">
        <v>43</v>
      </c>
      <c r="I7941" t="s">
        <v>4001</v>
      </c>
      <c r="J7941" t="s">
        <v>43</v>
      </c>
      <c r="K7941" t="s">
        <v>43</v>
      </c>
      <c r="L7941" t="s">
        <v>43</v>
      </c>
      <c r="M7941" t="s">
        <v>43</v>
      </c>
      <c r="N7941" t="s">
        <v>45</v>
      </c>
      <c r="O7941" t="s">
        <v>43</v>
      </c>
      <c r="P7941" t="s">
        <v>43</v>
      </c>
      <c r="Q7941" t="s">
        <v>43</v>
      </c>
      <c r="R7941" t="s">
        <v>43</v>
      </c>
      <c r="S7941" t="s">
        <v>43</v>
      </c>
      <c r="T7941" t="s">
        <v>43</v>
      </c>
      <c r="U7941" t="s">
        <v>43</v>
      </c>
      <c r="V7941" t="s">
        <v>43</v>
      </c>
      <c r="W7941" t="s">
        <v>43</v>
      </c>
      <c r="X7941" t="s">
        <v>43</v>
      </c>
      <c r="Y7941" t="s">
        <v>43</v>
      </c>
      <c r="Z7941" t="s">
        <v>43</v>
      </c>
      <c r="AA7941" t="s">
        <v>43</v>
      </c>
      <c r="AB7941" t="s">
        <v>43</v>
      </c>
      <c r="AC7941" t="s">
        <v>43</v>
      </c>
      <c r="AD7941" t="s">
        <v>43</v>
      </c>
      <c r="AE7941" t="s">
        <v>43</v>
      </c>
      <c r="AF7941" t="s">
        <v>43</v>
      </c>
      <c r="AG7941" t="s">
        <v>43</v>
      </c>
      <c r="AH7941" t="s">
        <v>43</v>
      </c>
      <c r="AI7941" t="s">
        <v>43</v>
      </c>
      <c r="AJ7941" t="s">
        <v>43</v>
      </c>
      <c r="AK7941" t="s">
        <v>43</v>
      </c>
      <c r="AL7941" t="s">
        <v>43</v>
      </c>
      <c r="AM7941" t="s">
        <v>43</v>
      </c>
      <c r="AN7941" t="str">
        <f>HYPERLINK("https://www.google.com/maps?q=10.78966236,79.57879639","Open Location")</f>
        <v>Open Location</v>
      </c>
    </row>
    <row r="7942" spans="1:40" x14ac:dyDescent="0.3">
      <c r="A7942" s="1">
        <v>46210.080092592594</v>
      </c>
      <c r="B7942" t="s">
        <v>40</v>
      </c>
      <c r="C7942" t="s">
        <v>41</v>
      </c>
      <c r="D7942" s="1">
        <v>46210.083090277774</v>
      </c>
      <c r="E7942" t="s">
        <v>42</v>
      </c>
      <c r="F7942" t="s">
        <v>43</v>
      </c>
      <c r="G7942" t="s">
        <v>43</v>
      </c>
      <c r="H7942" t="s">
        <v>43</v>
      </c>
      <c r="I7942" t="s">
        <v>4001</v>
      </c>
      <c r="J7942" t="s">
        <v>43</v>
      </c>
      <c r="K7942" t="s">
        <v>43</v>
      </c>
      <c r="L7942" t="s">
        <v>43</v>
      </c>
      <c r="M7942" t="s">
        <v>43</v>
      </c>
      <c r="N7942" t="s">
        <v>45</v>
      </c>
      <c r="O7942" t="s">
        <v>43</v>
      </c>
      <c r="P7942" t="s">
        <v>43</v>
      </c>
      <c r="Q7942" t="s">
        <v>43</v>
      </c>
      <c r="R7942" t="s">
        <v>43</v>
      </c>
      <c r="S7942" t="s">
        <v>43</v>
      </c>
      <c r="T7942" t="s">
        <v>43</v>
      </c>
      <c r="U7942" t="s">
        <v>43</v>
      </c>
      <c r="V7942" t="s">
        <v>43</v>
      </c>
      <c r="W7942" t="s">
        <v>43</v>
      </c>
      <c r="X7942" t="s">
        <v>43</v>
      </c>
      <c r="Y7942" t="s">
        <v>43</v>
      </c>
      <c r="Z7942" t="s">
        <v>43</v>
      </c>
      <c r="AA7942" t="s">
        <v>43</v>
      </c>
      <c r="AB7942" t="s">
        <v>43</v>
      </c>
      <c r="AC7942" t="s">
        <v>43</v>
      </c>
      <c r="AD7942" t="s">
        <v>43</v>
      </c>
      <c r="AE7942" t="s">
        <v>43</v>
      </c>
      <c r="AF7942" t="s">
        <v>43</v>
      </c>
      <c r="AG7942" t="s">
        <v>43</v>
      </c>
      <c r="AH7942" t="s">
        <v>43</v>
      </c>
      <c r="AI7942" t="s">
        <v>43</v>
      </c>
      <c r="AJ7942" t="s">
        <v>43</v>
      </c>
      <c r="AK7942" t="s">
        <v>43</v>
      </c>
      <c r="AL7942" t="s">
        <v>43</v>
      </c>
      <c r="AM7942" t="s">
        <v>43</v>
      </c>
      <c r="AN7942" t="str">
        <f>HYPERLINK("https://www.google.com/maps?q=10.78966236,79.57879639","Open Location")</f>
        <v>Open Location</v>
      </c>
    </row>
    <row r="7943" spans="1:40" x14ac:dyDescent="0.3">
      <c r="A7943" s="1">
        <v>46210.079976851855</v>
      </c>
      <c r="B7943" t="s">
        <v>40</v>
      </c>
      <c r="C7943" t="s">
        <v>41</v>
      </c>
      <c r="D7943" s="1">
        <v>46210.082731481481</v>
      </c>
      <c r="E7943" t="s">
        <v>42</v>
      </c>
      <c r="F7943" t="s">
        <v>43</v>
      </c>
      <c r="G7943" t="s">
        <v>43</v>
      </c>
      <c r="H7943" t="s">
        <v>43</v>
      </c>
      <c r="I7943" t="s">
        <v>4001</v>
      </c>
      <c r="J7943" t="s">
        <v>43</v>
      </c>
      <c r="K7943" t="s">
        <v>43</v>
      </c>
      <c r="L7943" t="s">
        <v>43</v>
      </c>
      <c r="M7943" t="s">
        <v>43</v>
      </c>
      <c r="N7943" t="s">
        <v>45</v>
      </c>
      <c r="O7943" t="s">
        <v>43</v>
      </c>
      <c r="P7943" t="s">
        <v>43</v>
      </c>
      <c r="Q7943" t="s">
        <v>43</v>
      </c>
      <c r="R7943" t="s">
        <v>43</v>
      </c>
      <c r="S7943" t="s">
        <v>43</v>
      </c>
      <c r="T7943" t="s">
        <v>43</v>
      </c>
      <c r="U7943" t="s">
        <v>43</v>
      </c>
      <c r="V7943" t="s">
        <v>43</v>
      </c>
      <c r="W7943" t="s">
        <v>43</v>
      </c>
      <c r="X7943" t="s">
        <v>43</v>
      </c>
      <c r="Y7943" t="s">
        <v>43</v>
      </c>
      <c r="Z7943" t="s">
        <v>43</v>
      </c>
      <c r="AA7943" t="s">
        <v>43</v>
      </c>
      <c r="AB7943" t="s">
        <v>43</v>
      </c>
      <c r="AC7943" t="s">
        <v>43</v>
      </c>
      <c r="AD7943" t="s">
        <v>43</v>
      </c>
      <c r="AE7943" t="s">
        <v>43</v>
      </c>
      <c r="AF7943" t="s">
        <v>43</v>
      </c>
      <c r="AG7943" t="s">
        <v>43</v>
      </c>
      <c r="AH7943" t="s">
        <v>43</v>
      </c>
      <c r="AI7943" t="s">
        <v>43</v>
      </c>
      <c r="AJ7943" t="s">
        <v>43</v>
      </c>
      <c r="AK7943" t="s">
        <v>43</v>
      </c>
      <c r="AL7943" t="s">
        <v>43</v>
      </c>
      <c r="AM7943" t="s">
        <v>43</v>
      </c>
      <c r="AN7943" t="str">
        <f>HYPERLINK("https://www.google.com/maps?q=10.78966236,79.57879639","Open Location")</f>
        <v>Open Location</v>
      </c>
    </row>
    <row r="7944" spans="1:40" x14ac:dyDescent="0.3">
      <c r="A7944" s="1">
        <v>46210.079861111109</v>
      </c>
      <c r="B7944" t="s">
        <v>40</v>
      </c>
      <c r="C7944" t="s">
        <v>41</v>
      </c>
      <c r="D7944" s="1">
        <v>46210.082696759258</v>
      </c>
      <c r="E7944" t="s">
        <v>42</v>
      </c>
      <c r="F7944" t="s">
        <v>43</v>
      </c>
      <c r="G7944" t="s">
        <v>43</v>
      </c>
      <c r="H7944" t="s">
        <v>43</v>
      </c>
      <c r="I7944" t="s">
        <v>3928</v>
      </c>
      <c r="J7944" t="s">
        <v>43</v>
      </c>
      <c r="K7944" t="s">
        <v>43</v>
      </c>
      <c r="L7944" t="s">
        <v>43</v>
      </c>
      <c r="M7944" t="s">
        <v>43</v>
      </c>
      <c r="N7944" t="s">
        <v>45</v>
      </c>
      <c r="O7944" t="s">
        <v>43</v>
      </c>
      <c r="P7944" t="s">
        <v>43</v>
      </c>
      <c r="Q7944" t="s">
        <v>43</v>
      </c>
      <c r="R7944" t="s">
        <v>43</v>
      </c>
      <c r="S7944" t="s">
        <v>43</v>
      </c>
      <c r="T7944" t="s">
        <v>43</v>
      </c>
      <c r="U7944" t="s">
        <v>43</v>
      </c>
      <c r="V7944" t="s">
        <v>43</v>
      </c>
      <c r="W7944" t="s">
        <v>43</v>
      </c>
      <c r="X7944" t="s">
        <v>43</v>
      </c>
      <c r="Y7944" t="s">
        <v>43</v>
      </c>
      <c r="Z7944" t="s">
        <v>43</v>
      </c>
      <c r="AA7944" t="s">
        <v>43</v>
      </c>
      <c r="AB7944" t="s">
        <v>43</v>
      </c>
      <c r="AC7944" t="s">
        <v>43</v>
      </c>
      <c r="AD7944" t="s">
        <v>43</v>
      </c>
      <c r="AE7944" t="s">
        <v>43</v>
      </c>
      <c r="AF7944" t="s">
        <v>43</v>
      </c>
      <c r="AG7944" t="s">
        <v>43</v>
      </c>
      <c r="AH7944" t="s">
        <v>43</v>
      </c>
      <c r="AI7944" t="s">
        <v>43</v>
      </c>
      <c r="AJ7944" t="s">
        <v>43</v>
      </c>
      <c r="AK7944" t="s">
        <v>43</v>
      </c>
      <c r="AL7944" t="s">
        <v>43</v>
      </c>
      <c r="AM7944" t="s">
        <v>43</v>
      </c>
      <c r="AN7944" t="str">
        <f>HYPERLINK("https://www.google.com/maps?q=10.78966141,79.57879639","Open Location")</f>
        <v>Open Location</v>
      </c>
    </row>
    <row r="7945" spans="1:40" x14ac:dyDescent="0.3">
      <c r="A7945" s="1">
        <v>46210.079745370371</v>
      </c>
      <c r="B7945" t="s">
        <v>40</v>
      </c>
      <c r="C7945" t="s">
        <v>41</v>
      </c>
      <c r="D7945" s="1">
        <v>46210.082557870373</v>
      </c>
      <c r="E7945" t="s">
        <v>42</v>
      </c>
      <c r="F7945" t="s">
        <v>43</v>
      </c>
      <c r="G7945" t="s">
        <v>43</v>
      </c>
      <c r="H7945" t="s">
        <v>43</v>
      </c>
      <c r="I7945" t="s">
        <v>43</v>
      </c>
      <c r="J7945" t="s">
        <v>43</v>
      </c>
      <c r="K7945" t="s">
        <v>43</v>
      </c>
      <c r="L7945" t="s">
        <v>43</v>
      </c>
      <c r="M7945" t="s">
        <v>43</v>
      </c>
      <c r="N7945" t="s">
        <v>45</v>
      </c>
      <c r="O7945" t="s">
        <v>43</v>
      </c>
      <c r="P7945" t="s">
        <v>43</v>
      </c>
      <c r="Q7945" t="s">
        <v>43</v>
      </c>
      <c r="R7945" t="s">
        <v>43</v>
      </c>
      <c r="S7945" t="s">
        <v>43</v>
      </c>
      <c r="T7945" t="s">
        <v>43</v>
      </c>
      <c r="U7945" t="s">
        <v>43</v>
      </c>
      <c r="V7945" t="s">
        <v>43</v>
      </c>
      <c r="W7945" t="s">
        <v>43</v>
      </c>
      <c r="X7945" t="s">
        <v>43</v>
      </c>
      <c r="Y7945" t="s">
        <v>43</v>
      </c>
      <c r="Z7945" t="s">
        <v>43</v>
      </c>
      <c r="AA7945" t="s">
        <v>43</v>
      </c>
      <c r="AB7945" t="s">
        <v>43</v>
      </c>
      <c r="AC7945" t="s">
        <v>43</v>
      </c>
      <c r="AD7945" t="s">
        <v>43</v>
      </c>
      <c r="AE7945" t="s">
        <v>43</v>
      </c>
      <c r="AF7945" t="s">
        <v>43</v>
      </c>
      <c r="AG7945" t="s">
        <v>43</v>
      </c>
      <c r="AH7945" t="s">
        <v>43</v>
      </c>
      <c r="AI7945" t="s">
        <v>43</v>
      </c>
      <c r="AJ7945" t="s">
        <v>43</v>
      </c>
      <c r="AK7945" t="s">
        <v>43</v>
      </c>
      <c r="AL7945" t="s">
        <v>43</v>
      </c>
      <c r="AM7945" t="s">
        <v>43</v>
      </c>
      <c r="AN7945" t="s">
        <v>43</v>
      </c>
    </row>
    <row r="7946" spans="1:40" x14ac:dyDescent="0.3">
      <c r="A7946" s="1">
        <v>46210.079629629632</v>
      </c>
      <c r="B7946" t="s">
        <v>40</v>
      </c>
      <c r="C7946" t="s">
        <v>41</v>
      </c>
      <c r="D7946" s="1">
        <v>46210.082708333335</v>
      </c>
      <c r="E7946" t="s">
        <v>42</v>
      </c>
      <c r="F7946" t="s">
        <v>43</v>
      </c>
      <c r="G7946" t="s">
        <v>43</v>
      </c>
      <c r="H7946" t="s">
        <v>43</v>
      </c>
      <c r="I7946" t="s">
        <v>3929</v>
      </c>
      <c r="J7946" t="s">
        <v>43</v>
      </c>
      <c r="K7946" t="s">
        <v>43</v>
      </c>
      <c r="L7946" t="s">
        <v>43</v>
      </c>
      <c r="M7946" t="s">
        <v>43</v>
      </c>
      <c r="N7946" t="s">
        <v>45</v>
      </c>
      <c r="O7946" t="s">
        <v>43</v>
      </c>
      <c r="P7946" t="s">
        <v>43</v>
      </c>
      <c r="Q7946" t="s">
        <v>43</v>
      </c>
      <c r="R7946" t="s">
        <v>43</v>
      </c>
      <c r="S7946" t="s">
        <v>43</v>
      </c>
      <c r="T7946" t="s">
        <v>43</v>
      </c>
      <c r="U7946" t="s">
        <v>43</v>
      </c>
      <c r="V7946" t="s">
        <v>43</v>
      </c>
      <c r="W7946" t="s">
        <v>43</v>
      </c>
      <c r="X7946" t="s">
        <v>43</v>
      </c>
      <c r="Y7946" t="s">
        <v>43</v>
      </c>
      <c r="Z7946" t="s">
        <v>43</v>
      </c>
      <c r="AA7946" t="s">
        <v>43</v>
      </c>
      <c r="AB7946" t="s">
        <v>43</v>
      </c>
      <c r="AC7946" t="s">
        <v>43</v>
      </c>
      <c r="AD7946" t="s">
        <v>43</v>
      </c>
      <c r="AE7946" t="s">
        <v>43</v>
      </c>
      <c r="AF7946" t="s">
        <v>43</v>
      </c>
      <c r="AG7946" t="s">
        <v>43</v>
      </c>
      <c r="AH7946" t="s">
        <v>43</v>
      </c>
      <c r="AI7946" t="s">
        <v>43</v>
      </c>
      <c r="AJ7946" t="s">
        <v>43</v>
      </c>
      <c r="AK7946" t="s">
        <v>43</v>
      </c>
      <c r="AL7946" t="s">
        <v>43</v>
      </c>
      <c r="AM7946" t="s">
        <v>43</v>
      </c>
      <c r="AN7946" t="str">
        <f>HYPERLINK("https://www.google.com/maps?q=10.78965855,79.57879639","Open Location")</f>
        <v>Open Location</v>
      </c>
    </row>
    <row r="7947" spans="1:40" x14ac:dyDescent="0.3">
      <c r="A7947" s="1">
        <v>46210.079513888886</v>
      </c>
      <c r="B7947" t="s">
        <v>40</v>
      </c>
      <c r="C7947" t="s">
        <v>41</v>
      </c>
      <c r="D7947" s="1">
        <v>46210.082349537035</v>
      </c>
      <c r="E7947" t="s">
        <v>42</v>
      </c>
      <c r="F7947" t="s">
        <v>43</v>
      </c>
      <c r="G7947" t="s">
        <v>43</v>
      </c>
      <c r="H7947" t="s">
        <v>43</v>
      </c>
      <c r="I7947" t="s">
        <v>3985</v>
      </c>
      <c r="J7947" t="s">
        <v>43</v>
      </c>
      <c r="K7947" t="s">
        <v>43</v>
      </c>
      <c r="L7947" t="s">
        <v>43</v>
      </c>
      <c r="M7947" t="s">
        <v>43</v>
      </c>
      <c r="N7947" t="s">
        <v>45</v>
      </c>
      <c r="O7947" t="s">
        <v>43</v>
      </c>
      <c r="P7947" t="s">
        <v>43</v>
      </c>
      <c r="Q7947" t="s">
        <v>43</v>
      </c>
      <c r="R7947" t="s">
        <v>43</v>
      </c>
      <c r="S7947" t="s">
        <v>43</v>
      </c>
      <c r="T7947" t="s">
        <v>43</v>
      </c>
      <c r="U7947" t="s">
        <v>43</v>
      </c>
      <c r="V7947" t="s">
        <v>43</v>
      </c>
      <c r="W7947" t="s">
        <v>43</v>
      </c>
      <c r="X7947" t="s">
        <v>43</v>
      </c>
      <c r="Y7947" t="s">
        <v>43</v>
      </c>
      <c r="Z7947" t="s">
        <v>43</v>
      </c>
      <c r="AA7947" t="s">
        <v>43</v>
      </c>
      <c r="AB7947" t="s">
        <v>43</v>
      </c>
      <c r="AC7947" t="s">
        <v>43</v>
      </c>
      <c r="AD7947" t="s">
        <v>43</v>
      </c>
      <c r="AE7947" t="s">
        <v>43</v>
      </c>
      <c r="AF7947" t="s">
        <v>43</v>
      </c>
      <c r="AG7947" t="s">
        <v>43</v>
      </c>
      <c r="AH7947" t="s">
        <v>43</v>
      </c>
      <c r="AI7947" t="s">
        <v>43</v>
      </c>
      <c r="AJ7947" t="s">
        <v>43</v>
      </c>
      <c r="AK7947" t="s">
        <v>43</v>
      </c>
      <c r="AL7947" t="s">
        <v>43</v>
      </c>
      <c r="AM7947" t="s">
        <v>43</v>
      </c>
      <c r="AN7947" t="str">
        <f>HYPERLINK("https://www.google.com/maps?q=10.78966141,79.57878876","Open Location")</f>
        <v>Open Location</v>
      </c>
    </row>
    <row r="7948" spans="1:40" x14ac:dyDescent="0.3">
      <c r="A7948" s="1">
        <v>46210.079398148147</v>
      </c>
      <c r="B7948" t="s">
        <v>40</v>
      </c>
      <c r="C7948" t="s">
        <v>41</v>
      </c>
      <c r="D7948" s="1">
        <v>46210.082337962966</v>
      </c>
      <c r="E7948" t="s">
        <v>42</v>
      </c>
      <c r="F7948" t="s">
        <v>43</v>
      </c>
      <c r="G7948" t="s">
        <v>43</v>
      </c>
      <c r="H7948" t="s">
        <v>43</v>
      </c>
      <c r="I7948" t="s">
        <v>3985</v>
      </c>
      <c r="J7948" t="s">
        <v>43</v>
      </c>
      <c r="K7948" t="s">
        <v>43</v>
      </c>
      <c r="L7948" t="s">
        <v>43</v>
      </c>
      <c r="M7948" t="s">
        <v>43</v>
      </c>
      <c r="N7948" t="s">
        <v>45</v>
      </c>
      <c r="O7948" t="s">
        <v>43</v>
      </c>
      <c r="P7948" t="s">
        <v>43</v>
      </c>
      <c r="Q7948" t="s">
        <v>43</v>
      </c>
      <c r="R7948" t="s">
        <v>43</v>
      </c>
      <c r="S7948" t="s">
        <v>43</v>
      </c>
      <c r="T7948" t="s">
        <v>43</v>
      </c>
      <c r="U7948" t="s">
        <v>43</v>
      </c>
      <c r="V7948" t="s">
        <v>43</v>
      </c>
      <c r="W7948" t="s">
        <v>43</v>
      </c>
      <c r="X7948" t="s">
        <v>43</v>
      </c>
      <c r="Y7948" t="s">
        <v>43</v>
      </c>
      <c r="Z7948" t="s">
        <v>43</v>
      </c>
      <c r="AA7948" t="s">
        <v>43</v>
      </c>
      <c r="AB7948" t="s">
        <v>43</v>
      </c>
      <c r="AC7948" t="s">
        <v>43</v>
      </c>
      <c r="AD7948" t="s">
        <v>43</v>
      </c>
      <c r="AE7948" t="s">
        <v>43</v>
      </c>
      <c r="AF7948" t="s">
        <v>43</v>
      </c>
      <c r="AG7948" t="s">
        <v>43</v>
      </c>
      <c r="AH7948" t="s">
        <v>43</v>
      </c>
      <c r="AI7948" t="s">
        <v>43</v>
      </c>
      <c r="AJ7948" t="s">
        <v>43</v>
      </c>
      <c r="AK7948" t="s">
        <v>43</v>
      </c>
      <c r="AL7948" t="s">
        <v>43</v>
      </c>
      <c r="AM7948" t="s">
        <v>43</v>
      </c>
      <c r="AN7948" t="str">
        <f>HYPERLINK("https://www.google.com/maps?q=10.78966141,79.57878876","Open Location")</f>
        <v>Open Location</v>
      </c>
    </row>
    <row r="7949" spans="1:40" x14ac:dyDescent="0.3">
      <c r="A7949" s="1">
        <v>46210.079282407409</v>
      </c>
      <c r="B7949" t="s">
        <v>40</v>
      </c>
      <c r="C7949" t="s">
        <v>41</v>
      </c>
      <c r="D7949" s="1">
        <v>46210.082337962966</v>
      </c>
      <c r="E7949" t="s">
        <v>42</v>
      </c>
      <c r="F7949" t="s">
        <v>43</v>
      </c>
      <c r="G7949" t="s">
        <v>43</v>
      </c>
      <c r="H7949" t="s">
        <v>43</v>
      </c>
      <c r="I7949" t="s">
        <v>4000</v>
      </c>
      <c r="J7949" t="s">
        <v>43</v>
      </c>
      <c r="K7949" t="s">
        <v>43</v>
      </c>
      <c r="L7949" t="s">
        <v>43</v>
      </c>
      <c r="M7949" t="s">
        <v>43</v>
      </c>
      <c r="N7949" t="s">
        <v>45</v>
      </c>
      <c r="O7949" t="s">
        <v>43</v>
      </c>
      <c r="P7949" t="s">
        <v>43</v>
      </c>
      <c r="Q7949" t="s">
        <v>43</v>
      </c>
      <c r="R7949" t="s">
        <v>43</v>
      </c>
      <c r="S7949" t="s">
        <v>43</v>
      </c>
      <c r="T7949" t="s">
        <v>43</v>
      </c>
      <c r="U7949" t="s">
        <v>43</v>
      </c>
      <c r="V7949" t="s">
        <v>43</v>
      </c>
      <c r="W7949" t="s">
        <v>43</v>
      </c>
      <c r="X7949" t="s">
        <v>43</v>
      </c>
      <c r="Y7949" t="s">
        <v>43</v>
      </c>
      <c r="Z7949" t="s">
        <v>43</v>
      </c>
      <c r="AA7949" t="s">
        <v>43</v>
      </c>
      <c r="AB7949" t="s">
        <v>43</v>
      </c>
      <c r="AC7949" t="s">
        <v>43</v>
      </c>
      <c r="AD7949" t="s">
        <v>43</v>
      </c>
      <c r="AE7949" t="s">
        <v>43</v>
      </c>
      <c r="AF7949" t="s">
        <v>43</v>
      </c>
      <c r="AG7949" t="s">
        <v>43</v>
      </c>
      <c r="AH7949" t="s">
        <v>43</v>
      </c>
      <c r="AI7949" t="s">
        <v>43</v>
      </c>
      <c r="AJ7949" t="s">
        <v>43</v>
      </c>
      <c r="AK7949" t="s">
        <v>43</v>
      </c>
      <c r="AL7949" t="s">
        <v>43</v>
      </c>
      <c r="AM7949" t="s">
        <v>43</v>
      </c>
      <c r="AN7949" t="str">
        <f>HYPERLINK("https://www.google.com/maps?q=10.78966045,79.57879639","Open Location")</f>
        <v>Open Location</v>
      </c>
    </row>
    <row r="7950" spans="1:40" x14ac:dyDescent="0.3">
      <c r="A7950" s="1">
        <v>46210.07916666667</v>
      </c>
      <c r="B7950" t="s">
        <v>40</v>
      </c>
      <c r="C7950" t="s">
        <v>41</v>
      </c>
      <c r="D7950" s="1">
        <v>46210.082337962966</v>
      </c>
      <c r="E7950" t="s">
        <v>42</v>
      </c>
      <c r="F7950" t="s">
        <v>43</v>
      </c>
      <c r="G7950" t="s">
        <v>43</v>
      </c>
      <c r="H7950" t="s">
        <v>43</v>
      </c>
      <c r="I7950" t="s">
        <v>3929</v>
      </c>
      <c r="J7950" t="s">
        <v>43</v>
      </c>
      <c r="K7950" t="s">
        <v>43</v>
      </c>
      <c r="L7950" t="s">
        <v>43</v>
      </c>
      <c r="M7950" t="s">
        <v>43</v>
      </c>
      <c r="N7950" t="s">
        <v>45</v>
      </c>
      <c r="O7950" t="s">
        <v>43</v>
      </c>
      <c r="P7950" t="s">
        <v>43</v>
      </c>
      <c r="Q7950" t="s">
        <v>43</v>
      </c>
      <c r="R7950" t="s">
        <v>43</v>
      </c>
      <c r="S7950" t="s">
        <v>43</v>
      </c>
      <c r="T7950" t="s">
        <v>43</v>
      </c>
      <c r="U7950" t="s">
        <v>43</v>
      </c>
      <c r="V7950" t="s">
        <v>43</v>
      </c>
      <c r="W7950" t="s">
        <v>43</v>
      </c>
      <c r="X7950" t="s">
        <v>43</v>
      </c>
      <c r="Y7950" t="s">
        <v>43</v>
      </c>
      <c r="Z7950" t="s">
        <v>43</v>
      </c>
      <c r="AA7950" t="s">
        <v>43</v>
      </c>
      <c r="AB7950" t="s">
        <v>43</v>
      </c>
      <c r="AC7950" t="s">
        <v>43</v>
      </c>
      <c r="AD7950" t="s">
        <v>43</v>
      </c>
      <c r="AE7950" t="s">
        <v>43</v>
      </c>
      <c r="AF7950" t="s">
        <v>43</v>
      </c>
      <c r="AG7950" t="s">
        <v>43</v>
      </c>
      <c r="AH7950" t="s">
        <v>43</v>
      </c>
      <c r="AI7950" t="s">
        <v>43</v>
      </c>
      <c r="AJ7950" t="s">
        <v>43</v>
      </c>
      <c r="AK7950" t="s">
        <v>43</v>
      </c>
      <c r="AL7950" t="s">
        <v>43</v>
      </c>
      <c r="AM7950" t="s">
        <v>43</v>
      </c>
      <c r="AN7950" t="str">
        <f>HYPERLINK("https://www.google.com/maps?q=10.78965855,79.57879639","Open Location")</f>
        <v>Open Location</v>
      </c>
    </row>
    <row r="7951" spans="1:40" x14ac:dyDescent="0.3">
      <c r="A7951" s="1">
        <v>46210.079050925924</v>
      </c>
      <c r="B7951" t="s">
        <v>40</v>
      </c>
      <c r="C7951" t="s">
        <v>41</v>
      </c>
      <c r="D7951" s="1">
        <v>46210.081805555557</v>
      </c>
      <c r="E7951" t="s">
        <v>42</v>
      </c>
      <c r="F7951" t="s">
        <v>43</v>
      </c>
      <c r="G7951" t="s">
        <v>43</v>
      </c>
      <c r="H7951" t="s">
        <v>43</v>
      </c>
      <c r="I7951" t="s">
        <v>43</v>
      </c>
      <c r="J7951" t="s">
        <v>43</v>
      </c>
      <c r="K7951" t="s">
        <v>43</v>
      </c>
      <c r="L7951" t="s">
        <v>43</v>
      </c>
      <c r="M7951" t="s">
        <v>43</v>
      </c>
      <c r="N7951" t="s">
        <v>45</v>
      </c>
      <c r="O7951" t="s">
        <v>43</v>
      </c>
      <c r="P7951" t="s">
        <v>43</v>
      </c>
      <c r="Q7951" t="s">
        <v>43</v>
      </c>
      <c r="R7951" t="s">
        <v>43</v>
      </c>
      <c r="S7951" t="s">
        <v>43</v>
      </c>
      <c r="T7951" t="s">
        <v>43</v>
      </c>
      <c r="U7951" t="s">
        <v>43</v>
      </c>
      <c r="V7951" t="s">
        <v>43</v>
      </c>
      <c r="W7951" t="s">
        <v>43</v>
      </c>
      <c r="X7951" t="s">
        <v>43</v>
      </c>
      <c r="Y7951" t="s">
        <v>43</v>
      </c>
      <c r="Z7951" t="s">
        <v>43</v>
      </c>
      <c r="AA7951" t="s">
        <v>43</v>
      </c>
      <c r="AB7951" t="s">
        <v>43</v>
      </c>
      <c r="AC7951" t="s">
        <v>43</v>
      </c>
      <c r="AD7951" t="s">
        <v>43</v>
      </c>
      <c r="AE7951" t="s">
        <v>43</v>
      </c>
      <c r="AF7951" t="s">
        <v>43</v>
      </c>
      <c r="AG7951" t="s">
        <v>43</v>
      </c>
      <c r="AH7951" t="s">
        <v>43</v>
      </c>
      <c r="AI7951" t="s">
        <v>43</v>
      </c>
      <c r="AJ7951" t="s">
        <v>43</v>
      </c>
      <c r="AK7951" t="s">
        <v>43</v>
      </c>
      <c r="AL7951" t="s">
        <v>43</v>
      </c>
      <c r="AM7951" t="s">
        <v>43</v>
      </c>
      <c r="AN7951" t="s">
        <v>43</v>
      </c>
    </row>
    <row r="7952" spans="1:40" x14ac:dyDescent="0.3">
      <c r="A7952" s="1">
        <v>46210.078935185185</v>
      </c>
      <c r="B7952" t="s">
        <v>40</v>
      </c>
      <c r="C7952" t="s">
        <v>41</v>
      </c>
      <c r="D7952" s="1">
        <v>46210.081747685188</v>
      </c>
      <c r="E7952" t="s">
        <v>42</v>
      </c>
      <c r="F7952" t="s">
        <v>43</v>
      </c>
      <c r="G7952" t="s">
        <v>43</v>
      </c>
      <c r="H7952" t="s">
        <v>43</v>
      </c>
      <c r="I7952" t="s">
        <v>4049</v>
      </c>
      <c r="J7952" t="s">
        <v>43</v>
      </c>
      <c r="K7952" t="s">
        <v>43</v>
      </c>
      <c r="L7952" t="s">
        <v>43</v>
      </c>
      <c r="M7952" t="s">
        <v>43</v>
      </c>
      <c r="N7952" t="s">
        <v>45</v>
      </c>
      <c r="O7952" t="s">
        <v>43</v>
      </c>
      <c r="P7952" t="s">
        <v>43</v>
      </c>
      <c r="Q7952" t="s">
        <v>43</v>
      </c>
      <c r="R7952" t="s">
        <v>43</v>
      </c>
      <c r="S7952" t="s">
        <v>43</v>
      </c>
      <c r="T7952" t="s">
        <v>43</v>
      </c>
      <c r="U7952" t="s">
        <v>43</v>
      </c>
      <c r="V7952" t="s">
        <v>43</v>
      </c>
      <c r="W7952" t="s">
        <v>43</v>
      </c>
      <c r="X7952" t="s">
        <v>43</v>
      </c>
      <c r="Y7952" t="s">
        <v>43</v>
      </c>
      <c r="Z7952" t="s">
        <v>43</v>
      </c>
      <c r="AA7952" t="s">
        <v>43</v>
      </c>
      <c r="AB7952" t="s">
        <v>43</v>
      </c>
      <c r="AC7952" t="s">
        <v>43</v>
      </c>
      <c r="AD7952" t="s">
        <v>43</v>
      </c>
      <c r="AE7952" t="s">
        <v>43</v>
      </c>
      <c r="AF7952" t="s">
        <v>43</v>
      </c>
      <c r="AG7952" t="s">
        <v>43</v>
      </c>
      <c r="AH7952" t="s">
        <v>43</v>
      </c>
      <c r="AI7952" t="s">
        <v>43</v>
      </c>
      <c r="AJ7952" t="s">
        <v>43</v>
      </c>
      <c r="AK7952" t="s">
        <v>43</v>
      </c>
      <c r="AL7952" t="s">
        <v>43</v>
      </c>
      <c r="AM7952" t="s">
        <v>43</v>
      </c>
      <c r="AN7952" t="str">
        <f>HYPERLINK("https://www.google.com/maps?q=10.78965759,79.57879639","Open Location")</f>
        <v>Open Location</v>
      </c>
    </row>
    <row r="7953" spans="1:40" x14ac:dyDescent="0.3">
      <c r="A7953" s="1">
        <v>46210.078819444447</v>
      </c>
      <c r="B7953" t="s">
        <v>40</v>
      </c>
      <c r="C7953" t="s">
        <v>41</v>
      </c>
      <c r="D7953" s="1">
        <v>46210.081724537034</v>
      </c>
      <c r="E7953" t="s">
        <v>42</v>
      </c>
      <c r="F7953" t="s">
        <v>43</v>
      </c>
      <c r="G7953" t="s">
        <v>43</v>
      </c>
      <c r="H7953" t="s">
        <v>43</v>
      </c>
      <c r="I7953" t="s">
        <v>4099</v>
      </c>
      <c r="J7953" t="s">
        <v>43</v>
      </c>
      <c r="K7953" t="s">
        <v>43</v>
      </c>
      <c r="L7953" t="s">
        <v>43</v>
      </c>
      <c r="M7953" t="s">
        <v>43</v>
      </c>
      <c r="N7953" t="s">
        <v>45</v>
      </c>
      <c r="O7953" t="s">
        <v>43</v>
      </c>
      <c r="P7953" t="s">
        <v>43</v>
      </c>
      <c r="Q7953" t="s">
        <v>43</v>
      </c>
      <c r="R7953" t="s">
        <v>43</v>
      </c>
      <c r="S7953" t="s">
        <v>43</v>
      </c>
      <c r="T7953" t="s">
        <v>43</v>
      </c>
      <c r="U7953" t="s">
        <v>43</v>
      </c>
      <c r="V7953" t="s">
        <v>43</v>
      </c>
      <c r="W7953" t="s">
        <v>43</v>
      </c>
      <c r="X7953" t="s">
        <v>43</v>
      </c>
      <c r="Y7953" t="s">
        <v>43</v>
      </c>
      <c r="Z7953" t="s">
        <v>43</v>
      </c>
      <c r="AA7953" t="s">
        <v>43</v>
      </c>
      <c r="AB7953" t="s">
        <v>43</v>
      </c>
      <c r="AC7953" t="s">
        <v>43</v>
      </c>
      <c r="AD7953" t="s">
        <v>43</v>
      </c>
      <c r="AE7953" t="s">
        <v>43</v>
      </c>
      <c r="AF7953" t="s">
        <v>43</v>
      </c>
      <c r="AG7953" t="s">
        <v>43</v>
      </c>
      <c r="AH7953" t="s">
        <v>43</v>
      </c>
      <c r="AI7953" t="s">
        <v>43</v>
      </c>
      <c r="AJ7953" t="s">
        <v>43</v>
      </c>
      <c r="AK7953" t="s">
        <v>43</v>
      </c>
      <c r="AL7953" t="s">
        <v>43</v>
      </c>
      <c r="AM7953" t="s">
        <v>43</v>
      </c>
      <c r="AN7953" t="str">
        <f>HYPERLINK("https://www.google.com/maps?q=10.78965759,79.57881165","Open Location")</f>
        <v>Open Location</v>
      </c>
    </row>
    <row r="7954" spans="1:40" x14ac:dyDescent="0.3">
      <c r="A7954" s="1">
        <v>46210.078703703701</v>
      </c>
      <c r="B7954" t="s">
        <v>40</v>
      </c>
      <c r="C7954" t="s">
        <v>41</v>
      </c>
      <c r="D7954" s="1">
        <v>46210.081724537034</v>
      </c>
      <c r="E7954" t="s">
        <v>42</v>
      </c>
      <c r="F7954" t="s">
        <v>43</v>
      </c>
      <c r="G7954" t="s">
        <v>43</v>
      </c>
      <c r="H7954" t="s">
        <v>43</v>
      </c>
      <c r="I7954" t="s">
        <v>3928</v>
      </c>
      <c r="J7954" t="s">
        <v>43</v>
      </c>
      <c r="K7954" t="s">
        <v>43</v>
      </c>
      <c r="L7954" t="s">
        <v>43</v>
      </c>
      <c r="M7954" t="s">
        <v>43</v>
      </c>
      <c r="N7954" t="s">
        <v>45</v>
      </c>
      <c r="O7954" t="s">
        <v>43</v>
      </c>
      <c r="P7954" t="s">
        <v>43</v>
      </c>
      <c r="Q7954" t="s">
        <v>43</v>
      </c>
      <c r="R7954" t="s">
        <v>43</v>
      </c>
      <c r="S7954" t="s">
        <v>43</v>
      </c>
      <c r="T7954" t="s">
        <v>43</v>
      </c>
      <c r="U7954" t="s">
        <v>43</v>
      </c>
      <c r="V7954" t="s">
        <v>43</v>
      </c>
      <c r="W7954" t="s">
        <v>43</v>
      </c>
      <c r="X7954" t="s">
        <v>43</v>
      </c>
      <c r="Y7954" t="s">
        <v>43</v>
      </c>
      <c r="Z7954" t="s">
        <v>43</v>
      </c>
      <c r="AA7954" t="s">
        <v>43</v>
      </c>
      <c r="AB7954" t="s">
        <v>43</v>
      </c>
      <c r="AC7954" t="s">
        <v>43</v>
      </c>
      <c r="AD7954" t="s">
        <v>43</v>
      </c>
      <c r="AE7954" t="s">
        <v>43</v>
      </c>
      <c r="AF7954" t="s">
        <v>43</v>
      </c>
      <c r="AG7954" t="s">
        <v>43</v>
      </c>
      <c r="AH7954" t="s">
        <v>43</v>
      </c>
      <c r="AI7954" t="s">
        <v>43</v>
      </c>
      <c r="AJ7954" t="s">
        <v>43</v>
      </c>
      <c r="AK7954" t="s">
        <v>43</v>
      </c>
      <c r="AL7954" t="s">
        <v>43</v>
      </c>
      <c r="AM7954" t="s">
        <v>43</v>
      </c>
      <c r="AN7954" t="str">
        <f>HYPERLINK("https://www.google.com/maps?q=10.78966141,79.57879639","Open Location")</f>
        <v>Open Location</v>
      </c>
    </row>
    <row r="7955" spans="1:40" x14ac:dyDescent="0.3">
      <c r="A7955" s="1">
        <v>46210.078587962962</v>
      </c>
      <c r="B7955" t="s">
        <v>40</v>
      </c>
      <c r="C7955" t="s">
        <v>41</v>
      </c>
      <c r="D7955" s="1">
        <v>46210.081550925926</v>
      </c>
      <c r="E7955" t="s">
        <v>42</v>
      </c>
      <c r="F7955" t="s">
        <v>43</v>
      </c>
      <c r="G7955" t="s">
        <v>43</v>
      </c>
      <c r="H7955" t="s">
        <v>43</v>
      </c>
      <c r="I7955" t="s">
        <v>4002</v>
      </c>
      <c r="J7955" t="s">
        <v>43</v>
      </c>
      <c r="K7955" t="s">
        <v>43</v>
      </c>
      <c r="L7955" t="s">
        <v>43</v>
      </c>
      <c r="M7955" t="s">
        <v>43</v>
      </c>
      <c r="N7955" t="s">
        <v>45</v>
      </c>
      <c r="O7955" t="s">
        <v>43</v>
      </c>
      <c r="P7955" t="s">
        <v>43</v>
      </c>
      <c r="Q7955" t="s">
        <v>43</v>
      </c>
      <c r="R7955" t="s">
        <v>43</v>
      </c>
      <c r="S7955" t="s">
        <v>43</v>
      </c>
      <c r="T7955" t="s">
        <v>43</v>
      </c>
      <c r="U7955" t="s">
        <v>43</v>
      </c>
      <c r="V7955" t="s">
        <v>43</v>
      </c>
      <c r="W7955" t="s">
        <v>43</v>
      </c>
      <c r="X7955" t="s">
        <v>43</v>
      </c>
      <c r="Y7955" t="s">
        <v>43</v>
      </c>
      <c r="Z7955" t="s">
        <v>43</v>
      </c>
      <c r="AA7955" t="s">
        <v>43</v>
      </c>
      <c r="AB7955" t="s">
        <v>43</v>
      </c>
      <c r="AC7955" t="s">
        <v>43</v>
      </c>
      <c r="AD7955" t="s">
        <v>43</v>
      </c>
      <c r="AE7955" t="s">
        <v>43</v>
      </c>
      <c r="AF7955" t="s">
        <v>43</v>
      </c>
      <c r="AG7955" t="s">
        <v>43</v>
      </c>
      <c r="AH7955" t="s">
        <v>43</v>
      </c>
      <c r="AI7955" t="s">
        <v>43</v>
      </c>
      <c r="AJ7955" t="s">
        <v>43</v>
      </c>
      <c r="AK7955" t="s">
        <v>43</v>
      </c>
      <c r="AL7955" t="s">
        <v>43</v>
      </c>
      <c r="AM7955" t="s">
        <v>43</v>
      </c>
      <c r="AN7955" t="str">
        <f>HYPERLINK("https://www.google.com/maps?q=10.78966522,79.57879639","Open Location")</f>
        <v>Open Location</v>
      </c>
    </row>
    <row r="7956" spans="1:40" x14ac:dyDescent="0.3">
      <c r="A7956" s="1">
        <v>46210.078472222223</v>
      </c>
      <c r="B7956" t="s">
        <v>40</v>
      </c>
      <c r="C7956" t="s">
        <v>41</v>
      </c>
      <c r="D7956" s="1">
        <v>46210.081284722219</v>
      </c>
      <c r="E7956" t="s">
        <v>42</v>
      </c>
      <c r="F7956" t="s">
        <v>43</v>
      </c>
      <c r="G7956" t="s">
        <v>43</v>
      </c>
      <c r="H7956" t="s">
        <v>43</v>
      </c>
      <c r="I7956" t="s">
        <v>3934</v>
      </c>
      <c r="J7956" t="s">
        <v>43</v>
      </c>
      <c r="K7956" t="s">
        <v>43</v>
      </c>
      <c r="L7956" t="s">
        <v>43</v>
      </c>
      <c r="M7956" t="s">
        <v>43</v>
      </c>
      <c r="N7956" t="s">
        <v>45</v>
      </c>
      <c r="O7956" t="s">
        <v>43</v>
      </c>
      <c r="P7956" t="s">
        <v>43</v>
      </c>
      <c r="Q7956" t="s">
        <v>43</v>
      </c>
      <c r="R7956" t="s">
        <v>43</v>
      </c>
      <c r="S7956" t="s">
        <v>43</v>
      </c>
      <c r="T7956" t="s">
        <v>43</v>
      </c>
      <c r="U7956" t="s">
        <v>43</v>
      </c>
      <c r="V7956" t="s">
        <v>43</v>
      </c>
      <c r="W7956" t="s">
        <v>43</v>
      </c>
      <c r="X7956" t="s">
        <v>43</v>
      </c>
      <c r="Y7956" t="s">
        <v>43</v>
      </c>
      <c r="Z7956" t="s">
        <v>43</v>
      </c>
      <c r="AA7956" t="s">
        <v>43</v>
      </c>
      <c r="AB7956" t="s">
        <v>43</v>
      </c>
      <c r="AC7956" t="s">
        <v>43</v>
      </c>
      <c r="AD7956" t="s">
        <v>43</v>
      </c>
      <c r="AE7956" t="s">
        <v>43</v>
      </c>
      <c r="AF7956" t="s">
        <v>43</v>
      </c>
      <c r="AG7956" t="s">
        <v>43</v>
      </c>
      <c r="AH7956" t="s">
        <v>43</v>
      </c>
      <c r="AI7956" t="s">
        <v>43</v>
      </c>
      <c r="AJ7956" t="s">
        <v>43</v>
      </c>
      <c r="AK7956" t="s">
        <v>43</v>
      </c>
      <c r="AL7956" t="s">
        <v>43</v>
      </c>
      <c r="AM7956" t="s">
        <v>43</v>
      </c>
      <c r="AN7956" t="str">
        <f>HYPERLINK("https://www.google.com/maps?q=10.78966522,79.57881165","Open Location")</f>
        <v>Open Location</v>
      </c>
    </row>
    <row r="7957" spans="1:40" x14ac:dyDescent="0.3">
      <c r="A7957" s="1">
        <v>46210.078356481485</v>
      </c>
      <c r="B7957" t="s">
        <v>40</v>
      </c>
      <c r="C7957" t="s">
        <v>41</v>
      </c>
      <c r="D7957" s="1">
        <v>46210.080960648149</v>
      </c>
      <c r="E7957" t="s">
        <v>42</v>
      </c>
      <c r="F7957" t="s">
        <v>43</v>
      </c>
      <c r="G7957" t="s">
        <v>43</v>
      </c>
      <c r="H7957" t="s">
        <v>43</v>
      </c>
      <c r="I7957" t="s">
        <v>43</v>
      </c>
      <c r="J7957" t="s">
        <v>43</v>
      </c>
      <c r="K7957" t="s">
        <v>43</v>
      </c>
      <c r="L7957" t="s">
        <v>43</v>
      </c>
      <c r="M7957" t="s">
        <v>43</v>
      </c>
      <c r="N7957" t="s">
        <v>45</v>
      </c>
      <c r="O7957" t="s">
        <v>43</v>
      </c>
      <c r="P7957" t="s">
        <v>43</v>
      </c>
      <c r="Q7957" t="s">
        <v>43</v>
      </c>
      <c r="R7957" t="s">
        <v>43</v>
      </c>
      <c r="S7957" t="s">
        <v>43</v>
      </c>
      <c r="T7957" t="s">
        <v>43</v>
      </c>
      <c r="U7957" t="s">
        <v>43</v>
      </c>
      <c r="V7957" t="s">
        <v>43</v>
      </c>
      <c r="W7957" t="s">
        <v>43</v>
      </c>
      <c r="X7957" t="s">
        <v>43</v>
      </c>
      <c r="Y7957" t="s">
        <v>43</v>
      </c>
      <c r="Z7957" t="s">
        <v>43</v>
      </c>
      <c r="AA7957" t="s">
        <v>43</v>
      </c>
      <c r="AB7957" t="s">
        <v>43</v>
      </c>
      <c r="AC7957" t="s">
        <v>43</v>
      </c>
      <c r="AD7957" t="s">
        <v>43</v>
      </c>
      <c r="AE7957" t="s">
        <v>43</v>
      </c>
      <c r="AF7957" t="s">
        <v>43</v>
      </c>
      <c r="AG7957" t="s">
        <v>43</v>
      </c>
      <c r="AH7957" t="s">
        <v>43</v>
      </c>
      <c r="AI7957" t="s">
        <v>43</v>
      </c>
      <c r="AJ7957" t="s">
        <v>43</v>
      </c>
      <c r="AK7957" t="s">
        <v>43</v>
      </c>
      <c r="AL7957" t="s">
        <v>43</v>
      </c>
      <c r="AM7957" t="s">
        <v>43</v>
      </c>
      <c r="AN7957" t="s">
        <v>43</v>
      </c>
    </row>
    <row r="7958" spans="1:40" x14ac:dyDescent="0.3">
      <c r="A7958" s="1">
        <v>46210.078240740739</v>
      </c>
      <c r="B7958" t="s">
        <v>40</v>
      </c>
      <c r="C7958" t="s">
        <v>41</v>
      </c>
      <c r="D7958" s="1">
        <v>46210.080972222226</v>
      </c>
      <c r="E7958" t="s">
        <v>42</v>
      </c>
      <c r="F7958" t="s">
        <v>43</v>
      </c>
      <c r="G7958" t="s">
        <v>43</v>
      </c>
      <c r="H7958" t="s">
        <v>43</v>
      </c>
      <c r="I7958" t="s">
        <v>3924</v>
      </c>
      <c r="J7958" t="s">
        <v>43</v>
      </c>
      <c r="K7958" t="s">
        <v>43</v>
      </c>
      <c r="L7958" t="s">
        <v>43</v>
      </c>
      <c r="M7958" t="s">
        <v>43</v>
      </c>
      <c r="N7958" t="s">
        <v>45</v>
      </c>
      <c r="O7958" t="s">
        <v>43</v>
      </c>
      <c r="P7958" t="s">
        <v>43</v>
      </c>
      <c r="Q7958" t="s">
        <v>43</v>
      </c>
      <c r="R7958" t="s">
        <v>43</v>
      </c>
      <c r="S7958" t="s">
        <v>43</v>
      </c>
      <c r="T7958" t="s">
        <v>43</v>
      </c>
      <c r="U7958" t="s">
        <v>43</v>
      </c>
      <c r="V7958" t="s">
        <v>43</v>
      </c>
      <c r="W7958" t="s">
        <v>43</v>
      </c>
      <c r="X7958" t="s">
        <v>43</v>
      </c>
      <c r="Y7958" t="s">
        <v>43</v>
      </c>
      <c r="Z7958" t="s">
        <v>43</v>
      </c>
      <c r="AA7958" t="s">
        <v>43</v>
      </c>
      <c r="AB7958" t="s">
        <v>43</v>
      </c>
      <c r="AC7958" t="s">
        <v>43</v>
      </c>
      <c r="AD7958" t="s">
        <v>43</v>
      </c>
      <c r="AE7958" t="s">
        <v>43</v>
      </c>
      <c r="AF7958" t="s">
        <v>43</v>
      </c>
      <c r="AG7958" t="s">
        <v>43</v>
      </c>
      <c r="AH7958" t="s">
        <v>43</v>
      </c>
      <c r="AI7958" t="s">
        <v>43</v>
      </c>
      <c r="AJ7958" t="s">
        <v>43</v>
      </c>
      <c r="AK7958" t="s">
        <v>43</v>
      </c>
      <c r="AL7958" t="s">
        <v>43</v>
      </c>
      <c r="AM7958" t="s">
        <v>43</v>
      </c>
      <c r="AN7958" t="str">
        <f>HYPERLINK("https://www.google.com/maps?q=10.78966618,79.57881165","Open Location")</f>
        <v>Open Location</v>
      </c>
    </row>
    <row r="7959" spans="1:40" x14ac:dyDescent="0.3">
      <c r="A7959" s="1">
        <v>46210.078125</v>
      </c>
      <c r="B7959" t="s">
        <v>40</v>
      </c>
      <c r="C7959" t="s">
        <v>41</v>
      </c>
      <c r="D7959" s="1">
        <v>46210.080694444441</v>
      </c>
      <c r="E7959" t="s">
        <v>42</v>
      </c>
      <c r="F7959" t="s">
        <v>43</v>
      </c>
      <c r="G7959" t="s">
        <v>43</v>
      </c>
      <c r="H7959" t="s">
        <v>43</v>
      </c>
      <c r="I7959" t="s">
        <v>4221</v>
      </c>
      <c r="J7959" t="s">
        <v>43</v>
      </c>
      <c r="K7959" t="s">
        <v>43</v>
      </c>
      <c r="L7959" t="s">
        <v>43</v>
      </c>
      <c r="M7959" t="s">
        <v>43</v>
      </c>
      <c r="N7959" t="s">
        <v>45</v>
      </c>
      <c r="O7959" t="s">
        <v>43</v>
      </c>
      <c r="P7959" t="s">
        <v>43</v>
      </c>
      <c r="Q7959" t="s">
        <v>43</v>
      </c>
      <c r="R7959" t="s">
        <v>43</v>
      </c>
      <c r="S7959" t="s">
        <v>43</v>
      </c>
      <c r="T7959" t="s">
        <v>43</v>
      </c>
      <c r="U7959" t="s">
        <v>43</v>
      </c>
      <c r="V7959" t="s">
        <v>43</v>
      </c>
      <c r="W7959" t="s">
        <v>43</v>
      </c>
      <c r="X7959" t="s">
        <v>43</v>
      </c>
      <c r="Y7959" t="s">
        <v>43</v>
      </c>
      <c r="Z7959" t="s">
        <v>43</v>
      </c>
      <c r="AA7959" t="s">
        <v>43</v>
      </c>
      <c r="AB7959" t="s">
        <v>43</v>
      </c>
      <c r="AC7959" t="s">
        <v>43</v>
      </c>
      <c r="AD7959" t="s">
        <v>43</v>
      </c>
      <c r="AE7959" t="s">
        <v>43</v>
      </c>
      <c r="AF7959" t="s">
        <v>43</v>
      </c>
      <c r="AG7959" t="s">
        <v>43</v>
      </c>
      <c r="AH7959" t="s">
        <v>43</v>
      </c>
      <c r="AI7959" t="s">
        <v>43</v>
      </c>
      <c r="AJ7959" t="s">
        <v>43</v>
      </c>
      <c r="AK7959" t="s">
        <v>43</v>
      </c>
      <c r="AL7959" t="s">
        <v>43</v>
      </c>
      <c r="AM7959" t="s">
        <v>43</v>
      </c>
      <c r="AN7959" t="str">
        <f>HYPERLINK("https://www.google.com/maps?q=10.78966808,79.57879639","Open Location")</f>
        <v>Open Location</v>
      </c>
    </row>
    <row r="7960" spans="1:40" x14ac:dyDescent="0.3">
      <c r="A7960" s="1">
        <v>46210.078009259261</v>
      </c>
      <c r="B7960" t="s">
        <v>40</v>
      </c>
      <c r="C7960" t="s">
        <v>41</v>
      </c>
      <c r="D7960" s="1">
        <v>46210.080787037034</v>
      </c>
      <c r="E7960" t="s">
        <v>42</v>
      </c>
      <c r="F7960" t="s">
        <v>43</v>
      </c>
      <c r="G7960" t="s">
        <v>43</v>
      </c>
      <c r="H7960" t="s">
        <v>43</v>
      </c>
      <c r="I7960" t="s">
        <v>4156</v>
      </c>
      <c r="J7960" t="s">
        <v>43</v>
      </c>
      <c r="K7960" t="s">
        <v>43</v>
      </c>
      <c r="L7960" t="s">
        <v>43</v>
      </c>
      <c r="M7960" t="s">
        <v>43</v>
      </c>
      <c r="N7960" t="s">
        <v>45</v>
      </c>
      <c r="O7960" t="s">
        <v>43</v>
      </c>
      <c r="P7960" t="s">
        <v>43</v>
      </c>
      <c r="Q7960" t="s">
        <v>43</v>
      </c>
      <c r="R7960" t="s">
        <v>43</v>
      </c>
      <c r="S7960" t="s">
        <v>43</v>
      </c>
      <c r="T7960" t="s">
        <v>43</v>
      </c>
      <c r="U7960" t="s">
        <v>43</v>
      </c>
      <c r="V7960" t="s">
        <v>43</v>
      </c>
      <c r="W7960" t="s">
        <v>43</v>
      </c>
      <c r="X7960" t="s">
        <v>43</v>
      </c>
      <c r="Y7960" t="s">
        <v>43</v>
      </c>
      <c r="Z7960" t="s">
        <v>43</v>
      </c>
      <c r="AA7960" t="s">
        <v>43</v>
      </c>
      <c r="AB7960" t="s">
        <v>43</v>
      </c>
      <c r="AC7960" t="s">
        <v>43</v>
      </c>
      <c r="AD7960" t="s">
        <v>43</v>
      </c>
      <c r="AE7960" t="s">
        <v>43</v>
      </c>
      <c r="AF7960" t="s">
        <v>43</v>
      </c>
      <c r="AG7960" t="s">
        <v>43</v>
      </c>
      <c r="AH7960" t="s">
        <v>43</v>
      </c>
      <c r="AI7960" t="s">
        <v>43</v>
      </c>
      <c r="AJ7960" t="s">
        <v>43</v>
      </c>
      <c r="AK7960" t="s">
        <v>43</v>
      </c>
      <c r="AL7960" t="s">
        <v>43</v>
      </c>
      <c r="AM7960" t="s">
        <v>43</v>
      </c>
      <c r="AN7960" t="str">
        <f>HYPERLINK("https://www.google.com/maps?q=10.78967094,79.57879639","Open Location")</f>
        <v>Open Location</v>
      </c>
    </row>
    <row r="7961" spans="1:40" x14ac:dyDescent="0.3">
      <c r="A7961" s="1">
        <v>46210.077893518515</v>
      </c>
      <c r="B7961" t="s">
        <v>40</v>
      </c>
      <c r="C7961" t="s">
        <v>41</v>
      </c>
      <c r="D7961" s="1">
        <v>46210.080787037034</v>
      </c>
      <c r="E7961" t="s">
        <v>42</v>
      </c>
      <c r="F7961" t="s">
        <v>43</v>
      </c>
      <c r="G7961" t="s">
        <v>43</v>
      </c>
      <c r="H7961" t="s">
        <v>43</v>
      </c>
      <c r="I7961" t="s">
        <v>4156</v>
      </c>
      <c r="J7961" t="s">
        <v>43</v>
      </c>
      <c r="K7961" t="s">
        <v>43</v>
      </c>
      <c r="L7961" t="s">
        <v>43</v>
      </c>
      <c r="M7961" t="s">
        <v>43</v>
      </c>
      <c r="N7961" t="s">
        <v>45</v>
      </c>
      <c r="O7961" t="s">
        <v>43</v>
      </c>
      <c r="P7961" t="s">
        <v>43</v>
      </c>
      <c r="Q7961" t="s">
        <v>43</v>
      </c>
      <c r="R7961" t="s">
        <v>43</v>
      </c>
      <c r="S7961" t="s">
        <v>43</v>
      </c>
      <c r="T7961" t="s">
        <v>43</v>
      </c>
      <c r="U7961" t="s">
        <v>43</v>
      </c>
      <c r="V7961" t="s">
        <v>43</v>
      </c>
      <c r="W7961" t="s">
        <v>43</v>
      </c>
      <c r="X7961" t="s">
        <v>43</v>
      </c>
      <c r="Y7961" t="s">
        <v>43</v>
      </c>
      <c r="Z7961" t="s">
        <v>43</v>
      </c>
      <c r="AA7961" t="s">
        <v>43</v>
      </c>
      <c r="AB7961" t="s">
        <v>43</v>
      </c>
      <c r="AC7961" t="s">
        <v>43</v>
      </c>
      <c r="AD7961" t="s">
        <v>43</v>
      </c>
      <c r="AE7961" t="s">
        <v>43</v>
      </c>
      <c r="AF7961" t="s">
        <v>43</v>
      </c>
      <c r="AG7961" t="s">
        <v>43</v>
      </c>
      <c r="AH7961" t="s">
        <v>43</v>
      </c>
      <c r="AI7961" t="s">
        <v>43</v>
      </c>
      <c r="AJ7961" t="s">
        <v>43</v>
      </c>
      <c r="AK7961" t="s">
        <v>43</v>
      </c>
      <c r="AL7961" t="s">
        <v>43</v>
      </c>
      <c r="AM7961" t="s">
        <v>43</v>
      </c>
      <c r="AN7961" t="str">
        <f>HYPERLINK("https://www.google.com/maps?q=10.78967094,79.57879639","Open Location")</f>
        <v>Open Location</v>
      </c>
    </row>
    <row r="7962" spans="1:40" x14ac:dyDescent="0.3">
      <c r="A7962" s="1">
        <v>46210.077777777777</v>
      </c>
      <c r="B7962" t="s">
        <v>40</v>
      </c>
      <c r="C7962" t="s">
        <v>41</v>
      </c>
      <c r="D7962" s="1">
        <v>46210.080787037034</v>
      </c>
      <c r="E7962" t="s">
        <v>42</v>
      </c>
      <c r="F7962" t="s">
        <v>43</v>
      </c>
      <c r="G7962" t="s">
        <v>43</v>
      </c>
      <c r="H7962" t="s">
        <v>43</v>
      </c>
      <c r="I7962" t="s">
        <v>43</v>
      </c>
      <c r="J7962" t="s">
        <v>43</v>
      </c>
      <c r="K7962" t="s">
        <v>43</v>
      </c>
      <c r="L7962" t="s">
        <v>43</v>
      </c>
      <c r="M7962" t="s">
        <v>43</v>
      </c>
      <c r="N7962" t="s">
        <v>45</v>
      </c>
      <c r="O7962" t="s">
        <v>43</v>
      </c>
      <c r="P7962" t="s">
        <v>43</v>
      </c>
      <c r="Q7962" t="s">
        <v>43</v>
      </c>
      <c r="R7962" t="s">
        <v>43</v>
      </c>
      <c r="S7962" t="s">
        <v>43</v>
      </c>
      <c r="T7962" t="s">
        <v>43</v>
      </c>
      <c r="U7962" t="s">
        <v>43</v>
      </c>
      <c r="V7962" t="s">
        <v>43</v>
      </c>
      <c r="W7962" t="s">
        <v>43</v>
      </c>
      <c r="X7962" t="s">
        <v>43</v>
      </c>
      <c r="Y7962" t="s">
        <v>43</v>
      </c>
      <c r="Z7962" t="s">
        <v>43</v>
      </c>
      <c r="AA7962" t="s">
        <v>43</v>
      </c>
      <c r="AB7962" t="s">
        <v>43</v>
      </c>
      <c r="AC7962" t="s">
        <v>43</v>
      </c>
      <c r="AD7962" t="s">
        <v>43</v>
      </c>
      <c r="AE7962" t="s">
        <v>43</v>
      </c>
      <c r="AF7962" t="s">
        <v>43</v>
      </c>
      <c r="AG7962" t="s">
        <v>43</v>
      </c>
      <c r="AH7962" t="s">
        <v>43</v>
      </c>
      <c r="AI7962" t="s">
        <v>43</v>
      </c>
      <c r="AJ7962" t="s">
        <v>43</v>
      </c>
      <c r="AK7962" t="s">
        <v>43</v>
      </c>
      <c r="AL7962" t="s">
        <v>43</v>
      </c>
      <c r="AM7962" t="s">
        <v>43</v>
      </c>
      <c r="AN7962" t="s">
        <v>43</v>
      </c>
    </row>
    <row r="7963" spans="1:40" x14ac:dyDescent="0.3">
      <c r="A7963" s="1">
        <v>46210.077662037038</v>
      </c>
      <c r="B7963" t="s">
        <v>40</v>
      </c>
      <c r="C7963" t="s">
        <v>41</v>
      </c>
      <c r="D7963" s="1">
        <v>46210.080358796295</v>
      </c>
      <c r="E7963" t="s">
        <v>42</v>
      </c>
      <c r="F7963" t="s">
        <v>43</v>
      </c>
      <c r="G7963" t="s">
        <v>43</v>
      </c>
      <c r="H7963" t="s">
        <v>43</v>
      </c>
      <c r="I7963" t="s">
        <v>4218</v>
      </c>
      <c r="J7963" t="s">
        <v>43</v>
      </c>
      <c r="K7963" t="s">
        <v>43</v>
      </c>
      <c r="L7963" t="s">
        <v>43</v>
      </c>
      <c r="M7963" t="s">
        <v>43</v>
      </c>
      <c r="N7963" t="s">
        <v>45</v>
      </c>
      <c r="O7963" t="s">
        <v>43</v>
      </c>
      <c r="P7963" t="s">
        <v>43</v>
      </c>
      <c r="Q7963" t="s">
        <v>43</v>
      </c>
      <c r="R7963" t="s">
        <v>43</v>
      </c>
      <c r="S7963" t="s">
        <v>43</v>
      </c>
      <c r="T7963" t="s">
        <v>43</v>
      </c>
      <c r="U7963" t="s">
        <v>43</v>
      </c>
      <c r="V7963" t="s">
        <v>43</v>
      </c>
      <c r="W7963" t="s">
        <v>43</v>
      </c>
      <c r="X7963" t="s">
        <v>43</v>
      </c>
      <c r="Y7963" t="s">
        <v>43</v>
      </c>
      <c r="Z7963" t="s">
        <v>43</v>
      </c>
      <c r="AA7963" t="s">
        <v>43</v>
      </c>
      <c r="AB7963" t="s">
        <v>43</v>
      </c>
      <c r="AC7963" t="s">
        <v>43</v>
      </c>
      <c r="AD7963" t="s">
        <v>43</v>
      </c>
      <c r="AE7963" t="s">
        <v>43</v>
      </c>
      <c r="AF7963" t="s">
        <v>43</v>
      </c>
      <c r="AG7963" t="s">
        <v>43</v>
      </c>
      <c r="AH7963" t="s">
        <v>43</v>
      </c>
      <c r="AI7963" t="s">
        <v>43</v>
      </c>
      <c r="AJ7963" t="s">
        <v>43</v>
      </c>
      <c r="AK7963" t="s">
        <v>43</v>
      </c>
      <c r="AL7963" t="s">
        <v>43</v>
      </c>
      <c r="AM7963" t="s">
        <v>43</v>
      </c>
      <c r="AN7963" t="str">
        <f>HYPERLINK("https://www.google.com/maps?q=10.78967285,79.57879639","Open Location")</f>
        <v>Open Location</v>
      </c>
    </row>
    <row r="7964" spans="1:40" x14ac:dyDescent="0.3">
      <c r="A7964" s="1">
        <v>46210.077546296299</v>
      </c>
      <c r="B7964" t="s">
        <v>40</v>
      </c>
      <c r="C7964" t="s">
        <v>41</v>
      </c>
      <c r="D7964" s="1">
        <v>46210.080335648148</v>
      </c>
      <c r="E7964" t="s">
        <v>42</v>
      </c>
      <c r="F7964" t="s">
        <v>43</v>
      </c>
      <c r="G7964" t="s">
        <v>43</v>
      </c>
      <c r="H7964" t="s">
        <v>43</v>
      </c>
      <c r="I7964" t="s">
        <v>4218</v>
      </c>
      <c r="J7964" t="s">
        <v>43</v>
      </c>
      <c r="K7964" t="s">
        <v>43</v>
      </c>
      <c r="L7964" t="s">
        <v>43</v>
      </c>
      <c r="M7964" t="s">
        <v>43</v>
      </c>
      <c r="N7964" t="s">
        <v>45</v>
      </c>
      <c r="O7964" t="s">
        <v>43</v>
      </c>
      <c r="P7964" t="s">
        <v>43</v>
      </c>
      <c r="Q7964" t="s">
        <v>43</v>
      </c>
      <c r="R7964" t="s">
        <v>43</v>
      </c>
      <c r="S7964" t="s">
        <v>43</v>
      </c>
      <c r="T7964" t="s">
        <v>43</v>
      </c>
      <c r="U7964" t="s">
        <v>43</v>
      </c>
      <c r="V7964" t="s">
        <v>43</v>
      </c>
      <c r="W7964" t="s">
        <v>43</v>
      </c>
      <c r="X7964" t="s">
        <v>43</v>
      </c>
      <c r="Y7964" t="s">
        <v>43</v>
      </c>
      <c r="Z7964" t="s">
        <v>43</v>
      </c>
      <c r="AA7964" t="s">
        <v>43</v>
      </c>
      <c r="AB7964" t="s">
        <v>43</v>
      </c>
      <c r="AC7964" t="s">
        <v>43</v>
      </c>
      <c r="AD7964" t="s">
        <v>43</v>
      </c>
      <c r="AE7964" t="s">
        <v>43</v>
      </c>
      <c r="AF7964" t="s">
        <v>43</v>
      </c>
      <c r="AG7964" t="s">
        <v>43</v>
      </c>
      <c r="AH7964" t="s">
        <v>43</v>
      </c>
      <c r="AI7964" t="s">
        <v>43</v>
      </c>
      <c r="AJ7964" t="s">
        <v>43</v>
      </c>
      <c r="AK7964" t="s">
        <v>43</v>
      </c>
      <c r="AL7964" t="s">
        <v>43</v>
      </c>
      <c r="AM7964" t="s">
        <v>43</v>
      </c>
      <c r="AN7964" t="str">
        <f>HYPERLINK("https://www.google.com/maps?q=10.78967285,79.57879639","Open Location")</f>
        <v>Open Location</v>
      </c>
    </row>
    <row r="7965" spans="1:40" x14ac:dyDescent="0.3">
      <c r="A7965" s="1">
        <v>46210.077430555553</v>
      </c>
      <c r="B7965" t="s">
        <v>40</v>
      </c>
      <c r="C7965" t="s">
        <v>41</v>
      </c>
      <c r="D7965" s="1">
        <v>46210.080000000002</v>
      </c>
      <c r="E7965" t="s">
        <v>42</v>
      </c>
      <c r="F7965" t="s">
        <v>43</v>
      </c>
      <c r="G7965" t="s">
        <v>43</v>
      </c>
      <c r="H7965" t="s">
        <v>43</v>
      </c>
      <c r="I7965" t="s">
        <v>4227</v>
      </c>
      <c r="J7965" t="s">
        <v>43</v>
      </c>
      <c r="K7965" t="s">
        <v>43</v>
      </c>
      <c r="L7965" t="s">
        <v>43</v>
      </c>
      <c r="M7965" t="s">
        <v>43</v>
      </c>
      <c r="N7965" t="s">
        <v>45</v>
      </c>
      <c r="O7965" t="s">
        <v>43</v>
      </c>
      <c r="P7965" t="s">
        <v>43</v>
      </c>
      <c r="Q7965" t="s">
        <v>43</v>
      </c>
      <c r="R7965" t="s">
        <v>43</v>
      </c>
      <c r="S7965" t="s">
        <v>43</v>
      </c>
      <c r="T7965" t="s">
        <v>43</v>
      </c>
      <c r="U7965" t="s">
        <v>43</v>
      </c>
      <c r="V7965" t="s">
        <v>43</v>
      </c>
      <c r="W7965" t="s">
        <v>43</v>
      </c>
      <c r="X7965" t="s">
        <v>43</v>
      </c>
      <c r="Y7965" t="s">
        <v>43</v>
      </c>
      <c r="Z7965" t="s">
        <v>43</v>
      </c>
      <c r="AA7965" t="s">
        <v>43</v>
      </c>
      <c r="AB7965" t="s">
        <v>43</v>
      </c>
      <c r="AC7965" t="s">
        <v>43</v>
      </c>
      <c r="AD7965" t="s">
        <v>43</v>
      </c>
      <c r="AE7965" t="s">
        <v>43</v>
      </c>
      <c r="AF7965" t="s">
        <v>43</v>
      </c>
      <c r="AG7965" t="s">
        <v>43</v>
      </c>
      <c r="AH7965" t="s">
        <v>43</v>
      </c>
      <c r="AI7965" t="s">
        <v>43</v>
      </c>
      <c r="AJ7965" t="s">
        <v>43</v>
      </c>
      <c r="AK7965" t="s">
        <v>43</v>
      </c>
      <c r="AL7965" t="s">
        <v>43</v>
      </c>
      <c r="AM7965" t="s">
        <v>43</v>
      </c>
      <c r="AN7965" t="str">
        <f>HYPERLINK("https://www.google.com/maps?q=10.78967381,79.57879639","Open Location")</f>
        <v>Open Location</v>
      </c>
    </row>
    <row r="7966" spans="1:40" x14ac:dyDescent="0.3">
      <c r="A7966" s="1">
        <v>46210.077314814815</v>
      </c>
      <c r="B7966" t="s">
        <v>40</v>
      </c>
      <c r="C7966" t="s">
        <v>41</v>
      </c>
      <c r="D7966" s="1">
        <v>46210.080416666664</v>
      </c>
      <c r="E7966" t="s">
        <v>42</v>
      </c>
      <c r="F7966" t="s">
        <v>43</v>
      </c>
      <c r="G7966" t="s">
        <v>43</v>
      </c>
      <c r="H7966" t="s">
        <v>43</v>
      </c>
      <c r="I7966" t="s">
        <v>4218</v>
      </c>
      <c r="J7966" t="s">
        <v>43</v>
      </c>
      <c r="K7966" t="s">
        <v>43</v>
      </c>
      <c r="L7966" t="s">
        <v>43</v>
      </c>
      <c r="M7966" t="s">
        <v>43</v>
      </c>
      <c r="N7966" t="s">
        <v>45</v>
      </c>
      <c r="O7966" t="s">
        <v>43</v>
      </c>
      <c r="P7966" t="s">
        <v>43</v>
      </c>
      <c r="Q7966" t="s">
        <v>43</v>
      </c>
      <c r="R7966" t="s">
        <v>43</v>
      </c>
      <c r="S7966" t="s">
        <v>43</v>
      </c>
      <c r="T7966" t="s">
        <v>43</v>
      </c>
      <c r="U7966" t="s">
        <v>43</v>
      </c>
      <c r="V7966" t="s">
        <v>43</v>
      </c>
      <c r="W7966" t="s">
        <v>43</v>
      </c>
      <c r="X7966" t="s">
        <v>43</v>
      </c>
      <c r="Y7966" t="s">
        <v>43</v>
      </c>
      <c r="Z7966" t="s">
        <v>43</v>
      </c>
      <c r="AA7966" t="s">
        <v>43</v>
      </c>
      <c r="AB7966" t="s">
        <v>43</v>
      </c>
      <c r="AC7966" t="s">
        <v>43</v>
      </c>
      <c r="AD7966" t="s">
        <v>43</v>
      </c>
      <c r="AE7966" t="s">
        <v>43</v>
      </c>
      <c r="AF7966" t="s">
        <v>43</v>
      </c>
      <c r="AG7966" t="s">
        <v>43</v>
      </c>
      <c r="AH7966" t="s">
        <v>43</v>
      </c>
      <c r="AI7966" t="s">
        <v>43</v>
      </c>
      <c r="AJ7966" t="s">
        <v>43</v>
      </c>
      <c r="AK7966" t="s">
        <v>43</v>
      </c>
      <c r="AL7966" t="s">
        <v>43</v>
      </c>
      <c r="AM7966" t="s">
        <v>43</v>
      </c>
      <c r="AN7966" t="str">
        <f>HYPERLINK("https://www.google.com/maps?q=10.78967285,79.57879639","Open Location")</f>
        <v>Open Location</v>
      </c>
    </row>
    <row r="7967" spans="1:40" x14ac:dyDescent="0.3">
      <c r="A7967" s="1">
        <v>46210.077199074076</v>
      </c>
      <c r="B7967" t="s">
        <v>40</v>
      </c>
      <c r="C7967" t="s">
        <v>41</v>
      </c>
      <c r="D7967" s="1">
        <v>46210.079826388886</v>
      </c>
      <c r="E7967" t="s">
        <v>42</v>
      </c>
      <c r="F7967" t="s">
        <v>43</v>
      </c>
      <c r="G7967" t="s">
        <v>43</v>
      </c>
      <c r="H7967" t="s">
        <v>43</v>
      </c>
      <c r="I7967" t="s">
        <v>4218</v>
      </c>
      <c r="J7967" t="s">
        <v>43</v>
      </c>
      <c r="K7967" t="s">
        <v>43</v>
      </c>
      <c r="L7967" t="s">
        <v>43</v>
      </c>
      <c r="M7967" t="s">
        <v>43</v>
      </c>
      <c r="N7967" t="s">
        <v>45</v>
      </c>
      <c r="O7967" t="s">
        <v>43</v>
      </c>
      <c r="P7967" t="s">
        <v>43</v>
      </c>
      <c r="Q7967" t="s">
        <v>43</v>
      </c>
      <c r="R7967" t="s">
        <v>43</v>
      </c>
      <c r="S7967" t="s">
        <v>43</v>
      </c>
      <c r="T7967" t="s">
        <v>43</v>
      </c>
      <c r="U7967" t="s">
        <v>43</v>
      </c>
      <c r="V7967" t="s">
        <v>43</v>
      </c>
      <c r="W7967" t="s">
        <v>43</v>
      </c>
      <c r="X7967" t="s">
        <v>43</v>
      </c>
      <c r="Y7967" t="s">
        <v>43</v>
      </c>
      <c r="Z7967" t="s">
        <v>43</v>
      </c>
      <c r="AA7967" t="s">
        <v>43</v>
      </c>
      <c r="AB7967" t="s">
        <v>43</v>
      </c>
      <c r="AC7967" t="s">
        <v>43</v>
      </c>
      <c r="AD7967" t="s">
        <v>43</v>
      </c>
      <c r="AE7967" t="s">
        <v>43</v>
      </c>
      <c r="AF7967" t="s">
        <v>43</v>
      </c>
      <c r="AG7967" t="s">
        <v>43</v>
      </c>
      <c r="AH7967" t="s">
        <v>43</v>
      </c>
      <c r="AI7967" t="s">
        <v>43</v>
      </c>
      <c r="AJ7967" t="s">
        <v>43</v>
      </c>
      <c r="AK7967" t="s">
        <v>43</v>
      </c>
      <c r="AL7967" t="s">
        <v>43</v>
      </c>
      <c r="AM7967" t="s">
        <v>43</v>
      </c>
      <c r="AN7967" t="str">
        <f>HYPERLINK("https://www.google.com/maps?q=10.78967285,79.57879639","Open Location")</f>
        <v>Open Location</v>
      </c>
    </row>
    <row r="7968" spans="1:40" x14ac:dyDescent="0.3">
      <c r="A7968" s="1">
        <v>46210.07708333333</v>
      </c>
      <c r="B7968" t="s">
        <v>40</v>
      </c>
      <c r="C7968" t="s">
        <v>41</v>
      </c>
      <c r="D7968" s="1">
        <v>46210.079988425925</v>
      </c>
      <c r="E7968" t="s">
        <v>42</v>
      </c>
      <c r="F7968" t="s">
        <v>43</v>
      </c>
      <c r="G7968" t="s">
        <v>43</v>
      </c>
      <c r="H7968" t="s">
        <v>43</v>
      </c>
      <c r="I7968" t="s">
        <v>43</v>
      </c>
      <c r="J7968" t="s">
        <v>43</v>
      </c>
      <c r="K7968" t="s">
        <v>43</v>
      </c>
      <c r="L7968" t="s">
        <v>43</v>
      </c>
      <c r="M7968" t="s">
        <v>43</v>
      </c>
      <c r="N7968" t="s">
        <v>45</v>
      </c>
      <c r="O7968" t="s">
        <v>43</v>
      </c>
      <c r="P7968" t="s">
        <v>43</v>
      </c>
      <c r="Q7968" t="s">
        <v>43</v>
      </c>
      <c r="R7968" t="s">
        <v>43</v>
      </c>
      <c r="S7968" t="s">
        <v>43</v>
      </c>
      <c r="T7968" t="s">
        <v>43</v>
      </c>
      <c r="U7968" t="s">
        <v>43</v>
      </c>
      <c r="V7968" t="s">
        <v>43</v>
      </c>
      <c r="W7968" t="s">
        <v>43</v>
      </c>
      <c r="X7968" t="s">
        <v>43</v>
      </c>
      <c r="Y7968" t="s">
        <v>43</v>
      </c>
      <c r="Z7968" t="s">
        <v>43</v>
      </c>
      <c r="AA7968" t="s">
        <v>43</v>
      </c>
      <c r="AB7968" t="s">
        <v>43</v>
      </c>
      <c r="AC7968" t="s">
        <v>43</v>
      </c>
      <c r="AD7968" t="s">
        <v>43</v>
      </c>
      <c r="AE7968" t="s">
        <v>43</v>
      </c>
      <c r="AF7968" t="s">
        <v>43</v>
      </c>
      <c r="AG7968" t="s">
        <v>43</v>
      </c>
      <c r="AH7968" t="s">
        <v>43</v>
      </c>
      <c r="AI7968" t="s">
        <v>43</v>
      </c>
      <c r="AJ7968" t="s">
        <v>43</v>
      </c>
      <c r="AK7968" t="s">
        <v>43</v>
      </c>
      <c r="AL7968" t="s">
        <v>43</v>
      </c>
      <c r="AM7968" t="s">
        <v>43</v>
      </c>
      <c r="AN7968" t="s">
        <v>43</v>
      </c>
    </row>
    <row r="7969" spans="1:40" x14ac:dyDescent="0.3">
      <c r="A7969" s="1">
        <v>46210.076967592591</v>
      </c>
      <c r="B7969" t="s">
        <v>40</v>
      </c>
      <c r="C7969" t="s">
        <v>41</v>
      </c>
      <c r="D7969" s="1">
        <v>46210.079826388886</v>
      </c>
      <c r="E7969" t="s">
        <v>42</v>
      </c>
      <c r="F7969" t="s">
        <v>43</v>
      </c>
      <c r="G7969" t="s">
        <v>43</v>
      </c>
      <c r="H7969" t="s">
        <v>43</v>
      </c>
      <c r="I7969" t="s">
        <v>4230</v>
      </c>
      <c r="J7969" t="s">
        <v>43</v>
      </c>
      <c r="K7969" t="s">
        <v>43</v>
      </c>
      <c r="L7969" t="s">
        <v>43</v>
      </c>
      <c r="M7969" t="s">
        <v>43</v>
      </c>
      <c r="N7969" t="s">
        <v>45</v>
      </c>
      <c r="O7969" t="s">
        <v>43</v>
      </c>
      <c r="P7969" t="s">
        <v>43</v>
      </c>
      <c r="Q7969" t="s">
        <v>43</v>
      </c>
      <c r="R7969" t="s">
        <v>43</v>
      </c>
      <c r="S7969" t="s">
        <v>43</v>
      </c>
      <c r="T7969" t="s">
        <v>43</v>
      </c>
      <c r="U7969" t="s">
        <v>43</v>
      </c>
      <c r="V7969" t="s">
        <v>43</v>
      </c>
      <c r="W7969" t="s">
        <v>43</v>
      </c>
      <c r="X7969" t="s">
        <v>43</v>
      </c>
      <c r="Y7969" t="s">
        <v>43</v>
      </c>
      <c r="Z7969" t="s">
        <v>43</v>
      </c>
      <c r="AA7969" t="s">
        <v>43</v>
      </c>
      <c r="AB7969" t="s">
        <v>43</v>
      </c>
      <c r="AC7969" t="s">
        <v>43</v>
      </c>
      <c r="AD7969" t="s">
        <v>43</v>
      </c>
      <c r="AE7969" t="s">
        <v>43</v>
      </c>
      <c r="AF7969" t="s">
        <v>43</v>
      </c>
      <c r="AG7969" t="s">
        <v>43</v>
      </c>
      <c r="AH7969" t="s">
        <v>43</v>
      </c>
      <c r="AI7969" t="s">
        <v>43</v>
      </c>
      <c r="AJ7969" t="s">
        <v>43</v>
      </c>
      <c r="AK7969" t="s">
        <v>43</v>
      </c>
      <c r="AL7969" t="s">
        <v>43</v>
      </c>
      <c r="AM7969" t="s">
        <v>43</v>
      </c>
      <c r="AN7969" t="str">
        <f>HYPERLINK("https://www.google.com/maps?q=10.78967667,79.57878876","Open Location")</f>
        <v>Open Location</v>
      </c>
    </row>
    <row r="7970" spans="1:40" x14ac:dyDescent="0.3">
      <c r="A7970" s="1">
        <v>46210.076851851853</v>
      </c>
      <c r="B7970" t="s">
        <v>40</v>
      </c>
      <c r="C7970" t="s">
        <v>41</v>
      </c>
      <c r="D7970" s="1">
        <v>46210.079652777778</v>
      </c>
      <c r="E7970" t="s">
        <v>42</v>
      </c>
      <c r="F7970" t="s">
        <v>43</v>
      </c>
      <c r="G7970" t="s">
        <v>43</v>
      </c>
      <c r="H7970" t="s">
        <v>43</v>
      </c>
      <c r="I7970" t="s">
        <v>4326</v>
      </c>
      <c r="J7970" t="s">
        <v>43</v>
      </c>
      <c r="K7970" t="s">
        <v>43</v>
      </c>
      <c r="L7970" t="s">
        <v>43</v>
      </c>
      <c r="M7970" t="s">
        <v>43</v>
      </c>
      <c r="N7970" t="s">
        <v>45</v>
      </c>
      <c r="O7970" t="s">
        <v>43</v>
      </c>
      <c r="P7970" t="s">
        <v>43</v>
      </c>
      <c r="Q7970" t="s">
        <v>43</v>
      </c>
      <c r="R7970" t="s">
        <v>43</v>
      </c>
      <c r="S7970" t="s">
        <v>43</v>
      </c>
      <c r="T7970" t="s">
        <v>43</v>
      </c>
      <c r="U7970" t="s">
        <v>43</v>
      </c>
      <c r="V7970" t="s">
        <v>43</v>
      </c>
      <c r="W7970" t="s">
        <v>43</v>
      </c>
      <c r="X7970" t="s">
        <v>43</v>
      </c>
      <c r="Y7970" t="s">
        <v>43</v>
      </c>
      <c r="Z7970" t="s">
        <v>43</v>
      </c>
      <c r="AA7970" t="s">
        <v>43</v>
      </c>
      <c r="AB7970" t="s">
        <v>43</v>
      </c>
      <c r="AC7970" t="s">
        <v>43</v>
      </c>
      <c r="AD7970" t="s">
        <v>43</v>
      </c>
      <c r="AE7970" t="s">
        <v>43</v>
      </c>
      <c r="AF7970" t="s">
        <v>43</v>
      </c>
      <c r="AG7970" t="s">
        <v>43</v>
      </c>
      <c r="AH7970" t="s">
        <v>43</v>
      </c>
      <c r="AI7970" t="s">
        <v>43</v>
      </c>
      <c r="AJ7970" t="s">
        <v>43</v>
      </c>
      <c r="AK7970" t="s">
        <v>43</v>
      </c>
      <c r="AL7970" t="s">
        <v>43</v>
      </c>
      <c r="AM7970" t="s">
        <v>43</v>
      </c>
      <c r="AN7970" t="str">
        <f>HYPERLINK("https://www.google.com/maps?q=10.78968239,79.57878876","Open Location")</f>
        <v>Open Location</v>
      </c>
    </row>
    <row r="7971" spans="1:40" x14ac:dyDescent="0.3">
      <c r="A7971" s="1">
        <v>46210.076736111114</v>
      </c>
      <c r="B7971" t="s">
        <v>40</v>
      </c>
      <c r="C7971" t="s">
        <v>41</v>
      </c>
      <c r="D7971" s="1">
        <v>46210.079629629632</v>
      </c>
      <c r="E7971" t="s">
        <v>42</v>
      </c>
      <c r="F7971" t="s">
        <v>43</v>
      </c>
      <c r="G7971" t="s">
        <v>43</v>
      </c>
      <c r="H7971" t="s">
        <v>43</v>
      </c>
      <c r="I7971" t="s">
        <v>4325</v>
      </c>
      <c r="J7971" t="s">
        <v>43</v>
      </c>
      <c r="K7971" t="s">
        <v>43</v>
      </c>
      <c r="L7971" t="s">
        <v>43</v>
      </c>
      <c r="M7971" t="s">
        <v>43</v>
      </c>
      <c r="N7971" t="s">
        <v>45</v>
      </c>
      <c r="O7971" t="s">
        <v>43</v>
      </c>
      <c r="P7971" t="s">
        <v>43</v>
      </c>
      <c r="Q7971" t="s">
        <v>43</v>
      </c>
      <c r="R7971" t="s">
        <v>43</v>
      </c>
      <c r="S7971" t="s">
        <v>43</v>
      </c>
      <c r="T7971" t="s">
        <v>43</v>
      </c>
      <c r="U7971" t="s">
        <v>43</v>
      </c>
      <c r="V7971" t="s">
        <v>43</v>
      </c>
      <c r="W7971" t="s">
        <v>43</v>
      </c>
      <c r="X7971" t="s">
        <v>43</v>
      </c>
      <c r="Y7971" t="s">
        <v>43</v>
      </c>
      <c r="Z7971" t="s">
        <v>43</v>
      </c>
      <c r="AA7971" t="s">
        <v>43</v>
      </c>
      <c r="AB7971" t="s">
        <v>43</v>
      </c>
      <c r="AC7971" t="s">
        <v>43</v>
      </c>
      <c r="AD7971" t="s">
        <v>43</v>
      </c>
      <c r="AE7971" t="s">
        <v>43</v>
      </c>
      <c r="AF7971" t="s">
        <v>43</v>
      </c>
      <c r="AG7971" t="s">
        <v>43</v>
      </c>
      <c r="AH7971" t="s">
        <v>43</v>
      </c>
      <c r="AI7971" t="s">
        <v>43</v>
      </c>
      <c r="AJ7971" t="s">
        <v>43</v>
      </c>
      <c r="AK7971" t="s">
        <v>43</v>
      </c>
      <c r="AL7971" t="s">
        <v>43</v>
      </c>
      <c r="AM7971" t="s">
        <v>43</v>
      </c>
      <c r="AN7971" t="str">
        <f>HYPERLINK("https://www.google.com/maps?q=10.78968239,79.57878113","Open Location")</f>
        <v>Open Location</v>
      </c>
    </row>
    <row r="7972" spans="1:40" x14ac:dyDescent="0.3">
      <c r="A7972" s="1">
        <v>46210.076620370368</v>
      </c>
      <c r="B7972" t="s">
        <v>40</v>
      </c>
      <c r="C7972" t="s">
        <v>41</v>
      </c>
      <c r="D7972" s="1">
        <v>46210.079629629632</v>
      </c>
      <c r="E7972" t="s">
        <v>42</v>
      </c>
      <c r="F7972" t="s">
        <v>43</v>
      </c>
      <c r="G7972" t="s">
        <v>43</v>
      </c>
      <c r="H7972" t="s">
        <v>43</v>
      </c>
      <c r="I7972" t="s">
        <v>4323</v>
      </c>
      <c r="J7972" t="s">
        <v>43</v>
      </c>
      <c r="K7972" t="s">
        <v>43</v>
      </c>
      <c r="L7972" t="s">
        <v>43</v>
      </c>
      <c r="M7972" t="s">
        <v>43</v>
      </c>
      <c r="N7972" t="s">
        <v>45</v>
      </c>
      <c r="O7972" t="s">
        <v>43</v>
      </c>
      <c r="P7972" t="s">
        <v>43</v>
      </c>
      <c r="Q7972" t="s">
        <v>43</v>
      </c>
      <c r="R7972" t="s">
        <v>43</v>
      </c>
      <c r="S7972" t="s">
        <v>43</v>
      </c>
      <c r="T7972" t="s">
        <v>43</v>
      </c>
      <c r="U7972" t="s">
        <v>43</v>
      </c>
      <c r="V7972" t="s">
        <v>43</v>
      </c>
      <c r="W7972" t="s">
        <v>43</v>
      </c>
      <c r="X7972" t="s">
        <v>43</v>
      </c>
      <c r="Y7972" t="s">
        <v>43</v>
      </c>
      <c r="Z7972" t="s">
        <v>43</v>
      </c>
      <c r="AA7972" t="s">
        <v>43</v>
      </c>
      <c r="AB7972" t="s">
        <v>43</v>
      </c>
      <c r="AC7972" t="s">
        <v>43</v>
      </c>
      <c r="AD7972" t="s">
        <v>43</v>
      </c>
      <c r="AE7972" t="s">
        <v>43</v>
      </c>
      <c r="AF7972" t="s">
        <v>43</v>
      </c>
      <c r="AG7972" t="s">
        <v>43</v>
      </c>
      <c r="AH7972" t="s">
        <v>43</v>
      </c>
      <c r="AI7972" t="s">
        <v>43</v>
      </c>
      <c r="AJ7972" t="s">
        <v>43</v>
      </c>
      <c r="AK7972" t="s">
        <v>43</v>
      </c>
      <c r="AL7972" t="s">
        <v>43</v>
      </c>
      <c r="AM7972" t="s">
        <v>43</v>
      </c>
      <c r="AN7972" t="str">
        <f>HYPERLINK("https://www.google.com/maps?q=10.78967953,79.57878113","Open Location")</f>
        <v>Open Location</v>
      </c>
    </row>
    <row r="7973" spans="1:40" x14ac:dyDescent="0.3">
      <c r="A7973" s="1">
        <v>46210.076504629629</v>
      </c>
      <c r="B7973" t="s">
        <v>40</v>
      </c>
      <c r="C7973" t="s">
        <v>41</v>
      </c>
      <c r="D7973" s="1">
        <v>46210.079085648147</v>
      </c>
      <c r="E7973" t="s">
        <v>42</v>
      </c>
      <c r="F7973" t="s">
        <v>43</v>
      </c>
      <c r="G7973" t="s">
        <v>43</v>
      </c>
      <c r="H7973" t="s">
        <v>43</v>
      </c>
      <c r="I7973" t="s">
        <v>4318</v>
      </c>
      <c r="J7973" t="s">
        <v>43</v>
      </c>
      <c r="K7973" t="s">
        <v>43</v>
      </c>
      <c r="L7973" t="s">
        <v>43</v>
      </c>
      <c r="M7973" t="s">
        <v>43</v>
      </c>
      <c r="N7973" t="s">
        <v>45</v>
      </c>
      <c r="O7973" t="s">
        <v>43</v>
      </c>
      <c r="P7973" t="s">
        <v>43</v>
      </c>
      <c r="Q7973" t="s">
        <v>43</v>
      </c>
      <c r="R7973" t="s">
        <v>43</v>
      </c>
      <c r="S7973" t="s">
        <v>43</v>
      </c>
      <c r="T7973" t="s">
        <v>43</v>
      </c>
      <c r="U7973" t="s">
        <v>43</v>
      </c>
      <c r="V7973" t="s">
        <v>43</v>
      </c>
      <c r="W7973" t="s">
        <v>43</v>
      </c>
      <c r="X7973" t="s">
        <v>43</v>
      </c>
      <c r="Y7973" t="s">
        <v>43</v>
      </c>
      <c r="Z7973" t="s">
        <v>43</v>
      </c>
      <c r="AA7973" t="s">
        <v>43</v>
      </c>
      <c r="AB7973" t="s">
        <v>43</v>
      </c>
      <c r="AC7973" t="s">
        <v>43</v>
      </c>
      <c r="AD7973" t="s">
        <v>43</v>
      </c>
      <c r="AE7973" t="s">
        <v>43</v>
      </c>
      <c r="AF7973" t="s">
        <v>43</v>
      </c>
      <c r="AG7973" t="s">
        <v>43</v>
      </c>
      <c r="AH7973" t="s">
        <v>43</v>
      </c>
      <c r="AI7973" t="s">
        <v>43</v>
      </c>
      <c r="AJ7973" t="s">
        <v>43</v>
      </c>
      <c r="AK7973" t="s">
        <v>43</v>
      </c>
      <c r="AL7973" t="s">
        <v>43</v>
      </c>
      <c r="AM7973" t="s">
        <v>43</v>
      </c>
      <c r="AN7973" t="str">
        <f>HYPERLINK("https://www.google.com/maps?q=10.78968334,79.5787735","Open Location")</f>
        <v>Open Location</v>
      </c>
    </row>
    <row r="7974" spans="1:40" x14ac:dyDescent="0.3">
      <c r="A7974" s="1">
        <v>46210.076388888891</v>
      </c>
      <c r="B7974" t="s">
        <v>40</v>
      </c>
      <c r="C7974" t="s">
        <v>41</v>
      </c>
      <c r="D7974" s="1">
        <v>46210.079328703701</v>
      </c>
      <c r="E7974" t="s">
        <v>42</v>
      </c>
      <c r="F7974" t="s">
        <v>43</v>
      </c>
      <c r="G7974" t="s">
        <v>43</v>
      </c>
      <c r="H7974" t="s">
        <v>43</v>
      </c>
      <c r="I7974" t="s">
        <v>43</v>
      </c>
      <c r="J7974" t="s">
        <v>43</v>
      </c>
      <c r="K7974" t="s">
        <v>43</v>
      </c>
      <c r="L7974" t="s">
        <v>43</v>
      </c>
      <c r="M7974" t="s">
        <v>43</v>
      </c>
      <c r="N7974" t="s">
        <v>45</v>
      </c>
      <c r="O7974" t="s">
        <v>43</v>
      </c>
      <c r="P7974" t="s">
        <v>43</v>
      </c>
      <c r="Q7974" t="s">
        <v>43</v>
      </c>
      <c r="R7974" t="s">
        <v>43</v>
      </c>
      <c r="S7974" t="s">
        <v>43</v>
      </c>
      <c r="T7974" t="s">
        <v>43</v>
      </c>
      <c r="U7974" t="s">
        <v>43</v>
      </c>
      <c r="V7974" t="s">
        <v>43</v>
      </c>
      <c r="W7974" t="s">
        <v>43</v>
      </c>
      <c r="X7974" t="s">
        <v>43</v>
      </c>
      <c r="Y7974" t="s">
        <v>43</v>
      </c>
      <c r="Z7974" t="s">
        <v>43</v>
      </c>
      <c r="AA7974" t="s">
        <v>43</v>
      </c>
      <c r="AB7974" t="s">
        <v>43</v>
      </c>
      <c r="AC7974" t="s">
        <v>43</v>
      </c>
      <c r="AD7974" t="s">
        <v>43</v>
      </c>
      <c r="AE7974" t="s">
        <v>43</v>
      </c>
      <c r="AF7974" t="s">
        <v>43</v>
      </c>
      <c r="AG7974" t="s">
        <v>43</v>
      </c>
      <c r="AH7974" t="s">
        <v>43</v>
      </c>
      <c r="AI7974" t="s">
        <v>43</v>
      </c>
      <c r="AJ7974" t="s">
        <v>43</v>
      </c>
      <c r="AK7974" t="s">
        <v>43</v>
      </c>
      <c r="AL7974" t="s">
        <v>43</v>
      </c>
      <c r="AM7974" t="s">
        <v>43</v>
      </c>
      <c r="AN7974" t="s">
        <v>43</v>
      </c>
    </row>
    <row r="7975" spans="1:40" x14ac:dyDescent="0.3">
      <c r="A7975" s="1">
        <v>46210.076273148145</v>
      </c>
      <c r="B7975" t="s">
        <v>40</v>
      </c>
      <c r="C7975" t="s">
        <v>41</v>
      </c>
      <c r="D7975" s="1">
        <v>46210.079201388886</v>
      </c>
      <c r="E7975" t="s">
        <v>42</v>
      </c>
      <c r="F7975" t="s">
        <v>43</v>
      </c>
      <c r="G7975" t="s">
        <v>43</v>
      </c>
      <c r="H7975" t="s">
        <v>43</v>
      </c>
      <c r="I7975" t="s">
        <v>4362</v>
      </c>
      <c r="J7975" t="s">
        <v>43</v>
      </c>
      <c r="K7975" t="s">
        <v>43</v>
      </c>
      <c r="L7975" t="s">
        <v>43</v>
      </c>
      <c r="M7975" t="s">
        <v>43</v>
      </c>
      <c r="N7975" t="s">
        <v>45</v>
      </c>
      <c r="O7975" t="s">
        <v>43</v>
      </c>
      <c r="P7975" t="s">
        <v>43</v>
      </c>
      <c r="Q7975" t="s">
        <v>43</v>
      </c>
      <c r="R7975" t="s">
        <v>43</v>
      </c>
      <c r="S7975" t="s">
        <v>43</v>
      </c>
      <c r="T7975" t="s">
        <v>43</v>
      </c>
      <c r="U7975" t="s">
        <v>43</v>
      </c>
      <c r="V7975" t="s">
        <v>43</v>
      </c>
      <c r="W7975" t="s">
        <v>43</v>
      </c>
      <c r="X7975" t="s">
        <v>43</v>
      </c>
      <c r="Y7975" t="s">
        <v>43</v>
      </c>
      <c r="Z7975" t="s">
        <v>43</v>
      </c>
      <c r="AA7975" t="s">
        <v>43</v>
      </c>
      <c r="AB7975" t="s">
        <v>43</v>
      </c>
      <c r="AC7975" t="s">
        <v>43</v>
      </c>
      <c r="AD7975" t="s">
        <v>43</v>
      </c>
      <c r="AE7975" t="s">
        <v>43</v>
      </c>
      <c r="AF7975" t="s">
        <v>43</v>
      </c>
      <c r="AG7975" t="s">
        <v>43</v>
      </c>
      <c r="AH7975" t="s">
        <v>43</v>
      </c>
      <c r="AI7975" t="s">
        <v>43</v>
      </c>
      <c r="AJ7975" t="s">
        <v>43</v>
      </c>
      <c r="AK7975" t="s">
        <v>43</v>
      </c>
      <c r="AL7975" t="s">
        <v>43</v>
      </c>
      <c r="AM7975" t="s">
        <v>43</v>
      </c>
      <c r="AN7975" t="str">
        <f>HYPERLINK("https://www.google.com/maps?q=10.78968143,79.5787735","Open Location")</f>
        <v>Open Location</v>
      </c>
    </row>
    <row r="7976" spans="1:40" x14ac:dyDescent="0.3">
      <c r="A7976" s="1">
        <v>46210.076157407406</v>
      </c>
      <c r="B7976" t="s">
        <v>40</v>
      </c>
      <c r="C7976" t="s">
        <v>41</v>
      </c>
      <c r="D7976" s="1">
        <v>46210.079074074078</v>
      </c>
      <c r="E7976" t="s">
        <v>42</v>
      </c>
      <c r="F7976" t="s">
        <v>43</v>
      </c>
      <c r="G7976" t="s">
        <v>43</v>
      </c>
      <c r="H7976" t="s">
        <v>43</v>
      </c>
      <c r="I7976" t="s">
        <v>4342</v>
      </c>
      <c r="J7976" t="s">
        <v>43</v>
      </c>
      <c r="K7976" t="s">
        <v>43</v>
      </c>
      <c r="L7976" t="s">
        <v>43</v>
      </c>
      <c r="M7976" t="s">
        <v>43</v>
      </c>
      <c r="N7976" t="s">
        <v>45</v>
      </c>
      <c r="O7976" t="s">
        <v>43</v>
      </c>
      <c r="P7976" t="s">
        <v>43</v>
      </c>
      <c r="Q7976" t="s">
        <v>43</v>
      </c>
      <c r="R7976" t="s">
        <v>43</v>
      </c>
      <c r="S7976" t="s">
        <v>43</v>
      </c>
      <c r="T7976" t="s">
        <v>43</v>
      </c>
      <c r="U7976" t="s">
        <v>43</v>
      </c>
      <c r="V7976" t="s">
        <v>43</v>
      </c>
      <c r="W7976" t="s">
        <v>43</v>
      </c>
      <c r="X7976" t="s">
        <v>43</v>
      </c>
      <c r="Y7976" t="s">
        <v>43</v>
      </c>
      <c r="Z7976" t="s">
        <v>43</v>
      </c>
      <c r="AA7976" t="s">
        <v>43</v>
      </c>
      <c r="AB7976" t="s">
        <v>43</v>
      </c>
      <c r="AC7976" t="s">
        <v>43</v>
      </c>
      <c r="AD7976" t="s">
        <v>43</v>
      </c>
      <c r="AE7976" t="s">
        <v>43</v>
      </c>
      <c r="AF7976" t="s">
        <v>43</v>
      </c>
      <c r="AG7976" t="s">
        <v>43</v>
      </c>
      <c r="AH7976" t="s">
        <v>43</v>
      </c>
      <c r="AI7976" t="s">
        <v>43</v>
      </c>
      <c r="AJ7976" t="s">
        <v>43</v>
      </c>
      <c r="AK7976" t="s">
        <v>43</v>
      </c>
      <c r="AL7976" t="s">
        <v>43</v>
      </c>
      <c r="AM7976" t="s">
        <v>43</v>
      </c>
      <c r="AN7976" t="str">
        <f>HYPERLINK("https://www.google.com/maps?q=10.78967857,79.5787735","Open Location")</f>
        <v>Open Location</v>
      </c>
    </row>
    <row r="7977" spans="1:40" x14ac:dyDescent="0.3">
      <c r="A7977" s="1">
        <v>46210.076041666667</v>
      </c>
      <c r="B7977" t="s">
        <v>40</v>
      </c>
      <c r="C7977" t="s">
        <v>41</v>
      </c>
      <c r="D7977" s="1">
        <v>46210.078715277778</v>
      </c>
      <c r="E7977" t="s">
        <v>42</v>
      </c>
      <c r="F7977" t="s">
        <v>43</v>
      </c>
      <c r="G7977" t="s">
        <v>43</v>
      </c>
      <c r="H7977" t="s">
        <v>43</v>
      </c>
      <c r="I7977" t="s">
        <v>4207</v>
      </c>
      <c r="J7977" t="s">
        <v>43</v>
      </c>
      <c r="K7977" t="s">
        <v>43</v>
      </c>
      <c r="L7977" t="s">
        <v>43</v>
      </c>
      <c r="M7977" t="s">
        <v>43</v>
      </c>
      <c r="N7977" t="s">
        <v>45</v>
      </c>
      <c r="O7977" t="s">
        <v>43</v>
      </c>
      <c r="P7977" t="s">
        <v>43</v>
      </c>
      <c r="Q7977" t="s">
        <v>43</v>
      </c>
      <c r="R7977" t="s">
        <v>43</v>
      </c>
      <c r="S7977" t="s">
        <v>43</v>
      </c>
      <c r="T7977" t="s">
        <v>43</v>
      </c>
      <c r="U7977" t="s">
        <v>43</v>
      </c>
      <c r="V7977" t="s">
        <v>43</v>
      </c>
      <c r="W7977" t="s">
        <v>43</v>
      </c>
      <c r="X7977" t="s">
        <v>43</v>
      </c>
      <c r="Y7977" t="s">
        <v>43</v>
      </c>
      <c r="Z7977" t="s">
        <v>43</v>
      </c>
      <c r="AA7977" t="s">
        <v>43</v>
      </c>
      <c r="AB7977" t="s">
        <v>43</v>
      </c>
      <c r="AC7977" t="s">
        <v>43</v>
      </c>
      <c r="AD7977" t="s">
        <v>43</v>
      </c>
      <c r="AE7977" t="s">
        <v>43</v>
      </c>
      <c r="AF7977" t="s">
        <v>43</v>
      </c>
      <c r="AG7977" t="s">
        <v>43</v>
      </c>
      <c r="AH7977" t="s">
        <v>43</v>
      </c>
      <c r="AI7977" t="s">
        <v>43</v>
      </c>
      <c r="AJ7977" t="s">
        <v>43</v>
      </c>
      <c r="AK7977" t="s">
        <v>43</v>
      </c>
      <c r="AL7977" t="s">
        <v>43</v>
      </c>
      <c r="AM7977" t="s">
        <v>43</v>
      </c>
      <c r="AN7977" t="str">
        <f>HYPERLINK("https://www.google.com/maps?q=10.78967762,79.57876587","Open Location")</f>
        <v>Open Location</v>
      </c>
    </row>
    <row r="7978" spans="1:40" x14ac:dyDescent="0.3">
      <c r="A7978" s="1">
        <v>46210.075925925928</v>
      </c>
      <c r="B7978" t="s">
        <v>40</v>
      </c>
      <c r="C7978" t="s">
        <v>41</v>
      </c>
      <c r="D7978" s="1">
        <v>46210.078831018516</v>
      </c>
      <c r="E7978" t="s">
        <v>42</v>
      </c>
      <c r="F7978" t="s">
        <v>43</v>
      </c>
      <c r="G7978" t="s">
        <v>43</v>
      </c>
      <c r="H7978" t="s">
        <v>43</v>
      </c>
      <c r="I7978" t="s">
        <v>4021</v>
      </c>
      <c r="J7978" t="s">
        <v>43</v>
      </c>
      <c r="K7978" t="s">
        <v>43</v>
      </c>
      <c r="L7978" t="s">
        <v>43</v>
      </c>
      <c r="M7978" t="s">
        <v>43</v>
      </c>
      <c r="N7978" t="s">
        <v>45</v>
      </c>
      <c r="O7978" t="s">
        <v>43</v>
      </c>
      <c r="P7978" t="s">
        <v>43</v>
      </c>
      <c r="Q7978" t="s">
        <v>43</v>
      </c>
      <c r="R7978" t="s">
        <v>43</v>
      </c>
      <c r="S7978" t="s">
        <v>43</v>
      </c>
      <c r="T7978" t="s">
        <v>43</v>
      </c>
      <c r="U7978" t="s">
        <v>43</v>
      </c>
      <c r="V7978" t="s">
        <v>43</v>
      </c>
      <c r="W7978" t="s">
        <v>43</v>
      </c>
      <c r="X7978" t="s">
        <v>43</v>
      </c>
      <c r="Y7978" t="s">
        <v>43</v>
      </c>
      <c r="Z7978" t="s">
        <v>43</v>
      </c>
      <c r="AA7978" t="s">
        <v>43</v>
      </c>
      <c r="AB7978" t="s">
        <v>43</v>
      </c>
      <c r="AC7978" t="s">
        <v>43</v>
      </c>
      <c r="AD7978" t="s">
        <v>43</v>
      </c>
      <c r="AE7978" t="s">
        <v>43</v>
      </c>
      <c r="AF7978" t="s">
        <v>43</v>
      </c>
      <c r="AG7978" t="s">
        <v>43</v>
      </c>
      <c r="AH7978" t="s">
        <v>43</v>
      </c>
      <c r="AI7978" t="s">
        <v>43</v>
      </c>
      <c r="AJ7978" t="s">
        <v>43</v>
      </c>
      <c r="AK7978" t="s">
        <v>43</v>
      </c>
      <c r="AL7978" t="s">
        <v>43</v>
      </c>
      <c r="AM7978" t="s">
        <v>43</v>
      </c>
      <c r="AN7978" t="str">
        <f>HYPERLINK("https://www.google.com/maps?q=10.78967857,79.57876587","Open Location")</f>
        <v>Open Location</v>
      </c>
    </row>
    <row r="7979" spans="1:40" x14ac:dyDescent="0.3">
      <c r="A7979" s="1">
        <v>46210.075810185182</v>
      </c>
      <c r="B7979" t="s">
        <v>40</v>
      </c>
      <c r="C7979" t="s">
        <v>41</v>
      </c>
      <c r="D7979" s="1">
        <v>46210.078692129631</v>
      </c>
      <c r="E7979" t="s">
        <v>42</v>
      </c>
      <c r="F7979" t="s">
        <v>43</v>
      </c>
      <c r="G7979" t="s">
        <v>43</v>
      </c>
      <c r="H7979" t="s">
        <v>43</v>
      </c>
      <c r="I7979" t="s">
        <v>43</v>
      </c>
      <c r="J7979" t="s">
        <v>43</v>
      </c>
      <c r="K7979" t="s">
        <v>43</v>
      </c>
      <c r="L7979" t="s">
        <v>43</v>
      </c>
      <c r="M7979" t="s">
        <v>43</v>
      </c>
      <c r="N7979" t="s">
        <v>45</v>
      </c>
      <c r="O7979" t="s">
        <v>43</v>
      </c>
      <c r="P7979" t="s">
        <v>43</v>
      </c>
      <c r="Q7979" t="s">
        <v>43</v>
      </c>
      <c r="R7979" t="s">
        <v>43</v>
      </c>
      <c r="S7979" t="s">
        <v>43</v>
      </c>
      <c r="T7979" t="s">
        <v>43</v>
      </c>
      <c r="U7979" t="s">
        <v>43</v>
      </c>
      <c r="V7979" t="s">
        <v>43</v>
      </c>
      <c r="W7979" t="s">
        <v>43</v>
      </c>
      <c r="X7979" t="s">
        <v>43</v>
      </c>
      <c r="Y7979" t="s">
        <v>43</v>
      </c>
      <c r="Z7979" t="s">
        <v>43</v>
      </c>
      <c r="AA7979" t="s">
        <v>43</v>
      </c>
      <c r="AB7979" t="s">
        <v>43</v>
      </c>
      <c r="AC7979" t="s">
        <v>43</v>
      </c>
      <c r="AD7979" t="s">
        <v>43</v>
      </c>
      <c r="AE7979" t="s">
        <v>43</v>
      </c>
      <c r="AF7979" t="s">
        <v>43</v>
      </c>
      <c r="AG7979" t="s">
        <v>43</v>
      </c>
      <c r="AH7979" t="s">
        <v>43</v>
      </c>
      <c r="AI7979" t="s">
        <v>43</v>
      </c>
      <c r="AJ7979" t="s">
        <v>43</v>
      </c>
      <c r="AK7979" t="s">
        <v>43</v>
      </c>
      <c r="AL7979" t="s">
        <v>43</v>
      </c>
      <c r="AM7979" t="s">
        <v>43</v>
      </c>
      <c r="AN7979" t="s">
        <v>43</v>
      </c>
    </row>
    <row r="7980" spans="1:40" x14ac:dyDescent="0.3">
      <c r="A7980" s="1">
        <v>46210.075694444444</v>
      </c>
      <c r="B7980" t="s">
        <v>40</v>
      </c>
      <c r="C7980" t="s">
        <v>41</v>
      </c>
      <c r="D7980" s="1">
        <v>46210.078634259262</v>
      </c>
      <c r="E7980" t="s">
        <v>42</v>
      </c>
      <c r="F7980" t="s">
        <v>43</v>
      </c>
      <c r="G7980" t="s">
        <v>43</v>
      </c>
      <c r="H7980" t="s">
        <v>43</v>
      </c>
      <c r="I7980" t="s">
        <v>4207</v>
      </c>
      <c r="J7980" t="s">
        <v>43</v>
      </c>
      <c r="K7980" t="s">
        <v>43</v>
      </c>
      <c r="L7980" t="s">
        <v>43</v>
      </c>
      <c r="M7980" t="s">
        <v>43</v>
      </c>
      <c r="N7980" t="s">
        <v>45</v>
      </c>
      <c r="O7980" t="s">
        <v>43</v>
      </c>
      <c r="P7980" t="s">
        <v>43</v>
      </c>
      <c r="Q7980" t="s">
        <v>43</v>
      </c>
      <c r="R7980" t="s">
        <v>43</v>
      </c>
      <c r="S7980" t="s">
        <v>43</v>
      </c>
      <c r="T7980" t="s">
        <v>43</v>
      </c>
      <c r="U7980" t="s">
        <v>43</v>
      </c>
      <c r="V7980" t="s">
        <v>43</v>
      </c>
      <c r="W7980" t="s">
        <v>43</v>
      </c>
      <c r="X7980" t="s">
        <v>43</v>
      </c>
      <c r="Y7980" t="s">
        <v>43</v>
      </c>
      <c r="Z7980" t="s">
        <v>43</v>
      </c>
      <c r="AA7980" t="s">
        <v>43</v>
      </c>
      <c r="AB7980" t="s">
        <v>43</v>
      </c>
      <c r="AC7980" t="s">
        <v>43</v>
      </c>
      <c r="AD7980" t="s">
        <v>43</v>
      </c>
      <c r="AE7980" t="s">
        <v>43</v>
      </c>
      <c r="AF7980" t="s">
        <v>43</v>
      </c>
      <c r="AG7980" t="s">
        <v>43</v>
      </c>
      <c r="AH7980" t="s">
        <v>43</v>
      </c>
      <c r="AI7980" t="s">
        <v>43</v>
      </c>
      <c r="AJ7980" t="s">
        <v>43</v>
      </c>
      <c r="AK7980" t="s">
        <v>43</v>
      </c>
      <c r="AL7980" t="s">
        <v>43</v>
      </c>
      <c r="AM7980" t="s">
        <v>43</v>
      </c>
      <c r="AN7980" t="str">
        <f>HYPERLINK("https://www.google.com/maps?q=10.78967762,79.57876587","Open Location")</f>
        <v>Open Location</v>
      </c>
    </row>
    <row r="7981" spans="1:40" x14ac:dyDescent="0.3">
      <c r="A7981" s="1">
        <v>46210.075578703705</v>
      </c>
      <c r="B7981" t="s">
        <v>40</v>
      </c>
      <c r="C7981" t="s">
        <v>41</v>
      </c>
      <c r="D7981" s="1">
        <v>46210.078425925924</v>
      </c>
      <c r="E7981" t="s">
        <v>42</v>
      </c>
      <c r="F7981" t="s">
        <v>43</v>
      </c>
      <c r="G7981" t="s">
        <v>43</v>
      </c>
      <c r="H7981" t="s">
        <v>43</v>
      </c>
      <c r="I7981" t="s">
        <v>4020</v>
      </c>
      <c r="J7981" t="s">
        <v>43</v>
      </c>
      <c r="K7981" t="s">
        <v>43</v>
      </c>
      <c r="L7981" t="s">
        <v>43</v>
      </c>
      <c r="M7981" t="s">
        <v>43</v>
      </c>
      <c r="N7981" t="s">
        <v>45</v>
      </c>
      <c r="O7981" t="s">
        <v>43</v>
      </c>
      <c r="P7981" t="s">
        <v>43</v>
      </c>
      <c r="Q7981" t="s">
        <v>43</v>
      </c>
      <c r="R7981" t="s">
        <v>43</v>
      </c>
      <c r="S7981" t="s">
        <v>43</v>
      </c>
      <c r="T7981" t="s">
        <v>43</v>
      </c>
      <c r="U7981" t="s">
        <v>43</v>
      </c>
      <c r="V7981" t="s">
        <v>43</v>
      </c>
      <c r="W7981" t="s">
        <v>43</v>
      </c>
      <c r="X7981" t="s">
        <v>43</v>
      </c>
      <c r="Y7981" t="s">
        <v>43</v>
      </c>
      <c r="Z7981" t="s">
        <v>43</v>
      </c>
      <c r="AA7981" t="s">
        <v>43</v>
      </c>
      <c r="AB7981" t="s">
        <v>43</v>
      </c>
      <c r="AC7981" t="s">
        <v>43</v>
      </c>
      <c r="AD7981" t="s">
        <v>43</v>
      </c>
      <c r="AE7981" t="s">
        <v>43</v>
      </c>
      <c r="AF7981" t="s">
        <v>43</v>
      </c>
      <c r="AG7981" t="s">
        <v>43</v>
      </c>
      <c r="AH7981" t="s">
        <v>43</v>
      </c>
      <c r="AI7981" t="s">
        <v>43</v>
      </c>
      <c r="AJ7981" t="s">
        <v>43</v>
      </c>
      <c r="AK7981" t="s">
        <v>43</v>
      </c>
      <c r="AL7981" t="s">
        <v>43</v>
      </c>
      <c r="AM7981" t="s">
        <v>43</v>
      </c>
      <c r="AN7981" t="str">
        <f>HYPERLINK("https://www.google.com/maps?q=10.78967476,79.57876587","Open Location")</f>
        <v>Open Location</v>
      </c>
    </row>
    <row r="7982" spans="1:40" x14ac:dyDescent="0.3">
      <c r="A7982" s="1">
        <v>46210.075462962966</v>
      </c>
      <c r="B7982" t="s">
        <v>40</v>
      </c>
      <c r="C7982" t="s">
        <v>41</v>
      </c>
      <c r="D7982" s="1">
        <v>46210.0784375</v>
      </c>
      <c r="E7982" t="s">
        <v>42</v>
      </c>
      <c r="F7982" t="s">
        <v>43</v>
      </c>
      <c r="G7982" t="s">
        <v>43</v>
      </c>
      <c r="H7982" t="s">
        <v>43</v>
      </c>
      <c r="I7982" t="s">
        <v>4350</v>
      </c>
      <c r="J7982" t="s">
        <v>43</v>
      </c>
      <c r="K7982" t="s">
        <v>43</v>
      </c>
      <c r="L7982" t="s">
        <v>43</v>
      </c>
      <c r="M7982" t="s">
        <v>43</v>
      </c>
      <c r="N7982" t="s">
        <v>45</v>
      </c>
      <c r="O7982" t="s">
        <v>43</v>
      </c>
      <c r="P7982" t="s">
        <v>43</v>
      </c>
      <c r="Q7982" t="s">
        <v>43</v>
      </c>
      <c r="R7982" t="s">
        <v>43</v>
      </c>
      <c r="S7982" t="s">
        <v>43</v>
      </c>
      <c r="T7982" t="s">
        <v>43</v>
      </c>
      <c r="U7982" t="s">
        <v>43</v>
      </c>
      <c r="V7982" t="s">
        <v>43</v>
      </c>
      <c r="W7982" t="s">
        <v>43</v>
      </c>
      <c r="X7982" t="s">
        <v>43</v>
      </c>
      <c r="Y7982" t="s">
        <v>43</v>
      </c>
      <c r="Z7982" t="s">
        <v>43</v>
      </c>
      <c r="AA7982" t="s">
        <v>43</v>
      </c>
      <c r="AB7982" t="s">
        <v>43</v>
      </c>
      <c r="AC7982" t="s">
        <v>43</v>
      </c>
      <c r="AD7982" t="s">
        <v>43</v>
      </c>
      <c r="AE7982" t="s">
        <v>43</v>
      </c>
      <c r="AF7982" t="s">
        <v>43</v>
      </c>
      <c r="AG7982" t="s">
        <v>43</v>
      </c>
      <c r="AH7982" t="s">
        <v>43</v>
      </c>
      <c r="AI7982" t="s">
        <v>43</v>
      </c>
      <c r="AJ7982" t="s">
        <v>43</v>
      </c>
      <c r="AK7982" t="s">
        <v>43</v>
      </c>
      <c r="AL7982" t="s">
        <v>43</v>
      </c>
      <c r="AM7982" t="s">
        <v>43</v>
      </c>
      <c r="AN7982" t="str">
        <f>HYPERLINK("https://www.google.com/maps?q=10.78967381,79.57876587","Open Location")</f>
        <v>Open Location</v>
      </c>
    </row>
    <row r="7983" spans="1:40" x14ac:dyDescent="0.3">
      <c r="A7983" s="1">
        <v>46210.07534722222</v>
      </c>
      <c r="B7983" t="s">
        <v>40</v>
      </c>
      <c r="C7983" t="s">
        <v>41</v>
      </c>
      <c r="D7983" s="1">
        <v>46210.078055555554</v>
      </c>
      <c r="E7983" t="s">
        <v>42</v>
      </c>
      <c r="F7983" t="s">
        <v>43</v>
      </c>
      <c r="G7983" t="s">
        <v>43</v>
      </c>
      <c r="H7983" t="s">
        <v>43</v>
      </c>
      <c r="I7983" t="s">
        <v>4020</v>
      </c>
      <c r="J7983" t="s">
        <v>43</v>
      </c>
      <c r="K7983" t="s">
        <v>43</v>
      </c>
      <c r="L7983" t="s">
        <v>43</v>
      </c>
      <c r="M7983" t="s">
        <v>43</v>
      </c>
      <c r="N7983" t="s">
        <v>45</v>
      </c>
      <c r="O7983" t="s">
        <v>43</v>
      </c>
      <c r="P7983" t="s">
        <v>43</v>
      </c>
      <c r="Q7983" t="s">
        <v>43</v>
      </c>
      <c r="R7983" t="s">
        <v>43</v>
      </c>
      <c r="S7983" t="s">
        <v>43</v>
      </c>
      <c r="T7983" t="s">
        <v>43</v>
      </c>
      <c r="U7983" t="s">
        <v>43</v>
      </c>
      <c r="V7983" t="s">
        <v>43</v>
      </c>
      <c r="W7983" t="s">
        <v>43</v>
      </c>
      <c r="X7983" t="s">
        <v>43</v>
      </c>
      <c r="Y7983" t="s">
        <v>43</v>
      </c>
      <c r="Z7983" t="s">
        <v>43</v>
      </c>
      <c r="AA7983" t="s">
        <v>43</v>
      </c>
      <c r="AB7983" t="s">
        <v>43</v>
      </c>
      <c r="AC7983" t="s">
        <v>43</v>
      </c>
      <c r="AD7983" t="s">
        <v>43</v>
      </c>
      <c r="AE7983" t="s">
        <v>43</v>
      </c>
      <c r="AF7983" t="s">
        <v>43</v>
      </c>
      <c r="AG7983" t="s">
        <v>43</v>
      </c>
      <c r="AH7983" t="s">
        <v>43</v>
      </c>
      <c r="AI7983" t="s">
        <v>43</v>
      </c>
      <c r="AJ7983" t="s">
        <v>43</v>
      </c>
      <c r="AK7983" t="s">
        <v>43</v>
      </c>
      <c r="AL7983" t="s">
        <v>43</v>
      </c>
      <c r="AM7983" t="s">
        <v>43</v>
      </c>
      <c r="AN7983" t="str">
        <f>HYPERLINK("https://www.google.com/maps?q=10.78967476,79.57876587","Open Location")</f>
        <v>Open Location</v>
      </c>
    </row>
    <row r="7984" spans="1:40" x14ac:dyDescent="0.3">
      <c r="A7984" s="1">
        <v>46210.075231481482</v>
      </c>
      <c r="B7984" t="s">
        <v>40</v>
      </c>
      <c r="C7984" t="s">
        <v>41</v>
      </c>
      <c r="D7984" s="1">
        <v>46210.078333333331</v>
      </c>
      <c r="E7984" t="s">
        <v>42</v>
      </c>
      <c r="F7984" t="s">
        <v>43</v>
      </c>
      <c r="G7984" t="s">
        <v>43</v>
      </c>
      <c r="H7984" t="s">
        <v>43</v>
      </c>
      <c r="I7984" t="s">
        <v>4238</v>
      </c>
      <c r="J7984" t="s">
        <v>43</v>
      </c>
      <c r="K7984" t="s">
        <v>43</v>
      </c>
      <c r="L7984" t="s">
        <v>43</v>
      </c>
      <c r="M7984" t="s">
        <v>43</v>
      </c>
      <c r="N7984" t="s">
        <v>45</v>
      </c>
      <c r="O7984" t="s">
        <v>43</v>
      </c>
      <c r="P7984" t="s">
        <v>43</v>
      </c>
      <c r="Q7984" t="s">
        <v>43</v>
      </c>
      <c r="R7984" t="s">
        <v>43</v>
      </c>
      <c r="S7984" t="s">
        <v>43</v>
      </c>
      <c r="T7984" t="s">
        <v>43</v>
      </c>
      <c r="U7984" t="s">
        <v>43</v>
      </c>
      <c r="V7984" t="s">
        <v>43</v>
      </c>
      <c r="W7984" t="s">
        <v>43</v>
      </c>
      <c r="X7984" t="s">
        <v>43</v>
      </c>
      <c r="Y7984" t="s">
        <v>43</v>
      </c>
      <c r="Z7984" t="s">
        <v>43</v>
      </c>
      <c r="AA7984" t="s">
        <v>43</v>
      </c>
      <c r="AB7984" t="s">
        <v>43</v>
      </c>
      <c r="AC7984" t="s">
        <v>43</v>
      </c>
      <c r="AD7984" t="s">
        <v>43</v>
      </c>
      <c r="AE7984" t="s">
        <v>43</v>
      </c>
      <c r="AF7984" t="s">
        <v>43</v>
      </c>
      <c r="AG7984" t="s">
        <v>43</v>
      </c>
      <c r="AH7984" t="s">
        <v>43</v>
      </c>
      <c r="AI7984" t="s">
        <v>43</v>
      </c>
      <c r="AJ7984" t="s">
        <v>43</v>
      </c>
      <c r="AK7984" t="s">
        <v>43</v>
      </c>
      <c r="AL7984" t="s">
        <v>43</v>
      </c>
      <c r="AM7984" t="s">
        <v>43</v>
      </c>
      <c r="AN7984" t="str">
        <f>HYPERLINK("https://www.google.com/maps?q=10.7896719,79.57876587","Open Location")</f>
        <v>Open Location</v>
      </c>
    </row>
    <row r="7985" spans="1:40" x14ac:dyDescent="0.3">
      <c r="A7985" s="1">
        <v>46210.075115740743</v>
      </c>
      <c r="B7985" t="s">
        <v>40</v>
      </c>
      <c r="C7985" t="s">
        <v>41</v>
      </c>
      <c r="D7985" s="1">
        <v>46210.078055555554</v>
      </c>
      <c r="E7985" t="s">
        <v>42</v>
      </c>
      <c r="F7985" t="s">
        <v>43</v>
      </c>
      <c r="G7985" t="s">
        <v>43</v>
      </c>
      <c r="H7985" t="s">
        <v>43</v>
      </c>
      <c r="I7985" t="s">
        <v>43</v>
      </c>
      <c r="J7985" t="s">
        <v>43</v>
      </c>
      <c r="K7985" t="s">
        <v>43</v>
      </c>
      <c r="L7985" t="s">
        <v>43</v>
      </c>
      <c r="M7985" t="s">
        <v>43</v>
      </c>
      <c r="N7985" t="s">
        <v>45</v>
      </c>
      <c r="O7985" t="s">
        <v>43</v>
      </c>
      <c r="P7985" t="s">
        <v>43</v>
      </c>
      <c r="Q7985" t="s">
        <v>43</v>
      </c>
      <c r="R7985" t="s">
        <v>43</v>
      </c>
      <c r="S7985" t="s">
        <v>43</v>
      </c>
      <c r="T7985" t="s">
        <v>43</v>
      </c>
      <c r="U7985" t="s">
        <v>43</v>
      </c>
      <c r="V7985" t="s">
        <v>43</v>
      </c>
      <c r="W7985" t="s">
        <v>43</v>
      </c>
      <c r="X7985" t="s">
        <v>43</v>
      </c>
      <c r="Y7985" t="s">
        <v>43</v>
      </c>
      <c r="Z7985" t="s">
        <v>43</v>
      </c>
      <c r="AA7985" t="s">
        <v>43</v>
      </c>
      <c r="AB7985" t="s">
        <v>43</v>
      </c>
      <c r="AC7985" t="s">
        <v>43</v>
      </c>
      <c r="AD7985" t="s">
        <v>43</v>
      </c>
      <c r="AE7985" t="s">
        <v>43</v>
      </c>
      <c r="AF7985" t="s">
        <v>43</v>
      </c>
      <c r="AG7985" t="s">
        <v>43</v>
      </c>
      <c r="AH7985" t="s">
        <v>43</v>
      </c>
      <c r="AI7985" t="s">
        <v>43</v>
      </c>
      <c r="AJ7985" t="s">
        <v>43</v>
      </c>
      <c r="AK7985" t="s">
        <v>43</v>
      </c>
      <c r="AL7985" t="s">
        <v>43</v>
      </c>
      <c r="AM7985" t="s">
        <v>43</v>
      </c>
      <c r="AN7985" t="s">
        <v>43</v>
      </c>
    </row>
    <row r="7986" spans="1:40" x14ac:dyDescent="0.3">
      <c r="A7986" s="1">
        <v>46210.074999999997</v>
      </c>
      <c r="B7986" t="s">
        <v>40</v>
      </c>
      <c r="C7986" t="s">
        <v>41</v>
      </c>
      <c r="D7986" s="1">
        <v>46210.078055555554</v>
      </c>
      <c r="E7986" t="s">
        <v>42</v>
      </c>
      <c r="F7986" t="s">
        <v>43</v>
      </c>
      <c r="G7986" t="s">
        <v>43</v>
      </c>
      <c r="H7986" t="s">
        <v>43</v>
      </c>
      <c r="I7986" t="s">
        <v>4205</v>
      </c>
      <c r="J7986" t="s">
        <v>43</v>
      </c>
      <c r="K7986" t="s">
        <v>43</v>
      </c>
      <c r="L7986" t="s">
        <v>43</v>
      </c>
      <c r="M7986" t="s">
        <v>43</v>
      </c>
      <c r="N7986" t="s">
        <v>45</v>
      </c>
      <c r="O7986" t="s">
        <v>43</v>
      </c>
      <c r="P7986" t="s">
        <v>43</v>
      </c>
      <c r="Q7986" t="s">
        <v>43</v>
      </c>
      <c r="R7986" t="s">
        <v>43</v>
      </c>
      <c r="S7986" t="s">
        <v>43</v>
      </c>
      <c r="T7986" t="s">
        <v>43</v>
      </c>
      <c r="U7986" t="s">
        <v>43</v>
      </c>
      <c r="V7986" t="s">
        <v>43</v>
      </c>
      <c r="W7986" t="s">
        <v>43</v>
      </c>
      <c r="X7986" t="s">
        <v>43</v>
      </c>
      <c r="Y7986" t="s">
        <v>43</v>
      </c>
      <c r="Z7986" t="s">
        <v>43</v>
      </c>
      <c r="AA7986" t="s">
        <v>43</v>
      </c>
      <c r="AB7986" t="s">
        <v>43</v>
      </c>
      <c r="AC7986" t="s">
        <v>43</v>
      </c>
      <c r="AD7986" t="s">
        <v>43</v>
      </c>
      <c r="AE7986" t="s">
        <v>43</v>
      </c>
      <c r="AF7986" t="s">
        <v>43</v>
      </c>
      <c r="AG7986" t="s">
        <v>43</v>
      </c>
      <c r="AH7986" t="s">
        <v>43</v>
      </c>
      <c r="AI7986" t="s">
        <v>43</v>
      </c>
      <c r="AJ7986" t="s">
        <v>43</v>
      </c>
      <c r="AK7986" t="s">
        <v>43</v>
      </c>
      <c r="AL7986" t="s">
        <v>43</v>
      </c>
      <c r="AM7986" t="s">
        <v>43</v>
      </c>
      <c r="AN7986" t="str">
        <f>HYPERLINK("https://www.google.com/maps?q=10.78966999,79.57876587","Open Location")</f>
        <v>Open Location</v>
      </c>
    </row>
    <row r="7987" spans="1:40" x14ac:dyDescent="0.3">
      <c r="A7987" s="1">
        <v>46210.074884259258</v>
      </c>
      <c r="B7987" t="s">
        <v>40</v>
      </c>
      <c r="C7987" t="s">
        <v>41</v>
      </c>
      <c r="D7987" s="1">
        <v>46210.077939814815</v>
      </c>
      <c r="E7987" t="s">
        <v>42</v>
      </c>
      <c r="F7987" t="s">
        <v>43</v>
      </c>
      <c r="G7987" t="s">
        <v>43</v>
      </c>
      <c r="H7987" t="s">
        <v>43</v>
      </c>
      <c r="I7987" t="s">
        <v>4038</v>
      </c>
      <c r="J7987" t="s">
        <v>43</v>
      </c>
      <c r="K7987" t="s">
        <v>43</v>
      </c>
      <c r="L7987" t="s">
        <v>43</v>
      </c>
      <c r="M7987" t="s">
        <v>43</v>
      </c>
      <c r="N7987" t="s">
        <v>45</v>
      </c>
      <c r="O7987" t="s">
        <v>43</v>
      </c>
      <c r="P7987" t="s">
        <v>43</v>
      </c>
      <c r="Q7987" t="s">
        <v>43</v>
      </c>
      <c r="R7987" t="s">
        <v>43</v>
      </c>
      <c r="S7987" t="s">
        <v>43</v>
      </c>
      <c r="T7987" t="s">
        <v>43</v>
      </c>
      <c r="U7987" t="s">
        <v>43</v>
      </c>
      <c r="V7987" t="s">
        <v>43</v>
      </c>
      <c r="W7987" t="s">
        <v>43</v>
      </c>
      <c r="X7987" t="s">
        <v>43</v>
      </c>
      <c r="Y7987" t="s">
        <v>43</v>
      </c>
      <c r="Z7987" t="s">
        <v>43</v>
      </c>
      <c r="AA7987" t="s">
        <v>43</v>
      </c>
      <c r="AB7987" t="s">
        <v>43</v>
      </c>
      <c r="AC7987" t="s">
        <v>43</v>
      </c>
      <c r="AD7987" t="s">
        <v>43</v>
      </c>
      <c r="AE7987" t="s">
        <v>43</v>
      </c>
      <c r="AF7987" t="s">
        <v>43</v>
      </c>
      <c r="AG7987" t="s">
        <v>43</v>
      </c>
      <c r="AH7987" t="s">
        <v>43</v>
      </c>
      <c r="AI7987" t="s">
        <v>43</v>
      </c>
      <c r="AJ7987" t="s">
        <v>43</v>
      </c>
      <c r="AK7987" t="s">
        <v>43</v>
      </c>
      <c r="AL7987" t="s">
        <v>43</v>
      </c>
      <c r="AM7987" t="s">
        <v>43</v>
      </c>
      <c r="AN7987" t="str">
        <f>HYPERLINK("https://www.google.com/maps?q=10.78966808,79.57876587","Open Location")</f>
        <v>Open Location</v>
      </c>
    </row>
    <row r="7988" spans="1:40" x14ac:dyDescent="0.3">
      <c r="A7988" s="1">
        <v>46210.07476851852</v>
      </c>
      <c r="B7988" t="s">
        <v>40</v>
      </c>
      <c r="C7988" t="s">
        <v>41</v>
      </c>
      <c r="D7988" s="1">
        <v>46210.077939814815</v>
      </c>
      <c r="E7988" t="s">
        <v>42</v>
      </c>
      <c r="F7988" t="s">
        <v>43</v>
      </c>
      <c r="G7988" t="s">
        <v>43</v>
      </c>
      <c r="H7988" t="s">
        <v>43</v>
      </c>
      <c r="I7988" t="s">
        <v>4035</v>
      </c>
      <c r="J7988" t="s">
        <v>43</v>
      </c>
      <c r="K7988" t="s">
        <v>43</v>
      </c>
      <c r="L7988" t="s">
        <v>43</v>
      </c>
      <c r="M7988" t="s">
        <v>43</v>
      </c>
      <c r="N7988" t="s">
        <v>45</v>
      </c>
      <c r="O7988" t="s">
        <v>43</v>
      </c>
      <c r="P7988" t="s">
        <v>43</v>
      </c>
      <c r="Q7988" t="s">
        <v>43</v>
      </c>
      <c r="R7988" t="s">
        <v>43</v>
      </c>
      <c r="S7988" t="s">
        <v>43</v>
      </c>
      <c r="T7988" t="s">
        <v>43</v>
      </c>
      <c r="U7988" t="s">
        <v>43</v>
      </c>
      <c r="V7988" t="s">
        <v>43</v>
      </c>
      <c r="W7988" t="s">
        <v>43</v>
      </c>
      <c r="X7988" t="s">
        <v>43</v>
      </c>
      <c r="Y7988" t="s">
        <v>43</v>
      </c>
      <c r="Z7988" t="s">
        <v>43</v>
      </c>
      <c r="AA7988" t="s">
        <v>43</v>
      </c>
      <c r="AB7988" t="s">
        <v>43</v>
      </c>
      <c r="AC7988" t="s">
        <v>43</v>
      </c>
      <c r="AD7988" t="s">
        <v>43</v>
      </c>
      <c r="AE7988" t="s">
        <v>43</v>
      </c>
      <c r="AF7988" t="s">
        <v>43</v>
      </c>
      <c r="AG7988" t="s">
        <v>43</v>
      </c>
      <c r="AH7988" t="s">
        <v>43</v>
      </c>
      <c r="AI7988" t="s">
        <v>43</v>
      </c>
      <c r="AJ7988" t="s">
        <v>43</v>
      </c>
      <c r="AK7988" t="s">
        <v>43</v>
      </c>
      <c r="AL7988" t="s">
        <v>43</v>
      </c>
      <c r="AM7988" t="s">
        <v>43</v>
      </c>
      <c r="AN7988" t="str">
        <f>HYPERLINK("https://www.google.com/maps?q=10.78966999,79.5787735","Open Location")</f>
        <v>Open Location</v>
      </c>
    </row>
    <row r="7989" spans="1:40" x14ac:dyDescent="0.3">
      <c r="A7989" s="1">
        <v>46210.074652777781</v>
      </c>
      <c r="B7989" t="s">
        <v>40</v>
      </c>
      <c r="C7989" t="s">
        <v>41</v>
      </c>
      <c r="D7989" s="1">
        <v>46210.077337962961</v>
      </c>
      <c r="E7989" t="s">
        <v>42</v>
      </c>
      <c r="F7989" t="s">
        <v>43</v>
      </c>
      <c r="G7989" t="s">
        <v>43</v>
      </c>
      <c r="H7989" t="s">
        <v>43</v>
      </c>
      <c r="I7989" t="s">
        <v>4025</v>
      </c>
      <c r="J7989" t="s">
        <v>43</v>
      </c>
      <c r="K7989" t="s">
        <v>43</v>
      </c>
      <c r="L7989" t="s">
        <v>43</v>
      </c>
      <c r="M7989" t="s">
        <v>43</v>
      </c>
      <c r="N7989" t="s">
        <v>45</v>
      </c>
      <c r="O7989" t="s">
        <v>43</v>
      </c>
      <c r="P7989" t="s">
        <v>43</v>
      </c>
      <c r="Q7989" t="s">
        <v>43</v>
      </c>
      <c r="R7989" t="s">
        <v>43</v>
      </c>
      <c r="S7989" t="s">
        <v>43</v>
      </c>
      <c r="T7989" t="s">
        <v>43</v>
      </c>
      <c r="U7989" t="s">
        <v>43</v>
      </c>
      <c r="V7989" t="s">
        <v>43</v>
      </c>
      <c r="W7989" t="s">
        <v>43</v>
      </c>
      <c r="X7989" t="s">
        <v>43</v>
      </c>
      <c r="Y7989" t="s">
        <v>43</v>
      </c>
      <c r="Z7989" t="s">
        <v>43</v>
      </c>
      <c r="AA7989" t="s">
        <v>43</v>
      </c>
      <c r="AB7989" t="s">
        <v>43</v>
      </c>
      <c r="AC7989" t="s">
        <v>43</v>
      </c>
      <c r="AD7989" t="s">
        <v>43</v>
      </c>
      <c r="AE7989" t="s">
        <v>43</v>
      </c>
      <c r="AF7989" t="s">
        <v>43</v>
      </c>
      <c r="AG7989" t="s">
        <v>43</v>
      </c>
      <c r="AH7989" t="s">
        <v>43</v>
      </c>
      <c r="AI7989" t="s">
        <v>43</v>
      </c>
      <c r="AJ7989" t="s">
        <v>43</v>
      </c>
      <c r="AK7989" t="s">
        <v>43</v>
      </c>
      <c r="AL7989" t="s">
        <v>43</v>
      </c>
      <c r="AM7989" t="s">
        <v>43</v>
      </c>
      <c r="AN7989" t="str">
        <f>HYPERLINK("https://www.google.com/maps?q=10.78966713,79.5787735","Open Location")</f>
        <v>Open Location</v>
      </c>
    </row>
    <row r="7990" spans="1:40" x14ac:dyDescent="0.3">
      <c r="A7990" s="1">
        <v>46210.074537037035</v>
      </c>
      <c r="B7990" t="s">
        <v>40</v>
      </c>
      <c r="C7990" t="s">
        <v>41</v>
      </c>
      <c r="D7990" s="1">
        <v>46210.077326388891</v>
      </c>
      <c r="E7990" t="s">
        <v>42</v>
      </c>
      <c r="F7990" t="s">
        <v>43</v>
      </c>
      <c r="G7990" t="s">
        <v>43</v>
      </c>
      <c r="H7990" t="s">
        <v>43</v>
      </c>
      <c r="I7990" t="s">
        <v>3995</v>
      </c>
      <c r="J7990" t="s">
        <v>43</v>
      </c>
      <c r="K7990" t="s">
        <v>43</v>
      </c>
      <c r="L7990" t="s">
        <v>43</v>
      </c>
      <c r="M7990" t="s">
        <v>43</v>
      </c>
      <c r="N7990" t="s">
        <v>45</v>
      </c>
      <c r="O7990" t="s">
        <v>43</v>
      </c>
      <c r="P7990" t="s">
        <v>43</v>
      </c>
      <c r="Q7990" t="s">
        <v>43</v>
      </c>
      <c r="R7990" t="s">
        <v>43</v>
      </c>
      <c r="S7990" t="s">
        <v>43</v>
      </c>
      <c r="T7990" t="s">
        <v>43</v>
      </c>
      <c r="U7990" t="s">
        <v>43</v>
      </c>
      <c r="V7990" t="s">
        <v>43</v>
      </c>
      <c r="W7990" t="s">
        <v>43</v>
      </c>
      <c r="X7990" t="s">
        <v>43</v>
      </c>
      <c r="Y7990" t="s">
        <v>43</v>
      </c>
      <c r="Z7990" t="s">
        <v>43</v>
      </c>
      <c r="AA7990" t="s">
        <v>43</v>
      </c>
      <c r="AB7990" t="s">
        <v>43</v>
      </c>
      <c r="AC7990" t="s">
        <v>43</v>
      </c>
      <c r="AD7990" t="s">
        <v>43</v>
      </c>
      <c r="AE7990" t="s">
        <v>43</v>
      </c>
      <c r="AF7990" t="s">
        <v>43</v>
      </c>
      <c r="AG7990" t="s">
        <v>43</v>
      </c>
      <c r="AH7990" t="s">
        <v>43</v>
      </c>
      <c r="AI7990" t="s">
        <v>43</v>
      </c>
      <c r="AJ7990" t="s">
        <v>43</v>
      </c>
      <c r="AK7990" t="s">
        <v>43</v>
      </c>
      <c r="AL7990" t="s">
        <v>43</v>
      </c>
      <c r="AM7990" t="s">
        <v>43</v>
      </c>
      <c r="AN7990" t="str">
        <f>HYPERLINK("https://www.google.com/maps?q=10.78966427,79.5787735","Open Location")</f>
        <v>Open Location</v>
      </c>
    </row>
    <row r="7991" spans="1:40" x14ac:dyDescent="0.3">
      <c r="A7991" s="1">
        <v>46210.074421296296</v>
      </c>
      <c r="B7991" t="s">
        <v>40</v>
      </c>
      <c r="C7991" t="s">
        <v>41</v>
      </c>
      <c r="D7991" s="1">
        <v>46210.077326388891</v>
      </c>
      <c r="E7991" t="s">
        <v>42</v>
      </c>
      <c r="F7991" t="s">
        <v>43</v>
      </c>
      <c r="G7991" t="s">
        <v>43</v>
      </c>
      <c r="H7991" t="s">
        <v>43</v>
      </c>
      <c r="I7991" t="s">
        <v>43</v>
      </c>
      <c r="J7991" t="s">
        <v>43</v>
      </c>
      <c r="K7991" t="s">
        <v>43</v>
      </c>
      <c r="L7991" t="s">
        <v>43</v>
      </c>
      <c r="M7991" t="s">
        <v>43</v>
      </c>
      <c r="N7991" t="s">
        <v>45</v>
      </c>
      <c r="O7991" t="s">
        <v>43</v>
      </c>
      <c r="P7991" t="s">
        <v>43</v>
      </c>
      <c r="Q7991" t="s">
        <v>43</v>
      </c>
      <c r="R7991" t="s">
        <v>43</v>
      </c>
      <c r="S7991" t="s">
        <v>43</v>
      </c>
      <c r="T7991" t="s">
        <v>43</v>
      </c>
      <c r="U7991" t="s">
        <v>43</v>
      </c>
      <c r="V7991" t="s">
        <v>43</v>
      </c>
      <c r="W7991" t="s">
        <v>43</v>
      </c>
      <c r="X7991" t="s">
        <v>43</v>
      </c>
      <c r="Y7991" t="s">
        <v>43</v>
      </c>
      <c r="Z7991" t="s">
        <v>43</v>
      </c>
      <c r="AA7991" t="s">
        <v>43</v>
      </c>
      <c r="AB7991" t="s">
        <v>43</v>
      </c>
      <c r="AC7991" t="s">
        <v>43</v>
      </c>
      <c r="AD7991" t="s">
        <v>43</v>
      </c>
      <c r="AE7991" t="s">
        <v>43</v>
      </c>
      <c r="AF7991" t="s">
        <v>43</v>
      </c>
      <c r="AG7991" t="s">
        <v>43</v>
      </c>
      <c r="AH7991" t="s">
        <v>43</v>
      </c>
      <c r="AI7991" t="s">
        <v>43</v>
      </c>
      <c r="AJ7991" t="s">
        <v>43</v>
      </c>
      <c r="AK7991" t="s">
        <v>43</v>
      </c>
      <c r="AL7991" t="s">
        <v>43</v>
      </c>
      <c r="AM7991" t="s">
        <v>43</v>
      </c>
      <c r="AN7991" t="s">
        <v>43</v>
      </c>
    </row>
    <row r="7992" spans="1:40" x14ac:dyDescent="0.3">
      <c r="A7992" s="1">
        <v>46210.074305555558</v>
      </c>
      <c r="B7992" t="s">
        <v>40</v>
      </c>
      <c r="C7992" t="s">
        <v>41</v>
      </c>
      <c r="D7992" s="1">
        <v>46210.077326388891</v>
      </c>
      <c r="E7992" t="s">
        <v>42</v>
      </c>
      <c r="F7992" t="s">
        <v>43</v>
      </c>
      <c r="G7992" t="s">
        <v>43</v>
      </c>
      <c r="H7992" t="s">
        <v>43</v>
      </c>
      <c r="I7992" t="s">
        <v>4037</v>
      </c>
      <c r="J7992" t="s">
        <v>43</v>
      </c>
      <c r="K7992" t="s">
        <v>43</v>
      </c>
      <c r="L7992" t="s">
        <v>43</v>
      </c>
      <c r="M7992" t="s">
        <v>43</v>
      </c>
      <c r="N7992" t="s">
        <v>45</v>
      </c>
      <c r="O7992" t="s">
        <v>43</v>
      </c>
      <c r="P7992" t="s">
        <v>43</v>
      </c>
      <c r="Q7992" t="s">
        <v>43</v>
      </c>
      <c r="R7992" t="s">
        <v>43</v>
      </c>
      <c r="S7992" t="s">
        <v>43</v>
      </c>
      <c r="T7992" t="s">
        <v>43</v>
      </c>
      <c r="U7992" t="s">
        <v>43</v>
      </c>
      <c r="V7992" t="s">
        <v>43</v>
      </c>
      <c r="W7992" t="s">
        <v>43</v>
      </c>
      <c r="X7992" t="s">
        <v>43</v>
      </c>
      <c r="Y7992" t="s">
        <v>43</v>
      </c>
      <c r="Z7992" t="s">
        <v>43</v>
      </c>
      <c r="AA7992" t="s">
        <v>43</v>
      </c>
      <c r="AB7992" t="s">
        <v>43</v>
      </c>
      <c r="AC7992" t="s">
        <v>43</v>
      </c>
      <c r="AD7992" t="s">
        <v>43</v>
      </c>
      <c r="AE7992" t="s">
        <v>43</v>
      </c>
      <c r="AF7992" t="s">
        <v>43</v>
      </c>
      <c r="AG7992" t="s">
        <v>43</v>
      </c>
      <c r="AH7992" t="s">
        <v>43</v>
      </c>
      <c r="AI7992" t="s">
        <v>43</v>
      </c>
      <c r="AJ7992" t="s">
        <v>43</v>
      </c>
      <c r="AK7992" t="s">
        <v>43</v>
      </c>
      <c r="AL7992" t="s">
        <v>43</v>
      </c>
      <c r="AM7992" t="s">
        <v>43</v>
      </c>
      <c r="AN7992" t="str">
        <f>HYPERLINK("https://www.google.com/maps?q=10.78966045,79.5787735","Open Location")</f>
        <v>Open Location</v>
      </c>
    </row>
    <row r="7993" spans="1:40" x14ac:dyDescent="0.3">
      <c r="A7993" s="1">
        <v>46210.074189814812</v>
      </c>
      <c r="B7993" t="s">
        <v>40</v>
      </c>
      <c r="C7993" t="s">
        <v>41</v>
      </c>
      <c r="D7993" s="1">
        <v>46210.077326388891</v>
      </c>
      <c r="E7993" t="s">
        <v>42</v>
      </c>
      <c r="F7993" t="s">
        <v>43</v>
      </c>
      <c r="G7993" t="s">
        <v>43</v>
      </c>
      <c r="H7993" t="s">
        <v>43</v>
      </c>
      <c r="I7993" t="s">
        <v>4204</v>
      </c>
      <c r="J7993" t="s">
        <v>43</v>
      </c>
      <c r="K7993" t="s">
        <v>43</v>
      </c>
      <c r="L7993" t="s">
        <v>43</v>
      </c>
      <c r="M7993" t="s">
        <v>43</v>
      </c>
      <c r="N7993" t="s">
        <v>45</v>
      </c>
      <c r="O7993" t="s">
        <v>43</v>
      </c>
      <c r="P7993" t="s">
        <v>43</v>
      </c>
      <c r="Q7993" t="s">
        <v>43</v>
      </c>
      <c r="R7993" t="s">
        <v>43</v>
      </c>
      <c r="S7993" t="s">
        <v>43</v>
      </c>
      <c r="T7993" t="s">
        <v>43</v>
      </c>
      <c r="U7993" t="s">
        <v>43</v>
      </c>
      <c r="V7993" t="s">
        <v>43</v>
      </c>
      <c r="W7993" t="s">
        <v>43</v>
      </c>
      <c r="X7993" t="s">
        <v>43</v>
      </c>
      <c r="Y7993" t="s">
        <v>43</v>
      </c>
      <c r="Z7993" t="s">
        <v>43</v>
      </c>
      <c r="AA7993" t="s">
        <v>43</v>
      </c>
      <c r="AB7993" t="s">
        <v>43</v>
      </c>
      <c r="AC7993" t="s">
        <v>43</v>
      </c>
      <c r="AD7993" t="s">
        <v>43</v>
      </c>
      <c r="AE7993" t="s">
        <v>43</v>
      </c>
      <c r="AF7993" t="s">
        <v>43</v>
      </c>
      <c r="AG7993" t="s">
        <v>43</v>
      </c>
      <c r="AH7993" t="s">
        <v>43</v>
      </c>
      <c r="AI7993" t="s">
        <v>43</v>
      </c>
      <c r="AJ7993" t="s">
        <v>43</v>
      </c>
      <c r="AK7993" t="s">
        <v>43</v>
      </c>
      <c r="AL7993" t="s">
        <v>43</v>
      </c>
      <c r="AM7993" t="s">
        <v>43</v>
      </c>
      <c r="AN7993" t="str">
        <f>HYPERLINK("https://www.google.com/maps?q=10.78966331,79.5787735","Open Location")</f>
        <v>Open Location</v>
      </c>
    </row>
    <row r="7994" spans="1:40" x14ac:dyDescent="0.3">
      <c r="A7994" s="1">
        <v>46210.074074074073</v>
      </c>
      <c r="B7994" t="s">
        <v>40</v>
      </c>
      <c r="C7994" t="s">
        <v>41</v>
      </c>
      <c r="D7994" s="1">
        <v>46210.077303240738</v>
      </c>
      <c r="E7994" t="s">
        <v>42</v>
      </c>
      <c r="F7994" t="s">
        <v>43</v>
      </c>
      <c r="G7994" t="s">
        <v>43</v>
      </c>
      <c r="H7994" t="s">
        <v>43</v>
      </c>
      <c r="I7994" t="s">
        <v>3995</v>
      </c>
      <c r="J7994" t="s">
        <v>43</v>
      </c>
      <c r="K7994" t="s">
        <v>43</v>
      </c>
      <c r="L7994" t="s">
        <v>43</v>
      </c>
      <c r="M7994" t="s">
        <v>43</v>
      </c>
      <c r="N7994" t="s">
        <v>45</v>
      </c>
      <c r="O7994" t="s">
        <v>43</v>
      </c>
      <c r="P7994" t="s">
        <v>43</v>
      </c>
      <c r="Q7994" t="s">
        <v>43</v>
      </c>
      <c r="R7994" t="s">
        <v>43</v>
      </c>
      <c r="S7994" t="s">
        <v>43</v>
      </c>
      <c r="T7994" t="s">
        <v>43</v>
      </c>
      <c r="U7994" t="s">
        <v>43</v>
      </c>
      <c r="V7994" t="s">
        <v>43</v>
      </c>
      <c r="W7994" t="s">
        <v>43</v>
      </c>
      <c r="X7994" t="s">
        <v>43</v>
      </c>
      <c r="Y7994" t="s">
        <v>43</v>
      </c>
      <c r="Z7994" t="s">
        <v>43</v>
      </c>
      <c r="AA7994" t="s">
        <v>43</v>
      </c>
      <c r="AB7994" t="s">
        <v>43</v>
      </c>
      <c r="AC7994" t="s">
        <v>43</v>
      </c>
      <c r="AD7994" t="s">
        <v>43</v>
      </c>
      <c r="AE7994" t="s">
        <v>43</v>
      </c>
      <c r="AF7994" t="s">
        <v>43</v>
      </c>
      <c r="AG7994" t="s">
        <v>43</v>
      </c>
      <c r="AH7994" t="s">
        <v>43</v>
      </c>
      <c r="AI7994" t="s">
        <v>43</v>
      </c>
      <c r="AJ7994" t="s">
        <v>43</v>
      </c>
      <c r="AK7994" t="s">
        <v>43</v>
      </c>
      <c r="AL7994" t="s">
        <v>43</v>
      </c>
      <c r="AM7994" t="s">
        <v>43</v>
      </c>
      <c r="AN7994" t="str">
        <f>HYPERLINK("https://www.google.com/maps?q=10.78966427,79.5787735","Open Location")</f>
        <v>Open Location</v>
      </c>
    </row>
    <row r="7995" spans="1:40" x14ac:dyDescent="0.3">
      <c r="A7995" s="1">
        <v>46210.073958333334</v>
      </c>
      <c r="B7995" t="s">
        <v>40</v>
      </c>
      <c r="C7995" t="s">
        <v>41</v>
      </c>
      <c r="D7995" s="1">
        <v>46210.076944444445</v>
      </c>
      <c r="E7995" t="s">
        <v>42</v>
      </c>
      <c r="F7995" t="s">
        <v>43</v>
      </c>
      <c r="G7995" t="s">
        <v>43</v>
      </c>
      <c r="H7995" t="s">
        <v>43</v>
      </c>
      <c r="I7995" t="s">
        <v>4040</v>
      </c>
      <c r="J7995" t="s">
        <v>43</v>
      </c>
      <c r="K7995" t="s">
        <v>43</v>
      </c>
      <c r="L7995" t="s">
        <v>43</v>
      </c>
      <c r="M7995" t="s">
        <v>43</v>
      </c>
      <c r="N7995" t="s">
        <v>45</v>
      </c>
      <c r="O7995" t="s">
        <v>43</v>
      </c>
      <c r="P7995" t="s">
        <v>43</v>
      </c>
      <c r="Q7995" t="s">
        <v>43</v>
      </c>
      <c r="R7995" t="s">
        <v>43</v>
      </c>
      <c r="S7995" t="s">
        <v>43</v>
      </c>
      <c r="T7995" t="s">
        <v>43</v>
      </c>
      <c r="U7995" t="s">
        <v>43</v>
      </c>
      <c r="V7995" t="s">
        <v>43</v>
      </c>
      <c r="W7995" t="s">
        <v>43</v>
      </c>
      <c r="X7995" t="s">
        <v>43</v>
      </c>
      <c r="Y7995" t="s">
        <v>43</v>
      </c>
      <c r="Z7995" t="s">
        <v>43</v>
      </c>
      <c r="AA7995" t="s">
        <v>43</v>
      </c>
      <c r="AB7995" t="s">
        <v>43</v>
      </c>
      <c r="AC7995" t="s">
        <v>43</v>
      </c>
      <c r="AD7995" t="s">
        <v>43</v>
      </c>
      <c r="AE7995" t="s">
        <v>43</v>
      </c>
      <c r="AF7995" t="s">
        <v>43</v>
      </c>
      <c r="AG7995" t="s">
        <v>43</v>
      </c>
      <c r="AH7995" t="s">
        <v>43</v>
      </c>
      <c r="AI7995" t="s">
        <v>43</v>
      </c>
      <c r="AJ7995" t="s">
        <v>43</v>
      </c>
      <c r="AK7995" t="s">
        <v>43</v>
      </c>
      <c r="AL7995" t="s">
        <v>43</v>
      </c>
      <c r="AM7995" t="s">
        <v>43</v>
      </c>
      <c r="AN7995" t="str">
        <f>HYPERLINK("https://www.google.com/maps?q=10.78966618,79.5787735","Open Location")</f>
        <v>Open Location</v>
      </c>
    </row>
    <row r="7996" spans="1:40" x14ac:dyDescent="0.3">
      <c r="A7996" s="1">
        <v>46210.073842592596</v>
      </c>
      <c r="B7996" t="s">
        <v>40</v>
      </c>
      <c r="C7996" t="s">
        <v>41</v>
      </c>
      <c r="D7996" s="1">
        <v>46210.076793981483</v>
      </c>
      <c r="E7996" t="s">
        <v>42</v>
      </c>
      <c r="F7996" t="s">
        <v>43</v>
      </c>
      <c r="G7996" t="s">
        <v>43</v>
      </c>
      <c r="H7996" t="s">
        <v>43</v>
      </c>
      <c r="I7996" t="s">
        <v>4236</v>
      </c>
      <c r="J7996" t="s">
        <v>43</v>
      </c>
      <c r="K7996" t="s">
        <v>43</v>
      </c>
      <c r="L7996" t="s">
        <v>43</v>
      </c>
      <c r="M7996" t="s">
        <v>43</v>
      </c>
      <c r="N7996" t="s">
        <v>45</v>
      </c>
      <c r="O7996" t="s">
        <v>43</v>
      </c>
      <c r="P7996" t="s">
        <v>43</v>
      </c>
      <c r="Q7996" t="s">
        <v>43</v>
      </c>
      <c r="R7996" t="s">
        <v>43</v>
      </c>
      <c r="S7996" t="s">
        <v>43</v>
      </c>
      <c r="T7996" t="s">
        <v>43</v>
      </c>
      <c r="U7996" t="s">
        <v>43</v>
      </c>
      <c r="V7996" t="s">
        <v>43</v>
      </c>
      <c r="W7996" t="s">
        <v>43</v>
      </c>
      <c r="X7996" t="s">
        <v>43</v>
      </c>
      <c r="Y7996" t="s">
        <v>43</v>
      </c>
      <c r="Z7996" t="s">
        <v>43</v>
      </c>
      <c r="AA7996" t="s">
        <v>43</v>
      </c>
      <c r="AB7996" t="s">
        <v>43</v>
      </c>
      <c r="AC7996" t="s">
        <v>43</v>
      </c>
      <c r="AD7996" t="s">
        <v>43</v>
      </c>
      <c r="AE7996" t="s">
        <v>43</v>
      </c>
      <c r="AF7996" t="s">
        <v>43</v>
      </c>
      <c r="AG7996" t="s">
        <v>43</v>
      </c>
      <c r="AH7996" t="s">
        <v>43</v>
      </c>
      <c r="AI7996" t="s">
        <v>43</v>
      </c>
      <c r="AJ7996" t="s">
        <v>43</v>
      </c>
      <c r="AK7996" t="s">
        <v>43</v>
      </c>
      <c r="AL7996" t="s">
        <v>43</v>
      </c>
      <c r="AM7996" t="s">
        <v>43</v>
      </c>
      <c r="AN7996" t="str">
        <f>HYPERLINK("https://www.google.com/maps?q=10.78966713,79.57878113","Open Location")</f>
        <v>Open Location</v>
      </c>
    </row>
    <row r="7997" spans="1:40" x14ac:dyDescent="0.3">
      <c r="A7997" s="1">
        <v>46210.07372685185</v>
      </c>
      <c r="B7997" t="s">
        <v>40</v>
      </c>
      <c r="C7997" t="s">
        <v>41</v>
      </c>
      <c r="D7997" s="1">
        <v>46210.076469907406</v>
      </c>
      <c r="E7997" t="s">
        <v>42</v>
      </c>
      <c r="F7997" t="s">
        <v>43</v>
      </c>
      <c r="G7997" t="s">
        <v>43</v>
      </c>
      <c r="H7997" t="s">
        <v>43</v>
      </c>
      <c r="I7997" t="s">
        <v>43</v>
      </c>
      <c r="J7997" t="s">
        <v>43</v>
      </c>
      <c r="K7997" t="s">
        <v>43</v>
      </c>
      <c r="L7997" t="s">
        <v>43</v>
      </c>
      <c r="M7997" t="s">
        <v>43</v>
      </c>
      <c r="N7997" t="s">
        <v>45</v>
      </c>
      <c r="O7997" t="s">
        <v>43</v>
      </c>
      <c r="P7997" t="s">
        <v>43</v>
      </c>
      <c r="Q7997" t="s">
        <v>43</v>
      </c>
      <c r="R7997" t="s">
        <v>43</v>
      </c>
      <c r="S7997" t="s">
        <v>43</v>
      </c>
      <c r="T7997" t="s">
        <v>43</v>
      </c>
      <c r="U7997" t="s">
        <v>43</v>
      </c>
      <c r="V7997" t="s">
        <v>43</v>
      </c>
      <c r="W7997" t="s">
        <v>43</v>
      </c>
      <c r="X7997" t="s">
        <v>43</v>
      </c>
      <c r="Y7997" t="s">
        <v>43</v>
      </c>
      <c r="Z7997" t="s">
        <v>43</v>
      </c>
      <c r="AA7997" t="s">
        <v>43</v>
      </c>
      <c r="AB7997" t="s">
        <v>43</v>
      </c>
      <c r="AC7997" t="s">
        <v>43</v>
      </c>
      <c r="AD7997" t="s">
        <v>43</v>
      </c>
      <c r="AE7997" t="s">
        <v>43</v>
      </c>
      <c r="AF7997" t="s">
        <v>43</v>
      </c>
      <c r="AG7997" t="s">
        <v>43</v>
      </c>
      <c r="AH7997" t="s">
        <v>43</v>
      </c>
      <c r="AI7997" t="s">
        <v>43</v>
      </c>
      <c r="AJ7997" t="s">
        <v>43</v>
      </c>
      <c r="AK7997" t="s">
        <v>43</v>
      </c>
      <c r="AL7997" t="s">
        <v>43</v>
      </c>
      <c r="AM7997" t="s">
        <v>43</v>
      </c>
      <c r="AN7997" t="s">
        <v>43</v>
      </c>
    </row>
    <row r="7998" spans="1:40" x14ac:dyDescent="0.3">
      <c r="A7998" s="1">
        <v>46210.073611111111</v>
      </c>
      <c r="B7998" t="s">
        <v>40</v>
      </c>
      <c r="C7998" t="s">
        <v>41</v>
      </c>
      <c r="D7998" s="1">
        <v>46210.076469907406</v>
      </c>
      <c r="E7998" t="s">
        <v>42</v>
      </c>
      <c r="F7998" t="s">
        <v>43</v>
      </c>
      <c r="G7998" t="s">
        <v>43</v>
      </c>
      <c r="H7998" t="s">
        <v>43</v>
      </c>
      <c r="I7998" t="s">
        <v>4018</v>
      </c>
      <c r="J7998" t="s">
        <v>43</v>
      </c>
      <c r="K7998" t="s">
        <v>43</v>
      </c>
      <c r="L7998" t="s">
        <v>43</v>
      </c>
      <c r="M7998" t="s">
        <v>43</v>
      </c>
      <c r="N7998" t="s">
        <v>45</v>
      </c>
      <c r="O7998" t="s">
        <v>43</v>
      </c>
      <c r="P7998" t="s">
        <v>43</v>
      </c>
      <c r="Q7998" t="s">
        <v>43</v>
      </c>
      <c r="R7998" t="s">
        <v>43</v>
      </c>
      <c r="S7998" t="s">
        <v>43</v>
      </c>
      <c r="T7998" t="s">
        <v>43</v>
      </c>
      <c r="U7998" t="s">
        <v>43</v>
      </c>
      <c r="V7998" t="s">
        <v>43</v>
      </c>
      <c r="W7998" t="s">
        <v>43</v>
      </c>
      <c r="X7998" t="s">
        <v>43</v>
      </c>
      <c r="Y7998" t="s">
        <v>43</v>
      </c>
      <c r="Z7998" t="s">
        <v>43</v>
      </c>
      <c r="AA7998" t="s">
        <v>43</v>
      </c>
      <c r="AB7998" t="s">
        <v>43</v>
      </c>
      <c r="AC7998" t="s">
        <v>43</v>
      </c>
      <c r="AD7998" t="s">
        <v>43</v>
      </c>
      <c r="AE7998" t="s">
        <v>43</v>
      </c>
      <c r="AF7998" t="s">
        <v>43</v>
      </c>
      <c r="AG7998" t="s">
        <v>43</v>
      </c>
      <c r="AH7998" t="s">
        <v>43</v>
      </c>
      <c r="AI7998" t="s">
        <v>43</v>
      </c>
      <c r="AJ7998" t="s">
        <v>43</v>
      </c>
      <c r="AK7998" t="s">
        <v>43</v>
      </c>
      <c r="AL7998" t="s">
        <v>43</v>
      </c>
      <c r="AM7998" t="s">
        <v>43</v>
      </c>
      <c r="AN7998" t="str">
        <f>HYPERLINK("https://www.google.com/maps?q=10.78966808,79.57878113","Open Location")</f>
        <v>Open Location</v>
      </c>
    </row>
    <row r="7999" spans="1:40" x14ac:dyDescent="0.3">
      <c r="A7999" s="1">
        <v>46210.073495370372</v>
      </c>
      <c r="B7999" t="s">
        <v>40</v>
      </c>
      <c r="C7999" t="s">
        <v>41</v>
      </c>
      <c r="D7999" s="1">
        <v>46210.076377314814</v>
      </c>
      <c r="E7999" t="s">
        <v>42</v>
      </c>
      <c r="F7999" t="s">
        <v>43</v>
      </c>
      <c r="G7999" t="s">
        <v>43</v>
      </c>
      <c r="H7999" t="s">
        <v>43</v>
      </c>
      <c r="I7999" t="s">
        <v>4236</v>
      </c>
      <c r="J7999" t="s">
        <v>43</v>
      </c>
      <c r="K7999" t="s">
        <v>43</v>
      </c>
      <c r="L7999" t="s">
        <v>43</v>
      </c>
      <c r="M7999" t="s">
        <v>43</v>
      </c>
      <c r="N7999" t="s">
        <v>45</v>
      </c>
      <c r="O7999" t="s">
        <v>43</v>
      </c>
      <c r="P7999" t="s">
        <v>43</v>
      </c>
      <c r="Q7999" t="s">
        <v>43</v>
      </c>
      <c r="R7999" t="s">
        <v>43</v>
      </c>
      <c r="S7999" t="s">
        <v>43</v>
      </c>
      <c r="T7999" t="s">
        <v>43</v>
      </c>
      <c r="U7999" t="s">
        <v>43</v>
      </c>
      <c r="V7999" t="s">
        <v>43</v>
      </c>
      <c r="W7999" t="s">
        <v>43</v>
      </c>
      <c r="X7999" t="s">
        <v>43</v>
      </c>
      <c r="Y7999" t="s">
        <v>43</v>
      </c>
      <c r="Z7999" t="s">
        <v>43</v>
      </c>
      <c r="AA7999" t="s">
        <v>43</v>
      </c>
      <c r="AB7999" t="s">
        <v>43</v>
      </c>
      <c r="AC7999" t="s">
        <v>43</v>
      </c>
      <c r="AD7999" t="s">
        <v>43</v>
      </c>
      <c r="AE7999" t="s">
        <v>43</v>
      </c>
      <c r="AF7999" t="s">
        <v>43</v>
      </c>
      <c r="AG7999" t="s">
        <v>43</v>
      </c>
      <c r="AH7999" t="s">
        <v>43</v>
      </c>
      <c r="AI7999" t="s">
        <v>43</v>
      </c>
      <c r="AJ7999" t="s">
        <v>43</v>
      </c>
      <c r="AK7999" t="s">
        <v>43</v>
      </c>
      <c r="AL7999" t="s">
        <v>43</v>
      </c>
      <c r="AM7999" t="s">
        <v>43</v>
      </c>
      <c r="AN7999" t="str">
        <f>HYPERLINK("https://www.google.com/maps?q=10.78966713,79.57878113","Open Location")</f>
        <v>Open Location</v>
      </c>
    </row>
    <row r="8000" spans="1:40" x14ac:dyDescent="0.3">
      <c r="A8000" s="1">
        <v>46210.073379629626</v>
      </c>
      <c r="B8000" t="s">
        <v>40</v>
      </c>
      <c r="C8000" t="s">
        <v>41</v>
      </c>
      <c r="D8000" s="1">
        <v>46210.076273148145</v>
      </c>
      <c r="E8000" t="s">
        <v>42</v>
      </c>
      <c r="F8000" t="s">
        <v>43</v>
      </c>
      <c r="G8000" t="s">
        <v>43</v>
      </c>
      <c r="H8000" t="s">
        <v>43</v>
      </c>
      <c r="I8000" t="s">
        <v>4373</v>
      </c>
      <c r="J8000" t="s">
        <v>43</v>
      </c>
      <c r="K8000" t="s">
        <v>43</v>
      </c>
      <c r="L8000" t="s">
        <v>43</v>
      </c>
      <c r="M8000" t="s">
        <v>43</v>
      </c>
      <c r="N8000" t="s">
        <v>45</v>
      </c>
      <c r="O8000" t="s">
        <v>43</v>
      </c>
      <c r="P8000" t="s">
        <v>43</v>
      </c>
      <c r="Q8000" t="s">
        <v>43</v>
      </c>
      <c r="R8000" t="s">
        <v>43</v>
      </c>
      <c r="S8000" t="s">
        <v>43</v>
      </c>
      <c r="T8000" t="s">
        <v>43</v>
      </c>
      <c r="U8000" t="s">
        <v>43</v>
      </c>
      <c r="V8000" t="s">
        <v>43</v>
      </c>
      <c r="W8000" t="s">
        <v>43</v>
      </c>
      <c r="X8000" t="s">
        <v>43</v>
      </c>
      <c r="Y8000" t="s">
        <v>43</v>
      </c>
      <c r="Z8000" t="s">
        <v>43</v>
      </c>
      <c r="AA8000" t="s">
        <v>43</v>
      </c>
      <c r="AB8000" t="s">
        <v>43</v>
      </c>
      <c r="AC8000" t="s">
        <v>43</v>
      </c>
      <c r="AD8000" t="s">
        <v>43</v>
      </c>
      <c r="AE8000" t="s">
        <v>43</v>
      </c>
      <c r="AF8000" t="s">
        <v>43</v>
      </c>
      <c r="AG8000" t="s">
        <v>43</v>
      </c>
      <c r="AH8000" t="s">
        <v>43</v>
      </c>
      <c r="AI8000" t="s">
        <v>43</v>
      </c>
      <c r="AJ8000" t="s">
        <v>43</v>
      </c>
      <c r="AK8000" t="s">
        <v>43</v>
      </c>
      <c r="AL8000" t="s">
        <v>43</v>
      </c>
      <c r="AM8000" t="s">
        <v>43</v>
      </c>
      <c r="AN8000" t="str">
        <f>HYPERLINK("https://www.google.com/maps?q=10.78966618,79.57878876","Open Location")</f>
        <v>Open Location</v>
      </c>
    </row>
    <row r="8001" spans="1:40" x14ac:dyDescent="0.3">
      <c r="A8001" s="1">
        <v>46210.073263888888</v>
      </c>
      <c r="B8001" t="s">
        <v>40</v>
      </c>
      <c r="C8001" t="s">
        <v>41</v>
      </c>
      <c r="D8001" s="1">
        <v>46210.07603009259</v>
      </c>
      <c r="E8001" t="s">
        <v>42</v>
      </c>
      <c r="F8001" t="s">
        <v>43</v>
      </c>
      <c r="G8001" t="s">
        <v>43</v>
      </c>
      <c r="H8001" t="s">
        <v>43</v>
      </c>
      <c r="I8001" t="s">
        <v>3999</v>
      </c>
      <c r="J8001" t="s">
        <v>43</v>
      </c>
      <c r="K8001" t="s">
        <v>43</v>
      </c>
      <c r="L8001" t="s">
        <v>43</v>
      </c>
      <c r="M8001" t="s">
        <v>43</v>
      </c>
      <c r="N8001" t="s">
        <v>45</v>
      </c>
      <c r="O8001" t="s">
        <v>43</v>
      </c>
      <c r="P8001" t="s">
        <v>43</v>
      </c>
      <c r="Q8001" t="s">
        <v>43</v>
      </c>
      <c r="R8001" t="s">
        <v>43</v>
      </c>
      <c r="S8001" t="s">
        <v>43</v>
      </c>
      <c r="T8001" t="s">
        <v>43</v>
      </c>
      <c r="U8001" t="s">
        <v>43</v>
      </c>
      <c r="V8001" t="s">
        <v>43</v>
      </c>
      <c r="W8001" t="s">
        <v>43</v>
      </c>
      <c r="X8001" t="s">
        <v>43</v>
      </c>
      <c r="Y8001" t="s">
        <v>43</v>
      </c>
      <c r="Z8001" t="s">
        <v>43</v>
      </c>
      <c r="AA8001" t="s">
        <v>43</v>
      </c>
      <c r="AB8001" t="s">
        <v>43</v>
      </c>
      <c r="AC8001" t="s">
        <v>43</v>
      </c>
      <c r="AD8001" t="s">
        <v>43</v>
      </c>
      <c r="AE8001" t="s">
        <v>43</v>
      </c>
      <c r="AF8001" t="s">
        <v>43</v>
      </c>
      <c r="AG8001" t="s">
        <v>43</v>
      </c>
      <c r="AH8001" t="s">
        <v>43</v>
      </c>
      <c r="AI8001" t="s">
        <v>43</v>
      </c>
      <c r="AJ8001" t="s">
        <v>43</v>
      </c>
      <c r="AK8001" t="s">
        <v>43</v>
      </c>
      <c r="AL8001" t="s">
        <v>43</v>
      </c>
      <c r="AM8001" t="s">
        <v>43</v>
      </c>
      <c r="AN8001" t="str">
        <f>HYPERLINK("https://www.google.com/maps?q=10.78966522,79.57878876","Open Location")</f>
        <v>Open Location</v>
      </c>
    </row>
    <row r="8002" spans="1:40" x14ac:dyDescent="0.3">
      <c r="A8002" s="1">
        <v>46210.073148148149</v>
      </c>
      <c r="B8002" t="s">
        <v>40</v>
      </c>
      <c r="C8002" t="s">
        <v>41</v>
      </c>
      <c r="D8002" s="1">
        <v>46210.076006944444</v>
      </c>
      <c r="E8002" t="s">
        <v>42</v>
      </c>
      <c r="F8002" t="s">
        <v>43</v>
      </c>
      <c r="G8002" t="s">
        <v>43</v>
      </c>
      <c r="H8002" t="s">
        <v>43</v>
      </c>
      <c r="I8002" t="s">
        <v>43</v>
      </c>
      <c r="J8002" t="s">
        <v>43</v>
      </c>
      <c r="K8002" t="s">
        <v>43</v>
      </c>
      <c r="L8002" t="s">
        <v>43</v>
      </c>
      <c r="M8002" t="s">
        <v>43</v>
      </c>
      <c r="N8002" t="s">
        <v>45</v>
      </c>
      <c r="O8002" t="s">
        <v>43</v>
      </c>
      <c r="P8002" t="s">
        <v>43</v>
      </c>
      <c r="Q8002" t="s">
        <v>43</v>
      </c>
      <c r="R8002" t="s">
        <v>43</v>
      </c>
      <c r="S8002" t="s">
        <v>43</v>
      </c>
      <c r="T8002" t="s">
        <v>43</v>
      </c>
      <c r="U8002" t="s">
        <v>43</v>
      </c>
      <c r="V8002" t="s">
        <v>43</v>
      </c>
      <c r="W8002" t="s">
        <v>43</v>
      </c>
      <c r="X8002" t="s">
        <v>43</v>
      </c>
      <c r="Y8002" t="s">
        <v>43</v>
      </c>
      <c r="Z8002" t="s">
        <v>43</v>
      </c>
      <c r="AA8002" t="s">
        <v>43</v>
      </c>
      <c r="AB8002" t="s">
        <v>43</v>
      </c>
      <c r="AC8002" t="s">
        <v>43</v>
      </c>
      <c r="AD8002" t="s">
        <v>43</v>
      </c>
      <c r="AE8002" t="s">
        <v>43</v>
      </c>
      <c r="AF8002" t="s">
        <v>43</v>
      </c>
      <c r="AG8002" t="s">
        <v>43</v>
      </c>
      <c r="AH8002" t="s">
        <v>43</v>
      </c>
      <c r="AI8002" t="s">
        <v>43</v>
      </c>
      <c r="AJ8002" t="s">
        <v>43</v>
      </c>
      <c r="AK8002" t="s">
        <v>43</v>
      </c>
      <c r="AL8002" t="s">
        <v>43</v>
      </c>
      <c r="AM8002" t="s">
        <v>43</v>
      </c>
      <c r="AN8002" t="s">
        <v>43</v>
      </c>
    </row>
    <row r="8003" spans="1:40" x14ac:dyDescent="0.3">
      <c r="A8003" s="1">
        <v>46210.07303240741</v>
      </c>
      <c r="B8003" t="s">
        <v>40</v>
      </c>
      <c r="C8003" t="s">
        <v>41</v>
      </c>
      <c r="D8003" s="1">
        <v>46210.075787037036</v>
      </c>
      <c r="E8003" t="s">
        <v>42</v>
      </c>
      <c r="F8003" t="s">
        <v>43</v>
      </c>
      <c r="G8003" t="s">
        <v>43</v>
      </c>
      <c r="H8003" t="s">
        <v>43</v>
      </c>
      <c r="I8003" t="s">
        <v>4016</v>
      </c>
      <c r="J8003" t="s">
        <v>43</v>
      </c>
      <c r="K8003" t="s">
        <v>43</v>
      </c>
      <c r="L8003" t="s">
        <v>43</v>
      </c>
      <c r="M8003" t="s">
        <v>43</v>
      </c>
      <c r="N8003" t="s">
        <v>45</v>
      </c>
      <c r="O8003" t="s">
        <v>43</v>
      </c>
      <c r="P8003" t="s">
        <v>43</v>
      </c>
      <c r="Q8003" t="s">
        <v>43</v>
      </c>
      <c r="R8003" t="s">
        <v>43</v>
      </c>
      <c r="S8003" t="s">
        <v>43</v>
      </c>
      <c r="T8003" t="s">
        <v>43</v>
      </c>
      <c r="U8003" t="s">
        <v>43</v>
      </c>
      <c r="V8003" t="s">
        <v>43</v>
      </c>
      <c r="W8003" t="s">
        <v>43</v>
      </c>
      <c r="X8003" t="s">
        <v>43</v>
      </c>
      <c r="Y8003" t="s">
        <v>43</v>
      </c>
      <c r="Z8003" t="s">
        <v>43</v>
      </c>
      <c r="AA8003" t="s">
        <v>43</v>
      </c>
      <c r="AB8003" t="s">
        <v>43</v>
      </c>
      <c r="AC8003" t="s">
        <v>43</v>
      </c>
      <c r="AD8003" t="s">
        <v>43</v>
      </c>
      <c r="AE8003" t="s">
        <v>43</v>
      </c>
      <c r="AF8003" t="s">
        <v>43</v>
      </c>
      <c r="AG8003" t="s">
        <v>43</v>
      </c>
      <c r="AH8003" t="s">
        <v>43</v>
      </c>
      <c r="AI8003" t="s">
        <v>43</v>
      </c>
      <c r="AJ8003" t="s">
        <v>43</v>
      </c>
      <c r="AK8003" t="s">
        <v>43</v>
      </c>
      <c r="AL8003" t="s">
        <v>43</v>
      </c>
      <c r="AM8003" t="s">
        <v>43</v>
      </c>
      <c r="AN8003" t="str">
        <f>HYPERLINK("https://www.google.com/maps?q=10.78966427,79.57878876","Open Location")</f>
        <v>Open Location</v>
      </c>
    </row>
    <row r="8004" spans="1:40" x14ac:dyDescent="0.3">
      <c r="A8004" s="1">
        <v>46210.072916666664</v>
      </c>
      <c r="B8004" t="s">
        <v>40</v>
      </c>
      <c r="C8004" t="s">
        <v>41</v>
      </c>
      <c r="D8004" s="1">
        <v>46210.075624999998</v>
      </c>
      <c r="E8004" t="s">
        <v>42</v>
      </c>
      <c r="F8004" t="s">
        <v>43</v>
      </c>
      <c r="G8004" t="s">
        <v>43</v>
      </c>
      <c r="H8004" t="s">
        <v>43</v>
      </c>
      <c r="I8004" t="s">
        <v>3998</v>
      </c>
      <c r="J8004" t="s">
        <v>43</v>
      </c>
      <c r="K8004" t="s">
        <v>43</v>
      </c>
      <c r="L8004" t="s">
        <v>43</v>
      </c>
      <c r="M8004" t="s">
        <v>43</v>
      </c>
      <c r="N8004" t="s">
        <v>45</v>
      </c>
      <c r="O8004" t="s">
        <v>43</v>
      </c>
      <c r="P8004" t="s">
        <v>43</v>
      </c>
      <c r="Q8004" t="s">
        <v>43</v>
      </c>
      <c r="R8004" t="s">
        <v>43</v>
      </c>
      <c r="S8004" t="s">
        <v>43</v>
      </c>
      <c r="T8004" t="s">
        <v>43</v>
      </c>
      <c r="U8004" t="s">
        <v>43</v>
      </c>
      <c r="V8004" t="s">
        <v>43</v>
      </c>
      <c r="W8004" t="s">
        <v>43</v>
      </c>
      <c r="X8004" t="s">
        <v>43</v>
      </c>
      <c r="Y8004" t="s">
        <v>43</v>
      </c>
      <c r="Z8004" t="s">
        <v>43</v>
      </c>
      <c r="AA8004" t="s">
        <v>43</v>
      </c>
      <c r="AB8004" t="s">
        <v>43</v>
      </c>
      <c r="AC8004" t="s">
        <v>43</v>
      </c>
      <c r="AD8004" t="s">
        <v>43</v>
      </c>
      <c r="AE8004" t="s">
        <v>43</v>
      </c>
      <c r="AF8004" t="s">
        <v>43</v>
      </c>
      <c r="AG8004" t="s">
        <v>43</v>
      </c>
      <c r="AH8004" t="s">
        <v>43</v>
      </c>
      <c r="AI8004" t="s">
        <v>43</v>
      </c>
      <c r="AJ8004" t="s">
        <v>43</v>
      </c>
      <c r="AK8004" t="s">
        <v>43</v>
      </c>
      <c r="AL8004" t="s">
        <v>43</v>
      </c>
      <c r="AM8004" t="s">
        <v>43</v>
      </c>
      <c r="AN8004" t="str">
        <f>HYPERLINK("https://www.google.com/maps?q=10.78966427,79.57878113","Open Location")</f>
        <v>Open Location</v>
      </c>
    </row>
    <row r="8005" spans="1:40" x14ac:dyDescent="0.3">
      <c r="A8005" s="1">
        <v>46210.072800925926</v>
      </c>
      <c r="B8005" t="s">
        <v>40</v>
      </c>
      <c r="C8005" t="s">
        <v>41</v>
      </c>
      <c r="D8005" s="1">
        <v>46210.075613425928</v>
      </c>
      <c r="E8005" t="s">
        <v>42</v>
      </c>
      <c r="F8005" t="s">
        <v>43</v>
      </c>
      <c r="G8005" t="s">
        <v>43</v>
      </c>
      <c r="H8005" t="s">
        <v>43</v>
      </c>
      <c r="I8005" t="s">
        <v>4373</v>
      </c>
      <c r="J8005" t="s">
        <v>43</v>
      </c>
      <c r="K8005" t="s">
        <v>43</v>
      </c>
      <c r="L8005" t="s">
        <v>43</v>
      </c>
      <c r="M8005" t="s">
        <v>43</v>
      </c>
      <c r="N8005" t="s">
        <v>45</v>
      </c>
      <c r="O8005" t="s">
        <v>43</v>
      </c>
      <c r="P8005" t="s">
        <v>43</v>
      </c>
      <c r="Q8005" t="s">
        <v>43</v>
      </c>
      <c r="R8005" t="s">
        <v>43</v>
      </c>
      <c r="S8005" t="s">
        <v>43</v>
      </c>
      <c r="T8005" t="s">
        <v>43</v>
      </c>
      <c r="U8005" t="s">
        <v>43</v>
      </c>
      <c r="V8005" t="s">
        <v>43</v>
      </c>
      <c r="W8005" t="s">
        <v>43</v>
      </c>
      <c r="X8005" t="s">
        <v>43</v>
      </c>
      <c r="Y8005" t="s">
        <v>43</v>
      </c>
      <c r="Z8005" t="s">
        <v>43</v>
      </c>
      <c r="AA8005" t="s">
        <v>43</v>
      </c>
      <c r="AB8005" t="s">
        <v>43</v>
      </c>
      <c r="AC8005" t="s">
        <v>43</v>
      </c>
      <c r="AD8005" t="s">
        <v>43</v>
      </c>
      <c r="AE8005" t="s">
        <v>43</v>
      </c>
      <c r="AF8005" t="s">
        <v>43</v>
      </c>
      <c r="AG8005" t="s">
        <v>43</v>
      </c>
      <c r="AH8005" t="s">
        <v>43</v>
      </c>
      <c r="AI8005" t="s">
        <v>43</v>
      </c>
      <c r="AJ8005" t="s">
        <v>43</v>
      </c>
      <c r="AK8005" t="s">
        <v>43</v>
      </c>
      <c r="AL8005" t="s">
        <v>43</v>
      </c>
      <c r="AM8005" t="s">
        <v>43</v>
      </c>
      <c r="AN8005" t="str">
        <f>HYPERLINK("https://www.google.com/maps?q=10.78966618,79.57878876","Open Location")</f>
        <v>Open Location</v>
      </c>
    </row>
    <row r="8006" spans="1:40" x14ac:dyDescent="0.3">
      <c r="A8006" s="1">
        <v>46210.072685185187</v>
      </c>
      <c r="B8006" t="s">
        <v>40</v>
      </c>
      <c r="C8006" t="s">
        <v>41</v>
      </c>
      <c r="D8006" s="1">
        <v>46210.075613425928</v>
      </c>
      <c r="E8006" t="s">
        <v>42</v>
      </c>
      <c r="F8006" t="s">
        <v>43</v>
      </c>
      <c r="G8006" t="s">
        <v>43</v>
      </c>
      <c r="H8006" t="s">
        <v>43</v>
      </c>
      <c r="I8006" t="s">
        <v>4374</v>
      </c>
      <c r="J8006" t="s">
        <v>43</v>
      </c>
      <c r="K8006" t="s">
        <v>43</v>
      </c>
      <c r="L8006" t="s">
        <v>43</v>
      </c>
      <c r="M8006" t="s">
        <v>43</v>
      </c>
      <c r="N8006" t="s">
        <v>45</v>
      </c>
      <c r="O8006" t="s">
        <v>43</v>
      </c>
      <c r="P8006" t="s">
        <v>43</v>
      </c>
      <c r="Q8006" t="s">
        <v>43</v>
      </c>
      <c r="R8006" t="s">
        <v>43</v>
      </c>
      <c r="S8006" t="s">
        <v>43</v>
      </c>
      <c r="T8006" t="s">
        <v>43</v>
      </c>
      <c r="U8006" t="s">
        <v>43</v>
      </c>
      <c r="V8006" t="s">
        <v>43</v>
      </c>
      <c r="W8006" t="s">
        <v>43</v>
      </c>
      <c r="X8006" t="s">
        <v>43</v>
      </c>
      <c r="Y8006" t="s">
        <v>43</v>
      </c>
      <c r="Z8006" t="s">
        <v>43</v>
      </c>
      <c r="AA8006" t="s">
        <v>43</v>
      </c>
      <c r="AB8006" t="s">
        <v>43</v>
      </c>
      <c r="AC8006" t="s">
        <v>43</v>
      </c>
      <c r="AD8006" t="s">
        <v>43</v>
      </c>
      <c r="AE8006" t="s">
        <v>43</v>
      </c>
      <c r="AF8006" t="s">
        <v>43</v>
      </c>
      <c r="AG8006" t="s">
        <v>43</v>
      </c>
      <c r="AH8006" t="s">
        <v>43</v>
      </c>
      <c r="AI8006" t="s">
        <v>43</v>
      </c>
      <c r="AJ8006" t="s">
        <v>43</v>
      </c>
      <c r="AK8006" t="s">
        <v>43</v>
      </c>
      <c r="AL8006" t="s">
        <v>43</v>
      </c>
      <c r="AM8006" t="s">
        <v>43</v>
      </c>
      <c r="AN8006" t="str">
        <f>HYPERLINK("https://www.google.com/maps?q=10.78966808,79.57878876","Open Location")</f>
        <v>Open Location</v>
      </c>
    </row>
    <row r="8007" spans="1:40" x14ac:dyDescent="0.3">
      <c r="A8007" s="1">
        <v>46210.072569444441</v>
      </c>
      <c r="B8007" t="s">
        <v>40</v>
      </c>
      <c r="C8007" t="s">
        <v>41</v>
      </c>
      <c r="D8007" s="1">
        <v>46210.075335648151</v>
      </c>
      <c r="E8007" t="s">
        <v>42</v>
      </c>
      <c r="F8007" t="s">
        <v>43</v>
      </c>
      <c r="G8007" t="s">
        <v>43</v>
      </c>
      <c r="H8007" t="s">
        <v>43</v>
      </c>
      <c r="I8007" t="s">
        <v>4216</v>
      </c>
      <c r="J8007" t="s">
        <v>43</v>
      </c>
      <c r="K8007" t="s">
        <v>43</v>
      </c>
      <c r="L8007" t="s">
        <v>43</v>
      </c>
      <c r="M8007" t="s">
        <v>43</v>
      </c>
      <c r="N8007" t="s">
        <v>45</v>
      </c>
      <c r="O8007" t="s">
        <v>43</v>
      </c>
      <c r="P8007" t="s">
        <v>43</v>
      </c>
      <c r="Q8007" t="s">
        <v>43</v>
      </c>
      <c r="R8007" t="s">
        <v>43</v>
      </c>
      <c r="S8007" t="s">
        <v>43</v>
      </c>
      <c r="T8007" t="s">
        <v>43</v>
      </c>
      <c r="U8007" t="s">
        <v>43</v>
      </c>
      <c r="V8007" t="s">
        <v>43</v>
      </c>
      <c r="W8007" t="s">
        <v>43</v>
      </c>
      <c r="X8007" t="s">
        <v>43</v>
      </c>
      <c r="Y8007" t="s">
        <v>43</v>
      </c>
      <c r="Z8007" t="s">
        <v>43</v>
      </c>
      <c r="AA8007" t="s">
        <v>43</v>
      </c>
      <c r="AB8007" t="s">
        <v>43</v>
      </c>
      <c r="AC8007" t="s">
        <v>43</v>
      </c>
      <c r="AD8007" t="s">
        <v>43</v>
      </c>
      <c r="AE8007" t="s">
        <v>43</v>
      </c>
      <c r="AF8007" t="s">
        <v>43</v>
      </c>
      <c r="AG8007" t="s">
        <v>43</v>
      </c>
      <c r="AH8007" t="s">
        <v>43</v>
      </c>
      <c r="AI8007" t="s">
        <v>43</v>
      </c>
      <c r="AJ8007" t="s">
        <v>43</v>
      </c>
      <c r="AK8007" t="s">
        <v>43</v>
      </c>
      <c r="AL8007" t="s">
        <v>43</v>
      </c>
      <c r="AM8007" t="s">
        <v>43</v>
      </c>
      <c r="AN8007" t="str">
        <f>HYPERLINK("https://www.google.com/maps?q=10.78967285,79.57878876","Open Location")</f>
        <v>Open Location</v>
      </c>
    </row>
    <row r="8008" spans="1:40" x14ac:dyDescent="0.3">
      <c r="A8008" s="1">
        <v>46210.072453703702</v>
      </c>
      <c r="B8008" t="s">
        <v>40</v>
      </c>
      <c r="C8008" t="s">
        <v>41</v>
      </c>
      <c r="D8008" s="1">
        <v>46210.07534722222</v>
      </c>
      <c r="E8008" t="s">
        <v>42</v>
      </c>
      <c r="F8008" t="s">
        <v>43</v>
      </c>
      <c r="G8008" t="s">
        <v>43</v>
      </c>
      <c r="H8008" t="s">
        <v>43</v>
      </c>
      <c r="I8008" t="s">
        <v>43</v>
      </c>
      <c r="J8008" t="s">
        <v>43</v>
      </c>
      <c r="K8008" t="s">
        <v>43</v>
      </c>
      <c r="L8008" t="s">
        <v>43</v>
      </c>
      <c r="M8008" t="s">
        <v>43</v>
      </c>
      <c r="N8008" t="s">
        <v>45</v>
      </c>
      <c r="O8008" t="s">
        <v>43</v>
      </c>
      <c r="P8008" t="s">
        <v>43</v>
      </c>
      <c r="Q8008" t="s">
        <v>43</v>
      </c>
      <c r="R8008" t="s">
        <v>43</v>
      </c>
      <c r="S8008" t="s">
        <v>43</v>
      </c>
      <c r="T8008" t="s">
        <v>43</v>
      </c>
      <c r="U8008" t="s">
        <v>43</v>
      </c>
      <c r="V8008" t="s">
        <v>43</v>
      </c>
      <c r="W8008" t="s">
        <v>43</v>
      </c>
      <c r="X8008" t="s">
        <v>43</v>
      </c>
      <c r="Y8008" t="s">
        <v>43</v>
      </c>
      <c r="Z8008" t="s">
        <v>43</v>
      </c>
      <c r="AA8008" t="s">
        <v>43</v>
      </c>
      <c r="AB8008" t="s">
        <v>43</v>
      </c>
      <c r="AC8008" t="s">
        <v>43</v>
      </c>
      <c r="AD8008" t="s">
        <v>43</v>
      </c>
      <c r="AE8008" t="s">
        <v>43</v>
      </c>
      <c r="AF8008" t="s">
        <v>43</v>
      </c>
      <c r="AG8008" t="s">
        <v>43</v>
      </c>
      <c r="AH8008" t="s">
        <v>43</v>
      </c>
      <c r="AI8008" t="s">
        <v>43</v>
      </c>
      <c r="AJ8008" t="s">
        <v>43</v>
      </c>
      <c r="AK8008" t="s">
        <v>43</v>
      </c>
      <c r="AL8008" t="s">
        <v>43</v>
      </c>
      <c r="AM8008" t="s">
        <v>43</v>
      </c>
      <c r="AN8008" t="s">
        <v>43</v>
      </c>
    </row>
    <row r="8009" spans="1:40" x14ac:dyDescent="0.3">
      <c r="A8009" s="1">
        <v>46210.072337962964</v>
      </c>
      <c r="B8009" t="s">
        <v>40</v>
      </c>
      <c r="C8009" t="s">
        <v>41</v>
      </c>
      <c r="D8009" s="1">
        <v>46210.075277777774</v>
      </c>
      <c r="E8009" t="s">
        <v>42</v>
      </c>
      <c r="F8009" t="s">
        <v>43</v>
      </c>
      <c r="G8009" t="s">
        <v>43</v>
      </c>
      <c r="H8009" t="s">
        <v>43</v>
      </c>
      <c r="I8009" t="s">
        <v>4375</v>
      </c>
      <c r="J8009" t="s">
        <v>43</v>
      </c>
      <c r="K8009" t="s">
        <v>43</v>
      </c>
      <c r="L8009" t="s">
        <v>43</v>
      </c>
      <c r="M8009" t="s">
        <v>43</v>
      </c>
      <c r="N8009" t="s">
        <v>45</v>
      </c>
      <c r="O8009" t="s">
        <v>43</v>
      </c>
      <c r="P8009" t="s">
        <v>43</v>
      </c>
      <c r="Q8009" t="s">
        <v>43</v>
      </c>
      <c r="R8009" t="s">
        <v>43</v>
      </c>
      <c r="S8009" t="s">
        <v>43</v>
      </c>
      <c r="T8009" t="s">
        <v>43</v>
      </c>
      <c r="U8009" t="s">
        <v>43</v>
      </c>
      <c r="V8009" t="s">
        <v>43</v>
      </c>
      <c r="W8009" t="s">
        <v>43</v>
      </c>
      <c r="X8009" t="s">
        <v>43</v>
      </c>
      <c r="Y8009" t="s">
        <v>43</v>
      </c>
      <c r="Z8009" t="s">
        <v>43</v>
      </c>
      <c r="AA8009" t="s">
        <v>43</v>
      </c>
      <c r="AB8009" t="s">
        <v>43</v>
      </c>
      <c r="AC8009" t="s">
        <v>43</v>
      </c>
      <c r="AD8009" t="s">
        <v>43</v>
      </c>
      <c r="AE8009" t="s">
        <v>43</v>
      </c>
      <c r="AF8009" t="s">
        <v>43</v>
      </c>
      <c r="AG8009" t="s">
        <v>43</v>
      </c>
      <c r="AH8009" t="s">
        <v>43</v>
      </c>
      <c r="AI8009" t="s">
        <v>43</v>
      </c>
      <c r="AJ8009" t="s">
        <v>43</v>
      </c>
      <c r="AK8009" t="s">
        <v>43</v>
      </c>
      <c r="AL8009" t="s">
        <v>43</v>
      </c>
      <c r="AM8009" t="s">
        <v>43</v>
      </c>
      <c r="AN8009" t="str">
        <f>HYPERLINK("https://www.google.com/maps?q=10.78967762,79.57878876","Open Location")</f>
        <v>Open Location</v>
      </c>
    </row>
    <row r="8010" spans="1:40" x14ac:dyDescent="0.3">
      <c r="A8010" s="1">
        <v>46210.072222222225</v>
      </c>
      <c r="B8010" t="s">
        <v>40</v>
      </c>
      <c r="C8010" t="s">
        <v>41</v>
      </c>
      <c r="D8010" s="1">
        <v>46210.074942129628</v>
      </c>
      <c r="E8010" t="s">
        <v>42</v>
      </c>
      <c r="F8010" t="s">
        <v>43</v>
      </c>
      <c r="G8010" t="s">
        <v>43</v>
      </c>
      <c r="H8010" t="s">
        <v>43</v>
      </c>
      <c r="I8010" t="s">
        <v>4326</v>
      </c>
      <c r="J8010" t="s">
        <v>43</v>
      </c>
      <c r="K8010" t="s">
        <v>43</v>
      </c>
      <c r="L8010" t="s">
        <v>43</v>
      </c>
      <c r="M8010" t="s">
        <v>43</v>
      </c>
      <c r="N8010" t="s">
        <v>45</v>
      </c>
      <c r="O8010" t="s">
        <v>43</v>
      </c>
      <c r="P8010" t="s">
        <v>43</v>
      </c>
      <c r="Q8010" t="s">
        <v>43</v>
      </c>
      <c r="R8010" t="s">
        <v>43</v>
      </c>
      <c r="S8010" t="s">
        <v>43</v>
      </c>
      <c r="T8010" t="s">
        <v>43</v>
      </c>
      <c r="U8010" t="s">
        <v>43</v>
      </c>
      <c r="V8010" t="s">
        <v>43</v>
      </c>
      <c r="W8010" t="s">
        <v>43</v>
      </c>
      <c r="X8010" t="s">
        <v>43</v>
      </c>
      <c r="Y8010" t="s">
        <v>43</v>
      </c>
      <c r="Z8010" t="s">
        <v>43</v>
      </c>
      <c r="AA8010" t="s">
        <v>43</v>
      </c>
      <c r="AB8010" t="s">
        <v>43</v>
      </c>
      <c r="AC8010" t="s">
        <v>43</v>
      </c>
      <c r="AD8010" t="s">
        <v>43</v>
      </c>
      <c r="AE8010" t="s">
        <v>43</v>
      </c>
      <c r="AF8010" t="s">
        <v>43</v>
      </c>
      <c r="AG8010" t="s">
        <v>43</v>
      </c>
      <c r="AH8010" t="s">
        <v>43</v>
      </c>
      <c r="AI8010" t="s">
        <v>43</v>
      </c>
      <c r="AJ8010" t="s">
        <v>43</v>
      </c>
      <c r="AK8010" t="s">
        <v>43</v>
      </c>
      <c r="AL8010" t="s">
        <v>43</v>
      </c>
      <c r="AM8010" t="s">
        <v>43</v>
      </c>
      <c r="AN8010" t="str">
        <f>HYPERLINK("https://www.google.com/maps?q=10.78968239,79.57878876","Open Location")</f>
        <v>Open Location</v>
      </c>
    </row>
    <row r="8011" spans="1:40" x14ac:dyDescent="0.3">
      <c r="A8011" s="1">
        <v>46210.072106481479</v>
      </c>
      <c r="B8011" t="s">
        <v>40</v>
      </c>
      <c r="C8011" t="s">
        <v>41</v>
      </c>
      <c r="D8011" s="1">
        <v>46210.074965277781</v>
      </c>
      <c r="E8011" t="s">
        <v>42</v>
      </c>
      <c r="F8011" t="s">
        <v>43</v>
      </c>
      <c r="G8011" t="s">
        <v>43</v>
      </c>
      <c r="H8011" t="s">
        <v>43</v>
      </c>
      <c r="I8011" t="s">
        <v>4241</v>
      </c>
      <c r="J8011" t="s">
        <v>43</v>
      </c>
      <c r="K8011" t="s">
        <v>43</v>
      </c>
      <c r="L8011" t="s">
        <v>43</v>
      </c>
      <c r="M8011" t="s">
        <v>43</v>
      </c>
      <c r="N8011" t="s">
        <v>45</v>
      </c>
      <c r="O8011" t="s">
        <v>43</v>
      </c>
      <c r="P8011" t="s">
        <v>43</v>
      </c>
      <c r="Q8011" t="s">
        <v>43</v>
      </c>
      <c r="R8011" t="s">
        <v>43</v>
      </c>
      <c r="S8011" t="s">
        <v>43</v>
      </c>
      <c r="T8011" t="s">
        <v>43</v>
      </c>
      <c r="U8011" t="s">
        <v>43</v>
      </c>
      <c r="V8011" t="s">
        <v>43</v>
      </c>
      <c r="W8011" t="s">
        <v>43</v>
      </c>
      <c r="X8011" t="s">
        <v>43</v>
      </c>
      <c r="Y8011" t="s">
        <v>43</v>
      </c>
      <c r="Z8011" t="s">
        <v>43</v>
      </c>
      <c r="AA8011" t="s">
        <v>43</v>
      </c>
      <c r="AB8011" t="s">
        <v>43</v>
      </c>
      <c r="AC8011" t="s">
        <v>43</v>
      </c>
      <c r="AD8011" t="s">
        <v>43</v>
      </c>
      <c r="AE8011" t="s">
        <v>43</v>
      </c>
      <c r="AF8011" t="s">
        <v>43</v>
      </c>
      <c r="AG8011" t="s">
        <v>43</v>
      </c>
      <c r="AH8011" t="s">
        <v>43</v>
      </c>
      <c r="AI8011" t="s">
        <v>43</v>
      </c>
      <c r="AJ8011" t="s">
        <v>43</v>
      </c>
      <c r="AK8011" t="s">
        <v>43</v>
      </c>
      <c r="AL8011" t="s">
        <v>43</v>
      </c>
      <c r="AM8011" t="s">
        <v>43</v>
      </c>
      <c r="AN8011" t="str">
        <f>HYPERLINK("https://www.google.com/maps?q=10.78968239,79.57879639","Open Location")</f>
        <v>Open Location</v>
      </c>
    </row>
    <row r="8012" spans="1:40" x14ac:dyDescent="0.3">
      <c r="A8012" s="1">
        <v>46210.07199074074</v>
      </c>
      <c r="B8012" t="s">
        <v>40</v>
      </c>
      <c r="C8012" t="s">
        <v>41</v>
      </c>
      <c r="D8012" s="1">
        <v>46210.074965277781</v>
      </c>
      <c r="E8012" t="s">
        <v>42</v>
      </c>
      <c r="F8012" t="s">
        <v>43</v>
      </c>
      <c r="G8012" t="s">
        <v>43</v>
      </c>
      <c r="H8012" t="s">
        <v>43</v>
      </c>
      <c r="I8012" t="s">
        <v>4368</v>
      </c>
      <c r="J8012" t="s">
        <v>43</v>
      </c>
      <c r="K8012" t="s">
        <v>43</v>
      </c>
      <c r="L8012" t="s">
        <v>43</v>
      </c>
      <c r="M8012" t="s">
        <v>43</v>
      </c>
      <c r="N8012" t="s">
        <v>45</v>
      </c>
      <c r="O8012" t="s">
        <v>43</v>
      </c>
      <c r="P8012" t="s">
        <v>43</v>
      </c>
      <c r="Q8012" t="s">
        <v>43</v>
      </c>
      <c r="R8012" t="s">
        <v>43</v>
      </c>
      <c r="S8012" t="s">
        <v>43</v>
      </c>
      <c r="T8012" t="s">
        <v>43</v>
      </c>
      <c r="U8012" t="s">
        <v>43</v>
      </c>
      <c r="V8012" t="s">
        <v>43</v>
      </c>
      <c r="W8012" t="s">
        <v>43</v>
      </c>
      <c r="X8012" t="s">
        <v>43</v>
      </c>
      <c r="Y8012" t="s">
        <v>43</v>
      </c>
      <c r="Z8012" t="s">
        <v>43</v>
      </c>
      <c r="AA8012" t="s">
        <v>43</v>
      </c>
      <c r="AB8012" t="s">
        <v>43</v>
      </c>
      <c r="AC8012" t="s">
        <v>43</v>
      </c>
      <c r="AD8012" t="s">
        <v>43</v>
      </c>
      <c r="AE8012" t="s">
        <v>43</v>
      </c>
      <c r="AF8012" t="s">
        <v>43</v>
      </c>
      <c r="AG8012" t="s">
        <v>43</v>
      </c>
      <c r="AH8012" t="s">
        <v>43</v>
      </c>
      <c r="AI8012" t="s">
        <v>43</v>
      </c>
      <c r="AJ8012" t="s">
        <v>43</v>
      </c>
      <c r="AK8012" t="s">
        <v>43</v>
      </c>
      <c r="AL8012" t="s">
        <v>43</v>
      </c>
      <c r="AM8012" t="s">
        <v>43</v>
      </c>
      <c r="AN8012" t="str">
        <f>HYPERLINK("https://www.google.com/maps?q=10.78968525,79.57878876","Open Location")</f>
        <v>Open Location</v>
      </c>
    </row>
    <row r="8013" spans="1:40" x14ac:dyDescent="0.3">
      <c r="A8013" s="1">
        <v>46210.071875000001</v>
      </c>
      <c r="B8013" t="s">
        <v>40</v>
      </c>
      <c r="C8013" t="s">
        <v>41</v>
      </c>
      <c r="D8013" s="1">
        <v>46210.074872685182</v>
      </c>
      <c r="E8013" t="s">
        <v>42</v>
      </c>
      <c r="F8013" t="s">
        <v>43</v>
      </c>
      <c r="G8013" t="s">
        <v>43</v>
      </c>
      <c r="H8013" t="s">
        <v>43</v>
      </c>
      <c r="I8013" t="s">
        <v>43</v>
      </c>
      <c r="J8013" t="s">
        <v>43</v>
      </c>
      <c r="K8013" t="s">
        <v>43</v>
      </c>
      <c r="L8013" t="s">
        <v>43</v>
      </c>
      <c r="M8013" t="s">
        <v>43</v>
      </c>
      <c r="N8013" t="s">
        <v>45</v>
      </c>
      <c r="O8013" t="s">
        <v>43</v>
      </c>
      <c r="P8013" t="s">
        <v>43</v>
      </c>
      <c r="Q8013" t="s">
        <v>43</v>
      </c>
      <c r="R8013" t="s">
        <v>43</v>
      </c>
      <c r="S8013" t="s">
        <v>43</v>
      </c>
      <c r="T8013" t="s">
        <v>43</v>
      </c>
      <c r="U8013" t="s">
        <v>43</v>
      </c>
      <c r="V8013" t="s">
        <v>43</v>
      </c>
      <c r="W8013" t="s">
        <v>43</v>
      </c>
      <c r="X8013" t="s">
        <v>43</v>
      </c>
      <c r="Y8013" t="s">
        <v>43</v>
      </c>
      <c r="Z8013" t="s">
        <v>43</v>
      </c>
      <c r="AA8013" t="s">
        <v>43</v>
      </c>
      <c r="AB8013" t="s">
        <v>43</v>
      </c>
      <c r="AC8013" t="s">
        <v>43</v>
      </c>
      <c r="AD8013" t="s">
        <v>43</v>
      </c>
      <c r="AE8013" t="s">
        <v>43</v>
      </c>
      <c r="AF8013" t="s">
        <v>43</v>
      </c>
      <c r="AG8013" t="s">
        <v>43</v>
      </c>
      <c r="AH8013" t="s">
        <v>43</v>
      </c>
      <c r="AI8013" t="s">
        <v>43</v>
      </c>
      <c r="AJ8013" t="s">
        <v>43</v>
      </c>
      <c r="AK8013" t="s">
        <v>43</v>
      </c>
      <c r="AL8013" t="s">
        <v>43</v>
      </c>
      <c r="AM8013" t="s">
        <v>43</v>
      </c>
      <c r="AN8013" t="s">
        <v>43</v>
      </c>
    </row>
    <row r="8014" spans="1:40" x14ac:dyDescent="0.3">
      <c r="A8014" s="1">
        <v>46210.071759259263</v>
      </c>
      <c r="B8014" t="s">
        <v>40</v>
      </c>
      <c r="C8014" t="s">
        <v>41</v>
      </c>
      <c r="D8014" s="1">
        <v>46210.074641203704</v>
      </c>
      <c r="E8014" t="s">
        <v>42</v>
      </c>
      <c r="F8014" t="s">
        <v>43</v>
      </c>
      <c r="G8014" t="s">
        <v>43</v>
      </c>
      <c r="H8014" t="s">
        <v>43</v>
      </c>
      <c r="I8014" t="s">
        <v>4369</v>
      </c>
      <c r="J8014" t="s">
        <v>43</v>
      </c>
      <c r="K8014" t="s">
        <v>43</v>
      </c>
      <c r="L8014" t="s">
        <v>43</v>
      </c>
      <c r="M8014" t="s">
        <v>43</v>
      </c>
      <c r="N8014" t="s">
        <v>45</v>
      </c>
      <c r="O8014" t="s">
        <v>43</v>
      </c>
      <c r="P8014" t="s">
        <v>43</v>
      </c>
      <c r="Q8014" t="s">
        <v>43</v>
      </c>
      <c r="R8014" t="s">
        <v>43</v>
      </c>
      <c r="S8014" t="s">
        <v>43</v>
      </c>
      <c r="T8014" t="s">
        <v>43</v>
      </c>
      <c r="U8014" t="s">
        <v>43</v>
      </c>
      <c r="V8014" t="s">
        <v>43</v>
      </c>
      <c r="W8014" t="s">
        <v>43</v>
      </c>
      <c r="X8014" t="s">
        <v>43</v>
      </c>
      <c r="Y8014" t="s">
        <v>43</v>
      </c>
      <c r="Z8014" t="s">
        <v>43</v>
      </c>
      <c r="AA8014" t="s">
        <v>43</v>
      </c>
      <c r="AB8014" t="s">
        <v>43</v>
      </c>
      <c r="AC8014" t="s">
        <v>43</v>
      </c>
      <c r="AD8014" t="s">
        <v>43</v>
      </c>
      <c r="AE8014" t="s">
        <v>43</v>
      </c>
      <c r="AF8014" t="s">
        <v>43</v>
      </c>
      <c r="AG8014" t="s">
        <v>43</v>
      </c>
      <c r="AH8014" t="s">
        <v>43</v>
      </c>
      <c r="AI8014" t="s">
        <v>43</v>
      </c>
      <c r="AJ8014" t="s">
        <v>43</v>
      </c>
      <c r="AK8014" t="s">
        <v>43</v>
      </c>
      <c r="AL8014" t="s">
        <v>43</v>
      </c>
      <c r="AM8014" t="s">
        <v>43</v>
      </c>
      <c r="AN8014" t="str">
        <f>HYPERLINK("https://www.google.com/maps?q=10.7896843,79.57878876","Open Location")</f>
        <v>Open Location</v>
      </c>
    </row>
    <row r="8015" spans="1:40" x14ac:dyDescent="0.3">
      <c r="A8015" s="1">
        <v>46210.071643518517</v>
      </c>
      <c r="B8015" t="s">
        <v>40</v>
      </c>
      <c r="C8015" t="s">
        <v>41</v>
      </c>
      <c r="D8015" s="1">
        <v>46210.074363425927</v>
      </c>
      <c r="E8015" t="s">
        <v>42</v>
      </c>
      <c r="F8015" t="s">
        <v>43</v>
      </c>
      <c r="G8015" t="s">
        <v>43</v>
      </c>
      <c r="H8015" t="s">
        <v>43</v>
      </c>
      <c r="I8015" t="s">
        <v>4325</v>
      </c>
      <c r="J8015" t="s">
        <v>43</v>
      </c>
      <c r="K8015" t="s">
        <v>43</v>
      </c>
      <c r="L8015" t="s">
        <v>43</v>
      </c>
      <c r="M8015" t="s">
        <v>43</v>
      </c>
      <c r="N8015" t="s">
        <v>45</v>
      </c>
      <c r="O8015" t="s">
        <v>43</v>
      </c>
      <c r="P8015" t="s">
        <v>43</v>
      </c>
      <c r="Q8015" t="s">
        <v>43</v>
      </c>
      <c r="R8015" t="s">
        <v>43</v>
      </c>
      <c r="S8015" t="s">
        <v>43</v>
      </c>
      <c r="T8015" t="s">
        <v>43</v>
      </c>
      <c r="U8015" t="s">
        <v>43</v>
      </c>
      <c r="V8015" t="s">
        <v>43</v>
      </c>
      <c r="W8015" t="s">
        <v>43</v>
      </c>
      <c r="X8015" t="s">
        <v>43</v>
      </c>
      <c r="Y8015" t="s">
        <v>43</v>
      </c>
      <c r="Z8015" t="s">
        <v>43</v>
      </c>
      <c r="AA8015" t="s">
        <v>43</v>
      </c>
      <c r="AB8015" t="s">
        <v>43</v>
      </c>
      <c r="AC8015" t="s">
        <v>43</v>
      </c>
      <c r="AD8015" t="s">
        <v>43</v>
      </c>
      <c r="AE8015" t="s">
        <v>43</v>
      </c>
      <c r="AF8015" t="s">
        <v>43</v>
      </c>
      <c r="AG8015" t="s">
        <v>43</v>
      </c>
      <c r="AH8015" t="s">
        <v>43</v>
      </c>
      <c r="AI8015" t="s">
        <v>43</v>
      </c>
      <c r="AJ8015" t="s">
        <v>43</v>
      </c>
      <c r="AK8015" t="s">
        <v>43</v>
      </c>
      <c r="AL8015" t="s">
        <v>43</v>
      </c>
      <c r="AM8015" t="s">
        <v>43</v>
      </c>
      <c r="AN8015" t="str">
        <f>HYPERLINK("https://www.google.com/maps?q=10.78968239,79.57878113","Open Location")</f>
        <v>Open Location</v>
      </c>
    </row>
    <row r="8016" spans="1:40" x14ac:dyDescent="0.3">
      <c r="A8016" s="1">
        <v>46210.071527777778</v>
      </c>
      <c r="B8016" t="s">
        <v>40</v>
      </c>
      <c r="C8016" t="s">
        <v>41</v>
      </c>
      <c r="D8016" s="1">
        <v>46210.074502314812</v>
      </c>
      <c r="E8016" t="s">
        <v>42</v>
      </c>
      <c r="F8016" t="s">
        <v>43</v>
      </c>
      <c r="G8016" t="s">
        <v>43</v>
      </c>
      <c r="H8016" t="s">
        <v>43</v>
      </c>
      <c r="I8016" t="s">
        <v>4319</v>
      </c>
      <c r="J8016" t="s">
        <v>43</v>
      </c>
      <c r="K8016" t="s">
        <v>43</v>
      </c>
      <c r="L8016" t="s">
        <v>43</v>
      </c>
      <c r="M8016" t="s">
        <v>43</v>
      </c>
      <c r="N8016" t="s">
        <v>45</v>
      </c>
      <c r="O8016" t="s">
        <v>43</v>
      </c>
      <c r="P8016" t="s">
        <v>43</v>
      </c>
      <c r="Q8016" t="s">
        <v>43</v>
      </c>
      <c r="R8016" t="s">
        <v>43</v>
      </c>
      <c r="S8016" t="s">
        <v>43</v>
      </c>
      <c r="T8016" t="s">
        <v>43</v>
      </c>
      <c r="U8016" t="s">
        <v>43</v>
      </c>
      <c r="V8016" t="s">
        <v>43</v>
      </c>
      <c r="W8016" t="s">
        <v>43</v>
      </c>
      <c r="X8016" t="s">
        <v>43</v>
      </c>
      <c r="Y8016" t="s">
        <v>43</v>
      </c>
      <c r="Z8016" t="s">
        <v>43</v>
      </c>
      <c r="AA8016" t="s">
        <v>43</v>
      </c>
      <c r="AB8016" t="s">
        <v>43</v>
      </c>
      <c r="AC8016" t="s">
        <v>43</v>
      </c>
      <c r="AD8016" t="s">
        <v>43</v>
      </c>
      <c r="AE8016" t="s">
        <v>43</v>
      </c>
      <c r="AF8016" t="s">
        <v>43</v>
      </c>
      <c r="AG8016" t="s">
        <v>43</v>
      </c>
      <c r="AH8016" t="s">
        <v>43</v>
      </c>
      <c r="AI8016" t="s">
        <v>43</v>
      </c>
      <c r="AJ8016" t="s">
        <v>43</v>
      </c>
      <c r="AK8016" t="s">
        <v>43</v>
      </c>
      <c r="AL8016" t="s">
        <v>43</v>
      </c>
      <c r="AM8016" t="s">
        <v>43</v>
      </c>
      <c r="AN8016" t="str">
        <f>HYPERLINK("https://www.google.com/maps?q=10.78968334,79.57878113","Open Location")</f>
        <v>Open Location</v>
      </c>
    </row>
    <row r="8017" spans="1:40" x14ac:dyDescent="0.3">
      <c r="A8017" s="1">
        <v>46210.071412037039</v>
      </c>
      <c r="B8017" t="s">
        <v>40</v>
      </c>
      <c r="C8017" t="s">
        <v>41</v>
      </c>
      <c r="D8017" s="1">
        <v>46210.074236111112</v>
      </c>
      <c r="E8017" t="s">
        <v>42</v>
      </c>
      <c r="F8017" t="s">
        <v>43</v>
      </c>
      <c r="G8017" t="s">
        <v>43</v>
      </c>
      <c r="H8017" t="s">
        <v>43</v>
      </c>
      <c r="I8017" t="s">
        <v>4324</v>
      </c>
      <c r="J8017" t="s">
        <v>43</v>
      </c>
      <c r="K8017" t="s">
        <v>43</v>
      </c>
      <c r="L8017" t="s">
        <v>43</v>
      </c>
      <c r="M8017" t="s">
        <v>43</v>
      </c>
      <c r="N8017" t="s">
        <v>45</v>
      </c>
      <c r="O8017" t="s">
        <v>43</v>
      </c>
      <c r="P8017" t="s">
        <v>43</v>
      </c>
      <c r="Q8017" t="s">
        <v>43</v>
      </c>
      <c r="R8017" t="s">
        <v>43</v>
      </c>
      <c r="S8017" t="s">
        <v>43</v>
      </c>
      <c r="T8017" t="s">
        <v>43</v>
      </c>
      <c r="U8017" t="s">
        <v>43</v>
      </c>
      <c r="V8017" t="s">
        <v>43</v>
      </c>
      <c r="W8017" t="s">
        <v>43</v>
      </c>
      <c r="X8017" t="s">
        <v>43</v>
      </c>
      <c r="Y8017" t="s">
        <v>43</v>
      </c>
      <c r="Z8017" t="s">
        <v>43</v>
      </c>
      <c r="AA8017" t="s">
        <v>43</v>
      </c>
      <c r="AB8017" t="s">
        <v>43</v>
      </c>
      <c r="AC8017" t="s">
        <v>43</v>
      </c>
      <c r="AD8017" t="s">
        <v>43</v>
      </c>
      <c r="AE8017" t="s">
        <v>43</v>
      </c>
      <c r="AF8017" t="s">
        <v>43</v>
      </c>
      <c r="AG8017" t="s">
        <v>43</v>
      </c>
      <c r="AH8017" t="s">
        <v>43</v>
      </c>
      <c r="AI8017" t="s">
        <v>43</v>
      </c>
      <c r="AJ8017" t="s">
        <v>43</v>
      </c>
      <c r="AK8017" t="s">
        <v>43</v>
      </c>
      <c r="AL8017" t="s">
        <v>43</v>
      </c>
      <c r="AM8017" t="s">
        <v>43</v>
      </c>
      <c r="AN8017" t="str">
        <f>HYPERLINK("https://www.google.com/maps?q=10.78968143,79.57878113","Open Location")</f>
        <v>Open Location</v>
      </c>
    </row>
    <row r="8018" spans="1:40" x14ac:dyDescent="0.3">
      <c r="A8018" s="1">
        <v>46210.071296296293</v>
      </c>
      <c r="B8018" t="s">
        <v>40</v>
      </c>
      <c r="C8018" t="s">
        <v>41</v>
      </c>
      <c r="D8018" s="1">
        <v>46210.074166666665</v>
      </c>
      <c r="E8018" t="s">
        <v>42</v>
      </c>
      <c r="F8018" t="s">
        <v>43</v>
      </c>
      <c r="G8018" t="s">
        <v>43</v>
      </c>
      <c r="H8018" t="s">
        <v>43</v>
      </c>
      <c r="I8018" t="s">
        <v>4319</v>
      </c>
      <c r="J8018" t="s">
        <v>43</v>
      </c>
      <c r="K8018" t="s">
        <v>43</v>
      </c>
      <c r="L8018" t="s">
        <v>43</v>
      </c>
      <c r="M8018" t="s">
        <v>43</v>
      </c>
      <c r="N8018" t="s">
        <v>45</v>
      </c>
      <c r="O8018" t="s">
        <v>43</v>
      </c>
      <c r="P8018" t="s">
        <v>43</v>
      </c>
      <c r="Q8018" t="s">
        <v>43</v>
      </c>
      <c r="R8018" t="s">
        <v>43</v>
      </c>
      <c r="S8018" t="s">
        <v>43</v>
      </c>
      <c r="T8018" t="s">
        <v>43</v>
      </c>
      <c r="U8018" t="s">
        <v>43</v>
      </c>
      <c r="V8018" t="s">
        <v>43</v>
      </c>
      <c r="W8018" t="s">
        <v>43</v>
      </c>
      <c r="X8018" t="s">
        <v>43</v>
      </c>
      <c r="Y8018" t="s">
        <v>43</v>
      </c>
      <c r="Z8018" t="s">
        <v>43</v>
      </c>
      <c r="AA8018" t="s">
        <v>43</v>
      </c>
      <c r="AB8018" t="s">
        <v>43</v>
      </c>
      <c r="AC8018" t="s">
        <v>43</v>
      </c>
      <c r="AD8018" t="s">
        <v>43</v>
      </c>
      <c r="AE8018" t="s">
        <v>43</v>
      </c>
      <c r="AF8018" t="s">
        <v>43</v>
      </c>
      <c r="AG8018" t="s">
        <v>43</v>
      </c>
      <c r="AH8018" t="s">
        <v>43</v>
      </c>
      <c r="AI8018" t="s">
        <v>43</v>
      </c>
      <c r="AJ8018" t="s">
        <v>43</v>
      </c>
      <c r="AK8018" t="s">
        <v>43</v>
      </c>
      <c r="AL8018" t="s">
        <v>43</v>
      </c>
      <c r="AM8018" t="s">
        <v>43</v>
      </c>
      <c r="AN8018" t="str">
        <f>HYPERLINK("https://www.google.com/maps?q=10.78968334,79.57878113","Open Location")</f>
        <v>Open Location</v>
      </c>
    </row>
    <row r="8019" spans="1:40" x14ac:dyDescent="0.3">
      <c r="A8019" s="1">
        <v>46210.071180555555</v>
      </c>
      <c r="B8019" t="s">
        <v>40</v>
      </c>
      <c r="C8019" t="s">
        <v>41</v>
      </c>
      <c r="D8019" s="1">
        <v>46210.073912037034</v>
      </c>
      <c r="E8019" t="s">
        <v>42</v>
      </c>
      <c r="F8019" t="s">
        <v>43</v>
      </c>
      <c r="G8019" t="s">
        <v>43</v>
      </c>
      <c r="H8019" t="s">
        <v>43</v>
      </c>
      <c r="I8019" t="s">
        <v>43</v>
      </c>
      <c r="J8019" t="s">
        <v>43</v>
      </c>
      <c r="K8019" t="s">
        <v>43</v>
      </c>
      <c r="L8019" t="s">
        <v>43</v>
      </c>
      <c r="M8019" t="s">
        <v>43</v>
      </c>
      <c r="N8019" t="s">
        <v>45</v>
      </c>
      <c r="O8019" t="s">
        <v>43</v>
      </c>
      <c r="P8019" t="s">
        <v>43</v>
      </c>
      <c r="Q8019" t="s">
        <v>43</v>
      </c>
      <c r="R8019" t="s">
        <v>43</v>
      </c>
      <c r="S8019" t="s">
        <v>43</v>
      </c>
      <c r="T8019" t="s">
        <v>43</v>
      </c>
      <c r="U8019" t="s">
        <v>43</v>
      </c>
      <c r="V8019" t="s">
        <v>43</v>
      </c>
      <c r="W8019" t="s">
        <v>43</v>
      </c>
      <c r="X8019" t="s">
        <v>43</v>
      </c>
      <c r="Y8019" t="s">
        <v>43</v>
      </c>
      <c r="Z8019" t="s">
        <v>43</v>
      </c>
      <c r="AA8019" t="s">
        <v>43</v>
      </c>
      <c r="AB8019" t="s">
        <v>43</v>
      </c>
      <c r="AC8019" t="s">
        <v>43</v>
      </c>
      <c r="AD8019" t="s">
        <v>43</v>
      </c>
      <c r="AE8019" t="s">
        <v>43</v>
      </c>
      <c r="AF8019" t="s">
        <v>43</v>
      </c>
      <c r="AG8019" t="s">
        <v>43</v>
      </c>
      <c r="AH8019" t="s">
        <v>43</v>
      </c>
      <c r="AI8019" t="s">
        <v>43</v>
      </c>
      <c r="AJ8019" t="s">
        <v>43</v>
      </c>
      <c r="AK8019" t="s">
        <v>43</v>
      </c>
      <c r="AL8019" t="s">
        <v>43</v>
      </c>
      <c r="AM8019" t="s">
        <v>43</v>
      </c>
      <c r="AN8019" t="s">
        <v>43</v>
      </c>
    </row>
    <row r="8020" spans="1:40" x14ac:dyDescent="0.3">
      <c r="A8020" s="1">
        <v>46210.071064814816</v>
      </c>
      <c r="B8020" t="s">
        <v>40</v>
      </c>
      <c r="C8020" t="s">
        <v>41</v>
      </c>
      <c r="D8020" s="1">
        <v>46210.074120370373</v>
      </c>
      <c r="E8020" t="s">
        <v>42</v>
      </c>
      <c r="F8020" t="s">
        <v>43</v>
      </c>
      <c r="G8020" t="s">
        <v>43</v>
      </c>
      <c r="H8020" t="s">
        <v>43</v>
      </c>
      <c r="I8020" t="s">
        <v>4335</v>
      </c>
      <c r="J8020" t="s">
        <v>43</v>
      </c>
      <c r="K8020" t="s">
        <v>43</v>
      </c>
      <c r="L8020" t="s">
        <v>43</v>
      </c>
      <c r="M8020" t="s">
        <v>43</v>
      </c>
      <c r="N8020" t="s">
        <v>45</v>
      </c>
      <c r="O8020" t="s">
        <v>43</v>
      </c>
      <c r="P8020" t="s">
        <v>43</v>
      </c>
      <c r="Q8020" t="s">
        <v>43</v>
      </c>
      <c r="R8020" t="s">
        <v>43</v>
      </c>
      <c r="S8020" t="s">
        <v>43</v>
      </c>
      <c r="T8020" t="s">
        <v>43</v>
      </c>
      <c r="U8020" t="s">
        <v>43</v>
      </c>
      <c r="V8020" t="s">
        <v>43</v>
      </c>
      <c r="W8020" t="s">
        <v>43</v>
      </c>
      <c r="X8020" t="s">
        <v>43</v>
      </c>
      <c r="Y8020" t="s">
        <v>43</v>
      </c>
      <c r="Z8020" t="s">
        <v>43</v>
      </c>
      <c r="AA8020" t="s">
        <v>43</v>
      </c>
      <c r="AB8020" t="s">
        <v>43</v>
      </c>
      <c r="AC8020" t="s">
        <v>43</v>
      </c>
      <c r="AD8020" t="s">
        <v>43</v>
      </c>
      <c r="AE8020" t="s">
        <v>43</v>
      </c>
      <c r="AF8020" t="s">
        <v>43</v>
      </c>
      <c r="AG8020" t="s">
        <v>43</v>
      </c>
      <c r="AH8020" t="s">
        <v>43</v>
      </c>
      <c r="AI8020" t="s">
        <v>43</v>
      </c>
      <c r="AJ8020" t="s">
        <v>43</v>
      </c>
      <c r="AK8020" t="s">
        <v>43</v>
      </c>
      <c r="AL8020" t="s">
        <v>43</v>
      </c>
      <c r="AM8020" t="s">
        <v>43</v>
      </c>
      <c r="AN8020" t="str">
        <f>HYPERLINK("https://www.google.com/maps?q=10.7896843,79.5787735","Open Location")</f>
        <v>Open Location</v>
      </c>
    </row>
    <row r="8021" spans="1:40" x14ac:dyDescent="0.3">
      <c r="A8021" s="1">
        <v>46210.070949074077</v>
      </c>
      <c r="B8021" t="s">
        <v>40</v>
      </c>
      <c r="C8021" t="s">
        <v>41</v>
      </c>
      <c r="D8021" s="1">
        <v>46210.073877314811</v>
      </c>
      <c r="E8021" t="s">
        <v>42</v>
      </c>
      <c r="F8021" t="s">
        <v>43</v>
      </c>
      <c r="G8021" t="s">
        <v>43</v>
      </c>
      <c r="H8021" t="s">
        <v>43</v>
      </c>
      <c r="I8021" t="s">
        <v>4210</v>
      </c>
      <c r="J8021" t="s">
        <v>43</v>
      </c>
      <c r="K8021" t="s">
        <v>43</v>
      </c>
      <c r="L8021" t="s">
        <v>43</v>
      </c>
      <c r="M8021" t="s">
        <v>43</v>
      </c>
      <c r="N8021" t="s">
        <v>45</v>
      </c>
      <c r="O8021" t="s">
        <v>43</v>
      </c>
      <c r="P8021" t="s">
        <v>43</v>
      </c>
      <c r="Q8021" t="s">
        <v>43</v>
      </c>
      <c r="R8021" t="s">
        <v>43</v>
      </c>
      <c r="S8021" t="s">
        <v>43</v>
      </c>
      <c r="T8021" t="s">
        <v>43</v>
      </c>
      <c r="U8021" t="s">
        <v>43</v>
      </c>
      <c r="V8021" t="s">
        <v>43</v>
      </c>
      <c r="W8021" t="s">
        <v>43</v>
      </c>
      <c r="X8021" t="s">
        <v>43</v>
      </c>
      <c r="Y8021" t="s">
        <v>43</v>
      </c>
      <c r="Z8021" t="s">
        <v>43</v>
      </c>
      <c r="AA8021" t="s">
        <v>43</v>
      </c>
      <c r="AB8021" t="s">
        <v>43</v>
      </c>
      <c r="AC8021" t="s">
        <v>43</v>
      </c>
      <c r="AD8021" t="s">
        <v>43</v>
      </c>
      <c r="AE8021" t="s">
        <v>43</v>
      </c>
      <c r="AF8021" t="s">
        <v>43</v>
      </c>
      <c r="AG8021" t="s">
        <v>43</v>
      </c>
      <c r="AH8021" t="s">
        <v>43</v>
      </c>
      <c r="AI8021" t="s">
        <v>43</v>
      </c>
      <c r="AJ8021" t="s">
        <v>43</v>
      </c>
      <c r="AK8021" t="s">
        <v>43</v>
      </c>
      <c r="AL8021" t="s">
        <v>43</v>
      </c>
      <c r="AM8021" t="s">
        <v>43</v>
      </c>
      <c r="AN8021" t="str">
        <f>HYPERLINK("https://www.google.com/maps?q=10.78968716,79.57876587","Open Location")</f>
        <v>Open Location</v>
      </c>
    </row>
    <row r="8022" spans="1:40" x14ac:dyDescent="0.3">
      <c r="A8022" s="1">
        <v>46210.070833333331</v>
      </c>
      <c r="B8022" t="s">
        <v>40</v>
      </c>
      <c r="C8022" t="s">
        <v>41</v>
      </c>
      <c r="D8022" s="1">
        <v>46210.073865740742</v>
      </c>
      <c r="E8022" t="s">
        <v>42</v>
      </c>
      <c r="F8022" t="s">
        <v>43</v>
      </c>
      <c r="G8022" t="s">
        <v>43</v>
      </c>
      <c r="H8022" t="s">
        <v>43</v>
      </c>
      <c r="I8022" t="s">
        <v>4376</v>
      </c>
      <c r="J8022" t="s">
        <v>43</v>
      </c>
      <c r="K8022" t="s">
        <v>43</v>
      </c>
      <c r="L8022" t="s">
        <v>43</v>
      </c>
      <c r="M8022" t="s">
        <v>43</v>
      </c>
      <c r="N8022" t="s">
        <v>45</v>
      </c>
      <c r="O8022" t="s">
        <v>43</v>
      </c>
      <c r="P8022" t="s">
        <v>43</v>
      </c>
      <c r="Q8022" t="s">
        <v>43</v>
      </c>
      <c r="R8022" t="s">
        <v>43</v>
      </c>
      <c r="S8022" t="s">
        <v>43</v>
      </c>
      <c r="T8022" t="s">
        <v>43</v>
      </c>
      <c r="U8022" t="s">
        <v>43</v>
      </c>
      <c r="V8022" t="s">
        <v>43</v>
      </c>
      <c r="W8022" t="s">
        <v>43</v>
      </c>
      <c r="X8022" t="s">
        <v>43</v>
      </c>
      <c r="Y8022" t="s">
        <v>43</v>
      </c>
      <c r="Z8022" t="s">
        <v>43</v>
      </c>
      <c r="AA8022" t="s">
        <v>43</v>
      </c>
      <c r="AB8022" t="s">
        <v>43</v>
      </c>
      <c r="AC8022" t="s">
        <v>43</v>
      </c>
      <c r="AD8022" t="s">
        <v>43</v>
      </c>
      <c r="AE8022" t="s">
        <v>43</v>
      </c>
      <c r="AF8022" t="s">
        <v>43</v>
      </c>
      <c r="AG8022" t="s">
        <v>43</v>
      </c>
      <c r="AH8022" t="s">
        <v>43</v>
      </c>
      <c r="AI8022" t="s">
        <v>43</v>
      </c>
      <c r="AJ8022" t="s">
        <v>43</v>
      </c>
      <c r="AK8022" t="s">
        <v>43</v>
      </c>
      <c r="AL8022" t="s">
        <v>43</v>
      </c>
      <c r="AM8022" t="s">
        <v>43</v>
      </c>
      <c r="AN8022" t="str">
        <f>HYPERLINK("https://www.google.com/maps?q=10.78968906,79.57876587","Open Location")</f>
        <v>Open Location</v>
      </c>
    </row>
    <row r="8023" spans="1:40" x14ac:dyDescent="0.3">
      <c r="A8023" s="1">
        <v>46210.070717592593</v>
      </c>
      <c r="B8023" t="s">
        <v>40</v>
      </c>
      <c r="C8023" t="s">
        <v>41</v>
      </c>
      <c r="D8023" s="1">
        <v>46210.073738425926</v>
      </c>
      <c r="E8023" t="s">
        <v>42</v>
      </c>
      <c r="F8023" t="s">
        <v>43</v>
      </c>
      <c r="G8023" t="s">
        <v>43</v>
      </c>
      <c r="H8023" t="s">
        <v>43</v>
      </c>
      <c r="I8023" t="s">
        <v>4377</v>
      </c>
      <c r="J8023" t="s">
        <v>43</v>
      </c>
      <c r="K8023" t="s">
        <v>43</v>
      </c>
      <c r="L8023" t="s">
        <v>43</v>
      </c>
      <c r="M8023" t="s">
        <v>43</v>
      </c>
      <c r="N8023" t="s">
        <v>45</v>
      </c>
      <c r="O8023" t="s">
        <v>43</v>
      </c>
      <c r="P8023" t="s">
        <v>43</v>
      </c>
      <c r="Q8023" t="s">
        <v>43</v>
      </c>
      <c r="R8023" t="s">
        <v>43</v>
      </c>
      <c r="S8023" t="s">
        <v>43</v>
      </c>
      <c r="T8023" t="s">
        <v>43</v>
      </c>
      <c r="U8023" t="s">
        <v>43</v>
      </c>
      <c r="V8023" t="s">
        <v>43</v>
      </c>
      <c r="W8023" t="s">
        <v>43</v>
      </c>
      <c r="X8023" t="s">
        <v>43</v>
      </c>
      <c r="Y8023" t="s">
        <v>43</v>
      </c>
      <c r="Z8023" t="s">
        <v>43</v>
      </c>
      <c r="AA8023" t="s">
        <v>43</v>
      </c>
      <c r="AB8023" t="s">
        <v>43</v>
      </c>
      <c r="AC8023" t="s">
        <v>43</v>
      </c>
      <c r="AD8023" t="s">
        <v>43</v>
      </c>
      <c r="AE8023" t="s">
        <v>43</v>
      </c>
      <c r="AF8023" t="s">
        <v>43</v>
      </c>
      <c r="AG8023" t="s">
        <v>43</v>
      </c>
      <c r="AH8023" t="s">
        <v>43</v>
      </c>
      <c r="AI8023" t="s">
        <v>43</v>
      </c>
      <c r="AJ8023" t="s">
        <v>43</v>
      </c>
      <c r="AK8023" t="s">
        <v>43</v>
      </c>
      <c r="AL8023" t="s">
        <v>43</v>
      </c>
      <c r="AM8023" t="s">
        <v>43</v>
      </c>
      <c r="AN8023" t="str">
        <f>HYPERLINK("https://www.google.com/maps?q=10.78968906,79.57875824","Open Location")</f>
        <v>Open Location</v>
      </c>
    </row>
    <row r="8024" spans="1:40" x14ac:dyDescent="0.3">
      <c r="A8024" s="1">
        <v>46210.070601851854</v>
      </c>
      <c r="B8024" t="s">
        <v>40</v>
      </c>
      <c r="C8024" t="s">
        <v>41</v>
      </c>
      <c r="D8024" s="1">
        <v>46210.073518518519</v>
      </c>
      <c r="E8024" t="s">
        <v>42</v>
      </c>
      <c r="F8024" t="s">
        <v>43</v>
      </c>
      <c r="G8024" t="s">
        <v>43</v>
      </c>
      <c r="H8024" t="s">
        <v>43</v>
      </c>
      <c r="I8024" t="s">
        <v>4378</v>
      </c>
      <c r="J8024" t="s">
        <v>43</v>
      </c>
      <c r="K8024" t="s">
        <v>43</v>
      </c>
      <c r="L8024" t="s">
        <v>43</v>
      </c>
      <c r="M8024" t="s">
        <v>43</v>
      </c>
      <c r="N8024" t="s">
        <v>45</v>
      </c>
      <c r="O8024" t="s">
        <v>43</v>
      </c>
      <c r="P8024" t="s">
        <v>43</v>
      </c>
      <c r="Q8024" t="s">
        <v>43</v>
      </c>
      <c r="R8024" t="s">
        <v>43</v>
      </c>
      <c r="S8024" t="s">
        <v>43</v>
      </c>
      <c r="T8024" t="s">
        <v>43</v>
      </c>
      <c r="U8024" t="s">
        <v>43</v>
      </c>
      <c r="V8024" t="s">
        <v>43</v>
      </c>
      <c r="W8024" t="s">
        <v>43</v>
      </c>
      <c r="X8024" t="s">
        <v>43</v>
      </c>
      <c r="Y8024" t="s">
        <v>43</v>
      </c>
      <c r="Z8024" t="s">
        <v>43</v>
      </c>
      <c r="AA8024" t="s">
        <v>43</v>
      </c>
      <c r="AB8024" t="s">
        <v>43</v>
      </c>
      <c r="AC8024" t="s">
        <v>43</v>
      </c>
      <c r="AD8024" t="s">
        <v>43</v>
      </c>
      <c r="AE8024" t="s">
        <v>43</v>
      </c>
      <c r="AF8024" t="s">
        <v>43</v>
      </c>
      <c r="AG8024" t="s">
        <v>43</v>
      </c>
      <c r="AH8024" t="s">
        <v>43</v>
      </c>
      <c r="AI8024" t="s">
        <v>43</v>
      </c>
      <c r="AJ8024" t="s">
        <v>43</v>
      </c>
      <c r="AK8024" t="s">
        <v>43</v>
      </c>
      <c r="AL8024" t="s">
        <v>43</v>
      </c>
      <c r="AM8024" t="s">
        <v>43</v>
      </c>
      <c r="AN8024" t="str">
        <f>HYPERLINK("https://www.google.com/maps?q=10.78969193,79.57875824","Open Location")</f>
        <v>Open Location</v>
      </c>
    </row>
    <row r="8025" spans="1:40" x14ac:dyDescent="0.3">
      <c r="A8025" s="1">
        <v>46210.070486111108</v>
      </c>
      <c r="B8025" t="s">
        <v>40</v>
      </c>
      <c r="C8025" t="s">
        <v>41</v>
      </c>
      <c r="D8025" s="1">
        <v>46210.073229166665</v>
      </c>
      <c r="E8025" t="s">
        <v>42</v>
      </c>
      <c r="F8025" t="s">
        <v>43</v>
      </c>
      <c r="G8025" t="s">
        <v>43</v>
      </c>
      <c r="H8025" t="s">
        <v>43</v>
      </c>
      <c r="I8025" t="s">
        <v>43</v>
      </c>
      <c r="J8025" t="s">
        <v>43</v>
      </c>
      <c r="K8025" t="s">
        <v>43</v>
      </c>
      <c r="L8025" t="s">
        <v>43</v>
      </c>
      <c r="M8025" t="s">
        <v>43</v>
      </c>
      <c r="N8025" t="s">
        <v>45</v>
      </c>
      <c r="O8025" t="s">
        <v>43</v>
      </c>
      <c r="P8025" t="s">
        <v>43</v>
      </c>
      <c r="Q8025" t="s">
        <v>43</v>
      </c>
      <c r="R8025" t="s">
        <v>43</v>
      </c>
      <c r="S8025" t="s">
        <v>43</v>
      </c>
      <c r="T8025" t="s">
        <v>43</v>
      </c>
      <c r="U8025" t="s">
        <v>43</v>
      </c>
      <c r="V8025" t="s">
        <v>43</v>
      </c>
      <c r="W8025" t="s">
        <v>43</v>
      </c>
      <c r="X8025" t="s">
        <v>43</v>
      </c>
      <c r="Y8025" t="s">
        <v>43</v>
      </c>
      <c r="Z8025" t="s">
        <v>43</v>
      </c>
      <c r="AA8025" t="s">
        <v>43</v>
      </c>
      <c r="AB8025" t="s">
        <v>43</v>
      </c>
      <c r="AC8025" t="s">
        <v>43</v>
      </c>
      <c r="AD8025" t="s">
        <v>43</v>
      </c>
      <c r="AE8025" t="s">
        <v>43</v>
      </c>
      <c r="AF8025" t="s">
        <v>43</v>
      </c>
      <c r="AG8025" t="s">
        <v>43</v>
      </c>
      <c r="AH8025" t="s">
        <v>43</v>
      </c>
      <c r="AI8025" t="s">
        <v>43</v>
      </c>
      <c r="AJ8025" t="s">
        <v>43</v>
      </c>
      <c r="AK8025" t="s">
        <v>43</v>
      </c>
      <c r="AL8025" t="s">
        <v>43</v>
      </c>
      <c r="AM8025" t="s">
        <v>43</v>
      </c>
      <c r="AN8025" t="s">
        <v>43</v>
      </c>
    </row>
    <row r="8026" spans="1:40" x14ac:dyDescent="0.3">
      <c r="A8026" s="1">
        <v>46210.070370370369</v>
      </c>
      <c r="B8026" t="s">
        <v>40</v>
      </c>
      <c r="C8026" t="s">
        <v>41</v>
      </c>
      <c r="D8026" s="1">
        <v>46210.073333333334</v>
      </c>
      <c r="E8026" t="s">
        <v>42</v>
      </c>
      <c r="F8026" t="s">
        <v>43</v>
      </c>
      <c r="G8026" t="s">
        <v>43</v>
      </c>
      <c r="H8026" t="s">
        <v>43</v>
      </c>
      <c r="I8026" t="s">
        <v>4379</v>
      </c>
      <c r="J8026" t="s">
        <v>43</v>
      </c>
      <c r="K8026" t="s">
        <v>43</v>
      </c>
      <c r="L8026" t="s">
        <v>43</v>
      </c>
      <c r="M8026" t="s">
        <v>43</v>
      </c>
      <c r="N8026" t="s">
        <v>45</v>
      </c>
      <c r="O8026" t="s">
        <v>43</v>
      </c>
      <c r="P8026" t="s">
        <v>43</v>
      </c>
      <c r="Q8026" t="s">
        <v>43</v>
      </c>
      <c r="R8026" t="s">
        <v>43</v>
      </c>
      <c r="S8026" t="s">
        <v>43</v>
      </c>
      <c r="T8026" t="s">
        <v>43</v>
      </c>
      <c r="U8026" t="s">
        <v>43</v>
      </c>
      <c r="V8026" t="s">
        <v>43</v>
      </c>
      <c r="W8026" t="s">
        <v>43</v>
      </c>
      <c r="X8026" t="s">
        <v>43</v>
      </c>
      <c r="Y8026" t="s">
        <v>43</v>
      </c>
      <c r="Z8026" t="s">
        <v>43</v>
      </c>
      <c r="AA8026" t="s">
        <v>43</v>
      </c>
      <c r="AB8026" t="s">
        <v>43</v>
      </c>
      <c r="AC8026" t="s">
        <v>43</v>
      </c>
      <c r="AD8026" t="s">
        <v>43</v>
      </c>
      <c r="AE8026" t="s">
        <v>43</v>
      </c>
      <c r="AF8026" t="s">
        <v>43</v>
      </c>
      <c r="AG8026" t="s">
        <v>43</v>
      </c>
      <c r="AH8026" t="s">
        <v>43</v>
      </c>
      <c r="AI8026" t="s">
        <v>43</v>
      </c>
      <c r="AJ8026" t="s">
        <v>43</v>
      </c>
      <c r="AK8026" t="s">
        <v>43</v>
      </c>
      <c r="AL8026" t="s">
        <v>43</v>
      </c>
      <c r="AM8026" t="s">
        <v>43</v>
      </c>
      <c r="AN8026" t="str">
        <f>HYPERLINK("https://www.google.com/maps?q=10.78969574,79.57876587","Open Location")</f>
        <v>Open Location</v>
      </c>
    </row>
    <row r="8027" spans="1:40" x14ac:dyDescent="0.3">
      <c r="A8027" s="1">
        <v>46210.070254629631</v>
      </c>
      <c r="B8027" t="s">
        <v>40</v>
      </c>
      <c r="C8027" t="s">
        <v>41</v>
      </c>
      <c r="D8027" s="1">
        <v>46210.07298611111</v>
      </c>
      <c r="E8027" t="s">
        <v>42</v>
      </c>
      <c r="F8027" t="s">
        <v>43</v>
      </c>
      <c r="G8027" t="s">
        <v>43</v>
      </c>
      <c r="H8027" t="s">
        <v>43</v>
      </c>
      <c r="I8027" t="s">
        <v>4379</v>
      </c>
      <c r="J8027" t="s">
        <v>43</v>
      </c>
      <c r="K8027" t="s">
        <v>43</v>
      </c>
      <c r="L8027" t="s">
        <v>43</v>
      </c>
      <c r="M8027" t="s">
        <v>43</v>
      </c>
      <c r="N8027" t="s">
        <v>45</v>
      </c>
      <c r="O8027" t="s">
        <v>43</v>
      </c>
      <c r="P8027" t="s">
        <v>43</v>
      </c>
      <c r="Q8027" t="s">
        <v>43</v>
      </c>
      <c r="R8027" t="s">
        <v>43</v>
      </c>
      <c r="S8027" t="s">
        <v>43</v>
      </c>
      <c r="T8027" t="s">
        <v>43</v>
      </c>
      <c r="U8027" t="s">
        <v>43</v>
      </c>
      <c r="V8027" t="s">
        <v>43</v>
      </c>
      <c r="W8027" t="s">
        <v>43</v>
      </c>
      <c r="X8027" t="s">
        <v>43</v>
      </c>
      <c r="Y8027" t="s">
        <v>43</v>
      </c>
      <c r="Z8027" t="s">
        <v>43</v>
      </c>
      <c r="AA8027" t="s">
        <v>43</v>
      </c>
      <c r="AB8027" t="s">
        <v>43</v>
      </c>
      <c r="AC8027" t="s">
        <v>43</v>
      </c>
      <c r="AD8027" t="s">
        <v>43</v>
      </c>
      <c r="AE8027" t="s">
        <v>43</v>
      </c>
      <c r="AF8027" t="s">
        <v>43</v>
      </c>
      <c r="AG8027" t="s">
        <v>43</v>
      </c>
      <c r="AH8027" t="s">
        <v>43</v>
      </c>
      <c r="AI8027" t="s">
        <v>43</v>
      </c>
      <c r="AJ8027" t="s">
        <v>43</v>
      </c>
      <c r="AK8027" t="s">
        <v>43</v>
      </c>
      <c r="AL8027" t="s">
        <v>43</v>
      </c>
      <c r="AM8027" t="s">
        <v>43</v>
      </c>
      <c r="AN8027" t="str">
        <f>HYPERLINK("https://www.google.com/maps?q=10.78969574,79.57876587","Open Location")</f>
        <v>Open Location</v>
      </c>
    </row>
    <row r="8028" spans="1:40" x14ac:dyDescent="0.3">
      <c r="A8028" s="1">
        <v>46210.070138888892</v>
      </c>
      <c r="B8028" t="s">
        <v>40</v>
      </c>
      <c r="C8028" t="s">
        <v>41</v>
      </c>
      <c r="D8028" s="1">
        <v>46210.073125000003</v>
      </c>
      <c r="E8028" t="s">
        <v>42</v>
      </c>
      <c r="F8028" t="s">
        <v>43</v>
      </c>
      <c r="G8028" t="s">
        <v>43</v>
      </c>
      <c r="H8028" t="s">
        <v>43</v>
      </c>
      <c r="I8028" t="s">
        <v>4301</v>
      </c>
      <c r="J8028" t="s">
        <v>43</v>
      </c>
      <c r="K8028" t="s">
        <v>43</v>
      </c>
      <c r="L8028" t="s">
        <v>43</v>
      </c>
      <c r="M8028" t="s">
        <v>43</v>
      </c>
      <c r="N8028" t="s">
        <v>45</v>
      </c>
      <c r="O8028" t="s">
        <v>43</v>
      </c>
      <c r="P8028" t="s">
        <v>43</v>
      </c>
      <c r="Q8028" t="s">
        <v>43</v>
      </c>
      <c r="R8028" t="s">
        <v>43</v>
      </c>
      <c r="S8028" t="s">
        <v>43</v>
      </c>
      <c r="T8028" t="s">
        <v>43</v>
      </c>
      <c r="U8028" t="s">
        <v>43</v>
      </c>
      <c r="V8028" t="s">
        <v>43</v>
      </c>
      <c r="W8028" t="s">
        <v>43</v>
      </c>
      <c r="X8028" t="s">
        <v>43</v>
      </c>
      <c r="Y8028" t="s">
        <v>43</v>
      </c>
      <c r="Z8028" t="s">
        <v>43</v>
      </c>
      <c r="AA8028" t="s">
        <v>43</v>
      </c>
      <c r="AB8028" t="s">
        <v>43</v>
      </c>
      <c r="AC8028" t="s">
        <v>43</v>
      </c>
      <c r="AD8028" t="s">
        <v>43</v>
      </c>
      <c r="AE8028" t="s">
        <v>43</v>
      </c>
      <c r="AF8028" t="s">
        <v>43</v>
      </c>
      <c r="AG8028" t="s">
        <v>43</v>
      </c>
      <c r="AH8028" t="s">
        <v>43</v>
      </c>
      <c r="AI8028" t="s">
        <v>43</v>
      </c>
      <c r="AJ8028" t="s">
        <v>43</v>
      </c>
      <c r="AK8028" t="s">
        <v>43</v>
      </c>
      <c r="AL8028" t="s">
        <v>43</v>
      </c>
      <c r="AM8028" t="s">
        <v>43</v>
      </c>
      <c r="AN8028" t="str">
        <f>HYPERLINK("https://www.google.com/maps?q=10.78969002,79.5787735","Open Location")</f>
        <v>Open Location</v>
      </c>
    </row>
    <row r="8029" spans="1:40" x14ac:dyDescent="0.3">
      <c r="A8029" s="1">
        <v>46210.070023148146</v>
      </c>
      <c r="B8029" t="s">
        <v>40</v>
      </c>
      <c r="C8029" t="s">
        <v>41</v>
      </c>
      <c r="D8029" s="1">
        <v>46210.072974537034</v>
      </c>
      <c r="E8029" t="s">
        <v>42</v>
      </c>
      <c r="F8029" t="s">
        <v>43</v>
      </c>
      <c r="G8029" t="s">
        <v>43</v>
      </c>
      <c r="H8029" t="s">
        <v>43</v>
      </c>
      <c r="I8029" t="s">
        <v>4334</v>
      </c>
      <c r="J8029" t="s">
        <v>43</v>
      </c>
      <c r="K8029" t="s">
        <v>43</v>
      </c>
      <c r="L8029" t="s">
        <v>43</v>
      </c>
      <c r="M8029" t="s">
        <v>43</v>
      </c>
      <c r="N8029" t="s">
        <v>45</v>
      </c>
      <c r="O8029" t="s">
        <v>43</v>
      </c>
      <c r="P8029" t="s">
        <v>43</v>
      </c>
      <c r="Q8029" t="s">
        <v>43</v>
      </c>
      <c r="R8029" t="s">
        <v>43</v>
      </c>
      <c r="S8029" t="s">
        <v>43</v>
      </c>
      <c r="T8029" t="s">
        <v>43</v>
      </c>
      <c r="U8029" t="s">
        <v>43</v>
      </c>
      <c r="V8029" t="s">
        <v>43</v>
      </c>
      <c r="W8029" t="s">
        <v>43</v>
      </c>
      <c r="X8029" t="s">
        <v>43</v>
      </c>
      <c r="Y8029" t="s">
        <v>43</v>
      </c>
      <c r="Z8029" t="s">
        <v>43</v>
      </c>
      <c r="AA8029" t="s">
        <v>43</v>
      </c>
      <c r="AB8029" t="s">
        <v>43</v>
      </c>
      <c r="AC8029" t="s">
        <v>43</v>
      </c>
      <c r="AD8029" t="s">
        <v>43</v>
      </c>
      <c r="AE8029" t="s">
        <v>43</v>
      </c>
      <c r="AF8029" t="s">
        <v>43</v>
      </c>
      <c r="AG8029" t="s">
        <v>43</v>
      </c>
      <c r="AH8029" t="s">
        <v>43</v>
      </c>
      <c r="AI8029" t="s">
        <v>43</v>
      </c>
      <c r="AJ8029" t="s">
        <v>43</v>
      </c>
      <c r="AK8029" t="s">
        <v>43</v>
      </c>
      <c r="AL8029" t="s">
        <v>43</v>
      </c>
      <c r="AM8029" t="s">
        <v>43</v>
      </c>
      <c r="AN8029" t="str">
        <f>HYPERLINK("https://www.google.com/maps?q=10.78968716,79.5787735","Open Location")</f>
        <v>Open Location</v>
      </c>
    </row>
    <row r="8030" spans="1:40" x14ac:dyDescent="0.3">
      <c r="A8030" s="1">
        <v>46210.069907407407</v>
      </c>
      <c r="B8030" t="s">
        <v>40</v>
      </c>
      <c r="C8030" t="s">
        <v>41</v>
      </c>
      <c r="D8030" s="1">
        <v>46210.07298611111</v>
      </c>
      <c r="E8030" t="s">
        <v>42</v>
      </c>
      <c r="F8030" t="s">
        <v>43</v>
      </c>
      <c r="G8030" t="s">
        <v>43</v>
      </c>
      <c r="H8030" t="s">
        <v>43</v>
      </c>
      <c r="I8030" t="s">
        <v>4303</v>
      </c>
      <c r="J8030" t="s">
        <v>43</v>
      </c>
      <c r="K8030" t="s">
        <v>43</v>
      </c>
      <c r="L8030" t="s">
        <v>43</v>
      </c>
      <c r="M8030" t="s">
        <v>43</v>
      </c>
      <c r="N8030" t="s">
        <v>45</v>
      </c>
      <c r="O8030" t="s">
        <v>43</v>
      </c>
      <c r="P8030" t="s">
        <v>43</v>
      </c>
      <c r="Q8030" t="s">
        <v>43</v>
      </c>
      <c r="R8030" t="s">
        <v>43</v>
      </c>
      <c r="S8030" t="s">
        <v>43</v>
      </c>
      <c r="T8030" t="s">
        <v>43</v>
      </c>
      <c r="U8030" t="s">
        <v>43</v>
      </c>
      <c r="V8030" t="s">
        <v>43</v>
      </c>
      <c r="W8030" t="s">
        <v>43</v>
      </c>
      <c r="X8030" t="s">
        <v>43</v>
      </c>
      <c r="Y8030" t="s">
        <v>43</v>
      </c>
      <c r="Z8030" t="s">
        <v>43</v>
      </c>
      <c r="AA8030" t="s">
        <v>43</v>
      </c>
      <c r="AB8030" t="s">
        <v>43</v>
      </c>
      <c r="AC8030" t="s">
        <v>43</v>
      </c>
      <c r="AD8030" t="s">
        <v>43</v>
      </c>
      <c r="AE8030" t="s">
        <v>43</v>
      </c>
      <c r="AF8030" t="s">
        <v>43</v>
      </c>
      <c r="AG8030" t="s">
        <v>43</v>
      </c>
      <c r="AH8030" t="s">
        <v>43</v>
      </c>
      <c r="AI8030" t="s">
        <v>43</v>
      </c>
      <c r="AJ8030" t="s">
        <v>43</v>
      </c>
      <c r="AK8030" t="s">
        <v>43</v>
      </c>
      <c r="AL8030" t="s">
        <v>43</v>
      </c>
      <c r="AM8030" t="s">
        <v>43</v>
      </c>
      <c r="AN8030" t="str">
        <f>HYPERLINK("https://www.google.com/maps?q=10.78969002,79.57878113","Open Location")</f>
        <v>Open Location</v>
      </c>
    </row>
    <row r="8031" spans="1:40" x14ac:dyDescent="0.3">
      <c r="A8031" s="1">
        <v>46210.069791666669</v>
      </c>
      <c r="B8031" t="s">
        <v>40</v>
      </c>
      <c r="C8031" t="s">
        <v>41</v>
      </c>
      <c r="D8031" s="1">
        <v>46210.072534722225</v>
      </c>
      <c r="E8031" t="s">
        <v>42</v>
      </c>
      <c r="F8031" t="s">
        <v>43</v>
      </c>
      <c r="G8031" t="s">
        <v>43</v>
      </c>
      <c r="H8031" t="s">
        <v>43</v>
      </c>
      <c r="I8031" t="s">
        <v>43</v>
      </c>
      <c r="J8031" t="s">
        <v>43</v>
      </c>
      <c r="K8031" t="s">
        <v>43</v>
      </c>
      <c r="L8031" t="s">
        <v>43</v>
      </c>
      <c r="M8031" t="s">
        <v>43</v>
      </c>
      <c r="N8031" t="s">
        <v>45</v>
      </c>
      <c r="O8031" t="s">
        <v>43</v>
      </c>
      <c r="P8031" t="s">
        <v>43</v>
      </c>
      <c r="Q8031" t="s">
        <v>43</v>
      </c>
      <c r="R8031" t="s">
        <v>43</v>
      </c>
      <c r="S8031" t="s">
        <v>43</v>
      </c>
      <c r="T8031" t="s">
        <v>43</v>
      </c>
      <c r="U8031" t="s">
        <v>43</v>
      </c>
      <c r="V8031" t="s">
        <v>43</v>
      </c>
      <c r="W8031" t="s">
        <v>43</v>
      </c>
      <c r="X8031" t="s">
        <v>43</v>
      </c>
      <c r="Y8031" t="s">
        <v>43</v>
      </c>
      <c r="Z8031" t="s">
        <v>43</v>
      </c>
      <c r="AA8031" t="s">
        <v>43</v>
      </c>
      <c r="AB8031" t="s">
        <v>43</v>
      </c>
      <c r="AC8031" t="s">
        <v>43</v>
      </c>
      <c r="AD8031" t="s">
        <v>43</v>
      </c>
      <c r="AE8031" t="s">
        <v>43</v>
      </c>
      <c r="AF8031" t="s">
        <v>43</v>
      </c>
      <c r="AG8031" t="s">
        <v>43</v>
      </c>
      <c r="AH8031" t="s">
        <v>43</v>
      </c>
      <c r="AI8031" t="s">
        <v>43</v>
      </c>
      <c r="AJ8031" t="s">
        <v>43</v>
      </c>
      <c r="AK8031" t="s">
        <v>43</v>
      </c>
      <c r="AL8031" t="s">
        <v>43</v>
      </c>
      <c r="AM8031" t="s">
        <v>43</v>
      </c>
      <c r="AN8031" t="s">
        <v>43</v>
      </c>
    </row>
    <row r="8032" spans="1:40" x14ac:dyDescent="0.3">
      <c r="A8032" s="1">
        <v>46210.069675925923</v>
      </c>
      <c r="B8032" t="s">
        <v>40</v>
      </c>
      <c r="C8032" t="s">
        <v>41</v>
      </c>
      <c r="D8032" s="1">
        <v>46210.072581018518</v>
      </c>
      <c r="E8032" t="s">
        <v>42</v>
      </c>
      <c r="F8032" t="s">
        <v>43</v>
      </c>
      <c r="G8032" t="s">
        <v>43</v>
      </c>
      <c r="H8032" t="s">
        <v>43</v>
      </c>
      <c r="I8032" t="s">
        <v>4308</v>
      </c>
      <c r="J8032" t="s">
        <v>43</v>
      </c>
      <c r="K8032" t="s">
        <v>43</v>
      </c>
      <c r="L8032" t="s">
        <v>43</v>
      </c>
      <c r="M8032" t="s">
        <v>43</v>
      </c>
      <c r="N8032" t="s">
        <v>45</v>
      </c>
      <c r="O8032" t="s">
        <v>43</v>
      </c>
      <c r="P8032" t="s">
        <v>43</v>
      </c>
      <c r="Q8032" t="s">
        <v>43</v>
      </c>
      <c r="R8032" t="s">
        <v>43</v>
      </c>
      <c r="S8032" t="s">
        <v>43</v>
      </c>
      <c r="T8032" t="s">
        <v>43</v>
      </c>
      <c r="U8032" t="s">
        <v>43</v>
      </c>
      <c r="V8032" t="s">
        <v>43</v>
      </c>
      <c r="W8032" t="s">
        <v>43</v>
      </c>
      <c r="X8032" t="s">
        <v>43</v>
      </c>
      <c r="Y8032" t="s">
        <v>43</v>
      </c>
      <c r="Z8032" t="s">
        <v>43</v>
      </c>
      <c r="AA8032" t="s">
        <v>43</v>
      </c>
      <c r="AB8032" t="s">
        <v>43</v>
      </c>
      <c r="AC8032" t="s">
        <v>43</v>
      </c>
      <c r="AD8032" t="s">
        <v>43</v>
      </c>
      <c r="AE8032" t="s">
        <v>43</v>
      </c>
      <c r="AF8032" t="s">
        <v>43</v>
      </c>
      <c r="AG8032" t="s">
        <v>43</v>
      </c>
      <c r="AH8032" t="s">
        <v>43</v>
      </c>
      <c r="AI8032" t="s">
        <v>43</v>
      </c>
      <c r="AJ8032" t="s">
        <v>43</v>
      </c>
      <c r="AK8032" t="s">
        <v>43</v>
      </c>
      <c r="AL8032" t="s">
        <v>43</v>
      </c>
      <c r="AM8032" t="s">
        <v>43</v>
      </c>
      <c r="AN8032" t="str">
        <f>HYPERLINK("https://www.google.com/maps?q=10.78968716,79.57878113","Open Location")</f>
        <v>Open Location</v>
      </c>
    </row>
    <row r="8033" spans="1:40" x14ac:dyDescent="0.3">
      <c r="A8033" s="1">
        <v>46210.069560185184</v>
      </c>
      <c r="B8033" t="s">
        <v>40</v>
      </c>
      <c r="C8033" t="s">
        <v>41</v>
      </c>
      <c r="D8033" s="1">
        <v>46210.072256944448</v>
      </c>
      <c r="E8033" t="s">
        <v>42</v>
      </c>
      <c r="F8033" t="s">
        <v>43</v>
      </c>
      <c r="G8033" t="s">
        <v>43</v>
      </c>
      <c r="H8033" t="s">
        <v>43</v>
      </c>
      <c r="I8033" t="s">
        <v>4208</v>
      </c>
      <c r="J8033" t="s">
        <v>43</v>
      </c>
      <c r="K8033" t="s">
        <v>43</v>
      </c>
      <c r="L8033" t="s">
        <v>43</v>
      </c>
      <c r="M8033" t="s">
        <v>43</v>
      </c>
      <c r="N8033" t="s">
        <v>45</v>
      </c>
      <c r="O8033" t="s">
        <v>43</v>
      </c>
      <c r="P8033" t="s">
        <v>43</v>
      </c>
      <c r="Q8033" t="s">
        <v>43</v>
      </c>
      <c r="R8033" t="s">
        <v>43</v>
      </c>
      <c r="S8033" t="s">
        <v>43</v>
      </c>
      <c r="T8033" t="s">
        <v>43</v>
      </c>
      <c r="U8033" t="s">
        <v>43</v>
      </c>
      <c r="V8033" t="s">
        <v>43</v>
      </c>
      <c r="W8033" t="s">
        <v>43</v>
      </c>
      <c r="X8033" t="s">
        <v>43</v>
      </c>
      <c r="Y8033" t="s">
        <v>43</v>
      </c>
      <c r="Z8033" t="s">
        <v>43</v>
      </c>
      <c r="AA8033" t="s">
        <v>43</v>
      </c>
      <c r="AB8033" t="s">
        <v>43</v>
      </c>
      <c r="AC8033" t="s">
        <v>43</v>
      </c>
      <c r="AD8033" t="s">
        <v>43</v>
      </c>
      <c r="AE8033" t="s">
        <v>43</v>
      </c>
      <c r="AF8033" t="s">
        <v>43</v>
      </c>
      <c r="AG8033" t="s">
        <v>43</v>
      </c>
      <c r="AH8033" t="s">
        <v>43</v>
      </c>
      <c r="AI8033" t="s">
        <v>43</v>
      </c>
      <c r="AJ8033" t="s">
        <v>43</v>
      </c>
      <c r="AK8033" t="s">
        <v>43</v>
      </c>
      <c r="AL8033" t="s">
        <v>43</v>
      </c>
      <c r="AM8033" t="s">
        <v>43</v>
      </c>
      <c r="AN8033" t="str">
        <f>HYPERLINK("https://www.google.com/maps?q=10.78968239,79.5787735","Open Location")</f>
        <v>Open Location</v>
      </c>
    </row>
    <row r="8034" spans="1:40" x14ac:dyDescent="0.3">
      <c r="A8034" s="1">
        <v>46210.069444444445</v>
      </c>
      <c r="B8034" t="s">
        <v>40</v>
      </c>
      <c r="C8034" t="s">
        <v>41</v>
      </c>
      <c r="D8034" s="1">
        <v>46210.072523148148</v>
      </c>
      <c r="E8034" t="s">
        <v>42</v>
      </c>
      <c r="F8034" t="s">
        <v>43</v>
      </c>
      <c r="G8034" t="s">
        <v>43</v>
      </c>
      <c r="H8034" t="s">
        <v>43</v>
      </c>
      <c r="I8034" t="s">
        <v>4305</v>
      </c>
      <c r="J8034" t="s">
        <v>43</v>
      </c>
      <c r="K8034" t="s">
        <v>43</v>
      </c>
      <c r="L8034" t="s">
        <v>43</v>
      </c>
      <c r="M8034" t="s">
        <v>43</v>
      </c>
      <c r="N8034" t="s">
        <v>45</v>
      </c>
      <c r="O8034" t="s">
        <v>43</v>
      </c>
      <c r="P8034" t="s">
        <v>43</v>
      </c>
      <c r="Q8034" t="s">
        <v>43</v>
      </c>
      <c r="R8034" t="s">
        <v>43</v>
      </c>
      <c r="S8034" t="s">
        <v>43</v>
      </c>
      <c r="T8034" t="s">
        <v>43</v>
      </c>
      <c r="U8034" t="s">
        <v>43</v>
      </c>
      <c r="V8034" t="s">
        <v>43</v>
      </c>
      <c r="W8034" t="s">
        <v>43</v>
      </c>
      <c r="X8034" t="s">
        <v>43</v>
      </c>
      <c r="Y8034" t="s">
        <v>43</v>
      </c>
      <c r="Z8034" t="s">
        <v>43</v>
      </c>
      <c r="AA8034" t="s">
        <v>43</v>
      </c>
      <c r="AB8034" t="s">
        <v>43</v>
      </c>
      <c r="AC8034" t="s">
        <v>43</v>
      </c>
      <c r="AD8034" t="s">
        <v>43</v>
      </c>
      <c r="AE8034" t="s">
        <v>43</v>
      </c>
      <c r="AF8034" t="s">
        <v>43</v>
      </c>
      <c r="AG8034" t="s">
        <v>43</v>
      </c>
      <c r="AH8034" t="s">
        <v>43</v>
      </c>
      <c r="AI8034" t="s">
        <v>43</v>
      </c>
      <c r="AJ8034" t="s">
        <v>43</v>
      </c>
      <c r="AK8034" t="s">
        <v>43</v>
      </c>
      <c r="AL8034" t="s">
        <v>43</v>
      </c>
      <c r="AM8034" t="s">
        <v>43</v>
      </c>
      <c r="AN8034" t="str">
        <f>HYPERLINK("https://www.google.com/maps?q=10.78968143,79.57876587","Open Location")</f>
        <v>Open Location</v>
      </c>
    </row>
    <row r="8035" spans="1:40" x14ac:dyDescent="0.3">
      <c r="A8035" s="1">
        <v>46210.069328703707</v>
      </c>
      <c r="B8035" t="s">
        <v>40</v>
      </c>
      <c r="C8035" t="s">
        <v>41</v>
      </c>
      <c r="D8035" s="1">
        <v>46210.07234953704</v>
      </c>
      <c r="E8035" t="s">
        <v>42</v>
      </c>
      <c r="F8035" t="s">
        <v>43</v>
      </c>
      <c r="G8035" t="s">
        <v>43</v>
      </c>
      <c r="H8035" t="s">
        <v>43</v>
      </c>
      <c r="I8035" t="s">
        <v>4315</v>
      </c>
      <c r="J8035" t="s">
        <v>43</v>
      </c>
      <c r="K8035" t="s">
        <v>43</v>
      </c>
      <c r="L8035" t="s">
        <v>43</v>
      </c>
      <c r="M8035" t="s">
        <v>43</v>
      </c>
      <c r="N8035" t="s">
        <v>45</v>
      </c>
      <c r="O8035" t="s">
        <v>43</v>
      </c>
      <c r="P8035" t="s">
        <v>43</v>
      </c>
      <c r="Q8035" t="s">
        <v>43</v>
      </c>
      <c r="R8035" t="s">
        <v>43</v>
      </c>
      <c r="S8035" t="s">
        <v>43</v>
      </c>
      <c r="T8035" t="s">
        <v>43</v>
      </c>
      <c r="U8035" t="s">
        <v>43</v>
      </c>
      <c r="V8035" t="s">
        <v>43</v>
      </c>
      <c r="W8035" t="s">
        <v>43</v>
      </c>
      <c r="X8035" t="s">
        <v>43</v>
      </c>
      <c r="Y8035" t="s">
        <v>43</v>
      </c>
      <c r="Z8035" t="s">
        <v>43</v>
      </c>
      <c r="AA8035" t="s">
        <v>43</v>
      </c>
      <c r="AB8035" t="s">
        <v>43</v>
      </c>
      <c r="AC8035" t="s">
        <v>43</v>
      </c>
      <c r="AD8035" t="s">
        <v>43</v>
      </c>
      <c r="AE8035" t="s">
        <v>43</v>
      </c>
      <c r="AF8035" t="s">
        <v>43</v>
      </c>
      <c r="AG8035" t="s">
        <v>43</v>
      </c>
      <c r="AH8035" t="s">
        <v>43</v>
      </c>
      <c r="AI8035" t="s">
        <v>43</v>
      </c>
      <c r="AJ8035" t="s">
        <v>43</v>
      </c>
      <c r="AK8035" t="s">
        <v>43</v>
      </c>
      <c r="AL8035" t="s">
        <v>43</v>
      </c>
      <c r="AM8035" t="s">
        <v>43</v>
      </c>
      <c r="AN8035" t="str">
        <f>HYPERLINK("https://www.google.com/maps?q=10.78968239,79.57876587","Open Location")</f>
        <v>Open Location</v>
      </c>
    </row>
    <row r="8036" spans="1:40" x14ac:dyDescent="0.3">
      <c r="A8036" s="1">
        <v>46210.069212962961</v>
      </c>
      <c r="B8036" t="s">
        <v>40</v>
      </c>
      <c r="C8036" t="s">
        <v>41</v>
      </c>
      <c r="D8036" s="1">
        <v>46210.072256944448</v>
      </c>
      <c r="E8036" t="s">
        <v>42</v>
      </c>
      <c r="F8036" t="s">
        <v>43</v>
      </c>
      <c r="G8036" t="s">
        <v>43</v>
      </c>
      <c r="H8036" t="s">
        <v>43</v>
      </c>
      <c r="I8036" t="s">
        <v>43</v>
      </c>
      <c r="J8036" t="s">
        <v>43</v>
      </c>
      <c r="K8036" t="s">
        <v>43</v>
      </c>
      <c r="L8036" t="s">
        <v>43</v>
      </c>
      <c r="M8036" t="s">
        <v>43</v>
      </c>
      <c r="N8036" t="s">
        <v>45</v>
      </c>
      <c r="O8036" t="s">
        <v>43</v>
      </c>
      <c r="P8036" t="s">
        <v>43</v>
      </c>
      <c r="Q8036" t="s">
        <v>43</v>
      </c>
      <c r="R8036" t="s">
        <v>43</v>
      </c>
      <c r="S8036" t="s">
        <v>43</v>
      </c>
      <c r="T8036" t="s">
        <v>43</v>
      </c>
      <c r="U8036" t="s">
        <v>43</v>
      </c>
      <c r="V8036" t="s">
        <v>43</v>
      </c>
      <c r="W8036" t="s">
        <v>43</v>
      </c>
      <c r="X8036" t="s">
        <v>43</v>
      </c>
      <c r="Y8036" t="s">
        <v>43</v>
      </c>
      <c r="Z8036" t="s">
        <v>43</v>
      </c>
      <c r="AA8036" t="s">
        <v>43</v>
      </c>
      <c r="AB8036" t="s">
        <v>43</v>
      </c>
      <c r="AC8036" t="s">
        <v>43</v>
      </c>
      <c r="AD8036" t="s">
        <v>43</v>
      </c>
      <c r="AE8036" t="s">
        <v>43</v>
      </c>
      <c r="AF8036" t="s">
        <v>43</v>
      </c>
      <c r="AG8036" t="s">
        <v>43</v>
      </c>
      <c r="AH8036" t="s">
        <v>43</v>
      </c>
      <c r="AI8036" t="s">
        <v>43</v>
      </c>
      <c r="AJ8036" t="s">
        <v>43</v>
      </c>
      <c r="AK8036" t="s">
        <v>43</v>
      </c>
      <c r="AL8036" t="s">
        <v>43</v>
      </c>
      <c r="AM8036" t="s">
        <v>43</v>
      </c>
      <c r="AN8036" t="s">
        <v>43</v>
      </c>
    </row>
    <row r="8037" spans="1:40" x14ac:dyDescent="0.3">
      <c r="A8037" s="1">
        <v>46210.069097222222</v>
      </c>
      <c r="B8037" t="s">
        <v>40</v>
      </c>
      <c r="C8037" t="s">
        <v>41</v>
      </c>
      <c r="D8037" s="1">
        <v>46210.071979166663</v>
      </c>
      <c r="E8037" t="s">
        <v>42</v>
      </c>
      <c r="F8037" t="s">
        <v>43</v>
      </c>
      <c r="G8037" t="s">
        <v>43</v>
      </c>
      <c r="H8037" t="s">
        <v>43</v>
      </c>
      <c r="I8037" t="s">
        <v>4376</v>
      </c>
      <c r="J8037" t="s">
        <v>43</v>
      </c>
      <c r="K8037" t="s">
        <v>43</v>
      </c>
      <c r="L8037" t="s">
        <v>43</v>
      </c>
      <c r="M8037" t="s">
        <v>43</v>
      </c>
      <c r="N8037" t="s">
        <v>45</v>
      </c>
      <c r="O8037" t="s">
        <v>43</v>
      </c>
      <c r="P8037" t="s">
        <v>43</v>
      </c>
      <c r="Q8037" t="s">
        <v>43</v>
      </c>
      <c r="R8037" t="s">
        <v>43</v>
      </c>
      <c r="S8037" t="s">
        <v>43</v>
      </c>
      <c r="T8037" t="s">
        <v>43</v>
      </c>
      <c r="U8037" t="s">
        <v>43</v>
      </c>
      <c r="V8037" t="s">
        <v>43</v>
      </c>
      <c r="W8037" t="s">
        <v>43</v>
      </c>
      <c r="X8037" t="s">
        <v>43</v>
      </c>
      <c r="Y8037" t="s">
        <v>43</v>
      </c>
      <c r="Z8037" t="s">
        <v>43</v>
      </c>
      <c r="AA8037" t="s">
        <v>43</v>
      </c>
      <c r="AB8037" t="s">
        <v>43</v>
      </c>
      <c r="AC8037" t="s">
        <v>43</v>
      </c>
      <c r="AD8037" t="s">
        <v>43</v>
      </c>
      <c r="AE8037" t="s">
        <v>43</v>
      </c>
      <c r="AF8037" t="s">
        <v>43</v>
      </c>
      <c r="AG8037" t="s">
        <v>43</v>
      </c>
      <c r="AH8037" t="s">
        <v>43</v>
      </c>
      <c r="AI8037" t="s">
        <v>43</v>
      </c>
      <c r="AJ8037" t="s">
        <v>43</v>
      </c>
      <c r="AK8037" t="s">
        <v>43</v>
      </c>
      <c r="AL8037" t="s">
        <v>43</v>
      </c>
      <c r="AM8037" t="s">
        <v>43</v>
      </c>
      <c r="AN8037" t="str">
        <f>HYPERLINK("https://www.google.com/maps?q=10.78968906,79.57876587","Open Location")</f>
        <v>Open Location</v>
      </c>
    </row>
    <row r="8038" spans="1:40" x14ac:dyDescent="0.3">
      <c r="A8038" s="1">
        <v>46210.068981481483</v>
      </c>
      <c r="B8038" t="s">
        <v>40</v>
      </c>
      <c r="C8038" t="s">
        <v>41</v>
      </c>
      <c r="D8038" s="1">
        <v>46210.072152777779</v>
      </c>
      <c r="E8038" t="s">
        <v>42</v>
      </c>
      <c r="F8038" t="s">
        <v>43</v>
      </c>
      <c r="G8038" t="s">
        <v>43</v>
      </c>
      <c r="H8038" t="s">
        <v>43</v>
      </c>
      <c r="I8038" t="s">
        <v>4380</v>
      </c>
      <c r="J8038" t="s">
        <v>43</v>
      </c>
      <c r="K8038" t="s">
        <v>43</v>
      </c>
      <c r="L8038" t="s">
        <v>43</v>
      </c>
      <c r="M8038" t="s">
        <v>43</v>
      </c>
      <c r="N8038" t="s">
        <v>45</v>
      </c>
      <c r="O8038" t="s">
        <v>43</v>
      </c>
      <c r="P8038" t="s">
        <v>43</v>
      </c>
      <c r="Q8038" t="s">
        <v>43</v>
      </c>
      <c r="R8038" t="s">
        <v>43</v>
      </c>
      <c r="S8038" t="s">
        <v>43</v>
      </c>
      <c r="T8038" t="s">
        <v>43</v>
      </c>
      <c r="U8038" t="s">
        <v>43</v>
      </c>
      <c r="V8038" t="s">
        <v>43</v>
      </c>
      <c r="W8038" t="s">
        <v>43</v>
      </c>
      <c r="X8038" t="s">
        <v>43</v>
      </c>
      <c r="Y8038" t="s">
        <v>43</v>
      </c>
      <c r="Z8038" t="s">
        <v>43</v>
      </c>
      <c r="AA8038" t="s">
        <v>43</v>
      </c>
      <c r="AB8038" t="s">
        <v>43</v>
      </c>
      <c r="AC8038" t="s">
        <v>43</v>
      </c>
      <c r="AD8038" t="s">
        <v>43</v>
      </c>
      <c r="AE8038" t="s">
        <v>43</v>
      </c>
      <c r="AF8038" t="s">
        <v>43</v>
      </c>
      <c r="AG8038" t="s">
        <v>43</v>
      </c>
      <c r="AH8038" t="s">
        <v>43</v>
      </c>
      <c r="AI8038" t="s">
        <v>43</v>
      </c>
      <c r="AJ8038" t="s">
        <v>43</v>
      </c>
      <c r="AK8038" t="s">
        <v>43</v>
      </c>
      <c r="AL8038" t="s">
        <v>43</v>
      </c>
      <c r="AM8038" t="s">
        <v>43</v>
      </c>
      <c r="AN8038" t="str">
        <f>HYPERLINK("https://www.google.com/maps?q=10.78969002,79.57876587","Open Location")</f>
        <v>Open Location</v>
      </c>
    </row>
    <row r="8039" spans="1:40" x14ac:dyDescent="0.3">
      <c r="A8039" s="1">
        <v>46210.068865740737</v>
      </c>
      <c r="B8039" t="s">
        <v>40</v>
      </c>
      <c r="C8039" t="s">
        <v>41</v>
      </c>
      <c r="D8039" s="1">
        <v>46210.071493055555</v>
      </c>
      <c r="E8039" t="s">
        <v>42</v>
      </c>
      <c r="F8039" t="s">
        <v>43</v>
      </c>
      <c r="G8039" t="s">
        <v>43</v>
      </c>
      <c r="H8039" t="s">
        <v>43</v>
      </c>
      <c r="I8039" t="s">
        <v>4210</v>
      </c>
      <c r="J8039" t="s">
        <v>43</v>
      </c>
      <c r="K8039" t="s">
        <v>43</v>
      </c>
      <c r="L8039" t="s">
        <v>43</v>
      </c>
      <c r="M8039" t="s">
        <v>43</v>
      </c>
      <c r="N8039" t="s">
        <v>45</v>
      </c>
      <c r="O8039" t="s">
        <v>43</v>
      </c>
      <c r="P8039" t="s">
        <v>43</v>
      </c>
      <c r="Q8039" t="s">
        <v>43</v>
      </c>
      <c r="R8039" t="s">
        <v>43</v>
      </c>
      <c r="S8039" t="s">
        <v>43</v>
      </c>
      <c r="T8039" t="s">
        <v>43</v>
      </c>
      <c r="U8039" t="s">
        <v>43</v>
      </c>
      <c r="V8039" t="s">
        <v>43</v>
      </c>
      <c r="W8039" t="s">
        <v>43</v>
      </c>
      <c r="X8039" t="s">
        <v>43</v>
      </c>
      <c r="Y8039" t="s">
        <v>43</v>
      </c>
      <c r="Z8039" t="s">
        <v>43</v>
      </c>
      <c r="AA8039" t="s">
        <v>43</v>
      </c>
      <c r="AB8039" t="s">
        <v>43</v>
      </c>
      <c r="AC8039" t="s">
        <v>43</v>
      </c>
      <c r="AD8039" t="s">
        <v>43</v>
      </c>
      <c r="AE8039" t="s">
        <v>43</v>
      </c>
      <c r="AF8039" t="s">
        <v>43</v>
      </c>
      <c r="AG8039" t="s">
        <v>43</v>
      </c>
      <c r="AH8039" t="s">
        <v>43</v>
      </c>
      <c r="AI8039" t="s">
        <v>43</v>
      </c>
      <c r="AJ8039" t="s">
        <v>43</v>
      </c>
      <c r="AK8039" t="s">
        <v>43</v>
      </c>
      <c r="AL8039" t="s">
        <v>43</v>
      </c>
      <c r="AM8039" t="s">
        <v>43</v>
      </c>
      <c r="AN8039" t="str">
        <f>HYPERLINK("https://www.google.com/maps?q=10.78968716,79.57876587","Open Location")</f>
        <v>Open Location</v>
      </c>
    </row>
    <row r="8040" spans="1:40" x14ac:dyDescent="0.3">
      <c r="A8040" s="1">
        <v>46210.068749999999</v>
      </c>
      <c r="B8040" t="s">
        <v>40</v>
      </c>
      <c r="C8040" t="s">
        <v>41</v>
      </c>
      <c r="D8040" s="1">
        <v>46210.071643518517</v>
      </c>
      <c r="E8040" t="s">
        <v>42</v>
      </c>
      <c r="F8040" t="s">
        <v>43</v>
      </c>
      <c r="G8040" t="s">
        <v>43</v>
      </c>
      <c r="H8040" t="s">
        <v>43</v>
      </c>
      <c r="I8040" t="s">
        <v>4381</v>
      </c>
      <c r="J8040" t="s">
        <v>43</v>
      </c>
      <c r="K8040" t="s">
        <v>43</v>
      </c>
      <c r="L8040" t="s">
        <v>43</v>
      </c>
      <c r="M8040" t="s">
        <v>43</v>
      </c>
      <c r="N8040" t="s">
        <v>45</v>
      </c>
      <c r="O8040" t="s">
        <v>43</v>
      </c>
      <c r="P8040" t="s">
        <v>43</v>
      </c>
      <c r="Q8040" t="s">
        <v>43</v>
      </c>
      <c r="R8040" t="s">
        <v>43</v>
      </c>
      <c r="S8040" t="s">
        <v>43</v>
      </c>
      <c r="T8040" t="s">
        <v>43</v>
      </c>
      <c r="U8040" t="s">
        <v>43</v>
      </c>
      <c r="V8040" t="s">
        <v>43</v>
      </c>
      <c r="W8040" t="s">
        <v>43</v>
      </c>
      <c r="X8040" t="s">
        <v>43</v>
      </c>
      <c r="Y8040" t="s">
        <v>43</v>
      </c>
      <c r="Z8040" t="s">
        <v>43</v>
      </c>
      <c r="AA8040" t="s">
        <v>43</v>
      </c>
      <c r="AB8040" t="s">
        <v>43</v>
      </c>
      <c r="AC8040" t="s">
        <v>43</v>
      </c>
      <c r="AD8040" t="s">
        <v>43</v>
      </c>
      <c r="AE8040" t="s">
        <v>43</v>
      </c>
      <c r="AF8040" t="s">
        <v>43</v>
      </c>
      <c r="AG8040" t="s">
        <v>43</v>
      </c>
      <c r="AH8040" t="s">
        <v>43</v>
      </c>
      <c r="AI8040" t="s">
        <v>43</v>
      </c>
      <c r="AJ8040" t="s">
        <v>43</v>
      </c>
      <c r="AK8040" t="s">
        <v>43</v>
      </c>
      <c r="AL8040" t="s">
        <v>43</v>
      </c>
      <c r="AM8040" t="s">
        <v>43</v>
      </c>
      <c r="AN8040" t="str">
        <f>HYPERLINK("https://www.google.com/maps?q=10.78969479,79.5787735","Open Location")</f>
        <v>Open Location</v>
      </c>
    </row>
    <row r="8041" spans="1:40" x14ac:dyDescent="0.3">
      <c r="A8041" s="1">
        <v>46210.06863425926</v>
      </c>
      <c r="B8041" t="s">
        <v>40</v>
      </c>
      <c r="C8041" t="s">
        <v>41</v>
      </c>
      <c r="D8041" s="1">
        <v>46210.071435185186</v>
      </c>
      <c r="E8041" t="s">
        <v>42</v>
      </c>
      <c r="F8041" t="s">
        <v>43</v>
      </c>
      <c r="G8041" t="s">
        <v>43</v>
      </c>
      <c r="H8041" t="s">
        <v>43</v>
      </c>
      <c r="I8041" t="s">
        <v>4382</v>
      </c>
      <c r="J8041" t="s">
        <v>43</v>
      </c>
      <c r="K8041" t="s">
        <v>43</v>
      </c>
      <c r="L8041" t="s">
        <v>43</v>
      </c>
      <c r="M8041" t="s">
        <v>43</v>
      </c>
      <c r="N8041" t="s">
        <v>45</v>
      </c>
      <c r="O8041" t="s">
        <v>43</v>
      </c>
      <c r="P8041" t="s">
        <v>43</v>
      </c>
      <c r="Q8041" t="s">
        <v>43</v>
      </c>
      <c r="R8041" t="s">
        <v>43</v>
      </c>
      <c r="S8041" t="s">
        <v>43</v>
      </c>
      <c r="T8041" t="s">
        <v>43</v>
      </c>
      <c r="U8041" t="s">
        <v>43</v>
      </c>
      <c r="V8041" t="s">
        <v>43</v>
      </c>
      <c r="W8041" t="s">
        <v>43</v>
      </c>
      <c r="X8041" t="s">
        <v>43</v>
      </c>
      <c r="Y8041" t="s">
        <v>43</v>
      </c>
      <c r="Z8041" t="s">
        <v>43</v>
      </c>
      <c r="AA8041" t="s">
        <v>43</v>
      </c>
      <c r="AB8041" t="s">
        <v>43</v>
      </c>
      <c r="AC8041" t="s">
        <v>43</v>
      </c>
      <c r="AD8041" t="s">
        <v>43</v>
      </c>
      <c r="AE8041" t="s">
        <v>43</v>
      </c>
      <c r="AF8041" t="s">
        <v>43</v>
      </c>
      <c r="AG8041" t="s">
        <v>43</v>
      </c>
      <c r="AH8041" t="s">
        <v>43</v>
      </c>
      <c r="AI8041" t="s">
        <v>43</v>
      </c>
      <c r="AJ8041" t="s">
        <v>43</v>
      </c>
      <c r="AK8041" t="s">
        <v>43</v>
      </c>
      <c r="AL8041" t="s">
        <v>43</v>
      </c>
      <c r="AM8041" t="s">
        <v>43</v>
      </c>
      <c r="AN8041" t="str">
        <f>HYPERLINK("https://www.google.com/maps?q=10.78969383,79.5787735","Open Location")</f>
        <v>Open Location</v>
      </c>
    </row>
    <row r="8042" spans="1:40" x14ac:dyDescent="0.3">
      <c r="A8042" s="1">
        <v>46210.068518518521</v>
      </c>
      <c r="B8042" t="s">
        <v>40</v>
      </c>
      <c r="C8042" t="s">
        <v>41</v>
      </c>
      <c r="D8042" s="1">
        <v>46210.071608796294</v>
      </c>
      <c r="E8042" t="s">
        <v>42</v>
      </c>
      <c r="F8042" t="s">
        <v>43</v>
      </c>
      <c r="G8042" t="s">
        <v>43</v>
      </c>
      <c r="H8042" t="s">
        <v>43</v>
      </c>
      <c r="I8042" t="s">
        <v>43</v>
      </c>
      <c r="J8042" t="s">
        <v>43</v>
      </c>
      <c r="K8042" t="s">
        <v>43</v>
      </c>
      <c r="L8042" t="s">
        <v>43</v>
      </c>
      <c r="M8042" t="s">
        <v>43</v>
      </c>
      <c r="N8042" t="s">
        <v>45</v>
      </c>
      <c r="O8042" t="s">
        <v>43</v>
      </c>
      <c r="P8042" t="s">
        <v>43</v>
      </c>
      <c r="Q8042" t="s">
        <v>43</v>
      </c>
      <c r="R8042" t="s">
        <v>43</v>
      </c>
      <c r="S8042" t="s">
        <v>43</v>
      </c>
      <c r="T8042" t="s">
        <v>43</v>
      </c>
      <c r="U8042" t="s">
        <v>43</v>
      </c>
      <c r="V8042" t="s">
        <v>43</v>
      </c>
      <c r="W8042" t="s">
        <v>43</v>
      </c>
      <c r="X8042" t="s">
        <v>43</v>
      </c>
      <c r="Y8042" t="s">
        <v>43</v>
      </c>
      <c r="Z8042" t="s">
        <v>43</v>
      </c>
      <c r="AA8042" t="s">
        <v>43</v>
      </c>
      <c r="AB8042" t="s">
        <v>43</v>
      </c>
      <c r="AC8042" t="s">
        <v>43</v>
      </c>
      <c r="AD8042" t="s">
        <v>43</v>
      </c>
      <c r="AE8042" t="s">
        <v>43</v>
      </c>
      <c r="AF8042" t="s">
        <v>43</v>
      </c>
      <c r="AG8042" t="s">
        <v>43</v>
      </c>
      <c r="AH8042" t="s">
        <v>43</v>
      </c>
      <c r="AI8042" t="s">
        <v>43</v>
      </c>
      <c r="AJ8042" t="s">
        <v>43</v>
      </c>
      <c r="AK8042" t="s">
        <v>43</v>
      </c>
      <c r="AL8042" t="s">
        <v>43</v>
      </c>
      <c r="AM8042" t="s">
        <v>43</v>
      </c>
      <c r="AN8042" t="s">
        <v>43</v>
      </c>
    </row>
    <row r="8043" spans="1:40" x14ac:dyDescent="0.3">
      <c r="A8043" s="1">
        <v>46210.068402777775</v>
      </c>
      <c r="B8043" t="s">
        <v>40</v>
      </c>
      <c r="C8043" t="s">
        <v>41</v>
      </c>
      <c r="D8043" s="1">
        <v>46210.071250000001</v>
      </c>
      <c r="E8043" t="s">
        <v>42</v>
      </c>
      <c r="F8043" t="s">
        <v>43</v>
      </c>
      <c r="G8043" t="s">
        <v>43</v>
      </c>
      <c r="H8043" t="s">
        <v>43</v>
      </c>
      <c r="I8043" t="s">
        <v>4383</v>
      </c>
      <c r="J8043" t="s">
        <v>43</v>
      </c>
      <c r="K8043" t="s">
        <v>43</v>
      </c>
      <c r="L8043" t="s">
        <v>43</v>
      </c>
      <c r="M8043" t="s">
        <v>43</v>
      </c>
      <c r="N8043" t="s">
        <v>45</v>
      </c>
      <c r="O8043" t="s">
        <v>43</v>
      </c>
      <c r="P8043" t="s">
        <v>43</v>
      </c>
      <c r="Q8043" t="s">
        <v>43</v>
      </c>
      <c r="R8043" t="s">
        <v>43</v>
      </c>
      <c r="S8043" t="s">
        <v>43</v>
      </c>
      <c r="T8043" t="s">
        <v>43</v>
      </c>
      <c r="U8043" t="s">
        <v>43</v>
      </c>
      <c r="V8043" t="s">
        <v>43</v>
      </c>
      <c r="W8043" t="s">
        <v>43</v>
      </c>
      <c r="X8043" t="s">
        <v>43</v>
      </c>
      <c r="Y8043" t="s">
        <v>43</v>
      </c>
      <c r="Z8043" t="s">
        <v>43</v>
      </c>
      <c r="AA8043" t="s">
        <v>43</v>
      </c>
      <c r="AB8043" t="s">
        <v>43</v>
      </c>
      <c r="AC8043" t="s">
        <v>43</v>
      </c>
      <c r="AD8043" t="s">
        <v>43</v>
      </c>
      <c r="AE8043" t="s">
        <v>43</v>
      </c>
      <c r="AF8043" t="s">
        <v>43</v>
      </c>
      <c r="AG8043" t="s">
        <v>43</v>
      </c>
      <c r="AH8043" t="s">
        <v>43</v>
      </c>
      <c r="AI8043" t="s">
        <v>43</v>
      </c>
      <c r="AJ8043" t="s">
        <v>43</v>
      </c>
      <c r="AK8043" t="s">
        <v>43</v>
      </c>
      <c r="AL8043" t="s">
        <v>43</v>
      </c>
      <c r="AM8043" t="s">
        <v>43</v>
      </c>
      <c r="AN8043" t="str">
        <f>HYPERLINK("https://www.google.com/maps?q=10.78969574,79.5787735","Open Location")</f>
        <v>Open Location</v>
      </c>
    </row>
    <row r="8044" spans="1:40" x14ac:dyDescent="0.3">
      <c r="A8044" s="1">
        <v>46210.068287037036</v>
      </c>
      <c r="B8044" t="s">
        <v>40</v>
      </c>
      <c r="C8044" t="s">
        <v>41</v>
      </c>
      <c r="D8044" s="1">
        <v>46210.071226851855</v>
      </c>
      <c r="E8044" t="s">
        <v>42</v>
      </c>
      <c r="F8044" t="s">
        <v>43</v>
      </c>
      <c r="G8044" t="s">
        <v>43</v>
      </c>
      <c r="H8044" t="s">
        <v>43</v>
      </c>
      <c r="I8044" t="s">
        <v>4384</v>
      </c>
      <c r="J8044" t="s">
        <v>43</v>
      </c>
      <c r="K8044" t="s">
        <v>43</v>
      </c>
      <c r="L8044" t="s">
        <v>43</v>
      </c>
      <c r="M8044" t="s">
        <v>43</v>
      </c>
      <c r="N8044" t="s">
        <v>45</v>
      </c>
      <c r="O8044" t="s">
        <v>43</v>
      </c>
      <c r="P8044" t="s">
        <v>43</v>
      </c>
      <c r="Q8044" t="s">
        <v>43</v>
      </c>
      <c r="R8044" t="s">
        <v>43</v>
      </c>
      <c r="S8044" t="s">
        <v>43</v>
      </c>
      <c r="T8044" t="s">
        <v>43</v>
      </c>
      <c r="U8044" t="s">
        <v>43</v>
      </c>
      <c r="V8044" t="s">
        <v>43</v>
      </c>
      <c r="W8044" t="s">
        <v>43</v>
      </c>
      <c r="X8044" t="s">
        <v>43</v>
      </c>
      <c r="Y8044" t="s">
        <v>43</v>
      </c>
      <c r="Z8044" t="s">
        <v>43</v>
      </c>
      <c r="AA8044" t="s">
        <v>43</v>
      </c>
      <c r="AB8044" t="s">
        <v>43</v>
      </c>
      <c r="AC8044" t="s">
        <v>43</v>
      </c>
      <c r="AD8044" t="s">
        <v>43</v>
      </c>
      <c r="AE8044" t="s">
        <v>43</v>
      </c>
      <c r="AF8044" t="s">
        <v>43</v>
      </c>
      <c r="AG8044" t="s">
        <v>43</v>
      </c>
      <c r="AH8044" t="s">
        <v>43</v>
      </c>
      <c r="AI8044" t="s">
        <v>43</v>
      </c>
      <c r="AJ8044" t="s">
        <v>43</v>
      </c>
      <c r="AK8044" t="s">
        <v>43</v>
      </c>
      <c r="AL8044" t="s">
        <v>43</v>
      </c>
      <c r="AM8044" t="s">
        <v>43</v>
      </c>
      <c r="AN8044" t="str">
        <f>HYPERLINK("https://www.google.com/maps?q=10.78969765,79.5787735","Open Location")</f>
        <v>Open Location</v>
      </c>
    </row>
    <row r="8045" spans="1:40" x14ac:dyDescent="0.3">
      <c r="A8045" s="1">
        <v>46210.068171296298</v>
      </c>
      <c r="B8045" t="s">
        <v>40</v>
      </c>
      <c r="C8045" t="s">
        <v>41</v>
      </c>
      <c r="D8045" s="1">
        <v>46210.071134259262</v>
      </c>
      <c r="E8045" t="s">
        <v>42</v>
      </c>
      <c r="F8045" t="s">
        <v>43</v>
      </c>
      <c r="G8045" t="s">
        <v>43</v>
      </c>
      <c r="H8045" t="s">
        <v>43</v>
      </c>
      <c r="I8045" t="s">
        <v>4385</v>
      </c>
      <c r="J8045" t="s">
        <v>43</v>
      </c>
      <c r="K8045" t="s">
        <v>43</v>
      </c>
      <c r="L8045" t="s">
        <v>43</v>
      </c>
      <c r="M8045" t="s">
        <v>43</v>
      </c>
      <c r="N8045" t="s">
        <v>45</v>
      </c>
      <c r="O8045" t="s">
        <v>43</v>
      </c>
      <c r="P8045" t="s">
        <v>43</v>
      </c>
      <c r="Q8045" t="s">
        <v>43</v>
      </c>
      <c r="R8045" t="s">
        <v>43</v>
      </c>
      <c r="S8045" t="s">
        <v>43</v>
      </c>
      <c r="T8045" t="s">
        <v>43</v>
      </c>
      <c r="U8045" t="s">
        <v>43</v>
      </c>
      <c r="V8045" t="s">
        <v>43</v>
      </c>
      <c r="W8045" t="s">
        <v>43</v>
      </c>
      <c r="X8045" t="s">
        <v>43</v>
      </c>
      <c r="Y8045" t="s">
        <v>43</v>
      </c>
      <c r="Z8045" t="s">
        <v>43</v>
      </c>
      <c r="AA8045" t="s">
        <v>43</v>
      </c>
      <c r="AB8045" t="s">
        <v>43</v>
      </c>
      <c r="AC8045" t="s">
        <v>43</v>
      </c>
      <c r="AD8045" t="s">
        <v>43</v>
      </c>
      <c r="AE8045" t="s">
        <v>43</v>
      </c>
      <c r="AF8045" t="s">
        <v>43</v>
      </c>
      <c r="AG8045" t="s">
        <v>43</v>
      </c>
      <c r="AH8045" t="s">
        <v>43</v>
      </c>
      <c r="AI8045" t="s">
        <v>43</v>
      </c>
      <c r="AJ8045" t="s">
        <v>43</v>
      </c>
      <c r="AK8045" t="s">
        <v>43</v>
      </c>
      <c r="AL8045" t="s">
        <v>43</v>
      </c>
      <c r="AM8045" t="s">
        <v>43</v>
      </c>
      <c r="AN8045" t="str">
        <f>HYPERLINK("https://www.google.com/maps?q=10.7896986,79.57878113","Open Location")</f>
        <v>Open Location</v>
      </c>
    </row>
    <row r="8046" spans="1:40" x14ac:dyDescent="0.3">
      <c r="A8046" s="1">
        <v>46210.068055555559</v>
      </c>
      <c r="B8046" t="s">
        <v>40</v>
      </c>
      <c r="C8046" t="s">
        <v>41</v>
      </c>
      <c r="D8046" s="1">
        <v>46210.070810185185</v>
      </c>
      <c r="E8046" t="s">
        <v>42</v>
      </c>
      <c r="F8046" t="s">
        <v>43</v>
      </c>
      <c r="G8046" t="s">
        <v>43</v>
      </c>
      <c r="H8046" t="s">
        <v>43</v>
      </c>
      <c r="I8046" t="s">
        <v>4386</v>
      </c>
      <c r="J8046" t="s">
        <v>43</v>
      </c>
      <c r="K8046" t="s">
        <v>43</v>
      </c>
      <c r="L8046" t="s">
        <v>43</v>
      </c>
      <c r="M8046" t="s">
        <v>43</v>
      </c>
      <c r="N8046" t="s">
        <v>45</v>
      </c>
      <c r="O8046" t="s">
        <v>43</v>
      </c>
      <c r="P8046" t="s">
        <v>43</v>
      </c>
      <c r="Q8046" t="s">
        <v>43</v>
      </c>
      <c r="R8046" t="s">
        <v>43</v>
      </c>
      <c r="S8046" t="s">
        <v>43</v>
      </c>
      <c r="T8046" t="s">
        <v>43</v>
      </c>
      <c r="U8046" t="s">
        <v>43</v>
      </c>
      <c r="V8046" t="s">
        <v>43</v>
      </c>
      <c r="W8046" t="s">
        <v>43</v>
      </c>
      <c r="X8046" t="s">
        <v>43</v>
      </c>
      <c r="Y8046" t="s">
        <v>43</v>
      </c>
      <c r="Z8046" t="s">
        <v>43</v>
      </c>
      <c r="AA8046" t="s">
        <v>43</v>
      </c>
      <c r="AB8046" t="s">
        <v>43</v>
      </c>
      <c r="AC8046" t="s">
        <v>43</v>
      </c>
      <c r="AD8046" t="s">
        <v>43</v>
      </c>
      <c r="AE8046" t="s">
        <v>43</v>
      </c>
      <c r="AF8046" t="s">
        <v>43</v>
      </c>
      <c r="AG8046" t="s">
        <v>43</v>
      </c>
      <c r="AH8046" t="s">
        <v>43</v>
      </c>
      <c r="AI8046" t="s">
        <v>43</v>
      </c>
      <c r="AJ8046" t="s">
        <v>43</v>
      </c>
      <c r="AK8046" t="s">
        <v>43</v>
      </c>
      <c r="AL8046" t="s">
        <v>43</v>
      </c>
      <c r="AM8046" t="s">
        <v>43</v>
      </c>
      <c r="AN8046" t="str">
        <f>HYPERLINK("https://www.google.com/maps?q=10.78969574,79.57878113","Open Location")</f>
        <v>Open Location</v>
      </c>
    </row>
    <row r="8047" spans="1:40" x14ac:dyDescent="0.3">
      <c r="A8047" s="1">
        <v>46210.067939814813</v>
      </c>
      <c r="B8047" t="s">
        <v>40</v>
      </c>
      <c r="C8047" t="s">
        <v>41</v>
      </c>
      <c r="D8047" s="1">
        <v>46210.070671296293</v>
      </c>
      <c r="E8047" t="s">
        <v>42</v>
      </c>
      <c r="F8047" t="s">
        <v>43</v>
      </c>
      <c r="G8047" t="s">
        <v>43</v>
      </c>
      <c r="H8047" t="s">
        <v>43</v>
      </c>
      <c r="I8047" t="s">
        <v>4387</v>
      </c>
      <c r="J8047" t="s">
        <v>43</v>
      </c>
      <c r="K8047" t="s">
        <v>43</v>
      </c>
      <c r="L8047" t="s">
        <v>43</v>
      </c>
      <c r="M8047" t="s">
        <v>43</v>
      </c>
      <c r="N8047" t="s">
        <v>45</v>
      </c>
      <c r="O8047" t="s">
        <v>43</v>
      </c>
      <c r="P8047" t="s">
        <v>43</v>
      </c>
      <c r="Q8047" t="s">
        <v>43</v>
      </c>
      <c r="R8047" t="s">
        <v>43</v>
      </c>
      <c r="S8047" t="s">
        <v>43</v>
      </c>
      <c r="T8047" t="s">
        <v>43</v>
      </c>
      <c r="U8047" t="s">
        <v>43</v>
      </c>
      <c r="V8047" t="s">
        <v>43</v>
      </c>
      <c r="W8047" t="s">
        <v>43</v>
      </c>
      <c r="X8047" t="s">
        <v>43</v>
      </c>
      <c r="Y8047" t="s">
        <v>43</v>
      </c>
      <c r="Z8047" t="s">
        <v>43</v>
      </c>
      <c r="AA8047" t="s">
        <v>43</v>
      </c>
      <c r="AB8047" t="s">
        <v>43</v>
      </c>
      <c r="AC8047" t="s">
        <v>43</v>
      </c>
      <c r="AD8047" t="s">
        <v>43</v>
      </c>
      <c r="AE8047" t="s">
        <v>43</v>
      </c>
      <c r="AF8047" t="s">
        <v>43</v>
      </c>
      <c r="AG8047" t="s">
        <v>43</v>
      </c>
      <c r="AH8047" t="s">
        <v>43</v>
      </c>
      <c r="AI8047" t="s">
        <v>43</v>
      </c>
      <c r="AJ8047" t="s">
        <v>43</v>
      </c>
      <c r="AK8047" t="s">
        <v>43</v>
      </c>
      <c r="AL8047" t="s">
        <v>43</v>
      </c>
      <c r="AM8047" t="s">
        <v>43</v>
      </c>
      <c r="AN8047" t="str">
        <f>HYPERLINK("https://www.google.com/maps?q=10.78970242,79.5787735","Open Location")</f>
        <v>Open Location</v>
      </c>
    </row>
    <row r="8048" spans="1:40" x14ac:dyDescent="0.3">
      <c r="A8048" s="1">
        <v>46210.067824074074</v>
      </c>
      <c r="B8048" t="s">
        <v>40</v>
      </c>
      <c r="C8048" t="s">
        <v>41</v>
      </c>
      <c r="D8048" s="1">
        <v>46210.07068287037</v>
      </c>
      <c r="E8048" t="s">
        <v>42</v>
      </c>
      <c r="F8048" t="s">
        <v>43</v>
      </c>
      <c r="G8048" t="s">
        <v>43</v>
      </c>
      <c r="H8048" t="s">
        <v>43</v>
      </c>
      <c r="I8048" t="s">
        <v>43</v>
      </c>
      <c r="J8048" t="s">
        <v>43</v>
      </c>
      <c r="K8048" t="s">
        <v>43</v>
      </c>
      <c r="L8048" t="s">
        <v>43</v>
      </c>
      <c r="M8048" t="s">
        <v>43</v>
      </c>
      <c r="N8048" t="s">
        <v>45</v>
      </c>
      <c r="O8048" t="s">
        <v>43</v>
      </c>
      <c r="P8048" t="s">
        <v>43</v>
      </c>
      <c r="Q8048" t="s">
        <v>43</v>
      </c>
      <c r="R8048" t="s">
        <v>43</v>
      </c>
      <c r="S8048" t="s">
        <v>43</v>
      </c>
      <c r="T8048" t="s">
        <v>43</v>
      </c>
      <c r="U8048" t="s">
        <v>43</v>
      </c>
      <c r="V8048" t="s">
        <v>43</v>
      </c>
      <c r="W8048" t="s">
        <v>43</v>
      </c>
      <c r="X8048" t="s">
        <v>43</v>
      </c>
      <c r="Y8048" t="s">
        <v>43</v>
      </c>
      <c r="Z8048" t="s">
        <v>43</v>
      </c>
      <c r="AA8048" t="s">
        <v>43</v>
      </c>
      <c r="AB8048" t="s">
        <v>43</v>
      </c>
      <c r="AC8048" t="s">
        <v>43</v>
      </c>
      <c r="AD8048" t="s">
        <v>43</v>
      </c>
      <c r="AE8048" t="s">
        <v>43</v>
      </c>
      <c r="AF8048" t="s">
        <v>43</v>
      </c>
      <c r="AG8048" t="s">
        <v>43</v>
      </c>
      <c r="AH8048" t="s">
        <v>43</v>
      </c>
      <c r="AI8048" t="s">
        <v>43</v>
      </c>
      <c r="AJ8048" t="s">
        <v>43</v>
      </c>
      <c r="AK8048" t="s">
        <v>43</v>
      </c>
      <c r="AL8048" t="s">
        <v>43</v>
      </c>
      <c r="AM8048" t="s">
        <v>43</v>
      </c>
      <c r="AN8048" t="s">
        <v>43</v>
      </c>
    </row>
    <row r="8049" spans="1:40" x14ac:dyDescent="0.3">
      <c r="A8049" s="1">
        <v>46210.067708333336</v>
      </c>
      <c r="B8049" t="s">
        <v>40</v>
      </c>
      <c r="C8049" t="s">
        <v>41</v>
      </c>
      <c r="D8049" s="1">
        <v>46210.070439814815</v>
      </c>
      <c r="E8049" t="s">
        <v>42</v>
      </c>
      <c r="F8049" t="s">
        <v>43</v>
      </c>
      <c r="G8049" t="s">
        <v>43</v>
      </c>
      <c r="H8049" t="s">
        <v>43</v>
      </c>
      <c r="I8049" t="s">
        <v>4388</v>
      </c>
      <c r="J8049" t="s">
        <v>43</v>
      </c>
      <c r="K8049" t="s">
        <v>43</v>
      </c>
      <c r="L8049" t="s">
        <v>43</v>
      </c>
      <c r="M8049" t="s">
        <v>43</v>
      </c>
      <c r="N8049" t="s">
        <v>45</v>
      </c>
      <c r="O8049" t="s">
        <v>43</v>
      </c>
      <c r="P8049" t="s">
        <v>43</v>
      </c>
      <c r="Q8049" t="s">
        <v>43</v>
      </c>
      <c r="R8049" t="s">
        <v>43</v>
      </c>
      <c r="S8049" t="s">
        <v>43</v>
      </c>
      <c r="T8049" t="s">
        <v>43</v>
      </c>
      <c r="U8049" t="s">
        <v>43</v>
      </c>
      <c r="V8049" t="s">
        <v>43</v>
      </c>
      <c r="W8049" t="s">
        <v>43</v>
      </c>
      <c r="X8049" t="s">
        <v>43</v>
      </c>
      <c r="Y8049" t="s">
        <v>43</v>
      </c>
      <c r="Z8049" t="s">
        <v>43</v>
      </c>
      <c r="AA8049" t="s">
        <v>43</v>
      </c>
      <c r="AB8049" t="s">
        <v>43</v>
      </c>
      <c r="AC8049" t="s">
        <v>43</v>
      </c>
      <c r="AD8049" t="s">
        <v>43</v>
      </c>
      <c r="AE8049" t="s">
        <v>43</v>
      </c>
      <c r="AF8049" t="s">
        <v>43</v>
      </c>
      <c r="AG8049" t="s">
        <v>43</v>
      </c>
      <c r="AH8049" t="s">
        <v>43</v>
      </c>
      <c r="AI8049" t="s">
        <v>43</v>
      </c>
      <c r="AJ8049" t="s">
        <v>43</v>
      </c>
      <c r="AK8049" t="s">
        <v>43</v>
      </c>
      <c r="AL8049" t="s">
        <v>43</v>
      </c>
      <c r="AM8049" t="s">
        <v>43</v>
      </c>
      <c r="AN8049" t="str">
        <f>HYPERLINK("https://www.google.com/maps?q=10.78970242,79.57876587","Open Location")</f>
        <v>Open Location</v>
      </c>
    </row>
    <row r="8050" spans="1:40" x14ac:dyDescent="0.3">
      <c r="A8050" s="1">
        <v>46210.06759259259</v>
      </c>
      <c r="B8050" t="s">
        <v>40</v>
      </c>
      <c r="C8050" t="s">
        <v>41</v>
      </c>
      <c r="D8050" s="1">
        <v>46210.070462962962</v>
      </c>
      <c r="E8050" t="s">
        <v>42</v>
      </c>
      <c r="F8050" t="s">
        <v>43</v>
      </c>
      <c r="G8050" t="s">
        <v>43</v>
      </c>
      <c r="H8050" t="s">
        <v>43</v>
      </c>
      <c r="I8050" t="s">
        <v>4388</v>
      </c>
      <c r="J8050" t="s">
        <v>43</v>
      </c>
      <c r="K8050" t="s">
        <v>43</v>
      </c>
      <c r="L8050" t="s">
        <v>43</v>
      </c>
      <c r="M8050" t="s">
        <v>43</v>
      </c>
      <c r="N8050" t="s">
        <v>45</v>
      </c>
      <c r="O8050" t="s">
        <v>43</v>
      </c>
      <c r="P8050" t="s">
        <v>43</v>
      </c>
      <c r="Q8050" t="s">
        <v>43</v>
      </c>
      <c r="R8050" t="s">
        <v>43</v>
      </c>
      <c r="S8050" t="s">
        <v>43</v>
      </c>
      <c r="T8050" t="s">
        <v>43</v>
      </c>
      <c r="U8050" t="s">
        <v>43</v>
      </c>
      <c r="V8050" t="s">
        <v>43</v>
      </c>
      <c r="W8050" t="s">
        <v>43</v>
      </c>
      <c r="X8050" t="s">
        <v>43</v>
      </c>
      <c r="Y8050" t="s">
        <v>43</v>
      </c>
      <c r="Z8050" t="s">
        <v>43</v>
      </c>
      <c r="AA8050" t="s">
        <v>43</v>
      </c>
      <c r="AB8050" t="s">
        <v>43</v>
      </c>
      <c r="AC8050" t="s">
        <v>43</v>
      </c>
      <c r="AD8050" t="s">
        <v>43</v>
      </c>
      <c r="AE8050" t="s">
        <v>43</v>
      </c>
      <c r="AF8050" t="s">
        <v>43</v>
      </c>
      <c r="AG8050" t="s">
        <v>43</v>
      </c>
      <c r="AH8050" t="s">
        <v>43</v>
      </c>
      <c r="AI8050" t="s">
        <v>43</v>
      </c>
      <c r="AJ8050" t="s">
        <v>43</v>
      </c>
      <c r="AK8050" t="s">
        <v>43</v>
      </c>
      <c r="AL8050" t="s">
        <v>43</v>
      </c>
      <c r="AM8050" t="s">
        <v>43</v>
      </c>
      <c r="AN8050" t="str">
        <f>HYPERLINK("https://www.google.com/maps?q=10.78970242,79.57876587","Open Location")</f>
        <v>Open Location</v>
      </c>
    </row>
    <row r="8051" spans="1:40" x14ac:dyDescent="0.3">
      <c r="A8051" s="1">
        <v>46210.067476851851</v>
      </c>
      <c r="B8051" t="s">
        <v>40</v>
      </c>
      <c r="C8051" t="s">
        <v>41</v>
      </c>
      <c r="D8051" s="1">
        <v>46210.070439814815</v>
      </c>
      <c r="E8051" t="s">
        <v>42</v>
      </c>
      <c r="F8051" t="s">
        <v>43</v>
      </c>
      <c r="G8051" t="s">
        <v>43</v>
      </c>
      <c r="H8051" t="s">
        <v>43</v>
      </c>
      <c r="I8051" t="s">
        <v>4387</v>
      </c>
      <c r="J8051" t="s">
        <v>43</v>
      </c>
      <c r="K8051" t="s">
        <v>43</v>
      </c>
      <c r="L8051" t="s">
        <v>43</v>
      </c>
      <c r="M8051" t="s">
        <v>43</v>
      </c>
      <c r="N8051" t="s">
        <v>45</v>
      </c>
      <c r="O8051" t="s">
        <v>43</v>
      </c>
      <c r="P8051" t="s">
        <v>43</v>
      </c>
      <c r="Q8051" t="s">
        <v>43</v>
      </c>
      <c r="R8051" t="s">
        <v>43</v>
      </c>
      <c r="S8051" t="s">
        <v>43</v>
      </c>
      <c r="T8051" t="s">
        <v>43</v>
      </c>
      <c r="U8051" t="s">
        <v>43</v>
      </c>
      <c r="V8051" t="s">
        <v>43</v>
      </c>
      <c r="W8051" t="s">
        <v>43</v>
      </c>
      <c r="X8051" t="s">
        <v>43</v>
      </c>
      <c r="Y8051" t="s">
        <v>43</v>
      </c>
      <c r="Z8051" t="s">
        <v>43</v>
      </c>
      <c r="AA8051" t="s">
        <v>43</v>
      </c>
      <c r="AB8051" t="s">
        <v>43</v>
      </c>
      <c r="AC8051" t="s">
        <v>43</v>
      </c>
      <c r="AD8051" t="s">
        <v>43</v>
      </c>
      <c r="AE8051" t="s">
        <v>43</v>
      </c>
      <c r="AF8051" t="s">
        <v>43</v>
      </c>
      <c r="AG8051" t="s">
        <v>43</v>
      </c>
      <c r="AH8051" t="s">
        <v>43</v>
      </c>
      <c r="AI8051" t="s">
        <v>43</v>
      </c>
      <c r="AJ8051" t="s">
        <v>43</v>
      </c>
      <c r="AK8051" t="s">
        <v>43</v>
      </c>
      <c r="AL8051" t="s">
        <v>43</v>
      </c>
      <c r="AM8051" t="s">
        <v>43</v>
      </c>
      <c r="AN8051" t="str">
        <f>HYPERLINK("https://www.google.com/maps?q=10.78970242,79.5787735","Open Location")</f>
        <v>Open Location</v>
      </c>
    </row>
    <row r="8052" spans="1:40" x14ac:dyDescent="0.3">
      <c r="A8052" s="1">
        <v>46210.067361111112</v>
      </c>
      <c r="B8052" t="s">
        <v>40</v>
      </c>
      <c r="C8052" t="s">
        <v>41</v>
      </c>
      <c r="D8052" s="1">
        <v>46210.070324074077</v>
      </c>
      <c r="E8052" t="s">
        <v>42</v>
      </c>
      <c r="F8052" t="s">
        <v>43</v>
      </c>
      <c r="G8052" t="s">
        <v>43</v>
      </c>
      <c r="H8052" t="s">
        <v>43</v>
      </c>
      <c r="I8052" t="s">
        <v>4389</v>
      </c>
      <c r="J8052" t="s">
        <v>43</v>
      </c>
      <c r="K8052" t="s">
        <v>43</v>
      </c>
      <c r="L8052" t="s">
        <v>43</v>
      </c>
      <c r="M8052" t="s">
        <v>43</v>
      </c>
      <c r="N8052" t="s">
        <v>45</v>
      </c>
      <c r="O8052" t="s">
        <v>43</v>
      </c>
      <c r="P8052" t="s">
        <v>43</v>
      </c>
      <c r="Q8052" t="s">
        <v>43</v>
      </c>
      <c r="R8052" t="s">
        <v>43</v>
      </c>
      <c r="S8052" t="s">
        <v>43</v>
      </c>
      <c r="T8052" t="s">
        <v>43</v>
      </c>
      <c r="U8052" t="s">
        <v>43</v>
      </c>
      <c r="V8052" t="s">
        <v>43</v>
      </c>
      <c r="W8052" t="s">
        <v>43</v>
      </c>
      <c r="X8052" t="s">
        <v>43</v>
      </c>
      <c r="Y8052" t="s">
        <v>43</v>
      </c>
      <c r="Z8052" t="s">
        <v>43</v>
      </c>
      <c r="AA8052" t="s">
        <v>43</v>
      </c>
      <c r="AB8052" t="s">
        <v>43</v>
      </c>
      <c r="AC8052" t="s">
        <v>43</v>
      </c>
      <c r="AD8052" t="s">
        <v>43</v>
      </c>
      <c r="AE8052" t="s">
        <v>43</v>
      </c>
      <c r="AF8052" t="s">
        <v>43</v>
      </c>
      <c r="AG8052" t="s">
        <v>43</v>
      </c>
      <c r="AH8052" t="s">
        <v>43</v>
      </c>
      <c r="AI8052" t="s">
        <v>43</v>
      </c>
      <c r="AJ8052" t="s">
        <v>43</v>
      </c>
      <c r="AK8052" t="s">
        <v>43</v>
      </c>
      <c r="AL8052" t="s">
        <v>43</v>
      </c>
      <c r="AM8052" t="s">
        <v>43</v>
      </c>
      <c r="AN8052" t="str">
        <f>HYPERLINK("https://www.google.com/maps?q=10.7896986,79.5787735","Open Location")</f>
        <v>Open Location</v>
      </c>
    </row>
    <row r="8053" spans="1:40" x14ac:dyDescent="0.3">
      <c r="A8053" s="1">
        <v>46210.067245370374</v>
      </c>
      <c r="B8053" t="s">
        <v>40</v>
      </c>
      <c r="C8053" t="s">
        <v>41</v>
      </c>
      <c r="D8053" s="1">
        <v>46210.070069444446</v>
      </c>
      <c r="E8053" t="s">
        <v>42</v>
      </c>
      <c r="F8053" t="s">
        <v>43</v>
      </c>
      <c r="G8053" t="s">
        <v>43</v>
      </c>
      <c r="H8053" t="s">
        <v>43</v>
      </c>
      <c r="I8053" t="s">
        <v>43</v>
      </c>
      <c r="J8053" t="s">
        <v>43</v>
      </c>
      <c r="K8053" t="s">
        <v>43</v>
      </c>
      <c r="L8053" t="s">
        <v>43</v>
      </c>
      <c r="M8053" t="s">
        <v>43</v>
      </c>
      <c r="N8053" t="s">
        <v>45</v>
      </c>
      <c r="O8053" t="s">
        <v>43</v>
      </c>
      <c r="P8053" t="s">
        <v>43</v>
      </c>
      <c r="Q8053" t="s">
        <v>43</v>
      </c>
      <c r="R8053" t="s">
        <v>43</v>
      </c>
      <c r="S8053" t="s">
        <v>43</v>
      </c>
      <c r="T8053" t="s">
        <v>43</v>
      </c>
      <c r="U8053" t="s">
        <v>43</v>
      </c>
      <c r="V8053" t="s">
        <v>43</v>
      </c>
      <c r="W8053" t="s">
        <v>43</v>
      </c>
      <c r="X8053" t="s">
        <v>43</v>
      </c>
      <c r="Y8053" t="s">
        <v>43</v>
      </c>
      <c r="Z8053" t="s">
        <v>43</v>
      </c>
      <c r="AA8053" t="s">
        <v>43</v>
      </c>
      <c r="AB8053" t="s">
        <v>43</v>
      </c>
      <c r="AC8053" t="s">
        <v>43</v>
      </c>
      <c r="AD8053" t="s">
        <v>43</v>
      </c>
      <c r="AE8053" t="s">
        <v>43</v>
      </c>
      <c r="AF8053" t="s">
        <v>43</v>
      </c>
      <c r="AG8053" t="s">
        <v>43</v>
      </c>
      <c r="AH8053" t="s">
        <v>43</v>
      </c>
      <c r="AI8053" t="s">
        <v>43</v>
      </c>
      <c r="AJ8053" t="s">
        <v>43</v>
      </c>
      <c r="AK8053" t="s">
        <v>43</v>
      </c>
      <c r="AL8053" t="s">
        <v>43</v>
      </c>
      <c r="AM8053" t="s">
        <v>43</v>
      </c>
      <c r="AN8053" t="s">
        <v>43</v>
      </c>
    </row>
    <row r="8054" spans="1:40" x14ac:dyDescent="0.3">
      <c r="A8054" s="1">
        <v>46210.067129629628</v>
      </c>
      <c r="B8054" t="s">
        <v>40</v>
      </c>
      <c r="C8054" t="s">
        <v>41</v>
      </c>
      <c r="D8054" s="1">
        <v>46210.069930555554</v>
      </c>
      <c r="E8054" t="s">
        <v>42</v>
      </c>
      <c r="F8054" t="s">
        <v>43</v>
      </c>
      <c r="G8054" t="s">
        <v>43</v>
      </c>
      <c r="H8054" t="s">
        <v>43</v>
      </c>
      <c r="I8054" t="s">
        <v>4390</v>
      </c>
      <c r="J8054" t="s">
        <v>43</v>
      </c>
      <c r="K8054" t="s">
        <v>43</v>
      </c>
      <c r="L8054" t="s">
        <v>43</v>
      </c>
      <c r="M8054" t="s">
        <v>43</v>
      </c>
      <c r="N8054" t="s">
        <v>45</v>
      </c>
      <c r="O8054" t="s">
        <v>43</v>
      </c>
      <c r="P8054" t="s">
        <v>43</v>
      </c>
      <c r="Q8054" t="s">
        <v>43</v>
      </c>
      <c r="R8054" t="s">
        <v>43</v>
      </c>
      <c r="S8054" t="s">
        <v>43</v>
      </c>
      <c r="T8054" t="s">
        <v>43</v>
      </c>
      <c r="U8054" t="s">
        <v>43</v>
      </c>
      <c r="V8054" t="s">
        <v>43</v>
      </c>
      <c r="W8054" t="s">
        <v>43</v>
      </c>
      <c r="X8054" t="s">
        <v>43</v>
      </c>
      <c r="Y8054" t="s">
        <v>43</v>
      </c>
      <c r="Z8054" t="s">
        <v>43</v>
      </c>
      <c r="AA8054" t="s">
        <v>43</v>
      </c>
      <c r="AB8054" t="s">
        <v>43</v>
      </c>
      <c r="AC8054" t="s">
        <v>43</v>
      </c>
      <c r="AD8054" t="s">
        <v>43</v>
      </c>
      <c r="AE8054" t="s">
        <v>43</v>
      </c>
      <c r="AF8054" t="s">
        <v>43</v>
      </c>
      <c r="AG8054" t="s">
        <v>43</v>
      </c>
      <c r="AH8054" t="s">
        <v>43</v>
      </c>
      <c r="AI8054" t="s">
        <v>43</v>
      </c>
      <c r="AJ8054" t="s">
        <v>43</v>
      </c>
      <c r="AK8054" t="s">
        <v>43</v>
      </c>
      <c r="AL8054" t="s">
        <v>43</v>
      </c>
      <c r="AM8054" t="s">
        <v>43</v>
      </c>
      <c r="AN8054" t="str">
        <f>HYPERLINK("https://www.google.com/maps?q=10.78969479,79.57876587","Open Location")</f>
        <v>Open Location</v>
      </c>
    </row>
    <row r="8055" spans="1:40" x14ac:dyDescent="0.3">
      <c r="A8055" s="1">
        <v>46210.067013888889</v>
      </c>
      <c r="B8055" t="s">
        <v>40</v>
      </c>
      <c r="C8055" t="s">
        <v>41</v>
      </c>
      <c r="D8055" s="1">
        <v>46210.069699074076</v>
      </c>
      <c r="E8055" t="s">
        <v>42</v>
      </c>
      <c r="F8055" t="s">
        <v>43</v>
      </c>
      <c r="G8055" t="s">
        <v>43</v>
      </c>
      <c r="H8055" t="s">
        <v>43</v>
      </c>
      <c r="I8055" t="s">
        <v>4379</v>
      </c>
      <c r="J8055" t="s">
        <v>43</v>
      </c>
      <c r="K8055" t="s">
        <v>43</v>
      </c>
      <c r="L8055" t="s">
        <v>43</v>
      </c>
      <c r="M8055" t="s">
        <v>43</v>
      </c>
      <c r="N8055" t="s">
        <v>45</v>
      </c>
      <c r="O8055" t="s">
        <v>43</v>
      </c>
      <c r="P8055" t="s">
        <v>43</v>
      </c>
      <c r="Q8055" t="s">
        <v>43</v>
      </c>
      <c r="R8055" t="s">
        <v>43</v>
      </c>
      <c r="S8055" t="s">
        <v>43</v>
      </c>
      <c r="T8055" t="s">
        <v>43</v>
      </c>
      <c r="U8055" t="s">
        <v>43</v>
      </c>
      <c r="V8055" t="s">
        <v>43</v>
      </c>
      <c r="W8055" t="s">
        <v>43</v>
      </c>
      <c r="X8055" t="s">
        <v>43</v>
      </c>
      <c r="Y8055" t="s">
        <v>43</v>
      </c>
      <c r="Z8055" t="s">
        <v>43</v>
      </c>
      <c r="AA8055" t="s">
        <v>43</v>
      </c>
      <c r="AB8055" t="s">
        <v>43</v>
      </c>
      <c r="AC8055" t="s">
        <v>43</v>
      </c>
      <c r="AD8055" t="s">
        <v>43</v>
      </c>
      <c r="AE8055" t="s">
        <v>43</v>
      </c>
      <c r="AF8055" t="s">
        <v>43</v>
      </c>
      <c r="AG8055" t="s">
        <v>43</v>
      </c>
      <c r="AH8055" t="s">
        <v>43</v>
      </c>
      <c r="AI8055" t="s">
        <v>43</v>
      </c>
      <c r="AJ8055" t="s">
        <v>43</v>
      </c>
      <c r="AK8055" t="s">
        <v>43</v>
      </c>
      <c r="AL8055" t="s">
        <v>43</v>
      </c>
      <c r="AM8055" t="s">
        <v>43</v>
      </c>
      <c r="AN8055" t="str">
        <f>HYPERLINK("https://www.google.com/maps?q=10.78969574,79.57876587","Open Location")</f>
        <v>Open Location</v>
      </c>
    </row>
    <row r="8056" spans="1:40" x14ac:dyDescent="0.3">
      <c r="A8056" s="1">
        <v>46210.06689814815</v>
      </c>
      <c r="B8056" t="s">
        <v>40</v>
      </c>
      <c r="C8056" t="s">
        <v>41</v>
      </c>
      <c r="D8056" s="1">
        <v>46210.069884259261</v>
      </c>
      <c r="E8056" t="s">
        <v>42</v>
      </c>
      <c r="F8056" t="s">
        <v>43</v>
      </c>
      <c r="G8056" t="s">
        <v>43</v>
      </c>
      <c r="H8056" t="s">
        <v>43</v>
      </c>
      <c r="I8056" t="s">
        <v>4390</v>
      </c>
      <c r="J8056" t="s">
        <v>43</v>
      </c>
      <c r="K8056" t="s">
        <v>43</v>
      </c>
      <c r="L8056" t="s">
        <v>43</v>
      </c>
      <c r="M8056" t="s">
        <v>43</v>
      </c>
      <c r="N8056" t="s">
        <v>45</v>
      </c>
      <c r="O8056" t="s">
        <v>43</v>
      </c>
      <c r="P8056" t="s">
        <v>43</v>
      </c>
      <c r="Q8056" t="s">
        <v>43</v>
      </c>
      <c r="R8056" t="s">
        <v>43</v>
      </c>
      <c r="S8056" t="s">
        <v>43</v>
      </c>
      <c r="T8056" t="s">
        <v>43</v>
      </c>
      <c r="U8056" t="s">
        <v>43</v>
      </c>
      <c r="V8056" t="s">
        <v>43</v>
      </c>
      <c r="W8056" t="s">
        <v>43</v>
      </c>
      <c r="X8056" t="s">
        <v>43</v>
      </c>
      <c r="Y8056" t="s">
        <v>43</v>
      </c>
      <c r="Z8056" t="s">
        <v>43</v>
      </c>
      <c r="AA8056" t="s">
        <v>43</v>
      </c>
      <c r="AB8056" t="s">
        <v>43</v>
      </c>
      <c r="AC8056" t="s">
        <v>43</v>
      </c>
      <c r="AD8056" t="s">
        <v>43</v>
      </c>
      <c r="AE8056" t="s">
        <v>43</v>
      </c>
      <c r="AF8056" t="s">
        <v>43</v>
      </c>
      <c r="AG8056" t="s">
        <v>43</v>
      </c>
      <c r="AH8056" t="s">
        <v>43</v>
      </c>
      <c r="AI8056" t="s">
        <v>43</v>
      </c>
      <c r="AJ8056" t="s">
        <v>43</v>
      </c>
      <c r="AK8056" t="s">
        <v>43</v>
      </c>
      <c r="AL8056" t="s">
        <v>43</v>
      </c>
      <c r="AM8056" t="s">
        <v>43</v>
      </c>
      <c r="AN8056" t="str">
        <f>HYPERLINK("https://www.google.com/maps?q=10.78969479,79.57876587","Open Location")</f>
        <v>Open Location</v>
      </c>
    </row>
    <row r="8057" spans="1:40" x14ac:dyDescent="0.3">
      <c r="A8057" s="1">
        <v>46210.066782407404</v>
      </c>
      <c r="B8057" t="s">
        <v>40</v>
      </c>
      <c r="C8057" t="s">
        <v>41</v>
      </c>
      <c r="D8057" s="1">
        <v>46210.069513888891</v>
      </c>
      <c r="E8057" t="s">
        <v>42</v>
      </c>
      <c r="F8057" t="s">
        <v>43</v>
      </c>
      <c r="G8057" t="s">
        <v>43</v>
      </c>
      <c r="H8057" t="s">
        <v>43</v>
      </c>
      <c r="I8057" t="s">
        <v>4391</v>
      </c>
      <c r="J8057" t="s">
        <v>43</v>
      </c>
      <c r="K8057" t="s">
        <v>43</v>
      </c>
      <c r="L8057" t="s">
        <v>43</v>
      </c>
      <c r="M8057" t="s">
        <v>43</v>
      </c>
      <c r="N8057" t="s">
        <v>45</v>
      </c>
      <c r="O8057" t="s">
        <v>43</v>
      </c>
      <c r="P8057" t="s">
        <v>43</v>
      </c>
      <c r="Q8057" t="s">
        <v>43</v>
      </c>
      <c r="R8057" t="s">
        <v>43</v>
      </c>
      <c r="S8057" t="s">
        <v>43</v>
      </c>
      <c r="T8057" t="s">
        <v>43</v>
      </c>
      <c r="U8057" t="s">
        <v>43</v>
      </c>
      <c r="V8057" t="s">
        <v>43</v>
      </c>
      <c r="W8057" t="s">
        <v>43</v>
      </c>
      <c r="X8057" t="s">
        <v>43</v>
      </c>
      <c r="Y8057" t="s">
        <v>43</v>
      </c>
      <c r="Z8057" t="s">
        <v>43</v>
      </c>
      <c r="AA8057" t="s">
        <v>43</v>
      </c>
      <c r="AB8057" t="s">
        <v>43</v>
      </c>
      <c r="AC8057" t="s">
        <v>43</v>
      </c>
      <c r="AD8057" t="s">
        <v>43</v>
      </c>
      <c r="AE8057" t="s">
        <v>43</v>
      </c>
      <c r="AF8057" t="s">
        <v>43</v>
      </c>
      <c r="AG8057" t="s">
        <v>43</v>
      </c>
      <c r="AH8057" t="s">
        <v>43</v>
      </c>
      <c r="AI8057" t="s">
        <v>43</v>
      </c>
      <c r="AJ8057" t="s">
        <v>43</v>
      </c>
      <c r="AK8057" t="s">
        <v>43</v>
      </c>
      <c r="AL8057" t="s">
        <v>43</v>
      </c>
      <c r="AM8057" t="s">
        <v>43</v>
      </c>
      <c r="AN8057" t="str">
        <f>HYPERLINK("https://www.google.com/maps?q=10.78968811,79.57875824","Open Location")</f>
        <v>Open Location</v>
      </c>
    </row>
    <row r="8058" spans="1:40" x14ac:dyDescent="0.3">
      <c r="A8058" s="1">
        <v>46210.066666666666</v>
      </c>
      <c r="B8058" t="s">
        <v>40</v>
      </c>
      <c r="C8058" t="s">
        <v>41</v>
      </c>
      <c r="D8058" s="1">
        <v>46210.069351851853</v>
      </c>
      <c r="E8058" t="s">
        <v>42</v>
      </c>
      <c r="F8058" t="s">
        <v>43</v>
      </c>
      <c r="G8058" t="s">
        <v>43</v>
      </c>
      <c r="H8058" t="s">
        <v>43</v>
      </c>
      <c r="I8058" t="s">
        <v>4306</v>
      </c>
      <c r="J8058" t="s">
        <v>43</v>
      </c>
      <c r="K8058" t="s">
        <v>43</v>
      </c>
      <c r="L8058" t="s">
        <v>43</v>
      </c>
      <c r="M8058" t="s">
        <v>43</v>
      </c>
      <c r="N8058" t="s">
        <v>45</v>
      </c>
      <c r="O8058" t="s">
        <v>43</v>
      </c>
      <c r="P8058" t="s">
        <v>43</v>
      </c>
      <c r="Q8058" t="s">
        <v>43</v>
      </c>
      <c r="R8058" t="s">
        <v>43</v>
      </c>
      <c r="S8058" t="s">
        <v>43</v>
      </c>
      <c r="T8058" t="s">
        <v>43</v>
      </c>
      <c r="U8058" t="s">
        <v>43</v>
      </c>
      <c r="V8058" t="s">
        <v>43</v>
      </c>
      <c r="W8058" t="s">
        <v>43</v>
      </c>
      <c r="X8058" t="s">
        <v>43</v>
      </c>
      <c r="Y8058" t="s">
        <v>43</v>
      </c>
      <c r="Z8058" t="s">
        <v>43</v>
      </c>
      <c r="AA8058" t="s">
        <v>43</v>
      </c>
      <c r="AB8058" t="s">
        <v>43</v>
      </c>
      <c r="AC8058" t="s">
        <v>43</v>
      </c>
      <c r="AD8058" t="s">
        <v>43</v>
      </c>
      <c r="AE8058" t="s">
        <v>43</v>
      </c>
      <c r="AF8058" t="s">
        <v>43</v>
      </c>
      <c r="AG8058" t="s">
        <v>43</v>
      </c>
      <c r="AH8058" t="s">
        <v>43</v>
      </c>
      <c r="AI8058" t="s">
        <v>43</v>
      </c>
      <c r="AJ8058" t="s">
        <v>43</v>
      </c>
      <c r="AK8058" t="s">
        <v>43</v>
      </c>
      <c r="AL8058" t="s">
        <v>43</v>
      </c>
      <c r="AM8058" t="s">
        <v>43</v>
      </c>
      <c r="AN8058" t="str">
        <f>HYPERLINK("https://www.google.com/maps?q=10.78969097,79.57876587","Open Location")</f>
        <v>Open Location</v>
      </c>
    </row>
    <row r="8059" spans="1:40" x14ac:dyDescent="0.3">
      <c r="A8059" s="1">
        <v>46210.066550925927</v>
      </c>
      <c r="B8059" t="s">
        <v>40</v>
      </c>
      <c r="C8059" t="s">
        <v>41</v>
      </c>
      <c r="D8059" s="1">
        <v>46210.069351851853</v>
      </c>
      <c r="E8059" t="s">
        <v>42</v>
      </c>
      <c r="F8059" t="s">
        <v>43</v>
      </c>
      <c r="G8059" t="s">
        <v>43</v>
      </c>
      <c r="H8059" t="s">
        <v>43</v>
      </c>
      <c r="I8059" t="s">
        <v>43</v>
      </c>
      <c r="J8059" t="s">
        <v>43</v>
      </c>
      <c r="K8059" t="s">
        <v>43</v>
      </c>
      <c r="L8059" t="s">
        <v>43</v>
      </c>
      <c r="M8059" t="s">
        <v>43</v>
      </c>
      <c r="N8059" t="s">
        <v>45</v>
      </c>
      <c r="O8059" t="s">
        <v>43</v>
      </c>
      <c r="P8059" t="s">
        <v>43</v>
      </c>
      <c r="Q8059" t="s">
        <v>43</v>
      </c>
      <c r="R8059" t="s">
        <v>43</v>
      </c>
      <c r="S8059" t="s">
        <v>43</v>
      </c>
      <c r="T8059" t="s">
        <v>43</v>
      </c>
      <c r="U8059" t="s">
        <v>43</v>
      </c>
      <c r="V8059" t="s">
        <v>43</v>
      </c>
      <c r="W8059" t="s">
        <v>43</v>
      </c>
      <c r="X8059" t="s">
        <v>43</v>
      </c>
      <c r="Y8059" t="s">
        <v>43</v>
      </c>
      <c r="Z8059" t="s">
        <v>43</v>
      </c>
      <c r="AA8059" t="s">
        <v>43</v>
      </c>
      <c r="AB8059" t="s">
        <v>43</v>
      </c>
      <c r="AC8059" t="s">
        <v>43</v>
      </c>
      <c r="AD8059" t="s">
        <v>43</v>
      </c>
      <c r="AE8059" t="s">
        <v>43</v>
      </c>
      <c r="AF8059" t="s">
        <v>43</v>
      </c>
      <c r="AG8059" t="s">
        <v>43</v>
      </c>
      <c r="AH8059" t="s">
        <v>43</v>
      </c>
      <c r="AI8059" t="s">
        <v>43</v>
      </c>
      <c r="AJ8059" t="s">
        <v>43</v>
      </c>
      <c r="AK8059" t="s">
        <v>43</v>
      </c>
      <c r="AL8059" t="s">
        <v>43</v>
      </c>
      <c r="AM8059" t="s">
        <v>43</v>
      </c>
      <c r="AN8059" t="s">
        <v>43</v>
      </c>
    </row>
    <row r="8060" spans="1:40" x14ac:dyDescent="0.3">
      <c r="A8060" s="1">
        <v>46210.066435185188</v>
      </c>
      <c r="B8060" t="s">
        <v>40</v>
      </c>
      <c r="C8060" t="s">
        <v>41</v>
      </c>
      <c r="D8060" s="1">
        <v>46210.069513888891</v>
      </c>
      <c r="E8060" t="s">
        <v>42</v>
      </c>
      <c r="F8060" t="s">
        <v>43</v>
      </c>
      <c r="G8060" t="s">
        <v>43</v>
      </c>
      <c r="H8060" t="s">
        <v>43</v>
      </c>
      <c r="I8060" t="s">
        <v>4392</v>
      </c>
      <c r="J8060" t="s">
        <v>43</v>
      </c>
      <c r="K8060" t="s">
        <v>43</v>
      </c>
      <c r="L8060" t="s">
        <v>43</v>
      </c>
      <c r="M8060" t="s">
        <v>43</v>
      </c>
      <c r="N8060" t="s">
        <v>45</v>
      </c>
      <c r="O8060" t="s">
        <v>43</v>
      </c>
      <c r="P8060" t="s">
        <v>43</v>
      </c>
      <c r="Q8060" t="s">
        <v>43</v>
      </c>
      <c r="R8060" t="s">
        <v>43</v>
      </c>
      <c r="S8060" t="s">
        <v>43</v>
      </c>
      <c r="T8060" t="s">
        <v>43</v>
      </c>
      <c r="U8060" t="s">
        <v>43</v>
      </c>
      <c r="V8060" t="s">
        <v>43</v>
      </c>
      <c r="W8060" t="s">
        <v>43</v>
      </c>
      <c r="X8060" t="s">
        <v>43</v>
      </c>
      <c r="Y8060" t="s">
        <v>43</v>
      </c>
      <c r="Z8060" t="s">
        <v>43</v>
      </c>
      <c r="AA8060" t="s">
        <v>43</v>
      </c>
      <c r="AB8060" t="s">
        <v>43</v>
      </c>
      <c r="AC8060" t="s">
        <v>43</v>
      </c>
      <c r="AD8060" t="s">
        <v>43</v>
      </c>
      <c r="AE8060" t="s">
        <v>43</v>
      </c>
      <c r="AF8060" t="s">
        <v>43</v>
      </c>
      <c r="AG8060" t="s">
        <v>43</v>
      </c>
      <c r="AH8060" t="s">
        <v>43</v>
      </c>
      <c r="AI8060" t="s">
        <v>43</v>
      </c>
      <c r="AJ8060" t="s">
        <v>43</v>
      </c>
      <c r="AK8060" t="s">
        <v>43</v>
      </c>
      <c r="AL8060" t="s">
        <v>43</v>
      </c>
      <c r="AM8060" t="s">
        <v>43</v>
      </c>
      <c r="AN8060" t="str">
        <f>HYPERLINK("https://www.google.com/maps?q=10.78969669,79.57876587","Open Location")</f>
        <v>Open Location</v>
      </c>
    </row>
    <row r="8061" spans="1:40" x14ac:dyDescent="0.3">
      <c r="A8061" s="1">
        <v>46210.066319444442</v>
      </c>
      <c r="B8061" t="s">
        <v>40</v>
      </c>
      <c r="C8061" t="s">
        <v>41</v>
      </c>
      <c r="D8061" s="1">
        <v>46210.069178240738</v>
      </c>
      <c r="E8061" t="s">
        <v>42</v>
      </c>
      <c r="F8061" t="s">
        <v>43</v>
      </c>
      <c r="G8061" t="s">
        <v>43</v>
      </c>
      <c r="H8061" t="s">
        <v>43</v>
      </c>
      <c r="I8061" t="s">
        <v>4393</v>
      </c>
      <c r="J8061" t="s">
        <v>43</v>
      </c>
      <c r="K8061" t="s">
        <v>43</v>
      </c>
      <c r="L8061" t="s">
        <v>43</v>
      </c>
      <c r="M8061" t="s">
        <v>43</v>
      </c>
      <c r="N8061" t="s">
        <v>45</v>
      </c>
      <c r="O8061" t="s">
        <v>43</v>
      </c>
      <c r="P8061" t="s">
        <v>43</v>
      </c>
      <c r="Q8061" t="s">
        <v>43</v>
      </c>
      <c r="R8061" t="s">
        <v>43</v>
      </c>
      <c r="S8061" t="s">
        <v>43</v>
      </c>
      <c r="T8061" t="s">
        <v>43</v>
      </c>
      <c r="U8061" t="s">
        <v>43</v>
      </c>
      <c r="V8061" t="s">
        <v>43</v>
      </c>
      <c r="W8061" t="s">
        <v>43</v>
      </c>
      <c r="X8061" t="s">
        <v>43</v>
      </c>
      <c r="Y8061" t="s">
        <v>43</v>
      </c>
      <c r="Z8061" t="s">
        <v>43</v>
      </c>
      <c r="AA8061" t="s">
        <v>43</v>
      </c>
      <c r="AB8061" t="s">
        <v>43</v>
      </c>
      <c r="AC8061" t="s">
        <v>43</v>
      </c>
      <c r="AD8061" t="s">
        <v>43</v>
      </c>
      <c r="AE8061" t="s">
        <v>43</v>
      </c>
      <c r="AF8061" t="s">
        <v>43</v>
      </c>
      <c r="AG8061" t="s">
        <v>43</v>
      </c>
      <c r="AH8061" t="s">
        <v>43</v>
      </c>
      <c r="AI8061" t="s">
        <v>43</v>
      </c>
      <c r="AJ8061" t="s">
        <v>43</v>
      </c>
      <c r="AK8061" t="s">
        <v>43</v>
      </c>
      <c r="AL8061" t="s">
        <v>43</v>
      </c>
      <c r="AM8061" t="s">
        <v>43</v>
      </c>
      <c r="AN8061" t="str">
        <f>HYPERLINK("https://www.google.com/maps?q=10.78970146,79.5787735","Open Location")</f>
        <v>Open Location</v>
      </c>
    </row>
    <row r="8062" spans="1:40" x14ac:dyDescent="0.3">
      <c r="A8062" s="1">
        <v>46210.066203703704</v>
      </c>
      <c r="B8062" t="s">
        <v>40</v>
      </c>
      <c r="C8062" t="s">
        <v>41</v>
      </c>
      <c r="D8062" s="1">
        <v>46210.069189814814</v>
      </c>
      <c r="E8062" t="s">
        <v>42</v>
      </c>
      <c r="F8062" t="s">
        <v>43</v>
      </c>
      <c r="G8062" t="s">
        <v>43</v>
      </c>
      <c r="H8062" t="s">
        <v>43</v>
      </c>
      <c r="I8062" t="s">
        <v>4300</v>
      </c>
      <c r="J8062" t="s">
        <v>43</v>
      </c>
      <c r="K8062" t="s">
        <v>43</v>
      </c>
      <c r="L8062" t="s">
        <v>43</v>
      </c>
      <c r="M8062" t="s">
        <v>43</v>
      </c>
      <c r="N8062" t="s">
        <v>45</v>
      </c>
      <c r="O8062" t="s">
        <v>43</v>
      </c>
      <c r="P8062" t="s">
        <v>43</v>
      </c>
      <c r="Q8062" t="s">
        <v>43</v>
      </c>
      <c r="R8062" t="s">
        <v>43</v>
      </c>
      <c r="S8062" t="s">
        <v>43</v>
      </c>
      <c r="T8062" t="s">
        <v>43</v>
      </c>
      <c r="U8062" t="s">
        <v>43</v>
      </c>
      <c r="V8062" t="s">
        <v>43</v>
      </c>
      <c r="W8062" t="s">
        <v>43</v>
      </c>
      <c r="X8062" t="s">
        <v>43</v>
      </c>
      <c r="Y8062" t="s">
        <v>43</v>
      </c>
      <c r="Z8062" t="s">
        <v>43</v>
      </c>
      <c r="AA8062" t="s">
        <v>43</v>
      </c>
      <c r="AB8062" t="s">
        <v>43</v>
      </c>
      <c r="AC8062" t="s">
        <v>43</v>
      </c>
      <c r="AD8062" t="s">
        <v>43</v>
      </c>
      <c r="AE8062" t="s">
        <v>43</v>
      </c>
      <c r="AF8062" t="s">
        <v>43</v>
      </c>
      <c r="AG8062" t="s">
        <v>43</v>
      </c>
      <c r="AH8062" t="s">
        <v>43</v>
      </c>
      <c r="AI8062" t="s">
        <v>43</v>
      </c>
      <c r="AJ8062" t="s">
        <v>43</v>
      </c>
      <c r="AK8062" t="s">
        <v>43</v>
      </c>
      <c r="AL8062" t="s">
        <v>43</v>
      </c>
      <c r="AM8062" t="s">
        <v>43</v>
      </c>
      <c r="AN8062" t="str">
        <f>HYPERLINK("https://www.google.com/maps?q=10.78969955,79.57878113","Open Location")</f>
        <v>Open Location</v>
      </c>
    </row>
    <row r="8063" spans="1:40" x14ac:dyDescent="0.3">
      <c r="A8063" s="1">
        <v>46210.066087962965</v>
      </c>
      <c r="B8063" t="s">
        <v>40</v>
      </c>
      <c r="C8063" t="s">
        <v>41</v>
      </c>
      <c r="D8063" s="1">
        <v>46210.068958333337</v>
      </c>
      <c r="E8063" t="s">
        <v>42</v>
      </c>
      <c r="F8063" t="s">
        <v>43</v>
      </c>
      <c r="G8063" t="s">
        <v>43</v>
      </c>
      <c r="H8063" t="s">
        <v>43</v>
      </c>
      <c r="I8063" t="s">
        <v>4394</v>
      </c>
      <c r="J8063" t="s">
        <v>43</v>
      </c>
      <c r="K8063" t="s">
        <v>43</v>
      </c>
      <c r="L8063" t="s">
        <v>43</v>
      </c>
      <c r="M8063" t="s">
        <v>43</v>
      </c>
      <c r="N8063" t="s">
        <v>45</v>
      </c>
      <c r="O8063" t="s">
        <v>43</v>
      </c>
      <c r="P8063" t="s">
        <v>43</v>
      </c>
      <c r="Q8063" t="s">
        <v>43</v>
      </c>
      <c r="R8063" t="s">
        <v>43</v>
      </c>
      <c r="S8063" t="s">
        <v>43</v>
      </c>
      <c r="T8063" t="s">
        <v>43</v>
      </c>
      <c r="U8063" t="s">
        <v>43</v>
      </c>
      <c r="V8063" t="s">
        <v>43</v>
      </c>
      <c r="W8063" t="s">
        <v>43</v>
      </c>
      <c r="X8063" t="s">
        <v>43</v>
      </c>
      <c r="Y8063" t="s">
        <v>43</v>
      </c>
      <c r="Z8063" t="s">
        <v>43</v>
      </c>
      <c r="AA8063" t="s">
        <v>43</v>
      </c>
      <c r="AB8063" t="s">
        <v>43</v>
      </c>
      <c r="AC8063" t="s">
        <v>43</v>
      </c>
      <c r="AD8063" t="s">
        <v>43</v>
      </c>
      <c r="AE8063" t="s">
        <v>43</v>
      </c>
      <c r="AF8063" t="s">
        <v>43</v>
      </c>
      <c r="AG8063" t="s">
        <v>43</v>
      </c>
      <c r="AH8063" t="s">
        <v>43</v>
      </c>
      <c r="AI8063" t="s">
        <v>43</v>
      </c>
      <c r="AJ8063" t="s">
        <v>43</v>
      </c>
      <c r="AK8063" t="s">
        <v>43</v>
      </c>
      <c r="AL8063" t="s">
        <v>43</v>
      </c>
      <c r="AM8063" t="s">
        <v>43</v>
      </c>
      <c r="AN8063" t="str">
        <f>HYPERLINK("https://www.google.com/maps?q=10.78970528,79.57879639","Open Location")</f>
        <v>Open Location</v>
      </c>
    </row>
    <row r="8064" spans="1:40" x14ac:dyDescent="0.3">
      <c r="A8064" s="1">
        <v>46210.065972222219</v>
      </c>
      <c r="B8064" t="s">
        <v>40</v>
      </c>
      <c r="C8064" t="s">
        <v>41</v>
      </c>
      <c r="D8064" s="1">
        <v>46210.06894675926</v>
      </c>
      <c r="E8064" t="s">
        <v>42</v>
      </c>
      <c r="F8064" t="s">
        <v>43</v>
      </c>
      <c r="G8064" t="s">
        <v>43</v>
      </c>
      <c r="H8064" t="s">
        <v>43</v>
      </c>
      <c r="I8064" t="s">
        <v>4395</v>
      </c>
      <c r="J8064" t="s">
        <v>43</v>
      </c>
      <c r="K8064" t="s">
        <v>43</v>
      </c>
      <c r="L8064" t="s">
        <v>43</v>
      </c>
      <c r="M8064" t="s">
        <v>43</v>
      </c>
      <c r="N8064" t="s">
        <v>45</v>
      </c>
      <c r="O8064" t="s">
        <v>43</v>
      </c>
      <c r="P8064" t="s">
        <v>43</v>
      </c>
      <c r="Q8064" t="s">
        <v>43</v>
      </c>
      <c r="R8064" t="s">
        <v>43</v>
      </c>
      <c r="S8064" t="s">
        <v>43</v>
      </c>
      <c r="T8064" t="s">
        <v>43</v>
      </c>
      <c r="U8064" t="s">
        <v>43</v>
      </c>
      <c r="V8064" t="s">
        <v>43</v>
      </c>
      <c r="W8064" t="s">
        <v>43</v>
      </c>
      <c r="X8064" t="s">
        <v>43</v>
      </c>
      <c r="Y8064" t="s">
        <v>43</v>
      </c>
      <c r="Z8064" t="s">
        <v>43</v>
      </c>
      <c r="AA8064" t="s">
        <v>43</v>
      </c>
      <c r="AB8064" t="s">
        <v>43</v>
      </c>
      <c r="AC8064" t="s">
        <v>43</v>
      </c>
      <c r="AD8064" t="s">
        <v>43</v>
      </c>
      <c r="AE8064" t="s">
        <v>43</v>
      </c>
      <c r="AF8064" t="s">
        <v>43</v>
      </c>
      <c r="AG8064" t="s">
        <v>43</v>
      </c>
      <c r="AH8064" t="s">
        <v>43</v>
      </c>
      <c r="AI8064" t="s">
        <v>43</v>
      </c>
      <c r="AJ8064" t="s">
        <v>43</v>
      </c>
      <c r="AK8064" t="s">
        <v>43</v>
      </c>
      <c r="AL8064" t="s">
        <v>43</v>
      </c>
      <c r="AM8064" t="s">
        <v>43</v>
      </c>
      <c r="AN8064" t="str">
        <f>HYPERLINK("https://www.google.com/maps?q=10.78970814,79.57879639","Open Location")</f>
        <v>Open Location</v>
      </c>
    </row>
    <row r="8065" spans="1:40" x14ac:dyDescent="0.3">
      <c r="A8065" s="1">
        <v>46210.06585648148</v>
      </c>
      <c r="B8065" t="s">
        <v>40</v>
      </c>
      <c r="C8065" t="s">
        <v>41</v>
      </c>
      <c r="D8065" s="1">
        <v>46210.068564814814</v>
      </c>
      <c r="E8065" t="s">
        <v>42</v>
      </c>
      <c r="F8065" t="s">
        <v>43</v>
      </c>
      <c r="G8065" t="s">
        <v>43</v>
      </c>
      <c r="H8065" t="s">
        <v>43</v>
      </c>
      <c r="I8065" t="s">
        <v>43</v>
      </c>
      <c r="J8065" t="s">
        <v>43</v>
      </c>
      <c r="K8065" t="s">
        <v>43</v>
      </c>
      <c r="L8065" t="s">
        <v>43</v>
      </c>
      <c r="M8065" t="s">
        <v>43</v>
      </c>
      <c r="N8065" t="s">
        <v>45</v>
      </c>
      <c r="O8065" t="s">
        <v>43</v>
      </c>
      <c r="P8065" t="s">
        <v>43</v>
      </c>
      <c r="Q8065" t="s">
        <v>43</v>
      </c>
      <c r="R8065" t="s">
        <v>43</v>
      </c>
      <c r="S8065" t="s">
        <v>43</v>
      </c>
      <c r="T8065" t="s">
        <v>43</v>
      </c>
      <c r="U8065" t="s">
        <v>43</v>
      </c>
      <c r="V8065" t="s">
        <v>43</v>
      </c>
      <c r="W8065" t="s">
        <v>43</v>
      </c>
      <c r="X8065" t="s">
        <v>43</v>
      </c>
      <c r="Y8065" t="s">
        <v>43</v>
      </c>
      <c r="Z8065" t="s">
        <v>43</v>
      </c>
      <c r="AA8065" t="s">
        <v>43</v>
      </c>
      <c r="AB8065" t="s">
        <v>43</v>
      </c>
      <c r="AC8065" t="s">
        <v>43</v>
      </c>
      <c r="AD8065" t="s">
        <v>43</v>
      </c>
      <c r="AE8065" t="s">
        <v>43</v>
      </c>
      <c r="AF8065" t="s">
        <v>43</v>
      </c>
      <c r="AG8065" t="s">
        <v>43</v>
      </c>
      <c r="AH8065" t="s">
        <v>43</v>
      </c>
      <c r="AI8065" t="s">
        <v>43</v>
      </c>
      <c r="AJ8065" t="s">
        <v>43</v>
      </c>
      <c r="AK8065" t="s">
        <v>43</v>
      </c>
      <c r="AL8065" t="s">
        <v>43</v>
      </c>
      <c r="AM8065" t="s">
        <v>43</v>
      </c>
      <c r="AN8065" t="s">
        <v>43</v>
      </c>
    </row>
    <row r="8066" spans="1:40" x14ac:dyDescent="0.3">
      <c r="A8066" s="1">
        <v>46210.065740740742</v>
      </c>
      <c r="B8066" t="s">
        <v>40</v>
      </c>
      <c r="C8066" t="s">
        <v>41</v>
      </c>
      <c r="D8066" s="1">
        <v>46210.068819444445</v>
      </c>
      <c r="E8066" t="s">
        <v>42</v>
      </c>
      <c r="F8066" t="s">
        <v>43</v>
      </c>
      <c r="G8066" t="s">
        <v>43</v>
      </c>
      <c r="H8066" t="s">
        <v>43</v>
      </c>
      <c r="I8066" t="s">
        <v>4396</v>
      </c>
      <c r="J8066" t="s">
        <v>43</v>
      </c>
      <c r="K8066" t="s">
        <v>43</v>
      </c>
      <c r="L8066" t="s">
        <v>43</v>
      </c>
      <c r="M8066" t="s">
        <v>43</v>
      </c>
      <c r="N8066" t="s">
        <v>45</v>
      </c>
      <c r="O8066" t="s">
        <v>43</v>
      </c>
      <c r="P8066" t="s">
        <v>43</v>
      </c>
      <c r="Q8066" t="s">
        <v>43</v>
      </c>
      <c r="R8066" t="s">
        <v>43</v>
      </c>
      <c r="S8066" t="s">
        <v>43</v>
      </c>
      <c r="T8066" t="s">
        <v>43</v>
      </c>
      <c r="U8066" t="s">
        <v>43</v>
      </c>
      <c r="V8066" t="s">
        <v>43</v>
      </c>
      <c r="W8066" t="s">
        <v>43</v>
      </c>
      <c r="X8066" t="s">
        <v>43</v>
      </c>
      <c r="Y8066" t="s">
        <v>43</v>
      </c>
      <c r="Z8066" t="s">
        <v>43</v>
      </c>
      <c r="AA8066" t="s">
        <v>43</v>
      </c>
      <c r="AB8066" t="s">
        <v>43</v>
      </c>
      <c r="AC8066" t="s">
        <v>43</v>
      </c>
      <c r="AD8066" t="s">
        <v>43</v>
      </c>
      <c r="AE8066" t="s">
        <v>43</v>
      </c>
      <c r="AF8066" t="s">
        <v>43</v>
      </c>
      <c r="AG8066" t="s">
        <v>43</v>
      </c>
      <c r="AH8066" t="s">
        <v>43</v>
      </c>
      <c r="AI8066" t="s">
        <v>43</v>
      </c>
      <c r="AJ8066" t="s">
        <v>43</v>
      </c>
      <c r="AK8066" t="s">
        <v>43</v>
      </c>
      <c r="AL8066" t="s">
        <v>43</v>
      </c>
      <c r="AM8066" t="s">
        <v>43</v>
      </c>
      <c r="AN8066" t="str">
        <f>HYPERLINK("https://www.google.com/maps?q=10.78969955,79.57879639","Open Location")</f>
        <v>Open Location</v>
      </c>
    </row>
    <row r="8067" spans="1:40" x14ac:dyDescent="0.3">
      <c r="A8067" s="1">
        <v>46210.065625000003</v>
      </c>
      <c r="B8067" t="s">
        <v>40</v>
      </c>
      <c r="C8067" t="s">
        <v>41</v>
      </c>
      <c r="D8067" s="1">
        <v>46210.068287037036</v>
      </c>
      <c r="E8067" t="s">
        <v>42</v>
      </c>
      <c r="F8067" t="s">
        <v>43</v>
      </c>
      <c r="G8067" t="s">
        <v>43</v>
      </c>
      <c r="H8067" t="s">
        <v>43</v>
      </c>
      <c r="I8067" t="s">
        <v>4365</v>
      </c>
      <c r="J8067" t="s">
        <v>43</v>
      </c>
      <c r="K8067" t="s">
        <v>43</v>
      </c>
      <c r="L8067" t="s">
        <v>43</v>
      </c>
      <c r="M8067" t="s">
        <v>43</v>
      </c>
      <c r="N8067" t="s">
        <v>45</v>
      </c>
      <c r="O8067" t="s">
        <v>43</v>
      </c>
      <c r="P8067" t="s">
        <v>43</v>
      </c>
      <c r="Q8067" t="s">
        <v>43</v>
      </c>
      <c r="R8067" t="s">
        <v>43</v>
      </c>
      <c r="S8067" t="s">
        <v>43</v>
      </c>
      <c r="T8067" t="s">
        <v>43</v>
      </c>
      <c r="U8067" t="s">
        <v>43</v>
      </c>
      <c r="V8067" t="s">
        <v>43</v>
      </c>
      <c r="W8067" t="s">
        <v>43</v>
      </c>
      <c r="X8067" t="s">
        <v>43</v>
      </c>
      <c r="Y8067" t="s">
        <v>43</v>
      </c>
      <c r="Z8067" t="s">
        <v>43</v>
      </c>
      <c r="AA8067" t="s">
        <v>43</v>
      </c>
      <c r="AB8067" t="s">
        <v>43</v>
      </c>
      <c r="AC8067" t="s">
        <v>43</v>
      </c>
      <c r="AD8067" t="s">
        <v>43</v>
      </c>
      <c r="AE8067" t="s">
        <v>43</v>
      </c>
      <c r="AF8067" t="s">
        <v>43</v>
      </c>
      <c r="AG8067" t="s">
        <v>43</v>
      </c>
      <c r="AH8067" t="s">
        <v>43</v>
      </c>
      <c r="AI8067" t="s">
        <v>43</v>
      </c>
      <c r="AJ8067" t="s">
        <v>43</v>
      </c>
      <c r="AK8067" t="s">
        <v>43</v>
      </c>
      <c r="AL8067" t="s">
        <v>43</v>
      </c>
      <c r="AM8067" t="s">
        <v>43</v>
      </c>
      <c r="AN8067" t="str">
        <f>HYPERLINK("https://www.google.com/maps?q=10.78969479,79.57879639","Open Location")</f>
        <v>Open Location</v>
      </c>
    </row>
    <row r="8068" spans="1:40" x14ac:dyDescent="0.3">
      <c r="A8068" s="1">
        <v>46210.065509259257</v>
      </c>
      <c r="B8068" t="s">
        <v>40</v>
      </c>
      <c r="C8068" t="s">
        <v>41</v>
      </c>
      <c r="D8068" s="1">
        <v>46210.068368055552</v>
      </c>
      <c r="E8068" t="s">
        <v>42</v>
      </c>
      <c r="F8068" t="s">
        <v>43</v>
      </c>
      <c r="G8068" t="s">
        <v>43</v>
      </c>
      <c r="H8068" t="s">
        <v>43</v>
      </c>
      <c r="I8068" t="s">
        <v>4397</v>
      </c>
      <c r="J8068" t="s">
        <v>43</v>
      </c>
      <c r="K8068" t="s">
        <v>43</v>
      </c>
      <c r="L8068" t="s">
        <v>43</v>
      </c>
      <c r="M8068" t="s">
        <v>43</v>
      </c>
      <c r="N8068" t="s">
        <v>45</v>
      </c>
      <c r="O8068" t="s">
        <v>43</v>
      </c>
      <c r="P8068" t="s">
        <v>43</v>
      </c>
      <c r="Q8068" t="s">
        <v>43</v>
      </c>
      <c r="R8068" t="s">
        <v>43</v>
      </c>
      <c r="S8068" t="s">
        <v>43</v>
      </c>
      <c r="T8068" t="s">
        <v>43</v>
      </c>
      <c r="U8068" t="s">
        <v>43</v>
      </c>
      <c r="V8068" t="s">
        <v>43</v>
      </c>
      <c r="W8068" t="s">
        <v>43</v>
      </c>
      <c r="X8068" t="s">
        <v>43</v>
      </c>
      <c r="Y8068" t="s">
        <v>43</v>
      </c>
      <c r="Z8068" t="s">
        <v>43</v>
      </c>
      <c r="AA8068" t="s">
        <v>43</v>
      </c>
      <c r="AB8068" t="s">
        <v>43</v>
      </c>
      <c r="AC8068" t="s">
        <v>43</v>
      </c>
      <c r="AD8068" t="s">
        <v>43</v>
      </c>
      <c r="AE8068" t="s">
        <v>43</v>
      </c>
      <c r="AF8068" t="s">
        <v>43</v>
      </c>
      <c r="AG8068" t="s">
        <v>43</v>
      </c>
      <c r="AH8068" t="s">
        <v>43</v>
      </c>
      <c r="AI8068" t="s">
        <v>43</v>
      </c>
      <c r="AJ8068" t="s">
        <v>43</v>
      </c>
      <c r="AK8068" t="s">
        <v>43</v>
      </c>
      <c r="AL8068" t="s">
        <v>43</v>
      </c>
      <c r="AM8068" t="s">
        <v>43</v>
      </c>
      <c r="AN8068" t="str">
        <f>HYPERLINK("https://www.google.com/maps?q=10.78969669,79.57879639","Open Location")</f>
        <v>Open Location</v>
      </c>
    </row>
    <row r="8069" spans="1:40" x14ac:dyDescent="0.3">
      <c r="A8069" s="1">
        <v>46210.065393518518</v>
      </c>
      <c r="B8069" t="s">
        <v>40</v>
      </c>
      <c r="C8069" t="s">
        <v>41</v>
      </c>
      <c r="D8069" s="1">
        <v>46210.068356481483</v>
      </c>
      <c r="E8069" t="s">
        <v>42</v>
      </c>
      <c r="F8069" t="s">
        <v>43</v>
      </c>
      <c r="G8069" t="s">
        <v>43</v>
      </c>
      <c r="H8069" t="s">
        <v>43</v>
      </c>
      <c r="I8069" t="s">
        <v>4398</v>
      </c>
      <c r="J8069" t="s">
        <v>43</v>
      </c>
      <c r="K8069" t="s">
        <v>43</v>
      </c>
      <c r="L8069" t="s">
        <v>43</v>
      </c>
      <c r="M8069" t="s">
        <v>43</v>
      </c>
      <c r="N8069" t="s">
        <v>45</v>
      </c>
      <c r="O8069" t="s">
        <v>43</v>
      </c>
      <c r="P8069" t="s">
        <v>43</v>
      </c>
      <c r="Q8069" t="s">
        <v>43</v>
      </c>
      <c r="R8069" t="s">
        <v>43</v>
      </c>
      <c r="S8069" t="s">
        <v>43</v>
      </c>
      <c r="T8069" t="s">
        <v>43</v>
      </c>
      <c r="U8069" t="s">
        <v>43</v>
      </c>
      <c r="V8069" t="s">
        <v>43</v>
      </c>
      <c r="W8069" t="s">
        <v>43</v>
      </c>
      <c r="X8069" t="s">
        <v>43</v>
      </c>
      <c r="Y8069" t="s">
        <v>43</v>
      </c>
      <c r="Z8069" t="s">
        <v>43</v>
      </c>
      <c r="AA8069" t="s">
        <v>43</v>
      </c>
      <c r="AB8069" t="s">
        <v>43</v>
      </c>
      <c r="AC8069" t="s">
        <v>43</v>
      </c>
      <c r="AD8069" t="s">
        <v>43</v>
      </c>
      <c r="AE8069" t="s">
        <v>43</v>
      </c>
      <c r="AF8069" t="s">
        <v>43</v>
      </c>
      <c r="AG8069" t="s">
        <v>43</v>
      </c>
      <c r="AH8069" t="s">
        <v>43</v>
      </c>
      <c r="AI8069" t="s">
        <v>43</v>
      </c>
      <c r="AJ8069" t="s">
        <v>43</v>
      </c>
      <c r="AK8069" t="s">
        <v>43</v>
      </c>
      <c r="AL8069" t="s">
        <v>43</v>
      </c>
      <c r="AM8069" t="s">
        <v>43</v>
      </c>
      <c r="AN8069" t="str">
        <f>HYPERLINK("https://www.google.com/maps?q=10.78970337,79.57879639","Open Location")</f>
        <v>Open Location</v>
      </c>
    </row>
    <row r="8070" spans="1:40" x14ac:dyDescent="0.3">
      <c r="A8070" s="1">
        <v>46210.06527777778</v>
      </c>
      <c r="B8070" t="s">
        <v>40</v>
      </c>
      <c r="C8070" t="s">
        <v>41</v>
      </c>
      <c r="D8070" s="1">
        <v>46210.068344907406</v>
      </c>
      <c r="E8070" t="s">
        <v>42</v>
      </c>
      <c r="F8070" t="s">
        <v>43</v>
      </c>
      <c r="G8070" t="s">
        <v>43</v>
      </c>
      <c r="H8070" t="s">
        <v>43</v>
      </c>
      <c r="I8070" t="s">
        <v>43</v>
      </c>
      <c r="J8070" t="s">
        <v>43</v>
      </c>
      <c r="K8070" t="s">
        <v>43</v>
      </c>
      <c r="L8070" t="s">
        <v>43</v>
      </c>
      <c r="M8070" t="s">
        <v>43</v>
      </c>
      <c r="N8070" t="s">
        <v>45</v>
      </c>
      <c r="O8070" t="s">
        <v>43</v>
      </c>
      <c r="P8070" t="s">
        <v>43</v>
      </c>
      <c r="Q8070" t="s">
        <v>43</v>
      </c>
      <c r="R8070" t="s">
        <v>43</v>
      </c>
      <c r="S8070" t="s">
        <v>43</v>
      </c>
      <c r="T8070" t="s">
        <v>43</v>
      </c>
      <c r="U8070" t="s">
        <v>43</v>
      </c>
      <c r="V8070" t="s">
        <v>43</v>
      </c>
      <c r="W8070" t="s">
        <v>43</v>
      </c>
      <c r="X8070" t="s">
        <v>43</v>
      </c>
      <c r="Y8070" t="s">
        <v>43</v>
      </c>
      <c r="Z8070" t="s">
        <v>43</v>
      </c>
      <c r="AA8070" t="s">
        <v>43</v>
      </c>
      <c r="AB8070" t="s">
        <v>43</v>
      </c>
      <c r="AC8070" t="s">
        <v>43</v>
      </c>
      <c r="AD8070" t="s">
        <v>43</v>
      </c>
      <c r="AE8070" t="s">
        <v>43</v>
      </c>
      <c r="AF8070" t="s">
        <v>43</v>
      </c>
      <c r="AG8070" t="s">
        <v>43</v>
      </c>
      <c r="AH8070" t="s">
        <v>43</v>
      </c>
      <c r="AI8070" t="s">
        <v>43</v>
      </c>
      <c r="AJ8070" t="s">
        <v>43</v>
      </c>
      <c r="AK8070" t="s">
        <v>43</v>
      </c>
      <c r="AL8070" t="s">
        <v>43</v>
      </c>
      <c r="AM8070" t="s">
        <v>43</v>
      </c>
      <c r="AN8070" t="s">
        <v>43</v>
      </c>
    </row>
    <row r="8071" spans="1:40" x14ac:dyDescent="0.3">
      <c r="A8071" s="1">
        <v>46210.065162037034</v>
      </c>
      <c r="B8071" t="s">
        <v>40</v>
      </c>
      <c r="C8071" t="s">
        <v>41</v>
      </c>
      <c r="D8071" s="1">
        <v>46210.067800925928</v>
      </c>
      <c r="E8071" t="s">
        <v>42</v>
      </c>
      <c r="F8071" t="s">
        <v>43</v>
      </c>
      <c r="G8071" t="s">
        <v>43</v>
      </c>
      <c r="H8071" t="s">
        <v>43</v>
      </c>
      <c r="I8071" t="s">
        <v>4399</v>
      </c>
      <c r="J8071" t="s">
        <v>43</v>
      </c>
      <c r="K8071" t="s">
        <v>43</v>
      </c>
      <c r="L8071" t="s">
        <v>43</v>
      </c>
      <c r="M8071" t="s">
        <v>43</v>
      </c>
      <c r="N8071" t="s">
        <v>45</v>
      </c>
      <c r="O8071" t="s">
        <v>43</v>
      </c>
      <c r="P8071" t="s">
        <v>43</v>
      </c>
      <c r="Q8071" t="s">
        <v>43</v>
      </c>
      <c r="R8071" t="s">
        <v>43</v>
      </c>
      <c r="S8071" t="s">
        <v>43</v>
      </c>
      <c r="T8071" t="s">
        <v>43</v>
      </c>
      <c r="U8071" t="s">
        <v>43</v>
      </c>
      <c r="V8071" t="s">
        <v>43</v>
      </c>
      <c r="W8071" t="s">
        <v>43</v>
      </c>
      <c r="X8071" t="s">
        <v>43</v>
      </c>
      <c r="Y8071" t="s">
        <v>43</v>
      </c>
      <c r="Z8071" t="s">
        <v>43</v>
      </c>
      <c r="AA8071" t="s">
        <v>43</v>
      </c>
      <c r="AB8071" t="s">
        <v>43</v>
      </c>
      <c r="AC8071" t="s">
        <v>43</v>
      </c>
      <c r="AD8071" t="s">
        <v>43</v>
      </c>
      <c r="AE8071" t="s">
        <v>43</v>
      </c>
      <c r="AF8071" t="s">
        <v>43</v>
      </c>
      <c r="AG8071" t="s">
        <v>43</v>
      </c>
      <c r="AH8071" t="s">
        <v>43</v>
      </c>
      <c r="AI8071" t="s">
        <v>43</v>
      </c>
      <c r="AJ8071" t="s">
        <v>43</v>
      </c>
      <c r="AK8071" t="s">
        <v>43</v>
      </c>
      <c r="AL8071" t="s">
        <v>43</v>
      </c>
      <c r="AM8071" t="s">
        <v>43</v>
      </c>
      <c r="AN8071" t="str">
        <f>HYPERLINK("https://www.google.com/maps?q=10.78970623,79.57879639","Open Location")</f>
        <v>Open Location</v>
      </c>
    </row>
    <row r="8072" spans="1:40" x14ac:dyDescent="0.3">
      <c r="A8072" s="1">
        <v>46210.065046296295</v>
      </c>
      <c r="B8072" t="s">
        <v>40</v>
      </c>
      <c r="C8072" t="s">
        <v>41</v>
      </c>
      <c r="D8072" s="1">
        <v>46210.068009259259</v>
      </c>
      <c r="E8072" t="s">
        <v>42</v>
      </c>
      <c r="F8072" t="s">
        <v>43</v>
      </c>
      <c r="G8072" t="s">
        <v>43</v>
      </c>
      <c r="H8072" t="s">
        <v>43</v>
      </c>
      <c r="I8072" t="s">
        <v>4400</v>
      </c>
      <c r="J8072" t="s">
        <v>43</v>
      </c>
      <c r="K8072" t="s">
        <v>43</v>
      </c>
      <c r="L8072" t="s">
        <v>43</v>
      </c>
      <c r="M8072" t="s">
        <v>43</v>
      </c>
      <c r="N8072" t="s">
        <v>45</v>
      </c>
      <c r="O8072" t="s">
        <v>43</v>
      </c>
      <c r="P8072" t="s">
        <v>43</v>
      </c>
      <c r="Q8072" t="s">
        <v>43</v>
      </c>
      <c r="R8072" t="s">
        <v>43</v>
      </c>
      <c r="S8072" t="s">
        <v>43</v>
      </c>
      <c r="T8072" t="s">
        <v>43</v>
      </c>
      <c r="U8072" t="s">
        <v>43</v>
      </c>
      <c r="V8072" t="s">
        <v>43</v>
      </c>
      <c r="W8072" t="s">
        <v>43</v>
      </c>
      <c r="X8072" t="s">
        <v>43</v>
      </c>
      <c r="Y8072" t="s">
        <v>43</v>
      </c>
      <c r="Z8072" t="s">
        <v>43</v>
      </c>
      <c r="AA8072" t="s">
        <v>43</v>
      </c>
      <c r="AB8072" t="s">
        <v>43</v>
      </c>
      <c r="AC8072" t="s">
        <v>43</v>
      </c>
      <c r="AD8072" t="s">
        <v>43</v>
      </c>
      <c r="AE8072" t="s">
        <v>43</v>
      </c>
      <c r="AF8072" t="s">
        <v>43</v>
      </c>
      <c r="AG8072" t="s">
        <v>43</v>
      </c>
      <c r="AH8072" t="s">
        <v>43</v>
      </c>
      <c r="AI8072" t="s">
        <v>43</v>
      </c>
      <c r="AJ8072" t="s">
        <v>43</v>
      </c>
      <c r="AK8072" t="s">
        <v>43</v>
      </c>
      <c r="AL8072" t="s">
        <v>43</v>
      </c>
      <c r="AM8072" t="s">
        <v>43</v>
      </c>
      <c r="AN8072" t="str">
        <f>HYPERLINK("https://www.google.com/maps?q=10.78970718,79.57879639","Open Location")</f>
        <v>Open Location</v>
      </c>
    </row>
    <row r="8073" spans="1:40" x14ac:dyDescent="0.3">
      <c r="A8073" s="1">
        <v>46210.064930555556</v>
      </c>
      <c r="B8073" t="s">
        <v>40</v>
      </c>
      <c r="C8073" t="s">
        <v>41</v>
      </c>
      <c r="D8073" s="1">
        <v>46210.06763888889</v>
      </c>
      <c r="E8073" t="s">
        <v>42</v>
      </c>
      <c r="F8073" t="s">
        <v>43</v>
      </c>
      <c r="G8073" t="s">
        <v>43</v>
      </c>
      <c r="H8073" t="s">
        <v>43</v>
      </c>
      <c r="I8073" t="s">
        <v>4400</v>
      </c>
      <c r="J8073" t="s">
        <v>43</v>
      </c>
      <c r="K8073" t="s">
        <v>43</v>
      </c>
      <c r="L8073" t="s">
        <v>43</v>
      </c>
      <c r="M8073" t="s">
        <v>43</v>
      </c>
      <c r="N8073" t="s">
        <v>45</v>
      </c>
      <c r="O8073" t="s">
        <v>43</v>
      </c>
      <c r="P8073" t="s">
        <v>43</v>
      </c>
      <c r="Q8073" t="s">
        <v>43</v>
      </c>
      <c r="R8073" t="s">
        <v>43</v>
      </c>
      <c r="S8073" t="s">
        <v>43</v>
      </c>
      <c r="T8073" t="s">
        <v>43</v>
      </c>
      <c r="U8073" t="s">
        <v>43</v>
      </c>
      <c r="V8073" t="s">
        <v>43</v>
      </c>
      <c r="W8073" t="s">
        <v>43</v>
      </c>
      <c r="X8073" t="s">
        <v>43</v>
      </c>
      <c r="Y8073" t="s">
        <v>43</v>
      </c>
      <c r="Z8073" t="s">
        <v>43</v>
      </c>
      <c r="AA8073" t="s">
        <v>43</v>
      </c>
      <c r="AB8073" t="s">
        <v>43</v>
      </c>
      <c r="AC8073" t="s">
        <v>43</v>
      </c>
      <c r="AD8073" t="s">
        <v>43</v>
      </c>
      <c r="AE8073" t="s">
        <v>43</v>
      </c>
      <c r="AF8073" t="s">
        <v>43</v>
      </c>
      <c r="AG8073" t="s">
        <v>43</v>
      </c>
      <c r="AH8073" t="s">
        <v>43</v>
      </c>
      <c r="AI8073" t="s">
        <v>43</v>
      </c>
      <c r="AJ8073" t="s">
        <v>43</v>
      </c>
      <c r="AK8073" t="s">
        <v>43</v>
      </c>
      <c r="AL8073" t="s">
        <v>43</v>
      </c>
      <c r="AM8073" t="s">
        <v>43</v>
      </c>
      <c r="AN8073" t="str">
        <f>HYPERLINK("https://www.google.com/maps?q=10.78970718,79.57879639","Open Location")</f>
        <v>Open Location</v>
      </c>
    </row>
    <row r="8074" spans="1:40" x14ac:dyDescent="0.3">
      <c r="A8074" s="1">
        <v>46210.064814814818</v>
      </c>
      <c r="B8074" t="s">
        <v>40</v>
      </c>
      <c r="C8074" t="s">
        <v>41</v>
      </c>
      <c r="D8074" s="1">
        <v>46210.067997685182</v>
      </c>
      <c r="E8074" t="s">
        <v>42</v>
      </c>
      <c r="F8074" t="s">
        <v>43</v>
      </c>
      <c r="G8074" t="s">
        <v>43</v>
      </c>
      <c r="H8074" t="s">
        <v>43</v>
      </c>
      <c r="I8074" t="s">
        <v>4401</v>
      </c>
      <c r="J8074" t="s">
        <v>43</v>
      </c>
      <c r="K8074" t="s">
        <v>43</v>
      </c>
      <c r="L8074" t="s">
        <v>43</v>
      </c>
      <c r="M8074" t="s">
        <v>43</v>
      </c>
      <c r="N8074" t="s">
        <v>45</v>
      </c>
      <c r="O8074" t="s">
        <v>43</v>
      </c>
      <c r="P8074" t="s">
        <v>43</v>
      </c>
      <c r="Q8074" t="s">
        <v>43</v>
      </c>
      <c r="R8074" t="s">
        <v>43</v>
      </c>
      <c r="S8074" t="s">
        <v>43</v>
      </c>
      <c r="T8074" t="s">
        <v>43</v>
      </c>
      <c r="U8074" t="s">
        <v>43</v>
      </c>
      <c r="V8074" t="s">
        <v>43</v>
      </c>
      <c r="W8074" t="s">
        <v>43</v>
      </c>
      <c r="X8074" t="s">
        <v>43</v>
      </c>
      <c r="Y8074" t="s">
        <v>43</v>
      </c>
      <c r="Z8074" t="s">
        <v>43</v>
      </c>
      <c r="AA8074" t="s">
        <v>43</v>
      </c>
      <c r="AB8074" t="s">
        <v>43</v>
      </c>
      <c r="AC8074" t="s">
        <v>43</v>
      </c>
      <c r="AD8074" t="s">
        <v>43</v>
      </c>
      <c r="AE8074" t="s">
        <v>43</v>
      </c>
      <c r="AF8074" t="s">
        <v>43</v>
      </c>
      <c r="AG8074" t="s">
        <v>43</v>
      </c>
      <c r="AH8074" t="s">
        <v>43</v>
      </c>
      <c r="AI8074" t="s">
        <v>43</v>
      </c>
      <c r="AJ8074" t="s">
        <v>43</v>
      </c>
      <c r="AK8074" t="s">
        <v>43</v>
      </c>
      <c r="AL8074" t="s">
        <v>43</v>
      </c>
      <c r="AM8074" t="s">
        <v>43</v>
      </c>
      <c r="AN8074" t="str">
        <f>HYPERLINK("https://www.google.com/maps?q=10.78970623,79.57878876","Open Location")</f>
        <v>Open Location</v>
      </c>
    </row>
    <row r="8075" spans="1:40" x14ac:dyDescent="0.3">
      <c r="A8075" s="1">
        <v>46210.064699074072</v>
      </c>
      <c r="B8075" t="s">
        <v>40</v>
      </c>
      <c r="C8075" t="s">
        <v>41</v>
      </c>
      <c r="D8075" s="1">
        <v>46210.067418981482</v>
      </c>
      <c r="E8075" t="s">
        <v>42</v>
      </c>
      <c r="F8075" t="s">
        <v>43</v>
      </c>
      <c r="G8075" t="s">
        <v>43</v>
      </c>
      <c r="H8075" t="s">
        <v>43</v>
      </c>
      <c r="I8075" t="s">
        <v>4402</v>
      </c>
      <c r="J8075" t="s">
        <v>43</v>
      </c>
      <c r="K8075" t="s">
        <v>43</v>
      </c>
      <c r="L8075" t="s">
        <v>43</v>
      </c>
      <c r="M8075" t="s">
        <v>43</v>
      </c>
      <c r="N8075" t="s">
        <v>45</v>
      </c>
      <c r="O8075" t="s">
        <v>43</v>
      </c>
      <c r="P8075" t="s">
        <v>43</v>
      </c>
      <c r="Q8075" t="s">
        <v>43</v>
      </c>
      <c r="R8075" t="s">
        <v>43</v>
      </c>
      <c r="S8075" t="s">
        <v>43</v>
      </c>
      <c r="T8075" t="s">
        <v>43</v>
      </c>
      <c r="U8075" t="s">
        <v>43</v>
      </c>
      <c r="V8075" t="s">
        <v>43</v>
      </c>
      <c r="W8075" t="s">
        <v>43</v>
      </c>
      <c r="X8075" t="s">
        <v>43</v>
      </c>
      <c r="Y8075" t="s">
        <v>43</v>
      </c>
      <c r="Z8075" t="s">
        <v>43</v>
      </c>
      <c r="AA8075" t="s">
        <v>43</v>
      </c>
      <c r="AB8075" t="s">
        <v>43</v>
      </c>
      <c r="AC8075" t="s">
        <v>43</v>
      </c>
      <c r="AD8075" t="s">
        <v>43</v>
      </c>
      <c r="AE8075" t="s">
        <v>43</v>
      </c>
      <c r="AF8075" t="s">
        <v>43</v>
      </c>
      <c r="AG8075" t="s">
        <v>43</v>
      </c>
      <c r="AH8075" t="s">
        <v>43</v>
      </c>
      <c r="AI8075" t="s">
        <v>43</v>
      </c>
      <c r="AJ8075" t="s">
        <v>43</v>
      </c>
      <c r="AK8075" t="s">
        <v>43</v>
      </c>
      <c r="AL8075" t="s">
        <v>43</v>
      </c>
      <c r="AM8075" t="s">
        <v>43</v>
      </c>
      <c r="AN8075" t="str">
        <f>HYPERLINK("https://www.google.com/maps?q=10.78969669,79.57878876","Open Location")</f>
        <v>Open Location</v>
      </c>
    </row>
    <row r="8076" spans="1:40" x14ac:dyDescent="0.3">
      <c r="A8076" s="1">
        <v>46210.064583333333</v>
      </c>
      <c r="B8076" t="s">
        <v>40</v>
      </c>
      <c r="C8076" t="s">
        <v>41</v>
      </c>
      <c r="D8076" s="1">
        <v>46210.06763888889</v>
      </c>
      <c r="E8076" t="s">
        <v>42</v>
      </c>
      <c r="F8076" t="s">
        <v>43</v>
      </c>
      <c r="G8076" t="s">
        <v>43</v>
      </c>
      <c r="H8076" t="s">
        <v>43</v>
      </c>
      <c r="I8076" t="s">
        <v>43</v>
      </c>
      <c r="J8076" t="s">
        <v>43</v>
      </c>
      <c r="K8076" t="s">
        <v>43</v>
      </c>
      <c r="L8076" t="s">
        <v>43</v>
      </c>
      <c r="M8076" t="s">
        <v>43</v>
      </c>
      <c r="N8076" t="s">
        <v>45</v>
      </c>
      <c r="O8076" t="s">
        <v>43</v>
      </c>
      <c r="P8076" t="s">
        <v>43</v>
      </c>
      <c r="Q8076" t="s">
        <v>43</v>
      </c>
      <c r="R8076" t="s">
        <v>43</v>
      </c>
      <c r="S8076" t="s">
        <v>43</v>
      </c>
      <c r="T8076" t="s">
        <v>43</v>
      </c>
      <c r="U8076" t="s">
        <v>43</v>
      </c>
      <c r="V8076" t="s">
        <v>43</v>
      </c>
      <c r="W8076" t="s">
        <v>43</v>
      </c>
      <c r="X8076" t="s">
        <v>43</v>
      </c>
      <c r="Y8076" t="s">
        <v>43</v>
      </c>
      <c r="Z8076" t="s">
        <v>43</v>
      </c>
      <c r="AA8076" t="s">
        <v>43</v>
      </c>
      <c r="AB8076" t="s">
        <v>43</v>
      </c>
      <c r="AC8076" t="s">
        <v>43</v>
      </c>
      <c r="AD8076" t="s">
        <v>43</v>
      </c>
      <c r="AE8076" t="s">
        <v>43</v>
      </c>
      <c r="AF8076" t="s">
        <v>43</v>
      </c>
      <c r="AG8076" t="s">
        <v>43</v>
      </c>
      <c r="AH8076" t="s">
        <v>43</v>
      </c>
      <c r="AI8076" t="s">
        <v>43</v>
      </c>
      <c r="AJ8076" t="s">
        <v>43</v>
      </c>
      <c r="AK8076" t="s">
        <v>43</v>
      </c>
      <c r="AL8076" t="s">
        <v>43</v>
      </c>
      <c r="AM8076" t="s">
        <v>43</v>
      </c>
      <c r="AN8076" t="s">
        <v>43</v>
      </c>
    </row>
    <row r="8077" spans="1:40" x14ac:dyDescent="0.3">
      <c r="A8077" s="1">
        <v>46210.064467592594</v>
      </c>
      <c r="B8077" t="s">
        <v>40</v>
      </c>
      <c r="C8077" t="s">
        <v>41</v>
      </c>
      <c r="D8077" s="1">
        <v>46210.067256944443</v>
      </c>
      <c r="E8077" t="s">
        <v>42</v>
      </c>
      <c r="F8077" t="s">
        <v>43</v>
      </c>
      <c r="G8077" t="s">
        <v>43</v>
      </c>
      <c r="H8077" t="s">
        <v>43</v>
      </c>
      <c r="I8077" t="s">
        <v>4152</v>
      </c>
      <c r="J8077" t="s">
        <v>43</v>
      </c>
      <c r="K8077" t="s">
        <v>43</v>
      </c>
      <c r="L8077" t="s">
        <v>43</v>
      </c>
      <c r="M8077" t="s">
        <v>43</v>
      </c>
      <c r="N8077" t="s">
        <v>45</v>
      </c>
      <c r="O8077" t="s">
        <v>43</v>
      </c>
      <c r="P8077" t="s">
        <v>43</v>
      </c>
      <c r="Q8077" t="s">
        <v>43</v>
      </c>
      <c r="R8077" t="s">
        <v>43</v>
      </c>
      <c r="S8077" t="s">
        <v>43</v>
      </c>
      <c r="T8077" t="s">
        <v>43</v>
      </c>
      <c r="U8077" t="s">
        <v>43</v>
      </c>
      <c r="V8077" t="s">
        <v>43</v>
      </c>
      <c r="W8077" t="s">
        <v>43</v>
      </c>
      <c r="X8077" t="s">
        <v>43</v>
      </c>
      <c r="Y8077" t="s">
        <v>43</v>
      </c>
      <c r="Z8077" t="s">
        <v>43</v>
      </c>
      <c r="AA8077" t="s">
        <v>43</v>
      </c>
      <c r="AB8077" t="s">
        <v>43</v>
      </c>
      <c r="AC8077" t="s">
        <v>43</v>
      </c>
      <c r="AD8077" t="s">
        <v>43</v>
      </c>
      <c r="AE8077" t="s">
        <v>43</v>
      </c>
      <c r="AF8077" t="s">
        <v>43</v>
      </c>
      <c r="AG8077" t="s">
        <v>43</v>
      </c>
      <c r="AH8077" t="s">
        <v>43</v>
      </c>
      <c r="AI8077" t="s">
        <v>43</v>
      </c>
      <c r="AJ8077" t="s">
        <v>43</v>
      </c>
      <c r="AK8077" t="s">
        <v>43</v>
      </c>
      <c r="AL8077" t="s">
        <v>43</v>
      </c>
      <c r="AM8077" t="s">
        <v>43</v>
      </c>
      <c r="AN8077" t="str">
        <f>HYPERLINK("https://www.google.com/maps?q=10.78969574,79.57879639","Open Location")</f>
        <v>Open Location</v>
      </c>
    </row>
    <row r="8078" spans="1:40" x14ac:dyDescent="0.3">
      <c r="A8078" s="1">
        <v>46210.064351851855</v>
      </c>
      <c r="B8078" t="s">
        <v>40</v>
      </c>
      <c r="C8078" t="s">
        <v>41</v>
      </c>
      <c r="D8078" s="1">
        <v>46210.067233796297</v>
      </c>
      <c r="E8078" t="s">
        <v>42</v>
      </c>
      <c r="F8078" t="s">
        <v>43</v>
      </c>
      <c r="G8078" t="s">
        <v>43</v>
      </c>
      <c r="H8078" t="s">
        <v>43</v>
      </c>
      <c r="I8078" t="s">
        <v>4403</v>
      </c>
      <c r="J8078" t="s">
        <v>43</v>
      </c>
      <c r="K8078" t="s">
        <v>43</v>
      </c>
      <c r="L8078" t="s">
        <v>43</v>
      </c>
      <c r="M8078" t="s">
        <v>43</v>
      </c>
      <c r="N8078" t="s">
        <v>45</v>
      </c>
      <c r="O8078" t="s">
        <v>43</v>
      </c>
      <c r="P8078" t="s">
        <v>43</v>
      </c>
      <c r="Q8078" t="s">
        <v>43</v>
      </c>
      <c r="R8078" t="s">
        <v>43</v>
      </c>
      <c r="S8078" t="s">
        <v>43</v>
      </c>
      <c r="T8078" t="s">
        <v>43</v>
      </c>
      <c r="U8078" t="s">
        <v>43</v>
      </c>
      <c r="V8078" t="s">
        <v>43</v>
      </c>
      <c r="W8078" t="s">
        <v>43</v>
      </c>
      <c r="X8078" t="s">
        <v>43</v>
      </c>
      <c r="Y8078" t="s">
        <v>43</v>
      </c>
      <c r="Z8078" t="s">
        <v>43</v>
      </c>
      <c r="AA8078" t="s">
        <v>43</v>
      </c>
      <c r="AB8078" t="s">
        <v>43</v>
      </c>
      <c r="AC8078" t="s">
        <v>43</v>
      </c>
      <c r="AD8078" t="s">
        <v>43</v>
      </c>
      <c r="AE8078" t="s">
        <v>43</v>
      </c>
      <c r="AF8078" t="s">
        <v>43</v>
      </c>
      <c r="AG8078" t="s">
        <v>43</v>
      </c>
      <c r="AH8078" t="s">
        <v>43</v>
      </c>
      <c r="AI8078" t="s">
        <v>43</v>
      </c>
      <c r="AJ8078" t="s">
        <v>43</v>
      </c>
      <c r="AK8078" t="s">
        <v>43</v>
      </c>
      <c r="AL8078" t="s">
        <v>43</v>
      </c>
      <c r="AM8078" t="s">
        <v>43</v>
      </c>
      <c r="AN8078" t="str">
        <f>HYPERLINK("https://www.google.com/maps?q=10.78969383,79.57879639","Open Location")</f>
        <v>Open Location</v>
      </c>
    </row>
    <row r="8079" spans="1:40" x14ac:dyDescent="0.3">
      <c r="A8079" s="1">
        <v>46210.064236111109</v>
      </c>
      <c r="B8079" t="s">
        <v>40</v>
      </c>
      <c r="C8079" t="s">
        <v>41</v>
      </c>
      <c r="D8079" s="1">
        <v>46210.067037037035</v>
      </c>
      <c r="E8079" t="s">
        <v>42</v>
      </c>
      <c r="F8079" t="s">
        <v>43</v>
      </c>
      <c r="G8079" t="s">
        <v>43</v>
      </c>
      <c r="H8079" t="s">
        <v>43</v>
      </c>
      <c r="I8079" t="s">
        <v>4404</v>
      </c>
      <c r="J8079" t="s">
        <v>43</v>
      </c>
      <c r="K8079" t="s">
        <v>43</v>
      </c>
      <c r="L8079" t="s">
        <v>43</v>
      </c>
      <c r="M8079" t="s">
        <v>43</v>
      </c>
      <c r="N8079" t="s">
        <v>45</v>
      </c>
      <c r="O8079" t="s">
        <v>43</v>
      </c>
      <c r="P8079" t="s">
        <v>43</v>
      </c>
      <c r="Q8079" t="s">
        <v>43</v>
      </c>
      <c r="R8079" t="s">
        <v>43</v>
      </c>
      <c r="S8079" t="s">
        <v>43</v>
      </c>
      <c r="T8079" t="s">
        <v>43</v>
      </c>
      <c r="U8079" t="s">
        <v>43</v>
      </c>
      <c r="V8079" t="s">
        <v>43</v>
      </c>
      <c r="W8079" t="s">
        <v>43</v>
      </c>
      <c r="X8079" t="s">
        <v>43</v>
      </c>
      <c r="Y8079" t="s">
        <v>43</v>
      </c>
      <c r="Z8079" t="s">
        <v>43</v>
      </c>
      <c r="AA8079" t="s">
        <v>43</v>
      </c>
      <c r="AB8079" t="s">
        <v>43</v>
      </c>
      <c r="AC8079" t="s">
        <v>43</v>
      </c>
      <c r="AD8079" t="s">
        <v>43</v>
      </c>
      <c r="AE8079" t="s">
        <v>43</v>
      </c>
      <c r="AF8079" t="s">
        <v>43</v>
      </c>
      <c r="AG8079" t="s">
        <v>43</v>
      </c>
      <c r="AH8079" t="s">
        <v>43</v>
      </c>
      <c r="AI8079" t="s">
        <v>43</v>
      </c>
      <c r="AJ8079" t="s">
        <v>43</v>
      </c>
      <c r="AK8079" t="s">
        <v>43</v>
      </c>
      <c r="AL8079" t="s">
        <v>43</v>
      </c>
      <c r="AM8079" t="s">
        <v>43</v>
      </c>
      <c r="AN8079" t="str">
        <f>HYPERLINK("https://www.google.com/maps?q=10.78969765,79.57881165","Open Location")</f>
        <v>Open Location</v>
      </c>
    </row>
    <row r="8080" spans="1:40" x14ac:dyDescent="0.3">
      <c r="A8080" s="1">
        <v>46210.064120370371</v>
      </c>
      <c r="B8080" t="s">
        <v>40</v>
      </c>
      <c r="C8080" t="s">
        <v>41</v>
      </c>
      <c r="D8080" s="1">
        <v>46210.067025462966</v>
      </c>
      <c r="E8080" t="s">
        <v>42</v>
      </c>
      <c r="F8080" t="s">
        <v>43</v>
      </c>
      <c r="G8080" t="s">
        <v>43</v>
      </c>
      <c r="H8080" t="s">
        <v>43</v>
      </c>
      <c r="I8080" t="s">
        <v>4405</v>
      </c>
      <c r="J8080" t="s">
        <v>43</v>
      </c>
      <c r="K8080" t="s">
        <v>43</v>
      </c>
      <c r="L8080" t="s">
        <v>43</v>
      </c>
      <c r="M8080" t="s">
        <v>43</v>
      </c>
      <c r="N8080" t="s">
        <v>45</v>
      </c>
      <c r="O8080" t="s">
        <v>43</v>
      </c>
      <c r="P8080" t="s">
        <v>43</v>
      </c>
      <c r="Q8080" t="s">
        <v>43</v>
      </c>
      <c r="R8080" t="s">
        <v>43</v>
      </c>
      <c r="S8080" t="s">
        <v>43</v>
      </c>
      <c r="T8080" t="s">
        <v>43</v>
      </c>
      <c r="U8080" t="s">
        <v>43</v>
      </c>
      <c r="V8080" t="s">
        <v>43</v>
      </c>
      <c r="W8080" t="s">
        <v>43</v>
      </c>
      <c r="X8080" t="s">
        <v>43</v>
      </c>
      <c r="Y8080" t="s">
        <v>43</v>
      </c>
      <c r="Z8080" t="s">
        <v>43</v>
      </c>
      <c r="AA8080" t="s">
        <v>43</v>
      </c>
      <c r="AB8080" t="s">
        <v>43</v>
      </c>
      <c r="AC8080" t="s">
        <v>43</v>
      </c>
      <c r="AD8080" t="s">
        <v>43</v>
      </c>
      <c r="AE8080" t="s">
        <v>43</v>
      </c>
      <c r="AF8080" t="s">
        <v>43</v>
      </c>
      <c r="AG8080" t="s">
        <v>43</v>
      </c>
      <c r="AH8080" t="s">
        <v>43</v>
      </c>
      <c r="AI8080" t="s">
        <v>43</v>
      </c>
      <c r="AJ8080" t="s">
        <v>43</v>
      </c>
      <c r="AK8080" t="s">
        <v>43</v>
      </c>
      <c r="AL8080" t="s">
        <v>43</v>
      </c>
      <c r="AM8080" t="s">
        <v>43</v>
      </c>
      <c r="AN8080" t="str">
        <f>HYPERLINK("https://www.google.com/maps?q=10.78970146,79.57879639","Open Location")</f>
        <v>Open Location</v>
      </c>
    </row>
    <row r="8081" spans="1:40" x14ac:dyDescent="0.3">
      <c r="A8081" s="1">
        <v>46210.064004629632</v>
      </c>
      <c r="B8081" t="s">
        <v>40</v>
      </c>
      <c r="C8081" t="s">
        <v>41</v>
      </c>
      <c r="D8081" s="1">
        <v>46210.066620370373</v>
      </c>
      <c r="E8081" t="s">
        <v>42</v>
      </c>
      <c r="F8081" t="s">
        <v>43</v>
      </c>
      <c r="G8081" t="s">
        <v>43</v>
      </c>
      <c r="H8081" t="s">
        <v>43</v>
      </c>
      <c r="I8081" t="s">
        <v>4406</v>
      </c>
      <c r="J8081" t="s">
        <v>43</v>
      </c>
      <c r="K8081" t="s">
        <v>43</v>
      </c>
      <c r="L8081" t="s">
        <v>43</v>
      </c>
      <c r="M8081" t="s">
        <v>43</v>
      </c>
      <c r="N8081" t="s">
        <v>45</v>
      </c>
      <c r="O8081" t="s">
        <v>43</v>
      </c>
      <c r="P8081" t="s">
        <v>43</v>
      </c>
      <c r="Q8081" t="s">
        <v>43</v>
      </c>
      <c r="R8081" t="s">
        <v>43</v>
      </c>
      <c r="S8081" t="s">
        <v>43</v>
      </c>
      <c r="T8081" t="s">
        <v>43</v>
      </c>
      <c r="U8081" t="s">
        <v>43</v>
      </c>
      <c r="V8081" t="s">
        <v>43</v>
      </c>
      <c r="W8081" t="s">
        <v>43</v>
      </c>
      <c r="X8081" t="s">
        <v>43</v>
      </c>
      <c r="Y8081" t="s">
        <v>43</v>
      </c>
      <c r="Z8081" t="s">
        <v>43</v>
      </c>
      <c r="AA8081" t="s">
        <v>43</v>
      </c>
      <c r="AB8081" t="s">
        <v>43</v>
      </c>
      <c r="AC8081" t="s">
        <v>43</v>
      </c>
      <c r="AD8081" t="s">
        <v>43</v>
      </c>
      <c r="AE8081" t="s">
        <v>43</v>
      </c>
      <c r="AF8081" t="s">
        <v>43</v>
      </c>
      <c r="AG8081" t="s">
        <v>43</v>
      </c>
      <c r="AH8081" t="s">
        <v>43</v>
      </c>
      <c r="AI8081" t="s">
        <v>43</v>
      </c>
      <c r="AJ8081" t="s">
        <v>43</v>
      </c>
      <c r="AK8081" t="s">
        <v>43</v>
      </c>
      <c r="AL8081" t="s">
        <v>43</v>
      </c>
      <c r="AM8081" t="s">
        <v>43</v>
      </c>
      <c r="AN8081" t="str">
        <f>HYPERLINK("https://www.google.com/maps?q=10.78970242,79.57881165","Open Location")</f>
        <v>Open Location</v>
      </c>
    </row>
    <row r="8082" spans="1:40" x14ac:dyDescent="0.3">
      <c r="A8082" s="1">
        <v>46210.063888888886</v>
      </c>
      <c r="B8082" t="s">
        <v>40</v>
      </c>
      <c r="C8082" t="s">
        <v>41</v>
      </c>
      <c r="D8082" s="1">
        <v>46210.066863425927</v>
      </c>
      <c r="E8082" t="s">
        <v>42</v>
      </c>
      <c r="F8082" t="s">
        <v>43</v>
      </c>
      <c r="G8082" t="s">
        <v>43</v>
      </c>
      <c r="H8082" t="s">
        <v>43</v>
      </c>
      <c r="I8082" t="s">
        <v>43</v>
      </c>
      <c r="J8082" t="s">
        <v>43</v>
      </c>
      <c r="K8082" t="s">
        <v>43</v>
      </c>
      <c r="L8082" t="s">
        <v>43</v>
      </c>
      <c r="M8082" t="s">
        <v>43</v>
      </c>
      <c r="N8082" t="s">
        <v>45</v>
      </c>
      <c r="O8082" t="s">
        <v>43</v>
      </c>
      <c r="P8082" t="s">
        <v>43</v>
      </c>
      <c r="Q8082" t="s">
        <v>43</v>
      </c>
      <c r="R8082" t="s">
        <v>43</v>
      </c>
      <c r="S8082" t="s">
        <v>43</v>
      </c>
      <c r="T8082" t="s">
        <v>43</v>
      </c>
      <c r="U8082" t="s">
        <v>43</v>
      </c>
      <c r="V8082" t="s">
        <v>43</v>
      </c>
      <c r="W8082" t="s">
        <v>43</v>
      </c>
      <c r="X8082" t="s">
        <v>43</v>
      </c>
      <c r="Y8082" t="s">
        <v>43</v>
      </c>
      <c r="Z8082" t="s">
        <v>43</v>
      </c>
      <c r="AA8082" t="s">
        <v>43</v>
      </c>
      <c r="AB8082" t="s">
        <v>43</v>
      </c>
      <c r="AC8082" t="s">
        <v>43</v>
      </c>
      <c r="AD8082" t="s">
        <v>43</v>
      </c>
      <c r="AE8082" t="s">
        <v>43</v>
      </c>
      <c r="AF8082" t="s">
        <v>43</v>
      </c>
      <c r="AG8082" t="s">
        <v>43</v>
      </c>
      <c r="AH8082" t="s">
        <v>43</v>
      </c>
      <c r="AI8082" t="s">
        <v>43</v>
      </c>
      <c r="AJ8082" t="s">
        <v>43</v>
      </c>
      <c r="AK8082" t="s">
        <v>43</v>
      </c>
      <c r="AL8082" t="s">
        <v>43</v>
      </c>
      <c r="AM8082" t="s">
        <v>43</v>
      </c>
      <c r="AN8082" t="s">
        <v>43</v>
      </c>
    </row>
    <row r="8083" spans="1:40" x14ac:dyDescent="0.3">
      <c r="A8083" s="1">
        <v>46210.063773148147</v>
      </c>
      <c r="B8083" t="s">
        <v>40</v>
      </c>
      <c r="C8083" t="s">
        <v>41</v>
      </c>
      <c r="D8083" s="1">
        <v>46210.066747685189</v>
      </c>
      <c r="E8083" t="s">
        <v>42</v>
      </c>
      <c r="F8083" t="s">
        <v>43</v>
      </c>
      <c r="G8083" t="s">
        <v>43</v>
      </c>
      <c r="H8083" t="s">
        <v>43</v>
      </c>
      <c r="I8083" t="s">
        <v>4407</v>
      </c>
      <c r="J8083" t="s">
        <v>43</v>
      </c>
      <c r="K8083" t="s">
        <v>43</v>
      </c>
      <c r="L8083" t="s">
        <v>43</v>
      </c>
      <c r="M8083" t="s">
        <v>43</v>
      </c>
      <c r="N8083" t="s">
        <v>45</v>
      </c>
      <c r="O8083" t="s">
        <v>43</v>
      </c>
      <c r="P8083" t="s">
        <v>43</v>
      </c>
      <c r="Q8083" t="s">
        <v>43</v>
      </c>
      <c r="R8083" t="s">
        <v>43</v>
      </c>
      <c r="S8083" t="s">
        <v>43</v>
      </c>
      <c r="T8083" t="s">
        <v>43</v>
      </c>
      <c r="U8083" t="s">
        <v>43</v>
      </c>
      <c r="V8083" t="s">
        <v>43</v>
      </c>
      <c r="W8083" t="s">
        <v>43</v>
      </c>
      <c r="X8083" t="s">
        <v>43</v>
      </c>
      <c r="Y8083" t="s">
        <v>43</v>
      </c>
      <c r="Z8083" t="s">
        <v>43</v>
      </c>
      <c r="AA8083" t="s">
        <v>43</v>
      </c>
      <c r="AB8083" t="s">
        <v>43</v>
      </c>
      <c r="AC8083" t="s">
        <v>43</v>
      </c>
      <c r="AD8083" t="s">
        <v>43</v>
      </c>
      <c r="AE8083" t="s">
        <v>43</v>
      </c>
      <c r="AF8083" t="s">
        <v>43</v>
      </c>
      <c r="AG8083" t="s">
        <v>43</v>
      </c>
      <c r="AH8083" t="s">
        <v>43</v>
      </c>
      <c r="AI8083" t="s">
        <v>43</v>
      </c>
      <c r="AJ8083" t="s">
        <v>43</v>
      </c>
      <c r="AK8083" t="s">
        <v>43</v>
      </c>
      <c r="AL8083" t="s">
        <v>43</v>
      </c>
      <c r="AM8083" t="s">
        <v>43</v>
      </c>
      <c r="AN8083" t="str">
        <f>HYPERLINK("https://www.google.com/maps?q=10.7896986,79.57881165","Open Location")</f>
        <v>Open Location</v>
      </c>
    </row>
    <row r="8084" spans="1:40" x14ac:dyDescent="0.3">
      <c r="A8084" s="1">
        <v>46210.063657407409</v>
      </c>
      <c r="B8084" t="s">
        <v>40</v>
      </c>
      <c r="C8084" t="s">
        <v>41</v>
      </c>
      <c r="D8084" s="1">
        <v>46210.066886574074</v>
      </c>
      <c r="E8084" t="s">
        <v>42</v>
      </c>
      <c r="F8084" t="s">
        <v>43</v>
      </c>
      <c r="G8084" t="s">
        <v>43</v>
      </c>
      <c r="H8084" t="s">
        <v>43</v>
      </c>
      <c r="I8084" t="s">
        <v>4397</v>
      </c>
      <c r="J8084" t="s">
        <v>43</v>
      </c>
      <c r="K8084" t="s">
        <v>43</v>
      </c>
      <c r="L8084" t="s">
        <v>43</v>
      </c>
      <c r="M8084" t="s">
        <v>43</v>
      </c>
      <c r="N8084" t="s">
        <v>45</v>
      </c>
      <c r="O8084" t="s">
        <v>43</v>
      </c>
      <c r="P8084" t="s">
        <v>43</v>
      </c>
      <c r="Q8084" t="s">
        <v>43</v>
      </c>
      <c r="R8084" t="s">
        <v>43</v>
      </c>
      <c r="S8084" t="s">
        <v>43</v>
      </c>
      <c r="T8084" t="s">
        <v>43</v>
      </c>
      <c r="U8084" t="s">
        <v>43</v>
      </c>
      <c r="V8084" t="s">
        <v>43</v>
      </c>
      <c r="W8084" t="s">
        <v>43</v>
      </c>
      <c r="X8084" t="s">
        <v>43</v>
      </c>
      <c r="Y8084" t="s">
        <v>43</v>
      </c>
      <c r="Z8084" t="s">
        <v>43</v>
      </c>
      <c r="AA8084" t="s">
        <v>43</v>
      </c>
      <c r="AB8084" t="s">
        <v>43</v>
      </c>
      <c r="AC8084" t="s">
        <v>43</v>
      </c>
      <c r="AD8084" t="s">
        <v>43</v>
      </c>
      <c r="AE8084" t="s">
        <v>43</v>
      </c>
      <c r="AF8084" t="s">
        <v>43</v>
      </c>
      <c r="AG8084" t="s">
        <v>43</v>
      </c>
      <c r="AH8084" t="s">
        <v>43</v>
      </c>
      <c r="AI8084" t="s">
        <v>43</v>
      </c>
      <c r="AJ8084" t="s">
        <v>43</v>
      </c>
      <c r="AK8084" t="s">
        <v>43</v>
      </c>
      <c r="AL8084" t="s">
        <v>43</v>
      </c>
      <c r="AM8084" t="s">
        <v>43</v>
      </c>
      <c r="AN8084" t="str">
        <f>HYPERLINK("https://www.google.com/maps?q=10.78969669,79.57879639","Open Location")</f>
        <v>Open Location</v>
      </c>
    </row>
    <row r="8085" spans="1:40" x14ac:dyDescent="0.3">
      <c r="A8085" s="1">
        <v>46210.06354166667</v>
      </c>
      <c r="B8085" t="s">
        <v>40</v>
      </c>
      <c r="C8085" t="s">
        <v>41</v>
      </c>
      <c r="D8085" s="1">
        <v>46210.066504629627</v>
      </c>
      <c r="E8085" t="s">
        <v>42</v>
      </c>
      <c r="F8085" t="s">
        <v>43</v>
      </c>
      <c r="G8085" t="s">
        <v>43</v>
      </c>
      <c r="H8085" t="s">
        <v>43</v>
      </c>
      <c r="I8085" t="s">
        <v>4407</v>
      </c>
      <c r="J8085" t="s">
        <v>43</v>
      </c>
      <c r="K8085" t="s">
        <v>43</v>
      </c>
      <c r="L8085" t="s">
        <v>43</v>
      </c>
      <c r="M8085" t="s">
        <v>43</v>
      </c>
      <c r="N8085" t="s">
        <v>45</v>
      </c>
      <c r="O8085" t="s">
        <v>43</v>
      </c>
      <c r="P8085" t="s">
        <v>43</v>
      </c>
      <c r="Q8085" t="s">
        <v>43</v>
      </c>
      <c r="R8085" t="s">
        <v>43</v>
      </c>
      <c r="S8085" t="s">
        <v>43</v>
      </c>
      <c r="T8085" t="s">
        <v>43</v>
      </c>
      <c r="U8085" t="s">
        <v>43</v>
      </c>
      <c r="V8085" t="s">
        <v>43</v>
      </c>
      <c r="W8085" t="s">
        <v>43</v>
      </c>
      <c r="X8085" t="s">
        <v>43</v>
      </c>
      <c r="Y8085" t="s">
        <v>43</v>
      </c>
      <c r="Z8085" t="s">
        <v>43</v>
      </c>
      <c r="AA8085" t="s">
        <v>43</v>
      </c>
      <c r="AB8085" t="s">
        <v>43</v>
      </c>
      <c r="AC8085" t="s">
        <v>43</v>
      </c>
      <c r="AD8085" t="s">
        <v>43</v>
      </c>
      <c r="AE8085" t="s">
        <v>43</v>
      </c>
      <c r="AF8085" t="s">
        <v>43</v>
      </c>
      <c r="AG8085" t="s">
        <v>43</v>
      </c>
      <c r="AH8085" t="s">
        <v>43</v>
      </c>
      <c r="AI8085" t="s">
        <v>43</v>
      </c>
      <c r="AJ8085" t="s">
        <v>43</v>
      </c>
      <c r="AK8085" t="s">
        <v>43</v>
      </c>
      <c r="AL8085" t="s">
        <v>43</v>
      </c>
      <c r="AM8085" t="s">
        <v>43</v>
      </c>
      <c r="AN8085" t="str">
        <f>HYPERLINK("https://www.google.com/maps?q=10.7896986,79.57881165","Open Location")</f>
        <v>Open Location</v>
      </c>
    </row>
    <row r="8086" spans="1:40" x14ac:dyDescent="0.3">
      <c r="A8086" s="1">
        <v>46210.063425925924</v>
      </c>
      <c r="B8086" t="s">
        <v>40</v>
      </c>
      <c r="C8086" t="s">
        <v>41</v>
      </c>
      <c r="D8086" s="1">
        <v>46210.066458333335</v>
      </c>
      <c r="E8086" t="s">
        <v>42</v>
      </c>
      <c r="F8086" t="s">
        <v>43</v>
      </c>
      <c r="G8086" t="s">
        <v>43</v>
      </c>
      <c r="H8086" t="s">
        <v>43</v>
      </c>
      <c r="I8086" t="s">
        <v>4408</v>
      </c>
      <c r="J8086" t="s">
        <v>43</v>
      </c>
      <c r="K8086" t="s">
        <v>43</v>
      </c>
      <c r="L8086" t="s">
        <v>43</v>
      </c>
      <c r="M8086" t="s">
        <v>43</v>
      </c>
      <c r="N8086" t="s">
        <v>45</v>
      </c>
      <c r="O8086" t="s">
        <v>43</v>
      </c>
      <c r="P8086" t="s">
        <v>43</v>
      </c>
      <c r="Q8086" t="s">
        <v>43</v>
      </c>
      <c r="R8086" t="s">
        <v>43</v>
      </c>
      <c r="S8086" t="s">
        <v>43</v>
      </c>
      <c r="T8086" t="s">
        <v>43</v>
      </c>
      <c r="U8086" t="s">
        <v>43</v>
      </c>
      <c r="V8086" t="s">
        <v>43</v>
      </c>
      <c r="W8086" t="s">
        <v>43</v>
      </c>
      <c r="X8086" t="s">
        <v>43</v>
      </c>
      <c r="Y8086" t="s">
        <v>43</v>
      </c>
      <c r="Z8086" t="s">
        <v>43</v>
      </c>
      <c r="AA8086" t="s">
        <v>43</v>
      </c>
      <c r="AB8086" t="s">
        <v>43</v>
      </c>
      <c r="AC8086" t="s">
        <v>43</v>
      </c>
      <c r="AD8086" t="s">
        <v>43</v>
      </c>
      <c r="AE8086" t="s">
        <v>43</v>
      </c>
      <c r="AF8086" t="s">
        <v>43</v>
      </c>
      <c r="AG8086" t="s">
        <v>43</v>
      </c>
      <c r="AH8086" t="s">
        <v>43</v>
      </c>
      <c r="AI8086" t="s">
        <v>43</v>
      </c>
      <c r="AJ8086" t="s">
        <v>43</v>
      </c>
      <c r="AK8086" t="s">
        <v>43</v>
      </c>
      <c r="AL8086" t="s">
        <v>43</v>
      </c>
      <c r="AM8086" t="s">
        <v>43</v>
      </c>
      <c r="AN8086" t="str">
        <f>HYPERLINK("https://www.google.com/maps?q=10.78969574,79.57881927","Open Location")</f>
        <v>Open Location</v>
      </c>
    </row>
    <row r="8087" spans="1:40" x14ac:dyDescent="0.3">
      <c r="A8087" s="1">
        <v>46210.063310185185</v>
      </c>
      <c r="B8087" t="s">
        <v>40</v>
      </c>
      <c r="C8087" t="s">
        <v>41</v>
      </c>
      <c r="D8087" s="1">
        <v>46210.066053240742</v>
      </c>
      <c r="E8087" t="s">
        <v>42</v>
      </c>
      <c r="F8087" t="s">
        <v>43</v>
      </c>
      <c r="G8087" t="s">
        <v>43</v>
      </c>
      <c r="H8087" t="s">
        <v>43</v>
      </c>
      <c r="I8087" t="s">
        <v>43</v>
      </c>
      <c r="J8087" t="s">
        <v>43</v>
      </c>
      <c r="K8087" t="s">
        <v>43</v>
      </c>
      <c r="L8087" t="s">
        <v>43</v>
      </c>
      <c r="M8087" t="s">
        <v>43</v>
      </c>
      <c r="N8087" t="s">
        <v>45</v>
      </c>
      <c r="O8087" t="s">
        <v>43</v>
      </c>
      <c r="P8087" t="s">
        <v>43</v>
      </c>
      <c r="Q8087" t="s">
        <v>43</v>
      </c>
      <c r="R8087" t="s">
        <v>43</v>
      </c>
      <c r="S8087" t="s">
        <v>43</v>
      </c>
      <c r="T8087" t="s">
        <v>43</v>
      </c>
      <c r="U8087" t="s">
        <v>43</v>
      </c>
      <c r="V8087" t="s">
        <v>43</v>
      </c>
      <c r="W8087" t="s">
        <v>43</v>
      </c>
      <c r="X8087" t="s">
        <v>43</v>
      </c>
      <c r="Y8087" t="s">
        <v>43</v>
      </c>
      <c r="Z8087" t="s">
        <v>43</v>
      </c>
      <c r="AA8087" t="s">
        <v>43</v>
      </c>
      <c r="AB8087" t="s">
        <v>43</v>
      </c>
      <c r="AC8087" t="s">
        <v>43</v>
      </c>
      <c r="AD8087" t="s">
        <v>43</v>
      </c>
      <c r="AE8087" t="s">
        <v>43</v>
      </c>
      <c r="AF8087" t="s">
        <v>43</v>
      </c>
      <c r="AG8087" t="s">
        <v>43</v>
      </c>
      <c r="AH8087" t="s">
        <v>43</v>
      </c>
      <c r="AI8087" t="s">
        <v>43</v>
      </c>
      <c r="AJ8087" t="s">
        <v>43</v>
      </c>
      <c r="AK8087" t="s">
        <v>43</v>
      </c>
      <c r="AL8087" t="s">
        <v>43</v>
      </c>
      <c r="AM8087" t="s">
        <v>43</v>
      </c>
      <c r="AN8087" t="s">
        <v>43</v>
      </c>
    </row>
    <row r="8088" spans="1:40" x14ac:dyDescent="0.3">
      <c r="A8088" s="1">
        <v>46210.063194444447</v>
      </c>
      <c r="B8088" t="s">
        <v>40</v>
      </c>
      <c r="C8088" t="s">
        <v>41</v>
      </c>
      <c r="D8088" s="1">
        <v>46210.065949074073</v>
      </c>
      <c r="E8088" t="s">
        <v>42</v>
      </c>
      <c r="F8088" t="s">
        <v>43</v>
      </c>
      <c r="G8088" t="s">
        <v>43</v>
      </c>
      <c r="H8088" t="s">
        <v>43</v>
      </c>
      <c r="I8088" t="s">
        <v>4409</v>
      </c>
      <c r="J8088" t="s">
        <v>43</v>
      </c>
      <c r="K8088" t="s">
        <v>43</v>
      </c>
      <c r="L8088" t="s">
        <v>43</v>
      </c>
      <c r="M8088" t="s">
        <v>43</v>
      </c>
      <c r="N8088" t="s">
        <v>45</v>
      </c>
      <c r="O8088" t="s">
        <v>43</v>
      </c>
      <c r="P8088" t="s">
        <v>43</v>
      </c>
      <c r="Q8088" t="s">
        <v>43</v>
      </c>
      <c r="R8088" t="s">
        <v>43</v>
      </c>
      <c r="S8088" t="s">
        <v>43</v>
      </c>
      <c r="T8088" t="s">
        <v>43</v>
      </c>
      <c r="U8088" t="s">
        <v>43</v>
      </c>
      <c r="V8088" t="s">
        <v>43</v>
      </c>
      <c r="W8088" t="s">
        <v>43</v>
      </c>
      <c r="X8088" t="s">
        <v>43</v>
      </c>
      <c r="Y8088" t="s">
        <v>43</v>
      </c>
      <c r="Z8088" t="s">
        <v>43</v>
      </c>
      <c r="AA8088" t="s">
        <v>43</v>
      </c>
      <c r="AB8088" t="s">
        <v>43</v>
      </c>
      <c r="AC8088" t="s">
        <v>43</v>
      </c>
      <c r="AD8088" t="s">
        <v>43</v>
      </c>
      <c r="AE8088" t="s">
        <v>43</v>
      </c>
      <c r="AF8088" t="s">
        <v>43</v>
      </c>
      <c r="AG8088" t="s">
        <v>43</v>
      </c>
      <c r="AH8088" t="s">
        <v>43</v>
      </c>
      <c r="AI8088" t="s">
        <v>43</v>
      </c>
      <c r="AJ8088" t="s">
        <v>43</v>
      </c>
      <c r="AK8088" t="s">
        <v>43</v>
      </c>
      <c r="AL8088" t="s">
        <v>43</v>
      </c>
      <c r="AM8088" t="s">
        <v>43</v>
      </c>
      <c r="AN8088" t="str">
        <f>HYPERLINK("https://www.google.com/maps?q=10.78968906,79.5788269","Open Location")</f>
        <v>Open Location</v>
      </c>
    </row>
    <row r="8089" spans="1:40" x14ac:dyDescent="0.3">
      <c r="A8089" s="1">
        <v>46210.063078703701</v>
      </c>
      <c r="B8089" t="s">
        <v>40</v>
      </c>
      <c r="C8089" t="s">
        <v>41</v>
      </c>
      <c r="D8089" s="1">
        <v>46210.066053240742</v>
      </c>
      <c r="E8089" t="s">
        <v>42</v>
      </c>
      <c r="F8089" t="s">
        <v>43</v>
      </c>
      <c r="G8089" t="s">
        <v>43</v>
      </c>
      <c r="H8089" t="s">
        <v>43</v>
      </c>
      <c r="I8089" t="s">
        <v>4410</v>
      </c>
      <c r="J8089" t="s">
        <v>43</v>
      </c>
      <c r="K8089" t="s">
        <v>43</v>
      </c>
      <c r="L8089" t="s">
        <v>43</v>
      </c>
      <c r="M8089" t="s">
        <v>43</v>
      </c>
      <c r="N8089" t="s">
        <v>45</v>
      </c>
      <c r="O8089" t="s">
        <v>43</v>
      </c>
      <c r="P8089" t="s">
        <v>43</v>
      </c>
      <c r="Q8089" t="s">
        <v>43</v>
      </c>
      <c r="R8089" t="s">
        <v>43</v>
      </c>
      <c r="S8089" t="s">
        <v>43</v>
      </c>
      <c r="T8089" t="s">
        <v>43</v>
      </c>
      <c r="U8089" t="s">
        <v>43</v>
      </c>
      <c r="V8089" t="s">
        <v>43</v>
      </c>
      <c r="W8089" t="s">
        <v>43</v>
      </c>
      <c r="X8089" t="s">
        <v>43</v>
      </c>
      <c r="Y8089" t="s">
        <v>43</v>
      </c>
      <c r="Z8089" t="s">
        <v>43</v>
      </c>
      <c r="AA8089" t="s">
        <v>43</v>
      </c>
      <c r="AB8089" t="s">
        <v>43</v>
      </c>
      <c r="AC8089" t="s">
        <v>43</v>
      </c>
      <c r="AD8089" t="s">
        <v>43</v>
      </c>
      <c r="AE8089" t="s">
        <v>43</v>
      </c>
      <c r="AF8089" t="s">
        <v>43</v>
      </c>
      <c r="AG8089" t="s">
        <v>43</v>
      </c>
      <c r="AH8089" t="s">
        <v>43</v>
      </c>
      <c r="AI8089" t="s">
        <v>43</v>
      </c>
      <c r="AJ8089" t="s">
        <v>43</v>
      </c>
      <c r="AK8089" t="s">
        <v>43</v>
      </c>
      <c r="AL8089" t="s">
        <v>43</v>
      </c>
      <c r="AM8089" t="s">
        <v>43</v>
      </c>
      <c r="AN8089" t="str">
        <f>HYPERLINK("https://www.google.com/maps?q=10.78968716,79.57881927","Open Location")</f>
        <v>Open Location</v>
      </c>
    </row>
    <row r="8090" spans="1:40" x14ac:dyDescent="0.3">
      <c r="A8090" s="1">
        <v>46210.062962962962</v>
      </c>
      <c r="B8090" t="s">
        <v>40</v>
      </c>
      <c r="C8090" t="s">
        <v>41</v>
      </c>
      <c r="D8090" s="1">
        <v>46210.066099537034</v>
      </c>
      <c r="E8090" t="s">
        <v>42</v>
      </c>
      <c r="F8090" t="s">
        <v>43</v>
      </c>
      <c r="G8090" t="s">
        <v>43</v>
      </c>
      <c r="H8090" t="s">
        <v>43</v>
      </c>
      <c r="I8090" t="s">
        <v>4411</v>
      </c>
      <c r="J8090" t="s">
        <v>43</v>
      </c>
      <c r="K8090" t="s">
        <v>43</v>
      </c>
      <c r="L8090" t="s">
        <v>43</v>
      </c>
      <c r="M8090" t="s">
        <v>43</v>
      </c>
      <c r="N8090" t="s">
        <v>45</v>
      </c>
      <c r="O8090" t="s">
        <v>43</v>
      </c>
      <c r="P8090" t="s">
        <v>43</v>
      </c>
      <c r="Q8090" t="s">
        <v>43</v>
      </c>
      <c r="R8090" t="s">
        <v>43</v>
      </c>
      <c r="S8090" t="s">
        <v>43</v>
      </c>
      <c r="T8090" t="s">
        <v>43</v>
      </c>
      <c r="U8090" t="s">
        <v>43</v>
      </c>
      <c r="V8090" t="s">
        <v>43</v>
      </c>
      <c r="W8090" t="s">
        <v>43</v>
      </c>
      <c r="X8090" t="s">
        <v>43</v>
      </c>
      <c r="Y8090" t="s">
        <v>43</v>
      </c>
      <c r="Z8090" t="s">
        <v>43</v>
      </c>
      <c r="AA8090" t="s">
        <v>43</v>
      </c>
      <c r="AB8090" t="s">
        <v>43</v>
      </c>
      <c r="AC8090" t="s">
        <v>43</v>
      </c>
      <c r="AD8090" t="s">
        <v>43</v>
      </c>
      <c r="AE8090" t="s">
        <v>43</v>
      </c>
      <c r="AF8090" t="s">
        <v>43</v>
      </c>
      <c r="AG8090" t="s">
        <v>43</v>
      </c>
      <c r="AH8090" t="s">
        <v>43</v>
      </c>
      <c r="AI8090" t="s">
        <v>43</v>
      </c>
      <c r="AJ8090" t="s">
        <v>43</v>
      </c>
      <c r="AK8090" t="s">
        <v>43</v>
      </c>
      <c r="AL8090" t="s">
        <v>43</v>
      </c>
      <c r="AM8090" t="s">
        <v>43</v>
      </c>
      <c r="AN8090" t="str">
        <f>HYPERLINK("https://www.google.com/maps?q=10.78968525,79.57881927","Open Location")</f>
        <v>Open Location</v>
      </c>
    </row>
    <row r="8091" spans="1:40" x14ac:dyDescent="0.3">
      <c r="A8091" s="1">
        <v>46210.062847222223</v>
      </c>
      <c r="B8091" t="s">
        <v>40</v>
      </c>
      <c r="C8091" t="s">
        <v>41</v>
      </c>
      <c r="D8091" s="1">
        <v>46210.065949074073</v>
      </c>
      <c r="E8091" t="s">
        <v>42</v>
      </c>
      <c r="F8091" t="s">
        <v>43</v>
      </c>
      <c r="G8091" t="s">
        <v>43</v>
      </c>
      <c r="H8091" t="s">
        <v>43</v>
      </c>
      <c r="I8091" t="s">
        <v>4412</v>
      </c>
      <c r="J8091" t="s">
        <v>43</v>
      </c>
      <c r="K8091" t="s">
        <v>43</v>
      </c>
      <c r="L8091" t="s">
        <v>43</v>
      </c>
      <c r="M8091" t="s">
        <v>43</v>
      </c>
      <c r="N8091" t="s">
        <v>45</v>
      </c>
      <c r="O8091" t="s">
        <v>43</v>
      </c>
      <c r="P8091" t="s">
        <v>43</v>
      </c>
      <c r="Q8091" t="s">
        <v>43</v>
      </c>
      <c r="R8091" t="s">
        <v>43</v>
      </c>
      <c r="S8091" t="s">
        <v>43</v>
      </c>
      <c r="T8091" t="s">
        <v>43</v>
      </c>
      <c r="U8091" t="s">
        <v>43</v>
      </c>
      <c r="V8091" t="s">
        <v>43</v>
      </c>
      <c r="W8091" t="s">
        <v>43</v>
      </c>
      <c r="X8091" t="s">
        <v>43</v>
      </c>
      <c r="Y8091" t="s">
        <v>43</v>
      </c>
      <c r="Z8091" t="s">
        <v>43</v>
      </c>
      <c r="AA8091" t="s">
        <v>43</v>
      </c>
      <c r="AB8091" t="s">
        <v>43</v>
      </c>
      <c r="AC8091" t="s">
        <v>43</v>
      </c>
      <c r="AD8091" t="s">
        <v>43</v>
      </c>
      <c r="AE8091" t="s">
        <v>43</v>
      </c>
      <c r="AF8091" t="s">
        <v>43</v>
      </c>
      <c r="AG8091" t="s">
        <v>43</v>
      </c>
      <c r="AH8091" t="s">
        <v>43</v>
      </c>
      <c r="AI8091" t="s">
        <v>43</v>
      </c>
      <c r="AJ8091" t="s">
        <v>43</v>
      </c>
      <c r="AK8091" t="s">
        <v>43</v>
      </c>
      <c r="AL8091" t="s">
        <v>43</v>
      </c>
      <c r="AM8091" t="s">
        <v>43</v>
      </c>
      <c r="AN8091" t="str">
        <f>HYPERLINK("https://www.google.com/maps?q=10.78968334,79.57881927","Open Location")</f>
        <v>Open Location</v>
      </c>
    </row>
    <row r="8092" spans="1:40" x14ac:dyDescent="0.3">
      <c r="A8092" s="1">
        <v>46210.062731481485</v>
      </c>
      <c r="B8092" t="s">
        <v>40</v>
      </c>
      <c r="C8092" t="s">
        <v>41</v>
      </c>
      <c r="D8092" s="1">
        <v>46210.065567129626</v>
      </c>
      <c r="E8092" t="s">
        <v>42</v>
      </c>
      <c r="F8092" t="s">
        <v>43</v>
      </c>
      <c r="G8092" t="s">
        <v>43</v>
      </c>
      <c r="H8092" t="s">
        <v>43</v>
      </c>
      <c r="I8092" t="s">
        <v>4295</v>
      </c>
      <c r="J8092" t="s">
        <v>43</v>
      </c>
      <c r="K8092" t="s">
        <v>43</v>
      </c>
      <c r="L8092" t="s">
        <v>43</v>
      </c>
      <c r="M8092" t="s">
        <v>43</v>
      </c>
      <c r="N8092" t="s">
        <v>45</v>
      </c>
      <c r="O8092" t="s">
        <v>43</v>
      </c>
      <c r="P8092" t="s">
        <v>43</v>
      </c>
      <c r="Q8092" t="s">
        <v>43</v>
      </c>
      <c r="R8092" t="s">
        <v>43</v>
      </c>
      <c r="S8092" t="s">
        <v>43</v>
      </c>
      <c r="T8092" t="s">
        <v>43</v>
      </c>
      <c r="U8092" t="s">
        <v>43</v>
      </c>
      <c r="V8092" t="s">
        <v>43</v>
      </c>
      <c r="W8092" t="s">
        <v>43</v>
      </c>
      <c r="X8092" t="s">
        <v>43</v>
      </c>
      <c r="Y8092" t="s">
        <v>43</v>
      </c>
      <c r="Z8092" t="s">
        <v>43</v>
      </c>
      <c r="AA8092" t="s">
        <v>43</v>
      </c>
      <c r="AB8092" t="s">
        <v>43</v>
      </c>
      <c r="AC8092" t="s">
        <v>43</v>
      </c>
      <c r="AD8092" t="s">
        <v>43</v>
      </c>
      <c r="AE8092" t="s">
        <v>43</v>
      </c>
      <c r="AF8092" t="s">
        <v>43</v>
      </c>
      <c r="AG8092" t="s">
        <v>43</v>
      </c>
      <c r="AH8092" t="s">
        <v>43</v>
      </c>
      <c r="AI8092" t="s">
        <v>43</v>
      </c>
      <c r="AJ8092" t="s">
        <v>43</v>
      </c>
      <c r="AK8092" t="s">
        <v>43</v>
      </c>
      <c r="AL8092" t="s">
        <v>43</v>
      </c>
      <c r="AM8092" t="s">
        <v>43</v>
      </c>
      <c r="AN8092" t="str">
        <f>HYPERLINK("https://www.google.com/maps?q=10.78967953,79.57881165","Open Location")</f>
        <v>Open Location</v>
      </c>
    </row>
    <row r="8093" spans="1:40" x14ac:dyDescent="0.3">
      <c r="A8093" s="1">
        <v>46210.062615740739</v>
      </c>
      <c r="B8093" t="s">
        <v>40</v>
      </c>
      <c r="C8093" t="s">
        <v>41</v>
      </c>
      <c r="D8093" s="1">
        <v>46210.065312500003</v>
      </c>
      <c r="E8093" t="s">
        <v>42</v>
      </c>
      <c r="F8093" t="s">
        <v>43</v>
      </c>
      <c r="G8093" t="s">
        <v>43</v>
      </c>
      <c r="H8093" t="s">
        <v>43</v>
      </c>
      <c r="I8093" t="s">
        <v>43</v>
      </c>
      <c r="J8093" t="s">
        <v>43</v>
      </c>
      <c r="K8093" t="s">
        <v>43</v>
      </c>
      <c r="L8093" t="s">
        <v>43</v>
      </c>
      <c r="M8093" t="s">
        <v>43</v>
      </c>
      <c r="N8093" t="s">
        <v>45</v>
      </c>
      <c r="O8093" t="s">
        <v>43</v>
      </c>
      <c r="P8093" t="s">
        <v>43</v>
      </c>
      <c r="Q8093" t="s">
        <v>43</v>
      </c>
      <c r="R8093" t="s">
        <v>43</v>
      </c>
      <c r="S8093" t="s">
        <v>43</v>
      </c>
      <c r="T8093" t="s">
        <v>43</v>
      </c>
      <c r="U8093" t="s">
        <v>43</v>
      </c>
      <c r="V8093" t="s">
        <v>43</v>
      </c>
      <c r="W8093" t="s">
        <v>43</v>
      </c>
      <c r="X8093" t="s">
        <v>43</v>
      </c>
      <c r="Y8093" t="s">
        <v>43</v>
      </c>
      <c r="Z8093" t="s">
        <v>43</v>
      </c>
      <c r="AA8093" t="s">
        <v>43</v>
      </c>
      <c r="AB8093" t="s">
        <v>43</v>
      </c>
      <c r="AC8093" t="s">
        <v>43</v>
      </c>
      <c r="AD8093" t="s">
        <v>43</v>
      </c>
      <c r="AE8093" t="s">
        <v>43</v>
      </c>
      <c r="AF8093" t="s">
        <v>43</v>
      </c>
      <c r="AG8093" t="s">
        <v>43</v>
      </c>
      <c r="AH8093" t="s">
        <v>43</v>
      </c>
      <c r="AI8093" t="s">
        <v>43</v>
      </c>
      <c r="AJ8093" t="s">
        <v>43</v>
      </c>
      <c r="AK8093" t="s">
        <v>43</v>
      </c>
      <c r="AL8093" t="s">
        <v>43</v>
      </c>
      <c r="AM8093" t="s">
        <v>43</v>
      </c>
      <c r="AN8093" t="s">
        <v>43</v>
      </c>
    </row>
    <row r="8094" spans="1:40" x14ac:dyDescent="0.3">
      <c r="A8094" s="1">
        <v>46210.0625</v>
      </c>
      <c r="B8094" t="s">
        <v>40</v>
      </c>
      <c r="C8094" t="s">
        <v>41</v>
      </c>
      <c r="D8094" s="1">
        <v>46210.065555555557</v>
      </c>
      <c r="E8094" t="s">
        <v>42</v>
      </c>
      <c r="F8094" t="s">
        <v>43</v>
      </c>
      <c r="G8094" t="s">
        <v>43</v>
      </c>
      <c r="H8094" t="s">
        <v>43</v>
      </c>
      <c r="I8094" t="s">
        <v>4249</v>
      </c>
      <c r="J8094" t="s">
        <v>43</v>
      </c>
      <c r="K8094" t="s">
        <v>43</v>
      </c>
      <c r="L8094" t="s">
        <v>43</v>
      </c>
      <c r="M8094" t="s">
        <v>43</v>
      </c>
      <c r="N8094" t="s">
        <v>45</v>
      </c>
      <c r="O8094" t="s">
        <v>43</v>
      </c>
      <c r="P8094" t="s">
        <v>43</v>
      </c>
      <c r="Q8094" t="s">
        <v>43</v>
      </c>
      <c r="R8094" t="s">
        <v>43</v>
      </c>
      <c r="S8094" t="s">
        <v>43</v>
      </c>
      <c r="T8094" t="s">
        <v>43</v>
      </c>
      <c r="U8094" t="s">
        <v>43</v>
      </c>
      <c r="V8094" t="s">
        <v>43</v>
      </c>
      <c r="W8094" t="s">
        <v>43</v>
      </c>
      <c r="X8094" t="s">
        <v>43</v>
      </c>
      <c r="Y8094" t="s">
        <v>43</v>
      </c>
      <c r="Z8094" t="s">
        <v>43</v>
      </c>
      <c r="AA8094" t="s">
        <v>43</v>
      </c>
      <c r="AB8094" t="s">
        <v>43</v>
      </c>
      <c r="AC8094" t="s">
        <v>43</v>
      </c>
      <c r="AD8094" t="s">
        <v>43</v>
      </c>
      <c r="AE8094" t="s">
        <v>43</v>
      </c>
      <c r="AF8094" t="s">
        <v>43</v>
      </c>
      <c r="AG8094" t="s">
        <v>43</v>
      </c>
      <c r="AH8094" t="s">
        <v>43</v>
      </c>
      <c r="AI8094" t="s">
        <v>43</v>
      </c>
      <c r="AJ8094" t="s">
        <v>43</v>
      </c>
      <c r="AK8094" t="s">
        <v>43</v>
      </c>
      <c r="AL8094" t="s">
        <v>43</v>
      </c>
      <c r="AM8094" t="s">
        <v>43</v>
      </c>
      <c r="AN8094" t="str">
        <f>HYPERLINK("https://www.google.com/maps?q=10.78967571,79.57881165","Open Location")</f>
        <v>Open Location</v>
      </c>
    </row>
    <row r="8095" spans="1:40" x14ac:dyDescent="0.3">
      <c r="A8095" s="1">
        <v>46210.062384259261</v>
      </c>
      <c r="B8095" t="s">
        <v>40</v>
      </c>
      <c r="C8095" t="s">
        <v>41</v>
      </c>
      <c r="D8095" s="1">
        <v>46210.065312500003</v>
      </c>
      <c r="E8095" t="s">
        <v>42</v>
      </c>
      <c r="F8095" t="s">
        <v>43</v>
      </c>
      <c r="G8095" t="s">
        <v>43</v>
      </c>
      <c r="H8095" t="s">
        <v>43</v>
      </c>
      <c r="I8095" t="s">
        <v>4174</v>
      </c>
      <c r="J8095" t="s">
        <v>43</v>
      </c>
      <c r="K8095" t="s">
        <v>43</v>
      </c>
      <c r="L8095" t="s">
        <v>43</v>
      </c>
      <c r="M8095" t="s">
        <v>43</v>
      </c>
      <c r="N8095" t="s">
        <v>45</v>
      </c>
      <c r="O8095" t="s">
        <v>43</v>
      </c>
      <c r="P8095" t="s">
        <v>43</v>
      </c>
      <c r="Q8095" t="s">
        <v>43</v>
      </c>
      <c r="R8095" t="s">
        <v>43</v>
      </c>
      <c r="S8095" t="s">
        <v>43</v>
      </c>
      <c r="T8095" t="s">
        <v>43</v>
      </c>
      <c r="U8095" t="s">
        <v>43</v>
      </c>
      <c r="V8095" t="s">
        <v>43</v>
      </c>
      <c r="W8095" t="s">
        <v>43</v>
      </c>
      <c r="X8095" t="s">
        <v>43</v>
      </c>
      <c r="Y8095" t="s">
        <v>43</v>
      </c>
      <c r="Z8095" t="s">
        <v>43</v>
      </c>
      <c r="AA8095" t="s">
        <v>43</v>
      </c>
      <c r="AB8095" t="s">
        <v>43</v>
      </c>
      <c r="AC8095" t="s">
        <v>43</v>
      </c>
      <c r="AD8095" t="s">
        <v>43</v>
      </c>
      <c r="AE8095" t="s">
        <v>43</v>
      </c>
      <c r="AF8095" t="s">
        <v>43</v>
      </c>
      <c r="AG8095" t="s">
        <v>43</v>
      </c>
      <c r="AH8095" t="s">
        <v>43</v>
      </c>
      <c r="AI8095" t="s">
        <v>43</v>
      </c>
      <c r="AJ8095" t="s">
        <v>43</v>
      </c>
      <c r="AK8095" t="s">
        <v>43</v>
      </c>
      <c r="AL8095" t="s">
        <v>43</v>
      </c>
      <c r="AM8095" t="s">
        <v>43</v>
      </c>
      <c r="AN8095" t="str">
        <f>HYPERLINK("https://www.google.com/maps?q=10.78968143,79.57881927","Open Location")</f>
        <v>Open Location</v>
      </c>
    </row>
    <row r="8096" spans="1:40" x14ac:dyDescent="0.3">
      <c r="A8096" s="1">
        <v>46210.062268518515</v>
      </c>
      <c r="B8096" t="s">
        <v>40</v>
      </c>
      <c r="C8096" t="s">
        <v>41</v>
      </c>
      <c r="D8096" s="1">
        <v>46210.065312500003</v>
      </c>
      <c r="E8096" t="s">
        <v>42</v>
      </c>
      <c r="F8096" t="s">
        <v>43</v>
      </c>
      <c r="G8096" t="s">
        <v>43</v>
      </c>
      <c r="H8096" t="s">
        <v>43</v>
      </c>
      <c r="I8096" t="s">
        <v>4279</v>
      </c>
      <c r="J8096" t="s">
        <v>43</v>
      </c>
      <c r="K8096" t="s">
        <v>43</v>
      </c>
      <c r="L8096" t="s">
        <v>43</v>
      </c>
      <c r="M8096" t="s">
        <v>43</v>
      </c>
      <c r="N8096" t="s">
        <v>45</v>
      </c>
      <c r="O8096" t="s">
        <v>43</v>
      </c>
      <c r="P8096" t="s">
        <v>43</v>
      </c>
      <c r="Q8096" t="s">
        <v>43</v>
      </c>
      <c r="R8096" t="s">
        <v>43</v>
      </c>
      <c r="S8096" t="s">
        <v>43</v>
      </c>
      <c r="T8096" t="s">
        <v>43</v>
      </c>
      <c r="U8096" t="s">
        <v>43</v>
      </c>
      <c r="V8096" t="s">
        <v>43</v>
      </c>
      <c r="W8096" t="s">
        <v>43</v>
      </c>
      <c r="X8096" t="s">
        <v>43</v>
      </c>
      <c r="Y8096" t="s">
        <v>43</v>
      </c>
      <c r="Z8096" t="s">
        <v>43</v>
      </c>
      <c r="AA8096" t="s">
        <v>43</v>
      </c>
      <c r="AB8096" t="s">
        <v>43</v>
      </c>
      <c r="AC8096" t="s">
        <v>43</v>
      </c>
      <c r="AD8096" t="s">
        <v>43</v>
      </c>
      <c r="AE8096" t="s">
        <v>43</v>
      </c>
      <c r="AF8096" t="s">
        <v>43</v>
      </c>
      <c r="AG8096" t="s">
        <v>43</v>
      </c>
      <c r="AH8096" t="s">
        <v>43</v>
      </c>
      <c r="AI8096" t="s">
        <v>43</v>
      </c>
      <c r="AJ8096" t="s">
        <v>43</v>
      </c>
      <c r="AK8096" t="s">
        <v>43</v>
      </c>
      <c r="AL8096" t="s">
        <v>43</v>
      </c>
      <c r="AM8096" t="s">
        <v>43</v>
      </c>
      <c r="AN8096" t="str">
        <f>HYPERLINK("https://www.google.com/maps?q=10.7896843,79.57881165","Open Location")</f>
        <v>Open Location</v>
      </c>
    </row>
    <row r="8097" spans="1:40" x14ac:dyDescent="0.3">
      <c r="A8097" s="1">
        <v>46210.062152777777</v>
      </c>
      <c r="B8097" t="s">
        <v>40</v>
      </c>
      <c r="C8097" t="s">
        <v>41</v>
      </c>
      <c r="D8097" s="1">
        <v>46210.064826388887</v>
      </c>
      <c r="E8097" t="s">
        <v>42</v>
      </c>
      <c r="F8097" t="s">
        <v>43</v>
      </c>
      <c r="G8097" t="s">
        <v>43</v>
      </c>
      <c r="H8097" t="s">
        <v>43</v>
      </c>
      <c r="I8097" t="s">
        <v>4367</v>
      </c>
      <c r="J8097" t="s">
        <v>43</v>
      </c>
      <c r="K8097" t="s">
        <v>43</v>
      </c>
      <c r="L8097" t="s">
        <v>43</v>
      </c>
      <c r="M8097" t="s">
        <v>43</v>
      </c>
      <c r="N8097" t="s">
        <v>45</v>
      </c>
      <c r="O8097" t="s">
        <v>43</v>
      </c>
      <c r="P8097" t="s">
        <v>43</v>
      </c>
      <c r="Q8097" t="s">
        <v>43</v>
      </c>
      <c r="R8097" t="s">
        <v>43</v>
      </c>
      <c r="S8097" t="s">
        <v>43</v>
      </c>
      <c r="T8097" t="s">
        <v>43</v>
      </c>
      <c r="U8097" t="s">
        <v>43</v>
      </c>
      <c r="V8097" t="s">
        <v>43</v>
      </c>
      <c r="W8097" t="s">
        <v>43</v>
      </c>
      <c r="X8097" t="s">
        <v>43</v>
      </c>
      <c r="Y8097" t="s">
        <v>43</v>
      </c>
      <c r="Z8097" t="s">
        <v>43</v>
      </c>
      <c r="AA8097" t="s">
        <v>43</v>
      </c>
      <c r="AB8097" t="s">
        <v>43</v>
      </c>
      <c r="AC8097" t="s">
        <v>43</v>
      </c>
      <c r="AD8097" t="s">
        <v>43</v>
      </c>
      <c r="AE8097" t="s">
        <v>43</v>
      </c>
      <c r="AF8097" t="s">
        <v>43</v>
      </c>
      <c r="AG8097" t="s">
        <v>43</v>
      </c>
      <c r="AH8097" t="s">
        <v>43</v>
      </c>
      <c r="AI8097" t="s">
        <v>43</v>
      </c>
      <c r="AJ8097" t="s">
        <v>43</v>
      </c>
      <c r="AK8097" t="s">
        <v>43</v>
      </c>
      <c r="AL8097" t="s">
        <v>43</v>
      </c>
      <c r="AM8097" t="s">
        <v>43</v>
      </c>
      <c r="AN8097" t="str">
        <f>HYPERLINK("https://www.google.com/maps?q=10.78968525,79.57879639","Open Location")</f>
        <v>Open Location</v>
      </c>
    </row>
    <row r="8098" spans="1:40" x14ac:dyDescent="0.3">
      <c r="A8098" s="1">
        <v>46210.062037037038</v>
      </c>
      <c r="B8098" t="s">
        <v>40</v>
      </c>
      <c r="C8098" t="s">
        <v>41</v>
      </c>
      <c r="D8098" s="1">
        <v>46210.06490740741</v>
      </c>
      <c r="E8098" t="s">
        <v>42</v>
      </c>
      <c r="F8098" t="s">
        <v>43</v>
      </c>
      <c r="G8098" t="s">
        <v>43</v>
      </c>
      <c r="H8098" t="s">
        <v>43</v>
      </c>
      <c r="I8098" t="s">
        <v>4228</v>
      </c>
      <c r="J8098" t="s">
        <v>43</v>
      </c>
      <c r="K8098" t="s">
        <v>43</v>
      </c>
      <c r="L8098" t="s">
        <v>43</v>
      </c>
      <c r="M8098" t="s">
        <v>43</v>
      </c>
      <c r="N8098" t="s">
        <v>45</v>
      </c>
      <c r="O8098" t="s">
        <v>43</v>
      </c>
      <c r="P8098" t="s">
        <v>43</v>
      </c>
      <c r="Q8098" t="s">
        <v>43</v>
      </c>
      <c r="R8098" t="s">
        <v>43</v>
      </c>
      <c r="S8098" t="s">
        <v>43</v>
      </c>
      <c r="T8098" t="s">
        <v>43</v>
      </c>
      <c r="U8098" t="s">
        <v>43</v>
      </c>
      <c r="V8098" t="s">
        <v>43</v>
      </c>
      <c r="W8098" t="s">
        <v>43</v>
      </c>
      <c r="X8098" t="s">
        <v>43</v>
      </c>
      <c r="Y8098" t="s">
        <v>43</v>
      </c>
      <c r="Z8098" t="s">
        <v>43</v>
      </c>
      <c r="AA8098" t="s">
        <v>43</v>
      </c>
      <c r="AB8098" t="s">
        <v>43</v>
      </c>
      <c r="AC8098" t="s">
        <v>43</v>
      </c>
      <c r="AD8098" t="s">
        <v>43</v>
      </c>
      <c r="AE8098" t="s">
        <v>43</v>
      </c>
      <c r="AF8098" t="s">
        <v>43</v>
      </c>
      <c r="AG8098" t="s">
        <v>43</v>
      </c>
      <c r="AH8098" t="s">
        <v>43</v>
      </c>
      <c r="AI8098" t="s">
        <v>43</v>
      </c>
      <c r="AJ8098" t="s">
        <v>43</v>
      </c>
      <c r="AK8098" t="s">
        <v>43</v>
      </c>
      <c r="AL8098" t="s">
        <v>43</v>
      </c>
      <c r="AM8098" t="s">
        <v>43</v>
      </c>
      <c r="AN8098" t="str">
        <f>HYPERLINK("https://www.google.com/maps?q=10.78967857,79.57878876","Open Location")</f>
        <v>Open Location</v>
      </c>
    </row>
    <row r="8099" spans="1:40" x14ac:dyDescent="0.3">
      <c r="A8099" s="1">
        <v>46210.061921296299</v>
      </c>
      <c r="B8099" t="s">
        <v>40</v>
      </c>
      <c r="C8099" t="s">
        <v>41</v>
      </c>
      <c r="D8099" s="1">
        <v>46210.06490740741</v>
      </c>
      <c r="E8099" t="s">
        <v>42</v>
      </c>
      <c r="F8099" t="s">
        <v>43</v>
      </c>
      <c r="G8099" t="s">
        <v>43</v>
      </c>
      <c r="H8099" t="s">
        <v>43</v>
      </c>
      <c r="I8099" t="s">
        <v>43</v>
      </c>
      <c r="J8099" t="s">
        <v>43</v>
      </c>
      <c r="K8099" t="s">
        <v>43</v>
      </c>
      <c r="L8099" t="s">
        <v>43</v>
      </c>
      <c r="M8099" t="s">
        <v>43</v>
      </c>
      <c r="N8099" t="s">
        <v>45</v>
      </c>
      <c r="O8099" t="s">
        <v>43</v>
      </c>
      <c r="P8099" t="s">
        <v>43</v>
      </c>
      <c r="Q8099" t="s">
        <v>43</v>
      </c>
      <c r="R8099" t="s">
        <v>43</v>
      </c>
      <c r="S8099" t="s">
        <v>43</v>
      </c>
      <c r="T8099" t="s">
        <v>43</v>
      </c>
      <c r="U8099" t="s">
        <v>43</v>
      </c>
      <c r="V8099" t="s">
        <v>43</v>
      </c>
      <c r="W8099" t="s">
        <v>43</v>
      </c>
      <c r="X8099" t="s">
        <v>43</v>
      </c>
      <c r="Y8099" t="s">
        <v>43</v>
      </c>
      <c r="Z8099" t="s">
        <v>43</v>
      </c>
      <c r="AA8099" t="s">
        <v>43</v>
      </c>
      <c r="AB8099" t="s">
        <v>43</v>
      </c>
      <c r="AC8099" t="s">
        <v>43</v>
      </c>
      <c r="AD8099" t="s">
        <v>43</v>
      </c>
      <c r="AE8099" t="s">
        <v>43</v>
      </c>
      <c r="AF8099" t="s">
        <v>43</v>
      </c>
      <c r="AG8099" t="s">
        <v>43</v>
      </c>
      <c r="AH8099" t="s">
        <v>43</v>
      </c>
      <c r="AI8099" t="s">
        <v>43</v>
      </c>
      <c r="AJ8099" t="s">
        <v>43</v>
      </c>
      <c r="AK8099" t="s">
        <v>43</v>
      </c>
      <c r="AL8099" t="s">
        <v>43</v>
      </c>
      <c r="AM8099" t="s">
        <v>43</v>
      </c>
      <c r="AN8099" t="s">
        <v>43</v>
      </c>
    </row>
    <row r="8100" spans="1:40" x14ac:dyDescent="0.3">
      <c r="A8100" s="1">
        <v>46210.061805555553</v>
      </c>
      <c r="B8100" t="s">
        <v>40</v>
      </c>
      <c r="C8100" t="s">
        <v>41</v>
      </c>
      <c r="D8100" s="1">
        <v>46210.064826388887</v>
      </c>
      <c r="E8100" t="s">
        <v>42</v>
      </c>
      <c r="F8100" t="s">
        <v>43</v>
      </c>
      <c r="G8100" t="s">
        <v>43</v>
      </c>
      <c r="H8100" t="s">
        <v>43</v>
      </c>
      <c r="I8100" t="s">
        <v>4235</v>
      </c>
      <c r="J8100" t="s">
        <v>43</v>
      </c>
      <c r="K8100" t="s">
        <v>43</v>
      </c>
      <c r="L8100" t="s">
        <v>43</v>
      </c>
      <c r="M8100" t="s">
        <v>43</v>
      </c>
      <c r="N8100" t="s">
        <v>45</v>
      </c>
      <c r="O8100" t="s">
        <v>43</v>
      </c>
      <c r="P8100" t="s">
        <v>43</v>
      </c>
      <c r="Q8100" t="s">
        <v>43</v>
      </c>
      <c r="R8100" t="s">
        <v>43</v>
      </c>
      <c r="S8100" t="s">
        <v>43</v>
      </c>
      <c r="T8100" t="s">
        <v>43</v>
      </c>
      <c r="U8100" t="s">
        <v>43</v>
      </c>
      <c r="V8100" t="s">
        <v>43</v>
      </c>
      <c r="W8100" t="s">
        <v>43</v>
      </c>
      <c r="X8100" t="s">
        <v>43</v>
      </c>
      <c r="Y8100" t="s">
        <v>43</v>
      </c>
      <c r="Z8100" t="s">
        <v>43</v>
      </c>
      <c r="AA8100" t="s">
        <v>43</v>
      </c>
      <c r="AB8100" t="s">
        <v>43</v>
      </c>
      <c r="AC8100" t="s">
        <v>43</v>
      </c>
      <c r="AD8100" t="s">
        <v>43</v>
      </c>
      <c r="AE8100" t="s">
        <v>43</v>
      </c>
      <c r="AF8100" t="s">
        <v>43</v>
      </c>
      <c r="AG8100" t="s">
        <v>43</v>
      </c>
      <c r="AH8100" t="s">
        <v>43</v>
      </c>
      <c r="AI8100" t="s">
        <v>43</v>
      </c>
      <c r="AJ8100" t="s">
        <v>43</v>
      </c>
      <c r="AK8100" t="s">
        <v>43</v>
      </c>
      <c r="AL8100" t="s">
        <v>43</v>
      </c>
      <c r="AM8100" t="s">
        <v>43</v>
      </c>
      <c r="AN8100" t="str">
        <f>HYPERLINK("https://www.google.com/maps?q=10.7896719,79.57878876","Open Location")</f>
        <v>Open Location</v>
      </c>
    </row>
    <row r="8101" spans="1:40" x14ac:dyDescent="0.3">
      <c r="A8101" s="1">
        <v>46210.061689814815</v>
      </c>
      <c r="B8101" t="s">
        <v>40</v>
      </c>
      <c r="C8101" t="s">
        <v>41</v>
      </c>
      <c r="D8101" s="1">
        <v>46210.064398148148</v>
      </c>
      <c r="E8101" t="s">
        <v>42</v>
      </c>
      <c r="F8101" t="s">
        <v>43</v>
      </c>
      <c r="G8101" t="s">
        <v>43</v>
      </c>
      <c r="H8101" t="s">
        <v>43</v>
      </c>
      <c r="I8101" t="s">
        <v>4375</v>
      </c>
      <c r="J8101" t="s">
        <v>43</v>
      </c>
      <c r="K8101" t="s">
        <v>43</v>
      </c>
      <c r="L8101" t="s">
        <v>43</v>
      </c>
      <c r="M8101" t="s">
        <v>43</v>
      </c>
      <c r="N8101" t="s">
        <v>45</v>
      </c>
      <c r="O8101" t="s">
        <v>43</v>
      </c>
      <c r="P8101" t="s">
        <v>43</v>
      </c>
      <c r="Q8101" t="s">
        <v>43</v>
      </c>
      <c r="R8101" t="s">
        <v>43</v>
      </c>
      <c r="S8101" t="s">
        <v>43</v>
      </c>
      <c r="T8101" t="s">
        <v>43</v>
      </c>
      <c r="U8101" t="s">
        <v>43</v>
      </c>
      <c r="V8101" t="s">
        <v>43</v>
      </c>
      <c r="W8101" t="s">
        <v>43</v>
      </c>
      <c r="X8101" t="s">
        <v>43</v>
      </c>
      <c r="Y8101" t="s">
        <v>43</v>
      </c>
      <c r="Z8101" t="s">
        <v>43</v>
      </c>
      <c r="AA8101" t="s">
        <v>43</v>
      </c>
      <c r="AB8101" t="s">
        <v>43</v>
      </c>
      <c r="AC8101" t="s">
        <v>43</v>
      </c>
      <c r="AD8101" t="s">
        <v>43</v>
      </c>
      <c r="AE8101" t="s">
        <v>43</v>
      </c>
      <c r="AF8101" t="s">
        <v>43</v>
      </c>
      <c r="AG8101" t="s">
        <v>43</v>
      </c>
      <c r="AH8101" t="s">
        <v>43</v>
      </c>
      <c r="AI8101" t="s">
        <v>43</v>
      </c>
      <c r="AJ8101" t="s">
        <v>43</v>
      </c>
      <c r="AK8101" t="s">
        <v>43</v>
      </c>
      <c r="AL8101" t="s">
        <v>43</v>
      </c>
      <c r="AM8101" t="s">
        <v>43</v>
      </c>
      <c r="AN8101" t="str">
        <f>HYPERLINK("https://www.google.com/maps?q=10.78967762,79.57878876","Open Location")</f>
        <v>Open Location</v>
      </c>
    </row>
    <row r="8102" spans="1:40" x14ac:dyDescent="0.3">
      <c r="A8102" s="1">
        <v>46210.061574074076</v>
      </c>
      <c r="B8102" t="s">
        <v>40</v>
      </c>
      <c r="C8102" t="s">
        <v>41</v>
      </c>
      <c r="D8102" s="1">
        <v>46210.064398148148</v>
      </c>
      <c r="E8102" t="s">
        <v>42</v>
      </c>
      <c r="F8102" t="s">
        <v>43</v>
      </c>
      <c r="G8102" t="s">
        <v>43</v>
      </c>
      <c r="H8102" t="s">
        <v>43</v>
      </c>
      <c r="I8102" t="s">
        <v>4227</v>
      </c>
      <c r="J8102" t="s">
        <v>43</v>
      </c>
      <c r="K8102" t="s">
        <v>43</v>
      </c>
      <c r="L8102" t="s">
        <v>43</v>
      </c>
      <c r="M8102" t="s">
        <v>43</v>
      </c>
      <c r="N8102" t="s">
        <v>45</v>
      </c>
      <c r="O8102" t="s">
        <v>43</v>
      </c>
      <c r="P8102" t="s">
        <v>43</v>
      </c>
      <c r="Q8102" t="s">
        <v>43</v>
      </c>
      <c r="R8102" t="s">
        <v>43</v>
      </c>
      <c r="S8102" t="s">
        <v>43</v>
      </c>
      <c r="T8102" t="s">
        <v>43</v>
      </c>
      <c r="U8102" t="s">
        <v>43</v>
      </c>
      <c r="V8102" t="s">
        <v>43</v>
      </c>
      <c r="W8102" t="s">
        <v>43</v>
      </c>
      <c r="X8102" t="s">
        <v>43</v>
      </c>
      <c r="Y8102" t="s">
        <v>43</v>
      </c>
      <c r="Z8102" t="s">
        <v>43</v>
      </c>
      <c r="AA8102" t="s">
        <v>43</v>
      </c>
      <c r="AB8102" t="s">
        <v>43</v>
      </c>
      <c r="AC8102" t="s">
        <v>43</v>
      </c>
      <c r="AD8102" t="s">
        <v>43</v>
      </c>
      <c r="AE8102" t="s">
        <v>43</v>
      </c>
      <c r="AF8102" t="s">
        <v>43</v>
      </c>
      <c r="AG8102" t="s">
        <v>43</v>
      </c>
      <c r="AH8102" t="s">
        <v>43</v>
      </c>
      <c r="AI8102" t="s">
        <v>43</v>
      </c>
      <c r="AJ8102" t="s">
        <v>43</v>
      </c>
      <c r="AK8102" t="s">
        <v>43</v>
      </c>
      <c r="AL8102" t="s">
        <v>43</v>
      </c>
      <c r="AM8102" t="s">
        <v>43</v>
      </c>
      <c r="AN8102" t="str">
        <f>HYPERLINK("https://www.google.com/maps?q=10.78967381,79.57879639","Open Location")</f>
        <v>Open Location</v>
      </c>
    </row>
    <row r="8103" spans="1:40" x14ac:dyDescent="0.3">
      <c r="A8103" s="1">
        <v>46210.06145833333</v>
      </c>
      <c r="B8103" t="s">
        <v>40</v>
      </c>
      <c r="C8103" t="s">
        <v>41</v>
      </c>
      <c r="D8103" s="1">
        <v>46210.064062500001</v>
      </c>
      <c r="E8103" t="s">
        <v>42</v>
      </c>
      <c r="F8103" t="s">
        <v>43</v>
      </c>
      <c r="G8103" t="s">
        <v>43</v>
      </c>
      <c r="H8103" t="s">
        <v>43</v>
      </c>
      <c r="I8103" t="s">
        <v>4413</v>
      </c>
      <c r="J8103" t="s">
        <v>43</v>
      </c>
      <c r="K8103" t="s">
        <v>43</v>
      </c>
      <c r="L8103" t="s">
        <v>43</v>
      </c>
      <c r="M8103" t="s">
        <v>43</v>
      </c>
      <c r="N8103" t="s">
        <v>45</v>
      </c>
      <c r="O8103" t="s">
        <v>43</v>
      </c>
      <c r="P8103" t="s">
        <v>43</v>
      </c>
      <c r="Q8103" t="s">
        <v>43</v>
      </c>
      <c r="R8103" t="s">
        <v>43</v>
      </c>
      <c r="S8103" t="s">
        <v>43</v>
      </c>
      <c r="T8103" t="s">
        <v>43</v>
      </c>
      <c r="U8103" t="s">
        <v>43</v>
      </c>
      <c r="V8103" t="s">
        <v>43</v>
      </c>
      <c r="W8103" t="s">
        <v>43</v>
      </c>
      <c r="X8103" t="s">
        <v>43</v>
      </c>
      <c r="Y8103" t="s">
        <v>43</v>
      </c>
      <c r="Z8103" t="s">
        <v>43</v>
      </c>
      <c r="AA8103" t="s">
        <v>43</v>
      </c>
      <c r="AB8103" t="s">
        <v>43</v>
      </c>
      <c r="AC8103" t="s">
        <v>43</v>
      </c>
      <c r="AD8103" t="s">
        <v>43</v>
      </c>
      <c r="AE8103" t="s">
        <v>43</v>
      </c>
      <c r="AF8103" t="s">
        <v>43</v>
      </c>
      <c r="AG8103" t="s">
        <v>43</v>
      </c>
      <c r="AH8103" t="s">
        <v>43</v>
      </c>
      <c r="AI8103" t="s">
        <v>43</v>
      </c>
      <c r="AJ8103" t="s">
        <v>43</v>
      </c>
      <c r="AK8103" t="s">
        <v>43</v>
      </c>
      <c r="AL8103" t="s">
        <v>43</v>
      </c>
      <c r="AM8103" t="s">
        <v>43</v>
      </c>
      <c r="AN8103" t="str">
        <f>HYPERLINK("https://www.google.com/maps?q=10.7896719,79.57879639","Open Location")</f>
        <v>Open Location</v>
      </c>
    </row>
    <row r="8104" spans="1:40" x14ac:dyDescent="0.3">
      <c r="A8104" s="1">
        <v>46210.061342592591</v>
      </c>
      <c r="B8104" t="s">
        <v>40</v>
      </c>
      <c r="C8104" t="s">
        <v>41</v>
      </c>
      <c r="D8104" s="1">
        <v>46210.064131944448</v>
      </c>
      <c r="E8104" t="s">
        <v>42</v>
      </c>
      <c r="F8104" t="s">
        <v>43</v>
      </c>
      <c r="G8104" t="s">
        <v>43</v>
      </c>
      <c r="H8104" t="s">
        <v>43</v>
      </c>
      <c r="I8104" t="s">
        <v>43</v>
      </c>
      <c r="J8104" t="s">
        <v>43</v>
      </c>
      <c r="K8104" t="s">
        <v>43</v>
      </c>
      <c r="L8104" t="s">
        <v>43</v>
      </c>
      <c r="M8104" t="s">
        <v>43</v>
      </c>
      <c r="N8104" t="s">
        <v>45</v>
      </c>
      <c r="O8104" t="s">
        <v>43</v>
      </c>
      <c r="P8104" t="s">
        <v>43</v>
      </c>
      <c r="Q8104" t="s">
        <v>43</v>
      </c>
      <c r="R8104" t="s">
        <v>43</v>
      </c>
      <c r="S8104" t="s">
        <v>43</v>
      </c>
      <c r="T8104" t="s">
        <v>43</v>
      </c>
      <c r="U8104" t="s">
        <v>43</v>
      </c>
      <c r="V8104" t="s">
        <v>43</v>
      </c>
      <c r="W8104" t="s">
        <v>43</v>
      </c>
      <c r="X8104" t="s">
        <v>43</v>
      </c>
      <c r="Y8104" t="s">
        <v>43</v>
      </c>
      <c r="Z8104" t="s">
        <v>43</v>
      </c>
      <c r="AA8104" t="s">
        <v>43</v>
      </c>
      <c r="AB8104" t="s">
        <v>43</v>
      </c>
      <c r="AC8104" t="s">
        <v>43</v>
      </c>
      <c r="AD8104" t="s">
        <v>43</v>
      </c>
      <c r="AE8104" t="s">
        <v>43</v>
      </c>
      <c r="AF8104" t="s">
        <v>43</v>
      </c>
      <c r="AG8104" t="s">
        <v>43</v>
      </c>
      <c r="AH8104" t="s">
        <v>43</v>
      </c>
      <c r="AI8104" t="s">
        <v>43</v>
      </c>
      <c r="AJ8104" t="s">
        <v>43</v>
      </c>
      <c r="AK8104" t="s">
        <v>43</v>
      </c>
      <c r="AL8104" t="s">
        <v>43</v>
      </c>
      <c r="AM8104" t="s">
        <v>43</v>
      </c>
      <c r="AN8104" t="s">
        <v>43</v>
      </c>
    </row>
    <row r="8105" spans="1:40" x14ac:dyDescent="0.3">
      <c r="A8105" s="1">
        <v>46210.061226851853</v>
      </c>
      <c r="B8105" t="s">
        <v>40</v>
      </c>
      <c r="C8105" t="s">
        <v>41</v>
      </c>
      <c r="D8105" s="1">
        <v>46210.064062500001</v>
      </c>
      <c r="E8105" t="s">
        <v>42</v>
      </c>
      <c r="F8105" t="s">
        <v>43</v>
      </c>
      <c r="G8105" t="s">
        <v>43</v>
      </c>
      <c r="H8105" t="s">
        <v>43</v>
      </c>
      <c r="I8105" t="s">
        <v>4219</v>
      </c>
      <c r="J8105" t="s">
        <v>43</v>
      </c>
      <c r="K8105" t="s">
        <v>43</v>
      </c>
      <c r="L8105" t="s">
        <v>43</v>
      </c>
      <c r="M8105" t="s">
        <v>43</v>
      </c>
      <c r="N8105" t="s">
        <v>45</v>
      </c>
      <c r="O8105" t="s">
        <v>43</v>
      </c>
      <c r="P8105" t="s">
        <v>43</v>
      </c>
      <c r="Q8105" t="s">
        <v>43</v>
      </c>
      <c r="R8105" t="s">
        <v>43</v>
      </c>
      <c r="S8105" t="s">
        <v>43</v>
      </c>
      <c r="T8105" t="s">
        <v>43</v>
      </c>
      <c r="U8105" t="s">
        <v>43</v>
      </c>
      <c r="V8105" t="s">
        <v>43</v>
      </c>
      <c r="W8105" t="s">
        <v>43</v>
      </c>
      <c r="X8105" t="s">
        <v>43</v>
      </c>
      <c r="Y8105" t="s">
        <v>43</v>
      </c>
      <c r="Z8105" t="s">
        <v>43</v>
      </c>
      <c r="AA8105" t="s">
        <v>43</v>
      </c>
      <c r="AB8105" t="s">
        <v>43</v>
      </c>
      <c r="AC8105" t="s">
        <v>43</v>
      </c>
      <c r="AD8105" t="s">
        <v>43</v>
      </c>
      <c r="AE8105" t="s">
        <v>43</v>
      </c>
      <c r="AF8105" t="s">
        <v>43</v>
      </c>
      <c r="AG8105" t="s">
        <v>43</v>
      </c>
      <c r="AH8105" t="s">
        <v>43</v>
      </c>
      <c r="AI8105" t="s">
        <v>43</v>
      </c>
      <c r="AJ8105" t="s">
        <v>43</v>
      </c>
      <c r="AK8105" t="s">
        <v>43</v>
      </c>
      <c r="AL8105" t="s">
        <v>43</v>
      </c>
      <c r="AM8105" t="s">
        <v>43</v>
      </c>
      <c r="AN8105" t="str">
        <f>HYPERLINK("https://www.google.com/maps?q=10.78967571,79.57879639","Open Location")</f>
        <v>Open Location</v>
      </c>
    </row>
    <row r="8106" spans="1:40" x14ac:dyDescent="0.3">
      <c r="A8106" s="1">
        <v>46210.061111111114</v>
      </c>
      <c r="B8106" t="s">
        <v>40</v>
      </c>
      <c r="C8106" t="s">
        <v>41</v>
      </c>
      <c r="D8106" s="1">
        <v>46210.064004629632</v>
      </c>
      <c r="E8106" t="s">
        <v>42</v>
      </c>
      <c r="F8106" t="s">
        <v>43</v>
      </c>
      <c r="G8106" t="s">
        <v>43</v>
      </c>
      <c r="H8106" t="s">
        <v>43</v>
      </c>
      <c r="I8106" t="s">
        <v>4160</v>
      </c>
      <c r="J8106" t="s">
        <v>43</v>
      </c>
      <c r="K8106" t="s">
        <v>43</v>
      </c>
      <c r="L8106" t="s">
        <v>43</v>
      </c>
      <c r="M8106" t="s">
        <v>43</v>
      </c>
      <c r="N8106" t="s">
        <v>45</v>
      </c>
      <c r="O8106" t="s">
        <v>43</v>
      </c>
      <c r="P8106" t="s">
        <v>43</v>
      </c>
      <c r="Q8106" t="s">
        <v>43</v>
      </c>
      <c r="R8106" t="s">
        <v>43</v>
      </c>
      <c r="S8106" t="s">
        <v>43</v>
      </c>
      <c r="T8106" t="s">
        <v>43</v>
      </c>
      <c r="U8106" t="s">
        <v>43</v>
      </c>
      <c r="V8106" t="s">
        <v>43</v>
      </c>
      <c r="W8106" t="s">
        <v>43</v>
      </c>
      <c r="X8106" t="s">
        <v>43</v>
      </c>
      <c r="Y8106" t="s">
        <v>43</v>
      </c>
      <c r="Z8106" t="s">
        <v>43</v>
      </c>
      <c r="AA8106" t="s">
        <v>43</v>
      </c>
      <c r="AB8106" t="s">
        <v>43</v>
      </c>
      <c r="AC8106" t="s">
        <v>43</v>
      </c>
      <c r="AD8106" t="s">
        <v>43</v>
      </c>
      <c r="AE8106" t="s">
        <v>43</v>
      </c>
      <c r="AF8106" t="s">
        <v>43</v>
      </c>
      <c r="AG8106" t="s">
        <v>43</v>
      </c>
      <c r="AH8106" t="s">
        <v>43</v>
      </c>
      <c r="AI8106" t="s">
        <v>43</v>
      </c>
      <c r="AJ8106" t="s">
        <v>43</v>
      </c>
      <c r="AK8106" t="s">
        <v>43</v>
      </c>
      <c r="AL8106" t="s">
        <v>43</v>
      </c>
      <c r="AM8106" t="s">
        <v>43</v>
      </c>
      <c r="AN8106" t="str">
        <f>HYPERLINK("https://www.google.com/maps?q=10.78967667,79.57879639","Open Location")</f>
        <v>Open Location</v>
      </c>
    </row>
    <row r="8107" spans="1:40" x14ac:dyDescent="0.3">
      <c r="A8107" s="1">
        <v>46210.060995370368</v>
      </c>
      <c r="B8107" t="s">
        <v>40</v>
      </c>
      <c r="C8107" t="s">
        <v>41</v>
      </c>
      <c r="D8107" s="1">
        <v>46210.063738425924</v>
      </c>
      <c r="E8107" t="s">
        <v>42</v>
      </c>
      <c r="F8107" t="s">
        <v>43</v>
      </c>
      <c r="G8107" t="s">
        <v>43</v>
      </c>
      <c r="H8107" t="s">
        <v>43</v>
      </c>
      <c r="I8107" t="s">
        <v>4367</v>
      </c>
      <c r="J8107" t="s">
        <v>43</v>
      </c>
      <c r="K8107" t="s">
        <v>43</v>
      </c>
      <c r="L8107" t="s">
        <v>43</v>
      </c>
      <c r="M8107" t="s">
        <v>43</v>
      </c>
      <c r="N8107" t="s">
        <v>45</v>
      </c>
      <c r="O8107" t="s">
        <v>43</v>
      </c>
      <c r="P8107" t="s">
        <v>43</v>
      </c>
      <c r="Q8107" t="s">
        <v>43</v>
      </c>
      <c r="R8107" t="s">
        <v>43</v>
      </c>
      <c r="S8107" t="s">
        <v>43</v>
      </c>
      <c r="T8107" t="s">
        <v>43</v>
      </c>
      <c r="U8107" t="s">
        <v>43</v>
      </c>
      <c r="V8107" t="s">
        <v>43</v>
      </c>
      <c r="W8107" t="s">
        <v>43</v>
      </c>
      <c r="X8107" t="s">
        <v>43</v>
      </c>
      <c r="Y8107" t="s">
        <v>43</v>
      </c>
      <c r="Z8107" t="s">
        <v>43</v>
      </c>
      <c r="AA8107" t="s">
        <v>43</v>
      </c>
      <c r="AB8107" t="s">
        <v>43</v>
      </c>
      <c r="AC8107" t="s">
        <v>43</v>
      </c>
      <c r="AD8107" t="s">
        <v>43</v>
      </c>
      <c r="AE8107" t="s">
        <v>43</v>
      </c>
      <c r="AF8107" t="s">
        <v>43</v>
      </c>
      <c r="AG8107" t="s">
        <v>43</v>
      </c>
      <c r="AH8107" t="s">
        <v>43</v>
      </c>
      <c r="AI8107" t="s">
        <v>43</v>
      </c>
      <c r="AJ8107" t="s">
        <v>43</v>
      </c>
      <c r="AK8107" t="s">
        <v>43</v>
      </c>
      <c r="AL8107" t="s">
        <v>43</v>
      </c>
      <c r="AM8107" t="s">
        <v>43</v>
      </c>
      <c r="AN8107" t="str">
        <f>HYPERLINK("https://www.google.com/maps?q=10.78968525,79.57879639","Open Location")</f>
        <v>Open Location</v>
      </c>
    </row>
    <row r="8108" spans="1:40" x14ac:dyDescent="0.3">
      <c r="A8108" s="1">
        <v>46210.060879629629</v>
      </c>
      <c r="B8108" t="s">
        <v>40</v>
      </c>
      <c r="C8108" t="s">
        <v>41</v>
      </c>
      <c r="D8108" s="1">
        <v>46210.063750000001</v>
      </c>
      <c r="E8108" t="s">
        <v>42</v>
      </c>
      <c r="F8108" t="s">
        <v>43</v>
      </c>
      <c r="G8108" t="s">
        <v>43</v>
      </c>
      <c r="H8108" t="s">
        <v>43</v>
      </c>
      <c r="I8108" t="s">
        <v>4321</v>
      </c>
      <c r="J8108" t="s">
        <v>43</v>
      </c>
      <c r="K8108" t="s">
        <v>43</v>
      </c>
      <c r="L8108" t="s">
        <v>43</v>
      </c>
      <c r="M8108" t="s">
        <v>43</v>
      </c>
      <c r="N8108" t="s">
        <v>45</v>
      </c>
      <c r="O8108" t="s">
        <v>43</v>
      </c>
      <c r="P8108" t="s">
        <v>43</v>
      </c>
      <c r="Q8108" t="s">
        <v>43</v>
      </c>
      <c r="R8108" t="s">
        <v>43</v>
      </c>
      <c r="S8108" t="s">
        <v>43</v>
      </c>
      <c r="T8108" t="s">
        <v>43</v>
      </c>
      <c r="U8108" t="s">
        <v>43</v>
      </c>
      <c r="V8108" t="s">
        <v>43</v>
      </c>
      <c r="W8108" t="s">
        <v>43</v>
      </c>
      <c r="X8108" t="s">
        <v>43</v>
      </c>
      <c r="Y8108" t="s">
        <v>43</v>
      </c>
      <c r="Z8108" t="s">
        <v>43</v>
      </c>
      <c r="AA8108" t="s">
        <v>43</v>
      </c>
      <c r="AB8108" t="s">
        <v>43</v>
      </c>
      <c r="AC8108" t="s">
        <v>43</v>
      </c>
      <c r="AD8108" t="s">
        <v>43</v>
      </c>
      <c r="AE8108" t="s">
        <v>43</v>
      </c>
      <c r="AF8108" t="s">
        <v>43</v>
      </c>
      <c r="AG8108" t="s">
        <v>43</v>
      </c>
      <c r="AH8108" t="s">
        <v>43</v>
      </c>
      <c r="AI8108" t="s">
        <v>43</v>
      </c>
      <c r="AJ8108" t="s">
        <v>43</v>
      </c>
      <c r="AK8108" t="s">
        <v>43</v>
      </c>
      <c r="AL8108" t="s">
        <v>43</v>
      </c>
      <c r="AM8108" t="s">
        <v>43</v>
      </c>
      <c r="AN8108" t="str">
        <f>HYPERLINK("https://www.google.com/maps?q=10.78968906,79.57878876","Open Location")</f>
        <v>Open Location</v>
      </c>
    </row>
    <row r="8109" spans="1:40" x14ac:dyDescent="0.3">
      <c r="A8109" s="1">
        <v>46210.060763888891</v>
      </c>
      <c r="B8109" t="s">
        <v>40</v>
      </c>
      <c r="C8109" t="s">
        <v>41</v>
      </c>
      <c r="D8109" s="1">
        <v>46210.063425925924</v>
      </c>
      <c r="E8109" t="s">
        <v>42</v>
      </c>
      <c r="F8109" t="s">
        <v>43</v>
      </c>
      <c r="G8109" t="s">
        <v>43</v>
      </c>
      <c r="H8109" t="s">
        <v>43</v>
      </c>
      <c r="I8109" t="s">
        <v>4154</v>
      </c>
      <c r="J8109" t="s">
        <v>43</v>
      </c>
      <c r="K8109" t="s">
        <v>43</v>
      </c>
      <c r="L8109" t="s">
        <v>43</v>
      </c>
      <c r="M8109" t="s">
        <v>43</v>
      </c>
      <c r="N8109" t="s">
        <v>45</v>
      </c>
      <c r="O8109" t="s">
        <v>43</v>
      </c>
      <c r="P8109" t="s">
        <v>43</v>
      </c>
      <c r="Q8109" t="s">
        <v>43</v>
      </c>
      <c r="R8109" t="s">
        <v>43</v>
      </c>
      <c r="S8109" t="s">
        <v>43</v>
      </c>
      <c r="T8109" t="s">
        <v>43</v>
      </c>
      <c r="U8109" t="s">
        <v>43</v>
      </c>
      <c r="V8109" t="s">
        <v>43</v>
      </c>
      <c r="W8109" t="s">
        <v>43</v>
      </c>
      <c r="X8109" t="s">
        <v>43</v>
      </c>
      <c r="Y8109" t="s">
        <v>43</v>
      </c>
      <c r="Z8109" t="s">
        <v>43</v>
      </c>
      <c r="AA8109" t="s">
        <v>43</v>
      </c>
      <c r="AB8109" t="s">
        <v>43</v>
      </c>
      <c r="AC8109" t="s">
        <v>43</v>
      </c>
      <c r="AD8109" t="s">
        <v>43</v>
      </c>
      <c r="AE8109" t="s">
        <v>43</v>
      </c>
      <c r="AF8109" t="s">
        <v>43</v>
      </c>
      <c r="AG8109" t="s">
        <v>43</v>
      </c>
      <c r="AH8109" t="s">
        <v>43</v>
      </c>
      <c r="AI8109" t="s">
        <v>43</v>
      </c>
      <c r="AJ8109" t="s">
        <v>43</v>
      </c>
      <c r="AK8109" t="s">
        <v>43</v>
      </c>
      <c r="AL8109" t="s">
        <v>43</v>
      </c>
      <c r="AM8109" t="s">
        <v>43</v>
      </c>
      <c r="AN8109" t="str">
        <f>HYPERLINK("https://www.google.com/maps?q=10.78969097,79.57878876","Open Location")</f>
        <v>Open Location</v>
      </c>
    </row>
    <row r="8110" spans="1:40" x14ac:dyDescent="0.3">
      <c r="A8110" s="1">
        <v>46210.060648148145</v>
      </c>
      <c r="B8110" t="s">
        <v>40</v>
      </c>
      <c r="C8110" t="s">
        <v>41</v>
      </c>
      <c r="D8110" s="1">
        <v>46210.063738425924</v>
      </c>
      <c r="E8110" t="s">
        <v>42</v>
      </c>
      <c r="F8110" t="s">
        <v>43</v>
      </c>
      <c r="G8110" t="s">
        <v>43</v>
      </c>
      <c r="H8110" t="s">
        <v>43</v>
      </c>
      <c r="I8110" t="s">
        <v>43</v>
      </c>
      <c r="J8110" t="s">
        <v>43</v>
      </c>
      <c r="K8110" t="s">
        <v>43</v>
      </c>
      <c r="L8110" t="s">
        <v>43</v>
      </c>
      <c r="M8110" t="s">
        <v>43</v>
      </c>
      <c r="N8110" t="s">
        <v>45</v>
      </c>
      <c r="O8110" t="s">
        <v>43</v>
      </c>
      <c r="P8110" t="s">
        <v>43</v>
      </c>
      <c r="Q8110" t="s">
        <v>43</v>
      </c>
      <c r="R8110" t="s">
        <v>43</v>
      </c>
      <c r="S8110" t="s">
        <v>43</v>
      </c>
      <c r="T8110" t="s">
        <v>43</v>
      </c>
      <c r="U8110" t="s">
        <v>43</v>
      </c>
      <c r="V8110" t="s">
        <v>43</v>
      </c>
      <c r="W8110" t="s">
        <v>43</v>
      </c>
      <c r="X8110" t="s">
        <v>43</v>
      </c>
      <c r="Y8110" t="s">
        <v>43</v>
      </c>
      <c r="Z8110" t="s">
        <v>43</v>
      </c>
      <c r="AA8110" t="s">
        <v>43</v>
      </c>
      <c r="AB8110" t="s">
        <v>43</v>
      </c>
      <c r="AC8110" t="s">
        <v>43</v>
      </c>
      <c r="AD8110" t="s">
        <v>43</v>
      </c>
      <c r="AE8110" t="s">
        <v>43</v>
      </c>
      <c r="AF8110" t="s">
        <v>43</v>
      </c>
      <c r="AG8110" t="s">
        <v>43</v>
      </c>
      <c r="AH8110" t="s">
        <v>43</v>
      </c>
      <c r="AI8110" t="s">
        <v>43</v>
      </c>
      <c r="AJ8110" t="s">
        <v>43</v>
      </c>
      <c r="AK8110" t="s">
        <v>43</v>
      </c>
      <c r="AL8110" t="s">
        <v>43</v>
      </c>
      <c r="AM8110" t="s">
        <v>43</v>
      </c>
      <c r="AN8110" t="s">
        <v>43</v>
      </c>
    </row>
    <row r="8111" spans="1:40" x14ac:dyDescent="0.3">
      <c r="A8111" s="1">
        <v>46210.060532407406</v>
      </c>
      <c r="B8111" t="s">
        <v>40</v>
      </c>
      <c r="C8111" t="s">
        <v>41</v>
      </c>
      <c r="D8111" s="1">
        <v>46210.063344907408</v>
      </c>
      <c r="E8111" t="s">
        <v>42</v>
      </c>
      <c r="F8111" t="s">
        <v>43</v>
      </c>
      <c r="G8111" t="s">
        <v>43</v>
      </c>
      <c r="H8111" t="s">
        <v>43</v>
      </c>
      <c r="I8111" t="s">
        <v>4326</v>
      </c>
      <c r="J8111" t="s">
        <v>43</v>
      </c>
      <c r="K8111" t="s">
        <v>43</v>
      </c>
      <c r="L8111" t="s">
        <v>43</v>
      </c>
      <c r="M8111" t="s">
        <v>43</v>
      </c>
      <c r="N8111" t="s">
        <v>45</v>
      </c>
      <c r="O8111" t="s">
        <v>43</v>
      </c>
      <c r="P8111" t="s">
        <v>43</v>
      </c>
      <c r="Q8111" t="s">
        <v>43</v>
      </c>
      <c r="R8111" t="s">
        <v>43</v>
      </c>
      <c r="S8111" t="s">
        <v>43</v>
      </c>
      <c r="T8111" t="s">
        <v>43</v>
      </c>
      <c r="U8111" t="s">
        <v>43</v>
      </c>
      <c r="V8111" t="s">
        <v>43</v>
      </c>
      <c r="W8111" t="s">
        <v>43</v>
      </c>
      <c r="X8111" t="s">
        <v>43</v>
      </c>
      <c r="Y8111" t="s">
        <v>43</v>
      </c>
      <c r="Z8111" t="s">
        <v>43</v>
      </c>
      <c r="AA8111" t="s">
        <v>43</v>
      </c>
      <c r="AB8111" t="s">
        <v>43</v>
      </c>
      <c r="AC8111" t="s">
        <v>43</v>
      </c>
      <c r="AD8111" t="s">
        <v>43</v>
      </c>
      <c r="AE8111" t="s">
        <v>43</v>
      </c>
      <c r="AF8111" t="s">
        <v>43</v>
      </c>
      <c r="AG8111" t="s">
        <v>43</v>
      </c>
      <c r="AH8111" t="s">
        <v>43</v>
      </c>
      <c r="AI8111" t="s">
        <v>43</v>
      </c>
      <c r="AJ8111" t="s">
        <v>43</v>
      </c>
      <c r="AK8111" t="s">
        <v>43</v>
      </c>
      <c r="AL8111" t="s">
        <v>43</v>
      </c>
      <c r="AM8111" t="s">
        <v>43</v>
      </c>
      <c r="AN8111" t="str">
        <f>HYPERLINK("https://www.google.com/maps?q=10.78968239,79.57878876","Open Location")</f>
        <v>Open Location</v>
      </c>
    </row>
    <row r="8112" spans="1:40" x14ac:dyDescent="0.3">
      <c r="A8112" s="1">
        <v>46210.060416666667</v>
      </c>
      <c r="B8112" t="s">
        <v>40</v>
      </c>
      <c r="C8112" t="s">
        <v>41</v>
      </c>
      <c r="D8112" s="1">
        <v>46210.06318287037</v>
      </c>
      <c r="E8112" t="s">
        <v>42</v>
      </c>
      <c r="F8112" t="s">
        <v>43</v>
      </c>
      <c r="G8112" t="s">
        <v>43</v>
      </c>
      <c r="H8112" t="s">
        <v>43</v>
      </c>
      <c r="I8112" t="s">
        <v>4326</v>
      </c>
      <c r="J8112" t="s">
        <v>43</v>
      </c>
      <c r="K8112" t="s">
        <v>43</v>
      </c>
      <c r="L8112" t="s">
        <v>43</v>
      </c>
      <c r="M8112" t="s">
        <v>43</v>
      </c>
      <c r="N8112" t="s">
        <v>45</v>
      </c>
      <c r="O8112" t="s">
        <v>43</v>
      </c>
      <c r="P8112" t="s">
        <v>43</v>
      </c>
      <c r="Q8112" t="s">
        <v>43</v>
      </c>
      <c r="R8112" t="s">
        <v>43</v>
      </c>
      <c r="S8112" t="s">
        <v>43</v>
      </c>
      <c r="T8112" t="s">
        <v>43</v>
      </c>
      <c r="U8112" t="s">
        <v>43</v>
      </c>
      <c r="V8112" t="s">
        <v>43</v>
      </c>
      <c r="W8112" t="s">
        <v>43</v>
      </c>
      <c r="X8112" t="s">
        <v>43</v>
      </c>
      <c r="Y8112" t="s">
        <v>43</v>
      </c>
      <c r="Z8112" t="s">
        <v>43</v>
      </c>
      <c r="AA8112" t="s">
        <v>43</v>
      </c>
      <c r="AB8112" t="s">
        <v>43</v>
      </c>
      <c r="AC8112" t="s">
        <v>43</v>
      </c>
      <c r="AD8112" t="s">
        <v>43</v>
      </c>
      <c r="AE8112" t="s">
        <v>43</v>
      </c>
      <c r="AF8112" t="s">
        <v>43</v>
      </c>
      <c r="AG8112" t="s">
        <v>43</v>
      </c>
      <c r="AH8112" t="s">
        <v>43</v>
      </c>
      <c r="AI8112" t="s">
        <v>43</v>
      </c>
      <c r="AJ8112" t="s">
        <v>43</v>
      </c>
      <c r="AK8112" t="s">
        <v>43</v>
      </c>
      <c r="AL8112" t="s">
        <v>43</v>
      </c>
      <c r="AM8112" t="s">
        <v>43</v>
      </c>
      <c r="AN8112" t="str">
        <f>HYPERLINK("https://www.google.com/maps?q=10.78968239,79.57878876","Open Location")</f>
        <v>Open Location</v>
      </c>
    </row>
    <row r="8113" spans="1:40" x14ac:dyDescent="0.3">
      <c r="A8113" s="1">
        <v>46210.060300925928</v>
      </c>
      <c r="B8113" t="s">
        <v>40</v>
      </c>
      <c r="C8113" t="s">
        <v>41</v>
      </c>
      <c r="D8113" s="1">
        <v>46210.062928240739</v>
      </c>
      <c r="E8113" t="s">
        <v>42</v>
      </c>
      <c r="F8113" t="s">
        <v>43</v>
      </c>
      <c r="G8113" t="s">
        <v>43</v>
      </c>
      <c r="H8113" t="s">
        <v>43</v>
      </c>
      <c r="I8113" t="s">
        <v>4308</v>
      </c>
      <c r="J8113" t="s">
        <v>43</v>
      </c>
      <c r="K8113" t="s">
        <v>43</v>
      </c>
      <c r="L8113" t="s">
        <v>43</v>
      </c>
      <c r="M8113" t="s">
        <v>43</v>
      </c>
      <c r="N8113" t="s">
        <v>45</v>
      </c>
      <c r="O8113" t="s">
        <v>43</v>
      </c>
      <c r="P8113" t="s">
        <v>43</v>
      </c>
      <c r="Q8113" t="s">
        <v>43</v>
      </c>
      <c r="R8113" t="s">
        <v>43</v>
      </c>
      <c r="S8113" t="s">
        <v>43</v>
      </c>
      <c r="T8113" t="s">
        <v>43</v>
      </c>
      <c r="U8113" t="s">
        <v>43</v>
      </c>
      <c r="V8113" t="s">
        <v>43</v>
      </c>
      <c r="W8113" t="s">
        <v>43</v>
      </c>
      <c r="X8113" t="s">
        <v>43</v>
      </c>
      <c r="Y8113" t="s">
        <v>43</v>
      </c>
      <c r="Z8113" t="s">
        <v>43</v>
      </c>
      <c r="AA8113" t="s">
        <v>43</v>
      </c>
      <c r="AB8113" t="s">
        <v>43</v>
      </c>
      <c r="AC8113" t="s">
        <v>43</v>
      </c>
      <c r="AD8113" t="s">
        <v>43</v>
      </c>
      <c r="AE8113" t="s">
        <v>43</v>
      </c>
      <c r="AF8113" t="s">
        <v>43</v>
      </c>
      <c r="AG8113" t="s">
        <v>43</v>
      </c>
      <c r="AH8113" t="s">
        <v>43</v>
      </c>
      <c r="AI8113" t="s">
        <v>43</v>
      </c>
      <c r="AJ8113" t="s">
        <v>43</v>
      </c>
      <c r="AK8113" t="s">
        <v>43</v>
      </c>
      <c r="AL8113" t="s">
        <v>43</v>
      </c>
      <c r="AM8113" t="s">
        <v>43</v>
      </c>
      <c r="AN8113" t="str">
        <f>HYPERLINK("https://www.google.com/maps?q=10.78968716,79.57878113","Open Location")</f>
        <v>Open Location</v>
      </c>
    </row>
    <row r="8114" spans="1:40" x14ac:dyDescent="0.3">
      <c r="A8114" s="1">
        <v>46210.060185185182</v>
      </c>
      <c r="B8114" t="s">
        <v>40</v>
      </c>
      <c r="C8114" t="s">
        <v>41</v>
      </c>
      <c r="D8114" s="1">
        <v>46210.062951388885</v>
      </c>
      <c r="E8114" t="s">
        <v>42</v>
      </c>
      <c r="F8114" t="s">
        <v>43</v>
      </c>
      <c r="G8114" t="s">
        <v>43</v>
      </c>
      <c r="H8114" t="s">
        <v>43</v>
      </c>
      <c r="I8114" t="s">
        <v>4341</v>
      </c>
      <c r="J8114" t="s">
        <v>43</v>
      </c>
      <c r="K8114" t="s">
        <v>43</v>
      </c>
      <c r="L8114" t="s">
        <v>43</v>
      </c>
      <c r="M8114" t="s">
        <v>43</v>
      </c>
      <c r="N8114" t="s">
        <v>45</v>
      </c>
      <c r="O8114" t="s">
        <v>43</v>
      </c>
      <c r="P8114" t="s">
        <v>43</v>
      </c>
      <c r="Q8114" t="s">
        <v>43</v>
      </c>
      <c r="R8114" t="s">
        <v>43</v>
      </c>
      <c r="S8114" t="s">
        <v>43</v>
      </c>
      <c r="T8114" t="s">
        <v>43</v>
      </c>
      <c r="U8114" t="s">
        <v>43</v>
      </c>
      <c r="V8114" t="s">
        <v>43</v>
      </c>
      <c r="W8114" t="s">
        <v>43</v>
      </c>
      <c r="X8114" t="s">
        <v>43</v>
      </c>
      <c r="Y8114" t="s">
        <v>43</v>
      </c>
      <c r="Z8114" t="s">
        <v>43</v>
      </c>
      <c r="AA8114" t="s">
        <v>43</v>
      </c>
      <c r="AB8114" t="s">
        <v>43</v>
      </c>
      <c r="AC8114" t="s">
        <v>43</v>
      </c>
      <c r="AD8114" t="s">
        <v>43</v>
      </c>
      <c r="AE8114" t="s">
        <v>43</v>
      </c>
      <c r="AF8114" t="s">
        <v>43</v>
      </c>
      <c r="AG8114" t="s">
        <v>43</v>
      </c>
      <c r="AH8114" t="s">
        <v>43</v>
      </c>
      <c r="AI8114" t="s">
        <v>43</v>
      </c>
      <c r="AJ8114" t="s">
        <v>43</v>
      </c>
      <c r="AK8114" t="s">
        <v>43</v>
      </c>
      <c r="AL8114" t="s">
        <v>43</v>
      </c>
      <c r="AM8114" t="s">
        <v>43</v>
      </c>
      <c r="AN8114" t="str">
        <f>HYPERLINK("https://www.google.com/maps?q=10.7896862,79.5787735","Open Location")</f>
        <v>Open Location</v>
      </c>
    </row>
    <row r="8115" spans="1:40" x14ac:dyDescent="0.3">
      <c r="A8115" s="1">
        <v>46210.060069444444</v>
      </c>
      <c r="B8115" t="s">
        <v>40</v>
      </c>
      <c r="C8115" t="s">
        <v>41</v>
      </c>
      <c r="D8115" s="1">
        <v>46210.062847222223</v>
      </c>
      <c r="E8115" t="s">
        <v>42</v>
      </c>
      <c r="F8115" t="s">
        <v>43</v>
      </c>
      <c r="G8115" t="s">
        <v>43</v>
      </c>
      <c r="H8115" t="s">
        <v>43</v>
      </c>
      <c r="I8115" t="s">
        <v>4318</v>
      </c>
      <c r="J8115" t="s">
        <v>43</v>
      </c>
      <c r="K8115" t="s">
        <v>43</v>
      </c>
      <c r="L8115" t="s">
        <v>43</v>
      </c>
      <c r="M8115" t="s">
        <v>43</v>
      </c>
      <c r="N8115" t="s">
        <v>45</v>
      </c>
      <c r="O8115" t="s">
        <v>43</v>
      </c>
      <c r="P8115" t="s">
        <v>43</v>
      </c>
      <c r="Q8115" t="s">
        <v>43</v>
      </c>
      <c r="R8115" t="s">
        <v>43</v>
      </c>
      <c r="S8115" t="s">
        <v>43</v>
      </c>
      <c r="T8115" t="s">
        <v>43</v>
      </c>
      <c r="U8115" t="s">
        <v>43</v>
      </c>
      <c r="V8115" t="s">
        <v>43</v>
      </c>
      <c r="W8115" t="s">
        <v>43</v>
      </c>
      <c r="X8115" t="s">
        <v>43</v>
      </c>
      <c r="Y8115" t="s">
        <v>43</v>
      </c>
      <c r="Z8115" t="s">
        <v>43</v>
      </c>
      <c r="AA8115" t="s">
        <v>43</v>
      </c>
      <c r="AB8115" t="s">
        <v>43</v>
      </c>
      <c r="AC8115" t="s">
        <v>43</v>
      </c>
      <c r="AD8115" t="s">
        <v>43</v>
      </c>
      <c r="AE8115" t="s">
        <v>43</v>
      </c>
      <c r="AF8115" t="s">
        <v>43</v>
      </c>
      <c r="AG8115" t="s">
        <v>43</v>
      </c>
      <c r="AH8115" t="s">
        <v>43</v>
      </c>
      <c r="AI8115" t="s">
        <v>43</v>
      </c>
      <c r="AJ8115" t="s">
        <v>43</v>
      </c>
      <c r="AK8115" t="s">
        <v>43</v>
      </c>
      <c r="AL8115" t="s">
        <v>43</v>
      </c>
      <c r="AM8115" t="s">
        <v>43</v>
      </c>
      <c r="AN8115" t="str">
        <f>HYPERLINK("https://www.google.com/maps?q=10.78968334,79.5787735","Open Location")</f>
        <v>Open Location</v>
      </c>
    </row>
    <row r="8116" spans="1:40" x14ac:dyDescent="0.3">
      <c r="A8116" s="1">
        <v>46210.059953703705</v>
      </c>
      <c r="B8116" t="s">
        <v>40</v>
      </c>
      <c r="C8116" t="s">
        <v>41</v>
      </c>
      <c r="D8116" s="1">
        <v>46210.062928240739</v>
      </c>
      <c r="E8116" t="s">
        <v>42</v>
      </c>
      <c r="F8116" t="s">
        <v>43</v>
      </c>
      <c r="G8116" t="s">
        <v>43</v>
      </c>
      <c r="H8116" t="s">
        <v>43</v>
      </c>
      <c r="I8116" t="s">
        <v>43</v>
      </c>
      <c r="J8116" t="s">
        <v>43</v>
      </c>
      <c r="K8116" t="s">
        <v>43</v>
      </c>
      <c r="L8116" t="s">
        <v>43</v>
      </c>
      <c r="M8116" t="s">
        <v>43</v>
      </c>
      <c r="N8116" t="s">
        <v>45</v>
      </c>
      <c r="O8116" t="s">
        <v>43</v>
      </c>
      <c r="P8116" t="s">
        <v>43</v>
      </c>
      <c r="Q8116" t="s">
        <v>43</v>
      </c>
      <c r="R8116" t="s">
        <v>43</v>
      </c>
      <c r="S8116" t="s">
        <v>43</v>
      </c>
      <c r="T8116" t="s">
        <v>43</v>
      </c>
      <c r="U8116" t="s">
        <v>43</v>
      </c>
      <c r="V8116" t="s">
        <v>43</v>
      </c>
      <c r="W8116" t="s">
        <v>43</v>
      </c>
      <c r="X8116" t="s">
        <v>43</v>
      </c>
      <c r="Y8116" t="s">
        <v>43</v>
      </c>
      <c r="Z8116" t="s">
        <v>43</v>
      </c>
      <c r="AA8116" t="s">
        <v>43</v>
      </c>
      <c r="AB8116" t="s">
        <v>43</v>
      </c>
      <c r="AC8116" t="s">
        <v>43</v>
      </c>
      <c r="AD8116" t="s">
        <v>43</v>
      </c>
      <c r="AE8116" t="s">
        <v>43</v>
      </c>
      <c r="AF8116" t="s">
        <v>43</v>
      </c>
      <c r="AG8116" t="s">
        <v>43</v>
      </c>
      <c r="AH8116" t="s">
        <v>43</v>
      </c>
      <c r="AI8116" t="s">
        <v>43</v>
      </c>
      <c r="AJ8116" t="s">
        <v>43</v>
      </c>
      <c r="AK8116" t="s">
        <v>43</v>
      </c>
      <c r="AL8116" t="s">
        <v>43</v>
      </c>
      <c r="AM8116" t="s">
        <v>43</v>
      </c>
      <c r="AN8116" t="s">
        <v>43</v>
      </c>
    </row>
    <row r="8117" spans="1:40" x14ac:dyDescent="0.3">
      <c r="A8117" s="1">
        <v>46210.059837962966</v>
      </c>
      <c r="B8117" t="s">
        <v>40</v>
      </c>
      <c r="C8117" t="s">
        <v>41</v>
      </c>
      <c r="D8117" s="1">
        <v>46210.062476851854</v>
      </c>
      <c r="E8117" t="s">
        <v>42</v>
      </c>
      <c r="F8117" t="s">
        <v>43</v>
      </c>
      <c r="G8117" t="s">
        <v>43</v>
      </c>
      <c r="H8117" t="s">
        <v>43</v>
      </c>
      <c r="I8117" t="s">
        <v>4306</v>
      </c>
      <c r="J8117" t="s">
        <v>43</v>
      </c>
      <c r="K8117" t="s">
        <v>43</v>
      </c>
      <c r="L8117" t="s">
        <v>43</v>
      </c>
      <c r="M8117" t="s">
        <v>43</v>
      </c>
      <c r="N8117" t="s">
        <v>45</v>
      </c>
      <c r="O8117" t="s">
        <v>43</v>
      </c>
      <c r="P8117" t="s">
        <v>43</v>
      </c>
      <c r="Q8117" t="s">
        <v>43</v>
      </c>
      <c r="R8117" t="s">
        <v>43</v>
      </c>
      <c r="S8117" t="s">
        <v>43</v>
      </c>
      <c r="T8117" t="s">
        <v>43</v>
      </c>
      <c r="U8117" t="s">
        <v>43</v>
      </c>
      <c r="V8117" t="s">
        <v>43</v>
      </c>
      <c r="W8117" t="s">
        <v>43</v>
      </c>
      <c r="X8117" t="s">
        <v>43</v>
      </c>
      <c r="Y8117" t="s">
        <v>43</v>
      </c>
      <c r="Z8117" t="s">
        <v>43</v>
      </c>
      <c r="AA8117" t="s">
        <v>43</v>
      </c>
      <c r="AB8117" t="s">
        <v>43</v>
      </c>
      <c r="AC8117" t="s">
        <v>43</v>
      </c>
      <c r="AD8117" t="s">
        <v>43</v>
      </c>
      <c r="AE8117" t="s">
        <v>43</v>
      </c>
      <c r="AF8117" t="s">
        <v>43</v>
      </c>
      <c r="AG8117" t="s">
        <v>43</v>
      </c>
      <c r="AH8117" t="s">
        <v>43</v>
      </c>
      <c r="AI8117" t="s">
        <v>43</v>
      </c>
      <c r="AJ8117" t="s">
        <v>43</v>
      </c>
      <c r="AK8117" t="s">
        <v>43</v>
      </c>
      <c r="AL8117" t="s">
        <v>43</v>
      </c>
      <c r="AM8117" t="s">
        <v>43</v>
      </c>
      <c r="AN8117" t="str">
        <f>HYPERLINK("https://www.google.com/maps?q=10.78969097,79.57876587","Open Location")</f>
        <v>Open Location</v>
      </c>
    </row>
    <row r="8118" spans="1:40" x14ac:dyDescent="0.3">
      <c r="A8118" s="1">
        <v>46210.05972222222</v>
      </c>
      <c r="B8118" t="s">
        <v>40</v>
      </c>
      <c r="C8118" t="s">
        <v>41</v>
      </c>
      <c r="D8118" s="1">
        <v>46210.062488425923</v>
      </c>
      <c r="E8118" t="s">
        <v>42</v>
      </c>
      <c r="F8118" t="s">
        <v>43</v>
      </c>
      <c r="G8118" t="s">
        <v>43</v>
      </c>
      <c r="H8118" t="s">
        <v>43</v>
      </c>
      <c r="I8118" t="s">
        <v>4414</v>
      </c>
      <c r="J8118" t="s">
        <v>43</v>
      </c>
      <c r="K8118" t="s">
        <v>43</v>
      </c>
      <c r="L8118" t="s">
        <v>43</v>
      </c>
      <c r="M8118" t="s">
        <v>43</v>
      </c>
      <c r="N8118" t="s">
        <v>45</v>
      </c>
      <c r="O8118" t="s">
        <v>43</v>
      </c>
      <c r="P8118" t="s">
        <v>43</v>
      </c>
      <c r="Q8118" t="s">
        <v>43</v>
      </c>
      <c r="R8118" t="s">
        <v>43</v>
      </c>
      <c r="S8118" t="s">
        <v>43</v>
      </c>
      <c r="T8118" t="s">
        <v>43</v>
      </c>
      <c r="U8118" t="s">
        <v>43</v>
      </c>
      <c r="V8118" t="s">
        <v>43</v>
      </c>
      <c r="W8118" t="s">
        <v>43</v>
      </c>
      <c r="X8118" t="s">
        <v>43</v>
      </c>
      <c r="Y8118" t="s">
        <v>43</v>
      </c>
      <c r="Z8118" t="s">
        <v>43</v>
      </c>
      <c r="AA8118" t="s">
        <v>43</v>
      </c>
      <c r="AB8118" t="s">
        <v>43</v>
      </c>
      <c r="AC8118" t="s">
        <v>43</v>
      </c>
      <c r="AD8118" t="s">
        <v>43</v>
      </c>
      <c r="AE8118" t="s">
        <v>43</v>
      </c>
      <c r="AF8118" t="s">
        <v>43</v>
      </c>
      <c r="AG8118" t="s">
        <v>43</v>
      </c>
      <c r="AH8118" t="s">
        <v>43</v>
      </c>
      <c r="AI8118" t="s">
        <v>43</v>
      </c>
      <c r="AJ8118" t="s">
        <v>43</v>
      </c>
      <c r="AK8118" t="s">
        <v>43</v>
      </c>
      <c r="AL8118" t="s">
        <v>43</v>
      </c>
      <c r="AM8118" t="s">
        <v>43</v>
      </c>
      <c r="AN8118" t="str">
        <f>HYPERLINK("https://www.google.com/maps?q=10.78968716,79.57875824","Open Location")</f>
        <v>Open Location</v>
      </c>
    </row>
    <row r="8119" spans="1:40" x14ac:dyDescent="0.3">
      <c r="A8119" s="1">
        <v>46210.059606481482</v>
      </c>
      <c r="B8119" t="s">
        <v>40</v>
      </c>
      <c r="C8119" t="s">
        <v>41</v>
      </c>
      <c r="D8119" s="1">
        <v>46210.062581018516</v>
      </c>
      <c r="E8119" t="s">
        <v>42</v>
      </c>
      <c r="F8119" t="s">
        <v>43</v>
      </c>
      <c r="G8119" t="s">
        <v>43</v>
      </c>
      <c r="H8119" t="s">
        <v>43</v>
      </c>
      <c r="I8119" t="s">
        <v>4415</v>
      </c>
      <c r="J8119" t="s">
        <v>43</v>
      </c>
      <c r="K8119" t="s">
        <v>43</v>
      </c>
      <c r="L8119" t="s">
        <v>43</v>
      </c>
      <c r="M8119" t="s">
        <v>43</v>
      </c>
      <c r="N8119" t="s">
        <v>45</v>
      </c>
      <c r="O8119" t="s">
        <v>43</v>
      </c>
      <c r="P8119" t="s">
        <v>43</v>
      </c>
      <c r="Q8119" t="s">
        <v>43</v>
      </c>
      <c r="R8119" t="s">
        <v>43</v>
      </c>
      <c r="S8119" t="s">
        <v>43</v>
      </c>
      <c r="T8119" t="s">
        <v>43</v>
      </c>
      <c r="U8119" t="s">
        <v>43</v>
      </c>
      <c r="V8119" t="s">
        <v>43</v>
      </c>
      <c r="W8119" t="s">
        <v>43</v>
      </c>
      <c r="X8119" t="s">
        <v>43</v>
      </c>
      <c r="Y8119" t="s">
        <v>43</v>
      </c>
      <c r="Z8119" t="s">
        <v>43</v>
      </c>
      <c r="AA8119" t="s">
        <v>43</v>
      </c>
      <c r="AB8119" t="s">
        <v>43</v>
      </c>
      <c r="AC8119" t="s">
        <v>43</v>
      </c>
      <c r="AD8119" t="s">
        <v>43</v>
      </c>
      <c r="AE8119" t="s">
        <v>43</v>
      </c>
      <c r="AF8119" t="s">
        <v>43</v>
      </c>
      <c r="AG8119" t="s">
        <v>43</v>
      </c>
      <c r="AH8119" t="s">
        <v>43</v>
      </c>
      <c r="AI8119" t="s">
        <v>43</v>
      </c>
      <c r="AJ8119" t="s">
        <v>43</v>
      </c>
      <c r="AK8119" t="s">
        <v>43</v>
      </c>
      <c r="AL8119" t="s">
        <v>43</v>
      </c>
      <c r="AM8119" t="s">
        <v>43</v>
      </c>
      <c r="AN8119" t="str">
        <f>HYPERLINK("https://www.google.com/maps?q=10.78969288,79.57876587","Open Location")</f>
        <v>Open Location</v>
      </c>
    </row>
    <row r="8120" spans="1:40" x14ac:dyDescent="0.3">
      <c r="A8120" s="1">
        <v>46210.059490740743</v>
      </c>
      <c r="B8120" t="s">
        <v>40</v>
      </c>
      <c r="C8120" t="s">
        <v>41</v>
      </c>
      <c r="D8120" s="1">
        <v>46210.062569444446</v>
      </c>
      <c r="E8120" t="s">
        <v>42</v>
      </c>
      <c r="F8120" t="s">
        <v>43</v>
      </c>
      <c r="G8120" t="s">
        <v>43</v>
      </c>
      <c r="H8120" t="s">
        <v>43</v>
      </c>
      <c r="I8120" t="s">
        <v>4340</v>
      </c>
      <c r="J8120" t="s">
        <v>43</v>
      </c>
      <c r="K8120" t="s">
        <v>43</v>
      </c>
      <c r="L8120" t="s">
        <v>43</v>
      </c>
      <c r="M8120" t="s">
        <v>43</v>
      </c>
      <c r="N8120" t="s">
        <v>45</v>
      </c>
      <c r="O8120" t="s">
        <v>43</v>
      </c>
      <c r="P8120" t="s">
        <v>43</v>
      </c>
      <c r="Q8120" t="s">
        <v>43</v>
      </c>
      <c r="R8120" t="s">
        <v>43</v>
      </c>
      <c r="S8120">
        <v>0</v>
      </c>
      <c r="T8120">
        <v>-40</v>
      </c>
      <c r="U8120">
        <v>42</v>
      </c>
      <c r="V8120">
        <v>0</v>
      </c>
      <c r="W8120" t="s">
        <v>43</v>
      </c>
      <c r="X8120" t="s">
        <v>43</v>
      </c>
      <c r="Y8120" t="s">
        <v>43</v>
      </c>
      <c r="Z8120" t="s">
        <v>43</v>
      </c>
      <c r="AA8120" t="s">
        <v>43</v>
      </c>
      <c r="AB8120" t="s">
        <v>43</v>
      </c>
      <c r="AC8120" t="s">
        <v>43</v>
      </c>
      <c r="AD8120" t="s">
        <v>43</v>
      </c>
      <c r="AE8120" t="s">
        <v>43</v>
      </c>
      <c r="AF8120" t="s">
        <v>43</v>
      </c>
      <c r="AG8120" t="s">
        <v>43</v>
      </c>
      <c r="AH8120" t="s">
        <v>43</v>
      </c>
      <c r="AI8120" t="s">
        <v>43</v>
      </c>
      <c r="AJ8120" t="s">
        <v>43</v>
      </c>
      <c r="AK8120" t="s">
        <v>43</v>
      </c>
      <c r="AL8120" t="s">
        <v>43</v>
      </c>
      <c r="AM8120" t="s">
        <v>43</v>
      </c>
      <c r="AN8120" t="str">
        <f>HYPERLINK("https://www.google.com/maps?q=10.78969383,79.57876587","Open Location")</f>
        <v>Open Location</v>
      </c>
    </row>
    <row r="8121" spans="1:40" x14ac:dyDescent="0.3">
      <c r="A8121" s="1">
        <v>46210.059374999997</v>
      </c>
      <c r="B8121" t="s">
        <v>40</v>
      </c>
      <c r="C8121" t="s">
        <v>41</v>
      </c>
      <c r="D8121" s="1">
        <v>46210.062152777777</v>
      </c>
      <c r="E8121" t="s">
        <v>42</v>
      </c>
      <c r="F8121" t="s">
        <v>43</v>
      </c>
      <c r="G8121" t="s">
        <v>43</v>
      </c>
      <c r="H8121" t="s">
        <v>43</v>
      </c>
      <c r="I8121" t="s">
        <v>43</v>
      </c>
      <c r="J8121" t="s">
        <v>43</v>
      </c>
      <c r="K8121" t="s">
        <v>43</v>
      </c>
      <c r="L8121" t="s">
        <v>43</v>
      </c>
      <c r="M8121" t="s">
        <v>43</v>
      </c>
      <c r="N8121" t="s">
        <v>45</v>
      </c>
      <c r="O8121" t="s">
        <v>43</v>
      </c>
      <c r="P8121" t="s">
        <v>43</v>
      </c>
      <c r="Q8121" t="s">
        <v>43</v>
      </c>
      <c r="R8121" t="s">
        <v>43</v>
      </c>
      <c r="S8121">
        <v>0</v>
      </c>
      <c r="T8121">
        <v>-40</v>
      </c>
      <c r="U8121">
        <v>42</v>
      </c>
      <c r="V8121">
        <v>0</v>
      </c>
      <c r="W8121" t="s">
        <v>43</v>
      </c>
      <c r="X8121" t="s">
        <v>43</v>
      </c>
      <c r="Y8121" t="s">
        <v>43</v>
      </c>
      <c r="Z8121" t="s">
        <v>43</v>
      </c>
      <c r="AA8121" t="s">
        <v>43</v>
      </c>
      <c r="AB8121" t="s">
        <v>43</v>
      </c>
      <c r="AC8121" t="s">
        <v>43</v>
      </c>
      <c r="AD8121" t="s">
        <v>43</v>
      </c>
      <c r="AE8121" t="s">
        <v>43</v>
      </c>
      <c r="AF8121" t="s">
        <v>43</v>
      </c>
      <c r="AG8121" t="s">
        <v>43</v>
      </c>
      <c r="AH8121" t="s">
        <v>43</v>
      </c>
      <c r="AI8121" t="s">
        <v>43</v>
      </c>
      <c r="AJ8121" t="s">
        <v>43</v>
      </c>
      <c r="AK8121" t="s">
        <v>43</v>
      </c>
      <c r="AL8121" t="s">
        <v>43</v>
      </c>
      <c r="AM8121" t="s">
        <v>43</v>
      </c>
      <c r="AN8121" t="s">
        <v>43</v>
      </c>
    </row>
    <row r="8122" spans="1:40" x14ac:dyDescent="0.3">
      <c r="A8122" s="1">
        <v>46210.059259259258</v>
      </c>
      <c r="B8122" t="s">
        <v>40</v>
      </c>
      <c r="C8122" t="s">
        <v>41</v>
      </c>
      <c r="D8122" s="1">
        <v>46210.061909722222</v>
      </c>
      <c r="E8122" t="s">
        <v>42</v>
      </c>
      <c r="F8122" t="s">
        <v>43</v>
      </c>
      <c r="G8122" t="s">
        <v>43</v>
      </c>
      <c r="H8122" t="s">
        <v>43</v>
      </c>
      <c r="I8122" t="s">
        <v>4376</v>
      </c>
      <c r="J8122" t="s">
        <v>43</v>
      </c>
      <c r="K8122" t="s">
        <v>43</v>
      </c>
      <c r="L8122" t="s">
        <v>43</v>
      </c>
      <c r="M8122" t="s">
        <v>43</v>
      </c>
      <c r="N8122" t="s">
        <v>45</v>
      </c>
      <c r="O8122" t="s">
        <v>43</v>
      </c>
      <c r="P8122" t="s">
        <v>43</v>
      </c>
      <c r="Q8122" t="s">
        <v>43</v>
      </c>
      <c r="R8122" t="s">
        <v>43</v>
      </c>
      <c r="S8122">
        <v>0</v>
      </c>
      <c r="T8122">
        <v>-40</v>
      </c>
      <c r="U8122">
        <v>42</v>
      </c>
      <c r="V8122">
        <v>0</v>
      </c>
      <c r="W8122" t="s">
        <v>43</v>
      </c>
      <c r="X8122" t="s">
        <v>43</v>
      </c>
      <c r="Y8122" t="s">
        <v>43</v>
      </c>
      <c r="Z8122" t="s">
        <v>43</v>
      </c>
      <c r="AA8122" t="s">
        <v>43</v>
      </c>
      <c r="AB8122" t="s">
        <v>43</v>
      </c>
      <c r="AC8122" t="s">
        <v>43</v>
      </c>
      <c r="AD8122" t="s">
        <v>43</v>
      </c>
      <c r="AE8122" t="s">
        <v>43</v>
      </c>
      <c r="AF8122" t="s">
        <v>43</v>
      </c>
      <c r="AG8122" t="s">
        <v>43</v>
      </c>
      <c r="AH8122" t="s">
        <v>43</v>
      </c>
      <c r="AI8122" t="s">
        <v>43</v>
      </c>
      <c r="AJ8122" t="s">
        <v>43</v>
      </c>
      <c r="AK8122" t="s">
        <v>43</v>
      </c>
      <c r="AL8122" t="s">
        <v>43</v>
      </c>
      <c r="AM8122" t="s">
        <v>43</v>
      </c>
      <c r="AN8122" t="str">
        <f>HYPERLINK("https://www.google.com/maps?q=10.78968906,79.57876587","Open Location")</f>
        <v>Open Location</v>
      </c>
    </row>
    <row r="8123" spans="1:40" x14ac:dyDescent="0.3">
      <c r="A8123" s="1">
        <v>46210.05914351852</v>
      </c>
      <c r="B8123" t="s">
        <v>40</v>
      </c>
      <c r="C8123" t="s">
        <v>41</v>
      </c>
      <c r="D8123" s="1">
        <v>46210.062083333331</v>
      </c>
      <c r="E8123" t="s">
        <v>42</v>
      </c>
      <c r="F8123" t="s">
        <v>43</v>
      </c>
      <c r="G8123" t="s">
        <v>43</v>
      </c>
      <c r="H8123" t="s">
        <v>43</v>
      </c>
      <c r="I8123" t="s">
        <v>4335</v>
      </c>
      <c r="J8123" t="s">
        <v>43</v>
      </c>
      <c r="K8123" t="s">
        <v>43</v>
      </c>
      <c r="L8123" t="s">
        <v>43</v>
      </c>
      <c r="M8123" t="s">
        <v>43</v>
      </c>
      <c r="N8123" t="s">
        <v>45</v>
      </c>
      <c r="O8123" t="s">
        <v>43</v>
      </c>
      <c r="P8123" t="s">
        <v>43</v>
      </c>
      <c r="Q8123" t="s">
        <v>43</v>
      </c>
      <c r="R8123" t="s">
        <v>43</v>
      </c>
      <c r="S8123">
        <v>0</v>
      </c>
      <c r="T8123">
        <v>-40</v>
      </c>
      <c r="U8123">
        <v>42</v>
      </c>
      <c r="V8123">
        <v>0</v>
      </c>
      <c r="W8123" t="s">
        <v>43</v>
      </c>
      <c r="X8123" t="s">
        <v>43</v>
      </c>
      <c r="Y8123" t="s">
        <v>43</v>
      </c>
      <c r="Z8123" t="s">
        <v>43</v>
      </c>
      <c r="AA8123" t="s">
        <v>43</v>
      </c>
      <c r="AB8123" t="s">
        <v>43</v>
      </c>
      <c r="AC8123" t="s">
        <v>43</v>
      </c>
      <c r="AD8123" t="s">
        <v>43</v>
      </c>
      <c r="AE8123" t="s">
        <v>43</v>
      </c>
      <c r="AF8123" t="s">
        <v>43</v>
      </c>
      <c r="AG8123" t="s">
        <v>43</v>
      </c>
      <c r="AH8123" t="s">
        <v>43</v>
      </c>
      <c r="AI8123" t="s">
        <v>43</v>
      </c>
      <c r="AJ8123" t="s">
        <v>43</v>
      </c>
      <c r="AK8123" t="s">
        <v>43</v>
      </c>
      <c r="AL8123" t="s">
        <v>43</v>
      </c>
      <c r="AM8123" t="s">
        <v>43</v>
      </c>
      <c r="AN8123" t="str">
        <f>HYPERLINK("https://www.google.com/maps?q=10.7896843,79.5787735","Open Location")</f>
        <v>Open Location</v>
      </c>
    </row>
    <row r="8124" spans="1:40" x14ac:dyDescent="0.3">
      <c r="A8124" s="1">
        <v>46210.059027777781</v>
      </c>
      <c r="B8124" t="s">
        <v>40</v>
      </c>
      <c r="C8124" t="s">
        <v>41</v>
      </c>
      <c r="D8124" s="1">
        <v>46210.062152777777</v>
      </c>
      <c r="E8124" t="s">
        <v>42</v>
      </c>
      <c r="F8124" t="s">
        <v>43</v>
      </c>
      <c r="G8124" t="s">
        <v>43</v>
      </c>
      <c r="H8124" t="s">
        <v>43</v>
      </c>
      <c r="I8124" t="s">
        <v>4305</v>
      </c>
      <c r="J8124" t="s">
        <v>43</v>
      </c>
      <c r="K8124" t="s">
        <v>43</v>
      </c>
      <c r="L8124" t="s">
        <v>43</v>
      </c>
      <c r="M8124" t="s">
        <v>43</v>
      </c>
      <c r="N8124" t="s">
        <v>45</v>
      </c>
      <c r="O8124" t="s">
        <v>43</v>
      </c>
      <c r="P8124" t="s">
        <v>43</v>
      </c>
      <c r="Q8124" t="s">
        <v>43</v>
      </c>
      <c r="R8124" t="s">
        <v>43</v>
      </c>
      <c r="S8124">
        <v>0</v>
      </c>
      <c r="T8124">
        <v>-40</v>
      </c>
      <c r="U8124">
        <v>42</v>
      </c>
      <c r="V8124">
        <v>0</v>
      </c>
      <c r="W8124" t="s">
        <v>43</v>
      </c>
      <c r="X8124" t="s">
        <v>43</v>
      </c>
      <c r="Y8124" t="s">
        <v>43</v>
      </c>
      <c r="Z8124" t="s">
        <v>43</v>
      </c>
      <c r="AA8124" t="s">
        <v>43</v>
      </c>
      <c r="AB8124" t="s">
        <v>43</v>
      </c>
      <c r="AC8124" t="s">
        <v>43</v>
      </c>
      <c r="AD8124" t="s">
        <v>43</v>
      </c>
      <c r="AE8124" t="s">
        <v>43</v>
      </c>
      <c r="AF8124" t="s">
        <v>43</v>
      </c>
      <c r="AG8124" t="s">
        <v>43</v>
      </c>
      <c r="AH8124" t="s">
        <v>43</v>
      </c>
      <c r="AI8124" t="s">
        <v>43</v>
      </c>
      <c r="AJ8124" t="s">
        <v>43</v>
      </c>
      <c r="AK8124" t="s">
        <v>43</v>
      </c>
      <c r="AL8124" t="s">
        <v>43</v>
      </c>
      <c r="AM8124" t="s">
        <v>43</v>
      </c>
      <c r="AN8124" t="str">
        <f>HYPERLINK("https://www.google.com/maps?q=10.78968143,79.57876587","Open Location")</f>
        <v>Open Location</v>
      </c>
    </row>
    <row r="8125" spans="1:40" x14ac:dyDescent="0.3">
      <c r="A8125" s="1">
        <v>46210.058912037035</v>
      </c>
      <c r="B8125" t="s">
        <v>40</v>
      </c>
      <c r="C8125" t="s">
        <v>41</v>
      </c>
      <c r="D8125" s="1">
        <v>46210.061805555553</v>
      </c>
      <c r="E8125" t="s">
        <v>42</v>
      </c>
      <c r="F8125" t="s">
        <v>43</v>
      </c>
      <c r="G8125" t="s">
        <v>43</v>
      </c>
      <c r="H8125" t="s">
        <v>43</v>
      </c>
      <c r="I8125" t="s">
        <v>4334</v>
      </c>
      <c r="J8125" t="s">
        <v>43</v>
      </c>
      <c r="K8125" t="s">
        <v>43</v>
      </c>
      <c r="L8125" t="s">
        <v>43</v>
      </c>
      <c r="M8125" t="s">
        <v>43</v>
      </c>
      <c r="N8125" t="s">
        <v>45</v>
      </c>
      <c r="O8125" t="s">
        <v>43</v>
      </c>
      <c r="P8125" t="s">
        <v>43</v>
      </c>
      <c r="Q8125" t="s">
        <v>43</v>
      </c>
      <c r="R8125" t="s">
        <v>43</v>
      </c>
      <c r="S8125">
        <v>0</v>
      </c>
      <c r="T8125">
        <v>-40</v>
      </c>
      <c r="U8125">
        <v>42</v>
      </c>
      <c r="V8125">
        <v>0</v>
      </c>
      <c r="W8125" t="s">
        <v>43</v>
      </c>
      <c r="X8125" t="s">
        <v>43</v>
      </c>
      <c r="Y8125" t="s">
        <v>43</v>
      </c>
      <c r="Z8125" t="s">
        <v>43</v>
      </c>
      <c r="AA8125" t="s">
        <v>43</v>
      </c>
      <c r="AB8125" t="s">
        <v>43</v>
      </c>
      <c r="AC8125" t="s">
        <v>43</v>
      </c>
      <c r="AD8125" t="s">
        <v>43</v>
      </c>
      <c r="AE8125" t="s">
        <v>43</v>
      </c>
      <c r="AF8125" t="s">
        <v>43</v>
      </c>
      <c r="AG8125" t="s">
        <v>43</v>
      </c>
      <c r="AH8125" t="s">
        <v>43</v>
      </c>
      <c r="AI8125" t="s">
        <v>43</v>
      </c>
      <c r="AJ8125" t="s">
        <v>43</v>
      </c>
      <c r="AK8125" t="s">
        <v>43</v>
      </c>
      <c r="AL8125" t="s">
        <v>43</v>
      </c>
      <c r="AM8125" t="s">
        <v>43</v>
      </c>
      <c r="AN8125" t="str">
        <f>HYPERLINK("https://www.google.com/maps?q=10.78968716,79.5787735","Open Location")</f>
        <v>Open Location</v>
      </c>
    </row>
    <row r="8126" spans="1:40" x14ac:dyDescent="0.3">
      <c r="A8126" s="1">
        <v>46210.058796296296</v>
      </c>
      <c r="B8126" t="s">
        <v>40</v>
      </c>
      <c r="C8126" t="s">
        <v>41</v>
      </c>
      <c r="D8126" s="1">
        <v>46210.061793981484</v>
      </c>
      <c r="E8126" t="s">
        <v>42</v>
      </c>
      <c r="F8126" t="s">
        <v>43</v>
      </c>
      <c r="G8126" t="s">
        <v>43</v>
      </c>
      <c r="H8126" t="s">
        <v>43</v>
      </c>
      <c r="I8126" t="s">
        <v>4208</v>
      </c>
      <c r="J8126" t="s">
        <v>43</v>
      </c>
      <c r="K8126" t="s">
        <v>43</v>
      </c>
      <c r="L8126" t="s">
        <v>43</v>
      </c>
      <c r="M8126" t="s">
        <v>43</v>
      </c>
      <c r="N8126" t="s">
        <v>45</v>
      </c>
      <c r="O8126" t="s">
        <v>43</v>
      </c>
      <c r="P8126" t="s">
        <v>43</v>
      </c>
      <c r="Q8126" t="s">
        <v>43</v>
      </c>
      <c r="R8126" t="s">
        <v>43</v>
      </c>
      <c r="S8126">
        <v>0</v>
      </c>
      <c r="T8126">
        <v>-40</v>
      </c>
      <c r="U8126">
        <v>42</v>
      </c>
      <c r="V8126">
        <v>0</v>
      </c>
      <c r="W8126" t="s">
        <v>43</v>
      </c>
      <c r="X8126" t="s">
        <v>43</v>
      </c>
      <c r="Y8126" t="s">
        <v>43</v>
      </c>
      <c r="Z8126" t="s">
        <v>43</v>
      </c>
      <c r="AA8126" t="s">
        <v>43</v>
      </c>
      <c r="AB8126" t="s">
        <v>43</v>
      </c>
      <c r="AC8126" t="s">
        <v>43</v>
      </c>
      <c r="AD8126" t="s">
        <v>43</v>
      </c>
      <c r="AE8126" t="s">
        <v>43</v>
      </c>
      <c r="AF8126" t="s">
        <v>43</v>
      </c>
      <c r="AG8126" t="s">
        <v>43</v>
      </c>
      <c r="AH8126" t="s">
        <v>43</v>
      </c>
      <c r="AI8126" t="s">
        <v>43</v>
      </c>
      <c r="AJ8126" t="s">
        <v>43</v>
      </c>
      <c r="AK8126" t="s">
        <v>43</v>
      </c>
      <c r="AL8126" t="s">
        <v>43</v>
      </c>
      <c r="AM8126" t="s">
        <v>43</v>
      </c>
      <c r="AN8126" t="str">
        <f>HYPERLINK("https://www.google.com/maps?q=10.78968239,79.5787735","Open Location")</f>
        <v>Open Location</v>
      </c>
    </row>
    <row r="8127" spans="1:40" x14ac:dyDescent="0.3">
      <c r="A8127" s="1">
        <v>46210.058680555558</v>
      </c>
      <c r="B8127" t="s">
        <v>40</v>
      </c>
      <c r="C8127" t="s">
        <v>41</v>
      </c>
      <c r="D8127" s="1">
        <v>46210.061435185184</v>
      </c>
      <c r="E8127" t="s">
        <v>42</v>
      </c>
      <c r="F8127" t="s">
        <v>43</v>
      </c>
      <c r="G8127" t="s">
        <v>43</v>
      </c>
      <c r="H8127" t="s">
        <v>43</v>
      </c>
      <c r="I8127" t="s">
        <v>43</v>
      </c>
      <c r="J8127" t="s">
        <v>43</v>
      </c>
      <c r="K8127" t="s">
        <v>43</v>
      </c>
      <c r="L8127" t="s">
        <v>43</v>
      </c>
      <c r="M8127" t="s">
        <v>43</v>
      </c>
      <c r="N8127" t="s">
        <v>45</v>
      </c>
      <c r="O8127" t="s">
        <v>43</v>
      </c>
      <c r="P8127" t="s">
        <v>43</v>
      </c>
      <c r="Q8127" t="s">
        <v>43</v>
      </c>
      <c r="R8127" t="s">
        <v>43</v>
      </c>
      <c r="S8127">
        <v>0</v>
      </c>
      <c r="T8127">
        <v>-40</v>
      </c>
      <c r="U8127">
        <v>42</v>
      </c>
      <c r="V8127">
        <v>0</v>
      </c>
      <c r="W8127" t="s">
        <v>43</v>
      </c>
      <c r="X8127" t="s">
        <v>43</v>
      </c>
      <c r="Y8127" t="s">
        <v>43</v>
      </c>
      <c r="Z8127" t="s">
        <v>43</v>
      </c>
      <c r="AA8127" t="s">
        <v>43</v>
      </c>
      <c r="AB8127" t="s">
        <v>43</v>
      </c>
      <c r="AC8127" t="s">
        <v>43</v>
      </c>
      <c r="AD8127" t="s">
        <v>43</v>
      </c>
      <c r="AE8127" t="s">
        <v>43</v>
      </c>
      <c r="AF8127" t="s">
        <v>43</v>
      </c>
      <c r="AG8127" t="s">
        <v>43</v>
      </c>
      <c r="AH8127" t="s">
        <v>43</v>
      </c>
      <c r="AI8127" t="s">
        <v>43</v>
      </c>
      <c r="AJ8127" t="s">
        <v>43</v>
      </c>
      <c r="AK8127" t="s">
        <v>43</v>
      </c>
      <c r="AL8127" t="s">
        <v>43</v>
      </c>
      <c r="AM8127" t="s">
        <v>43</v>
      </c>
      <c r="AN8127" t="s">
        <v>43</v>
      </c>
    </row>
    <row r="8128" spans="1:40" x14ac:dyDescent="0.3">
      <c r="A8128" s="1">
        <v>46210.058564814812</v>
      </c>
      <c r="B8128" t="s">
        <v>40</v>
      </c>
      <c r="C8128" t="s">
        <v>41</v>
      </c>
      <c r="D8128" s="1">
        <v>46210.061226851853</v>
      </c>
      <c r="E8128" t="s">
        <v>42</v>
      </c>
      <c r="F8128" t="s">
        <v>43</v>
      </c>
      <c r="G8128" t="s">
        <v>43</v>
      </c>
      <c r="H8128" t="s">
        <v>43</v>
      </c>
      <c r="I8128" t="s">
        <v>4416</v>
      </c>
      <c r="J8128" t="s">
        <v>43</v>
      </c>
      <c r="K8128" t="s">
        <v>43</v>
      </c>
      <c r="L8128" t="s">
        <v>43</v>
      </c>
      <c r="M8128" t="s">
        <v>43</v>
      </c>
      <c r="N8128" t="s">
        <v>45</v>
      </c>
      <c r="O8128" t="s">
        <v>43</v>
      </c>
      <c r="P8128" t="s">
        <v>43</v>
      </c>
      <c r="Q8128" t="s">
        <v>43</v>
      </c>
      <c r="R8128" t="s">
        <v>43</v>
      </c>
      <c r="S8128">
        <v>0</v>
      </c>
      <c r="T8128">
        <v>-40</v>
      </c>
      <c r="U8128">
        <v>42</v>
      </c>
      <c r="V8128">
        <v>0</v>
      </c>
      <c r="W8128" t="s">
        <v>43</v>
      </c>
      <c r="X8128" t="s">
        <v>43</v>
      </c>
      <c r="Y8128" t="s">
        <v>43</v>
      </c>
      <c r="Z8128" t="s">
        <v>43</v>
      </c>
      <c r="AA8128" t="s">
        <v>43</v>
      </c>
      <c r="AB8128" t="s">
        <v>43</v>
      </c>
      <c r="AC8128" t="s">
        <v>43</v>
      </c>
      <c r="AD8128" t="s">
        <v>43</v>
      </c>
      <c r="AE8128" t="s">
        <v>43</v>
      </c>
      <c r="AF8128" t="s">
        <v>43</v>
      </c>
      <c r="AG8128" t="s">
        <v>43</v>
      </c>
      <c r="AH8128" t="s">
        <v>43</v>
      </c>
      <c r="AI8128" t="s">
        <v>43</v>
      </c>
      <c r="AJ8128" t="s">
        <v>43</v>
      </c>
      <c r="AK8128" t="s">
        <v>43</v>
      </c>
      <c r="AL8128" t="s">
        <v>43</v>
      </c>
      <c r="AM8128" t="s">
        <v>43</v>
      </c>
      <c r="AN8128" t="str">
        <f>HYPERLINK("https://www.google.com/maps?q=10.7896843,79.57876587","Open Location")</f>
        <v>Open Location</v>
      </c>
    </row>
    <row r="8129" spans="1:40" x14ac:dyDescent="0.3">
      <c r="A8129" s="1">
        <v>46210.058449074073</v>
      </c>
      <c r="B8129" t="s">
        <v>40</v>
      </c>
      <c r="C8129" t="s">
        <v>41</v>
      </c>
      <c r="D8129" s="1">
        <v>46210.061041666668</v>
      </c>
      <c r="E8129" t="s">
        <v>42</v>
      </c>
      <c r="F8129" t="s">
        <v>43</v>
      </c>
      <c r="G8129">
        <v>0</v>
      </c>
      <c r="H8129">
        <v>33044</v>
      </c>
      <c r="I8129" t="s">
        <v>4333</v>
      </c>
      <c r="J8129">
        <v>75</v>
      </c>
      <c r="K8129">
        <v>0</v>
      </c>
      <c r="L8129">
        <v>98</v>
      </c>
      <c r="M8129">
        <v>637.29998779000005</v>
      </c>
      <c r="N8129" t="s">
        <v>81</v>
      </c>
      <c r="O8129" t="s">
        <v>43</v>
      </c>
      <c r="P8129">
        <v>125</v>
      </c>
      <c r="Q8129">
        <v>2</v>
      </c>
      <c r="R8129">
        <v>0</v>
      </c>
      <c r="S8129">
        <v>0</v>
      </c>
      <c r="T8129">
        <v>-40</v>
      </c>
      <c r="U8129">
        <v>42</v>
      </c>
      <c r="V8129">
        <v>0</v>
      </c>
      <c r="W8129">
        <v>26</v>
      </c>
      <c r="X8129">
        <v>26</v>
      </c>
      <c r="Y8129">
        <v>1</v>
      </c>
      <c r="Z8129">
        <v>8</v>
      </c>
      <c r="AA8129">
        <v>24</v>
      </c>
      <c r="AB8129">
        <v>1</v>
      </c>
      <c r="AC8129">
        <v>3</v>
      </c>
      <c r="AD8129">
        <v>3.3220000299999999</v>
      </c>
      <c r="AE8129">
        <v>1</v>
      </c>
      <c r="AF8129">
        <v>29</v>
      </c>
      <c r="AG8129">
        <v>3.3190000099999999</v>
      </c>
      <c r="AH8129">
        <v>2</v>
      </c>
      <c r="AI8129">
        <v>3</v>
      </c>
      <c r="AJ8129" t="s">
        <v>43</v>
      </c>
      <c r="AK8129" t="s">
        <v>43</v>
      </c>
      <c r="AL8129" t="s">
        <v>43</v>
      </c>
      <c r="AM8129" t="s">
        <v>43</v>
      </c>
      <c r="AN8129" t="str">
        <f>HYPERLINK("https://www.google.com/maps?q=10.78968906,79.5787735","Open Location")</f>
        <v>Open Location</v>
      </c>
    </row>
    <row r="8130" spans="1:40" x14ac:dyDescent="0.3">
      <c r="A8130" s="1">
        <v>46210.058333333334</v>
      </c>
      <c r="B8130" t="s">
        <v>40</v>
      </c>
      <c r="C8130" t="s">
        <v>41</v>
      </c>
      <c r="D8130" s="1">
        <v>46210.061238425929</v>
      </c>
      <c r="E8130" t="s">
        <v>42</v>
      </c>
      <c r="F8130" t="s">
        <v>83</v>
      </c>
      <c r="G8130">
        <v>0</v>
      </c>
      <c r="H8130">
        <v>33044</v>
      </c>
      <c r="I8130" t="s">
        <v>4417</v>
      </c>
      <c r="J8130">
        <v>75</v>
      </c>
      <c r="K8130">
        <v>2</v>
      </c>
      <c r="L8130">
        <v>98</v>
      </c>
      <c r="M8130">
        <v>636.59997558999999</v>
      </c>
      <c r="N8130" t="s">
        <v>85</v>
      </c>
      <c r="O8130" t="s">
        <v>86</v>
      </c>
      <c r="P8130">
        <v>127</v>
      </c>
      <c r="Q8130">
        <v>2</v>
      </c>
      <c r="R8130">
        <v>0</v>
      </c>
      <c r="S8130">
        <v>0</v>
      </c>
      <c r="T8130">
        <v>-40</v>
      </c>
      <c r="U8130">
        <v>42</v>
      </c>
      <c r="V8130">
        <v>5</v>
      </c>
      <c r="W8130">
        <v>26</v>
      </c>
      <c r="X8130">
        <v>26</v>
      </c>
      <c r="Y8130">
        <v>1</v>
      </c>
      <c r="Z8130">
        <v>8</v>
      </c>
      <c r="AA8130">
        <v>24</v>
      </c>
      <c r="AB8130">
        <v>1</v>
      </c>
      <c r="AC8130">
        <v>3</v>
      </c>
      <c r="AD8130">
        <v>3.3210001</v>
      </c>
      <c r="AE8130">
        <v>1</v>
      </c>
      <c r="AF8130">
        <v>1</v>
      </c>
      <c r="AG8130">
        <v>3.3190000099999999</v>
      </c>
      <c r="AH8130">
        <v>1</v>
      </c>
      <c r="AI8130">
        <v>4</v>
      </c>
      <c r="AJ8130">
        <v>1</v>
      </c>
      <c r="AK8130">
        <v>20</v>
      </c>
      <c r="AL8130">
        <v>38</v>
      </c>
      <c r="AM8130" t="s">
        <v>43</v>
      </c>
      <c r="AN8130" t="str">
        <f>HYPERLINK("https://www.google.com/maps?q=10.78968525,79.5787735","Open Location")</f>
        <v>Open Location</v>
      </c>
    </row>
    <row r="8131" spans="1:40" x14ac:dyDescent="0.3">
      <c r="A8131" s="1">
        <v>46210.058217592596</v>
      </c>
      <c r="B8131" t="s">
        <v>40</v>
      </c>
      <c r="C8131" t="s">
        <v>41</v>
      </c>
      <c r="D8131" s="1">
        <v>46210.061006944445</v>
      </c>
      <c r="E8131" t="s">
        <v>42</v>
      </c>
      <c r="F8131" t="s">
        <v>83</v>
      </c>
      <c r="G8131">
        <v>0</v>
      </c>
      <c r="H8131">
        <v>33044</v>
      </c>
      <c r="I8131" t="s">
        <v>4021</v>
      </c>
      <c r="J8131">
        <v>75</v>
      </c>
      <c r="K8131">
        <v>6</v>
      </c>
      <c r="L8131">
        <v>98</v>
      </c>
      <c r="M8131">
        <v>636.5</v>
      </c>
      <c r="N8131" t="s">
        <v>85</v>
      </c>
      <c r="O8131" t="s">
        <v>86</v>
      </c>
      <c r="P8131">
        <v>127</v>
      </c>
      <c r="Q8131">
        <v>2</v>
      </c>
      <c r="R8131">
        <v>0</v>
      </c>
      <c r="S8131">
        <v>0</v>
      </c>
      <c r="T8131">
        <v>-40</v>
      </c>
      <c r="U8131">
        <v>42</v>
      </c>
      <c r="V8131">
        <v>5</v>
      </c>
      <c r="W8131">
        <v>26</v>
      </c>
      <c r="X8131">
        <v>26</v>
      </c>
      <c r="Y8131">
        <v>1</v>
      </c>
      <c r="Z8131">
        <v>8</v>
      </c>
      <c r="AA8131">
        <v>24</v>
      </c>
      <c r="AB8131">
        <v>1</v>
      </c>
      <c r="AC8131">
        <v>3</v>
      </c>
      <c r="AD8131">
        <v>3.3190000099999999</v>
      </c>
      <c r="AE8131">
        <v>1</v>
      </c>
      <c r="AF8131">
        <v>1</v>
      </c>
      <c r="AG8131">
        <v>3.3169999099999998</v>
      </c>
      <c r="AH8131">
        <v>2</v>
      </c>
      <c r="AI8131">
        <v>3</v>
      </c>
      <c r="AJ8131">
        <v>1</v>
      </c>
      <c r="AK8131">
        <v>21</v>
      </c>
      <c r="AL8131">
        <v>38</v>
      </c>
      <c r="AM8131" t="s">
        <v>43</v>
      </c>
      <c r="AN8131" t="str">
        <f>HYPERLINK("https://www.google.com/maps?q=10.78967857,79.57876587","Open Location")</f>
        <v>Open Location</v>
      </c>
    </row>
    <row r="8132" spans="1:40" x14ac:dyDescent="0.3">
      <c r="A8132" s="1">
        <v>46210.05810185185</v>
      </c>
      <c r="B8132" t="s">
        <v>40</v>
      </c>
      <c r="C8132" t="s">
        <v>41</v>
      </c>
      <c r="D8132" s="1">
        <v>46210.061030092591</v>
      </c>
      <c r="E8132" t="s">
        <v>42</v>
      </c>
      <c r="F8132" t="s">
        <v>83</v>
      </c>
      <c r="G8132">
        <v>0</v>
      </c>
      <c r="H8132" t="s">
        <v>43</v>
      </c>
      <c r="I8132" t="s">
        <v>4320</v>
      </c>
      <c r="J8132">
        <v>75</v>
      </c>
      <c r="K8132">
        <v>9</v>
      </c>
      <c r="L8132">
        <v>98</v>
      </c>
      <c r="M8132">
        <v>636.20001220999995</v>
      </c>
      <c r="N8132" t="s">
        <v>85</v>
      </c>
      <c r="O8132" t="s">
        <v>86</v>
      </c>
      <c r="P8132">
        <v>127</v>
      </c>
      <c r="Q8132">
        <v>2</v>
      </c>
      <c r="R8132">
        <v>0</v>
      </c>
      <c r="S8132">
        <v>0</v>
      </c>
      <c r="T8132">
        <v>-40</v>
      </c>
      <c r="U8132">
        <v>42</v>
      </c>
      <c r="V8132">
        <v>5</v>
      </c>
      <c r="W8132">
        <v>26</v>
      </c>
      <c r="X8132">
        <v>26</v>
      </c>
      <c r="Y8132">
        <v>1</v>
      </c>
      <c r="Z8132">
        <v>8</v>
      </c>
      <c r="AA8132">
        <v>24</v>
      </c>
      <c r="AB8132">
        <v>1</v>
      </c>
      <c r="AC8132">
        <v>3</v>
      </c>
      <c r="AD8132" t="s">
        <v>43</v>
      </c>
      <c r="AE8132" t="s">
        <v>43</v>
      </c>
      <c r="AF8132" t="s">
        <v>43</v>
      </c>
      <c r="AG8132" t="s">
        <v>43</v>
      </c>
      <c r="AH8132" t="s">
        <v>43</v>
      </c>
      <c r="AI8132" t="s">
        <v>43</v>
      </c>
      <c r="AJ8132">
        <v>1</v>
      </c>
      <c r="AK8132">
        <v>19</v>
      </c>
      <c r="AL8132">
        <v>38</v>
      </c>
      <c r="AM8132" t="s">
        <v>43</v>
      </c>
      <c r="AN8132" t="str">
        <f>HYPERLINK("https://www.google.com/maps?q=10.78968525,79.57878113","Open Location")</f>
        <v>Open Location</v>
      </c>
    </row>
    <row r="8133" spans="1:40" x14ac:dyDescent="0.3">
      <c r="A8133" s="1">
        <v>46210.057986111111</v>
      </c>
      <c r="B8133" t="s">
        <v>40</v>
      </c>
      <c r="C8133" t="s">
        <v>41</v>
      </c>
      <c r="D8133" s="1">
        <v>46210.060648148145</v>
      </c>
      <c r="E8133" t="s">
        <v>42</v>
      </c>
      <c r="F8133" t="s">
        <v>83</v>
      </c>
      <c r="G8133">
        <v>0</v>
      </c>
      <c r="H8133">
        <v>33044</v>
      </c>
      <c r="I8133" t="s">
        <v>43</v>
      </c>
      <c r="J8133">
        <v>75</v>
      </c>
      <c r="K8133">
        <v>9</v>
      </c>
      <c r="L8133">
        <v>98</v>
      </c>
      <c r="M8133">
        <v>637.09997558999999</v>
      </c>
      <c r="N8133" t="s">
        <v>85</v>
      </c>
      <c r="O8133" t="s">
        <v>86</v>
      </c>
      <c r="P8133">
        <v>127</v>
      </c>
      <c r="Q8133">
        <v>2</v>
      </c>
      <c r="R8133">
        <v>0</v>
      </c>
      <c r="S8133">
        <v>0</v>
      </c>
      <c r="T8133">
        <v>-40</v>
      </c>
      <c r="U8133">
        <v>42</v>
      </c>
      <c r="V8133">
        <v>5</v>
      </c>
      <c r="W8133">
        <v>27</v>
      </c>
      <c r="X8133">
        <v>27</v>
      </c>
      <c r="Y8133">
        <v>1</v>
      </c>
      <c r="Z8133">
        <v>8</v>
      </c>
      <c r="AA8133">
        <v>24</v>
      </c>
      <c r="AB8133">
        <v>1</v>
      </c>
      <c r="AC8133">
        <v>3</v>
      </c>
      <c r="AD8133">
        <v>3.3210001</v>
      </c>
      <c r="AE8133">
        <v>1</v>
      </c>
      <c r="AF8133">
        <v>25</v>
      </c>
      <c r="AG8133">
        <v>3.31800008</v>
      </c>
      <c r="AH8133">
        <v>2</v>
      </c>
      <c r="AI8133">
        <v>12</v>
      </c>
      <c r="AJ8133">
        <v>1</v>
      </c>
      <c r="AK8133">
        <v>19</v>
      </c>
      <c r="AL8133">
        <v>38</v>
      </c>
      <c r="AM8133" t="s">
        <v>43</v>
      </c>
      <c r="AN8133" t="s">
        <v>43</v>
      </c>
    </row>
    <row r="8134" spans="1:40" x14ac:dyDescent="0.3">
      <c r="A8134" s="1">
        <v>46210.057870370372</v>
      </c>
      <c r="B8134" t="s">
        <v>40</v>
      </c>
      <c r="C8134" t="s">
        <v>41</v>
      </c>
      <c r="D8134" s="1">
        <v>46210.060590277775</v>
      </c>
      <c r="E8134" t="s">
        <v>42</v>
      </c>
      <c r="F8134" t="s">
        <v>83</v>
      </c>
      <c r="G8134">
        <v>0</v>
      </c>
      <c r="H8134">
        <v>33044</v>
      </c>
      <c r="I8134" t="s">
        <v>4418</v>
      </c>
      <c r="J8134">
        <v>75</v>
      </c>
      <c r="K8134">
        <v>2</v>
      </c>
      <c r="L8134">
        <v>98</v>
      </c>
      <c r="M8134">
        <v>637.20001220999995</v>
      </c>
      <c r="N8134" t="s">
        <v>85</v>
      </c>
      <c r="O8134" t="s">
        <v>86</v>
      </c>
      <c r="P8134">
        <v>127</v>
      </c>
      <c r="Q8134">
        <v>2</v>
      </c>
      <c r="R8134">
        <v>0</v>
      </c>
      <c r="S8134">
        <v>0</v>
      </c>
      <c r="T8134">
        <v>-40</v>
      </c>
      <c r="U8134">
        <v>42</v>
      </c>
      <c r="V8134">
        <v>5</v>
      </c>
      <c r="W8134">
        <v>27</v>
      </c>
      <c r="X8134">
        <v>27</v>
      </c>
      <c r="Y8134">
        <v>1</v>
      </c>
      <c r="Z8134">
        <v>8</v>
      </c>
      <c r="AA8134">
        <v>24</v>
      </c>
      <c r="AB8134">
        <v>1</v>
      </c>
      <c r="AC8134">
        <v>3</v>
      </c>
      <c r="AD8134">
        <v>3.3210001</v>
      </c>
      <c r="AE8134">
        <v>1</v>
      </c>
      <c r="AF8134">
        <v>25</v>
      </c>
      <c r="AG8134">
        <v>3.31800008</v>
      </c>
      <c r="AH8134">
        <v>2</v>
      </c>
      <c r="AI8134">
        <v>12</v>
      </c>
      <c r="AJ8134">
        <v>1</v>
      </c>
      <c r="AK8134">
        <v>18</v>
      </c>
      <c r="AL8134">
        <v>37</v>
      </c>
      <c r="AM8134" t="s">
        <v>43</v>
      </c>
      <c r="AN8134" t="str">
        <f>HYPERLINK("https://www.google.com/maps?q=10.78969479,79.57878113","Open Location")</f>
        <v>Open Location</v>
      </c>
    </row>
    <row r="8135" spans="1:40" x14ac:dyDescent="0.3">
      <c r="A8135" s="1">
        <v>46210.057754629626</v>
      </c>
      <c r="B8135" t="s">
        <v>40</v>
      </c>
      <c r="C8135" t="s">
        <v>41</v>
      </c>
      <c r="D8135" s="1">
        <v>46210.060428240744</v>
      </c>
      <c r="E8135" t="s">
        <v>42</v>
      </c>
      <c r="F8135" t="s">
        <v>83</v>
      </c>
      <c r="G8135">
        <v>0</v>
      </c>
      <c r="H8135">
        <v>33044</v>
      </c>
      <c r="I8135" t="s">
        <v>4419</v>
      </c>
      <c r="J8135">
        <v>75</v>
      </c>
      <c r="K8135">
        <v>2</v>
      </c>
      <c r="L8135">
        <v>98</v>
      </c>
      <c r="M8135">
        <v>637</v>
      </c>
      <c r="N8135" t="s">
        <v>85</v>
      </c>
      <c r="O8135" t="s">
        <v>86</v>
      </c>
      <c r="P8135">
        <v>127</v>
      </c>
      <c r="Q8135">
        <v>2</v>
      </c>
      <c r="R8135">
        <v>0</v>
      </c>
      <c r="S8135">
        <v>0</v>
      </c>
      <c r="T8135">
        <v>-40</v>
      </c>
      <c r="U8135">
        <v>42</v>
      </c>
      <c r="V8135">
        <v>5</v>
      </c>
      <c r="W8135">
        <v>27</v>
      </c>
      <c r="X8135">
        <v>27</v>
      </c>
      <c r="Y8135">
        <v>1</v>
      </c>
      <c r="Z8135">
        <v>8</v>
      </c>
      <c r="AA8135">
        <v>24</v>
      </c>
      <c r="AB8135">
        <v>1</v>
      </c>
      <c r="AC8135">
        <v>3</v>
      </c>
      <c r="AD8135">
        <v>3.3210001</v>
      </c>
      <c r="AE8135">
        <v>1</v>
      </c>
      <c r="AF8135">
        <v>29</v>
      </c>
      <c r="AG8135">
        <v>3.31800008</v>
      </c>
      <c r="AH8135">
        <v>2</v>
      </c>
      <c r="AI8135">
        <v>3</v>
      </c>
      <c r="AJ8135">
        <v>1</v>
      </c>
      <c r="AK8135">
        <v>18</v>
      </c>
      <c r="AL8135">
        <v>37</v>
      </c>
      <c r="AM8135" t="s">
        <v>43</v>
      </c>
      <c r="AN8135" t="str">
        <f>HYPERLINK("https://www.google.com/maps?q=10.7896986,79.57878876","Open Location")</f>
        <v>Open Location</v>
      </c>
    </row>
    <row r="8136" spans="1:40" x14ac:dyDescent="0.3">
      <c r="A8136" s="1">
        <v>46210.057638888888</v>
      </c>
      <c r="B8136" t="s">
        <v>40</v>
      </c>
      <c r="C8136" t="s">
        <v>41</v>
      </c>
      <c r="D8136" s="1">
        <v>46210.060659722221</v>
      </c>
      <c r="E8136" t="s">
        <v>42</v>
      </c>
      <c r="F8136" t="s">
        <v>83</v>
      </c>
      <c r="G8136">
        <v>0</v>
      </c>
      <c r="H8136">
        <v>33044</v>
      </c>
      <c r="I8136" t="s">
        <v>4405</v>
      </c>
      <c r="J8136">
        <v>75</v>
      </c>
      <c r="K8136">
        <v>2</v>
      </c>
      <c r="L8136">
        <v>98</v>
      </c>
      <c r="M8136">
        <v>636.40002441000001</v>
      </c>
      <c r="N8136" t="s">
        <v>85</v>
      </c>
      <c r="O8136" t="s">
        <v>86</v>
      </c>
      <c r="P8136">
        <v>127</v>
      </c>
      <c r="Q8136">
        <v>2</v>
      </c>
      <c r="R8136">
        <v>0</v>
      </c>
      <c r="S8136">
        <v>0</v>
      </c>
      <c r="T8136">
        <v>-40</v>
      </c>
      <c r="U8136">
        <v>41</v>
      </c>
      <c r="V8136">
        <v>5</v>
      </c>
      <c r="W8136">
        <v>27</v>
      </c>
      <c r="X8136">
        <v>27</v>
      </c>
      <c r="Y8136">
        <v>1</v>
      </c>
      <c r="Z8136">
        <v>8</v>
      </c>
      <c r="AA8136">
        <v>24</v>
      </c>
      <c r="AB8136">
        <v>1</v>
      </c>
      <c r="AC8136">
        <v>3</v>
      </c>
      <c r="AD8136">
        <v>3.3199999299999998</v>
      </c>
      <c r="AE8136">
        <v>1</v>
      </c>
      <c r="AF8136">
        <v>25</v>
      </c>
      <c r="AG8136">
        <v>3.3169999099999998</v>
      </c>
      <c r="AH8136">
        <v>2</v>
      </c>
      <c r="AI8136">
        <v>3</v>
      </c>
      <c r="AJ8136">
        <v>1</v>
      </c>
      <c r="AK8136">
        <v>18</v>
      </c>
      <c r="AL8136">
        <v>37</v>
      </c>
      <c r="AM8136" t="s">
        <v>43</v>
      </c>
      <c r="AN8136" t="str">
        <f>HYPERLINK("https://www.google.com/maps?q=10.78970146,79.57879639","Open Location")</f>
        <v>Open Location</v>
      </c>
    </row>
    <row r="8137" spans="1:40" x14ac:dyDescent="0.3">
      <c r="A8137" s="1">
        <v>46210.057523148149</v>
      </c>
      <c r="B8137" t="s">
        <v>40</v>
      </c>
      <c r="C8137" t="s">
        <v>41</v>
      </c>
      <c r="D8137" s="1">
        <v>46210.060266203705</v>
      </c>
      <c r="E8137" t="s">
        <v>42</v>
      </c>
      <c r="F8137" t="s">
        <v>83</v>
      </c>
      <c r="G8137">
        <v>0</v>
      </c>
      <c r="H8137" t="s">
        <v>43</v>
      </c>
      <c r="I8137" t="s">
        <v>4420</v>
      </c>
      <c r="J8137">
        <v>75</v>
      </c>
      <c r="K8137">
        <v>9</v>
      </c>
      <c r="L8137">
        <v>98</v>
      </c>
      <c r="M8137">
        <v>636.70001220999995</v>
      </c>
      <c r="N8137" t="s">
        <v>85</v>
      </c>
      <c r="O8137" t="s">
        <v>86</v>
      </c>
      <c r="P8137">
        <v>127</v>
      </c>
      <c r="Q8137">
        <v>2</v>
      </c>
      <c r="R8137">
        <v>0</v>
      </c>
      <c r="S8137">
        <v>0</v>
      </c>
      <c r="T8137">
        <v>-40</v>
      </c>
      <c r="U8137">
        <v>42</v>
      </c>
      <c r="V8137">
        <v>5</v>
      </c>
      <c r="W8137">
        <v>27</v>
      </c>
      <c r="X8137">
        <v>27</v>
      </c>
      <c r="Y8137">
        <v>1</v>
      </c>
      <c r="Z8137">
        <v>8</v>
      </c>
      <c r="AA8137">
        <v>24</v>
      </c>
      <c r="AB8137">
        <v>1</v>
      </c>
      <c r="AC8137">
        <v>3</v>
      </c>
      <c r="AD8137">
        <v>3.3190000099999999</v>
      </c>
      <c r="AE8137">
        <v>1</v>
      </c>
      <c r="AF8137">
        <v>1</v>
      </c>
      <c r="AG8137">
        <v>3.31599998</v>
      </c>
      <c r="AH8137">
        <v>2</v>
      </c>
      <c r="AI8137">
        <v>3</v>
      </c>
      <c r="AJ8137">
        <v>1</v>
      </c>
      <c r="AK8137">
        <v>17</v>
      </c>
      <c r="AL8137">
        <v>37</v>
      </c>
      <c r="AM8137" t="s">
        <v>43</v>
      </c>
      <c r="AN8137" t="str">
        <f>HYPERLINK("https://www.google.com/maps?q=10.78970623,79.57878113","Open Location")</f>
        <v>Open Location</v>
      </c>
    </row>
    <row r="8138" spans="1:40" x14ac:dyDescent="0.3">
      <c r="A8138" s="1">
        <v>46210.05740740741</v>
      </c>
      <c r="B8138" t="s">
        <v>40</v>
      </c>
      <c r="C8138" t="s">
        <v>41</v>
      </c>
      <c r="D8138" s="1">
        <v>46210.060266203705</v>
      </c>
      <c r="E8138" t="s">
        <v>42</v>
      </c>
      <c r="F8138" t="s">
        <v>83</v>
      </c>
      <c r="G8138">
        <v>5</v>
      </c>
      <c r="H8138">
        <v>33044</v>
      </c>
      <c r="I8138" t="s">
        <v>43</v>
      </c>
      <c r="J8138">
        <v>75</v>
      </c>
      <c r="K8138">
        <v>10</v>
      </c>
      <c r="L8138">
        <v>98</v>
      </c>
      <c r="M8138">
        <v>636.29998779000005</v>
      </c>
      <c r="N8138" t="s">
        <v>87</v>
      </c>
      <c r="O8138" t="s">
        <v>86</v>
      </c>
      <c r="P8138">
        <v>128</v>
      </c>
      <c r="Q8138">
        <v>2</v>
      </c>
      <c r="R8138">
        <v>0</v>
      </c>
      <c r="S8138">
        <v>633</v>
      </c>
      <c r="T8138">
        <v>-40</v>
      </c>
      <c r="U8138">
        <v>42</v>
      </c>
      <c r="V8138">
        <v>0</v>
      </c>
      <c r="W8138">
        <v>27</v>
      </c>
      <c r="X8138">
        <v>27</v>
      </c>
      <c r="Y8138">
        <v>1</v>
      </c>
      <c r="Z8138">
        <v>8</v>
      </c>
      <c r="AA8138">
        <v>24</v>
      </c>
      <c r="AB8138">
        <v>1</v>
      </c>
      <c r="AC8138">
        <v>3</v>
      </c>
      <c r="AD8138" t="s">
        <v>43</v>
      </c>
      <c r="AE8138" t="s">
        <v>43</v>
      </c>
      <c r="AF8138" t="s">
        <v>43</v>
      </c>
      <c r="AG8138" t="s">
        <v>43</v>
      </c>
      <c r="AH8138" t="s">
        <v>43</v>
      </c>
      <c r="AI8138" t="s">
        <v>43</v>
      </c>
      <c r="AJ8138">
        <v>1</v>
      </c>
      <c r="AK8138">
        <v>28</v>
      </c>
      <c r="AL8138">
        <v>37</v>
      </c>
      <c r="AM8138" t="s">
        <v>43</v>
      </c>
      <c r="AN8138" t="s">
        <v>43</v>
      </c>
    </row>
    <row r="8139" spans="1:40" x14ac:dyDescent="0.3">
      <c r="A8139" s="1">
        <v>46210.057291666664</v>
      </c>
      <c r="B8139" t="s">
        <v>40</v>
      </c>
      <c r="C8139" t="s">
        <v>41</v>
      </c>
      <c r="D8139" s="1">
        <v>46210.059907407405</v>
      </c>
      <c r="E8139" t="s">
        <v>42</v>
      </c>
      <c r="F8139" t="s">
        <v>83</v>
      </c>
      <c r="G8139">
        <v>23</v>
      </c>
      <c r="H8139">
        <v>33044</v>
      </c>
      <c r="I8139" t="s">
        <v>4421</v>
      </c>
      <c r="J8139">
        <v>75</v>
      </c>
      <c r="K8139">
        <v>-62</v>
      </c>
      <c r="L8139">
        <v>98</v>
      </c>
      <c r="M8139">
        <v>638.70001220999995</v>
      </c>
      <c r="N8139" t="s">
        <v>87</v>
      </c>
      <c r="O8139" t="s">
        <v>86</v>
      </c>
      <c r="P8139">
        <v>131</v>
      </c>
      <c r="Q8139">
        <v>4</v>
      </c>
      <c r="R8139">
        <v>-56</v>
      </c>
      <c r="S8139">
        <v>632</v>
      </c>
      <c r="T8139">
        <v>-40</v>
      </c>
      <c r="U8139">
        <v>43</v>
      </c>
      <c r="V8139">
        <v>-830</v>
      </c>
      <c r="W8139">
        <v>27</v>
      </c>
      <c r="X8139">
        <v>27</v>
      </c>
      <c r="Y8139">
        <v>1</v>
      </c>
      <c r="Z8139">
        <v>8</v>
      </c>
      <c r="AA8139">
        <v>24</v>
      </c>
      <c r="AB8139">
        <v>1</v>
      </c>
      <c r="AC8139">
        <v>3</v>
      </c>
      <c r="AD8139">
        <v>3.3259999800000002</v>
      </c>
      <c r="AE8139">
        <v>1</v>
      </c>
      <c r="AF8139">
        <v>29</v>
      </c>
      <c r="AG8139">
        <v>3.3229999499999998</v>
      </c>
      <c r="AH8139">
        <v>1</v>
      </c>
      <c r="AI8139">
        <v>4</v>
      </c>
      <c r="AJ8139">
        <v>1</v>
      </c>
      <c r="AK8139">
        <v>27</v>
      </c>
      <c r="AL8139">
        <v>37</v>
      </c>
      <c r="AM8139" t="s">
        <v>43</v>
      </c>
      <c r="AN8139" t="str">
        <f>HYPERLINK("https://www.google.com/maps?q=10.78977871,79.57855225","Open Location")</f>
        <v>Open Location</v>
      </c>
    </row>
    <row r="8140" spans="1:40" x14ac:dyDescent="0.3">
      <c r="A8140" s="1">
        <v>46210.057175925926</v>
      </c>
      <c r="B8140" t="s">
        <v>40</v>
      </c>
      <c r="C8140" t="s">
        <v>41</v>
      </c>
      <c r="D8140" s="1">
        <v>46210.059849537036</v>
      </c>
      <c r="E8140" t="s">
        <v>42</v>
      </c>
      <c r="F8140" t="s">
        <v>83</v>
      </c>
      <c r="G8140">
        <v>31</v>
      </c>
      <c r="H8140">
        <v>33044</v>
      </c>
      <c r="I8140" t="s">
        <v>4422</v>
      </c>
      <c r="J8140">
        <v>75</v>
      </c>
      <c r="K8140">
        <v>-35</v>
      </c>
      <c r="L8140">
        <v>98</v>
      </c>
      <c r="M8140">
        <v>638.5</v>
      </c>
      <c r="N8140" t="s">
        <v>87</v>
      </c>
      <c r="O8140" t="s">
        <v>86</v>
      </c>
      <c r="P8140">
        <v>131</v>
      </c>
      <c r="Q8140">
        <v>6</v>
      </c>
      <c r="R8140">
        <v>-28</v>
      </c>
      <c r="S8140">
        <v>864</v>
      </c>
      <c r="T8140">
        <v>-40</v>
      </c>
      <c r="U8140">
        <v>43</v>
      </c>
      <c r="V8140">
        <v>-300</v>
      </c>
      <c r="W8140">
        <v>27</v>
      </c>
      <c r="X8140">
        <v>27</v>
      </c>
      <c r="Y8140">
        <v>1</v>
      </c>
      <c r="Z8140">
        <v>8</v>
      </c>
      <c r="AA8140">
        <v>24</v>
      </c>
      <c r="AB8140">
        <v>1</v>
      </c>
      <c r="AC8140">
        <v>3</v>
      </c>
      <c r="AD8140">
        <v>3.3250000499999999</v>
      </c>
      <c r="AE8140">
        <v>1</v>
      </c>
      <c r="AF8140">
        <v>16</v>
      </c>
      <c r="AG8140">
        <v>3.3220000299999999</v>
      </c>
      <c r="AH8140">
        <v>2</v>
      </c>
      <c r="AI8140">
        <v>12</v>
      </c>
      <c r="AJ8140">
        <v>1</v>
      </c>
      <c r="AK8140">
        <v>27</v>
      </c>
      <c r="AL8140">
        <v>37</v>
      </c>
      <c r="AM8140" t="s">
        <v>43</v>
      </c>
      <c r="AN8140" t="str">
        <f>HYPERLINK("https://www.google.com/maps?q=10.78995609,79.5777359","Open Location")</f>
        <v>Open Location</v>
      </c>
    </row>
    <row r="8141" spans="1:40" x14ac:dyDescent="0.3">
      <c r="A8141" s="1">
        <v>46210.057060185187</v>
      </c>
      <c r="B8141" t="s">
        <v>40</v>
      </c>
      <c r="C8141" t="s">
        <v>41</v>
      </c>
      <c r="D8141" s="1">
        <v>46210.060034722221</v>
      </c>
      <c r="E8141" t="s">
        <v>42</v>
      </c>
      <c r="F8141" t="s">
        <v>83</v>
      </c>
      <c r="G8141">
        <v>40</v>
      </c>
      <c r="H8141">
        <v>33044</v>
      </c>
      <c r="I8141" t="s">
        <v>4423</v>
      </c>
      <c r="J8141">
        <v>75</v>
      </c>
      <c r="K8141">
        <v>-46</v>
      </c>
      <c r="L8141">
        <v>98</v>
      </c>
      <c r="M8141">
        <v>637.70001220999995</v>
      </c>
      <c r="N8141" t="s">
        <v>87</v>
      </c>
      <c r="O8141" t="s">
        <v>86</v>
      </c>
      <c r="P8141">
        <v>131</v>
      </c>
      <c r="Q8141">
        <v>6</v>
      </c>
      <c r="R8141">
        <v>-35</v>
      </c>
      <c r="S8141">
        <v>1098</v>
      </c>
      <c r="T8141">
        <v>-40</v>
      </c>
      <c r="U8141">
        <v>42</v>
      </c>
      <c r="V8141">
        <v>-300</v>
      </c>
      <c r="W8141">
        <v>27</v>
      </c>
      <c r="X8141">
        <v>27</v>
      </c>
      <c r="Y8141">
        <v>1</v>
      </c>
      <c r="Z8141">
        <v>8</v>
      </c>
      <c r="AA8141">
        <v>24</v>
      </c>
      <c r="AB8141">
        <v>1</v>
      </c>
      <c r="AC8141">
        <v>3</v>
      </c>
      <c r="AD8141">
        <v>3.30900002</v>
      </c>
      <c r="AE8141">
        <v>5</v>
      </c>
      <c r="AF8141">
        <v>38</v>
      </c>
      <c r="AG8141">
        <v>3.3029999700000001</v>
      </c>
      <c r="AH8141">
        <v>7</v>
      </c>
      <c r="AI8141">
        <v>1</v>
      </c>
      <c r="AJ8141">
        <v>1</v>
      </c>
      <c r="AK8141">
        <v>27</v>
      </c>
      <c r="AL8141">
        <v>37</v>
      </c>
      <c r="AM8141" t="s">
        <v>43</v>
      </c>
      <c r="AN8141" t="str">
        <f>HYPERLINK("https://www.google.com/maps?q=10.79026699,79.57662964","Open Location")</f>
        <v>Open Location</v>
      </c>
    </row>
    <row r="8142" spans="1:40" x14ac:dyDescent="0.3">
      <c r="A8142" s="1">
        <v>46210.056944444441</v>
      </c>
      <c r="B8142" t="s">
        <v>40</v>
      </c>
      <c r="C8142" t="s">
        <v>41</v>
      </c>
      <c r="D8142" s="1">
        <v>46210.05972222222</v>
      </c>
      <c r="E8142" t="s">
        <v>42</v>
      </c>
      <c r="F8142" t="s">
        <v>83</v>
      </c>
      <c r="G8142">
        <v>42</v>
      </c>
      <c r="H8142">
        <v>33044</v>
      </c>
      <c r="I8142" t="s">
        <v>4424</v>
      </c>
      <c r="J8142">
        <v>75</v>
      </c>
      <c r="K8142">
        <v>-14</v>
      </c>
      <c r="L8142">
        <v>98</v>
      </c>
      <c r="M8142">
        <v>637.09997558999999</v>
      </c>
      <c r="N8142" t="s">
        <v>87</v>
      </c>
      <c r="O8142" t="s">
        <v>86</v>
      </c>
      <c r="P8142">
        <v>131</v>
      </c>
      <c r="Q8142">
        <v>6</v>
      </c>
      <c r="R8142">
        <v>2</v>
      </c>
      <c r="S8142">
        <v>1149</v>
      </c>
      <c r="T8142">
        <v>-40</v>
      </c>
      <c r="U8142">
        <v>43</v>
      </c>
      <c r="V8142">
        <v>-52</v>
      </c>
      <c r="W8142">
        <v>27</v>
      </c>
      <c r="X8142">
        <v>27</v>
      </c>
      <c r="Y8142">
        <v>1</v>
      </c>
      <c r="Z8142">
        <v>8</v>
      </c>
      <c r="AA8142">
        <v>24</v>
      </c>
      <c r="AB8142">
        <v>1</v>
      </c>
      <c r="AC8142">
        <v>3</v>
      </c>
      <c r="AD8142">
        <v>3.2950000799999999</v>
      </c>
      <c r="AE8142">
        <v>5</v>
      </c>
      <c r="AF8142">
        <v>38</v>
      </c>
      <c r="AG8142">
        <v>3.28299999</v>
      </c>
      <c r="AH8142">
        <v>7</v>
      </c>
      <c r="AI8142">
        <v>19</v>
      </c>
      <c r="AJ8142">
        <v>1</v>
      </c>
      <c r="AK8142">
        <v>27</v>
      </c>
      <c r="AL8142">
        <v>37</v>
      </c>
      <c r="AM8142" t="s">
        <v>43</v>
      </c>
      <c r="AN8142" t="str">
        <f>HYPERLINK("https://www.google.com/maps?q=10.79066563,79.57542419","Open Location")</f>
        <v>Open Location</v>
      </c>
    </row>
    <row r="8143" spans="1:40" x14ac:dyDescent="0.3">
      <c r="A8143" s="1">
        <v>46210.056828703702</v>
      </c>
      <c r="B8143" t="s">
        <v>40</v>
      </c>
      <c r="C8143" t="s">
        <v>41</v>
      </c>
      <c r="D8143" s="1">
        <v>46210.05972222222</v>
      </c>
      <c r="E8143" t="s">
        <v>42</v>
      </c>
      <c r="F8143" t="s">
        <v>83</v>
      </c>
      <c r="G8143">
        <v>41</v>
      </c>
      <c r="H8143" t="s">
        <v>43</v>
      </c>
      <c r="I8143" t="s">
        <v>4425</v>
      </c>
      <c r="J8143">
        <v>75</v>
      </c>
      <c r="K8143">
        <v>-14</v>
      </c>
      <c r="L8143">
        <v>98</v>
      </c>
      <c r="M8143">
        <v>637.29998779000005</v>
      </c>
      <c r="N8143" t="s">
        <v>87</v>
      </c>
      <c r="O8143" t="s">
        <v>86</v>
      </c>
      <c r="P8143">
        <v>131</v>
      </c>
      <c r="Q8143">
        <v>6</v>
      </c>
      <c r="R8143">
        <v>3</v>
      </c>
      <c r="S8143">
        <v>1098</v>
      </c>
      <c r="T8143">
        <v>-40</v>
      </c>
      <c r="U8143">
        <v>42</v>
      </c>
      <c r="V8143">
        <v>-48</v>
      </c>
      <c r="W8143">
        <v>27</v>
      </c>
      <c r="X8143">
        <v>27</v>
      </c>
      <c r="Y8143">
        <v>1</v>
      </c>
      <c r="Z8143">
        <v>8</v>
      </c>
      <c r="AA8143">
        <v>24</v>
      </c>
      <c r="AB8143">
        <v>1</v>
      </c>
      <c r="AC8143">
        <v>3</v>
      </c>
      <c r="AD8143">
        <v>3.3220000299999999</v>
      </c>
      <c r="AE8143">
        <v>1</v>
      </c>
      <c r="AF8143">
        <v>17</v>
      </c>
      <c r="AG8143">
        <v>3.3190000099999999</v>
      </c>
      <c r="AH8143">
        <v>2</v>
      </c>
      <c r="AI8143">
        <v>6</v>
      </c>
      <c r="AJ8143">
        <v>1</v>
      </c>
      <c r="AK8143">
        <v>22</v>
      </c>
      <c r="AL8143">
        <v>37</v>
      </c>
      <c r="AM8143" t="s">
        <v>43</v>
      </c>
      <c r="AN8143" t="str">
        <f>HYPERLINK("https://www.google.com/maps?q=10.79104519,79.57421875","Open Location")</f>
        <v>Open Location</v>
      </c>
    </row>
    <row r="8144" spans="1:40" x14ac:dyDescent="0.3">
      <c r="A8144" s="1">
        <v>46210.056712962964</v>
      </c>
      <c r="B8144" t="s">
        <v>40</v>
      </c>
      <c r="C8144" t="s">
        <v>41</v>
      </c>
      <c r="D8144" s="1">
        <v>46210.05945601852</v>
      </c>
      <c r="E8144" t="s">
        <v>42</v>
      </c>
      <c r="F8144" t="s">
        <v>83</v>
      </c>
      <c r="G8144">
        <v>44</v>
      </c>
      <c r="H8144">
        <v>33044</v>
      </c>
      <c r="I8144" t="s">
        <v>43</v>
      </c>
      <c r="J8144">
        <v>75</v>
      </c>
      <c r="K8144">
        <v>86</v>
      </c>
      <c r="L8144">
        <v>98</v>
      </c>
      <c r="M8144">
        <v>631.40002441000001</v>
      </c>
      <c r="N8144" t="s">
        <v>87</v>
      </c>
      <c r="O8144" t="s">
        <v>86</v>
      </c>
      <c r="P8144">
        <v>131</v>
      </c>
      <c r="Q8144">
        <v>6</v>
      </c>
      <c r="R8144">
        <v>62</v>
      </c>
      <c r="S8144">
        <v>1238</v>
      </c>
      <c r="T8144">
        <v>-40</v>
      </c>
      <c r="U8144">
        <v>44</v>
      </c>
      <c r="V8144">
        <v>405</v>
      </c>
      <c r="W8144" t="s">
        <v>43</v>
      </c>
      <c r="X8144" t="s">
        <v>43</v>
      </c>
      <c r="Y8144" t="s">
        <v>43</v>
      </c>
      <c r="Z8144" t="s">
        <v>43</v>
      </c>
      <c r="AA8144" t="s">
        <v>43</v>
      </c>
      <c r="AB8144" t="s">
        <v>43</v>
      </c>
      <c r="AC8144" t="s">
        <v>43</v>
      </c>
      <c r="AD8144" t="s">
        <v>43</v>
      </c>
      <c r="AE8144" t="s">
        <v>43</v>
      </c>
      <c r="AF8144" t="s">
        <v>43</v>
      </c>
      <c r="AG8144" t="s">
        <v>43</v>
      </c>
      <c r="AH8144" t="s">
        <v>43</v>
      </c>
      <c r="AI8144" t="s">
        <v>43</v>
      </c>
      <c r="AJ8144" t="s">
        <v>43</v>
      </c>
      <c r="AK8144" t="s">
        <v>43</v>
      </c>
      <c r="AL8144">
        <v>37</v>
      </c>
      <c r="AM8144" t="s">
        <v>43</v>
      </c>
      <c r="AN8144" t="s">
        <v>43</v>
      </c>
    </row>
    <row r="8145" spans="1:40" x14ac:dyDescent="0.3">
      <c r="A8145" s="1">
        <v>46210.056597222225</v>
      </c>
      <c r="B8145" t="s">
        <v>40</v>
      </c>
      <c r="C8145" t="s">
        <v>41</v>
      </c>
      <c r="D8145" s="1">
        <v>46210.05945601852</v>
      </c>
      <c r="E8145" t="s">
        <v>42</v>
      </c>
      <c r="F8145" t="s">
        <v>83</v>
      </c>
      <c r="G8145">
        <v>38</v>
      </c>
      <c r="H8145">
        <v>33043</v>
      </c>
      <c r="I8145" t="s">
        <v>4426</v>
      </c>
      <c r="J8145">
        <v>75</v>
      </c>
      <c r="K8145">
        <v>82</v>
      </c>
      <c r="L8145">
        <v>98</v>
      </c>
      <c r="M8145">
        <v>632.59997558999999</v>
      </c>
      <c r="N8145" t="s">
        <v>87</v>
      </c>
      <c r="O8145" t="s">
        <v>86</v>
      </c>
      <c r="P8145">
        <v>131</v>
      </c>
      <c r="Q8145">
        <v>6</v>
      </c>
      <c r="R8145">
        <v>33</v>
      </c>
      <c r="S8145">
        <v>1053</v>
      </c>
      <c r="T8145">
        <v>-40</v>
      </c>
      <c r="U8145">
        <v>43</v>
      </c>
      <c r="V8145">
        <v>456</v>
      </c>
      <c r="W8145">
        <v>27</v>
      </c>
      <c r="X8145">
        <v>27</v>
      </c>
      <c r="Y8145">
        <v>1</v>
      </c>
      <c r="Z8145">
        <v>8</v>
      </c>
      <c r="AA8145">
        <v>24</v>
      </c>
      <c r="AB8145">
        <v>1</v>
      </c>
      <c r="AC8145">
        <v>3</v>
      </c>
      <c r="AD8145">
        <v>3.31599998</v>
      </c>
      <c r="AE8145">
        <v>1</v>
      </c>
      <c r="AF8145">
        <v>29</v>
      </c>
      <c r="AG8145">
        <v>3.31200004</v>
      </c>
      <c r="AH8145">
        <v>2</v>
      </c>
      <c r="AI8145">
        <v>3</v>
      </c>
      <c r="AJ8145">
        <v>1</v>
      </c>
      <c r="AK8145">
        <v>27</v>
      </c>
      <c r="AL8145">
        <v>37</v>
      </c>
      <c r="AM8145" t="s">
        <v>43</v>
      </c>
      <c r="AN8145" t="str">
        <f>HYPERLINK("https://www.google.com/maps?q=10.7914772,79.57288361","Open Location")</f>
        <v>Open Location</v>
      </c>
    </row>
    <row r="8146" spans="1:40" x14ac:dyDescent="0.3">
      <c r="A8146" s="1">
        <v>46210.056481481479</v>
      </c>
      <c r="B8146" t="s">
        <v>40</v>
      </c>
      <c r="C8146" t="s">
        <v>41</v>
      </c>
      <c r="D8146" s="1">
        <v>46210.059432870374</v>
      </c>
      <c r="E8146" t="s">
        <v>42</v>
      </c>
      <c r="F8146" t="s">
        <v>83</v>
      </c>
      <c r="G8146">
        <v>40</v>
      </c>
      <c r="H8146">
        <v>33043</v>
      </c>
      <c r="I8146" t="s">
        <v>4427</v>
      </c>
      <c r="J8146">
        <v>75</v>
      </c>
      <c r="K8146">
        <v>48</v>
      </c>
      <c r="L8146">
        <v>98</v>
      </c>
      <c r="M8146">
        <v>634</v>
      </c>
      <c r="N8146" t="s">
        <v>87</v>
      </c>
      <c r="O8146" t="s">
        <v>86</v>
      </c>
      <c r="P8146">
        <v>131</v>
      </c>
      <c r="Q8146">
        <v>6</v>
      </c>
      <c r="R8146">
        <v>28</v>
      </c>
      <c r="S8146">
        <v>1126</v>
      </c>
      <c r="T8146">
        <v>-40</v>
      </c>
      <c r="U8146">
        <v>42</v>
      </c>
      <c r="V8146">
        <v>240</v>
      </c>
      <c r="W8146">
        <v>27</v>
      </c>
      <c r="X8146">
        <v>27</v>
      </c>
      <c r="Y8146">
        <v>1</v>
      </c>
      <c r="Z8146">
        <v>8</v>
      </c>
      <c r="AA8146">
        <v>24</v>
      </c>
      <c r="AB8146">
        <v>1</v>
      </c>
      <c r="AC8146">
        <v>3</v>
      </c>
      <c r="AD8146">
        <v>3.30699992</v>
      </c>
      <c r="AE8146">
        <v>5</v>
      </c>
      <c r="AF8146">
        <v>38</v>
      </c>
      <c r="AG8146">
        <v>3.2999999500000001</v>
      </c>
      <c r="AH8146">
        <v>2</v>
      </c>
      <c r="AI8146">
        <v>46</v>
      </c>
      <c r="AJ8146">
        <v>1</v>
      </c>
      <c r="AK8146">
        <v>27</v>
      </c>
      <c r="AL8146">
        <v>37</v>
      </c>
      <c r="AM8146" t="s">
        <v>43</v>
      </c>
      <c r="AN8146" t="str">
        <f>HYPERLINK("https://www.google.com/maps?q=10.79189682,79.57176971","Open Location")</f>
        <v>Open Location</v>
      </c>
    </row>
    <row r="8147" spans="1:40" x14ac:dyDescent="0.3">
      <c r="A8147" s="1">
        <v>46210.05636574074</v>
      </c>
      <c r="B8147" t="s">
        <v>40</v>
      </c>
      <c r="C8147" t="s">
        <v>41</v>
      </c>
      <c r="D8147" s="1">
        <v>46210.059027777781</v>
      </c>
      <c r="E8147" t="s">
        <v>42</v>
      </c>
      <c r="F8147" t="s">
        <v>83</v>
      </c>
      <c r="G8147">
        <v>44</v>
      </c>
      <c r="H8147">
        <v>33043</v>
      </c>
      <c r="I8147" t="s">
        <v>4428</v>
      </c>
      <c r="J8147">
        <v>75</v>
      </c>
      <c r="K8147">
        <v>-51</v>
      </c>
      <c r="L8147">
        <v>98</v>
      </c>
      <c r="M8147">
        <v>637.79998779000005</v>
      </c>
      <c r="N8147" t="s">
        <v>87</v>
      </c>
      <c r="O8147" t="s">
        <v>86</v>
      </c>
      <c r="P8147">
        <v>131</v>
      </c>
      <c r="Q8147">
        <v>6</v>
      </c>
      <c r="R8147">
        <v>-39</v>
      </c>
      <c r="S8147">
        <v>1205</v>
      </c>
      <c r="T8147">
        <v>-40</v>
      </c>
      <c r="U8147">
        <v>42</v>
      </c>
      <c r="V8147">
        <v>-300</v>
      </c>
      <c r="W8147">
        <v>27</v>
      </c>
      <c r="X8147">
        <v>27</v>
      </c>
      <c r="Y8147">
        <v>1</v>
      </c>
      <c r="Z8147">
        <v>8</v>
      </c>
      <c r="AA8147">
        <v>24</v>
      </c>
      <c r="AB8147">
        <v>1</v>
      </c>
      <c r="AC8147">
        <v>3</v>
      </c>
      <c r="AD8147">
        <v>3.3229999499999998</v>
      </c>
      <c r="AE8147">
        <v>1</v>
      </c>
      <c r="AF8147">
        <v>17</v>
      </c>
      <c r="AG8147">
        <v>3.3199999299999998</v>
      </c>
      <c r="AH8147">
        <v>1</v>
      </c>
      <c r="AI8147">
        <v>4</v>
      </c>
      <c r="AJ8147">
        <v>1</v>
      </c>
      <c r="AK8147">
        <v>24</v>
      </c>
      <c r="AL8147">
        <v>37</v>
      </c>
      <c r="AM8147" t="s">
        <v>43</v>
      </c>
      <c r="AN8147" t="str">
        <f>HYPERLINK("https://www.google.com/maps?q=10.79235363,79.57054901","Open Location")</f>
        <v>Open Location</v>
      </c>
    </row>
    <row r="8148" spans="1:40" x14ac:dyDescent="0.3">
      <c r="A8148" s="1">
        <v>46210.056250000001</v>
      </c>
      <c r="B8148" t="s">
        <v>40</v>
      </c>
      <c r="C8148" t="s">
        <v>41</v>
      </c>
      <c r="D8148" s="1">
        <v>46210.059027777781</v>
      </c>
      <c r="E8148" t="s">
        <v>42</v>
      </c>
      <c r="F8148" t="s">
        <v>83</v>
      </c>
      <c r="G8148">
        <v>50</v>
      </c>
      <c r="H8148">
        <v>33043</v>
      </c>
      <c r="I8148" t="s">
        <v>4429</v>
      </c>
      <c r="J8148">
        <v>75</v>
      </c>
      <c r="K8148">
        <v>55</v>
      </c>
      <c r="L8148">
        <v>98</v>
      </c>
      <c r="M8148">
        <v>632.40002441000001</v>
      </c>
      <c r="N8148" t="s">
        <v>87</v>
      </c>
      <c r="O8148" t="s">
        <v>86</v>
      </c>
      <c r="P8148">
        <v>131</v>
      </c>
      <c r="Q8148">
        <v>6</v>
      </c>
      <c r="R8148">
        <v>36</v>
      </c>
      <c r="S8148">
        <v>1379</v>
      </c>
      <c r="T8148">
        <v>-40</v>
      </c>
      <c r="U8148">
        <v>42</v>
      </c>
      <c r="V8148">
        <v>285</v>
      </c>
      <c r="W8148">
        <v>27</v>
      </c>
      <c r="X8148">
        <v>27</v>
      </c>
      <c r="Y8148">
        <v>1</v>
      </c>
      <c r="Z8148">
        <v>8</v>
      </c>
      <c r="AA8148">
        <v>24</v>
      </c>
      <c r="AB8148">
        <v>1</v>
      </c>
      <c r="AC8148">
        <v>3</v>
      </c>
      <c r="AD8148">
        <v>3.3039999</v>
      </c>
      <c r="AE8148">
        <v>5</v>
      </c>
      <c r="AF8148">
        <v>38</v>
      </c>
      <c r="AG8148">
        <v>3.2969999300000001</v>
      </c>
      <c r="AH8148">
        <v>4</v>
      </c>
      <c r="AI8148">
        <v>17</v>
      </c>
      <c r="AJ8148">
        <v>1</v>
      </c>
      <c r="AK8148">
        <v>27</v>
      </c>
      <c r="AL8148">
        <v>37</v>
      </c>
      <c r="AM8148" t="s">
        <v>43</v>
      </c>
      <c r="AN8148" t="str">
        <f>HYPERLINK("https://www.google.com/maps?q=10.79293346,79.5691452","Open Location")</f>
        <v>Open Location</v>
      </c>
    </row>
    <row r="8149" spans="1:40" x14ac:dyDescent="0.3">
      <c r="A8149" s="1">
        <v>46210.056134259263</v>
      </c>
      <c r="B8149" t="s">
        <v>40</v>
      </c>
      <c r="C8149" t="s">
        <v>41</v>
      </c>
      <c r="D8149" s="1">
        <v>46210.058981481481</v>
      </c>
      <c r="E8149" t="s">
        <v>42</v>
      </c>
      <c r="F8149" t="s">
        <v>83</v>
      </c>
      <c r="G8149">
        <v>51</v>
      </c>
      <c r="H8149">
        <v>33043</v>
      </c>
      <c r="I8149" t="s">
        <v>4430</v>
      </c>
      <c r="J8149">
        <v>75</v>
      </c>
      <c r="K8149">
        <v>78</v>
      </c>
      <c r="L8149">
        <v>98</v>
      </c>
      <c r="M8149">
        <v>631.5</v>
      </c>
      <c r="N8149" t="s">
        <v>87</v>
      </c>
      <c r="O8149" t="s">
        <v>86</v>
      </c>
      <c r="P8149">
        <v>131</v>
      </c>
      <c r="Q8149">
        <v>6</v>
      </c>
      <c r="R8149">
        <v>39</v>
      </c>
      <c r="S8149">
        <v>1415</v>
      </c>
      <c r="T8149">
        <v>-40</v>
      </c>
      <c r="U8149">
        <v>42</v>
      </c>
      <c r="V8149">
        <v>326</v>
      </c>
      <c r="W8149">
        <v>27</v>
      </c>
      <c r="X8149">
        <v>27</v>
      </c>
      <c r="Y8149">
        <v>1</v>
      </c>
      <c r="Z8149">
        <v>8</v>
      </c>
      <c r="AA8149">
        <v>24</v>
      </c>
      <c r="AB8149">
        <v>1</v>
      </c>
      <c r="AC8149">
        <v>3</v>
      </c>
      <c r="AD8149">
        <v>3.3050000700000002</v>
      </c>
      <c r="AE8149">
        <v>1</v>
      </c>
      <c r="AF8149">
        <v>25</v>
      </c>
      <c r="AG8149">
        <v>3.2990000199999998</v>
      </c>
      <c r="AH8149">
        <v>2</v>
      </c>
      <c r="AI8149">
        <v>46</v>
      </c>
      <c r="AJ8149">
        <v>1</v>
      </c>
      <c r="AK8149">
        <v>27</v>
      </c>
      <c r="AL8149">
        <v>37</v>
      </c>
      <c r="AM8149" t="s">
        <v>43</v>
      </c>
      <c r="AN8149" t="str">
        <f>HYPERLINK("https://www.google.com/maps?q=10.79355335,79.56771088","Open Location")</f>
        <v>Open Location</v>
      </c>
    </row>
    <row r="8150" spans="1:40" x14ac:dyDescent="0.3">
      <c r="A8150" s="1">
        <v>46210.056018518517</v>
      </c>
      <c r="B8150" t="s">
        <v>40</v>
      </c>
      <c r="C8150" t="s">
        <v>41</v>
      </c>
      <c r="D8150" s="1">
        <v>46210.058807870373</v>
      </c>
      <c r="E8150" t="s">
        <v>42</v>
      </c>
      <c r="F8150" t="s">
        <v>83</v>
      </c>
      <c r="G8150">
        <v>52</v>
      </c>
      <c r="H8150" t="s">
        <v>43</v>
      </c>
      <c r="I8150" t="s">
        <v>43</v>
      </c>
      <c r="J8150">
        <v>75</v>
      </c>
      <c r="K8150">
        <v>-16</v>
      </c>
      <c r="L8150">
        <v>98</v>
      </c>
      <c r="M8150">
        <v>637</v>
      </c>
      <c r="N8150" t="s">
        <v>87</v>
      </c>
      <c r="O8150" t="s">
        <v>86</v>
      </c>
      <c r="P8150">
        <v>131</v>
      </c>
      <c r="Q8150">
        <v>6</v>
      </c>
      <c r="R8150">
        <v>11</v>
      </c>
      <c r="S8150">
        <v>1440</v>
      </c>
      <c r="T8150">
        <v>-40</v>
      </c>
      <c r="U8150">
        <v>42</v>
      </c>
      <c r="V8150">
        <v>-52</v>
      </c>
      <c r="W8150" t="s">
        <v>43</v>
      </c>
      <c r="X8150" t="s">
        <v>43</v>
      </c>
      <c r="Y8150" t="s">
        <v>43</v>
      </c>
      <c r="Z8150" t="s">
        <v>43</v>
      </c>
      <c r="AA8150" t="s">
        <v>43</v>
      </c>
      <c r="AB8150" t="s">
        <v>43</v>
      </c>
      <c r="AC8150" t="s">
        <v>43</v>
      </c>
      <c r="AD8150" t="s">
        <v>43</v>
      </c>
      <c r="AE8150" t="s">
        <v>43</v>
      </c>
      <c r="AF8150" t="s">
        <v>43</v>
      </c>
      <c r="AG8150" t="s">
        <v>43</v>
      </c>
      <c r="AH8150" t="s">
        <v>43</v>
      </c>
      <c r="AI8150" t="s">
        <v>43</v>
      </c>
      <c r="AJ8150" t="s">
        <v>43</v>
      </c>
      <c r="AK8150">
        <v>27</v>
      </c>
      <c r="AL8150">
        <v>37</v>
      </c>
      <c r="AM8150" t="s">
        <v>43</v>
      </c>
      <c r="AN8150" t="s">
        <v>43</v>
      </c>
    </row>
    <row r="8151" spans="1:40" x14ac:dyDescent="0.3">
      <c r="A8151" s="1">
        <v>46210.055902777778</v>
      </c>
      <c r="B8151" t="s">
        <v>40</v>
      </c>
      <c r="C8151" t="s">
        <v>41</v>
      </c>
      <c r="D8151" s="1">
        <v>46210.058576388888</v>
      </c>
      <c r="E8151" t="s">
        <v>42</v>
      </c>
      <c r="F8151" t="s">
        <v>83</v>
      </c>
      <c r="G8151">
        <v>50</v>
      </c>
      <c r="H8151">
        <v>33043</v>
      </c>
      <c r="I8151" t="s">
        <v>4431</v>
      </c>
      <c r="J8151">
        <v>75</v>
      </c>
      <c r="K8151">
        <v>25</v>
      </c>
      <c r="L8151">
        <v>98</v>
      </c>
      <c r="M8151">
        <v>633.70001220999995</v>
      </c>
      <c r="N8151" t="s">
        <v>87</v>
      </c>
      <c r="O8151" t="s">
        <v>86</v>
      </c>
      <c r="P8151">
        <v>131</v>
      </c>
      <c r="Q8151">
        <v>6</v>
      </c>
      <c r="R8151">
        <v>14</v>
      </c>
      <c r="S8151">
        <v>1383</v>
      </c>
      <c r="T8151">
        <v>-40</v>
      </c>
      <c r="U8151">
        <v>42</v>
      </c>
      <c r="V8151">
        <v>100</v>
      </c>
      <c r="W8151">
        <v>27</v>
      </c>
      <c r="X8151">
        <v>27</v>
      </c>
      <c r="Y8151">
        <v>1</v>
      </c>
      <c r="Z8151">
        <v>8</v>
      </c>
      <c r="AA8151">
        <v>24</v>
      </c>
      <c r="AB8151">
        <v>1</v>
      </c>
      <c r="AC8151">
        <v>3</v>
      </c>
      <c r="AD8151">
        <v>3.2969999300000001</v>
      </c>
      <c r="AE8151">
        <v>5</v>
      </c>
      <c r="AF8151">
        <v>38</v>
      </c>
      <c r="AG8151">
        <v>3.28800011</v>
      </c>
      <c r="AH8151">
        <v>4</v>
      </c>
      <c r="AI8151">
        <v>17</v>
      </c>
      <c r="AJ8151">
        <v>1</v>
      </c>
      <c r="AK8151">
        <v>27</v>
      </c>
      <c r="AL8151">
        <v>37</v>
      </c>
      <c r="AM8151" t="s">
        <v>43</v>
      </c>
      <c r="AN8151" t="str">
        <f>HYPERLINK("https://www.google.com/maps?q=10.79418373,79.56629181","Open Location")</f>
        <v>Open Location</v>
      </c>
    </row>
    <row r="8152" spans="1:40" x14ac:dyDescent="0.3">
      <c r="A8152" s="1">
        <v>46210.055787037039</v>
      </c>
      <c r="B8152" t="s">
        <v>40</v>
      </c>
      <c r="C8152" t="s">
        <v>41</v>
      </c>
      <c r="D8152" s="1">
        <v>46210.058761574073</v>
      </c>
      <c r="E8152" t="s">
        <v>42</v>
      </c>
      <c r="F8152" t="s">
        <v>83</v>
      </c>
      <c r="G8152">
        <v>49</v>
      </c>
      <c r="H8152">
        <v>33042</v>
      </c>
      <c r="I8152" t="s">
        <v>4432</v>
      </c>
      <c r="J8152">
        <v>76</v>
      </c>
      <c r="K8152">
        <v>46</v>
      </c>
      <c r="L8152">
        <v>98</v>
      </c>
      <c r="M8152">
        <v>632.59997558999999</v>
      </c>
      <c r="N8152" t="s">
        <v>87</v>
      </c>
      <c r="O8152" t="s">
        <v>86</v>
      </c>
      <c r="P8152">
        <v>131</v>
      </c>
      <c r="Q8152">
        <v>6</v>
      </c>
      <c r="R8152">
        <v>18</v>
      </c>
      <c r="S8152">
        <v>1357</v>
      </c>
      <c r="T8152">
        <v>-40</v>
      </c>
      <c r="U8152">
        <v>41</v>
      </c>
      <c r="V8152">
        <v>188</v>
      </c>
      <c r="W8152">
        <v>27</v>
      </c>
      <c r="X8152">
        <v>27</v>
      </c>
      <c r="Y8152">
        <v>1</v>
      </c>
      <c r="Z8152">
        <v>8</v>
      </c>
      <c r="AA8152">
        <v>24</v>
      </c>
      <c r="AB8152">
        <v>1</v>
      </c>
      <c r="AC8152">
        <v>3</v>
      </c>
      <c r="AD8152">
        <v>3.31800008</v>
      </c>
      <c r="AE8152">
        <v>1</v>
      </c>
      <c r="AF8152">
        <v>25</v>
      </c>
      <c r="AG8152">
        <v>3.3110001100000002</v>
      </c>
      <c r="AH8152">
        <v>3</v>
      </c>
      <c r="AI8152">
        <v>1</v>
      </c>
      <c r="AJ8152">
        <v>1</v>
      </c>
      <c r="AK8152">
        <v>27</v>
      </c>
      <c r="AL8152">
        <v>37</v>
      </c>
      <c r="AM8152" t="s">
        <v>43</v>
      </c>
      <c r="AN8152" t="str">
        <f>HYPERLINK("https://www.google.com/maps?q=10.79480457,79.56489563","Open Location")</f>
        <v>Open Location</v>
      </c>
    </row>
    <row r="8153" spans="1:40" x14ac:dyDescent="0.3">
      <c r="A8153" s="1">
        <v>46210.055671296293</v>
      </c>
      <c r="B8153" t="s">
        <v>40</v>
      </c>
      <c r="C8153" t="s">
        <v>41</v>
      </c>
      <c r="D8153" s="1">
        <v>46210.058553240742</v>
      </c>
      <c r="E8153" t="s">
        <v>42</v>
      </c>
      <c r="F8153" t="s">
        <v>83</v>
      </c>
      <c r="G8153">
        <v>54</v>
      </c>
      <c r="H8153">
        <v>33042</v>
      </c>
      <c r="I8153" t="s">
        <v>4433</v>
      </c>
      <c r="J8153">
        <v>76</v>
      </c>
      <c r="K8153">
        <v>-22</v>
      </c>
      <c r="L8153">
        <v>98</v>
      </c>
      <c r="M8153">
        <v>635.20001220999995</v>
      </c>
      <c r="N8153" t="s">
        <v>87</v>
      </c>
      <c r="O8153" t="s">
        <v>86</v>
      </c>
      <c r="P8153">
        <v>131</v>
      </c>
      <c r="Q8153">
        <v>6</v>
      </c>
      <c r="R8153">
        <v>2</v>
      </c>
      <c r="S8153">
        <v>1481</v>
      </c>
      <c r="T8153">
        <v>-40</v>
      </c>
      <c r="U8153">
        <v>42</v>
      </c>
      <c r="V8153">
        <v>-100</v>
      </c>
      <c r="W8153">
        <v>27</v>
      </c>
      <c r="X8153">
        <v>27</v>
      </c>
      <c r="Y8153">
        <v>1</v>
      </c>
      <c r="Z8153">
        <v>8</v>
      </c>
      <c r="AA8153">
        <v>24</v>
      </c>
      <c r="AB8153">
        <v>1</v>
      </c>
      <c r="AC8153">
        <v>3</v>
      </c>
      <c r="AD8153">
        <v>3.3080000900000002</v>
      </c>
      <c r="AE8153">
        <v>1</v>
      </c>
      <c r="AF8153">
        <v>1</v>
      </c>
      <c r="AG8153">
        <v>3.3039999</v>
      </c>
      <c r="AH8153">
        <v>7</v>
      </c>
      <c r="AI8153">
        <v>1</v>
      </c>
      <c r="AJ8153">
        <v>1</v>
      </c>
      <c r="AK8153">
        <v>27</v>
      </c>
      <c r="AL8153">
        <v>37</v>
      </c>
      <c r="AM8153" t="s">
        <v>43</v>
      </c>
      <c r="AN8153" t="str">
        <f>HYPERLINK("https://www.google.com/maps?q=10.79535866,79.56324005","Open Location")</f>
        <v>Open Location</v>
      </c>
    </row>
    <row r="8154" spans="1:40" x14ac:dyDescent="0.3">
      <c r="A8154" s="1">
        <v>46210.055555555555</v>
      </c>
      <c r="B8154" t="s">
        <v>40</v>
      </c>
      <c r="C8154" t="s">
        <v>41</v>
      </c>
      <c r="D8154" s="1">
        <v>46210.058599537035</v>
      </c>
      <c r="E8154" t="s">
        <v>42</v>
      </c>
      <c r="F8154" t="s">
        <v>83</v>
      </c>
      <c r="G8154">
        <v>54</v>
      </c>
      <c r="H8154" t="s">
        <v>43</v>
      </c>
      <c r="I8154" t="s">
        <v>4434</v>
      </c>
      <c r="J8154">
        <v>76</v>
      </c>
      <c r="K8154">
        <v>129</v>
      </c>
      <c r="L8154">
        <v>98</v>
      </c>
      <c r="M8154">
        <v>628.79998779000005</v>
      </c>
      <c r="N8154" t="s">
        <v>87</v>
      </c>
      <c r="O8154" t="s">
        <v>86</v>
      </c>
      <c r="P8154">
        <v>131</v>
      </c>
      <c r="Q8154">
        <v>6</v>
      </c>
      <c r="R8154">
        <v>77</v>
      </c>
      <c r="S8154">
        <v>1516</v>
      </c>
      <c r="T8154">
        <v>-40</v>
      </c>
      <c r="U8154">
        <v>43</v>
      </c>
      <c r="V8154">
        <v>480</v>
      </c>
      <c r="W8154">
        <v>27</v>
      </c>
      <c r="X8154">
        <v>27</v>
      </c>
      <c r="Y8154">
        <v>1</v>
      </c>
      <c r="Z8154">
        <v>8</v>
      </c>
      <c r="AA8154">
        <v>24</v>
      </c>
      <c r="AB8154">
        <v>1</v>
      </c>
      <c r="AC8154">
        <v>3</v>
      </c>
      <c r="AD8154">
        <v>3.30999994</v>
      </c>
      <c r="AE8154">
        <v>3</v>
      </c>
      <c r="AF8154">
        <v>33</v>
      </c>
      <c r="AG8154">
        <v>3.3039999</v>
      </c>
      <c r="AH8154">
        <v>6</v>
      </c>
      <c r="AI8154">
        <v>24</v>
      </c>
      <c r="AJ8154">
        <v>1</v>
      </c>
      <c r="AK8154">
        <v>27</v>
      </c>
      <c r="AL8154">
        <v>37</v>
      </c>
      <c r="AM8154" t="s">
        <v>43</v>
      </c>
      <c r="AN8154" t="str">
        <f>HYPERLINK("https://www.google.com/maps?q=10.79564857,79.5615921","Open Location")</f>
        <v>Open Location</v>
      </c>
    </row>
    <row r="8155" spans="1:40" x14ac:dyDescent="0.3">
      <c r="A8155" s="1">
        <v>46210.055439814816</v>
      </c>
      <c r="B8155" t="s">
        <v>40</v>
      </c>
      <c r="C8155" t="s">
        <v>41</v>
      </c>
      <c r="D8155" s="1">
        <v>46210.058310185188</v>
      </c>
      <c r="E8155" t="s">
        <v>42</v>
      </c>
      <c r="F8155" t="s">
        <v>83</v>
      </c>
      <c r="G8155">
        <v>49</v>
      </c>
      <c r="H8155">
        <v>33042</v>
      </c>
      <c r="I8155" t="s">
        <v>43</v>
      </c>
      <c r="J8155">
        <v>76</v>
      </c>
      <c r="K8155">
        <v>130</v>
      </c>
      <c r="L8155">
        <v>98</v>
      </c>
      <c r="M8155">
        <v>628.09997558999999</v>
      </c>
      <c r="N8155" t="s">
        <v>87</v>
      </c>
      <c r="O8155" t="s">
        <v>86</v>
      </c>
      <c r="P8155">
        <v>131</v>
      </c>
      <c r="Q8155">
        <v>6</v>
      </c>
      <c r="R8155">
        <v>69</v>
      </c>
      <c r="S8155">
        <v>1375</v>
      </c>
      <c r="T8155">
        <v>-40</v>
      </c>
      <c r="U8155">
        <v>44</v>
      </c>
      <c r="V8155">
        <v>632</v>
      </c>
      <c r="W8155">
        <v>26</v>
      </c>
      <c r="X8155">
        <v>26</v>
      </c>
      <c r="Y8155">
        <v>1</v>
      </c>
      <c r="Z8155">
        <v>8</v>
      </c>
      <c r="AA8155">
        <v>24</v>
      </c>
      <c r="AB8155">
        <v>1</v>
      </c>
      <c r="AC8155">
        <v>3</v>
      </c>
      <c r="AD8155">
        <v>3.2939999100000001</v>
      </c>
      <c r="AE8155">
        <v>1</v>
      </c>
      <c r="AF8155">
        <v>33</v>
      </c>
      <c r="AG8155">
        <v>3.2790000400000001</v>
      </c>
      <c r="AH8155">
        <v>4</v>
      </c>
      <c r="AI8155">
        <v>17</v>
      </c>
      <c r="AJ8155">
        <v>1</v>
      </c>
      <c r="AK8155">
        <v>27</v>
      </c>
      <c r="AL8155">
        <v>37</v>
      </c>
      <c r="AM8155" t="s">
        <v>43</v>
      </c>
      <c r="AN8155" t="s">
        <v>43</v>
      </c>
    </row>
    <row r="8156" spans="1:40" x14ac:dyDescent="0.3">
      <c r="A8156" s="1">
        <v>46210.055324074077</v>
      </c>
      <c r="B8156" t="s">
        <v>40</v>
      </c>
      <c r="C8156" t="s">
        <v>41</v>
      </c>
      <c r="D8156" s="1">
        <v>46210.05809027778</v>
      </c>
      <c r="E8156" t="s">
        <v>42</v>
      </c>
      <c r="F8156" t="s">
        <v>83</v>
      </c>
      <c r="G8156">
        <v>41</v>
      </c>
      <c r="H8156">
        <v>33042</v>
      </c>
      <c r="I8156" t="s">
        <v>4435</v>
      </c>
      <c r="J8156">
        <v>76</v>
      </c>
      <c r="K8156">
        <v>172</v>
      </c>
      <c r="L8156">
        <v>98</v>
      </c>
      <c r="M8156">
        <v>627.90002441000001</v>
      </c>
      <c r="N8156" t="s">
        <v>87</v>
      </c>
      <c r="O8156" t="s">
        <v>86</v>
      </c>
      <c r="P8156">
        <v>131</v>
      </c>
      <c r="Q8156">
        <v>6</v>
      </c>
      <c r="R8156">
        <v>77</v>
      </c>
      <c r="S8156">
        <v>1153</v>
      </c>
      <c r="T8156">
        <v>-40</v>
      </c>
      <c r="U8156">
        <v>43</v>
      </c>
      <c r="V8156">
        <v>880</v>
      </c>
      <c r="W8156" t="s">
        <v>43</v>
      </c>
      <c r="X8156" t="s">
        <v>43</v>
      </c>
      <c r="Y8156" t="s">
        <v>43</v>
      </c>
      <c r="Z8156" t="s">
        <v>43</v>
      </c>
      <c r="AA8156" t="s">
        <v>43</v>
      </c>
      <c r="AB8156" t="s">
        <v>43</v>
      </c>
      <c r="AC8156" t="s">
        <v>43</v>
      </c>
      <c r="AD8156" t="s">
        <v>43</v>
      </c>
      <c r="AE8156" t="s">
        <v>43</v>
      </c>
      <c r="AF8156" t="s">
        <v>43</v>
      </c>
      <c r="AG8156" t="s">
        <v>43</v>
      </c>
      <c r="AH8156" t="s">
        <v>43</v>
      </c>
      <c r="AI8156" t="s">
        <v>43</v>
      </c>
      <c r="AJ8156">
        <v>1</v>
      </c>
      <c r="AK8156">
        <v>22</v>
      </c>
      <c r="AL8156">
        <v>37</v>
      </c>
      <c r="AM8156" t="s">
        <v>43</v>
      </c>
      <c r="AN8156" t="str">
        <f>HYPERLINK("https://www.google.com/maps?q=10.79573727,79.56011963","Open Location")</f>
        <v>Open Location</v>
      </c>
    </row>
    <row r="8157" spans="1:40" x14ac:dyDescent="0.3">
      <c r="A8157" s="1">
        <v>46210.055208333331</v>
      </c>
      <c r="B8157" t="s">
        <v>40</v>
      </c>
      <c r="C8157" t="s">
        <v>41</v>
      </c>
      <c r="D8157" s="1">
        <v>46210.057951388888</v>
      </c>
      <c r="E8157" t="s">
        <v>42</v>
      </c>
      <c r="F8157" t="s">
        <v>83</v>
      </c>
      <c r="G8157">
        <v>54</v>
      </c>
      <c r="H8157">
        <v>33042</v>
      </c>
      <c r="I8157" t="s">
        <v>4436</v>
      </c>
      <c r="J8157">
        <v>76</v>
      </c>
      <c r="K8157">
        <v>25</v>
      </c>
      <c r="L8157">
        <v>98</v>
      </c>
      <c r="M8157">
        <v>634.09997558999999</v>
      </c>
      <c r="N8157" t="s">
        <v>87</v>
      </c>
      <c r="O8157" t="s">
        <v>86</v>
      </c>
      <c r="P8157">
        <v>131</v>
      </c>
      <c r="Q8157">
        <v>6</v>
      </c>
      <c r="R8157">
        <v>31</v>
      </c>
      <c r="S8157">
        <v>1501</v>
      </c>
      <c r="T8157">
        <v>-40</v>
      </c>
      <c r="U8157">
        <v>43</v>
      </c>
      <c r="V8157">
        <v>100</v>
      </c>
      <c r="W8157">
        <v>26</v>
      </c>
      <c r="X8157">
        <v>26</v>
      </c>
      <c r="Y8157">
        <v>1</v>
      </c>
      <c r="Z8157">
        <v>8</v>
      </c>
      <c r="AA8157">
        <v>24</v>
      </c>
      <c r="AB8157">
        <v>1</v>
      </c>
      <c r="AC8157">
        <v>3</v>
      </c>
      <c r="AD8157">
        <v>3.28500009</v>
      </c>
      <c r="AE8157">
        <v>5</v>
      </c>
      <c r="AF8157">
        <v>38</v>
      </c>
      <c r="AG8157">
        <v>3.27099991</v>
      </c>
      <c r="AH8157">
        <v>8</v>
      </c>
      <c r="AI8157">
        <v>35</v>
      </c>
      <c r="AJ8157">
        <v>1</v>
      </c>
      <c r="AK8157">
        <v>27</v>
      </c>
      <c r="AL8157">
        <v>37</v>
      </c>
      <c r="AM8157" t="s">
        <v>43</v>
      </c>
      <c r="AN8157" t="str">
        <f>HYPERLINK("https://www.google.com/maps?q=10.79581165,79.55867004","Open Location")</f>
        <v>Open Location</v>
      </c>
    </row>
    <row r="8158" spans="1:40" x14ac:dyDescent="0.3">
      <c r="A8158" s="1">
        <v>46210.055092592593</v>
      </c>
      <c r="B8158" t="s">
        <v>40</v>
      </c>
      <c r="C8158" t="s">
        <v>41</v>
      </c>
      <c r="D8158" s="1">
        <v>46210.057824074072</v>
      </c>
      <c r="E8158" t="s">
        <v>42</v>
      </c>
      <c r="F8158" t="s">
        <v>83</v>
      </c>
      <c r="G8158">
        <v>53</v>
      </c>
      <c r="H8158">
        <v>33042</v>
      </c>
      <c r="I8158" t="s">
        <v>4437</v>
      </c>
      <c r="J8158">
        <v>76</v>
      </c>
      <c r="K8158">
        <v>16</v>
      </c>
      <c r="L8158">
        <v>98</v>
      </c>
      <c r="M8158">
        <v>634.40002441000001</v>
      </c>
      <c r="N8158" t="s">
        <v>87</v>
      </c>
      <c r="O8158" t="s">
        <v>86</v>
      </c>
      <c r="P8158">
        <v>131</v>
      </c>
      <c r="Q8158">
        <v>6</v>
      </c>
      <c r="R8158">
        <v>9</v>
      </c>
      <c r="S8158">
        <v>1476</v>
      </c>
      <c r="T8158">
        <v>-40</v>
      </c>
      <c r="U8158">
        <v>41</v>
      </c>
      <c r="V8158">
        <v>60</v>
      </c>
      <c r="W8158">
        <v>26</v>
      </c>
      <c r="X8158">
        <v>26</v>
      </c>
      <c r="Y8158">
        <v>1</v>
      </c>
      <c r="Z8158">
        <v>8</v>
      </c>
      <c r="AA8158">
        <v>24</v>
      </c>
      <c r="AB8158">
        <v>1</v>
      </c>
      <c r="AC8158">
        <v>3</v>
      </c>
      <c r="AD8158">
        <v>3.2999999500000001</v>
      </c>
      <c r="AE8158">
        <v>5</v>
      </c>
      <c r="AF8158">
        <v>38</v>
      </c>
      <c r="AG8158">
        <v>3.2909998900000001</v>
      </c>
      <c r="AH8158">
        <v>7</v>
      </c>
      <c r="AI8158">
        <v>19</v>
      </c>
      <c r="AJ8158">
        <v>1</v>
      </c>
      <c r="AK8158">
        <v>26</v>
      </c>
      <c r="AL8158">
        <v>37</v>
      </c>
      <c r="AM8158" t="s">
        <v>43</v>
      </c>
      <c r="AN8158" t="str">
        <f>HYPERLINK("https://www.google.com/maps?q=10.79606724,79.55705261","Open Location")</f>
        <v>Open Location</v>
      </c>
    </row>
    <row r="8159" spans="1:40" x14ac:dyDescent="0.3">
      <c r="A8159" s="1">
        <v>46210.054976851854</v>
      </c>
      <c r="B8159" t="s">
        <v>40</v>
      </c>
      <c r="C8159" t="s">
        <v>41</v>
      </c>
      <c r="D8159" s="1">
        <v>46210.057615740741</v>
      </c>
      <c r="E8159" t="s">
        <v>42</v>
      </c>
      <c r="F8159" t="s">
        <v>83</v>
      </c>
      <c r="G8159">
        <v>54</v>
      </c>
      <c r="H8159">
        <v>33041</v>
      </c>
      <c r="I8159" t="s">
        <v>4438</v>
      </c>
      <c r="J8159">
        <v>76</v>
      </c>
      <c r="K8159">
        <v>69</v>
      </c>
      <c r="L8159">
        <v>98</v>
      </c>
      <c r="M8159">
        <v>631.59997558999999</v>
      </c>
      <c r="N8159" t="s">
        <v>87</v>
      </c>
      <c r="O8159" t="s">
        <v>86</v>
      </c>
      <c r="P8159">
        <v>131</v>
      </c>
      <c r="Q8159">
        <v>6</v>
      </c>
      <c r="R8159">
        <v>40</v>
      </c>
      <c r="S8159">
        <v>1499</v>
      </c>
      <c r="T8159">
        <v>-40</v>
      </c>
      <c r="U8159">
        <v>41</v>
      </c>
      <c r="V8159">
        <v>260</v>
      </c>
      <c r="W8159">
        <v>27</v>
      </c>
      <c r="X8159">
        <v>27</v>
      </c>
      <c r="Y8159">
        <v>1</v>
      </c>
      <c r="Z8159">
        <v>8</v>
      </c>
      <c r="AA8159">
        <v>24</v>
      </c>
      <c r="AB8159">
        <v>1</v>
      </c>
      <c r="AC8159">
        <v>3</v>
      </c>
      <c r="AD8159">
        <v>3.2990000199999998</v>
      </c>
      <c r="AE8159">
        <v>5</v>
      </c>
      <c r="AF8159">
        <v>38</v>
      </c>
      <c r="AG8159">
        <v>3.2909998900000001</v>
      </c>
      <c r="AH8159">
        <v>4</v>
      </c>
      <c r="AI8159">
        <v>17</v>
      </c>
      <c r="AJ8159">
        <v>1</v>
      </c>
      <c r="AK8159">
        <v>27</v>
      </c>
      <c r="AL8159">
        <v>37</v>
      </c>
      <c r="AM8159" t="s">
        <v>43</v>
      </c>
      <c r="AN8159" t="str">
        <f>HYPERLINK("https://www.google.com/maps?q=10.79664135,79.55550385","Open Location")</f>
        <v>Open Location</v>
      </c>
    </row>
    <row r="8160" spans="1:40" x14ac:dyDescent="0.3">
      <c r="A8160" s="1">
        <v>46210.054861111108</v>
      </c>
      <c r="B8160" t="s">
        <v>40</v>
      </c>
      <c r="C8160" t="s">
        <v>41</v>
      </c>
      <c r="D8160" s="1">
        <v>46210.057581018518</v>
      </c>
      <c r="E8160" t="s">
        <v>42</v>
      </c>
      <c r="F8160" t="s">
        <v>83</v>
      </c>
      <c r="G8160">
        <v>54</v>
      </c>
      <c r="H8160" t="s">
        <v>43</v>
      </c>
      <c r="I8160" t="s">
        <v>4439</v>
      </c>
      <c r="J8160">
        <v>76</v>
      </c>
      <c r="K8160">
        <v>46</v>
      </c>
      <c r="L8160">
        <v>98</v>
      </c>
      <c r="M8160">
        <v>632.70001220999995</v>
      </c>
      <c r="N8160" t="s">
        <v>87</v>
      </c>
      <c r="O8160" t="s">
        <v>86</v>
      </c>
      <c r="P8160">
        <v>131</v>
      </c>
      <c r="Q8160">
        <v>6</v>
      </c>
      <c r="R8160">
        <v>28</v>
      </c>
      <c r="S8160">
        <v>1499</v>
      </c>
      <c r="T8160">
        <v>-40</v>
      </c>
      <c r="U8160">
        <v>41</v>
      </c>
      <c r="V8160">
        <v>180</v>
      </c>
      <c r="W8160">
        <v>27</v>
      </c>
      <c r="X8160">
        <v>27</v>
      </c>
      <c r="Y8160">
        <v>1</v>
      </c>
      <c r="Z8160">
        <v>8</v>
      </c>
      <c r="AA8160">
        <v>24</v>
      </c>
      <c r="AB8160">
        <v>1</v>
      </c>
      <c r="AC8160">
        <v>3</v>
      </c>
      <c r="AD8160">
        <v>3.3010001199999999</v>
      </c>
      <c r="AE8160">
        <v>5</v>
      </c>
      <c r="AF8160">
        <v>38</v>
      </c>
      <c r="AG8160">
        <v>3.2939999100000001</v>
      </c>
      <c r="AH8160">
        <v>2</v>
      </c>
      <c r="AI8160">
        <v>46</v>
      </c>
      <c r="AJ8160">
        <v>1</v>
      </c>
      <c r="AK8160">
        <v>27</v>
      </c>
      <c r="AL8160">
        <v>37</v>
      </c>
      <c r="AM8160" t="s">
        <v>43</v>
      </c>
      <c r="AN8160" t="str">
        <f>HYPERLINK("https://www.google.com/maps?q=10.79729271,79.55397797","Open Location")</f>
        <v>Open Location</v>
      </c>
    </row>
    <row r="8161" spans="1:40" x14ac:dyDescent="0.3">
      <c r="A8161" s="1">
        <v>46210.054745370369</v>
      </c>
      <c r="B8161" t="s">
        <v>40</v>
      </c>
      <c r="C8161" t="s">
        <v>41</v>
      </c>
      <c r="D8161" s="1">
        <v>46210.05741898148</v>
      </c>
      <c r="E8161" t="s">
        <v>42</v>
      </c>
      <c r="F8161" t="s">
        <v>83</v>
      </c>
      <c r="G8161">
        <v>55</v>
      </c>
      <c r="H8161">
        <v>33041</v>
      </c>
      <c r="I8161" t="s">
        <v>43</v>
      </c>
      <c r="J8161">
        <v>76</v>
      </c>
      <c r="K8161">
        <v>47</v>
      </c>
      <c r="L8161">
        <v>98</v>
      </c>
      <c r="M8161">
        <v>632.5</v>
      </c>
      <c r="N8161" t="s">
        <v>87</v>
      </c>
      <c r="O8161" t="s">
        <v>86</v>
      </c>
      <c r="P8161">
        <v>131</v>
      </c>
      <c r="Q8161">
        <v>6</v>
      </c>
      <c r="R8161">
        <v>28</v>
      </c>
      <c r="S8161">
        <v>1540</v>
      </c>
      <c r="T8161">
        <v>-40</v>
      </c>
      <c r="U8161">
        <v>42</v>
      </c>
      <c r="V8161">
        <v>180</v>
      </c>
      <c r="W8161">
        <v>27</v>
      </c>
      <c r="X8161">
        <v>27</v>
      </c>
      <c r="Y8161">
        <v>1</v>
      </c>
      <c r="Z8161">
        <v>8</v>
      </c>
      <c r="AA8161">
        <v>24</v>
      </c>
      <c r="AB8161">
        <v>1</v>
      </c>
      <c r="AC8161">
        <v>3</v>
      </c>
      <c r="AD8161">
        <v>3.3020000500000002</v>
      </c>
      <c r="AE8161">
        <v>5</v>
      </c>
      <c r="AF8161">
        <v>38</v>
      </c>
      <c r="AG8161">
        <v>3.2950000799999999</v>
      </c>
      <c r="AH8161">
        <v>7</v>
      </c>
      <c r="AI8161">
        <v>19</v>
      </c>
      <c r="AJ8161">
        <v>1</v>
      </c>
      <c r="AK8161">
        <v>27</v>
      </c>
      <c r="AL8161">
        <v>37</v>
      </c>
      <c r="AM8161" t="s">
        <v>43</v>
      </c>
      <c r="AN8161" t="s">
        <v>43</v>
      </c>
    </row>
    <row r="8162" spans="1:40" x14ac:dyDescent="0.3">
      <c r="A8162" s="1">
        <v>46210.054629629631</v>
      </c>
      <c r="B8162" t="s">
        <v>40</v>
      </c>
      <c r="C8162" t="s">
        <v>41</v>
      </c>
      <c r="D8162" s="1">
        <v>46210.057442129626</v>
      </c>
      <c r="E8162" t="s">
        <v>42</v>
      </c>
      <c r="F8162" t="s">
        <v>83</v>
      </c>
      <c r="G8162">
        <v>56</v>
      </c>
      <c r="H8162" t="s">
        <v>43</v>
      </c>
      <c r="I8162" t="s">
        <v>4440</v>
      </c>
      <c r="J8162">
        <v>76</v>
      </c>
      <c r="K8162">
        <v>104</v>
      </c>
      <c r="L8162">
        <v>98</v>
      </c>
      <c r="M8162">
        <v>630.40002441000001</v>
      </c>
      <c r="N8162" t="s">
        <v>87</v>
      </c>
      <c r="O8162" t="s">
        <v>86</v>
      </c>
      <c r="P8162">
        <v>131</v>
      </c>
      <c r="Q8162">
        <v>6</v>
      </c>
      <c r="R8162">
        <v>65</v>
      </c>
      <c r="S8162">
        <v>1556</v>
      </c>
      <c r="T8162">
        <v>-40</v>
      </c>
      <c r="U8162">
        <v>43</v>
      </c>
      <c r="V8162">
        <v>395</v>
      </c>
      <c r="W8162" t="s">
        <v>43</v>
      </c>
      <c r="X8162" t="s">
        <v>43</v>
      </c>
      <c r="Y8162" t="s">
        <v>43</v>
      </c>
      <c r="Z8162" t="s">
        <v>43</v>
      </c>
      <c r="AA8162" t="s">
        <v>43</v>
      </c>
      <c r="AB8162" t="s">
        <v>43</v>
      </c>
      <c r="AC8162" t="s">
        <v>43</v>
      </c>
      <c r="AD8162" t="s">
        <v>43</v>
      </c>
      <c r="AE8162" t="s">
        <v>43</v>
      </c>
      <c r="AF8162" t="s">
        <v>43</v>
      </c>
      <c r="AG8162" t="s">
        <v>43</v>
      </c>
      <c r="AH8162" t="s">
        <v>43</v>
      </c>
      <c r="AI8162" t="s">
        <v>43</v>
      </c>
      <c r="AJ8162">
        <v>1</v>
      </c>
      <c r="AK8162">
        <v>27</v>
      </c>
      <c r="AL8162">
        <v>37</v>
      </c>
      <c r="AM8162" t="s">
        <v>43</v>
      </c>
      <c r="AN8162" t="str">
        <f>HYPERLINK("https://www.google.com/maps?q=10.79742718,79.55213165","Open Location")</f>
        <v>Open Location</v>
      </c>
    </row>
    <row r="8163" spans="1:40" x14ac:dyDescent="0.3">
      <c r="A8163" s="1">
        <v>46210.054513888892</v>
      </c>
      <c r="B8163" t="s">
        <v>40</v>
      </c>
      <c r="C8163" t="s">
        <v>41</v>
      </c>
      <c r="D8163" s="1">
        <v>46210.05741898148</v>
      </c>
      <c r="E8163" t="s">
        <v>42</v>
      </c>
      <c r="F8163" t="s">
        <v>83</v>
      </c>
      <c r="G8163">
        <v>56</v>
      </c>
      <c r="H8163">
        <v>33041</v>
      </c>
      <c r="I8163" t="s">
        <v>4441</v>
      </c>
      <c r="J8163">
        <v>76</v>
      </c>
      <c r="K8163">
        <v>78</v>
      </c>
      <c r="L8163">
        <v>98</v>
      </c>
      <c r="M8163">
        <v>631.09997558999999</v>
      </c>
      <c r="N8163" t="s">
        <v>87</v>
      </c>
      <c r="O8163" t="s">
        <v>86</v>
      </c>
      <c r="P8163">
        <v>131</v>
      </c>
      <c r="Q8163">
        <v>6</v>
      </c>
      <c r="R8163">
        <v>47</v>
      </c>
      <c r="S8163">
        <v>1539</v>
      </c>
      <c r="T8163">
        <v>-40</v>
      </c>
      <c r="U8163">
        <v>42</v>
      </c>
      <c r="V8163">
        <v>260</v>
      </c>
      <c r="W8163">
        <v>27</v>
      </c>
      <c r="X8163">
        <v>27</v>
      </c>
      <c r="Y8163">
        <v>1</v>
      </c>
      <c r="Z8163">
        <v>8</v>
      </c>
      <c r="AA8163">
        <v>24</v>
      </c>
      <c r="AB8163">
        <v>1</v>
      </c>
      <c r="AC8163">
        <v>3</v>
      </c>
      <c r="AD8163">
        <v>3.2929999799999998</v>
      </c>
      <c r="AE8163">
        <v>5</v>
      </c>
      <c r="AF8163">
        <v>3</v>
      </c>
      <c r="AG8163">
        <v>3.28299999</v>
      </c>
      <c r="AH8163">
        <v>8</v>
      </c>
      <c r="AI8163">
        <v>35</v>
      </c>
      <c r="AJ8163">
        <v>1</v>
      </c>
      <c r="AK8163">
        <v>27</v>
      </c>
      <c r="AL8163">
        <v>37</v>
      </c>
      <c r="AM8163" t="s">
        <v>43</v>
      </c>
      <c r="AN8163" t="str">
        <f>HYPERLINK("https://www.google.com/maps?q=10.79767609,79.55043793","Open Location")</f>
        <v>Open Location</v>
      </c>
    </row>
    <row r="8164" spans="1:40" x14ac:dyDescent="0.3">
      <c r="A8164" s="1">
        <v>46210.054398148146</v>
      </c>
      <c r="B8164" t="s">
        <v>40</v>
      </c>
      <c r="C8164" t="s">
        <v>41</v>
      </c>
      <c r="D8164" s="1">
        <v>46210.05736111111</v>
      </c>
      <c r="E8164" t="s">
        <v>42</v>
      </c>
      <c r="F8164" t="s">
        <v>83</v>
      </c>
      <c r="G8164">
        <v>54</v>
      </c>
      <c r="H8164">
        <v>33041</v>
      </c>
      <c r="I8164" t="s">
        <v>4442</v>
      </c>
      <c r="J8164">
        <v>76</v>
      </c>
      <c r="K8164">
        <v>52</v>
      </c>
      <c r="L8164">
        <v>98</v>
      </c>
      <c r="M8164">
        <v>632.20001220999995</v>
      </c>
      <c r="N8164" t="s">
        <v>87</v>
      </c>
      <c r="O8164" t="s">
        <v>86</v>
      </c>
      <c r="P8164">
        <v>131</v>
      </c>
      <c r="Q8164">
        <v>6</v>
      </c>
      <c r="R8164">
        <v>31</v>
      </c>
      <c r="S8164">
        <v>1507</v>
      </c>
      <c r="T8164">
        <v>-40</v>
      </c>
      <c r="U8164">
        <v>41</v>
      </c>
      <c r="V8164">
        <v>200</v>
      </c>
      <c r="W8164">
        <v>27</v>
      </c>
      <c r="X8164">
        <v>27</v>
      </c>
      <c r="Y8164">
        <v>1</v>
      </c>
      <c r="Z8164">
        <v>8</v>
      </c>
      <c r="AA8164">
        <v>24</v>
      </c>
      <c r="AB8164">
        <v>1</v>
      </c>
      <c r="AC8164">
        <v>3</v>
      </c>
      <c r="AD8164">
        <v>3.2999999500000001</v>
      </c>
      <c r="AE8164">
        <v>5</v>
      </c>
      <c r="AF8164">
        <v>38</v>
      </c>
      <c r="AG8164">
        <v>3.2909998900000001</v>
      </c>
      <c r="AH8164">
        <v>8</v>
      </c>
      <c r="AI8164">
        <v>35</v>
      </c>
      <c r="AJ8164">
        <v>1</v>
      </c>
      <c r="AK8164">
        <v>27</v>
      </c>
      <c r="AL8164">
        <v>37</v>
      </c>
      <c r="AM8164" t="s">
        <v>43</v>
      </c>
      <c r="AN8164" t="str">
        <f>HYPERLINK("https://www.google.com/maps?q=10.79814816,79.54883575","Open Location")</f>
        <v>Open Location</v>
      </c>
    </row>
    <row r="8165" spans="1:40" x14ac:dyDescent="0.3">
      <c r="A8165" s="1">
        <v>46210.054282407407</v>
      </c>
      <c r="B8165" t="s">
        <v>40</v>
      </c>
      <c r="C8165" t="s">
        <v>41</v>
      </c>
      <c r="D8165" s="1">
        <v>46210.057291666664</v>
      </c>
      <c r="E8165" t="s">
        <v>42</v>
      </c>
      <c r="F8165" t="s">
        <v>83</v>
      </c>
      <c r="G8165">
        <v>55</v>
      </c>
      <c r="H8165">
        <v>33041</v>
      </c>
      <c r="I8165" t="s">
        <v>4443</v>
      </c>
      <c r="J8165">
        <v>76</v>
      </c>
      <c r="K8165">
        <v>33</v>
      </c>
      <c r="L8165">
        <v>98</v>
      </c>
      <c r="M8165">
        <v>632.90002441000001</v>
      </c>
      <c r="N8165" t="s">
        <v>87</v>
      </c>
      <c r="O8165" t="s">
        <v>86</v>
      </c>
      <c r="P8165">
        <v>131</v>
      </c>
      <c r="Q8165">
        <v>6</v>
      </c>
      <c r="R8165">
        <v>25</v>
      </c>
      <c r="S8165">
        <v>1535</v>
      </c>
      <c r="T8165">
        <v>-40</v>
      </c>
      <c r="U8165">
        <v>42</v>
      </c>
      <c r="V8165">
        <v>160</v>
      </c>
      <c r="W8165">
        <v>27</v>
      </c>
      <c r="X8165">
        <v>27</v>
      </c>
      <c r="Y8165">
        <v>1</v>
      </c>
      <c r="Z8165">
        <v>8</v>
      </c>
      <c r="AA8165">
        <v>24</v>
      </c>
      <c r="AB8165">
        <v>1</v>
      </c>
      <c r="AC8165">
        <v>3</v>
      </c>
      <c r="AD8165">
        <v>3.2990000199999998</v>
      </c>
      <c r="AE8165">
        <v>5</v>
      </c>
      <c r="AF8165">
        <v>38</v>
      </c>
      <c r="AG8165">
        <v>3.2909998900000001</v>
      </c>
      <c r="AH8165">
        <v>8</v>
      </c>
      <c r="AI8165">
        <v>35</v>
      </c>
      <c r="AJ8165">
        <v>1</v>
      </c>
      <c r="AK8165">
        <v>27</v>
      </c>
      <c r="AL8165">
        <v>37</v>
      </c>
      <c r="AM8165" t="s">
        <v>43</v>
      </c>
      <c r="AN8165" t="str">
        <f>HYPERLINK("https://www.google.com/maps?q=10.79859638,79.54719543","Open Location")</f>
        <v>Open Location</v>
      </c>
    </row>
    <row r="8166" spans="1:40" x14ac:dyDescent="0.3">
      <c r="A8166" s="1">
        <v>46210.054166666669</v>
      </c>
      <c r="B8166" t="s">
        <v>40</v>
      </c>
      <c r="C8166" t="s">
        <v>41</v>
      </c>
      <c r="D8166" s="1">
        <v>46210.057349537034</v>
      </c>
      <c r="E8166" t="s">
        <v>42</v>
      </c>
      <c r="F8166" t="s">
        <v>83</v>
      </c>
      <c r="G8166">
        <v>57</v>
      </c>
      <c r="H8166">
        <v>33040</v>
      </c>
      <c r="I8166" t="s">
        <v>4444</v>
      </c>
      <c r="J8166">
        <v>76</v>
      </c>
      <c r="K8166">
        <v>39</v>
      </c>
      <c r="L8166">
        <v>98</v>
      </c>
      <c r="M8166">
        <v>632.29998779000005</v>
      </c>
      <c r="N8166" t="s">
        <v>87</v>
      </c>
      <c r="O8166" t="s">
        <v>86</v>
      </c>
      <c r="P8166">
        <v>131</v>
      </c>
      <c r="Q8166">
        <v>6</v>
      </c>
      <c r="R8166">
        <v>30</v>
      </c>
      <c r="S8166">
        <v>1589</v>
      </c>
      <c r="T8166">
        <v>-40</v>
      </c>
      <c r="U8166">
        <v>44</v>
      </c>
      <c r="V8166">
        <v>140</v>
      </c>
      <c r="W8166">
        <v>26</v>
      </c>
      <c r="X8166">
        <v>26</v>
      </c>
      <c r="Y8166">
        <v>1</v>
      </c>
      <c r="Z8166">
        <v>8</v>
      </c>
      <c r="AA8166">
        <v>24</v>
      </c>
      <c r="AB8166">
        <v>1</v>
      </c>
      <c r="AC8166">
        <v>3</v>
      </c>
      <c r="AD8166">
        <v>3.2780001200000002</v>
      </c>
      <c r="AE8166">
        <v>5</v>
      </c>
      <c r="AF8166">
        <v>38</v>
      </c>
      <c r="AG8166">
        <v>3.26200008</v>
      </c>
      <c r="AH8166">
        <v>4</v>
      </c>
      <c r="AI8166">
        <v>24</v>
      </c>
      <c r="AJ8166">
        <v>1</v>
      </c>
      <c r="AK8166">
        <v>27</v>
      </c>
      <c r="AL8166">
        <v>37</v>
      </c>
      <c r="AM8166" t="s">
        <v>43</v>
      </c>
      <c r="AN8166" t="str">
        <f>HYPERLINK("https://www.google.com/maps?q=10.79917717,79.54554749","Open Location")</f>
        <v>Open Location</v>
      </c>
    </row>
    <row r="8167" spans="1:40" x14ac:dyDescent="0.3">
      <c r="A8167" s="1">
        <v>46210.054050925923</v>
      </c>
      <c r="B8167" t="s">
        <v>40</v>
      </c>
      <c r="C8167" t="s">
        <v>41</v>
      </c>
      <c r="D8167" s="1">
        <v>46210.057199074072</v>
      </c>
      <c r="E8167" t="s">
        <v>42</v>
      </c>
      <c r="F8167" t="s">
        <v>83</v>
      </c>
      <c r="G8167">
        <v>52</v>
      </c>
      <c r="H8167">
        <v>33040</v>
      </c>
      <c r="I8167" t="s">
        <v>43</v>
      </c>
      <c r="J8167">
        <v>76</v>
      </c>
      <c r="K8167">
        <v>164</v>
      </c>
      <c r="L8167">
        <v>98</v>
      </c>
      <c r="M8167">
        <v>626.20001220999995</v>
      </c>
      <c r="N8167" t="s">
        <v>87</v>
      </c>
      <c r="O8167" t="s">
        <v>86</v>
      </c>
      <c r="P8167">
        <v>131</v>
      </c>
      <c r="Q8167">
        <v>6</v>
      </c>
      <c r="R8167">
        <v>80</v>
      </c>
      <c r="S8167">
        <v>1452</v>
      </c>
      <c r="T8167">
        <v>-40</v>
      </c>
      <c r="U8167">
        <v>45</v>
      </c>
      <c r="V8167">
        <v>549</v>
      </c>
      <c r="W8167">
        <v>26</v>
      </c>
      <c r="X8167">
        <v>26</v>
      </c>
      <c r="Y8167">
        <v>1</v>
      </c>
      <c r="Z8167">
        <v>8</v>
      </c>
      <c r="AA8167">
        <v>24</v>
      </c>
      <c r="AB8167">
        <v>1</v>
      </c>
      <c r="AC8167">
        <v>3</v>
      </c>
      <c r="AD8167">
        <v>3.2720000699999998</v>
      </c>
      <c r="AE8167">
        <v>5</v>
      </c>
      <c r="AF8167">
        <v>38</v>
      </c>
      <c r="AG8167">
        <v>3.2520000900000001</v>
      </c>
      <c r="AH8167">
        <v>8</v>
      </c>
      <c r="AI8167">
        <v>35</v>
      </c>
      <c r="AJ8167">
        <v>1</v>
      </c>
      <c r="AK8167">
        <v>27</v>
      </c>
      <c r="AL8167">
        <v>37</v>
      </c>
      <c r="AM8167" t="s">
        <v>43</v>
      </c>
      <c r="AN8167" t="s">
        <v>43</v>
      </c>
    </row>
    <row r="8168" spans="1:40" x14ac:dyDescent="0.3">
      <c r="A8168" s="1">
        <v>46210.053935185184</v>
      </c>
      <c r="B8168" t="s">
        <v>40</v>
      </c>
      <c r="C8168" t="s">
        <v>41</v>
      </c>
      <c r="D8168" s="1">
        <v>46210.056817129633</v>
      </c>
      <c r="E8168" t="s">
        <v>42</v>
      </c>
      <c r="F8168" t="s">
        <v>83</v>
      </c>
      <c r="G8168">
        <v>44</v>
      </c>
      <c r="H8168" t="s">
        <v>43</v>
      </c>
      <c r="I8168" t="s">
        <v>4445</v>
      </c>
      <c r="J8168">
        <v>76</v>
      </c>
      <c r="K8168">
        <v>79</v>
      </c>
      <c r="L8168">
        <v>98</v>
      </c>
      <c r="M8168">
        <v>631.29998779000005</v>
      </c>
      <c r="N8168" t="s">
        <v>87</v>
      </c>
      <c r="O8168" t="s">
        <v>86</v>
      </c>
      <c r="P8168">
        <v>131</v>
      </c>
      <c r="Q8168">
        <v>6</v>
      </c>
      <c r="R8168">
        <v>57</v>
      </c>
      <c r="S8168">
        <v>1234</v>
      </c>
      <c r="T8168">
        <v>-40</v>
      </c>
      <c r="U8168">
        <v>44</v>
      </c>
      <c r="V8168">
        <v>340</v>
      </c>
      <c r="W8168" t="s">
        <v>43</v>
      </c>
      <c r="X8168" t="s">
        <v>43</v>
      </c>
      <c r="Y8168" t="s">
        <v>43</v>
      </c>
      <c r="Z8168" t="s">
        <v>43</v>
      </c>
      <c r="AA8168" t="s">
        <v>43</v>
      </c>
      <c r="AB8168" t="s">
        <v>43</v>
      </c>
      <c r="AC8168" t="s">
        <v>43</v>
      </c>
      <c r="AD8168" t="s">
        <v>43</v>
      </c>
      <c r="AE8168" t="s">
        <v>43</v>
      </c>
      <c r="AF8168" t="s">
        <v>43</v>
      </c>
      <c r="AG8168" t="s">
        <v>43</v>
      </c>
      <c r="AH8168" t="s">
        <v>43</v>
      </c>
      <c r="AI8168" t="s">
        <v>43</v>
      </c>
      <c r="AJ8168" t="s">
        <v>43</v>
      </c>
      <c r="AK8168">
        <v>23</v>
      </c>
      <c r="AL8168">
        <v>37</v>
      </c>
      <c r="AM8168" t="s">
        <v>43</v>
      </c>
      <c r="AN8168" t="str">
        <f>HYPERLINK("https://www.google.com/maps?q=10.79964542,79.5440979","Open Location")</f>
        <v>Open Location</v>
      </c>
    </row>
    <row r="8169" spans="1:40" x14ac:dyDescent="0.3">
      <c r="A8169" s="1">
        <v>46210.053819444445</v>
      </c>
      <c r="B8169" t="s">
        <v>40</v>
      </c>
      <c r="C8169" t="s">
        <v>41</v>
      </c>
      <c r="D8169" s="1">
        <v>46210.056828703702</v>
      </c>
      <c r="E8169" t="s">
        <v>42</v>
      </c>
      <c r="F8169" t="s">
        <v>83</v>
      </c>
      <c r="G8169">
        <v>49</v>
      </c>
      <c r="H8169" t="s">
        <v>43</v>
      </c>
      <c r="I8169" t="s">
        <v>4446</v>
      </c>
      <c r="J8169">
        <v>76</v>
      </c>
      <c r="K8169">
        <v>-57</v>
      </c>
      <c r="L8169">
        <v>98</v>
      </c>
      <c r="M8169">
        <v>637.20001220999995</v>
      </c>
      <c r="N8169" t="s">
        <v>87</v>
      </c>
      <c r="O8169" t="s">
        <v>86</v>
      </c>
      <c r="P8169">
        <v>131</v>
      </c>
      <c r="Q8169">
        <v>6</v>
      </c>
      <c r="R8169">
        <v>-30</v>
      </c>
      <c r="S8169">
        <v>1349</v>
      </c>
      <c r="T8169">
        <v>-40</v>
      </c>
      <c r="U8169">
        <v>42</v>
      </c>
      <c r="V8169">
        <v>-300</v>
      </c>
      <c r="W8169">
        <v>26</v>
      </c>
      <c r="X8169">
        <v>26</v>
      </c>
      <c r="Y8169">
        <v>1</v>
      </c>
      <c r="Z8169">
        <v>8</v>
      </c>
      <c r="AA8169">
        <v>24</v>
      </c>
      <c r="AB8169">
        <v>1</v>
      </c>
      <c r="AC8169">
        <v>3</v>
      </c>
      <c r="AD8169">
        <v>3.2999999500000001</v>
      </c>
      <c r="AE8169">
        <v>5</v>
      </c>
      <c r="AF8169">
        <v>38</v>
      </c>
      <c r="AG8169">
        <v>3.2920000599999999</v>
      </c>
      <c r="AH8169">
        <v>2</v>
      </c>
      <c r="AI8169">
        <v>46</v>
      </c>
      <c r="AJ8169">
        <v>1</v>
      </c>
      <c r="AK8169">
        <v>27</v>
      </c>
      <c r="AL8169">
        <v>37</v>
      </c>
      <c r="AM8169" t="s">
        <v>43</v>
      </c>
      <c r="AN8169" t="str">
        <f>HYPERLINK("https://www.google.com/maps?q=10.80016422,79.54281616","Open Location")</f>
        <v>Open Location</v>
      </c>
    </row>
    <row r="8170" spans="1:40" x14ac:dyDescent="0.3">
      <c r="A8170" s="1">
        <v>46210.053703703707</v>
      </c>
      <c r="B8170" t="s">
        <v>40</v>
      </c>
      <c r="C8170" t="s">
        <v>41</v>
      </c>
      <c r="D8170" s="1">
        <v>46210.056655092594</v>
      </c>
      <c r="E8170" t="s">
        <v>42</v>
      </c>
      <c r="F8170" t="s">
        <v>83</v>
      </c>
      <c r="G8170">
        <v>47</v>
      </c>
      <c r="H8170">
        <v>33040</v>
      </c>
      <c r="I8170" t="s">
        <v>4447</v>
      </c>
      <c r="J8170">
        <v>76</v>
      </c>
      <c r="K8170">
        <v>135</v>
      </c>
      <c r="L8170">
        <v>98</v>
      </c>
      <c r="M8170">
        <v>629.70001220999995</v>
      </c>
      <c r="N8170" t="s">
        <v>87</v>
      </c>
      <c r="O8170" t="s">
        <v>86</v>
      </c>
      <c r="P8170">
        <v>131</v>
      </c>
      <c r="Q8170">
        <v>6</v>
      </c>
      <c r="R8170">
        <v>66</v>
      </c>
      <c r="S8170">
        <v>1324</v>
      </c>
      <c r="T8170">
        <v>-40</v>
      </c>
      <c r="U8170">
        <v>43</v>
      </c>
      <c r="V8170">
        <v>624</v>
      </c>
      <c r="W8170">
        <v>26</v>
      </c>
      <c r="X8170">
        <v>26</v>
      </c>
      <c r="Y8170">
        <v>1</v>
      </c>
      <c r="Z8170">
        <v>8</v>
      </c>
      <c r="AA8170">
        <v>24</v>
      </c>
      <c r="AB8170">
        <v>1</v>
      </c>
      <c r="AC8170">
        <v>3</v>
      </c>
      <c r="AD8170">
        <v>3.2959999999999998</v>
      </c>
      <c r="AE8170">
        <v>5</v>
      </c>
      <c r="AF8170">
        <v>38</v>
      </c>
      <c r="AG8170">
        <v>3.28500009</v>
      </c>
      <c r="AH8170">
        <v>6</v>
      </c>
      <c r="AI8170">
        <v>24</v>
      </c>
      <c r="AJ8170">
        <v>1</v>
      </c>
      <c r="AK8170">
        <v>27</v>
      </c>
      <c r="AL8170">
        <v>37</v>
      </c>
      <c r="AM8170" t="s">
        <v>43</v>
      </c>
      <c r="AN8170" t="str">
        <f>HYPERLINK("https://www.google.com/maps?q=10.80078506,79.54134369","Open Location")</f>
        <v>Open Location</v>
      </c>
    </row>
    <row r="8171" spans="1:40" x14ac:dyDescent="0.3">
      <c r="A8171" s="1">
        <v>46210.053587962961</v>
      </c>
      <c r="B8171" t="s">
        <v>40</v>
      </c>
      <c r="C8171" t="s">
        <v>41</v>
      </c>
      <c r="D8171" s="1">
        <v>46210.056435185186</v>
      </c>
      <c r="E8171" t="s">
        <v>42</v>
      </c>
      <c r="F8171" t="s">
        <v>83</v>
      </c>
      <c r="G8171">
        <v>49</v>
      </c>
      <c r="H8171">
        <v>33040</v>
      </c>
      <c r="I8171" t="s">
        <v>4448</v>
      </c>
      <c r="J8171">
        <v>76</v>
      </c>
      <c r="K8171">
        <v>-57</v>
      </c>
      <c r="L8171">
        <v>98</v>
      </c>
      <c r="M8171">
        <v>638.20001220999995</v>
      </c>
      <c r="N8171" t="s">
        <v>87</v>
      </c>
      <c r="O8171" t="s">
        <v>86</v>
      </c>
      <c r="P8171">
        <v>131</v>
      </c>
      <c r="Q8171">
        <v>6</v>
      </c>
      <c r="R8171">
        <v>-43</v>
      </c>
      <c r="S8171">
        <v>1340</v>
      </c>
      <c r="T8171">
        <v>-40</v>
      </c>
      <c r="U8171">
        <v>42</v>
      </c>
      <c r="V8171">
        <v>-300</v>
      </c>
      <c r="W8171">
        <v>26</v>
      </c>
      <c r="X8171">
        <v>26</v>
      </c>
      <c r="Y8171">
        <v>1</v>
      </c>
      <c r="Z8171">
        <v>8</v>
      </c>
      <c r="AA8171">
        <v>24</v>
      </c>
      <c r="AB8171">
        <v>1</v>
      </c>
      <c r="AC8171">
        <v>3</v>
      </c>
      <c r="AD8171">
        <v>3.3210001</v>
      </c>
      <c r="AE8171">
        <v>1</v>
      </c>
      <c r="AF8171">
        <v>26</v>
      </c>
      <c r="AG8171">
        <v>3.31800008</v>
      </c>
      <c r="AH8171">
        <v>1</v>
      </c>
      <c r="AI8171">
        <v>4</v>
      </c>
      <c r="AJ8171">
        <v>1</v>
      </c>
      <c r="AK8171">
        <v>27</v>
      </c>
      <c r="AL8171">
        <v>37</v>
      </c>
      <c r="AM8171" t="s">
        <v>43</v>
      </c>
      <c r="AN8171" t="str">
        <f>HYPERLINK("https://www.google.com/maps?q=10.8011694,79.53987122","Open Location")</f>
        <v>Open Location</v>
      </c>
    </row>
    <row r="8172" spans="1:40" x14ac:dyDescent="0.3">
      <c r="A8172" s="1">
        <v>46210.053472222222</v>
      </c>
      <c r="B8172" t="s">
        <v>40</v>
      </c>
      <c r="C8172" t="s">
        <v>41</v>
      </c>
      <c r="D8172" s="1">
        <v>46210.05641203704</v>
      </c>
      <c r="E8172" t="s">
        <v>42</v>
      </c>
      <c r="F8172" t="s">
        <v>83</v>
      </c>
      <c r="G8172">
        <v>50</v>
      </c>
      <c r="H8172">
        <v>33040</v>
      </c>
      <c r="I8172" t="s">
        <v>43</v>
      </c>
      <c r="J8172">
        <v>76</v>
      </c>
      <c r="K8172">
        <v>210</v>
      </c>
      <c r="L8172">
        <v>98</v>
      </c>
      <c r="M8172">
        <v>627.59997558999999</v>
      </c>
      <c r="N8172" t="s">
        <v>87</v>
      </c>
      <c r="O8172" t="s">
        <v>86</v>
      </c>
      <c r="P8172">
        <v>131</v>
      </c>
      <c r="Q8172">
        <v>6</v>
      </c>
      <c r="R8172">
        <v>124</v>
      </c>
      <c r="S8172">
        <v>1404</v>
      </c>
      <c r="T8172">
        <v>-40</v>
      </c>
      <c r="U8172">
        <v>42</v>
      </c>
      <c r="V8172">
        <v>860</v>
      </c>
      <c r="W8172">
        <v>26</v>
      </c>
      <c r="X8172">
        <v>26</v>
      </c>
      <c r="Y8172">
        <v>1</v>
      </c>
      <c r="Z8172">
        <v>8</v>
      </c>
      <c r="AA8172">
        <v>24</v>
      </c>
      <c r="AB8172">
        <v>1</v>
      </c>
      <c r="AC8172">
        <v>3</v>
      </c>
      <c r="AD8172">
        <v>3.3269999000000001</v>
      </c>
      <c r="AE8172">
        <v>1</v>
      </c>
      <c r="AF8172">
        <v>26</v>
      </c>
      <c r="AG8172">
        <v>3.3229999499999998</v>
      </c>
      <c r="AH8172">
        <v>2</v>
      </c>
      <c r="AI8172">
        <v>12</v>
      </c>
      <c r="AJ8172">
        <v>1</v>
      </c>
      <c r="AK8172">
        <v>27</v>
      </c>
      <c r="AL8172">
        <v>37</v>
      </c>
      <c r="AM8172" t="s">
        <v>43</v>
      </c>
      <c r="AN8172" t="s">
        <v>43</v>
      </c>
    </row>
    <row r="8173" spans="1:40" x14ac:dyDescent="0.3">
      <c r="A8173" s="1">
        <v>46210.053356481483</v>
      </c>
      <c r="B8173" t="s">
        <v>40</v>
      </c>
      <c r="C8173" t="s">
        <v>41</v>
      </c>
      <c r="D8173" s="1">
        <v>46210.056157407409</v>
      </c>
      <c r="E8173" t="s">
        <v>42</v>
      </c>
      <c r="F8173" t="s">
        <v>83</v>
      </c>
      <c r="G8173">
        <v>57</v>
      </c>
      <c r="H8173">
        <v>33039</v>
      </c>
      <c r="I8173" t="s">
        <v>4449</v>
      </c>
      <c r="J8173">
        <v>76</v>
      </c>
      <c r="K8173">
        <v>-67</v>
      </c>
      <c r="L8173">
        <v>98</v>
      </c>
      <c r="M8173">
        <v>637.40002441000001</v>
      </c>
      <c r="N8173" t="s">
        <v>87</v>
      </c>
      <c r="O8173" t="s">
        <v>86</v>
      </c>
      <c r="P8173">
        <v>131</v>
      </c>
      <c r="Q8173">
        <v>6</v>
      </c>
      <c r="R8173">
        <v>-50</v>
      </c>
      <c r="S8173">
        <v>1563</v>
      </c>
      <c r="T8173">
        <v>-40</v>
      </c>
      <c r="U8173">
        <v>41</v>
      </c>
      <c r="V8173">
        <v>-300</v>
      </c>
      <c r="W8173">
        <v>26</v>
      </c>
      <c r="X8173">
        <v>26</v>
      </c>
      <c r="Y8173">
        <v>1</v>
      </c>
      <c r="Z8173">
        <v>8</v>
      </c>
      <c r="AA8173">
        <v>24</v>
      </c>
      <c r="AB8173">
        <v>1</v>
      </c>
      <c r="AC8173">
        <v>3</v>
      </c>
      <c r="AD8173">
        <v>3.3139998899999998</v>
      </c>
      <c r="AE8173">
        <v>7</v>
      </c>
      <c r="AF8173">
        <v>3</v>
      </c>
      <c r="AG8173">
        <v>3.30699992</v>
      </c>
      <c r="AH8173">
        <v>3</v>
      </c>
      <c r="AI8173">
        <v>1</v>
      </c>
      <c r="AJ8173">
        <v>1</v>
      </c>
      <c r="AK8173">
        <v>27</v>
      </c>
      <c r="AL8173">
        <v>37</v>
      </c>
      <c r="AM8173" t="s">
        <v>43</v>
      </c>
      <c r="AN8173" t="str">
        <f>HYPERLINK("https://www.google.com/maps?q=10.80167484,79.53838348","Open Location")</f>
        <v>Open Location</v>
      </c>
    </row>
    <row r="8174" spans="1:40" x14ac:dyDescent="0.3">
      <c r="A8174" s="1">
        <v>46210.053240740737</v>
      </c>
      <c r="B8174" t="s">
        <v>40</v>
      </c>
      <c r="C8174" t="s">
        <v>41</v>
      </c>
      <c r="D8174" s="1">
        <v>46210.056192129632</v>
      </c>
      <c r="E8174" t="s">
        <v>42</v>
      </c>
      <c r="F8174" t="s">
        <v>83</v>
      </c>
      <c r="G8174">
        <v>63</v>
      </c>
      <c r="H8174" t="s">
        <v>43</v>
      </c>
      <c r="I8174" t="s">
        <v>4450</v>
      </c>
      <c r="J8174">
        <v>76</v>
      </c>
      <c r="K8174">
        <v>57</v>
      </c>
      <c r="L8174">
        <v>98</v>
      </c>
      <c r="M8174">
        <v>632.09997558999999</v>
      </c>
      <c r="N8174" t="s">
        <v>87</v>
      </c>
      <c r="O8174" t="s">
        <v>86</v>
      </c>
      <c r="P8174">
        <v>131</v>
      </c>
      <c r="Q8174">
        <v>6</v>
      </c>
      <c r="R8174">
        <v>40</v>
      </c>
      <c r="S8174">
        <v>1751</v>
      </c>
      <c r="T8174">
        <v>-40</v>
      </c>
      <c r="U8174">
        <v>42</v>
      </c>
      <c r="V8174">
        <v>220</v>
      </c>
      <c r="W8174" t="s">
        <v>43</v>
      </c>
      <c r="X8174" t="s">
        <v>43</v>
      </c>
      <c r="Y8174" t="s">
        <v>43</v>
      </c>
      <c r="Z8174" t="s">
        <v>43</v>
      </c>
      <c r="AA8174" t="s">
        <v>43</v>
      </c>
      <c r="AB8174" t="s">
        <v>43</v>
      </c>
      <c r="AC8174" t="s">
        <v>43</v>
      </c>
      <c r="AD8174" t="s">
        <v>43</v>
      </c>
      <c r="AE8174" t="s">
        <v>43</v>
      </c>
      <c r="AF8174" t="s">
        <v>43</v>
      </c>
      <c r="AG8174" t="s">
        <v>43</v>
      </c>
      <c r="AH8174" t="s">
        <v>43</v>
      </c>
      <c r="AI8174" t="s">
        <v>43</v>
      </c>
      <c r="AJ8174">
        <v>1</v>
      </c>
      <c r="AK8174">
        <v>27</v>
      </c>
      <c r="AL8174">
        <v>37</v>
      </c>
      <c r="AM8174" t="s">
        <v>43</v>
      </c>
      <c r="AN8174" t="str">
        <f>HYPERLINK("https://www.google.com/maps?q=10.80238342,79.5366745","Open Location")</f>
        <v>Open Location</v>
      </c>
    </row>
    <row r="8175" spans="1:40" x14ac:dyDescent="0.3">
      <c r="A8175" s="1">
        <v>46210.053124999999</v>
      </c>
      <c r="B8175" t="s">
        <v>40</v>
      </c>
      <c r="C8175" t="s">
        <v>41</v>
      </c>
      <c r="D8175" s="1">
        <v>46210.056041666663</v>
      </c>
      <c r="E8175" t="s">
        <v>42</v>
      </c>
      <c r="F8175" t="s">
        <v>83</v>
      </c>
      <c r="G8175">
        <v>65</v>
      </c>
      <c r="H8175">
        <v>33039</v>
      </c>
      <c r="I8175" t="s">
        <v>4451</v>
      </c>
      <c r="J8175">
        <v>76</v>
      </c>
      <c r="K8175">
        <v>78</v>
      </c>
      <c r="L8175">
        <v>98</v>
      </c>
      <c r="M8175">
        <v>630.90002441000001</v>
      </c>
      <c r="N8175" t="s">
        <v>87</v>
      </c>
      <c r="O8175" t="s">
        <v>86</v>
      </c>
      <c r="P8175">
        <v>131</v>
      </c>
      <c r="Q8175">
        <v>6</v>
      </c>
      <c r="R8175">
        <v>49</v>
      </c>
      <c r="S8175">
        <v>1799</v>
      </c>
      <c r="T8175">
        <v>-40</v>
      </c>
      <c r="U8175">
        <v>42</v>
      </c>
      <c r="V8175">
        <v>260</v>
      </c>
      <c r="W8175">
        <v>26</v>
      </c>
      <c r="X8175">
        <v>26</v>
      </c>
      <c r="Y8175">
        <v>1</v>
      </c>
      <c r="Z8175">
        <v>8</v>
      </c>
      <c r="AA8175">
        <v>24</v>
      </c>
      <c r="AB8175">
        <v>1</v>
      </c>
      <c r="AC8175">
        <v>3</v>
      </c>
      <c r="AD8175">
        <v>3.28800011</v>
      </c>
      <c r="AE8175">
        <v>5</v>
      </c>
      <c r="AF8175">
        <v>38</v>
      </c>
      <c r="AG8175">
        <v>3.2760000200000001</v>
      </c>
      <c r="AH8175">
        <v>8</v>
      </c>
      <c r="AI8175">
        <v>35</v>
      </c>
      <c r="AJ8175">
        <v>1</v>
      </c>
      <c r="AK8175">
        <v>27</v>
      </c>
      <c r="AL8175">
        <v>37</v>
      </c>
      <c r="AM8175" t="s">
        <v>43</v>
      </c>
      <c r="AN8175" t="str">
        <f>HYPERLINK("https://www.google.com/maps?q=10.80306721,79.53482056","Open Location")</f>
        <v>Open Location</v>
      </c>
    </row>
    <row r="8176" spans="1:40" x14ac:dyDescent="0.3">
      <c r="A8176" s="1">
        <v>46210.05300925926</v>
      </c>
      <c r="B8176" t="s">
        <v>40</v>
      </c>
      <c r="C8176" t="s">
        <v>41</v>
      </c>
      <c r="D8176" s="1">
        <v>46210.055590277778</v>
      </c>
      <c r="E8176" t="s">
        <v>42</v>
      </c>
      <c r="F8176" t="s">
        <v>83</v>
      </c>
      <c r="G8176">
        <v>67</v>
      </c>
      <c r="H8176">
        <v>33039</v>
      </c>
      <c r="I8176" t="s">
        <v>4452</v>
      </c>
      <c r="J8176">
        <v>76</v>
      </c>
      <c r="K8176">
        <v>94</v>
      </c>
      <c r="L8176">
        <v>98</v>
      </c>
      <c r="M8176">
        <v>629.59997558999999</v>
      </c>
      <c r="N8176" t="s">
        <v>87</v>
      </c>
      <c r="O8176" t="s">
        <v>86</v>
      </c>
      <c r="P8176">
        <v>131</v>
      </c>
      <c r="Q8176">
        <v>6</v>
      </c>
      <c r="R8176">
        <v>57</v>
      </c>
      <c r="S8176">
        <v>1843</v>
      </c>
      <c r="T8176">
        <v>-40</v>
      </c>
      <c r="U8176">
        <v>42</v>
      </c>
      <c r="V8176">
        <v>300</v>
      </c>
      <c r="W8176">
        <v>26</v>
      </c>
      <c r="X8176">
        <v>26</v>
      </c>
      <c r="Y8176">
        <v>1</v>
      </c>
      <c r="Z8176">
        <v>8</v>
      </c>
      <c r="AA8176">
        <v>24</v>
      </c>
      <c r="AB8176">
        <v>1</v>
      </c>
      <c r="AC8176">
        <v>3</v>
      </c>
      <c r="AD8176">
        <v>3.28299999</v>
      </c>
      <c r="AE8176">
        <v>5</v>
      </c>
      <c r="AF8176">
        <v>38</v>
      </c>
      <c r="AG8176">
        <v>3.2690000499999998</v>
      </c>
      <c r="AH8176">
        <v>7</v>
      </c>
      <c r="AI8176">
        <v>1</v>
      </c>
      <c r="AJ8176">
        <v>1</v>
      </c>
      <c r="AK8176">
        <v>27</v>
      </c>
      <c r="AL8176">
        <v>37</v>
      </c>
      <c r="AM8176" t="s">
        <v>43</v>
      </c>
      <c r="AN8176" t="str">
        <f>HYPERLINK("https://www.google.com/maps?q=10.80346966,79.53283691","Open Location")</f>
        <v>Open Location</v>
      </c>
    </row>
    <row r="8177" spans="1:40" x14ac:dyDescent="0.3">
      <c r="A8177" s="1">
        <v>46210.052893518521</v>
      </c>
      <c r="B8177" t="s">
        <v>40</v>
      </c>
      <c r="C8177" t="s">
        <v>41</v>
      </c>
      <c r="D8177" s="1">
        <v>46210.05572916667</v>
      </c>
      <c r="E8177" t="s">
        <v>42</v>
      </c>
      <c r="F8177" t="s">
        <v>83</v>
      </c>
      <c r="G8177">
        <v>66</v>
      </c>
      <c r="H8177" t="s">
        <v>43</v>
      </c>
      <c r="I8177" t="s">
        <v>4453</v>
      </c>
      <c r="J8177">
        <v>76</v>
      </c>
      <c r="K8177">
        <v>75</v>
      </c>
      <c r="L8177">
        <v>98</v>
      </c>
      <c r="M8177">
        <v>630.40002441000001</v>
      </c>
      <c r="N8177" t="s">
        <v>87</v>
      </c>
      <c r="O8177" t="s">
        <v>86</v>
      </c>
      <c r="P8177">
        <v>131</v>
      </c>
      <c r="Q8177">
        <v>6</v>
      </c>
      <c r="R8177">
        <v>42</v>
      </c>
      <c r="S8177">
        <v>1822</v>
      </c>
      <c r="T8177">
        <v>-40</v>
      </c>
      <c r="U8177">
        <v>42</v>
      </c>
      <c r="V8177">
        <v>240</v>
      </c>
      <c r="W8177">
        <v>26</v>
      </c>
      <c r="X8177">
        <v>26</v>
      </c>
      <c r="Y8177">
        <v>1</v>
      </c>
      <c r="Z8177">
        <v>8</v>
      </c>
      <c r="AA8177">
        <v>24</v>
      </c>
      <c r="AB8177">
        <v>1</v>
      </c>
      <c r="AC8177">
        <v>3</v>
      </c>
      <c r="AD8177">
        <v>3.28500009</v>
      </c>
      <c r="AE8177">
        <v>5</v>
      </c>
      <c r="AF8177">
        <v>38</v>
      </c>
      <c r="AG8177">
        <v>3.2720000699999998</v>
      </c>
      <c r="AH8177">
        <v>8</v>
      </c>
      <c r="AI8177">
        <v>35</v>
      </c>
      <c r="AJ8177">
        <v>1</v>
      </c>
      <c r="AK8177">
        <v>27</v>
      </c>
      <c r="AL8177">
        <v>37</v>
      </c>
      <c r="AM8177" t="s">
        <v>43</v>
      </c>
      <c r="AN8177" t="str">
        <f>HYPERLINK("https://www.google.com/maps?q=10.80349827,79.53064728","Open Location")</f>
        <v>Open Location</v>
      </c>
    </row>
    <row r="8178" spans="1:40" x14ac:dyDescent="0.3">
      <c r="A8178" s="1">
        <v>46210.052777777775</v>
      </c>
      <c r="B8178" t="s">
        <v>40</v>
      </c>
      <c r="C8178" t="s">
        <v>41</v>
      </c>
      <c r="D8178" s="1">
        <v>46210.055590277778</v>
      </c>
      <c r="E8178" t="s">
        <v>42</v>
      </c>
      <c r="F8178" t="s">
        <v>83</v>
      </c>
      <c r="G8178">
        <v>66</v>
      </c>
      <c r="H8178">
        <v>33039</v>
      </c>
      <c r="I8178" t="s">
        <v>43</v>
      </c>
      <c r="J8178">
        <v>76</v>
      </c>
      <c r="K8178">
        <v>50</v>
      </c>
      <c r="L8178">
        <v>98</v>
      </c>
      <c r="M8178">
        <v>630.5</v>
      </c>
      <c r="N8178" t="s">
        <v>87</v>
      </c>
      <c r="O8178" t="s">
        <v>86</v>
      </c>
      <c r="P8178">
        <v>131</v>
      </c>
      <c r="Q8178">
        <v>6</v>
      </c>
      <c r="R8178">
        <v>29</v>
      </c>
      <c r="S8178">
        <v>1834</v>
      </c>
      <c r="T8178">
        <v>-40</v>
      </c>
      <c r="U8178">
        <v>42</v>
      </c>
      <c r="V8178">
        <v>154</v>
      </c>
      <c r="W8178">
        <v>26</v>
      </c>
      <c r="X8178">
        <v>26</v>
      </c>
      <c r="Y8178">
        <v>1</v>
      </c>
      <c r="Z8178">
        <v>8</v>
      </c>
      <c r="AA8178">
        <v>24</v>
      </c>
      <c r="AB8178">
        <v>1</v>
      </c>
      <c r="AC8178">
        <v>3</v>
      </c>
      <c r="AD8178">
        <v>3.2899999599999998</v>
      </c>
      <c r="AE8178">
        <v>5</v>
      </c>
      <c r="AF8178">
        <v>38</v>
      </c>
      <c r="AG8178">
        <v>3.27999997</v>
      </c>
      <c r="AH8178">
        <v>4</v>
      </c>
      <c r="AI8178">
        <v>17</v>
      </c>
      <c r="AJ8178">
        <v>1</v>
      </c>
      <c r="AK8178">
        <v>27</v>
      </c>
      <c r="AL8178">
        <v>37</v>
      </c>
      <c r="AM8178" t="s">
        <v>43</v>
      </c>
      <c r="AN8178" t="s">
        <v>43</v>
      </c>
    </row>
    <row r="8179" spans="1:40" x14ac:dyDescent="0.3">
      <c r="A8179" s="1">
        <v>46210.052662037036</v>
      </c>
      <c r="B8179" t="s">
        <v>40</v>
      </c>
      <c r="C8179" t="s">
        <v>41</v>
      </c>
      <c r="D8179" s="1">
        <v>46210.055590277778</v>
      </c>
      <c r="E8179" t="s">
        <v>42</v>
      </c>
      <c r="F8179" t="s">
        <v>83</v>
      </c>
      <c r="G8179">
        <v>64</v>
      </c>
      <c r="H8179">
        <v>33038</v>
      </c>
      <c r="I8179" t="s">
        <v>4454</v>
      </c>
      <c r="J8179">
        <v>77</v>
      </c>
      <c r="K8179">
        <v>104</v>
      </c>
      <c r="L8179">
        <v>98</v>
      </c>
      <c r="M8179">
        <v>628.90002441000001</v>
      </c>
      <c r="N8179" t="s">
        <v>87</v>
      </c>
      <c r="O8179" t="s">
        <v>86</v>
      </c>
      <c r="P8179">
        <v>131</v>
      </c>
      <c r="Q8179">
        <v>6</v>
      </c>
      <c r="R8179">
        <v>59</v>
      </c>
      <c r="S8179">
        <v>1776</v>
      </c>
      <c r="T8179">
        <v>-40</v>
      </c>
      <c r="U8179">
        <v>43</v>
      </c>
      <c r="V8179">
        <v>340</v>
      </c>
      <c r="W8179">
        <v>26</v>
      </c>
      <c r="X8179">
        <v>26</v>
      </c>
      <c r="Y8179">
        <v>1</v>
      </c>
      <c r="Z8179">
        <v>8</v>
      </c>
      <c r="AA8179">
        <v>24</v>
      </c>
      <c r="AB8179">
        <v>1</v>
      </c>
      <c r="AC8179">
        <v>3</v>
      </c>
      <c r="AD8179">
        <v>3.2809998999999999</v>
      </c>
      <c r="AE8179">
        <v>5</v>
      </c>
      <c r="AF8179">
        <v>38</v>
      </c>
      <c r="AG8179">
        <v>3.2669999600000001</v>
      </c>
      <c r="AH8179">
        <v>8</v>
      </c>
      <c r="AI8179">
        <v>35</v>
      </c>
      <c r="AJ8179">
        <v>1</v>
      </c>
      <c r="AK8179">
        <v>27</v>
      </c>
      <c r="AL8179">
        <v>37</v>
      </c>
      <c r="AM8179" t="s">
        <v>43</v>
      </c>
      <c r="AN8179" t="str">
        <f>HYPERLINK("https://www.google.com/maps?q=10.80314255,79.52866364","Open Location")</f>
        <v>Open Location</v>
      </c>
    </row>
    <row r="8180" spans="1:40" x14ac:dyDescent="0.3">
      <c r="A8180" s="1">
        <v>46210.052546296298</v>
      </c>
      <c r="B8180" t="s">
        <v>40</v>
      </c>
      <c r="C8180" t="s">
        <v>41</v>
      </c>
      <c r="D8180" s="1">
        <v>46210.055266203701</v>
      </c>
      <c r="E8180" t="s">
        <v>42</v>
      </c>
      <c r="F8180" t="s">
        <v>83</v>
      </c>
      <c r="G8180">
        <v>63</v>
      </c>
      <c r="H8180" t="s">
        <v>43</v>
      </c>
      <c r="I8180" t="s">
        <v>4455</v>
      </c>
      <c r="J8180">
        <v>77</v>
      </c>
      <c r="K8180">
        <v>134</v>
      </c>
      <c r="L8180">
        <v>98</v>
      </c>
      <c r="M8180">
        <v>627.59997558999999</v>
      </c>
      <c r="N8180" t="s">
        <v>87</v>
      </c>
      <c r="O8180" t="s">
        <v>86</v>
      </c>
      <c r="P8180">
        <v>131</v>
      </c>
      <c r="Q8180">
        <v>6</v>
      </c>
      <c r="R8180">
        <v>80</v>
      </c>
      <c r="S8180">
        <v>1747</v>
      </c>
      <c r="T8180">
        <v>-40</v>
      </c>
      <c r="U8180">
        <v>43</v>
      </c>
      <c r="V8180">
        <v>440</v>
      </c>
      <c r="W8180" t="s">
        <v>43</v>
      </c>
      <c r="X8180" t="s">
        <v>43</v>
      </c>
      <c r="Y8180" t="s">
        <v>43</v>
      </c>
      <c r="Z8180" t="s">
        <v>43</v>
      </c>
      <c r="AA8180" t="s">
        <v>43</v>
      </c>
      <c r="AB8180" t="s">
        <v>43</v>
      </c>
      <c r="AC8180" t="s">
        <v>43</v>
      </c>
      <c r="AD8180" t="s">
        <v>43</v>
      </c>
      <c r="AE8180" t="s">
        <v>43</v>
      </c>
      <c r="AF8180" t="s">
        <v>43</v>
      </c>
      <c r="AG8180" t="s">
        <v>43</v>
      </c>
      <c r="AH8180" t="s">
        <v>43</v>
      </c>
      <c r="AI8180" t="s">
        <v>43</v>
      </c>
      <c r="AJ8180" t="s">
        <v>43</v>
      </c>
      <c r="AK8180" t="s">
        <v>43</v>
      </c>
      <c r="AL8180">
        <v>37</v>
      </c>
      <c r="AM8180" t="s">
        <v>43</v>
      </c>
      <c r="AN8180" t="str">
        <f>HYPERLINK("https://www.google.com/maps?q=10.80260754,79.52679443","Open Location")</f>
        <v>Open Location</v>
      </c>
    </row>
    <row r="8181" spans="1:40" x14ac:dyDescent="0.3">
      <c r="A8181" s="1">
        <v>46210.052430555559</v>
      </c>
      <c r="B8181" t="s">
        <v>40</v>
      </c>
      <c r="C8181" t="s">
        <v>41</v>
      </c>
      <c r="D8181" s="1">
        <v>46210.055358796293</v>
      </c>
      <c r="E8181" t="s">
        <v>42</v>
      </c>
      <c r="F8181" t="s">
        <v>83</v>
      </c>
      <c r="G8181">
        <v>60</v>
      </c>
      <c r="H8181">
        <v>33038</v>
      </c>
      <c r="I8181" t="s">
        <v>4456</v>
      </c>
      <c r="J8181">
        <v>77</v>
      </c>
      <c r="K8181">
        <v>91</v>
      </c>
      <c r="L8181">
        <v>98</v>
      </c>
      <c r="M8181">
        <v>629.90002441000001</v>
      </c>
      <c r="N8181" t="s">
        <v>87</v>
      </c>
      <c r="O8181" t="s">
        <v>86</v>
      </c>
      <c r="P8181">
        <v>131</v>
      </c>
      <c r="Q8181">
        <v>6</v>
      </c>
      <c r="R8181">
        <v>56</v>
      </c>
      <c r="S8181">
        <v>1680</v>
      </c>
      <c r="T8181">
        <v>-40</v>
      </c>
      <c r="U8181">
        <v>44</v>
      </c>
      <c r="V8181">
        <v>320</v>
      </c>
      <c r="W8181">
        <v>26</v>
      </c>
      <c r="X8181">
        <v>26</v>
      </c>
      <c r="Y8181">
        <v>1</v>
      </c>
      <c r="Z8181">
        <v>8</v>
      </c>
      <c r="AA8181">
        <v>24</v>
      </c>
      <c r="AB8181">
        <v>1</v>
      </c>
      <c r="AC8181">
        <v>3</v>
      </c>
      <c r="AD8181">
        <v>3.2809998999999999</v>
      </c>
      <c r="AE8181">
        <v>5</v>
      </c>
      <c r="AF8181">
        <v>38</v>
      </c>
      <c r="AG8181">
        <v>3.2660000299999998</v>
      </c>
      <c r="AH8181">
        <v>6</v>
      </c>
      <c r="AI8181">
        <v>24</v>
      </c>
      <c r="AJ8181">
        <v>1</v>
      </c>
      <c r="AK8181">
        <v>27</v>
      </c>
      <c r="AL8181">
        <v>37</v>
      </c>
      <c r="AM8181" t="s">
        <v>43</v>
      </c>
      <c r="AN8181" t="str">
        <f>HYPERLINK("https://www.google.com/maps?q=10.80208778,79.52500153","Open Location")</f>
        <v>Open Location</v>
      </c>
    </row>
    <row r="8182" spans="1:40" x14ac:dyDescent="0.3">
      <c r="A8182" s="1">
        <v>46210.052314814813</v>
      </c>
      <c r="B8182" t="s">
        <v>40</v>
      </c>
      <c r="C8182" t="s">
        <v>41</v>
      </c>
      <c r="D8182" s="1">
        <v>46210.055092592593</v>
      </c>
      <c r="E8182" t="s">
        <v>42</v>
      </c>
      <c r="F8182" t="s">
        <v>83</v>
      </c>
      <c r="G8182">
        <v>57</v>
      </c>
      <c r="H8182">
        <v>33038</v>
      </c>
      <c r="I8182" t="s">
        <v>4457</v>
      </c>
      <c r="J8182">
        <v>77</v>
      </c>
      <c r="K8182">
        <v>101</v>
      </c>
      <c r="L8182">
        <v>98</v>
      </c>
      <c r="M8182">
        <v>629.29998779000005</v>
      </c>
      <c r="N8182" t="s">
        <v>87</v>
      </c>
      <c r="O8182" t="s">
        <v>86</v>
      </c>
      <c r="P8182">
        <v>131</v>
      </c>
      <c r="Q8182">
        <v>6</v>
      </c>
      <c r="R8182">
        <v>48</v>
      </c>
      <c r="S8182">
        <v>1575</v>
      </c>
      <c r="T8182">
        <v>-40</v>
      </c>
      <c r="U8182">
        <v>44</v>
      </c>
      <c r="V8182">
        <v>380</v>
      </c>
      <c r="W8182">
        <v>26</v>
      </c>
      <c r="X8182">
        <v>26</v>
      </c>
      <c r="Y8182">
        <v>1</v>
      </c>
      <c r="Z8182">
        <v>8</v>
      </c>
      <c r="AA8182">
        <v>24</v>
      </c>
      <c r="AB8182">
        <v>1</v>
      </c>
      <c r="AC8182">
        <v>3</v>
      </c>
      <c r="AD8182">
        <v>3.2820000600000001</v>
      </c>
      <c r="AE8182">
        <v>5</v>
      </c>
      <c r="AF8182">
        <v>38</v>
      </c>
      <c r="AG8182">
        <v>3.2669999600000001</v>
      </c>
      <c r="AH8182">
        <v>8</v>
      </c>
      <c r="AI8182">
        <v>35</v>
      </c>
      <c r="AJ8182">
        <v>1</v>
      </c>
      <c r="AK8182">
        <v>28</v>
      </c>
      <c r="AL8182">
        <v>37</v>
      </c>
      <c r="AM8182" t="s">
        <v>43</v>
      </c>
      <c r="AN8182" t="str">
        <f>HYPERLINK("https://www.google.com/maps?q=10.80142689,79.52338409","Open Location")</f>
        <v>Open Location</v>
      </c>
    </row>
    <row r="8183" spans="1:40" x14ac:dyDescent="0.3">
      <c r="A8183" s="1">
        <v>46210.052199074074</v>
      </c>
      <c r="B8183" t="s">
        <v>40</v>
      </c>
      <c r="C8183" t="s">
        <v>41</v>
      </c>
      <c r="D8183" s="1">
        <v>46210.055</v>
      </c>
      <c r="E8183" t="s">
        <v>42</v>
      </c>
      <c r="F8183" t="s">
        <v>83</v>
      </c>
      <c r="G8183">
        <v>54</v>
      </c>
      <c r="H8183" t="s">
        <v>43</v>
      </c>
      <c r="I8183" t="s">
        <v>4458</v>
      </c>
      <c r="J8183">
        <v>77</v>
      </c>
      <c r="K8183">
        <v>-56</v>
      </c>
      <c r="L8183">
        <v>98</v>
      </c>
      <c r="M8183">
        <v>637.09997558999999</v>
      </c>
      <c r="N8183" t="s">
        <v>87</v>
      </c>
      <c r="O8183" t="s">
        <v>86</v>
      </c>
      <c r="P8183">
        <v>131</v>
      </c>
      <c r="Q8183">
        <v>6</v>
      </c>
      <c r="R8183">
        <v>-48</v>
      </c>
      <c r="S8183">
        <v>1484</v>
      </c>
      <c r="T8183">
        <v>-40</v>
      </c>
      <c r="U8183">
        <v>42</v>
      </c>
      <c r="V8183">
        <v>-300</v>
      </c>
      <c r="W8183">
        <v>26</v>
      </c>
      <c r="X8183">
        <v>26</v>
      </c>
      <c r="Y8183">
        <v>1</v>
      </c>
      <c r="Z8183">
        <v>8</v>
      </c>
      <c r="AA8183">
        <v>24</v>
      </c>
      <c r="AB8183">
        <v>1</v>
      </c>
      <c r="AC8183">
        <v>3</v>
      </c>
      <c r="AD8183">
        <v>3.2980000999999999</v>
      </c>
      <c r="AE8183">
        <v>1</v>
      </c>
      <c r="AF8183">
        <v>25</v>
      </c>
      <c r="AG8183">
        <v>3.2909998900000001</v>
      </c>
      <c r="AH8183">
        <v>4</v>
      </c>
      <c r="AI8183">
        <v>17</v>
      </c>
      <c r="AJ8183">
        <v>1</v>
      </c>
      <c r="AK8183">
        <v>27</v>
      </c>
      <c r="AL8183">
        <v>37</v>
      </c>
      <c r="AM8183" t="s">
        <v>43</v>
      </c>
      <c r="AN8183" t="str">
        <f>HYPERLINK("https://www.google.com/maps?q=10.80094242,79.52173615","Open Location")</f>
        <v>Open Location</v>
      </c>
    </row>
    <row r="8184" spans="1:40" x14ac:dyDescent="0.3">
      <c r="A8184" s="1">
        <v>46210.052083333336</v>
      </c>
      <c r="B8184" t="s">
        <v>40</v>
      </c>
      <c r="C8184" t="s">
        <v>41</v>
      </c>
      <c r="D8184" s="1">
        <v>46210.054884259262</v>
      </c>
      <c r="E8184" t="s">
        <v>42</v>
      </c>
      <c r="F8184" t="s">
        <v>83</v>
      </c>
      <c r="G8184">
        <v>60</v>
      </c>
      <c r="H8184">
        <v>33038</v>
      </c>
      <c r="I8184" t="s">
        <v>43</v>
      </c>
      <c r="J8184">
        <v>77</v>
      </c>
      <c r="K8184">
        <v>96</v>
      </c>
      <c r="L8184">
        <v>98</v>
      </c>
      <c r="M8184">
        <v>629.5</v>
      </c>
      <c r="N8184" t="s">
        <v>87</v>
      </c>
      <c r="O8184" t="s">
        <v>86</v>
      </c>
      <c r="P8184">
        <v>131</v>
      </c>
      <c r="Q8184">
        <v>6</v>
      </c>
      <c r="R8184">
        <v>57</v>
      </c>
      <c r="S8184">
        <v>1669</v>
      </c>
      <c r="T8184">
        <v>-40</v>
      </c>
      <c r="U8184">
        <v>44</v>
      </c>
      <c r="V8184">
        <v>300</v>
      </c>
      <c r="W8184">
        <v>26</v>
      </c>
      <c r="X8184">
        <v>26</v>
      </c>
      <c r="Y8184">
        <v>1</v>
      </c>
      <c r="Z8184">
        <v>8</v>
      </c>
      <c r="AA8184">
        <v>24</v>
      </c>
      <c r="AB8184">
        <v>1</v>
      </c>
      <c r="AC8184">
        <v>3</v>
      </c>
      <c r="AD8184">
        <v>3.2809998999999999</v>
      </c>
      <c r="AE8184">
        <v>5</v>
      </c>
      <c r="AF8184">
        <v>38</v>
      </c>
      <c r="AG8184">
        <v>3.2650001</v>
      </c>
      <c r="AH8184">
        <v>4</v>
      </c>
      <c r="AI8184">
        <v>17</v>
      </c>
      <c r="AJ8184">
        <v>1</v>
      </c>
      <c r="AK8184">
        <v>27</v>
      </c>
      <c r="AL8184">
        <v>37</v>
      </c>
      <c r="AM8184" t="s">
        <v>43</v>
      </c>
      <c r="AN8184" t="s">
        <v>43</v>
      </c>
    </row>
    <row r="8185" spans="1:40" x14ac:dyDescent="0.3">
      <c r="A8185" s="1">
        <v>46210.05196759259</v>
      </c>
      <c r="B8185" t="s">
        <v>40</v>
      </c>
      <c r="C8185" t="s">
        <v>41</v>
      </c>
      <c r="D8185" s="1">
        <v>46210.054884259262</v>
      </c>
      <c r="E8185" t="s">
        <v>42</v>
      </c>
      <c r="F8185" t="s">
        <v>83</v>
      </c>
      <c r="G8185">
        <v>57</v>
      </c>
      <c r="H8185">
        <v>33037</v>
      </c>
      <c r="I8185" t="s">
        <v>4459</v>
      </c>
      <c r="J8185">
        <v>77</v>
      </c>
      <c r="K8185">
        <v>109</v>
      </c>
      <c r="L8185">
        <v>98</v>
      </c>
      <c r="M8185">
        <v>629</v>
      </c>
      <c r="N8185" t="s">
        <v>87</v>
      </c>
      <c r="O8185" t="s">
        <v>86</v>
      </c>
      <c r="P8185">
        <v>131</v>
      </c>
      <c r="Q8185">
        <v>6</v>
      </c>
      <c r="R8185">
        <v>56</v>
      </c>
      <c r="S8185">
        <v>1591</v>
      </c>
      <c r="T8185">
        <v>-40</v>
      </c>
      <c r="U8185">
        <v>43</v>
      </c>
      <c r="V8185">
        <v>380</v>
      </c>
      <c r="W8185">
        <v>26</v>
      </c>
      <c r="X8185">
        <v>26</v>
      </c>
      <c r="Y8185">
        <v>1</v>
      </c>
      <c r="Z8185">
        <v>8</v>
      </c>
      <c r="AA8185">
        <v>24</v>
      </c>
      <c r="AB8185">
        <v>1</v>
      </c>
      <c r="AC8185">
        <v>3</v>
      </c>
      <c r="AD8185">
        <v>3.2909998900000001</v>
      </c>
      <c r="AE8185">
        <v>1</v>
      </c>
      <c r="AF8185">
        <v>1</v>
      </c>
      <c r="AG8185">
        <v>3.27999997</v>
      </c>
      <c r="AH8185">
        <v>2</v>
      </c>
      <c r="AI8185">
        <v>46</v>
      </c>
      <c r="AJ8185">
        <v>1</v>
      </c>
      <c r="AK8185">
        <v>28</v>
      </c>
      <c r="AL8185">
        <v>37</v>
      </c>
      <c r="AM8185" t="s">
        <v>43</v>
      </c>
      <c r="AN8185" t="str">
        <f>HYPERLINK("https://www.google.com/maps?q=10.80015278,79.52011108","Open Location")</f>
        <v>Open Location</v>
      </c>
    </row>
    <row r="8186" spans="1:40" x14ac:dyDescent="0.3">
      <c r="A8186" s="1">
        <v>46210.051851851851</v>
      </c>
      <c r="B8186" t="s">
        <v>40</v>
      </c>
      <c r="C8186" t="s">
        <v>41</v>
      </c>
      <c r="D8186" s="1">
        <v>46210.054884259262</v>
      </c>
      <c r="E8186" t="s">
        <v>42</v>
      </c>
      <c r="F8186" t="s">
        <v>83</v>
      </c>
      <c r="G8186">
        <v>57</v>
      </c>
      <c r="H8186">
        <v>33037</v>
      </c>
      <c r="I8186" t="s">
        <v>4460</v>
      </c>
      <c r="J8186">
        <v>77</v>
      </c>
      <c r="K8186">
        <v>-67</v>
      </c>
      <c r="L8186">
        <v>98</v>
      </c>
      <c r="M8186">
        <v>636.79998779000005</v>
      </c>
      <c r="N8186" t="s">
        <v>87</v>
      </c>
      <c r="O8186" t="s">
        <v>86</v>
      </c>
      <c r="P8186">
        <v>131</v>
      </c>
      <c r="Q8186">
        <v>6</v>
      </c>
      <c r="R8186">
        <v>-50</v>
      </c>
      <c r="S8186">
        <v>1557</v>
      </c>
      <c r="T8186">
        <v>-40</v>
      </c>
      <c r="U8186">
        <v>43</v>
      </c>
      <c r="V8186">
        <v>-300</v>
      </c>
      <c r="W8186" t="s">
        <v>43</v>
      </c>
      <c r="X8186" t="s">
        <v>43</v>
      </c>
      <c r="Y8186" t="s">
        <v>43</v>
      </c>
      <c r="Z8186" t="s">
        <v>43</v>
      </c>
      <c r="AA8186" t="s">
        <v>43</v>
      </c>
      <c r="AB8186" t="s">
        <v>43</v>
      </c>
      <c r="AC8186" t="s">
        <v>43</v>
      </c>
      <c r="AD8186" t="s">
        <v>43</v>
      </c>
      <c r="AE8186" t="s">
        <v>43</v>
      </c>
      <c r="AF8186" t="s">
        <v>43</v>
      </c>
      <c r="AG8186" t="s">
        <v>43</v>
      </c>
      <c r="AH8186" t="s">
        <v>43</v>
      </c>
      <c r="AI8186" t="s">
        <v>43</v>
      </c>
      <c r="AJ8186" t="s">
        <v>43</v>
      </c>
      <c r="AK8186" t="s">
        <v>43</v>
      </c>
      <c r="AL8186" t="s">
        <v>43</v>
      </c>
      <c r="AM8186" t="s">
        <v>43</v>
      </c>
      <c r="AN8186" t="str">
        <f>HYPERLINK("https://www.google.com/maps?q=10.79897308,79.51887512","Open Location")</f>
        <v>Open Location</v>
      </c>
    </row>
    <row r="8187" spans="1:40" x14ac:dyDescent="0.3">
      <c r="A8187" s="1">
        <v>46210.051736111112</v>
      </c>
      <c r="B8187" t="s">
        <v>40</v>
      </c>
      <c r="C8187" t="s">
        <v>41</v>
      </c>
      <c r="D8187" s="1">
        <v>46210.054490740738</v>
      </c>
      <c r="E8187" t="s">
        <v>42</v>
      </c>
      <c r="F8187" t="s">
        <v>83</v>
      </c>
      <c r="G8187">
        <v>58</v>
      </c>
      <c r="H8187">
        <v>33037</v>
      </c>
      <c r="I8187" t="s">
        <v>4461</v>
      </c>
      <c r="J8187">
        <v>77</v>
      </c>
      <c r="K8187">
        <v>55</v>
      </c>
      <c r="L8187">
        <v>98</v>
      </c>
      <c r="M8187">
        <v>631.29998779000005</v>
      </c>
      <c r="N8187" t="s">
        <v>87</v>
      </c>
      <c r="O8187" t="s">
        <v>86</v>
      </c>
      <c r="P8187">
        <v>131</v>
      </c>
      <c r="Q8187">
        <v>6</v>
      </c>
      <c r="R8187">
        <v>33</v>
      </c>
      <c r="S8187">
        <v>1606</v>
      </c>
      <c r="T8187">
        <v>-40</v>
      </c>
      <c r="U8187">
        <v>44</v>
      </c>
      <c r="V8187">
        <v>200</v>
      </c>
      <c r="W8187">
        <v>26</v>
      </c>
      <c r="X8187">
        <v>26</v>
      </c>
      <c r="Y8187">
        <v>1</v>
      </c>
      <c r="Z8187">
        <v>8</v>
      </c>
      <c r="AA8187">
        <v>24</v>
      </c>
      <c r="AB8187">
        <v>1</v>
      </c>
      <c r="AC8187">
        <v>3</v>
      </c>
      <c r="AD8187">
        <v>3.2699999800000001</v>
      </c>
      <c r="AE8187">
        <v>5</v>
      </c>
      <c r="AF8187">
        <v>38</v>
      </c>
      <c r="AG8187">
        <v>3.2490000700000001</v>
      </c>
      <c r="AH8187">
        <v>8</v>
      </c>
      <c r="AI8187">
        <v>35</v>
      </c>
      <c r="AJ8187">
        <v>1</v>
      </c>
      <c r="AK8187">
        <v>27</v>
      </c>
      <c r="AL8187">
        <v>37</v>
      </c>
      <c r="AM8187" t="s">
        <v>43</v>
      </c>
      <c r="AN8187" t="str">
        <f>HYPERLINK("https://www.google.com/maps?q=10.79771137,79.51741791","Open Location")</f>
        <v>Open Location</v>
      </c>
    </row>
    <row r="8188" spans="1:40" x14ac:dyDescent="0.3">
      <c r="A8188" s="1">
        <v>46210.051620370374</v>
      </c>
      <c r="B8188" t="s">
        <v>40</v>
      </c>
      <c r="C8188" t="s">
        <v>41</v>
      </c>
      <c r="D8188" s="1">
        <v>46210.054375</v>
      </c>
      <c r="E8188" t="s">
        <v>42</v>
      </c>
      <c r="F8188" t="s">
        <v>83</v>
      </c>
      <c r="G8188">
        <v>55</v>
      </c>
      <c r="H8188">
        <v>33037</v>
      </c>
      <c r="I8188" t="s">
        <v>4462</v>
      </c>
      <c r="J8188">
        <v>77</v>
      </c>
      <c r="K8188">
        <v>-42</v>
      </c>
      <c r="L8188">
        <v>98</v>
      </c>
      <c r="M8188">
        <v>635.40002441000001</v>
      </c>
      <c r="N8188" t="s">
        <v>87</v>
      </c>
      <c r="O8188" t="s">
        <v>86</v>
      </c>
      <c r="P8188">
        <v>131</v>
      </c>
      <c r="Q8188">
        <v>6</v>
      </c>
      <c r="R8188">
        <v>22</v>
      </c>
      <c r="S8188">
        <v>1498</v>
      </c>
      <c r="T8188">
        <v>-40</v>
      </c>
      <c r="U8188">
        <v>44</v>
      </c>
      <c r="V8188">
        <v>-300</v>
      </c>
      <c r="W8188">
        <v>26</v>
      </c>
      <c r="X8188">
        <v>26</v>
      </c>
      <c r="Y8188">
        <v>1</v>
      </c>
      <c r="Z8188">
        <v>8</v>
      </c>
      <c r="AA8188">
        <v>24</v>
      </c>
      <c r="AB8188">
        <v>1</v>
      </c>
      <c r="AC8188">
        <v>3</v>
      </c>
      <c r="AD8188">
        <v>3.28500009</v>
      </c>
      <c r="AE8188">
        <v>1</v>
      </c>
      <c r="AF8188">
        <v>42</v>
      </c>
      <c r="AG8188">
        <v>3.2720000699999998</v>
      </c>
      <c r="AH8188">
        <v>7</v>
      </c>
      <c r="AI8188">
        <v>19</v>
      </c>
      <c r="AJ8188">
        <v>1</v>
      </c>
      <c r="AK8188">
        <v>27</v>
      </c>
      <c r="AL8188">
        <v>37</v>
      </c>
      <c r="AM8188" t="s">
        <v>43</v>
      </c>
      <c r="AN8188" t="str">
        <f>HYPERLINK("https://www.google.com/maps?q=10.79674625,79.51604462","Open Location")</f>
        <v>Open Location</v>
      </c>
    </row>
    <row r="8189" spans="1:40" x14ac:dyDescent="0.3">
      <c r="A8189" s="1">
        <v>46210.051504629628</v>
      </c>
      <c r="B8189" t="s">
        <v>40</v>
      </c>
      <c r="C8189" t="s">
        <v>41</v>
      </c>
      <c r="D8189" s="1">
        <v>46210.054629629631</v>
      </c>
      <c r="E8189" t="s">
        <v>42</v>
      </c>
      <c r="F8189" t="s">
        <v>83</v>
      </c>
      <c r="G8189">
        <v>51</v>
      </c>
      <c r="H8189" t="s">
        <v>43</v>
      </c>
      <c r="I8189" t="s">
        <v>43</v>
      </c>
      <c r="J8189">
        <v>77</v>
      </c>
      <c r="K8189">
        <v>168</v>
      </c>
      <c r="L8189">
        <v>98</v>
      </c>
      <c r="M8189">
        <v>626.20001220999995</v>
      </c>
      <c r="N8189" t="s">
        <v>87</v>
      </c>
      <c r="O8189" t="s">
        <v>86</v>
      </c>
      <c r="P8189">
        <v>131</v>
      </c>
      <c r="Q8189">
        <v>6</v>
      </c>
      <c r="R8189">
        <v>104</v>
      </c>
      <c r="S8189">
        <v>1442</v>
      </c>
      <c r="T8189">
        <v>-40</v>
      </c>
      <c r="U8189">
        <v>46</v>
      </c>
      <c r="V8189">
        <v>660</v>
      </c>
      <c r="W8189">
        <v>26</v>
      </c>
      <c r="X8189">
        <v>26</v>
      </c>
      <c r="Y8189">
        <v>1</v>
      </c>
      <c r="Z8189">
        <v>8</v>
      </c>
      <c r="AA8189">
        <v>24</v>
      </c>
      <c r="AB8189">
        <v>1</v>
      </c>
      <c r="AC8189">
        <v>1</v>
      </c>
      <c r="AD8189">
        <v>3.28900003</v>
      </c>
      <c r="AE8189">
        <v>5</v>
      </c>
      <c r="AF8189">
        <v>38</v>
      </c>
      <c r="AG8189">
        <v>3.27699995</v>
      </c>
      <c r="AH8189">
        <v>7</v>
      </c>
      <c r="AI8189">
        <v>19</v>
      </c>
      <c r="AJ8189">
        <v>1</v>
      </c>
      <c r="AK8189">
        <v>27</v>
      </c>
      <c r="AL8189">
        <v>37</v>
      </c>
      <c r="AM8189" t="s">
        <v>43</v>
      </c>
      <c r="AN8189" t="s">
        <v>43</v>
      </c>
    </row>
    <row r="8190" spans="1:40" x14ac:dyDescent="0.3">
      <c r="A8190" s="1">
        <v>46210.051388888889</v>
      </c>
      <c r="B8190" t="s">
        <v>40</v>
      </c>
      <c r="C8190" t="s">
        <v>41</v>
      </c>
      <c r="D8190" s="1">
        <v>46210.054444444446</v>
      </c>
      <c r="E8190" t="s">
        <v>42</v>
      </c>
      <c r="F8190" t="s">
        <v>83</v>
      </c>
      <c r="G8190">
        <v>41</v>
      </c>
      <c r="H8190">
        <v>33037</v>
      </c>
      <c r="I8190" t="s">
        <v>4463</v>
      </c>
      <c r="J8190">
        <v>77</v>
      </c>
      <c r="K8190">
        <v>184</v>
      </c>
      <c r="L8190">
        <v>98</v>
      </c>
      <c r="M8190">
        <v>627.09997558999999</v>
      </c>
      <c r="N8190" t="s">
        <v>87</v>
      </c>
      <c r="O8190" t="s">
        <v>86</v>
      </c>
      <c r="P8190">
        <v>131</v>
      </c>
      <c r="Q8190">
        <v>6</v>
      </c>
      <c r="R8190">
        <v>106</v>
      </c>
      <c r="S8190">
        <v>1178</v>
      </c>
      <c r="T8190">
        <v>-40</v>
      </c>
      <c r="U8190">
        <v>46</v>
      </c>
      <c r="V8190">
        <v>880</v>
      </c>
      <c r="W8190">
        <v>26</v>
      </c>
      <c r="X8190">
        <v>26</v>
      </c>
      <c r="Y8190">
        <v>1</v>
      </c>
      <c r="Z8190">
        <v>8</v>
      </c>
      <c r="AA8190">
        <v>24</v>
      </c>
      <c r="AB8190">
        <v>1</v>
      </c>
      <c r="AC8190">
        <v>1</v>
      </c>
      <c r="AD8190">
        <v>3.3059999900000001</v>
      </c>
      <c r="AE8190">
        <v>5</v>
      </c>
      <c r="AF8190">
        <v>38</v>
      </c>
      <c r="AG8190">
        <v>3.2990000199999998</v>
      </c>
      <c r="AH8190">
        <v>1</v>
      </c>
      <c r="AI8190">
        <v>4</v>
      </c>
      <c r="AJ8190">
        <v>1</v>
      </c>
      <c r="AK8190">
        <v>27</v>
      </c>
      <c r="AL8190">
        <v>37</v>
      </c>
      <c r="AM8190" t="s">
        <v>43</v>
      </c>
      <c r="AN8190" t="str">
        <f>HYPERLINK("https://www.google.com/maps?q=10.79590893,79.51481628","Open Location")</f>
        <v>Open Location</v>
      </c>
    </row>
    <row r="8191" spans="1:40" x14ac:dyDescent="0.3">
      <c r="A8191" s="1">
        <v>46210.05127314815</v>
      </c>
      <c r="B8191" t="s">
        <v>40</v>
      </c>
      <c r="C8191" t="s">
        <v>41</v>
      </c>
      <c r="D8191" s="1">
        <v>46210.054166666669</v>
      </c>
      <c r="E8191" t="s">
        <v>42</v>
      </c>
      <c r="F8191" t="s">
        <v>83</v>
      </c>
      <c r="G8191">
        <v>46</v>
      </c>
      <c r="H8191">
        <v>33037</v>
      </c>
      <c r="I8191" t="s">
        <v>4464</v>
      </c>
      <c r="J8191">
        <v>77</v>
      </c>
      <c r="K8191">
        <v>-173</v>
      </c>
      <c r="L8191">
        <v>98</v>
      </c>
      <c r="M8191">
        <v>642.09997558999999</v>
      </c>
      <c r="N8191" t="s">
        <v>87</v>
      </c>
      <c r="O8191" t="s">
        <v>86</v>
      </c>
      <c r="P8191">
        <v>131</v>
      </c>
      <c r="Q8191">
        <v>6</v>
      </c>
      <c r="R8191">
        <v>-134</v>
      </c>
      <c r="S8191">
        <v>1170</v>
      </c>
      <c r="T8191">
        <v>-40</v>
      </c>
      <c r="U8191">
        <v>43</v>
      </c>
      <c r="V8191">
        <v>-1000</v>
      </c>
      <c r="W8191">
        <v>26</v>
      </c>
      <c r="X8191">
        <v>26</v>
      </c>
      <c r="Y8191">
        <v>1</v>
      </c>
      <c r="Z8191">
        <v>8</v>
      </c>
      <c r="AA8191">
        <v>24</v>
      </c>
      <c r="AB8191">
        <v>1</v>
      </c>
      <c r="AC8191">
        <v>1</v>
      </c>
      <c r="AD8191">
        <v>3.2920000599999999</v>
      </c>
      <c r="AE8191">
        <v>5</v>
      </c>
      <c r="AF8191">
        <v>38</v>
      </c>
      <c r="AG8191">
        <v>3.2809998999999999</v>
      </c>
      <c r="AH8191">
        <v>7</v>
      </c>
      <c r="AI8191">
        <v>1</v>
      </c>
      <c r="AJ8191">
        <v>1</v>
      </c>
      <c r="AK8191">
        <v>27</v>
      </c>
      <c r="AL8191">
        <v>37</v>
      </c>
      <c r="AM8191" t="s">
        <v>43</v>
      </c>
      <c r="AN8191" t="str">
        <f>HYPERLINK("https://www.google.com/maps?q=10.79522419,79.51384735","Open Location")</f>
        <v>Open Location</v>
      </c>
    </row>
    <row r="8192" spans="1:40" x14ac:dyDescent="0.3">
      <c r="A8192" s="1">
        <v>46210.051157407404</v>
      </c>
      <c r="B8192" t="s">
        <v>40</v>
      </c>
      <c r="C8192" t="s">
        <v>41</v>
      </c>
      <c r="D8192" s="1">
        <v>46210.054224537038</v>
      </c>
      <c r="E8192" t="s">
        <v>42</v>
      </c>
      <c r="F8192" t="s">
        <v>83</v>
      </c>
      <c r="G8192">
        <v>52</v>
      </c>
      <c r="H8192" t="s">
        <v>43</v>
      </c>
      <c r="I8192" t="s">
        <v>4465</v>
      </c>
      <c r="J8192">
        <v>77</v>
      </c>
      <c r="K8192">
        <v>107</v>
      </c>
      <c r="L8192">
        <v>98</v>
      </c>
      <c r="M8192">
        <v>629.70001220999995</v>
      </c>
      <c r="N8192" t="s">
        <v>87</v>
      </c>
      <c r="O8192" t="s">
        <v>86</v>
      </c>
      <c r="P8192">
        <v>131</v>
      </c>
      <c r="Q8192">
        <v>6</v>
      </c>
      <c r="R8192">
        <v>63</v>
      </c>
      <c r="S8192">
        <v>1458</v>
      </c>
      <c r="T8192">
        <v>-40</v>
      </c>
      <c r="U8192">
        <v>43</v>
      </c>
      <c r="V8192">
        <v>420</v>
      </c>
      <c r="W8192">
        <v>26</v>
      </c>
      <c r="X8192">
        <v>26</v>
      </c>
      <c r="Y8192">
        <v>1</v>
      </c>
      <c r="Z8192">
        <v>8</v>
      </c>
      <c r="AA8192">
        <v>24</v>
      </c>
      <c r="AB8192">
        <v>1</v>
      </c>
      <c r="AC8192">
        <v>1</v>
      </c>
      <c r="AD8192">
        <v>3.2909998900000001</v>
      </c>
      <c r="AE8192">
        <v>5</v>
      </c>
      <c r="AF8192">
        <v>38</v>
      </c>
      <c r="AG8192">
        <v>3.2790000400000001</v>
      </c>
      <c r="AH8192">
        <v>8</v>
      </c>
      <c r="AI8192">
        <v>35</v>
      </c>
      <c r="AJ8192">
        <v>1</v>
      </c>
      <c r="AK8192">
        <v>27</v>
      </c>
      <c r="AL8192">
        <v>37</v>
      </c>
      <c r="AM8192" t="s">
        <v>43</v>
      </c>
      <c r="AN8192" t="str">
        <f>HYPERLINK("https://www.google.com/maps?q=10.79440212,79.51248169","Open Location")</f>
        <v>Open Location</v>
      </c>
    </row>
    <row r="8193" spans="1:40" x14ac:dyDescent="0.3">
      <c r="A8193" s="1">
        <v>46210.051041666666</v>
      </c>
      <c r="B8193" t="s">
        <v>40</v>
      </c>
      <c r="C8193" t="s">
        <v>41</v>
      </c>
      <c r="D8193" s="1">
        <v>46210.053726851853</v>
      </c>
      <c r="E8193" t="s">
        <v>42</v>
      </c>
      <c r="F8193" t="s">
        <v>83</v>
      </c>
      <c r="G8193">
        <v>49</v>
      </c>
      <c r="H8193">
        <v>33036</v>
      </c>
      <c r="I8193" t="s">
        <v>4466</v>
      </c>
      <c r="J8193">
        <v>77</v>
      </c>
      <c r="K8193">
        <v>47</v>
      </c>
      <c r="L8193">
        <v>98</v>
      </c>
      <c r="M8193">
        <v>633</v>
      </c>
      <c r="N8193" t="s">
        <v>87</v>
      </c>
      <c r="O8193" t="s">
        <v>86</v>
      </c>
      <c r="P8193">
        <v>131</v>
      </c>
      <c r="Q8193">
        <v>6</v>
      </c>
      <c r="R8193">
        <v>37</v>
      </c>
      <c r="S8193">
        <v>1372</v>
      </c>
      <c r="T8193">
        <v>-40</v>
      </c>
      <c r="U8193">
        <v>43</v>
      </c>
      <c r="V8193">
        <v>200</v>
      </c>
      <c r="W8193">
        <v>26</v>
      </c>
      <c r="X8193">
        <v>26</v>
      </c>
      <c r="Y8193">
        <v>1</v>
      </c>
      <c r="Z8193">
        <v>8</v>
      </c>
      <c r="AA8193">
        <v>24</v>
      </c>
      <c r="AB8193">
        <v>1</v>
      </c>
      <c r="AC8193">
        <v>1</v>
      </c>
      <c r="AD8193">
        <v>3.3220000299999999</v>
      </c>
      <c r="AE8193">
        <v>1</v>
      </c>
      <c r="AF8193">
        <v>7</v>
      </c>
      <c r="AG8193">
        <v>3.3190000099999999</v>
      </c>
      <c r="AH8193">
        <v>2</v>
      </c>
      <c r="AI8193">
        <v>6</v>
      </c>
      <c r="AJ8193">
        <v>1</v>
      </c>
      <c r="AK8193">
        <v>27</v>
      </c>
      <c r="AL8193">
        <v>37</v>
      </c>
      <c r="AM8193" t="s">
        <v>43</v>
      </c>
      <c r="AN8193" t="str">
        <f>HYPERLINK("https://www.google.com/maps?q=10.79356766,79.51122284","Open Location")</f>
        <v>Open Location</v>
      </c>
    </row>
    <row r="8194" spans="1:40" x14ac:dyDescent="0.3">
      <c r="A8194" s="1">
        <v>46210.050925925927</v>
      </c>
      <c r="B8194" t="s">
        <v>40</v>
      </c>
      <c r="C8194" t="s">
        <v>41</v>
      </c>
      <c r="D8194" s="1">
        <v>46210.053865740738</v>
      </c>
      <c r="E8194" t="s">
        <v>42</v>
      </c>
      <c r="F8194" t="s">
        <v>83</v>
      </c>
      <c r="G8194">
        <v>53</v>
      </c>
      <c r="H8194">
        <v>33036</v>
      </c>
      <c r="I8194" t="s">
        <v>4467</v>
      </c>
      <c r="J8194">
        <v>77</v>
      </c>
      <c r="K8194">
        <v>1</v>
      </c>
      <c r="L8194">
        <v>98</v>
      </c>
      <c r="M8194">
        <v>636.40002441000001</v>
      </c>
      <c r="N8194" t="s">
        <v>87</v>
      </c>
      <c r="O8194" t="s">
        <v>86</v>
      </c>
      <c r="P8194">
        <v>131</v>
      </c>
      <c r="Q8194">
        <v>6</v>
      </c>
      <c r="R8194">
        <v>24</v>
      </c>
      <c r="S8194">
        <v>1466</v>
      </c>
      <c r="T8194">
        <v>-40</v>
      </c>
      <c r="U8194">
        <v>42</v>
      </c>
      <c r="V8194">
        <v>28</v>
      </c>
      <c r="W8194">
        <v>26</v>
      </c>
      <c r="X8194">
        <v>26</v>
      </c>
      <c r="Y8194">
        <v>1</v>
      </c>
      <c r="Z8194">
        <v>8</v>
      </c>
      <c r="AA8194">
        <v>24</v>
      </c>
      <c r="AB8194">
        <v>1</v>
      </c>
      <c r="AC8194">
        <v>1</v>
      </c>
      <c r="AD8194">
        <v>3.2999999500000001</v>
      </c>
      <c r="AE8194">
        <v>5</v>
      </c>
      <c r="AF8194">
        <v>3</v>
      </c>
      <c r="AG8194">
        <v>3.2929999799999998</v>
      </c>
      <c r="AH8194">
        <v>4</v>
      </c>
      <c r="AI8194">
        <v>17</v>
      </c>
      <c r="AJ8194">
        <v>1</v>
      </c>
      <c r="AK8194">
        <v>27</v>
      </c>
      <c r="AL8194">
        <v>37</v>
      </c>
      <c r="AM8194" t="s">
        <v>43</v>
      </c>
      <c r="AN8194" t="str">
        <f>HYPERLINK("https://www.google.com/maps?q=10.79255104,79.5098114","Open Location")</f>
        <v>Open Location</v>
      </c>
    </row>
    <row r="8195" spans="1:40" x14ac:dyDescent="0.3">
      <c r="A8195" s="1">
        <v>46210.050810185188</v>
      </c>
      <c r="B8195" t="s">
        <v>40</v>
      </c>
      <c r="C8195" t="s">
        <v>41</v>
      </c>
      <c r="D8195" s="1">
        <v>46210.053738425922</v>
      </c>
      <c r="E8195" t="s">
        <v>42</v>
      </c>
      <c r="F8195" t="s">
        <v>83</v>
      </c>
      <c r="G8195">
        <v>55</v>
      </c>
      <c r="H8195">
        <v>33036</v>
      </c>
      <c r="I8195" t="s">
        <v>43</v>
      </c>
      <c r="J8195">
        <v>77</v>
      </c>
      <c r="K8195">
        <v>78</v>
      </c>
      <c r="L8195">
        <v>98</v>
      </c>
      <c r="M8195">
        <v>630.79998779000005</v>
      </c>
      <c r="N8195" t="s">
        <v>87</v>
      </c>
      <c r="O8195" t="s">
        <v>86</v>
      </c>
      <c r="P8195">
        <v>131</v>
      </c>
      <c r="Q8195">
        <v>6</v>
      </c>
      <c r="R8195">
        <v>47</v>
      </c>
      <c r="S8195">
        <v>1513</v>
      </c>
      <c r="T8195">
        <v>-40</v>
      </c>
      <c r="U8195">
        <v>43</v>
      </c>
      <c r="V8195">
        <v>300</v>
      </c>
      <c r="W8195">
        <v>26</v>
      </c>
      <c r="X8195">
        <v>26</v>
      </c>
      <c r="Y8195">
        <v>1</v>
      </c>
      <c r="Z8195">
        <v>8</v>
      </c>
      <c r="AA8195">
        <v>24</v>
      </c>
      <c r="AB8195">
        <v>1</v>
      </c>
      <c r="AC8195">
        <v>1</v>
      </c>
      <c r="AD8195">
        <v>3.2899999599999998</v>
      </c>
      <c r="AE8195">
        <v>5</v>
      </c>
      <c r="AF8195">
        <v>38</v>
      </c>
      <c r="AG8195">
        <v>3.2790000400000001</v>
      </c>
      <c r="AH8195">
        <v>7</v>
      </c>
      <c r="AI8195">
        <v>19</v>
      </c>
      <c r="AJ8195">
        <v>1</v>
      </c>
      <c r="AK8195">
        <v>27</v>
      </c>
      <c r="AL8195">
        <v>37</v>
      </c>
      <c r="AM8195" t="s">
        <v>43</v>
      </c>
      <c r="AN8195" t="s">
        <v>43</v>
      </c>
    </row>
    <row r="8196" spans="1:40" x14ac:dyDescent="0.3">
      <c r="A8196" s="1">
        <v>46210.050694444442</v>
      </c>
      <c r="B8196" t="s">
        <v>40</v>
      </c>
      <c r="C8196" t="s">
        <v>41</v>
      </c>
      <c r="D8196" s="1">
        <v>46210.053368055553</v>
      </c>
      <c r="E8196" t="s">
        <v>42</v>
      </c>
      <c r="F8196" t="s">
        <v>83</v>
      </c>
      <c r="G8196">
        <v>52</v>
      </c>
      <c r="H8196">
        <v>33036</v>
      </c>
      <c r="I8196" t="s">
        <v>4468</v>
      </c>
      <c r="J8196">
        <v>77</v>
      </c>
      <c r="K8196">
        <v>111</v>
      </c>
      <c r="L8196">
        <v>98</v>
      </c>
      <c r="M8196">
        <v>629.29998779000005</v>
      </c>
      <c r="N8196" t="s">
        <v>87</v>
      </c>
      <c r="O8196" t="s">
        <v>86</v>
      </c>
      <c r="P8196">
        <v>131</v>
      </c>
      <c r="Q8196">
        <v>6</v>
      </c>
      <c r="R8196">
        <v>73</v>
      </c>
      <c r="S8196">
        <v>1466</v>
      </c>
      <c r="T8196">
        <v>-40</v>
      </c>
      <c r="U8196">
        <v>44</v>
      </c>
      <c r="V8196">
        <v>420</v>
      </c>
      <c r="W8196">
        <v>26</v>
      </c>
      <c r="X8196">
        <v>26</v>
      </c>
      <c r="Y8196">
        <v>1</v>
      </c>
      <c r="Z8196">
        <v>8</v>
      </c>
      <c r="AA8196">
        <v>24</v>
      </c>
      <c r="AB8196">
        <v>1</v>
      </c>
      <c r="AC8196">
        <v>1</v>
      </c>
      <c r="AD8196">
        <v>3.27399993</v>
      </c>
      <c r="AE8196">
        <v>5</v>
      </c>
      <c r="AF8196">
        <v>38</v>
      </c>
      <c r="AG8196">
        <v>3.2569999699999999</v>
      </c>
      <c r="AH8196">
        <v>7</v>
      </c>
      <c r="AI8196">
        <v>19</v>
      </c>
      <c r="AJ8196">
        <v>1</v>
      </c>
      <c r="AK8196">
        <v>27</v>
      </c>
      <c r="AL8196">
        <v>37</v>
      </c>
      <c r="AM8196" t="s">
        <v>43</v>
      </c>
      <c r="AN8196" t="str">
        <f>HYPERLINK("https://www.google.com/maps?q=10.79162121,79.50843048","Open Location")</f>
        <v>Open Location</v>
      </c>
    </row>
    <row r="8197" spans="1:40" x14ac:dyDescent="0.3">
      <c r="A8197" s="1">
        <v>46210.050578703704</v>
      </c>
      <c r="B8197" t="s">
        <v>40</v>
      </c>
      <c r="C8197" t="s">
        <v>41</v>
      </c>
      <c r="D8197" s="1">
        <v>46210.053425925929</v>
      </c>
      <c r="E8197" t="s">
        <v>42</v>
      </c>
      <c r="F8197" t="s">
        <v>83</v>
      </c>
      <c r="G8197">
        <v>47</v>
      </c>
      <c r="H8197">
        <v>33036</v>
      </c>
      <c r="I8197" t="s">
        <v>4469</v>
      </c>
      <c r="J8197">
        <v>77</v>
      </c>
      <c r="K8197">
        <v>77</v>
      </c>
      <c r="L8197">
        <v>98</v>
      </c>
      <c r="M8197">
        <v>631.40002441000001</v>
      </c>
      <c r="N8197" t="s">
        <v>87</v>
      </c>
      <c r="O8197" t="s">
        <v>86</v>
      </c>
      <c r="P8197">
        <v>131</v>
      </c>
      <c r="Q8197">
        <v>6</v>
      </c>
      <c r="R8197">
        <v>38</v>
      </c>
      <c r="S8197">
        <v>1311</v>
      </c>
      <c r="T8197">
        <v>-40</v>
      </c>
      <c r="U8197">
        <v>43</v>
      </c>
      <c r="V8197">
        <v>300</v>
      </c>
      <c r="W8197">
        <v>26</v>
      </c>
      <c r="X8197">
        <v>26</v>
      </c>
      <c r="Y8197">
        <v>1</v>
      </c>
      <c r="Z8197">
        <v>8</v>
      </c>
      <c r="AA8197">
        <v>24</v>
      </c>
      <c r="AB8197">
        <v>1</v>
      </c>
      <c r="AC8197">
        <v>1</v>
      </c>
      <c r="AD8197">
        <v>3.2920000599999999</v>
      </c>
      <c r="AE8197">
        <v>5</v>
      </c>
      <c r="AF8197">
        <v>38</v>
      </c>
      <c r="AG8197">
        <v>3.2809998999999999</v>
      </c>
      <c r="AH8197">
        <v>4</v>
      </c>
      <c r="AI8197">
        <v>17</v>
      </c>
      <c r="AJ8197">
        <v>1</v>
      </c>
      <c r="AK8197">
        <v>27</v>
      </c>
      <c r="AL8197">
        <v>37</v>
      </c>
      <c r="AM8197" t="s">
        <v>43</v>
      </c>
      <c r="AN8197" t="str">
        <f>HYPERLINK("https://www.google.com/maps?q=10.79073524,79.50721741","Open Location")</f>
        <v>Open Location</v>
      </c>
    </row>
    <row r="8198" spans="1:40" x14ac:dyDescent="0.3">
      <c r="A8198" s="1">
        <v>46210.050462962965</v>
      </c>
      <c r="B8198" t="s">
        <v>40</v>
      </c>
      <c r="C8198" t="s">
        <v>41</v>
      </c>
      <c r="D8198" s="1">
        <v>46210.053495370368</v>
      </c>
      <c r="E8198" t="s">
        <v>42</v>
      </c>
      <c r="F8198" t="s">
        <v>83</v>
      </c>
      <c r="G8198">
        <v>45</v>
      </c>
      <c r="H8198">
        <v>33036</v>
      </c>
      <c r="I8198" t="s">
        <v>4470</v>
      </c>
      <c r="J8198">
        <v>78</v>
      </c>
      <c r="K8198">
        <v>64</v>
      </c>
      <c r="L8198">
        <v>98</v>
      </c>
      <c r="M8198">
        <v>632.20001220999995</v>
      </c>
      <c r="N8198" t="s">
        <v>87</v>
      </c>
      <c r="O8198" t="s">
        <v>86</v>
      </c>
      <c r="P8198">
        <v>131</v>
      </c>
      <c r="Q8198">
        <v>6</v>
      </c>
      <c r="R8198">
        <v>34</v>
      </c>
      <c r="S8198">
        <v>1256</v>
      </c>
      <c r="T8198">
        <v>-40</v>
      </c>
      <c r="U8198">
        <v>43</v>
      </c>
      <c r="V8198">
        <v>260</v>
      </c>
      <c r="W8198">
        <v>26</v>
      </c>
      <c r="X8198">
        <v>26</v>
      </c>
      <c r="Y8198">
        <v>1</v>
      </c>
      <c r="Z8198">
        <v>8</v>
      </c>
      <c r="AA8198">
        <v>24</v>
      </c>
      <c r="AB8198">
        <v>1</v>
      </c>
      <c r="AC8198">
        <v>1</v>
      </c>
      <c r="AD8198">
        <v>3.2999999500000001</v>
      </c>
      <c r="AE8198">
        <v>5</v>
      </c>
      <c r="AF8198">
        <v>38</v>
      </c>
      <c r="AG8198">
        <v>3.2920000599999999</v>
      </c>
      <c r="AH8198">
        <v>4</v>
      </c>
      <c r="AI8198">
        <v>17</v>
      </c>
      <c r="AJ8198">
        <v>1</v>
      </c>
      <c r="AK8198">
        <v>27</v>
      </c>
      <c r="AL8198">
        <v>37</v>
      </c>
      <c r="AM8198" t="s">
        <v>43</v>
      </c>
      <c r="AN8198" t="str">
        <f>HYPERLINK("https://www.google.com/maps?q=10.78963661,79.50637054","Open Location")</f>
        <v>Open Location</v>
      </c>
    </row>
    <row r="8199" spans="1:40" x14ac:dyDescent="0.3">
      <c r="A8199" s="1">
        <v>46210.050347222219</v>
      </c>
      <c r="B8199" t="s">
        <v>40</v>
      </c>
      <c r="C8199" t="s">
        <v>41</v>
      </c>
      <c r="D8199" s="1">
        <v>46210.053379629629</v>
      </c>
      <c r="E8199" t="s">
        <v>42</v>
      </c>
      <c r="F8199" t="s">
        <v>83</v>
      </c>
      <c r="G8199">
        <v>45</v>
      </c>
      <c r="H8199">
        <v>33035</v>
      </c>
      <c r="I8199" t="s">
        <v>4471</v>
      </c>
      <c r="J8199">
        <v>78</v>
      </c>
      <c r="K8199">
        <v>75</v>
      </c>
      <c r="L8199">
        <v>98</v>
      </c>
      <c r="M8199">
        <v>631.79998779000005</v>
      </c>
      <c r="N8199" t="s">
        <v>87</v>
      </c>
      <c r="O8199" t="s">
        <v>86</v>
      </c>
      <c r="P8199">
        <v>131</v>
      </c>
      <c r="Q8199">
        <v>6</v>
      </c>
      <c r="R8199">
        <v>44</v>
      </c>
      <c r="S8199">
        <v>1261</v>
      </c>
      <c r="T8199">
        <v>-40</v>
      </c>
      <c r="U8199">
        <v>43</v>
      </c>
      <c r="V8199">
        <v>340</v>
      </c>
      <c r="W8199">
        <v>26</v>
      </c>
      <c r="X8199">
        <v>26</v>
      </c>
      <c r="Y8199">
        <v>1</v>
      </c>
      <c r="Z8199">
        <v>8</v>
      </c>
      <c r="AA8199">
        <v>24</v>
      </c>
      <c r="AB8199">
        <v>1</v>
      </c>
      <c r="AC8199">
        <v>1</v>
      </c>
      <c r="AD8199">
        <v>3.3039999</v>
      </c>
      <c r="AE8199">
        <v>5</v>
      </c>
      <c r="AF8199">
        <v>38</v>
      </c>
      <c r="AG8199">
        <v>3.2980000999999999</v>
      </c>
      <c r="AH8199">
        <v>2</v>
      </c>
      <c r="AI8199">
        <v>46</v>
      </c>
      <c r="AJ8199">
        <v>1</v>
      </c>
      <c r="AK8199">
        <v>27</v>
      </c>
      <c r="AL8199">
        <v>37</v>
      </c>
      <c r="AM8199" t="s">
        <v>43</v>
      </c>
      <c r="AN8199" t="str">
        <f>HYPERLINK("https://www.google.com/maps?q=10.78838825,79.50577545","Open Location")</f>
        <v>Open Location</v>
      </c>
    </row>
    <row r="8200" spans="1:40" x14ac:dyDescent="0.3">
      <c r="A8200" s="1">
        <v>46210.05023148148</v>
      </c>
      <c r="B8200" t="s">
        <v>40</v>
      </c>
      <c r="C8200" t="s">
        <v>41</v>
      </c>
      <c r="D8200" s="1">
        <v>46210.052939814814</v>
      </c>
      <c r="E8200" t="s">
        <v>42</v>
      </c>
      <c r="F8200" t="s">
        <v>83</v>
      </c>
      <c r="G8200">
        <v>44</v>
      </c>
      <c r="H8200" t="s">
        <v>43</v>
      </c>
      <c r="I8200" t="s">
        <v>4472</v>
      </c>
      <c r="J8200">
        <v>78</v>
      </c>
      <c r="K8200">
        <v>73</v>
      </c>
      <c r="L8200">
        <v>98</v>
      </c>
      <c r="M8200">
        <v>631.40002441000001</v>
      </c>
      <c r="N8200" t="s">
        <v>87</v>
      </c>
      <c r="O8200" t="s">
        <v>86</v>
      </c>
      <c r="P8200">
        <v>131</v>
      </c>
      <c r="Q8200">
        <v>6</v>
      </c>
      <c r="R8200">
        <v>45</v>
      </c>
      <c r="S8200">
        <v>1222</v>
      </c>
      <c r="T8200">
        <v>-40</v>
      </c>
      <c r="U8200">
        <v>44</v>
      </c>
      <c r="V8200">
        <v>340</v>
      </c>
      <c r="W8200">
        <v>26</v>
      </c>
      <c r="X8200">
        <v>26</v>
      </c>
      <c r="Y8200">
        <v>1</v>
      </c>
      <c r="Z8200">
        <v>8</v>
      </c>
      <c r="AA8200">
        <v>24</v>
      </c>
      <c r="AB8200">
        <v>1</v>
      </c>
      <c r="AC8200">
        <v>1</v>
      </c>
      <c r="AD8200">
        <v>3.2959999999999998</v>
      </c>
      <c r="AE8200">
        <v>5</v>
      </c>
      <c r="AF8200">
        <v>38</v>
      </c>
      <c r="AG8200">
        <v>3.28600001</v>
      </c>
      <c r="AH8200">
        <v>8</v>
      </c>
      <c r="AI8200">
        <v>35</v>
      </c>
      <c r="AJ8200">
        <v>1</v>
      </c>
      <c r="AK8200">
        <v>27</v>
      </c>
      <c r="AL8200">
        <v>37</v>
      </c>
      <c r="AM8200" t="s">
        <v>43</v>
      </c>
      <c r="AN8200" t="str">
        <f>HYPERLINK("https://www.google.com/maps?q=10.78721428,79.50517273","Open Location")</f>
        <v>Open Location</v>
      </c>
    </row>
    <row r="8201" spans="1:40" x14ac:dyDescent="0.3">
      <c r="A8201" s="1">
        <v>46210.050115740742</v>
      </c>
      <c r="B8201" t="s">
        <v>40</v>
      </c>
      <c r="C8201" t="s">
        <v>41</v>
      </c>
      <c r="D8201" s="1">
        <v>46210.052939814814</v>
      </c>
      <c r="E8201" t="s">
        <v>42</v>
      </c>
      <c r="F8201" t="s">
        <v>83</v>
      </c>
      <c r="G8201">
        <v>39</v>
      </c>
      <c r="H8201">
        <v>33035</v>
      </c>
      <c r="I8201" t="s">
        <v>43</v>
      </c>
      <c r="J8201">
        <v>78</v>
      </c>
      <c r="K8201">
        <v>104</v>
      </c>
      <c r="L8201">
        <v>98</v>
      </c>
      <c r="M8201">
        <v>631.5</v>
      </c>
      <c r="N8201" t="s">
        <v>87</v>
      </c>
      <c r="O8201" t="s">
        <v>86</v>
      </c>
      <c r="P8201">
        <v>131</v>
      </c>
      <c r="Q8201">
        <v>6</v>
      </c>
      <c r="R8201">
        <v>63</v>
      </c>
      <c r="S8201">
        <v>1099</v>
      </c>
      <c r="T8201">
        <v>-40</v>
      </c>
      <c r="U8201">
        <v>44</v>
      </c>
      <c r="V8201">
        <v>560</v>
      </c>
      <c r="W8201">
        <v>26</v>
      </c>
      <c r="X8201">
        <v>26</v>
      </c>
      <c r="Y8201">
        <v>1</v>
      </c>
      <c r="Z8201">
        <v>8</v>
      </c>
      <c r="AA8201">
        <v>24</v>
      </c>
      <c r="AB8201">
        <v>1</v>
      </c>
      <c r="AC8201">
        <v>1</v>
      </c>
      <c r="AD8201">
        <v>3.3519999999999999</v>
      </c>
      <c r="AE8201">
        <v>8</v>
      </c>
      <c r="AF8201">
        <v>35</v>
      </c>
      <c r="AG8201">
        <v>3.34200001</v>
      </c>
      <c r="AH8201">
        <v>3</v>
      </c>
      <c r="AI8201">
        <v>8</v>
      </c>
      <c r="AJ8201">
        <v>1</v>
      </c>
      <c r="AK8201">
        <v>27</v>
      </c>
      <c r="AL8201">
        <v>37</v>
      </c>
      <c r="AM8201" t="s">
        <v>43</v>
      </c>
      <c r="AN8201" t="s">
        <v>43</v>
      </c>
    </row>
    <row r="8202" spans="1:40" x14ac:dyDescent="0.3">
      <c r="A8202" s="1">
        <v>46210.05</v>
      </c>
      <c r="B8202" t="s">
        <v>40</v>
      </c>
      <c r="C8202" t="s">
        <v>41</v>
      </c>
      <c r="D8202" s="1">
        <v>46210.052951388891</v>
      </c>
      <c r="E8202" t="s">
        <v>42</v>
      </c>
      <c r="F8202" t="s">
        <v>83</v>
      </c>
      <c r="G8202">
        <v>51</v>
      </c>
      <c r="H8202">
        <v>33035</v>
      </c>
      <c r="I8202" t="s">
        <v>4473</v>
      </c>
      <c r="J8202">
        <v>78</v>
      </c>
      <c r="K8202">
        <v>-42</v>
      </c>
      <c r="L8202">
        <v>98</v>
      </c>
      <c r="M8202">
        <v>637</v>
      </c>
      <c r="N8202" t="s">
        <v>87</v>
      </c>
      <c r="O8202" t="s">
        <v>86</v>
      </c>
      <c r="P8202">
        <v>131</v>
      </c>
      <c r="Q8202">
        <v>6</v>
      </c>
      <c r="R8202">
        <v>20</v>
      </c>
      <c r="S8202">
        <v>1421</v>
      </c>
      <c r="T8202">
        <v>-40</v>
      </c>
      <c r="U8202">
        <v>42</v>
      </c>
      <c r="V8202">
        <v>-300</v>
      </c>
      <c r="W8202">
        <v>26</v>
      </c>
      <c r="X8202">
        <v>26</v>
      </c>
      <c r="Y8202">
        <v>1</v>
      </c>
      <c r="Z8202">
        <v>8</v>
      </c>
      <c r="AA8202">
        <v>24</v>
      </c>
      <c r="AB8202">
        <v>1</v>
      </c>
      <c r="AC8202">
        <v>1</v>
      </c>
      <c r="AD8202">
        <v>3.2980000999999999</v>
      </c>
      <c r="AE8202">
        <v>1</v>
      </c>
      <c r="AF8202">
        <v>41</v>
      </c>
      <c r="AG8202">
        <v>3.2899999599999998</v>
      </c>
      <c r="AH8202">
        <v>4</v>
      </c>
      <c r="AI8202">
        <v>17</v>
      </c>
      <c r="AJ8202">
        <v>1</v>
      </c>
      <c r="AK8202">
        <v>28</v>
      </c>
      <c r="AL8202">
        <v>37</v>
      </c>
      <c r="AM8202" t="s">
        <v>43</v>
      </c>
      <c r="AN8202" t="str">
        <f>HYPERLINK("https://www.google.com/maps?q=10.78622723,79.50435638","Open Location")</f>
        <v>Open Location</v>
      </c>
    </row>
    <row r="8203" spans="1:40" x14ac:dyDescent="0.3">
      <c r="A8203" s="1">
        <v>46210.049884259257</v>
      </c>
      <c r="B8203" t="s">
        <v>40</v>
      </c>
      <c r="C8203" t="s">
        <v>41</v>
      </c>
      <c r="D8203" s="1">
        <v>46210.05259259259</v>
      </c>
      <c r="E8203" t="s">
        <v>42</v>
      </c>
      <c r="F8203" t="s">
        <v>83</v>
      </c>
      <c r="G8203">
        <v>50</v>
      </c>
      <c r="H8203">
        <v>33035</v>
      </c>
      <c r="I8203" t="s">
        <v>4474</v>
      </c>
      <c r="J8203">
        <v>78</v>
      </c>
      <c r="K8203">
        <v>109</v>
      </c>
      <c r="L8203">
        <v>98</v>
      </c>
      <c r="M8203">
        <v>631.20001220999995</v>
      </c>
      <c r="N8203" t="s">
        <v>87</v>
      </c>
      <c r="O8203" t="s">
        <v>86</v>
      </c>
      <c r="P8203">
        <v>131</v>
      </c>
      <c r="Q8203">
        <v>6</v>
      </c>
      <c r="R8203">
        <v>81</v>
      </c>
      <c r="S8203">
        <v>1412</v>
      </c>
      <c r="T8203">
        <v>-40</v>
      </c>
      <c r="U8203">
        <v>44</v>
      </c>
      <c r="V8203">
        <v>405</v>
      </c>
      <c r="W8203">
        <v>26</v>
      </c>
      <c r="X8203">
        <v>26</v>
      </c>
      <c r="Y8203">
        <v>1</v>
      </c>
      <c r="Z8203">
        <v>8</v>
      </c>
      <c r="AA8203">
        <v>24</v>
      </c>
      <c r="AB8203">
        <v>1</v>
      </c>
      <c r="AC8203">
        <v>1</v>
      </c>
      <c r="AD8203">
        <v>3.28900003</v>
      </c>
      <c r="AE8203">
        <v>5</v>
      </c>
      <c r="AF8203">
        <v>38</v>
      </c>
      <c r="AG8203">
        <v>3.2760000200000001</v>
      </c>
      <c r="AH8203">
        <v>8</v>
      </c>
      <c r="AI8203">
        <v>35</v>
      </c>
      <c r="AJ8203">
        <v>1</v>
      </c>
      <c r="AK8203">
        <v>27</v>
      </c>
      <c r="AL8203">
        <v>37</v>
      </c>
      <c r="AM8203" t="s">
        <v>43</v>
      </c>
      <c r="AN8203" t="str">
        <f>HYPERLINK("https://www.google.com/maps?q=10.78551197,79.50298309","Open Location")</f>
        <v>Open Location</v>
      </c>
    </row>
    <row r="8204" spans="1:40" x14ac:dyDescent="0.3">
      <c r="A8204" s="1">
        <v>46210.049768518518</v>
      </c>
      <c r="B8204" t="s">
        <v>40</v>
      </c>
      <c r="C8204" t="s">
        <v>41</v>
      </c>
      <c r="D8204" s="1">
        <v>46210.05259259259</v>
      </c>
      <c r="E8204" t="s">
        <v>42</v>
      </c>
      <c r="F8204" t="s">
        <v>83</v>
      </c>
      <c r="G8204">
        <v>46</v>
      </c>
      <c r="H8204">
        <v>33035</v>
      </c>
      <c r="I8204" t="s">
        <v>4475</v>
      </c>
      <c r="J8204">
        <v>78</v>
      </c>
      <c r="K8204">
        <v>74</v>
      </c>
      <c r="L8204">
        <v>98</v>
      </c>
      <c r="M8204">
        <v>634.20001220999995</v>
      </c>
      <c r="N8204" t="s">
        <v>87</v>
      </c>
      <c r="O8204" t="s">
        <v>86</v>
      </c>
      <c r="P8204">
        <v>131</v>
      </c>
      <c r="Q8204">
        <v>6</v>
      </c>
      <c r="R8204">
        <v>64</v>
      </c>
      <c r="S8204">
        <v>1297</v>
      </c>
      <c r="T8204">
        <v>-40</v>
      </c>
      <c r="U8204">
        <v>44</v>
      </c>
      <c r="V8204">
        <v>455</v>
      </c>
      <c r="W8204">
        <v>26</v>
      </c>
      <c r="X8204">
        <v>26</v>
      </c>
      <c r="Y8204">
        <v>1</v>
      </c>
      <c r="Z8204">
        <v>8</v>
      </c>
      <c r="AA8204">
        <v>23</v>
      </c>
      <c r="AB8204">
        <v>7</v>
      </c>
      <c r="AC8204">
        <v>6</v>
      </c>
      <c r="AD8204">
        <v>3.2929999799999998</v>
      </c>
      <c r="AE8204">
        <v>5</v>
      </c>
      <c r="AF8204">
        <v>38</v>
      </c>
      <c r="AG8204">
        <v>3.2809998999999999</v>
      </c>
      <c r="AH8204">
        <v>8</v>
      </c>
      <c r="AI8204">
        <v>35</v>
      </c>
      <c r="AJ8204">
        <v>1</v>
      </c>
      <c r="AK8204">
        <v>27</v>
      </c>
      <c r="AL8204">
        <v>37</v>
      </c>
      <c r="AM8204" t="s">
        <v>43</v>
      </c>
      <c r="AN8204" t="str">
        <f>HYPERLINK("https://www.google.com/maps?q=10.78536129,79.50146484","Open Location")</f>
        <v>Open Location</v>
      </c>
    </row>
    <row r="8205" spans="1:40" x14ac:dyDescent="0.3">
      <c r="A8205" s="1">
        <v>46210.04965277778</v>
      </c>
      <c r="B8205" t="s">
        <v>40</v>
      </c>
      <c r="C8205" t="s">
        <v>41</v>
      </c>
      <c r="D8205" s="1">
        <v>46210.052719907406</v>
      </c>
      <c r="E8205" t="s">
        <v>42</v>
      </c>
      <c r="F8205" t="s">
        <v>83</v>
      </c>
      <c r="G8205">
        <v>36</v>
      </c>
      <c r="H8205">
        <v>33035</v>
      </c>
      <c r="I8205" t="s">
        <v>4476</v>
      </c>
      <c r="J8205">
        <v>78</v>
      </c>
      <c r="K8205">
        <v>93</v>
      </c>
      <c r="L8205">
        <v>98</v>
      </c>
      <c r="M8205">
        <v>631.40002441000001</v>
      </c>
      <c r="N8205" t="s">
        <v>87</v>
      </c>
      <c r="O8205" t="s">
        <v>86</v>
      </c>
      <c r="P8205">
        <v>131</v>
      </c>
      <c r="Q8205">
        <v>6</v>
      </c>
      <c r="R8205">
        <v>9</v>
      </c>
      <c r="S8205">
        <v>1017</v>
      </c>
      <c r="T8205">
        <v>-40</v>
      </c>
      <c r="U8205">
        <v>42</v>
      </c>
      <c r="V8205">
        <v>460</v>
      </c>
      <c r="W8205">
        <v>26</v>
      </c>
      <c r="X8205">
        <v>26</v>
      </c>
      <c r="Y8205">
        <v>1</v>
      </c>
      <c r="Z8205">
        <v>8</v>
      </c>
      <c r="AA8205">
        <v>23</v>
      </c>
      <c r="AB8205">
        <v>7</v>
      </c>
      <c r="AC8205">
        <v>6</v>
      </c>
      <c r="AD8205">
        <v>3.3010001199999999</v>
      </c>
      <c r="AE8205">
        <v>1</v>
      </c>
      <c r="AF8205">
        <v>44</v>
      </c>
      <c r="AG8205">
        <v>3.2929999799999998</v>
      </c>
      <c r="AH8205">
        <v>8</v>
      </c>
      <c r="AI8205">
        <v>35</v>
      </c>
      <c r="AJ8205">
        <v>1</v>
      </c>
      <c r="AK8205">
        <v>27</v>
      </c>
      <c r="AL8205">
        <v>37</v>
      </c>
      <c r="AM8205" t="s">
        <v>43</v>
      </c>
      <c r="AN8205" t="str">
        <f>HYPERLINK("https://www.google.com/maps?q=10.7854948,79.50030518","Open Location")</f>
        <v>Open Location</v>
      </c>
    </row>
    <row r="8206" spans="1:40" x14ac:dyDescent="0.3">
      <c r="A8206" s="1">
        <v>46210.049537037034</v>
      </c>
      <c r="B8206" t="s">
        <v>40</v>
      </c>
      <c r="C8206" t="s">
        <v>41</v>
      </c>
      <c r="D8206" s="1">
        <v>46210.052581018521</v>
      </c>
      <c r="E8206" t="s">
        <v>42</v>
      </c>
      <c r="F8206" t="s">
        <v>83</v>
      </c>
      <c r="G8206">
        <v>37</v>
      </c>
      <c r="H8206">
        <v>33035</v>
      </c>
      <c r="I8206" t="s">
        <v>43</v>
      </c>
      <c r="J8206">
        <v>78</v>
      </c>
      <c r="K8206">
        <v>88</v>
      </c>
      <c r="L8206">
        <v>98</v>
      </c>
      <c r="M8206">
        <v>632.20001220999995</v>
      </c>
      <c r="N8206" t="s">
        <v>87</v>
      </c>
      <c r="O8206" t="s">
        <v>86</v>
      </c>
      <c r="P8206">
        <v>131</v>
      </c>
      <c r="Q8206">
        <v>6</v>
      </c>
      <c r="R8206">
        <v>58</v>
      </c>
      <c r="S8206">
        <v>1047</v>
      </c>
      <c r="T8206">
        <v>-40</v>
      </c>
      <c r="U8206">
        <v>42</v>
      </c>
      <c r="V8206">
        <v>455</v>
      </c>
      <c r="W8206">
        <v>26</v>
      </c>
      <c r="X8206">
        <v>26</v>
      </c>
      <c r="Y8206">
        <v>1</v>
      </c>
      <c r="Z8206">
        <v>8</v>
      </c>
      <c r="AA8206">
        <v>23</v>
      </c>
      <c r="AB8206">
        <v>7</v>
      </c>
      <c r="AC8206">
        <v>6</v>
      </c>
      <c r="AD8206">
        <v>3.3519999999999999</v>
      </c>
      <c r="AE8206">
        <v>4</v>
      </c>
      <c r="AF8206">
        <v>24</v>
      </c>
      <c r="AG8206">
        <v>3.34200001</v>
      </c>
      <c r="AH8206">
        <v>5</v>
      </c>
      <c r="AI8206">
        <v>8</v>
      </c>
      <c r="AJ8206">
        <v>1</v>
      </c>
      <c r="AK8206">
        <v>28</v>
      </c>
      <c r="AL8206">
        <v>37</v>
      </c>
      <c r="AM8206" t="s">
        <v>43</v>
      </c>
      <c r="AN8206" t="s">
        <v>43</v>
      </c>
    </row>
    <row r="8207" spans="1:40" x14ac:dyDescent="0.3">
      <c r="A8207" s="1">
        <v>46210.049421296295</v>
      </c>
      <c r="B8207" t="s">
        <v>40</v>
      </c>
      <c r="C8207" t="s">
        <v>41</v>
      </c>
      <c r="D8207" s="1">
        <v>46210.052372685182</v>
      </c>
      <c r="E8207" t="s">
        <v>42</v>
      </c>
      <c r="F8207" t="s">
        <v>83</v>
      </c>
      <c r="G8207">
        <v>50</v>
      </c>
      <c r="H8207">
        <v>33034</v>
      </c>
      <c r="I8207" t="s">
        <v>4477</v>
      </c>
      <c r="J8207">
        <v>78</v>
      </c>
      <c r="K8207">
        <v>29</v>
      </c>
      <c r="L8207">
        <v>98</v>
      </c>
      <c r="M8207">
        <v>633.70001220999995</v>
      </c>
      <c r="N8207" t="s">
        <v>87</v>
      </c>
      <c r="O8207" t="s">
        <v>86</v>
      </c>
      <c r="P8207">
        <v>131</v>
      </c>
      <c r="Q8207">
        <v>6</v>
      </c>
      <c r="R8207">
        <v>17</v>
      </c>
      <c r="S8207">
        <v>1398</v>
      </c>
      <c r="T8207">
        <v>-40</v>
      </c>
      <c r="U8207">
        <v>41</v>
      </c>
      <c r="V8207">
        <v>120</v>
      </c>
      <c r="W8207">
        <v>26</v>
      </c>
      <c r="X8207">
        <v>26</v>
      </c>
      <c r="Y8207">
        <v>1</v>
      </c>
      <c r="Z8207">
        <v>8</v>
      </c>
      <c r="AA8207">
        <v>23</v>
      </c>
      <c r="AB8207">
        <v>7</v>
      </c>
      <c r="AC8207">
        <v>6</v>
      </c>
      <c r="AD8207">
        <v>3.3050000700000002</v>
      </c>
      <c r="AE8207">
        <v>1</v>
      </c>
      <c r="AF8207">
        <v>1</v>
      </c>
      <c r="AG8207">
        <v>3.2999999500000001</v>
      </c>
      <c r="AH8207">
        <v>4</v>
      </c>
      <c r="AI8207">
        <v>17</v>
      </c>
      <c r="AJ8207">
        <v>1</v>
      </c>
      <c r="AK8207">
        <v>27</v>
      </c>
      <c r="AL8207">
        <v>37</v>
      </c>
      <c r="AM8207" t="s">
        <v>43</v>
      </c>
      <c r="AN8207" t="str">
        <f>HYPERLINK("https://www.google.com/maps?q=10.78563023,79.49906921","Open Location")</f>
        <v>Open Location</v>
      </c>
    </row>
    <row r="8208" spans="1:40" x14ac:dyDescent="0.3">
      <c r="A8208" s="1">
        <v>46210.049305555556</v>
      </c>
      <c r="B8208" t="s">
        <v>40</v>
      </c>
      <c r="C8208" t="s">
        <v>41</v>
      </c>
      <c r="D8208" s="1">
        <v>46210.052349537036</v>
      </c>
      <c r="E8208" t="s">
        <v>42</v>
      </c>
      <c r="F8208" t="s">
        <v>83</v>
      </c>
      <c r="G8208">
        <v>53</v>
      </c>
      <c r="H8208">
        <v>33034</v>
      </c>
      <c r="I8208" t="s">
        <v>4478</v>
      </c>
      <c r="J8208">
        <v>78</v>
      </c>
      <c r="K8208">
        <v>58</v>
      </c>
      <c r="L8208">
        <v>98</v>
      </c>
      <c r="M8208">
        <v>633.90002441000001</v>
      </c>
      <c r="N8208" t="s">
        <v>87</v>
      </c>
      <c r="O8208" t="s">
        <v>86</v>
      </c>
      <c r="P8208">
        <v>131</v>
      </c>
      <c r="Q8208">
        <v>6</v>
      </c>
      <c r="R8208">
        <v>31</v>
      </c>
      <c r="S8208">
        <v>1467</v>
      </c>
      <c r="T8208">
        <v>-40</v>
      </c>
      <c r="U8208">
        <v>41</v>
      </c>
      <c r="V8208">
        <v>236</v>
      </c>
      <c r="W8208">
        <v>26</v>
      </c>
      <c r="X8208">
        <v>26</v>
      </c>
      <c r="Y8208">
        <v>1</v>
      </c>
      <c r="Z8208">
        <v>8</v>
      </c>
      <c r="AA8208">
        <v>23</v>
      </c>
      <c r="AB8208">
        <v>7</v>
      </c>
      <c r="AC8208">
        <v>6</v>
      </c>
      <c r="AD8208">
        <v>3.2969999300000001</v>
      </c>
      <c r="AE8208">
        <v>5</v>
      </c>
      <c r="AF8208">
        <v>38</v>
      </c>
      <c r="AG8208">
        <v>3.28800011</v>
      </c>
      <c r="AH8208">
        <v>8</v>
      </c>
      <c r="AI8208">
        <v>35</v>
      </c>
      <c r="AJ8208">
        <v>1</v>
      </c>
      <c r="AK8208">
        <v>27</v>
      </c>
      <c r="AL8208">
        <v>37</v>
      </c>
      <c r="AM8208" t="s">
        <v>43</v>
      </c>
      <c r="AN8208" t="str">
        <f>HYPERLINK("https://www.google.com/maps?q=10.78579998,79.49749756","Open Location")</f>
        <v>Open Location</v>
      </c>
    </row>
    <row r="8209" spans="1:40" x14ac:dyDescent="0.3">
      <c r="A8209" s="1">
        <v>46210.049189814818</v>
      </c>
      <c r="B8209" t="s">
        <v>40</v>
      </c>
      <c r="C8209" t="s">
        <v>41</v>
      </c>
      <c r="D8209" s="1">
        <v>46210.052025462966</v>
      </c>
      <c r="E8209" t="s">
        <v>42</v>
      </c>
      <c r="F8209" t="s">
        <v>83</v>
      </c>
      <c r="G8209">
        <v>58</v>
      </c>
      <c r="H8209">
        <v>33034</v>
      </c>
      <c r="I8209" t="s">
        <v>4479</v>
      </c>
      <c r="J8209">
        <v>78</v>
      </c>
      <c r="K8209">
        <v>-31</v>
      </c>
      <c r="L8209">
        <v>98</v>
      </c>
      <c r="M8209">
        <v>636.90002441000001</v>
      </c>
      <c r="N8209" t="s">
        <v>87</v>
      </c>
      <c r="O8209" t="s">
        <v>86</v>
      </c>
      <c r="P8209">
        <v>131</v>
      </c>
      <c r="Q8209">
        <v>6</v>
      </c>
      <c r="R8209">
        <v>43</v>
      </c>
      <c r="S8209">
        <v>1587</v>
      </c>
      <c r="T8209">
        <v>-40</v>
      </c>
      <c r="U8209">
        <v>43</v>
      </c>
      <c r="V8209">
        <v>-108</v>
      </c>
      <c r="W8209">
        <v>26</v>
      </c>
      <c r="X8209">
        <v>26</v>
      </c>
      <c r="Y8209">
        <v>1</v>
      </c>
      <c r="Z8209">
        <v>8</v>
      </c>
      <c r="AA8209">
        <v>23</v>
      </c>
      <c r="AB8209">
        <v>7</v>
      </c>
      <c r="AC8209">
        <v>6</v>
      </c>
      <c r="AD8209">
        <v>3.28900003</v>
      </c>
      <c r="AE8209">
        <v>5</v>
      </c>
      <c r="AF8209">
        <v>38</v>
      </c>
      <c r="AG8209">
        <v>3.2760000200000001</v>
      </c>
      <c r="AH8209">
        <v>8</v>
      </c>
      <c r="AI8209">
        <v>35</v>
      </c>
      <c r="AJ8209">
        <v>1</v>
      </c>
      <c r="AK8209">
        <v>27</v>
      </c>
      <c r="AL8209">
        <v>37</v>
      </c>
      <c r="AM8209" t="s">
        <v>43</v>
      </c>
      <c r="AN8209" t="str">
        <f>HYPERLINK("https://www.google.com/maps?q=10.7859993,79.49578857","Open Location")</f>
        <v>Open Location</v>
      </c>
    </row>
    <row r="8210" spans="1:40" x14ac:dyDescent="0.3">
      <c r="A8210" s="1">
        <v>46210.049074074072</v>
      </c>
      <c r="B8210" t="s">
        <v>40</v>
      </c>
      <c r="C8210" t="s">
        <v>41</v>
      </c>
      <c r="D8210" s="1">
        <v>46210.051886574074</v>
      </c>
      <c r="E8210" t="s">
        <v>42</v>
      </c>
      <c r="F8210" t="s">
        <v>83</v>
      </c>
      <c r="G8210">
        <v>56</v>
      </c>
      <c r="H8210" t="s">
        <v>43</v>
      </c>
      <c r="I8210" t="s">
        <v>4480</v>
      </c>
      <c r="J8210">
        <v>78</v>
      </c>
      <c r="K8210">
        <v>98</v>
      </c>
      <c r="L8210">
        <v>98</v>
      </c>
      <c r="M8210">
        <v>630.5</v>
      </c>
      <c r="N8210" t="s">
        <v>87</v>
      </c>
      <c r="O8210" t="s">
        <v>86</v>
      </c>
      <c r="P8210">
        <v>131</v>
      </c>
      <c r="Q8210">
        <v>6</v>
      </c>
      <c r="R8210">
        <v>47</v>
      </c>
      <c r="S8210">
        <v>1574</v>
      </c>
      <c r="T8210">
        <v>-40</v>
      </c>
      <c r="U8210">
        <v>42</v>
      </c>
      <c r="V8210">
        <v>360</v>
      </c>
      <c r="W8210">
        <v>26</v>
      </c>
      <c r="X8210">
        <v>26</v>
      </c>
      <c r="Y8210">
        <v>1</v>
      </c>
      <c r="Z8210">
        <v>8</v>
      </c>
      <c r="AA8210">
        <v>23</v>
      </c>
      <c r="AB8210">
        <v>7</v>
      </c>
      <c r="AC8210">
        <v>6</v>
      </c>
      <c r="AD8210">
        <v>3.2969999300000001</v>
      </c>
      <c r="AE8210">
        <v>1</v>
      </c>
      <c r="AF8210">
        <v>38</v>
      </c>
      <c r="AG8210">
        <v>3.28900003</v>
      </c>
      <c r="AH8210">
        <v>6</v>
      </c>
      <c r="AI8210">
        <v>24</v>
      </c>
      <c r="AJ8210">
        <v>1</v>
      </c>
      <c r="AK8210">
        <v>27</v>
      </c>
      <c r="AL8210">
        <v>37</v>
      </c>
      <c r="AM8210" t="s">
        <v>43</v>
      </c>
      <c r="AN8210" t="str">
        <f>HYPERLINK("https://www.google.com/maps?q=10.78619957,79.4940567","Open Location")</f>
        <v>Open Location</v>
      </c>
    </row>
    <row r="8211" spans="1:40" x14ac:dyDescent="0.3">
      <c r="A8211" s="1">
        <v>46210.048958333333</v>
      </c>
      <c r="B8211" t="s">
        <v>40</v>
      </c>
      <c r="C8211" t="s">
        <v>41</v>
      </c>
      <c r="D8211" s="1">
        <v>46210.051817129628</v>
      </c>
      <c r="E8211" t="s">
        <v>42</v>
      </c>
      <c r="F8211" t="s">
        <v>83</v>
      </c>
      <c r="G8211">
        <v>57</v>
      </c>
      <c r="H8211">
        <v>33034</v>
      </c>
      <c r="I8211" t="s">
        <v>4481</v>
      </c>
      <c r="J8211">
        <v>78</v>
      </c>
      <c r="K8211">
        <v>44</v>
      </c>
      <c r="L8211">
        <v>98</v>
      </c>
      <c r="M8211">
        <v>633.90002441000001</v>
      </c>
      <c r="N8211" t="s">
        <v>87</v>
      </c>
      <c r="O8211" t="s">
        <v>86</v>
      </c>
      <c r="P8211">
        <v>131</v>
      </c>
      <c r="Q8211">
        <v>6</v>
      </c>
      <c r="R8211">
        <v>33</v>
      </c>
      <c r="S8211">
        <v>1558</v>
      </c>
      <c r="T8211">
        <v>-40</v>
      </c>
      <c r="U8211">
        <v>42</v>
      </c>
      <c r="V8211">
        <v>180</v>
      </c>
      <c r="W8211">
        <v>26</v>
      </c>
      <c r="X8211">
        <v>26</v>
      </c>
      <c r="Y8211">
        <v>1</v>
      </c>
      <c r="Z8211">
        <v>8</v>
      </c>
      <c r="AA8211">
        <v>23</v>
      </c>
      <c r="AB8211">
        <v>7</v>
      </c>
      <c r="AC8211">
        <v>6</v>
      </c>
      <c r="AD8211">
        <v>3.2939999100000001</v>
      </c>
      <c r="AE8211">
        <v>5</v>
      </c>
      <c r="AF8211">
        <v>38</v>
      </c>
      <c r="AG8211">
        <v>3.28299999</v>
      </c>
      <c r="AH8211">
        <v>8</v>
      </c>
      <c r="AI8211">
        <v>35</v>
      </c>
      <c r="AJ8211">
        <v>1</v>
      </c>
      <c r="AK8211">
        <v>27</v>
      </c>
      <c r="AL8211">
        <v>37</v>
      </c>
      <c r="AM8211" t="s">
        <v>43</v>
      </c>
      <c r="AN8211" t="str">
        <f>HYPERLINK("https://www.google.com/maps?q=10.78635597,79.49233246","Open Location")</f>
        <v>Open Location</v>
      </c>
    </row>
    <row r="8212" spans="1:40" x14ac:dyDescent="0.3">
      <c r="A8212" s="1">
        <v>46210.048842592594</v>
      </c>
      <c r="B8212" t="s">
        <v>40</v>
      </c>
      <c r="C8212" t="s">
        <v>41</v>
      </c>
      <c r="D8212" s="1">
        <v>46210.051527777781</v>
      </c>
      <c r="E8212" t="s">
        <v>42</v>
      </c>
      <c r="F8212" t="s">
        <v>83</v>
      </c>
      <c r="G8212">
        <v>56</v>
      </c>
      <c r="H8212">
        <v>33034</v>
      </c>
      <c r="I8212" t="s">
        <v>43</v>
      </c>
      <c r="J8212">
        <v>78</v>
      </c>
      <c r="K8212">
        <v>65</v>
      </c>
      <c r="L8212">
        <v>98</v>
      </c>
      <c r="M8212">
        <v>632.29998779000005</v>
      </c>
      <c r="N8212" t="s">
        <v>87</v>
      </c>
      <c r="O8212" t="s">
        <v>86</v>
      </c>
      <c r="P8212">
        <v>131</v>
      </c>
      <c r="Q8212">
        <v>6</v>
      </c>
      <c r="R8212">
        <v>44</v>
      </c>
      <c r="S8212">
        <v>1552</v>
      </c>
      <c r="T8212">
        <v>-40</v>
      </c>
      <c r="U8212">
        <v>42</v>
      </c>
      <c r="V8212">
        <v>220</v>
      </c>
      <c r="W8212">
        <v>26</v>
      </c>
      <c r="X8212">
        <v>26</v>
      </c>
      <c r="Y8212">
        <v>1</v>
      </c>
      <c r="Z8212">
        <v>8</v>
      </c>
      <c r="AA8212">
        <v>23</v>
      </c>
      <c r="AB8212">
        <v>7</v>
      </c>
      <c r="AC8212">
        <v>6</v>
      </c>
      <c r="AD8212">
        <v>3.2969999300000001</v>
      </c>
      <c r="AE8212">
        <v>5</v>
      </c>
      <c r="AF8212">
        <v>38</v>
      </c>
      <c r="AG8212">
        <v>3.28800011</v>
      </c>
      <c r="AH8212">
        <v>4</v>
      </c>
      <c r="AI8212">
        <v>17</v>
      </c>
      <c r="AJ8212">
        <v>1</v>
      </c>
      <c r="AK8212">
        <v>27</v>
      </c>
      <c r="AL8212">
        <v>37</v>
      </c>
      <c r="AM8212" t="s">
        <v>43</v>
      </c>
      <c r="AN8212" t="s">
        <v>43</v>
      </c>
    </row>
    <row r="8213" spans="1:40" x14ac:dyDescent="0.3">
      <c r="A8213" s="1">
        <v>46210.048726851855</v>
      </c>
      <c r="B8213" t="s">
        <v>40</v>
      </c>
      <c r="C8213" t="s">
        <v>41</v>
      </c>
      <c r="D8213" s="1">
        <v>46210.051828703705</v>
      </c>
      <c r="E8213" t="s">
        <v>42</v>
      </c>
      <c r="F8213" t="s">
        <v>83</v>
      </c>
      <c r="G8213">
        <v>55</v>
      </c>
      <c r="H8213">
        <v>33034</v>
      </c>
      <c r="I8213" t="s">
        <v>4482</v>
      </c>
      <c r="J8213">
        <v>78</v>
      </c>
      <c r="K8213">
        <v>80</v>
      </c>
      <c r="L8213">
        <v>98</v>
      </c>
      <c r="M8213">
        <v>631.09997558999999</v>
      </c>
      <c r="N8213" t="s">
        <v>87</v>
      </c>
      <c r="O8213" t="s">
        <v>86</v>
      </c>
      <c r="P8213">
        <v>131</v>
      </c>
      <c r="Q8213">
        <v>6</v>
      </c>
      <c r="R8213">
        <v>35</v>
      </c>
      <c r="S8213">
        <v>1537</v>
      </c>
      <c r="T8213">
        <v>-40</v>
      </c>
      <c r="U8213">
        <v>41</v>
      </c>
      <c r="V8213">
        <v>300</v>
      </c>
      <c r="W8213">
        <v>26</v>
      </c>
      <c r="X8213">
        <v>26</v>
      </c>
      <c r="Y8213">
        <v>1</v>
      </c>
      <c r="Z8213">
        <v>8</v>
      </c>
      <c r="AA8213">
        <v>23</v>
      </c>
      <c r="AB8213">
        <v>7</v>
      </c>
      <c r="AC8213">
        <v>6</v>
      </c>
      <c r="AD8213">
        <v>3.2980000999999999</v>
      </c>
      <c r="AE8213">
        <v>1</v>
      </c>
      <c r="AF8213">
        <v>44</v>
      </c>
      <c r="AG8213">
        <v>3.2899999599999998</v>
      </c>
      <c r="AH8213">
        <v>8</v>
      </c>
      <c r="AI8213">
        <v>35</v>
      </c>
      <c r="AJ8213">
        <v>1</v>
      </c>
      <c r="AK8213">
        <v>27</v>
      </c>
      <c r="AL8213">
        <v>37</v>
      </c>
      <c r="AM8213" t="s">
        <v>43</v>
      </c>
      <c r="AN8213" t="str">
        <f>HYPERLINK("https://www.google.com/maps?q=10.78654385,79.49049377","Open Location")</f>
        <v>Open Location</v>
      </c>
    </row>
    <row r="8214" spans="1:40" x14ac:dyDescent="0.3">
      <c r="A8214" s="1">
        <v>46210.048611111109</v>
      </c>
      <c r="B8214" t="s">
        <v>40</v>
      </c>
      <c r="C8214" t="s">
        <v>41</v>
      </c>
      <c r="D8214" s="1">
        <v>46210.051423611112</v>
      </c>
      <c r="E8214" t="s">
        <v>42</v>
      </c>
      <c r="F8214" t="s">
        <v>83</v>
      </c>
      <c r="G8214">
        <v>57</v>
      </c>
      <c r="H8214">
        <v>33033</v>
      </c>
      <c r="I8214" t="s">
        <v>4483</v>
      </c>
      <c r="J8214">
        <v>78</v>
      </c>
      <c r="K8214">
        <v>65</v>
      </c>
      <c r="L8214">
        <v>98</v>
      </c>
      <c r="M8214">
        <v>632</v>
      </c>
      <c r="N8214" t="s">
        <v>87</v>
      </c>
      <c r="O8214" t="s">
        <v>86</v>
      </c>
      <c r="P8214">
        <v>131</v>
      </c>
      <c r="Q8214">
        <v>6</v>
      </c>
      <c r="R8214">
        <v>30</v>
      </c>
      <c r="S8214">
        <v>1574</v>
      </c>
      <c r="T8214">
        <v>-40</v>
      </c>
      <c r="U8214">
        <v>42</v>
      </c>
      <c r="V8214">
        <v>240</v>
      </c>
      <c r="W8214">
        <v>26</v>
      </c>
      <c r="X8214">
        <v>26</v>
      </c>
      <c r="Y8214">
        <v>1</v>
      </c>
      <c r="Z8214">
        <v>8</v>
      </c>
      <c r="AA8214">
        <v>23</v>
      </c>
      <c r="AB8214">
        <v>7</v>
      </c>
      <c r="AC8214">
        <v>6</v>
      </c>
      <c r="AD8214">
        <v>3.2980000999999999</v>
      </c>
      <c r="AE8214">
        <v>1</v>
      </c>
      <c r="AF8214">
        <v>41</v>
      </c>
      <c r="AG8214">
        <v>3.2909998900000001</v>
      </c>
      <c r="AH8214">
        <v>4</v>
      </c>
      <c r="AI8214">
        <v>17</v>
      </c>
      <c r="AJ8214">
        <v>1</v>
      </c>
      <c r="AK8214">
        <v>27</v>
      </c>
      <c r="AL8214">
        <v>37</v>
      </c>
      <c r="AM8214" t="s">
        <v>43</v>
      </c>
      <c r="AN8214" t="str">
        <f>HYPERLINK("https://www.google.com/maps?q=10.78672695,79.48878479","Open Location")</f>
        <v>Open Location</v>
      </c>
    </row>
    <row r="8215" spans="1:40" x14ac:dyDescent="0.3">
      <c r="A8215" s="1">
        <v>46210.048495370371</v>
      </c>
      <c r="B8215" t="s">
        <v>40</v>
      </c>
      <c r="C8215" t="s">
        <v>41</v>
      </c>
      <c r="D8215" s="1">
        <v>46210.051412037035</v>
      </c>
      <c r="E8215" t="s">
        <v>42</v>
      </c>
      <c r="F8215" t="s">
        <v>83</v>
      </c>
      <c r="G8215">
        <v>58</v>
      </c>
      <c r="H8215">
        <v>33033</v>
      </c>
      <c r="I8215" t="s">
        <v>4484</v>
      </c>
      <c r="J8215">
        <v>78</v>
      </c>
      <c r="K8215">
        <v>66</v>
      </c>
      <c r="L8215">
        <v>98</v>
      </c>
      <c r="M8215">
        <v>631.5</v>
      </c>
      <c r="N8215" t="s">
        <v>87</v>
      </c>
      <c r="O8215" t="s">
        <v>86</v>
      </c>
      <c r="P8215">
        <v>131</v>
      </c>
      <c r="Q8215">
        <v>6</v>
      </c>
      <c r="R8215">
        <v>40</v>
      </c>
      <c r="S8215">
        <v>1600</v>
      </c>
      <c r="T8215">
        <v>-40</v>
      </c>
      <c r="U8215">
        <v>43</v>
      </c>
      <c r="V8215">
        <v>240</v>
      </c>
      <c r="W8215">
        <v>26</v>
      </c>
      <c r="X8215">
        <v>26</v>
      </c>
      <c r="Y8215">
        <v>1</v>
      </c>
      <c r="Z8215">
        <v>8</v>
      </c>
      <c r="AA8215">
        <v>23</v>
      </c>
      <c r="AB8215">
        <v>7</v>
      </c>
      <c r="AC8215">
        <v>6</v>
      </c>
      <c r="AD8215">
        <v>3.2929999799999998</v>
      </c>
      <c r="AE8215">
        <v>1</v>
      </c>
      <c r="AF8215">
        <v>41</v>
      </c>
      <c r="AG8215">
        <v>3.28299999</v>
      </c>
      <c r="AH8215">
        <v>7</v>
      </c>
      <c r="AI8215">
        <v>19</v>
      </c>
      <c r="AJ8215">
        <v>1</v>
      </c>
      <c r="AK8215">
        <v>27</v>
      </c>
      <c r="AL8215">
        <v>37</v>
      </c>
      <c r="AM8215" t="s">
        <v>43</v>
      </c>
      <c r="AN8215" t="str">
        <f>HYPERLINK("https://www.google.com/maps?q=10.78692722,79.48703003","Open Location")</f>
        <v>Open Location</v>
      </c>
    </row>
    <row r="8216" spans="1:40" x14ac:dyDescent="0.3">
      <c r="A8216" s="1">
        <v>46210.048379629632</v>
      </c>
      <c r="B8216" t="s">
        <v>40</v>
      </c>
      <c r="C8216" t="s">
        <v>41</v>
      </c>
      <c r="D8216" s="1">
        <v>46210.051192129627</v>
      </c>
      <c r="E8216" t="s">
        <v>42</v>
      </c>
      <c r="F8216" t="s">
        <v>83</v>
      </c>
      <c r="G8216">
        <v>56</v>
      </c>
      <c r="H8216">
        <v>33033</v>
      </c>
      <c r="I8216" t="s">
        <v>4485</v>
      </c>
      <c r="J8216">
        <v>78</v>
      </c>
      <c r="K8216">
        <v>118</v>
      </c>
      <c r="L8216">
        <v>98</v>
      </c>
      <c r="M8216">
        <v>629.09997558999999</v>
      </c>
      <c r="N8216" t="s">
        <v>87</v>
      </c>
      <c r="O8216" t="s">
        <v>86</v>
      </c>
      <c r="P8216">
        <v>131</v>
      </c>
      <c r="Q8216">
        <v>6</v>
      </c>
      <c r="R8216">
        <v>68</v>
      </c>
      <c r="S8216">
        <v>1565</v>
      </c>
      <c r="T8216">
        <v>-40</v>
      </c>
      <c r="U8216">
        <v>43</v>
      </c>
      <c r="V8216">
        <v>440</v>
      </c>
      <c r="W8216">
        <v>26</v>
      </c>
      <c r="X8216">
        <v>26</v>
      </c>
      <c r="Y8216">
        <v>1</v>
      </c>
      <c r="Z8216">
        <v>8</v>
      </c>
      <c r="AA8216">
        <v>23</v>
      </c>
      <c r="AB8216">
        <v>7</v>
      </c>
      <c r="AC8216">
        <v>6</v>
      </c>
      <c r="AD8216">
        <v>3.2920000599999999</v>
      </c>
      <c r="AE8216">
        <v>5</v>
      </c>
      <c r="AF8216">
        <v>38</v>
      </c>
      <c r="AG8216">
        <v>3.2809998999999999</v>
      </c>
      <c r="AH8216">
        <v>8</v>
      </c>
      <c r="AI8216">
        <v>35</v>
      </c>
      <c r="AJ8216">
        <v>1</v>
      </c>
      <c r="AK8216">
        <v>27</v>
      </c>
      <c r="AL8216">
        <v>37</v>
      </c>
      <c r="AM8216" t="s">
        <v>43</v>
      </c>
      <c r="AN8216" t="str">
        <f>HYPERLINK("https://www.google.com/maps?q=10.78712177,79.48532104","Open Location")</f>
        <v>Open Location</v>
      </c>
    </row>
    <row r="8217" spans="1:40" x14ac:dyDescent="0.3">
      <c r="A8217" s="1">
        <v>46210.048263888886</v>
      </c>
      <c r="B8217" t="s">
        <v>40</v>
      </c>
      <c r="C8217" t="s">
        <v>41</v>
      </c>
      <c r="D8217" s="1">
        <v>46210.051192129627</v>
      </c>
      <c r="E8217" t="s">
        <v>42</v>
      </c>
      <c r="F8217" t="s">
        <v>83</v>
      </c>
      <c r="G8217">
        <v>54</v>
      </c>
      <c r="H8217">
        <v>33033</v>
      </c>
      <c r="I8217" t="s">
        <v>4486</v>
      </c>
      <c r="J8217">
        <v>78</v>
      </c>
      <c r="K8217">
        <v>80</v>
      </c>
      <c r="L8217">
        <v>98</v>
      </c>
      <c r="M8217">
        <v>630.79998779000005</v>
      </c>
      <c r="N8217" t="s">
        <v>87</v>
      </c>
      <c r="O8217" t="s">
        <v>86</v>
      </c>
      <c r="P8217">
        <v>131</v>
      </c>
      <c r="Q8217">
        <v>6</v>
      </c>
      <c r="R8217">
        <v>50</v>
      </c>
      <c r="S8217">
        <v>1509</v>
      </c>
      <c r="T8217">
        <v>-40</v>
      </c>
      <c r="U8217">
        <v>42</v>
      </c>
      <c r="V8217">
        <v>300</v>
      </c>
      <c r="W8217">
        <v>26</v>
      </c>
      <c r="X8217">
        <v>26</v>
      </c>
      <c r="Y8217">
        <v>1</v>
      </c>
      <c r="Z8217">
        <v>8</v>
      </c>
      <c r="AA8217">
        <v>24</v>
      </c>
      <c r="AB8217">
        <v>1</v>
      </c>
      <c r="AC8217">
        <v>1</v>
      </c>
      <c r="AD8217" t="s">
        <v>43</v>
      </c>
      <c r="AE8217" t="s">
        <v>43</v>
      </c>
      <c r="AF8217" t="s">
        <v>43</v>
      </c>
      <c r="AG8217" t="s">
        <v>43</v>
      </c>
      <c r="AH8217" t="s">
        <v>43</v>
      </c>
      <c r="AI8217" t="s">
        <v>43</v>
      </c>
      <c r="AJ8217">
        <v>1</v>
      </c>
      <c r="AK8217">
        <v>27</v>
      </c>
      <c r="AL8217">
        <v>37</v>
      </c>
      <c r="AM8217" t="s">
        <v>43</v>
      </c>
      <c r="AN8217" t="str">
        <f>HYPERLINK("https://www.google.com/maps?q=10.78730774,79.4836731","Open Location")</f>
        <v>Open Location</v>
      </c>
    </row>
    <row r="8218" spans="1:40" x14ac:dyDescent="0.3">
      <c r="A8218" s="1">
        <v>46210.048148148147</v>
      </c>
      <c r="B8218" t="s">
        <v>40</v>
      </c>
      <c r="C8218" t="s">
        <v>41</v>
      </c>
      <c r="D8218" s="1">
        <v>46210.050868055558</v>
      </c>
      <c r="E8218" t="s">
        <v>42</v>
      </c>
      <c r="F8218" t="s">
        <v>83</v>
      </c>
      <c r="G8218">
        <v>54</v>
      </c>
      <c r="H8218" t="s">
        <v>43</v>
      </c>
      <c r="I8218" t="s">
        <v>43</v>
      </c>
      <c r="J8218">
        <v>78</v>
      </c>
      <c r="K8218">
        <v>56</v>
      </c>
      <c r="L8218">
        <v>98</v>
      </c>
      <c r="M8218">
        <v>632.20001220999995</v>
      </c>
      <c r="N8218" t="s">
        <v>87</v>
      </c>
      <c r="O8218" t="s">
        <v>86</v>
      </c>
      <c r="P8218">
        <v>131</v>
      </c>
      <c r="Q8218">
        <v>6</v>
      </c>
      <c r="R8218">
        <v>34</v>
      </c>
      <c r="S8218">
        <v>1497</v>
      </c>
      <c r="T8218">
        <v>-40</v>
      </c>
      <c r="U8218">
        <v>42</v>
      </c>
      <c r="V8218">
        <v>220</v>
      </c>
      <c r="W8218">
        <v>26</v>
      </c>
      <c r="X8218">
        <v>26</v>
      </c>
      <c r="Y8218">
        <v>1</v>
      </c>
      <c r="Z8218">
        <v>8</v>
      </c>
      <c r="AA8218">
        <v>24</v>
      </c>
      <c r="AB8218">
        <v>1</v>
      </c>
      <c r="AC8218">
        <v>1</v>
      </c>
      <c r="AD8218">
        <v>3.2990000199999998</v>
      </c>
      <c r="AE8218">
        <v>1</v>
      </c>
      <c r="AF8218">
        <v>38</v>
      </c>
      <c r="AG8218">
        <v>3.2909998900000001</v>
      </c>
      <c r="AH8218">
        <v>8</v>
      </c>
      <c r="AI8218">
        <v>35</v>
      </c>
      <c r="AJ8218">
        <v>1</v>
      </c>
      <c r="AK8218">
        <v>27</v>
      </c>
      <c r="AL8218">
        <v>37</v>
      </c>
      <c r="AM8218" t="s">
        <v>43</v>
      </c>
      <c r="AN8218" t="s">
        <v>43</v>
      </c>
    </row>
    <row r="8219" spans="1:40" x14ac:dyDescent="0.3">
      <c r="A8219" s="1">
        <v>46210.048032407409</v>
      </c>
      <c r="B8219" t="s">
        <v>40</v>
      </c>
      <c r="C8219" t="s">
        <v>41</v>
      </c>
      <c r="D8219" s="1">
        <v>46210.051053240742</v>
      </c>
      <c r="E8219" t="s">
        <v>42</v>
      </c>
      <c r="F8219" t="s">
        <v>83</v>
      </c>
      <c r="G8219">
        <v>54</v>
      </c>
      <c r="H8219">
        <v>33033</v>
      </c>
      <c r="I8219" t="s">
        <v>4487</v>
      </c>
      <c r="J8219">
        <v>78</v>
      </c>
      <c r="K8219">
        <v>32</v>
      </c>
      <c r="L8219">
        <v>98</v>
      </c>
      <c r="M8219">
        <v>633.59997558999999</v>
      </c>
      <c r="N8219" t="s">
        <v>87</v>
      </c>
      <c r="O8219" t="s">
        <v>86</v>
      </c>
      <c r="P8219">
        <v>131</v>
      </c>
      <c r="Q8219">
        <v>6</v>
      </c>
      <c r="R8219">
        <v>18</v>
      </c>
      <c r="S8219">
        <v>1504</v>
      </c>
      <c r="T8219">
        <v>-40</v>
      </c>
      <c r="U8219">
        <v>43</v>
      </c>
      <c r="V8219">
        <v>120</v>
      </c>
      <c r="W8219">
        <v>26</v>
      </c>
      <c r="X8219">
        <v>26</v>
      </c>
      <c r="Y8219">
        <v>1</v>
      </c>
      <c r="Z8219">
        <v>8</v>
      </c>
      <c r="AA8219">
        <v>24</v>
      </c>
      <c r="AB8219">
        <v>1</v>
      </c>
      <c r="AC8219">
        <v>1</v>
      </c>
      <c r="AD8219">
        <v>3.3039999</v>
      </c>
      <c r="AE8219">
        <v>1</v>
      </c>
      <c r="AF8219">
        <v>41</v>
      </c>
      <c r="AG8219">
        <v>3.2980000999999999</v>
      </c>
      <c r="AH8219">
        <v>7</v>
      </c>
      <c r="AI8219">
        <v>19</v>
      </c>
      <c r="AJ8219">
        <v>1</v>
      </c>
      <c r="AK8219">
        <v>27</v>
      </c>
      <c r="AL8219">
        <v>37</v>
      </c>
      <c r="AM8219" t="s">
        <v>43</v>
      </c>
      <c r="AN8219" t="str">
        <f>HYPERLINK("https://www.google.com/maps?q=10.78747082,79.48201752","Open Location")</f>
        <v>Open Location</v>
      </c>
    </row>
    <row r="8220" spans="1:40" x14ac:dyDescent="0.3">
      <c r="A8220" s="1">
        <v>46210.04791666667</v>
      </c>
      <c r="B8220" t="s">
        <v>40</v>
      </c>
      <c r="C8220" t="s">
        <v>41</v>
      </c>
      <c r="D8220" s="1">
        <v>46210.050578703704</v>
      </c>
      <c r="E8220" t="s">
        <v>42</v>
      </c>
      <c r="F8220" t="s">
        <v>83</v>
      </c>
      <c r="G8220">
        <v>46</v>
      </c>
      <c r="H8220">
        <v>33033</v>
      </c>
      <c r="I8220" t="s">
        <v>4488</v>
      </c>
      <c r="J8220">
        <v>78</v>
      </c>
      <c r="K8220">
        <v>97</v>
      </c>
      <c r="L8220">
        <v>98</v>
      </c>
      <c r="M8220">
        <v>630.09997558999999</v>
      </c>
      <c r="N8220" t="s">
        <v>87</v>
      </c>
      <c r="O8220" t="s">
        <v>86</v>
      </c>
      <c r="P8220">
        <v>131</v>
      </c>
      <c r="Q8220">
        <v>6</v>
      </c>
      <c r="R8220">
        <v>56</v>
      </c>
      <c r="S8220">
        <v>1315</v>
      </c>
      <c r="T8220">
        <v>-40</v>
      </c>
      <c r="U8220">
        <v>44</v>
      </c>
      <c r="V8220">
        <v>460</v>
      </c>
      <c r="W8220">
        <v>26</v>
      </c>
      <c r="X8220">
        <v>26</v>
      </c>
      <c r="Y8220">
        <v>1</v>
      </c>
      <c r="Z8220">
        <v>8</v>
      </c>
      <c r="AA8220">
        <v>24</v>
      </c>
      <c r="AB8220">
        <v>1</v>
      </c>
      <c r="AC8220">
        <v>1</v>
      </c>
      <c r="AD8220">
        <v>3.2920000599999999</v>
      </c>
      <c r="AE8220">
        <v>1</v>
      </c>
      <c r="AF8220">
        <v>42</v>
      </c>
      <c r="AG8220">
        <v>3.2820000600000001</v>
      </c>
      <c r="AH8220">
        <v>7</v>
      </c>
      <c r="AI8220">
        <v>19</v>
      </c>
      <c r="AJ8220">
        <v>1</v>
      </c>
      <c r="AK8220">
        <v>27</v>
      </c>
      <c r="AL8220">
        <v>37</v>
      </c>
      <c r="AM8220" t="s">
        <v>43</v>
      </c>
      <c r="AN8220" t="str">
        <f>HYPERLINK("https://www.google.com/maps?q=10.78763676,79.48046112","Open Location")</f>
        <v>Open Location</v>
      </c>
    </row>
    <row r="8221" spans="1:40" x14ac:dyDescent="0.3">
      <c r="A8221" s="1">
        <v>46210.047800925924</v>
      </c>
      <c r="B8221" t="s">
        <v>40</v>
      </c>
      <c r="C8221" t="s">
        <v>41</v>
      </c>
      <c r="D8221" s="1">
        <v>46210.050439814811</v>
      </c>
      <c r="E8221" t="s">
        <v>42</v>
      </c>
      <c r="F8221" t="s">
        <v>83</v>
      </c>
      <c r="G8221">
        <v>38</v>
      </c>
      <c r="H8221">
        <v>33032</v>
      </c>
      <c r="I8221" t="s">
        <v>4489</v>
      </c>
      <c r="J8221">
        <v>78</v>
      </c>
      <c r="K8221">
        <v>35</v>
      </c>
      <c r="L8221">
        <v>98</v>
      </c>
      <c r="M8221">
        <v>631.29998779000005</v>
      </c>
      <c r="N8221" t="s">
        <v>87</v>
      </c>
      <c r="O8221" t="s">
        <v>86</v>
      </c>
      <c r="P8221">
        <v>130</v>
      </c>
      <c r="Q8221">
        <v>6</v>
      </c>
      <c r="R8221">
        <v>14</v>
      </c>
      <c r="S8221">
        <v>1061</v>
      </c>
      <c r="T8221">
        <v>-40</v>
      </c>
      <c r="U8221">
        <v>42</v>
      </c>
      <c r="V8221">
        <v>80</v>
      </c>
      <c r="W8221">
        <v>26</v>
      </c>
      <c r="X8221">
        <v>26</v>
      </c>
      <c r="Y8221">
        <v>1</v>
      </c>
      <c r="Z8221">
        <v>8</v>
      </c>
      <c r="AA8221">
        <v>24</v>
      </c>
      <c r="AB8221">
        <v>1</v>
      </c>
      <c r="AC8221">
        <v>1</v>
      </c>
      <c r="AD8221">
        <v>3.2920000599999999</v>
      </c>
      <c r="AE8221">
        <v>5</v>
      </c>
      <c r="AF8221">
        <v>38</v>
      </c>
      <c r="AG8221">
        <v>3.2820000600000001</v>
      </c>
      <c r="AH8221">
        <v>4</v>
      </c>
      <c r="AI8221">
        <v>17</v>
      </c>
      <c r="AJ8221">
        <v>1</v>
      </c>
      <c r="AK8221">
        <v>27</v>
      </c>
      <c r="AL8221">
        <v>37</v>
      </c>
      <c r="AM8221" t="s">
        <v>43</v>
      </c>
      <c r="AN8221" t="str">
        <f>HYPERLINK("https://www.google.com/maps?q=10.78775311,79.47921753","Open Location")</f>
        <v>Open Location</v>
      </c>
    </row>
    <row r="8222" spans="1:40" x14ac:dyDescent="0.3">
      <c r="A8222" s="1">
        <v>46210.047685185185</v>
      </c>
      <c r="B8222" t="s">
        <v>40</v>
      </c>
      <c r="C8222" t="s">
        <v>41</v>
      </c>
      <c r="D8222" s="1">
        <v>46210.050439814811</v>
      </c>
      <c r="E8222" t="s">
        <v>42</v>
      </c>
      <c r="F8222" t="s">
        <v>83</v>
      </c>
      <c r="G8222">
        <v>35</v>
      </c>
      <c r="H8222">
        <v>33032</v>
      </c>
      <c r="I8222" t="s">
        <v>4490</v>
      </c>
      <c r="J8222">
        <v>78</v>
      </c>
      <c r="K8222">
        <v>76</v>
      </c>
      <c r="L8222">
        <v>98</v>
      </c>
      <c r="M8222">
        <v>631.79998779000005</v>
      </c>
      <c r="N8222" t="s">
        <v>87</v>
      </c>
      <c r="O8222" t="s">
        <v>86</v>
      </c>
      <c r="P8222">
        <v>130</v>
      </c>
      <c r="Q8222">
        <v>5</v>
      </c>
      <c r="R8222">
        <v>57</v>
      </c>
      <c r="S8222">
        <v>1627</v>
      </c>
      <c r="T8222">
        <v>-40</v>
      </c>
      <c r="U8222">
        <v>43</v>
      </c>
      <c r="V8222">
        <v>240</v>
      </c>
      <c r="W8222">
        <v>26</v>
      </c>
      <c r="X8222">
        <v>26</v>
      </c>
      <c r="Y8222">
        <v>1</v>
      </c>
      <c r="Z8222">
        <v>8</v>
      </c>
      <c r="AA8222">
        <v>24</v>
      </c>
      <c r="AB8222">
        <v>1</v>
      </c>
      <c r="AC8222">
        <v>1</v>
      </c>
      <c r="AD8222">
        <v>3.2999999500000001</v>
      </c>
      <c r="AE8222">
        <v>1</v>
      </c>
      <c r="AF8222">
        <v>38</v>
      </c>
      <c r="AG8222">
        <v>3.2909998900000001</v>
      </c>
      <c r="AH8222">
        <v>4</v>
      </c>
      <c r="AI8222">
        <v>17</v>
      </c>
      <c r="AJ8222">
        <v>1</v>
      </c>
      <c r="AK8222">
        <v>27</v>
      </c>
      <c r="AL8222">
        <v>37</v>
      </c>
      <c r="AM8222" t="s">
        <v>43</v>
      </c>
      <c r="AN8222" t="str">
        <f>HYPERLINK("https://www.google.com/maps?q=10.78786564,79.47806549","Open Location")</f>
        <v>Open Location</v>
      </c>
    </row>
    <row r="8223" spans="1:40" x14ac:dyDescent="0.3">
      <c r="A8223" s="1">
        <v>46210.047569444447</v>
      </c>
      <c r="B8223" t="s">
        <v>40</v>
      </c>
      <c r="C8223" t="s">
        <v>41</v>
      </c>
      <c r="D8223" s="1">
        <v>46210.050428240742</v>
      </c>
      <c r="E8223" t="s">
        <v>42</v>
      </c>
      <c r="F8223" t="s">
        <v>83</v>
      </c>
      <c r="G8223">
        <v>31</v>
      </c>
      <c r="H8223">
        <v>33032</v>
      </c>
      <c r="I8223" t="s">
        <v>43</v>
      </c>
      <c r="J8223">
        <v>78</v>
      </c>
      <c r="K8223">
        <v>-24</v>
      </c>
      <c r="L8223">
        <v>98</v>
      </c>
      <c r="M8223">
        <v>635.59997558999999</v>
      </c>
      <c r="N8223" t="s">
        <v>87</v>
      </c>
      <c r="O8223" t="s">
        <v>86</v>
      </c>
      <c r="P8223">
        <v>131</v>
      </c>
      <c r="Q8223">
        <v>6</v>
      </c>
      <c r="R8223">
        <v>-27</v>
      </c>
      <c r="S8223">
        <v>831</v>
      </c>
      <c r="T8223">
        <v>-40</v>
      </c>
      <c r="U8223">
        <v>44</v>
      </c>
      <c r="V8223">
        <v>-300</v>
      </c>
      <c r="W8223">
        <v>26</v>
      </c>
      <c r="X8223">
        <v>26</v>
      </c>
      <c r="Y8223">
        <v>1</v>
      </c>
      <c r="Z8223">
        <v>8</v>
      </c>
      <c r="AA8223">
        <v>24</v>
      </c>
      <c r="AB8223">
        <v>1</v>
      </c>
      <c r="AC8223">
        <v>1</v>
      </c>
      <c r="AD8223">
        <v>3.2990000199999998</v>
      </c>
      <c r="AE8223">
        <v>5</v>
      </c>
      <c r="AF8223">
        <v>38</v>
      </c>
      <c r="AG8223">
        <v>3.2899999599999998</v>
      </c>
      <c r="AH8223">
        <v>4</v>
      </c>
      <c r="AI8223">
        <v>17</v>
      </c>
      <c r="AJ8223">
        <v>1</v>
      </c>
      <c r="AK8223">
        <v>28</v>
      </c>
      <c r="AL8223">
        <v>37</v>
      </c>
      <c r="AM8223" t="s">
        <v>43</v>
      </c>
      <c r="AN8223" t="s">
        <v>43</v>
      </c>
    </row>
    <row r="8224" spans="1:40" x14ac:dyDescent="0.3">
      <c r="A8224" s="1">
        <v>46210.047453703701</v>
      </c>
      <c r="B8224" t="s">
        <v>40</v>
      </c>
      <c r="C8224" t="s">
        <v>41</v>
      </c>
      <c r="D8224" s="1">
        <v>46210.050312500003</v>
      </c>
      <c r="E8224" t="s">
        <v>42</v>
      </c>
      <c r="F8224" t="s">
        <v>83</v>
      </c>
      <c r="G8224">
        <v>49</v>
      </c>
      <c r="H8224">
        <v>33032</v>
      </c>
      <c r="I8224" t="s">
        <v>4491</v>
      </c>
      <c r="J8224">
        <v>78</v>
      </c>
      <c r="K8224">
        <v>-53</v>
      </c>
      <c r="L8224">
        <v>98</v>
      </c>
      <c r="M8224">
        <v>635.40002441000001</v>
      </c>
      <c r="N8224" t="s">
        <v>87</v>
      </c>
      <c r="O8224" t="s">
        <v>86</v>
      </c>
      <c r="P8224">
        <v>131</v>
      </c>
      <c r="Q8224">
        <v>6</v>
      </c>
      <c r="R8224">
        <v>-44</v>
      </c>
      <c r="S8224">
        <v>1329</v>
      </c>
      <c r="T8224">
        <v>-40</v>
      </c>
      <c r="U8224">
        <v>42</v>
      </c>
      <c r="V8224">
        <v>-300</v>
      </c>
      <c r="W8224">
        <v>26</v>
      </c>
      <c r="X8224">
        <v>26</v>
      </c>
      <c r="Y8224">
        <v>1</v>
      </c>
      <c r="Z8224">
        <v>8</v>
      </c>
      <c r="AA8224">
        <v>24</v>
      </c>
      <c r="AB8224">
        <v>1</v>
      </c>
      <c r="AC8224">
        <v>1</v>
      </c>
      <c r="AD8224">
        <v>3.3039999</v>
      </c>
      <c r="AE8224">
        <v>1</v>
      </c>
      <c r="AF8224">
        <v>25</v>
      </c>
      <c r="AG8224">
        <v>3.2990000199999998</v>
      </c>
      <c r="AH8224">
        <v>4</v>
      </c>
      <c r="AI8224">
        <v>17</v>
      </c>
      <c r="AJ8224">
        <v>1</v>
      </c>
      <c r="AK8224">
        <v>27</v>
      </c>
      <c r="AL8224">
        <v>37</v>
      </c>
      <c r="AM8224" t="s">
        <v>43</v>
      </c>
      <c r="AN8224" t="str">
        <f>HYPERLINK("https://www.google.com/maps?q=10.78798294,79.47692871","Open Location")</f>
        <v>Open Location</v>
      </c>
    </row>
    <row r="8225" spans="1:40" x14ac:dyDescent="0.3">
      <c r="A8225" s="1">
        <v>46210.047337962962</v>
      </c>
      <c r="B8225" t="s">
        <v>40</v>
      </c>
      <c r="C8225" t="s">
        <v>41</v>
      </c>
      <c r="D8225" s="1">
        <v>46210.049942129626</v>
      </c>
      <c r="E8225" t="s">
        <v>42</v>
      </c>
      <c r="F8225" t="s">
        <v>83</v>
      </c>
      <c r="G8225">
        <v>51</v>
      </c>
      <c r="H8225">
        <v>33032</v>
      </c>
      <c r="I8225" t="s">
        <v>43</v>
      </c>
      <c r="J8225">
        <v>78</v>
      </c>
      <c r="K8225">
        <v>94</v>
      </c>
      <c r="L8225">
        <v>98</v>
      </c>
      <c r="M8225">
        <v>629.29998779000005</v>
      </c>
      <c r="N8225" t="s">
        <v>87</v>
      </c>
      <c r="O8225" t="s">
        <v>86</v>
      </c>
      <c r="P8225">
        <v>131</v>
      </c>
      <c r="Q8225">
        <v>6</v>
      </c>
      <c r="R8225">
        <v>81</v>
      </c>
      <c r="S8225">
        <v>1427</v>
      </c>
      <c r="T8225">
        <v>-40</v>
      </c>
      <c r="U8225">
        <v>43</v>
      </c>
      <c r="V8225">
        <v>435</v>
      </c>
      <c r="W8225">
        <v>26</v>
      </c>
      <c r="X8225">
        <v>26</v>
      </c>
      <c r="Y8225">
        <v>1</v>
      </c>
      <c r="Z8225">
        <v>8</v>
      </c>
      <c r="AA8225">
        <v>24</v>
      </c>
      <c r="AB8225">
        <v>1</v>
      </c>
      <c r="AC8225">
        <v>1</v>
      </c>
      <c r="AD8225">
        <v>3.2899999599999998</v>
      </c>
      <c r="AE8225">
        <v>5</v>
      </c>
      <c r="AF8225">
        <v>38</v>
      </c>
      <c r="AG8225">
        <v>3.2790000400000001</v>
      </c>
      <c r="AH8225">
        <v>4</v>
      </c>
      <c r="AI8225">
        <v>17</v>
      </c>
      <c r="AJ8225">
        <v>1</v>
      </c>
      <c r="AK8225">
        <v>27</v>
      </c>
      <c r="AL8225">
        <v>37</v>
      </c>
      <c r="AM8225" t="s">
        <v>43</v>
      </c>
      <c r="AN8225" t="s">
        <v>43</v>
      </c>
    </row>
    <row r="8226" spans="1:40" x14ac:dyDescent="0.3">
      <c r="A8226" s="1">
        <v>46210.047222222223</v>
      </c>
      <c r="B8226" t="s">
        <v>40</v>
      </c>
      <c r="C8226" t="s">
        <v>41</v>
      </c>
      <c r="D8226" s="1">
        <v>46210.049942129626</v>
      </c>
      <c r="E8226" t="s">
        <v>42</v>
      </c>
      <c r="F8226" t="s">
        <v>83</v>
      </c>
      <c r="G8226">
        <v>51</v>
      </c>
      <c r="H8226">
        <v>33032</v>
      </c>
      <c r="I8226" t="s">
        <v>4492</v>
      </c>
      <c r="J8226">
        <v>78</v>
      </c>
      <c r="K8226">
        <v>65</v>
      </c>
      <c r="L8226">
        <v>98</v>
      </c>
      <c r="M8226">
        <v>631.59997558999999</v>
      </c>
      <c r="N8226" t="s">
        <v>87</v>
      </c>
      <c r="O8226" t="s">
        <v>86</v>
      </c>
      <c r="P8226">
        <v>131</v>
      </c>
      <c r="Q8226">
        <v>6</v>
      </c>
      <c r="R8226">
        <v>50</v>
      </c>
      <c r="S8226">
        <v>1413</v>
      </c>
      <c r="T8226">
        <v>-40</v>
      </c>
      <c r="U8226">
        <v>43</v>
      </c>
      <c r="V8226">
        <v>240</v>
      </c>
      <c r="W8226">
        <v>26</v>
      </c>
      <c r="X8226">
        <v>26</v>
      </c>
      <c r="Y8226">
        <v>1</v>
      </c>
      <c r="Z8226">
        <v>8</v>
      </c>
      <c r="AA8226">
        <v>24</v>
      </c>
      <c r="AB8226">
        <v>1</v>
      </c>
      <c r="AC8226">
        <v>1</v>
      </c>
      <c r="AD8226">
        <v>3.2980000999999999</v>
      </c>
      <c r="AE8226">
        <v>5</v>
      </c>
      <c r="AF8226">
        <v>38</v>
      </c>
      <c r="AG8226">
        <v>3.2899999599999998</v>
      </c>
      <c r="AH8226">
        <v>4</v>
      </c>
      <c r="AI8226">
        <v>17</v>
      </c>
      <c r="AJ8226">
        <v>1</v>
      </c>
      <c r="AK8226">
        <v>27</v>
      </c>
      <c r="AL8226">
        <v>37</v>
      </c>
      <c r="AM8226" t="s">
        <v>43</v>
      </c>
      <c r="AN8226" t="str">
        <f>HYPERLINK("https://www.google.com/maps?q=10.78838444,79.47397614","Open Location")</f>
        <v>Open Location</v>
      </c>
    </row>
    <row r="8227" spans="1:40" x14ac:dyDescent="0.3">
      <c r="A8227" s="1">
        <v>46210.047106481485</v>
      </c>
      <c r="B8227" t="s">
        <v>40</v>
      </c>
      <c r="C8227" t="s">
        <v>41</v>
      </c>
      <c r="D8227" s="1">
        <v>46210.049895833334</v>
      </c>
      <c r="E8227" t="s">
        <v>42</v>
      </c>
      <c r="F8227" t="s">
        <v>83</v>
      </c>
      <c r="G8227">
        <v>49</v>
      </c>
      <c r="H8227">
        <v>33032</v>
      </c>
      <c r="I8227" t="s">
        <v>43</v>
      </c>
      <c r="J8227">
        <v>79</v>
      </c>
      <c r="K8227">
        <v>49</v>
      </c>
      <c r="L8227">
        <v>98</v>
      </c>
      <c r="M8227">
        <v>631.5</v>
      </c>
      <c r="N8227" t="s">
        <v>87</v>
      </c>
      <c r="O8227" t="s">
        <v>86</v>
      </c>
      <c r="P8227">
        <v>131</v>
      </c>
      <c r="Q8227">
        <v>6</v>
      </c>
      <c r="R8227">
        <v>19</v>
      </c>
      <c r="S8227">
        <v>1365</v>
      </c>
      <c r="T8227">
        <v>-40</v>
      </c>
      <c r="U8227">
        <v>43</v>
      </c>
      <c r="V8227">
        <v>202</v>
      </c>
      <c r="W8227">
        <v>26</v>
      </c>
      <c r="X8227">
        <v>26</v>
      </c>
      <c r="Y8227">
        <v>1</v>
      </c>
      <c r="Z8227">
        <v>8</v>
      </c>
      <c r="AA8227">
        <v>24</v>
      </c>
      <c r="AB8227">
        <v>1</v>
      </c>
      <c r="AC8227">
        <v>1</v>
      </c>
      <c r="AD8227">
        <v>3.2920000599999999</v>
      </c>
      <c r="AE8227">
        <v>4</v>
      </c>
      <c r="AF8227">
        <v>38</v>
      </c>
      <c r="AG8227">
        <v>3.2809998999999999</v>
      </c>
      <c r="AH8227">
        <v>6</v>
      </c>
      <c r="AI8227">
        <v>24</v>
      </c>
      <c r="AJ8227">
        <v>1</v>
      </c>
      <c r="AK8227">
        <v>27</v>
      </c>
      <c r="AL8227">
        <v>37</v>
      </c>
      <c r="AM8227" t="s">
        <v>43</v>
      </c>
      <c r="AN8227" t="s">
        <v>43</v>
      </c>
    </row>
    <row r="8228" spans="1:40" x14ac:dyDescent="0.3">
      <c r="A8228" s="1">
        <v>46210.046990740739</v>
      </c>
      <c r="B8228" t="s">
        <v>40</v>
      </c>
      <c r="C8228" t="s">
        <v>41</v>
      </c>
      <c r="D8228" s="1">
        <v>46210.049907407411</v>
      </c>
      <c r="E8228" t="s">
        <v>42</v>
      </c>
      <c r="F8228" t="s">
        <v>83</v>
      </c>
      <c r="G8228">
        <v>48</v>
      </c>
      <c r="H8228">
        <v>33032</v>
      </c>
      <c r="I8228" t="s">
        <v>4493</v>
      </c>
      <c r="J8228">
        <v>79</v>
      </c>
      <c r="K8228">
        <v>56</v>
      </c>
      <c r="L8228">
        <v>98</v>
      </c>
      <c r="M8228">
        <v>631.70001220999995</v>
      </c>
      <c r="N8228" t="s">
        <v>87</v>
      </c>
      <c r="O8228" t="s">
        <v>86</v>
      </c>
      <c r="P8228">
        <v>131</v>
      </c>
      <c r="Q8228">
        <v>6</v>
      </c>
      <c r="R8228">
        <v>38</v>
      </c>
      <c r="S8228">
        <v>1320</v>
      </c>
      <c r="T8228">
        <v>-40</v>
      </c>
      <c r="U8228">
        <v>44</v>
      </c>
      <c r="V8228">
        <v>240</v>
      </c>
      <c r="W8228" t="s">
        <v>43</v>
      </c>
      <c r="X8228" t="s">
        <v>43</v>
      </c>
      <c r="Y8228" t="s">
        <v>43</v>
      </c>
      <c r="Z8228" t="s">
        <v>43</v>
      </c>
      <c r="AA8228" t="s">
        <v>43</v>
      </c>
      <c r="AB8228" t="s">
        <v>43</v>
      </c>
      <c r="AC8228" t="s">
        <v>43</v>
      </c>
      <c r="AD8228">
        <v>3.28800011</v>
      </c>
      <c r="AE8228">
        <v>5</v>
      </c>
      <c r="AF8228">
        <v>38</v>
      </c>
      <c r="AG8228">
        <v>3.2750001000000002</v>
      </c>
      <c r="AH8228">
        <v>8</v>
      </c>
      <c r="AI8228">
        <v>35</v>
      </c>
      <c r="AJ8228" t="s">
        <v>43</v>
      </c>
      <c r="AK8228" t="s">
        <v>43</v>
      </c>
      <c r="AL8228" t="s">
        <v>43</v>
      </c>
      <c r="AM8228" t="s">
        <v>43</v>
      </c>
      <c r="AN8228" t="str">
        <f>HYPERLINK("https://www.google.com/maps?q=10.78874016,79.47161102","Open Location")</f>
        <v>Open Location</v>
      </c>
    </row>
    <row r="8229" spans="1:40" x14ac:dyDescent="0.3">
      <c r="A8229" s="1">
        <v>46210.046875</v>
      </c>
      <c r="B8229" t="s">
        <v>40</v>
      </c>
      <c r="C8229" t="s">
        <v>41</v>
      </c>
      <c r="D8229" s="1">
        <v>46210.049895833334</v>
      </c>
      <c r="E8229" t="s">
        <v>42</v>
      </c>
      <c r="F8229" t="s">
        <v>83</v>
      </c>
      <c r="G8229">
        <v>45</v>
      </c>
      <c r="H8229">
        <v>33031</v>
      </c>
      <c r="I8229" t="s">
        <v>4494</v>
      </c>
      <c r="J8229">
        <v>79</v>
      </c>
      <c r="K8229">
        <v>32</v>
      </c>
      <c r="L8229">
        <v>98</v>
      </c>
      <c r="M8229">
        <v>632.59997558999999</v>
      </c>
      <c r="N8229" t="s">
        <v>87</v>
      </c>
      <c r="O8229" t="s">
        <v>86</v>
      </c>
      <c r="P8229">
        <v>131</v>
      </c>
      <c r="Q8229">
        <v>6</v>
      </c>
      <c r="R8229">
        <v>58</v>
      </c>
      <c r="S8229">
        <v>1258</v>
      </c>
      <c r="T8229">
        <v>-40</v>
      </c>
      <c r="U8229">
        <v>45</v>
      </c>
      <c r="V8229">
        <v>62</v>
      </c>
      <c r="W8229">
        <v>26</v>
      </c>
      <c r="X8229">
        <v>26</v>
      </c>
      <c r="Y8229">
        <v>1</v>
      </c>
      <c r="Z8229">
        <v>8</v>
      </c>
      <c r="AA8229">
        <v>23</v>
      </c>
      <c r="AB8229">
        <v>7</v>
      </c>
      <c r="AC8229">
        <v>6</v>
      </c>
      <c r="AD8229">
        <v>3.30699992</v>
      </c>
      <c r="AE8229">
        <v>1</v>
      </c>
      <c r="AF8229">
        <v>25</v>
      </c>
      <c r="AG8229">
        <v>3.3020000500000002</v>
      </c>
      <c r="AH8229">
        <v>4</v>
      </c>
      <c r="AI8229">
        <v>17</v>
      </c>
      <c r="AJ8229">
        <v>1</v>
      </c>
      <c r="AK8229">
        <v>27</v>
      </c>
      <c r="AL8229">
        <v>37</v>
      </c>
      <c r="AM8229" t="s">
        <v>43</v>
      </c>
      <c r="AN8229" t="str">
        <f>HYPERLINK("https://www.google.com/maps?q=10.78896236,79.4701004","Open Location")</f>
        <v>Open Location</v>
      </c>
    </row>
    <row r="8230" spans="1:40" x14ac:dyDescent="0.3">
      <c r="A8230" s="1">
        <v>46210.046759259261</v>
      </c>
      <c r="B8230" t="s">
        <v>40</v>
      </c>
      <c r="C8230" t="s">
        <v>41</v>
      </c>
      <c r="D8230" s="1">
        <v>46210.04965277778</v>
      </c>
      <c r="E8230" t="s">
        <v>42</v>
      </c>
      <c r="F8230" t="s">
        <v>83</v>
      </c>
      <c r="G8230">
        <v>36</v>
      </c>
      <c r="H8230">
        <v>33031</v>
      </c>
      <c r="I8230" t="s">
        <v>4495</v>
      </c>
      <c r="J8230">
        <v>79</v>
      </c>
      <c r="K8230">
        <v>199</v>
      </c>
      <c r="L8230">
        <v>98</v>
      </c>
      <c r="M8230">
        <v>626.59997558999999</v>
      </c>
      <c r="N8230" t="s">
        <v>87</v>
      </c>
      <c r="O8230" t="s">
        <v>86</v>
      </c>
      <c r="P8230">
        <v>130</v>
      </c>
      <c r="Q8230">
        <v>5</v>
      </c>
      <c r="R8230">
        <v>83</v>
      </c>
      <c r="S8230">
        <v>1729</v>
      </c>
      <c r="T8230">
        <v>-40</v>
      </c>
      <c r="U8230">
        <v>43</v>
      </c>
      <c r="V8230">
        <v>720</v>
      </c>
      <c r="W8230">
        <v>26</v>
      </c>
      <c r="X8230">
        <v>26</v>
      </c>
      <c r="Y8230">
        <v>1</v>
      </c>
      <c r="Z8230">
        <v>8</v>
      </c>
      <c r="AA8230">
        <v>23</v>
      </c>
      <c r="AB8230">
        <v>2</v>
      </c>
      <c r="AC8230">
        <v>6</v>
      </c>
      <c r="AD8230">
        <v>3.2920000599999999</v>
      </c>
      <c r="AE8230">
        <v>5</v>
      </c>
      <c r="AF8230">
        <v>38</v>
      </c>
      <c r="AG8230">
        <v>3.2809998999999999</v>
      </c>
      <c r="AH8230">
        <v>7</v>
      </c>
      <c r="AI8230">
        <v>1</v>
      </c>
      <c r="AJ8230">
        <v>1</v>
      </c>
      <c r="AK8230">
        <v>28</v>
      </c>
      <c r="AL8230">
        <v>37</v>
      </c>
      <c r="AM8230" t="s">
        <v>43</v>
      </c>
      <c r="AN8230" t="str">
        <f>HYPERLINK("https://www.google.com/maps?q=10.78914738,79.46897888","Open Location")</f>
        <v>Open Location</v>
      </c>
    </row>
    <row r="8231" spans="1:40" x14ac:dyDescent="0.3">
      <c r="A8231" s="1">
        <v>46210.046643518515</v>
      </c>
      <c r="B8231" t="s">
        <v>40</v>
      </c>
      <c r="C8231" t="s">
        <v>41</v>
      </c>
      <c r="D8231" s="1">
        <v>46210.049583333333</v>
      </c>
      <c r="E8231" t="s">
        <v>42</v>
      </c>
      <c r="F8231" t="s">
        <v>83</v>
      </c>
      <c r="G8231">
        <v>45</v>
      </c>
      <c r="H8231">
        <v>33031</v>
      </c>
      <c r="I8231" t="s">
        <v>4496</v>
      </c>
      <c r="J8231">
        <v>79</v>
      </c>
      <c r="K8231">
        <v>7</v>
      </c>
      <c r="L8231">
        <v>98</v>
      </c>
      <c r="M8231">
        <v>636.5</v>
      </c>
      <c r="N8231" t="s">
        <v>87</v>
      </c>
      <c r="O8231" t="s">
        <v>86</v>
      </c>
      <c r="P8231">
        <v>131</v>
      </c>
      <c r="Q8231">
        <v>6</v>
      </c>
      <c r="R8231">
        <v>26</v>
      </c>
      <c r="S8231">
        <v>1238</v>
      </c>
      <c r="T8231">
        <v>-40</v>
      </c>
      <c r="U8231">
        <v>44</v>
      </c>
      <c r="V8231">
        <v>16</v>
      </c>
      <c r="W8231">
        <v>26</v>
      </c>
      <c r="X8231">
        <v>26</v>
      </c>
      <c r="Y8231">
        <v>1</v>
      </c>
      <c r="Z8231">
        <v>8</v>
      </c>
      <c r="AA8231">
        <v>23</v>
      </c>
      <c r="AB8231">
        <v>2</v>
      </c>
      <c r="AC8231">
        <v>3</v>
      </c>
      <c r="AD8231">
        <v>3.3310000899999999</v>
      </c>
      <c r="AE8231">
        <v>2</v>
      </c>
      <c r="AF8231">
        <v>46</v>
      </c>
      <c r="AG8231">
        <v>3.3250000499999999</v>
      </c>
      <c r="AH8231">
        <v>5</v>
      </c>
      <c r="AI8231">
        <v>10</v>
      </c>
      <c r="AJ8231">
        <v>1</v>
      </c>
      <c r="AK8231">
        <v>27</v>
      </c>
      <c r="AL8231">
        <v>37</v>
      </c>
      <c r="AM8231" t="s">
        <v>43</v>
      </c>
      <c r="AN8231" t="str">
        <f>HYPERLINK("https://www.google.com/maps?q=10.78939629,79.46772003","Open Location")</f>
        <v>Open Location</v>
      </c>
    </row>
    <row r="8232" spans="1:40" x14ac:dyDescent="0.3">
      <c r="A8232" s="1">
        <v>46210.046527777777</v>
      </c>
      <c r="B8232" t="s">
        <v>40</v>
      </c>
      <c r="C8232" t="s">
        <v>41</v>
      </c>
      <c r="D8232" s="1">
        <v>46210.049467592595</v>
      </c>
      <c r="E8232" t="s">
        <v>42</v>
      </c>
      <c r="F8232" t="s">
        <v>83</v>
      </c>
      <c r="G8232">
        <v>40</v>
      </c>
      <c r="H8232">
        <v>33031</v>
      </c>
      <c r="I8232" t="s">
        <v>43</v>
      </c>
      <c r="J8232">
        <v>79</v>
      </c>
      <c r="K8232">
        <v>-38</v>
      </c>
      <c r="L8232">
        <v>98</v>
      </c>
      <c r="M8232">
        <v>636.5</v>
      </c>
      <c r="N8232" t="s">
        <v>87</v>
      </c>
      <c r="O8232" t="s">
        <v>86</v>
      </c>
      <c r="P8232">
        <v>131</v>
      </c>
      <c r="Q8232">
        <v>6</v>
      </c>
      <c r="R8232">
        <v>-36</v>
      </c>
      <c r="S8232">
        <v>1089</v>
      </c>
      <c r="T8232">
        <v>-40</v>
      </c>
      <c r="U8232">
        <v>43</v>
      </c>
      <c r="V8232">
        <v>-300</v>
      </c>
      <c r="W8232">
        <v>26</v>
      </c>
      <c r="X8232">
        <v>26</v>
      </c>
      <c r="Y8232">
        <v>1</v>
      </c>
      <c r="Z8232">
        <v>8</v>
      </c>
      <c r="AA8232">
        <v>23</v>
      </c>
      <c r="AB8232">
        <v>2</v>
      </c>
      <c r="AC8232">
        <v>3</v>
      </c>
      <c r="AD8232">
        <v>3.28299999</v>
      </c>
      <c r="AE8232">
        <v>1</v>
      </c>
      <c r="AF8232">
        <v>44</v>
      </c>
      <c r="AG8232">
        <v>3.26799989</v>
      </c>
      <c r="AH8232">
        <v>4</v>
      </c>
      <c r="AI8232">
        <v>17</v>
      </c>
      <c r="AJ8232">
        <v>1</v>
      </c>
      <c r="AK8232">
        <v>28</v>
      </c>
      <c r="AL8232">
        <v>37</v>
      </c>
      <c r="AM8232" t="s">
        <v>43</v>
      </c>
      <c r="AN8232" t="s">
        <v>43</v>
      </c>
    </row>
    <row r="8233" spans="1:40" x14ac:dyDescent="0.3">
      <c r="A8233" s="1">
        <v>46210.046412037038</v>
      </c>
      <c r="B8233" t="s">
        <v>40</v>
      </c>
      <c r="C8233" t="s">
        <v>41</v>
      </c>
      <c r="D8233" s="1">
        <v>46210.04923611111</v>
      </c>
      <c r="E8233" t="s">
        <v>42</v>
      </c>
      <c r="F8233" t="s">
        <v>83</v>
      </c>
      <c r="G8233">
        <v>58</v>
      </c>
      <c r="H8233">
        <v>33031</v>
      </c>
      <c r="I8233" t="s">
        <v>4497</v>
      </c>
      <c r="J8233">
        <v>79</v>
      </c>
      <c r="K8233">
        <v>40</v>
      </c>
      <c r="L8233">
        <v>98</v>
      </c>
      <c r="M8233">
        <v>632.70001220999995</v>
      </c>
      <c r="N8233" t="s">
        <v>87</v>
      </c>
      <c r="O8233" t="s">
        <v>86</v>
      </c>
      <c r="P8233">
        <v>131</v>
      </c>
      <c r="Q8233">
        <v>6</v>
      </c>
      <c r="R8233">
        <v>47</v>
      </c>
      <c r="S8233">
        <v>1594</v>
      </c>
      <c r="T8233">
        <v>-40</v>
      </c>
      <c r="U8233">
        <v>43</v>
      </c>
      <c r="V8233">
        <v>140</v>
      </c>
      <c r="W8233">
        <v>26</v>
      </c>
      <c r="X8233">
        <v>26</v>
      </c>
      <c r="Y8233">
        <v>1</v>
      </c>
      <c r="Z8233">
        <v>8</v>
      </c>
      <c r="AA8233">
        <v>23</v>
      </c>
      <c r="AB8233">
        <v>2</v>
      </c>
      <c r="AC8233">
        <v>3</v>
      </c>
      <c r="AD8233">
        <v>3.35400009</v>
      </c>
      <c r="AE8233">
        <v>8</v>
      </c>
      <c r="AF8233">
        <v>35</v>
      </c>
      <c r="AG8233">
        <v>3.34200001</v>
      </c>
      <c r="AH8233">
        <v>5</v>
      </c>
      <c r="AI8233">
        <v>8</v>
      </c>
      <c r="AJ8233">
        <v>1</v>
      </c>
      <c r="AK8233">
        <v>27</v>
      </c>
      <c r="AL8233">
        <v>37</v>
      </c>
      <c r="AM8233" t="s">
        <v>43</v>
      </c>
      <c r="AN8233" t="str">
        <f>HYPERLINK("https://www.google.com/maps?q=10.78969383,79.46635437","Open Location")</f>
        <v>Open Location</v>
      </c>
    </row>
    <row r="8234" spans="1:40" x14ac:dyDescent="0.3">
      <c r="A8234" s="1">
        <v>46210.046296296299</v>
      </c>
      <c r="B8234" t="s">
        <v>40</v>
      </c>
      <c r="C8234" t="s">
        <v>41</v>
      </c>
      <c r="D8234" s="1">
        <v>46210.04923611111</v>
      </c>
      <c r="E8234" t="s">
        <v>42</v>
      </c>
      <c r="F8234" t="s">
        <v>83</v>
      </c>
      <c r="G8234">
        <v>55</v>
      </c>
      <c r="H8234" t="s">
        <v>43</v>
      </c>
      <c r="I8234" t="s">
        <v>4498</v>
      </c>
      <c r="J8234">
        <v>79</v>
      </c>
      <c r="K8234">
        <v>132</v>
      </c>
      <c r="L8234">
        <v>98</v>
      </c>
      <c r="M8234">
        <v>627.20001220999995</v>
      </c>
      <c r="N8234" t="s">
        <v>87</v>
      </c>
      <c r="O8234" t="s">
        <v>86</v>
      </c>
      <c r="P8234">
        <v>131</v>
      </c>
      <c r="Q8234">
        <v>6</v>
      </c>
      <c r="R8234">
        <v>-49</v>
      </c>
      <c r="S8234">
        <v>1541</v>
      </c>
      <c r="T8234">
        <v>-40</v>
      </c>
      <c r="U8234">
        <v>42</v>
      </c>
      <c r="V8234">
        <v>579</v>
      </c>
      <c r="W8234" t="s">
        <v>43</v>
      </c>
      <c r="X8234" t="s">
        <v>43</v>
      </c>
      <c r="Y8234" t="s">
        <v>43</v>
      </c>
      <c r="Z8234" t="s">
        <v>43</v>
      </c>
      <c r="AA8234" t="s">
        <v>43</v>
      </c>
      <c r="AB8234" t="s">
        <v>43</v>
      </c>
      <c r="AC8234" t="s">
        <v>43</v>
      </c>
      <c r="AD8234">
        <v>3.2839999199999999</v>
      </c>
      <c r="AE8234">
        <v>5</v>
      </c>
      <c r="AF8234">
        <v>38</v>
      </c>
      <c r="AG8234">
        <v>3.27099991</v>
      </c>
      <c r="AH8234">
        <v>8</v>
      </c>
      <c r="AI8234">
        <v>35</v>
      </c>
      <c r="AJ8234" t="s">
        <v>43</v>
      </c>
      <c r="AK8234" t="s">
        <v>43</v>
      </c>
      <c r="AL8234" t="s">
        <v>43</v>
      </c>
      <c r="AM8234" t="s">
        <v>43</v>
      </c>
      <c r="AN8234" t="str">
        <f>HYPERLINK("https://www.google.com/maps?q=10.79006481,79.46465302","Open Location")</f>
        <v>Open Location</v>
      </c>
    </row>
    <row r="8235" spans="1:40" x14ac:dyDescent="0.3">
      <c r="A8235" s="1">
        <v>46210.046180555553</v>
      </c>
      <c r="B8235" t="s">
        <v>40</v>
      </c>
      <c r="C8235" t="s">
        <v>41</v>
      </c>
      <c r="D8235" s="1">
        <v>46210.049224537041</v>
      </c>
      <c r="E8235" t="s">
        <v>42</v>
      </c>
      <c r="F8235" t="s">
        <v>83</v>
      </c>
      <c r="G8235">
        <v>58</v>
      </c>
      <c r="H8235" t="s">
        <v>43</v>
      </c>
      <c r="I8235" t="s">
        <v>4499</v>
      </c>
      <c r="J8235">
        <v>79</v>
      </c>
      <c r="K8235">
        <v>75</v>
      </c>
      <c r="L8235">
        <v>98</v>
      </c>
      <c r="M8235">
        <v>630.70001220999995</v>
      </c>
      <c r="N8235" t="s">
        <v>87</v>
      </c>
      <c r="O8235" t="s">
        <v>86</v>
      </c>
      <c r="P8235">
        <v>131</v>
      </c>
      <c r="Q8235">
        <v>6</v>
      </c>
      <c r="R8235">
        <v>47</v>
      </c>
      <c r="S8235">
        <v>1596</v>
      </c>
      <c r="T8235">
        <v>-40</v>
      </c>
      <c r="U8235">
        <v>43</v>
      </c>
      <c r="V8235">
        <v>240</v>
      </c>
      <c r="W8235">
        <v>26</v>
      </c>
      <c r="X8235">
        <v>26</v>
      </c>
      <c r="Y8235">
        <v>1</v>
      </c>
      <c r="Z8235">
        <v>8</v>
      </c>
      <c r="AA8235">
        <v>23</v>
      </c>
      <c r="AB8235">
        <v>2</v>
      </c>
      <c r="AC8235">
        <v>3</v>
      </c>
      <c r="AD8235">
        <v>3.2920000599999999</v>
      </c>
      <c r="AE8235">
        <v>5</v>
      </c>
      <c r="AF8235">
        <v>38</v>
      </c>
      <c r="AG8235">
        <v>3.28299999</v>
      </c>
      <c r="AH8235">
        <v>4</v>
      </c>
      <c r="AI8235">
        <v>17</v>
      </c>
      <c r="AJ8235">
        <v>1</v>
      </c>
      <c r="AK8235">
        <v>27</v>
      </c>
      <c r="AL8235">
        <v>37</v>
      </c>
      <c r="AM8235" t="s">
        <v>43</v>
      </c>
      <c r="AN8235" t="str">
        <f>HYPERLINK("https://www.google.com/maps?q=10.79042625,79.46292877","Open Location")</f>
        <v>Open Location</v>
      </c>
    </row>
    <row r="8236" spans="1:40" x14ac:dyDescent="0.3">
      <c r="A8236" s="1">
        <v>46210.046064814815</v>
      </c>
      <c r="B8236" t="s">
        <v>40</v>
      </c>
      <c r="C8236" t="s">
        <v>41</v>
      </c>
      <c r="D8236" s="1">
        <v>46210.048715277779</v>
      </c>
      <c r="E8236" t="s">
        <v>42</v>
      </c>
      <c r="F8236" t="s">
        <v>83</v>
      </c>
      <c r="G8236">
        <v>56</v>
      </c>
      <c r="H8236">
        <v>33031</v>
      </c>
      <c r="I8236" t="s">
        <v>4500</v>
      </c>
      <c r="J8236">
        <v>79</v>
      </c>
      <c r="K8236">
        <v>141</v>
      </c>
      <c r="L8236">
        <v>98</v>
      </c>
      <c r="M8236">
        <v>627.09997558999999</v>
      </c>
      <c r="N8236" t="s">
        <v>87</v>
      </c>
      <c r="O8236" t="s">
        <v>86</v>
      </c>
      <c r="P8236">
        <v>131</v>
      </c>
      <c r="Q8236">
        <v>6</v>
      </c>
      <c r="R8236">
        <v>97</v>
      </c>
      <c r="S8236">
        <v>1565</v>
      </c>
      <c r="T8236">
        <v>-40</v>
      </c>
      <c r="U8236">
        <v>43</v>
      </c>
      <c r="V8236">
        <v>460</v>
      </c>
      <c r="W8236" t="s">
        <v>43</v>
      </c>
      <c r="X8236" t="s">
        <v>43</v>
      </c>
      <c r="Y8236" t="s">
        <v>43</v>
      </c>
      <c r="Z8236" t="s">
        <v>43</v>
      </c>
      <c r="AA8236" t="s">
        <v>43</v>
      </c>
      <c r="AB8236" t="s">
        <v>43</v>
      </c>
      <c r="AC8236" t="s">
        <v>43</v>
      </c>
      <c r="AD8236">
        <v>3.28600001</v>
      </c>
      <c r="AE8236">
        <v>5</v>
      </c>
      <c r="AF8236">
        <v>38</v>
      </c>
      <c r="AG8236">
        <v>3.27399993</v>
      </c>
      <c r="AH8236">
        <v>4</v>
      </c>
      <c r="AI8236">
        <v>17</v>
      </c>
      <c r="AJ8236">
        <v>1</v>
      </c>
      <c r="AK8236">
        <v>27</v>
      </c>
      <c r="AL8236">
        <v>37</v>
      </c>
      <c r="AM8236" t="s">
        <v>43</v>
      </c>
      <c r="AN8236" t="str">
        <f>HYPERLINK("https://www.google.com/maps?q=10.79079056,79.46125031","Open Location")</f>
        <v>Open Location</v>
      </c>
    </row>
    <row r="8237" spans="1:40" x14ac:dyDescent="0.3">
      <c r="A8237" s="1">
        <v>46210.045949074076</v>
      </c>
      <c r="B8237" t="s">
        <v>40</v>
      </c>
      <c r="C8237" t="s">
        <v>41</v>
      </c>
      <c r="D8237" s="1">
        <v>46210.04886574074</v>
      </c>
      <c r="E8237" t="s">
        <v>42</v>
      </c>
      <c r="F8237" t="s">
        <v>83</v>
      </c>
      <c r="G8237">
        <v>53</v>
      </c>
      <c r="H8237">
        <v>33030</v>
      </c>
      <c r="I8237" t="s">
        <v>43</v>
      </c>
      <c r="J8237">
        <v>79</v>
      </c>
      <c r="K8237">
        <v>61</v>
      </c>
      <c r="L8237">
        <v>98</v>
      </c>
      <c r="M8237">
        <v>632</v>
      </c>
      <c r="N8237" t="s">
        <v>87</v>
      </c>
      <c r="O8237" t="s">
        <v>86</v>
      </c>
      <c r="P8237">
        <v>131</v>
      </c>
      <c r="Q8237">
        <v>6</v>
      </c>
      <c r="R8237">
        <v>46</v>
      </c>
      <c r="S8237">
        <v>1477</v>
      </c>
      <c r="T8237">
        <v>-40</v>
      </c>
      <c r="U8237">
        <v>43</v>
      </c>
      <c r="V8237">
        <v>240</v>
      </c>
      <c r="W8237">
        <v>26</v>
      </c>
      <c r="X8237">
        <v>26</v>
      </c>
      <c r="Y8237">
        <v>1</v>
      </c>
      <c r="Z8237">
        <v>8</v>
      </c>
      <c r="AA8237">
        <v>23</v>
      </c>
      <c r="AB8237">
        <v>2</v>
      </c>
      <c r="AC8237">
        <v>3</v>
      </c>
      <c r="AD8237">
        <v>3.2959999999999998</v>
      </c>
      <c r="AE8237">
        <v>5</v>
      </c>
      <c r="AF8237">
        <v>38</v>
      </c>
      <c r="AG8237">
        <v>3.2869999399999998</v>
      </c>
      <c r="AH8237">
        <v>4</v>
      </c>
      <c r="AI8237">
        <v>17</v>
      </c>
      <c r="AJ8237">
        <v>1</v>
      </c>
      <c r="AK8237">
        <v>27</v>
      </c>
      <c r="AL8237">
        <v>37</v>
      </c>
      <c r="AM8237" t="s">
        <v>43</v>
      </c>
      <c r="AN8237" t="s">
        <v>43</v>
      </c>
    </row>
    <row r="8238" spans="1:40" x14ac:dyDescent="0.3">
      <c r="A8238" s="1">
        <v>46210.04583333333</v>
      </c>
      <c r="B8238" t="s">
        <v>40</v>
      </c>
      <c r="C8238" t="s">
        <v>41</v>
      </c>
      <c r="D8238" s="1">
        <v>46210.048796296294</v>
      </c>
      <c r="E8238" t="s">
        <v>42</v>
      </c>
      <c r="F8238" t="s">
        <v>83</v>
      </c>
      <c r="G8238">
        <v>50</v>
      </c>
      <c r="H8238">
        <v>33030</v>
      </c>
      <c r="I8238" t="s">
        <v>4501</v>
      </c>
      <c r="J8238">
        <v>79</v>
      </c>
      <c r="K8238">
        <v>72</v>
      </c>
      <c r="L8238">
        <v>98</v>
      </c>
      <c r="M8238">
        <v>631.20001220999995</v>
      </c>
      <c r="N8238" t="s">
        <v>87</v>
      </c>
      <c r="O8238" t="s">
        <v>86</v>
      </c>
      <c r="P8238">
        <v>131</v>
      </c>
      <c r="Q8238">
        <v>6</v>
      </c>
      <c r="R8238">
        <v>59</v>
      </c>
      <c r="S8238">
        <v>1408</v>
      </c>
      <c r="T8238">
        <v>-40</v>
      </c>
      <c r="U8238">
        <v>43</v>
      </c>
      <c r="V8238">
        <v>280</v>
      </c>
      <c r="W8238">
        <v>26</v>
      </c>
      <c r="X8238">
        <v>26</v>
      </c>
      <c r="Y8238">
        <v>1</v>
      </c>
      <c r="Z8238">
        <v>8</v>
      </c>
      <c r="AA8238">
        <v>23</v>
      </c>
      <c r="AB8238">
        <v>2</v>
      </c>
      <c r="AC8238">
        <v>3</v>
      </c>
      <c r="AD8238">
        <v>3.2999999500000001</v>
      </c>
      <c r="AE8238">
        <v>5</v>
      </c>
      <c r="AF8238">
        <v>38</v>
      </c>
      <c r="AG8238">
        <v>3.2929999799999998</v>
      </c>
      <c r="AH8238">
        <v>4</v>
      </c>
      <c r="AI8238">
        <v>17</v>
      </c>
      <c r="AJ8238">
        <v>1</v>
      </c>
      <c r="AK8238">
        <v>27</v>
      </c>
      <c r="AL8238">
        <v>37</v>
      </c>
      <c r="AM8238" t="s">
        <v>43</v>
      </c>
      <c r="AN8238" t="str">
        <f>HYPERLINK("https://www.google.com/maps?q=10.79114628,79.45968628","Open Location")</f>
        <v>Open Location</v>
      </c>
    </row>
    <row r="8239" spans="1:40" x14ac:dyDescent="0.3">
      <c r="A8239" s="1">
        <v>46210.045717592591</v>
      </c>
      <c r="B8239" t="s">
        <v>40</v>
      </c>
      <c r="C8239" t="s">
        <v>41</v>
      </c>
      <c r="D8239" s="1">
        <v>46210.048368055555</v>
      </c>
      <c r="E8239" t="s">
        <v>42</v>
      </c>
      <c r="F8239" t="s">
        <v>83</v>
      </c>
      <c r="G8239">
        <v>45</v>
      </c>
      <c r="H8239" t="s">
        <v>43</v>
      </c>
      <c r="I8239" t="s">
        <v>4502</v>
      </c>
      <c r="J8239">
        <v>79</v>
      </c>
      <c r="K8239">
        <v>114</v>
      </c>
      <c r="L8239">
        <v>98</v>
      </c>
      <c r="M8239">
        <v>630.09997558999999</v>
      </c>
      <c r="N8239" t="s">
        <v>87</v>
      </c>
      <c r="O8239" t="s">
        <v>86</v>
      </c>
      <c r="P8239">
        <v>131</v>
      </c>
      <c r="Q8239">
        <v>6</v>
      </c>
      <c r="R8239">
        <v>67</v>
      </c>
      <c r="S8239">
        <v>1275</v>
      </c>
      <c r="T8239">
        <v>-40</v>
      </c>
      <c r="U8239">
        <v>43</v>
      </c>
      <c r="V8239">
        <v>500</v>
      </c>
      <c r="W8239">
        <v>26</v>
      </c>
      <c r="X8239">
        <v>26</v>
      </c>
      <c r="Y8239">
        <v>1</v>
      </c>
      <c r="Z8239">
        <v>8</v>
      </c>
      <c r="AA8239">
        <v>23</v>
      </c>
      <c r="AB8239">
        <v>2</v>
      </c>
      <c r="AC8239">
        <v>3</v>
      </c>
      <c r="AD8239">
        <v>3.2909998900000001</v>
      </c>
      <c r="AE8239">
        <v>5</v>
      </c>
      <c r="AF8239">
        <v>38</v>
      </c>
      <c r="AG8239">
        <v>3.27999997</v>
      </c>
      <c r="AH8239">
        <v>4</v>
      </c>
      <c r="AI8239">
        <v>17</v>
      </c>
      <c r="AJ8239">
        <v>1</v>
      </c>
      <c r="AK8239">
        <v>27</v>
      </c>
      <c r="AL8239">
        <v>37</v>
      </c>
      <c r="AM8239" t="s">
        <v>43</v>
      </c>
      <c r="AN8239" t="str">
        <f>HYPERLINK("https://www.google.com/maps?q=10.79152584,79.45811462","Open Location")</f>
        <v>Open Location</v>
      </c>
    </row>
    <row r="8240" spans="1:40" x14ac:dyDescent="0.3">
      <c r="A8240" s="1">
        <v>46210.045601851853</v>
      </c>
      <c r="B8240" t="s">
        <v>40</v>
      </c>
      <c r="C8240" t="s">
        <v>41</v>
      </c>
      <c r="D8240" s="1">
        <v>46210.048344907409</v>
      </c>
      <c r="E8240" t="s">
        <v>42</v>
      </c>
      <c r="F8240" t="s">
        <v>83</v>
      </c>
      <c r="G8240">
        <v>49</v>
      </c>
      <c r="H8240">
        <v>33030</v>
      </c>
      <c r="I8240" t="s">
        <v>4503</v>
      </c>
      <c r="J8240">
        <v>79</v>
      </c>
      <c r="K8240">
        <v>-56</v>
      </c>
      <c r="L8240">
        <v>98</v>
      </c>
      <c r="M8240">
        <v>636.40002441000001</v>
      </c>
      <c r="N8240" t="s">
        <v>87</v>
      </c>
      <c r="O8240" t="s">
        <v>86</v>
      </c>
      <c r="P8240">
        <v>131</v>
      </c>
      <c r="Q8240">
        <v>6</v>
      </c>
      <c r="R8240">
        <v>11</v>
      </c>
      <c r="S8240">
        <v>1324</v>
      </c>
      <c r="T8240">
        <v>-40</v>
      </c>
      <c r="U8240">
        <v>43</v>
      </c>
      <c r="V8240">
        <v>-300</v>
      </c>
      <c r="W8240">
        <v>26</v>
      </c>
      <c r="X8240">
        <v>26</v>
      </c>
      <c r="Y8240">
        <v>1</v>
      </c>
      <c r="Z8240">
        <v>8</v>
      </c>
      <c r="AA8240">
        <v>23</v>
      </c>
      <c r="AB8240">
        <v>2</v>
      </c>
      <c r="AC8240">
        <v>3</v>
      </c>
      <c r="AD8240">
        <v>3.3199999299999998</v>
      </c>
      <c r="AE8240">
        <v>1</v>
      </c>
      <c r="AF8240">
        <v>17</v>
      </c>
      <c r="AG8240">
        <v>3.3169999099999998</v>
      </c>
      <c r="AH8240">
        <v>2</v>
      </c>
      <c r="AI8240">
        <v>6</v>
      </c>
      <c r="AJ8240" t="s">
        <v>43</v>
      </c>
      <c r="AK8240" t="s">
        <v>43</v>
      </c>
      <c r="AL8240" t="s">
        <v>43</v>
      </c>
      <c r="AM8240" t="s">
        <v>43</v>
      </c>
      <c r="AN8240" t="str">
        <f>HYPERLINK("https://www.google.com/maps?q=10.79186153,79.4567337","Open Location")</f>
        <v>Open Location</v>
      </c>
    </row>
    <row r="8241" spans="1:40" x14ac:dyDescent="0.3">
      <c r="A8241" s="1">
        <v>46210.045486111114</v>
      </c>
      <c r="B8241" t="s">
        <v>40</v>
      </c>
      <c r="C8241" t="s">
        <v>41</v>
      </c>
      <c r="D8241" s="1">
        <v>46210.048483796294</v>
      </c>
      <c r="E8241" t="s">
        <v>42</v>
      </c>
      <c r="F8241" t="s">
        <v>83</v>
      </c>
      <c r="G8241">
        <v>42</v>
      </c>
      <c r="H8241">
        <v>33030</v>
      </c>
      <c r="I8241" t="s">
        <v>4504</v>
      </c>
      <c r="J8241">
        <v>79</v>
      </c>
      <c r="K8241">
        <v>146</v>
      </c>
      <c r="L8241">
        <v>98</v>
      </c>
      <c r="M8241">
        <v>628.70001220999995</v>
      </c>
      <c r="N8241" t="s">
        <v>87</v>
      </c>
      <c r="O8241" t="s">
        <v>86</v>
      </c>
      <c r="P8241">
        <v>131</v>
      </c>
      <c r="Q8241">
        <v>6</v>
      </c>
      <c r="R8241">
        <v>96</v>
      </c>
      <c r="S8241">
        <v>1206</v>
      </c>
      <c r="T8241">
        <v>-40</v>
      </c>
      <c r="U8241">
        <v>44</v>
      </c>
      <c r="V8241">
        <v>680</v>
      </c>
      <c r="W8241">
        <v>26</v>
      </c>
      <c r="X8241">
        <v>26</v>
      </c>
      <c r="Y8241">
        <v>1</v>
      </c>
      <c r="Z8241">
        <v>8</v>
      </c>
      <c r="AA8241">
        <v>23</v>
      </c>
      <c r="AB8241">
        <v>2</v>
      </c>
      <c r="AC8241">
        <v>3</v>
      </c>
      <c r="AD8241">
        <v>3.28900003</v>
      </c>
      <c r="AE8241">
        <v>1</v>
      </c>
      <c r="AF8241">
        <v>42</v>
      </c>
      <c r="AG8241">
        <v>3.2780001200000002</v>
      </c>
      <c r="AH8241">
        <v>7</v>
      </c>
      <c r="AI8241">
        <v>19</v>
      </c>
      <c r="AJ8241">
        <v>1</v>
      </c>
      <c r="AK8241">
        <v>28</v>
      </c>
      <c r="AL8241">
        <v>37</v>
      </c>
      <c r="AM8241" t="s">
        <v>43</v>
      </c>
      <c r="AN8241" t="str">
        <f>HYPERLINK("https://www.google.com/maps?q=10.79218102,79.45542145","Open Location")</f>
        <v>Open Location</v>
      </c>
    </row>
    <row r="8242" spans="1:40" x14ac:dyDescent="0.3">
      <c r="A8242" s="1">
        <v>46210.045370370368</v>
      </c>
      <c r="B8242" t="s">
        <v>40</v>
      </c>
      <c r="C8242" t="s">
        <v>41</v>
      </c>
      <c r="D8242" s="1">
        <v>46210.048344907409</v>
      </c>
      <c r="E8242" t="s">
        <v>42</v>
      </c>
      <c r="F8242" t="s">
        <v>83</v>
      </c>
      <c r="G8242">
        <v>58</v>
      </c>
      <c r="H8242">
        <v>33030</v>
      </c>
      <c r="I8242" t="s">
        <v>4505</v>
      </c>
      <c r="J8242">
        <v>79</v>
      </c>
      <c r="K8242">
        <v>68</v>
      </c>
      <c r="L8242">
        <v>98</v>
      </c>
      <c r="M8242">
        <v>631.5</v>
      </c>
      <c r="N8242" t="s">
        <v>87</v>
      </c>
      <c r="O8242" t="s">
        <v>86</v>
      </c>
      <c r="P8242">
        <v>131</v>
      </c>
      <c r="Q8242">
        <v>6</v>
      </c>
      <c r="R8242">
        <v>44</v>
      </c>
      <c r="S8242">
        <v>1618</v>
      </c>
      <c r="T8242">
        <v>-40</v>
      </c>
      <c r="U8242">
        <v>42</v>
      </c>
      <c r="V8242">
        <v>240</v>
      </c>
      <c r="W8242">
        <v>26</v>
      </c>
      <c r="X8242">
        <v>26</v>
      </c>
      <c r="Y8242">
        <v>1</v>
      </c>
      <c r="Z8242">
        <v>8</v>
      </c>
      <c r="AA8242">
        <v>23</v>
      </c>
      <c r="AB8242">
        <v>2</v>
      </c>
      <c r="AC8242">
        <v>3</v>
      </c>
      <c r="AD8242">
        <v>3.3519999999999999</v>
      </c>
      <c r="AE8242">
        <v>8</v>
      </c>
      <c r="AF8242">
        <v>35</v>
      </c>
      <c r="AG8242">
        <v>3.3410000800000001</v>
      </c>
      <c r="AH8242">
        <v>1</v>
      </c>
      <c r="AI8242">
        <v>6</v>
      </c>
      <c r="AJ8242">
        <v>1</v>
      </c>
      <c r="AK8242">
        <v>27</v>
      </c>
      <c r="AL8242">
        <v>37</v>
      </c>
      <c r="AM8242" t="s">
        <v>43</v>
      </c>
      <c r="AN8242" t="str">
        <f>HYPERLINK("https://www.google.com/maps?q=10.79255104,79.45378876","Open Location")</f>
        <v>Open Location</v>
      </c>
    </row>
    <row r="8243" spans="1:40" x14ac:dyDescent="0.3">
      <c r="A8243" s="1">
        <v>46210.045254629629</v>
      </c>
      <c r="B8243" t="s">
        <v>40</v>
      </c>
      <c r="C8243" t="s">
        <v>41</v>
      </c>
      <c r="D8243" s="1">
        <v>46210.047974537039</v>
      </c>
      <c r="E8243" t="s">
        <v>42</v>
      </c>
      <c r="F8243" t="s">
        <v>83</v>
      </c>
      <c r="G8243">
        <v>59</v>
      </c>
      <c r="H8243">
        <v>33030</v>
      </c>
      <c r="I8243" t="s">
        <v>43</v>
      </c>
      <c r="J8243">
        <v>79</v>
      </c>
      <c r="K8243">
        <v>81</v>
      </c>
      <c r="L8243">
        <v>98</v>
      </c>
      <c r="M8243">
        <v>631.09997558999999</v>
      </c>
      <c r="N8243" t="s">
        <v>87</v>
      </c>
      <c r="O8243" t="s">
        <v>86</v>
      </c>
      <c r="P8243">
        <v>131</v>
      </c>
      <c r="Q8243">
        <v>6</v>
      </c>
      <c r="R8243">
        <v>58</v>
      </c>
      <c r="S8243">
        <v>1651</v>
      </c>
      <c r="T8243">
        <v>-40</v>
      </c>
      <c r="U8243">
        <v>42</v>
      </c>
      <c r="V8243">
        <v>280</v>
      </c>
      <c r="W8243">
        <v>26</v>
      </c>
      <c r="X8243">
        <v>26</v>
      </c>
      <c r="Y8243">
        <v>1</v>
      </c>
      <c r="Z8243">
        <v>8</v>
      </c>
      <c r="AA8243">
        <v>23</v>
      </c>
      <c r="AB8243">
        <v>2</v>
      </c>
      <c r="AC8243">
        <v>3</v>
      </c>
      <c r="AD8243">
        <v>3.2969999300000001</v>
      </c>
      <c r="AE8243">
        <v>5</v>
      </c>
      <c r="AF8243">
        <v>38</v>
      </c>
      <c r="AG8243">
        <v>3.28800011</v>
      </c>
      <c r="AH8243">
        <v>7</v>
      </c>
      <c r="AI8243">
        <v>1</v>
      </c>
      <c r="AJ8243">
        <v>1</v>
      </c>
      <c r="AK8243">
        <v>27</v>
      </c>
      <c r="AL8243">
        <v>37</v>
      </c>
      <c r="AM8243" t="s">
        <v>43</v>
      </c>
      <c r="AN8243" t="s">
        <v>43</v>
      </c>
    </row>
    <row r="8244" spans="1:40" x14ac:dyDescent="0.3">
      <c r="A8244" s="1">
        <v>46210.045138888891</v>
      </c>
      <c r="B8244" t="s">
        <v>40</v>
      </c>
      <c r="C8244" t="s">
        <v>41</v>
      </c>
      <c r="D8244" s="1">
        <v>46210.047986111109</v>
      </c>
      <c r="E8244" t="s">
        <v>42</v>
      </c>
      <c r="F8244" t="s">
        <v>83</v>
      </c>
      <c r="G8244">
        <v>60</v>
      </c>
      <c r="H8244">
        <v>33029</v>
      </c>
      <c r="I8244" t="s">
        <v>4506</v>
      </c>
      <c r="J8244">
        <v>79</v>
      </c>
      <c r="K8244">
        <v>74</v>
      </c>
      <c r="L8244">
        <v>98</v>
      </c>
      <c r="M8244">
        <v>631</v>
      </c>
      <c r="N8244" t="s">
        <v>87</v>
      </c>
      <c r="O8244" t="s">
        <v>86</v>
      </c>
      <c r="P8244">
        <v>131</v>
      </c>
      <c r="Q8244">
        <v>6</v>
      </c>
      <c r="R8244">
        <v>45</v>
      </c>
      <c r="S8244">
        <v>1663</v>
      </c>
      <c r="T8244">
        <v>-40</v>
      </c>
      <c r="U8244">
        <v>42</v>
      </c>
      <c r="V8244">
        <v>260</v>
      </c>
      <c r="W8244">
        <v>26</v>
      </c>
      <c r="X8244">
        <v>26</v>
      </c>
      <c r="Y8244">
        <v>1</v>
      </c>
      <c r="Z8244">
        <v>8</v>
      </c>
      <c r="AA8244">
        <v>23</v>
      </c>
      <c r="AB8244">
        <v>2</v>
      </c>
      <c r="AC8244">
        <v>3</v>
      </c>
      <c r="AD8244">
        <v>3.2990000199999998</v>
      </c>
      <c r="AE8244">
        <v>5</v>
      </c>
      <c r="AF8244">
        <v>38</v>
      </c>
      <c r="AG8244">
        <v>3.2920000599999999</v>
      </c>
      <c r="AH8244">
        <v>4</v>
      </c>
      <c r="AI8244">
        <v>17</v>
      </c>
      <c r="AJ8244">
        <v>1</v>
      </c>
      <c r="AK8244">
        <v>27</v>
      </c>
      <c r="AL8244">
        <v>37</v>
      </c>
      <c r="AM8244" t="s">
        <v>43</v>
      </c>
      <c r="AN8244" t="str">
        <f>HYPERLINK("https://www.google.com/maps?q=10.79293919,79.45201111","Open Location")</f>
        <v>Open Location</v>
      </c>
    </row>
    <row r="8245" spans="1:40" x14ac:dyDescent="0.3">
      <c r="A8245" s="1">
        <v>46210.045023148145</v>
      </c>
      <c r="B8245" t="s">
        <v>40</v>
      </c>
      <c r="C8245" t="s">
        <v>41</v>
      </c>
      <c r="D8245" s="1">
        <v>46210.047685185185</v>
      </c>
      <c r="E8245" t="s">
        <v>42</v>
      </c>
      <c r="F8245" t="s">
        <v>83</v>
      </c>
      <c r="G8245">
        <v>59</v>
      </c>
      <c r="H8245">
        <v>33029</v>
      </c>
      <c r="I8245" t="s">
        <v>4507</v>
      </c>
      <c r="J8245">
        <v>79</v>
      </c>
      <c r="K8245">
        <v>94</v>
      </c>
      <c r="L8245">
        <v>98</v>
      </c>
      <c r="M8245">
        <v>630</v>
      </c>
      <c r="N8245" t="s">
        <v>87</v>
      </c>
      <c r="O8245" t="s">
        <v>86</v>
      </c>
      <c r="P8245">
        <v>131</v>
      </c>
      <c r="Q8245">
        <v>6</v>
      </c>
      <c r="R8245">
        <v>67</v>
      </c>
      <c r="S8245">
        <v>1638</v>
      </c>
      <c r="T8245">
        <v>-40</v>
      </c>
      <c r="U8245">
        <v>41</v>
      </c>
      <c r="V8245">
        <v>336</v>
      </c>
      <c r="W8245">
        <v>26</v>
      </c>
      <c r="X8245">
        <v>26</v>
      </c>
      <c r="Y8245">
        <v>1</v>
      </c>
      <c r="Z8245">
        <v>8</v>
      </c>
      <c r="AA8245">
        <v>23</v>
      </c>
      <c r="AB8245">
        <v>2</v>
      </c>
      <c r="AC8245">
        <v>3</v>
      </c>
      <c r="AD8245">
        <v>3.2920000599999999</v>
      </c>
      <c r="AE8245">
        <v>1</v>
      </c>
      <c r="AF8245">
        <v>44</v>
      </c>
      <c r="AG8245">
        <v>3.2820000600000001</v>
      </c>
      <c r="AH8245">
        <v>7</v>
      </c>
      <c r="AI8245">
        <v>19</v>
      </c>
      <c r="AJ8245">
        <v>1</v>
      </c>
      <c r="AK8245">
        <v>27</v>
      </c>
      <c r="AL8245">
        <v>37</v>
      </c>
      <c r="AM8245" t="s">
        <v>43</v>
      </c>
      <c r="AN8245" t="str">
        <f>HYPERLINK("https://www.google.com/maps?q=10.79329777,79.45021057","Open Location")</f>
        <v>Open Location</v>
      </c>
    </row>
    <row r="8246" spans="1:40" x14ac:dyDescent="0.3">
      <c r="A8246" s="1">
        <v>46210.044907407406</v>
      </c>
      <c r="B8246" t="s">
        <v>40</v>
      </c>
      <c r="C8246" t="s">
        <v>41</v>
      </c>
      <c r="D8246" s="1">
        <v>46210.047696759262</v>
      </c>
      <c r="E8246" t="s">
        <v>42</v>
      </c>
      <c r="F8246" t="s">
        <v>83</v>
      </c>
      <c r="G8246">
        <v>62</v>
      </c>
      <c r="H8246">
        <v>33029</v>
      </c>
      <c r="I8246" t="s">
        <v>4508</v>
      </c>
      <c r="J8246">
        <v>79</v>
      </c>
      <c r="K8246">
        <v>78</v>
      </c>
      <c r="L8246">
        <v>98</v>
      </c>
      <c r="M8246">
        <v>630.29998779000005</v>
      </c>
      <c r="N8246" t="s">
        <v>87</v>
      </c>
      <c r="O8246" t="s">
        <v>86</v>
      </c>
      <c r="P8246">
        <v>131</v>
      </c>
      <c r="Q8246">
        <v>6</v>
      </c>
      <c r="R8246">
        <v>53</v>
      </c>
      <c r="S8246">
        <v>1722</v>
      </c>
      <c r="T8246">
        <v>-40</v>
      </c>
      <c r="U8246">
        <v>42</v>
      </c>
      <c r="V8246">
        <v>240</v>
      </c>
      <c r="W8246">
        <v>26</v>
      </c>
      <c r="X8246">
        <v>26</v>
      </c>
      <c r="Y8246">
        <v>1</v>
      </c>
      <c r="Z8246">
        <v>8</v>
      </c>
      <c r="AA8246">
        <v>23</v>
      </c>
      <c r="AB8246">
        <v>2</v>
      </c>
      <c r="AC8246">
        <v>3</v>
      </c>
      <c r="AD8246">
        <v>3.3010001199999999</v>
      </c>
      <c r="AE8246">
        <v>5</v>
      </c>
      <c r="AF8246">
        <v>38</v>
      </c>
      <c r="AG8246">
        <v>3.2950000799999999</v>
      </c>
      <c r="AH8246">
        <v>4</v>
      </c>
      <c r="AI8246">
        <v>17</v>
      </c>
      <c r="AJ8246">
        <v>1</v>
      </c>
      <c r="AK8246">
        <v>27</v>
      </c>
      <c r="AL8246">
        <v>37</v>
      </c>
      <c r="AM8246" t="s">
        <v>43</v>
      </c>
      <c r="AN8246" t="str">
        <f>HYPERLINK("https://www.google.com/maps?q=10.79370213,79.4482193","Open Location")</f>
        <v>Open Location</v>
      </c>
    </row>
    <row r="8247" spans="1:40" x14ac:dyDescent="0.3">
      <c r="A8247" s="1">
        <v>46210.044791666667</v>
      </c>
      <c r="B8247" t="s">
        <v>40</v>
      </c>
      <c r="C8247" t="s">
        <v>41</v>
      </c>
      <c r="D8247" s="1">
        <v>46210.047986111109</v>
      </c>
      <c r="E8247" t="s">
        <v>42</v>
      </c>
      <c r="F8247" t="s">
        <v>83</v>
      </c>
      <c r="G8247">
        <v>61</v>
      </c>
      <c r="H8247">
        <v>33029</v>
      </c>
      <c r="I8247" t="s">
        <v>4509</v>
      </c>
      <c r="J8247">
        <v>79</v>
      </c>
      <c r="K8247">
        <v>108</v>
      </c>
      <c r="L8247">
        <v>98</v>
      </c>
      <c r="M8247">
        <v>630</v>
      </c>
      <c r="N8247" t="s">
        <v>87</v>
      </c>
      <c r="O8247" t="s">
        <v>86</v>
      </c>
      <c r="P8247">
        <v>131</v>
      </c>
      <c r="Q8247">
        <v>6</v>
      </c>
      <c r="R8247">
        <v>60</v>
      </c>
      <c r="S8247">
        <v>1705</v>
      </c>
      <c r="T8247">
        <v>-40</v>
      </c>
      <c r="U8247">
        <v>42</v>
      </c>
      <c r="V8247">
        <v>340</v>
      </c>
      <c r="W8247">
        <v>26</v>
      </c>
      <c r="X8247">
        <v>26</v>
      </c>
      <c r="Y8247">
        <v>1</v>
      </c>
      <c r="Z8247">
        <v>8</v>
      </c>
      <c r="AA8247">
        <v>23</v>
      </c>
      <c r="AB8247">
        <v>2</v>
      </c>
      <c r="AC8247">
        <v>3</v>
      </c>
      <c r="AD8247">
        <v>3.28900003</v>
      </c>
      <c r="AE8247">
        <v>1</v>
      </c>
      <c r="AF8247">
        <v>42</v>
      </c>
      <c r="AG8247">
        <v>3.2790000400000001</v>
      </c>
      <c r="AH8247">
        <v>4</v>
      </c>
      <c r="AI8247">
        <v>17</v>
      </c>
      <c r="AJ8247">
        <v>1</v>
      </c>
      <c r="AK8247">
        <v>27</v>
      </c>
      <c r="AL8247">
        <v>37</v>
      </c>
      <c r="AM8247" t="s">
        <v>43</v>
      </c>
      <c r="AN8247" t="str">
        <f>HYPERLINK("https://www.google.com/maps?q=10.79407215,79.44638062","Open Location")</f>
        <v>Open Location</v>
      </c>
    </row>
    <row r="8248" spans="1:40" x14ac:dyDescent="0.3">
      <c r="A8248" s="1">
        <v>46210.044675925928</v>
      </c>
      <c r="B8248" t="s">
        <v>40</v>
      </c>
      <c r="C8248" t="s">
        <v>41</v>
      </c>
      <c r="D8248" s="1">
        <v>46210.047708333332</v>
      </c>
      <c r="E8248" t="s">
        <v>42</v>
      </c>
      <c r="F8248" t="s">
        <v>83</v>
      </c>
      <c r="G8248">
        <v>61</v>
      </c>
      <c r="H8248">
        <v>33029</v>
      </c>
      <c r="I8248" t="s">
        <v>4510</v>
      </c>
      <c r="J8248">
        <v>79</v>
      </c>
      <c r="K8248">
        <v>73</v>
      </c>
      <c r="L8248">
        <v>98</v>
      </c>
      <c r="M8248">
        <v>630.90002441000001</v>
      </c>
      <c r="N8248" t="s">
        <v>87</v>
      </c>
      <c r="O8248" t="s">
        <v>86</v>
      </c>
      <c r="P8248">
        <v>131</v>
      </c>
      <c r="Q8248">
        <v>6</v>
      </c>
      <c r="R8248">
        <v>56</v>
      </c>
      <c r="S8248">
        <v>1687</v>
      </c>
      <c r="T8248">
        <v>-40</v>
      </c>
      <c r="U8248">
        <v>42</v>
      </c>
      <c r="V8248">
        <v>240</v>
      </c>
      <c r="W8248">
        <v>26</v>
      </c>
      <c r="X8248">
        <v>26</v>
      </c>
      <c r="Y8248">
        <v>1</v>
      </c>
      <c r="Z8248">
        <v>8</v>
      </c>
      <c r="AA8248">
        <v>23</v>
      </c>
      <c r="AB8248">
        <v>2</v>
      </c>
      <c r="AC8248">
        <v>3</v>
      </c>
      <c r="AD8248">
        <v>3.28900003</v>
      </c>
      <c r="AE8248">
        <v>1</v>
      </c>
      <c r="AF8248">
        <v>38</v>
      </c>
      <c r="AG8248">
        <v>3.2790000400000001</v>
      </c>
      <c r="AH8248">
        <v>4</v>
      </c>
      <c r="AI8248">
        <v>17</v>
      </c>
      <c r="AJ8248">
        <v>1</v>
      </c>
      <c r="AK8248">
        <v>27</v>
      </c>
      <c r="AL8248">
        <v>37</v>
      </c>
      <c r="AM8248" t="s">
        <v>43</v>
      </c>
      <c r="AN8248" t="str">
        <f>HYPERLINK("https://www.google.com/maps?q=10.7944622,79.44455719","Open Location")</f>
        <v>Open Location</v>
      </c>
    </row>
    <row r="8249" spans="1:40" x14ac:dyDescent="0.3">
      <c r="A8249" s="1">
        <v>46210.044560185182</v>
      </c>
      <c r="B8249" t="s">
        <v>40</v>
      </c>
      <c r="C8249" t="s">
        <v>41</v>
      </c>
      <c r="D8249" s="1">
        <v>46210.047430555554</v>
      </c>
      <c r="E8249" t="s">
        <v>42</v>
      </c>
      <c r="F8249" t="s">
        <v>83</v>
      </c>
      <c r="G8249">
        <v>59</v>
      </c>
      <c r="H8249">
        <v>33029</v>
      </c>
      <c r="I8249" t="s">
        <v>43</v>
      </c>
      <c r="J8249">
        <v>80</v>
      </c>
      <c r="K8249">
        <v>71</v>
      </c>
      <c r="L8249">
        <v>98</v>
      </c>
      <c r="M8249">
        <v>630.79998779000005</v>
      </c>
      <c r="N8249" t="s">
        <v>87</v>
      </c>
      <c r="O8249" t="s">
        <v>86</v>
      </c>
      <c r="P8249">
        <v>131</v>
      </c>
      <c r="Q8249">
        <v>6</v>
      </c>
      <c r="R8249">
        <v>48</v>
      </c>
      <c r="S8249">
        <v>1633</v>
      </c>
      <c r="T8249">
        <v>-40</v>
      </c>
      <c r="U8249">
        <v>42</v>
      </c>
      <c r="V8249">
        <v>240</v>
      </c>
      <c r="W8249">
        <v>26</v>
      </c>
      <c r="X8249">
        <v>26</v>
      </c>
      <c r="Y8249">
        <v>1</v>
      </c>
      <c r="Z8249">
        <v>8</v>
      </c>
      <c r="AA8249">
        <v>23</v>
      </c>
      <c r="AB8249">
        <v>2</v>
      </c>
      <c r="AC8249">
        <v>3</v>
      </c>
      <c r="AD8249">
        <v>3.28600001</v>
      </c>
      <c r="AE8249">
        <v>5</v>
      </c>
      <c r="AF8249">
        <v>38</v>
      </c>
      <c r="AG8249">
        <v>3.27399993</v>
      </c>
      <c r="AH8249">
        <v>4</v>
      </c>
      <c r="AI8249">
        <v>17</v>
      </c>
      <c r="AJ8249">
        <v>1</v>
      </c>
      <c r="AK8249">
        <v>22</v>
      </c>
      <c r="AL8249">
        <v>37</v>
      </c>
      <c r="AM8249" t="s">
        <v>43</v>
      </c>
      <c r="AN8249" t="s">
        <v>43</v>
      </c>
    </row>
    <row r="8250" spans="1:40" x14ac:dyDescent="0.3">
      <c r="A8250" s="1">
        <v>46210.044444444444</v>
      </c>
      <c r="B8250" t="s">
        <v>40</v>
      </c>
      <c r="C8250" t="s">
        <v>41</v>
      </c>
      <c r="D8250" s="1">
        <v>46210.047581018516</v>
      </c>
      <c r="E8250" t="s">
        <v>42</v>
      </c>
      <c r="F8250" t="s">
        <v>83</v>
      </c>
      <c r="G8250">
        <v>59</v>
      </c>
      <c r="H8250" t="s">
        <v>43</v>
      </c>
      <c r="I8250" t="s">
        <v>4511</v>
      </c>
      <c r="J8250">
        <v>80</v>
      </c>
      <c r="K8250">
        <v>61</v>
      </c>
      <c r="L8250">
        <v>98</v>
      </c>
      <c r="M8250">
        <v>631.79998779000005</v>
      </c>
      <c r="N8250" t="s">
        <v>87</v>
      </c>
      <c r="O8250" t="s">
        <v>86</v>
      </c>
      <c r="P8250">
        <v>131</v>
      </c>
      <c r="Q8250">
        <v>6</v>
      </c>
      <c r="R8250">
        <v>48</v>
      </c>
      <c r="S8250">
        <v>1642</v>
      </c>
      <c r="T8250">
        <v>-40</v>
      </c>
      <c r="U8250">
        <v>42</v>
      </c>
      <c r="V8250">
        <v>220</v>
      </c>
      <c r="W8250">
        <v>26</v>
      </c>
      <c r="X8250">
        <v>26</v>
      </c>
      <c r="Y8250">
        <v>1</v>
      </c>
      <c r="Z8250">
        <v>8</v>
      </c>
      <c r="AA8250">
        <v>23</v>
      </c>
      <c r="AB8250">
        <v>2</v>
      </c>
      <c r="AC8250">
        <v>3</v>
      </c>
      <c r="AD8250">
        <v>3.2959999999999998</v>
      </c>
      <c r="AE8250">
        <v>5</v>
      </c>
      <c r="AF8250">
        <v>38</v>
      </c>
      <c r="AG8250">
        <v>3.2869999399999998</v>
      </c>
      <c r="AH8250">
        <v>4</v>
      </c>
      <c r="AI8250">
        <v>17</v>
      </c>
      <c r="AJ8250">
        <v>1</v>
      </c>
      <c r="AK8250">
        <v>27</v>
      </c>
      <c r="AL8250">
        <v>37</v>
      </c>
      <c r="AM8250" t="s">
        <v>43</v>
      </c>
      <c r="AN8250" t="str">
        <f>HYPERLINK("https://www.google.com/maps?q=10.7948246,79.44278717","Open Location")</f>
        <v>Open Location</v>
      </c>
    </row>
    <row r="8251" spans="1:40" x14ac:dyDescent="0.3">
      <c r="A8251" s="1">
        <v>46210.044328703705</v>
      </c>
      <c r="B8251" t="s">
        <v>40</v>
      </c>
      <c r="C8251" t="s">
        <v>41</v>
      </c>
      <c r="D8251" s="1">
        <v>46210.047326388885</v>
      </c>
      <c r="E8251" t="s">
        <v>42</v>
      </c>
      <c r="F8251" t="s">
        <v>83</v>
      </c>
      <c r="G8251">
        <v>59</v>
      </c>
      <c r="H8251">
        <v>33028</v>
      </c>
      <c r="I8251" t="s">
        <v>4512</v>
      </c>
      <c r="J8251">
        <v>80</v>
      </c>
      <c r="K8251">
        <v>84</v>
      </c>
      <c r="L8251">
        <v>98</v>
      </c>
      <c r="M8251">
        <v>630.40002441000001</v>
      </c>
      <c r="N8251" t="s">
        <v>87</v>
      </c>
      <c r="O8251" t="s">
        <v>86</v>
      </c>
      <c r="P8251">
        <v>131</v>
      </c>
      <c r="Q8251">
        <v>6</v>
      </c>
      <c r="R8251">
        <v>51</v>
      </c>
      <c r="S8251">
        <v>1641</v>
      </c>
      <c r="T8251">
        <v>-40</v>
      </c>
      <c r="U8251">
        <v>42</v>
      </c>
      <c r="V8251">
        <v>300</v>
      </c>
      <c r="W8251">
        <v>26</v>
      </c>
      <c r="X8251">
        <v>26</v>
      </c>
      <c r="Y8251">
        <v>1</v>
      </c>
      <c r="Z8251">
        <v>8</v>
      </c>
      <c r="AA8251">
        <v>23</v>
      </c>
      <c r="AB8251">
        <v>2</v>
      </c>
      <c r="AC8251">
        <v>3</v>
      </c>
      <c r="AD8251">
        <v>3.2959999999999998</v>
      </c>
      <c r="AE8251">
        <v>1</v>
      </c>
      <c r="AF8251">
        <v>38</v>
      </c>
      <c r="AG8251">
        <v>3.28800011</v>
      </c>
      <c r="AH8251">
        <v>8</v>
      </c>
      <c r="AI8251">
        <v>35</v>
      </c>
      <c r="AJ8251">
        <v>1</v>
      </c>
      <c r="AK8251">
        <v>27</v>
      </c>
      <c r="AL8251">
        <v>37</v>
      </c>
      <c r="AM8251" t="s">
        <v>43</v>
      </c>
      <c r="AN8251" t="str">
        <f>HYPERLINK("https://www.google.com/maps?q=10.79519367,79.44100189","Open Location")</f>
        <v>Open Location</v>
      </c>
    </row>
    <row r="8252" spans="1:40" x14ac:dyDescent="0.3">
      <c r="A8252" s="1">
        <v>46210.044212962966</v>
      </c>
      <c r="B8252" t="s">
        <v>40</v>
      </c>
      <c r="C8252" t="s">
        <v>41</v>
      </c>
      <c r="D8252" s="1">
        <v>46210.047175925924</v>
      </c>
      <c r="E8252" t="s">
        <v>42</v>
      </c>
      <c r="F8252" t="s">
        <v>83</v>
      </c>
      <c r="G8252">
        <v>58</v>
      </c>
      <c r="H8252">
        <v>33028</v>
      </c>
      <c r="I8252" t="s">
        <v>4513</v>
      </c>
      <c r="J8252">
        <v>80</v>
      </c>
      <c r="K8252">
        <v>106</v>
      </c>
      <c r="L8252">
        <v>98</v>
      </c>
      <c r="M8252">
        <v>630.40002441000001</v>
      </c>
      <c r="N8252" t="s">
        <v>87</v>
      </c>
      <c r="O8252" t="s">
        <v>86</v>
      </c>
      <c r="P8252">
        <v>131</v>
      </c>
      <c r="Q8252">
        <v>6</v>
      </c>
      <c r="R8252">
        <v>63</v>
      </c>
      <c r="S8252">
        <v>1601</v>
      </c>
      <c r="T8252">
        <v>-40</v>
      </c>
      <c r="U8252">
        <v>42</v>
      </c>
      <c r="V8252">
        <v>380</v>
      </c>
      <c r="W8252">
        <v>26</v>
      </c>
      <c r="X8252">
        <v>26</v>
      </c>
      <c r="Y8252">
        <v>1</v>
      </c>
      <c r="Z8252">
        <v>8</v>
      </c>
      <c r="AA8252">
        <v>23</v>
      </c>
      <c r="AB8252">
        <v>2</v>
      </c>
      <c r="AC8252">
        <v>3</v>
      </c>
      <c r="AD8252">
        <v>3.2909998900000001</v>
      </c>
      <c r="AE8252">
        <v>5</v>
      </c>
      <c r="AF8252">
        <v>38</v>
      </c>
      <c r="AG8252">
        <v>3.27999997</v>
      </c>
      <c r="AH8252">
        <v>8</v>
      </c>
      <c r="AI8252">
        <v>35</v>
      </c>
      <c r="AJ8252">
        <v>1</v>
      </c>
      <c r="AK8252">
        <v>27</v>
      </c>
      <c r="AL8252">
        <v>37</v>
      </c>
      <c r="AM8252" t="s">
        <v>43</v>
      </c>
      <c r="AN8252" t="str">
        <f>HYPERLINK("https://www.google.com/maps?q=10.79555893,79.43925476","Open Location")</f>
        <v>Open Location</v>
      </c>
    </row>
    <row r="8253" spans="1:40" x14ac:dyDescent="0.3">
      <c r="A8253" s="1">
        <v>46210.04409722222</v>
      </c>
      <c r="B8253" t="s">
        <v>40</v>
      </c>
      <c r="C8253" t="s">
        <v>41</v>
      </c>
      <c r="D8253" s="1">
        <v>46210.046840277777</v>
      </c>
      <c r="E8253" t="s">
        <v>42</v>
      </c>
      <c r="F8253" t="s">
        <v>83</v>
      </c>
      <c r="G8253">
        <v>57</v>
      </c>
      <c r="H8253">
        <v>33028</v>
      </c>
      <c r="I8253" t="s">
        <v>4514</v>
      </c>
      <c r="J8253">
        <v>80</v>
      </c>
      <c r="K8253">
        <v>30</v>
      </c>
      <c r="L8253">
        <v>98</v>
      </c>
      <c r="M8253">
        <v>633.90002441000001</v>
      </c>
      <c r="N8253" t="s">
        <v>87</v>
      </c>
      <c r="O8253" t="s">
        <v>86</v>
      </c>
      <c r="P8253">
        <v>131</v>
      </c>
      <c r="Q8253">
        <v>6</v>
      </c>
      <c r="R8253">
        <v>33</v>
      </c>
      <c r="S8253">
        <v>1592</v>
      </c>
      <c r="T8253">
        <v>-40</v>
      </c>
      <c r="U8253">
        <v>41</v>
      </c>
      <c r="V8253">
        <v>100</v>
      </c>
      <c r="W8253">
        <v>26</v>
      </c>
      <c r="X8253">
        <v>26</v>
      </c>
      <c r="Y8253">
        <v>1</v>
      </c>
      <c r="Z8253">
        <v>8</v>
      </c>
      <c r="AA8253">
        <v>23</v>
      </c>
      <c r="AB8253">
        <v>2</v>
      </c>
      <c r="AC8253">
        <v>3</v>
      </c>
      <c r="AD8253">
        <v>3.3010001199999999</v>
      </c>
      <c r="AE8253">
        <v>1</v>
      </c>
      <c r="AF8253">
        <v>38</v>
      </c>
      <c r="AG8253">
        <v>3.2950000799999999</v>
      </c>
      <c r="AH8253">
        <v>2</v>
      </c>
      <c r="AI8253">
        <v>46</v>
      </c>
      <c r="AJ8253">
        <v>1</v>
      </c>
      <c r="AK8253">
        <v>27</v>
      </c>
      <c r="AL8253">
        <v>37</v>
      </c>
      <c r="AM8253" t="s">
        <v>43</v>
      </c>
      <c r="AN8253" t="str">
        <f>HYPERLINK("https://www.google.com/maps?q=10.79591465,79.43753815","Open Location")</f>
        <v>Open Location</v>
      </c>
    </row>
    <row r="8254" spans="1:40" x14ac:dyDescent="0.3">
      <c r="A8254" s="1">
        <v>46210.043981481482</v>
      </c>
      <c r="B8254" t="s">
        <v>40</v>
      </c>
      <c r="C8254" t="s">
        <v>41</v>
      </c>
      <c r="D8254" s="1">
        <v>46210.046840277777</v>
      </c>
      <c r="E8254" t="s">
        <v>42</v>
      </c>
      <c r="F8254" t="s">
        <v>83</v>
      </c>
      <c r="G8254">
        <v>59</v>
      </c>
      <c r="H8254" t="s">
        <v>43</v>
      </c>
      <c r="I8254" t="s">
        <v>43</v>
      </c>
      <c r="J8254">
        <v>80</v>
      </c>
      <c r="K8254">
        <v>73</v>
      </c>
      <c r="L8254">
        <v>98</v>
      </c>
      <c r="M8254">
        <v>631.29998779000005</v>
      </c>
      <c r="N8254" t="s">
        <v>87</v>
      </c>
      <c r="O8254" t="s">
        <v>86</v>
      </c>
      <c r="P8254">
        <v>131</v>
      </c>
      <c r="Q8254">
        <v>6</v>
      </c>
      <c r="R8254">
        <v>54</v>
      </c>
      <c r="S8254">
        <v>1625</v>
      </c>
      <c r="T8254">
        <v>-40</v>
      </c>
      <c r="U8254">
        <v>41</v>
      </c>
      <c r="V8254">
        <v>260</v>
      </c>
      <c r="W8254">
        <v>26</v>
      </c>
      <c r="X8254">
        <v>26</v>
      </c>
      <c r="Y8254">
        <v>1</v>
      </c>
      <c r="Z8254">
        <v>8</v>
      </c>
      <c r="AA8254">
        <v>23</v>
      </c>
      <c r="AB8254">
        <v>2</v>
      </c>
      <c r="AC8254">
        <v>3</v>
      </c>
      <c r="AD8254">
        <v>3.3039999</v>
      </c>
      <c r="AE8254">
        <v>1</v>
      </c>
      <c r="AF8254">
        <v>41</v>
      </c>
      <c r="AG8254">
        <v>3.2990000199999998</v>
      </c>
      <c r="AH8254">
        <v>2</v>
      </c>
      <c r="AI8254">
        <v>46</v>
      </c>
      <c r="AJ8254">
        <v>1</v>
      </c>
      <c r="AK8254">
        <v>28</v>
      </c>
      <c r="AL8254">
        <v>37</v>
      </c>
      <c r="AM8254" t="s">
        <v>43</v>
      </c>
      <c r="AN8254" t="s">
        <v>43</v>
      </c>
    </row>
    <row r="8255" spans="1:40" x14ac:dyDescent="0.3">
      <c r="A8255" s="1">
        <v>46210.043865740743</v>
      </c>
      <c r="B8255" t="s">
        <v>40</v>
      </c>
      <c r="C8255" t="s">
        <v>41</v>
      </c>
      <c r="D8255" s="1">
        <v>46210.046527777777</v>
      </c>
      <c r="E8255" t="s">
        <v>42</v>
      </c>
      <c r="F8255" t="s">
        <v>83</v>
      </c>
      <c r="G8255">
        <v>60</v>
      </c>
      <c r="H8255">
        <v>33028</v>
      </c>
      <c r="I8255" t="s">
        <v>4515</v>
      </c>
      <c r="J8255">
        <v>80</v>
      </c>
      <c r="K8255">
        <v>65</v>
      </c>
      <c r="L8255">
        <v>98</v>
      </c>
      <c r="M8255">
        <v>631.5</v>
      </c>
      <c r="N8255" t="s">
        <v>87</v>
      </c>
      <c r="O8255" t="s">
        <v>86</v>
      </c>
      <c r="P8255">
        <v>131</v>
      </c>
      <c r="Q8255">
        <v>6</v>
      </c>
      <c r="R8255">
        <v>42</v>
      </c>
      <c r="S8255">
        <v>1671</v>
      </c>
      <c r="T8255">
        <v>-40</v>
      </c>
      <c r="U8255">
        <v>42</v>
      </c>
      <c r="V8255">
        <v>220</v>
      </c>
      <c r="W8255">
        <v>26</v>
      </c>
      <c r="X8255">
        <v>26</v>
      </c>
      <c r="Y8255">
        <v>1</v>
      </c>
      <c r="Z8255">
        <v>8</v>
      </c>
      <c r="AA8255">
        <v>23</v>
      </c>
      <c r="AB8255">
        <v>2</v>
      </c>
      <c r="AC8255">
        <v>3</v>
      </c>
      <c r="AD8255">
        <v>3.3039999</v>
      </c>
      <c r="AE8255">
        <v>1</v>
      </c>
      <c r="AF8255">
        <v>25</v>
      </c>
      <c r="AG8255">
        <v>3.2990000199999998</v>
      </c>
      <c r="AH8255">
        <v>4</v>
      </c>
      <c r="AI8255">
        <v>17</v>
      </c>
      <c r="AJ8255">
        <v>1</v>
      </c>
      <c r="AK8255">
        <v>27</v>
      </c>
      <c r="AL8255">
        <v>37</v>
      </c>
      <c r="AM8255" t="s">
        <v>43</v>
      </c>
      <c r="AN8255" t="str">
        <f>HYPERLINK("https://www.google.com/maps?q=10.79619694,79.43559265","Open Location")</f>
        <v>Open Location</v>
      </c>
    </row>
    <row r="8256" spans="1:40" x14ac:dyDescent="0.3">
      <c r="A8256" s="1">
        <v>46210.043749999997</v>
      </c>
      <c r="B8256" t="s">
        <v>40</v>
      </c>
      <c r="C8256" t="s">
        <v>41</v>
      </c>
      <c r="D8256" s="1">
        <v>46210.046574074076</v>
      </c>
      <c r="E8256" t="s">
        <v>42</v>
      </c>
      <c r="F8256" t="s">
        <v>83</v>
      </c>
      <c r="G8256">
        <v>62</v>
      </c>
      <c r="H8256">
        <v>33027</v>
      </c>
      <c r="I8256" t="s">
        <v>4516</v>
      </c>
      <c r="J8256">
        <v>80</v>
      </c>
      <c r="K8256">
        <v>83</v>
      </c>
      <c r="L8256">
        <v>98</v>
      </c>
      <c r="M8256">
        <v>630.70001220999995</v>
      </c>
      <c r="N8256" t="s">
        <v>87</v>
      </c>
      <c r="O8256" t="s">
        <v>86</v>
      </c>
      <c r="P8256">
        <v>131</v>
      </c>
      <c r="Q8256">
        <v>6</v>
      </c>
      <c r="R8256">
        <v>50</v>
      </c>
      <c r="S8256">
        <v>1727</v>
      </c>
      <c r="T8256">
        <v>-40</v>
      </c>
      <c r="U8256">
        <v>42</v>
      </c>
      <c r="V8256">
        <v>280</v>
      </c>
      <c r="W8256">
        <v>26</v>
      </c>
      <c r="X8256">
        <v>26</v>
      </c>
      <c r="Y8256">
        <v>1</v>
      </c>
      <c r="Z8256">
        <v>8</v>
      </c>
      <c r="AA8256">
        <v>23</v>
      </c>
      <c r="AB8256">
        <v>2</v>
      </c>
      <c r="AC8256">
        <v>3</v>
      </c>
      <c r="AD8256">
        <v>3.2959999999999998</v>
      </c>
      <c r="AE8256">
        <v>5</v>
      </c>
      <c r="AF8256">
        <v>38</v>
      </c>
      <c r="AG8256">
        <v>3.28600001</v>
      </c>
      <c r="AH8256">
        <v>4</v>
      </c>
      <c r="AI8256">
        <v>17</v>
      </c>
      <c r="AJ8256">
        <v>1</v>
      </c>
      <c r="AK8256">
        <v>27</v>
      </c>
      <c r="AL8256">
        <v>37</v>
      </c>
      <c r="AM8256" t="s">
        <v>43</v>
      </c>
      <c r="AN8256" t="str">
        <f>HYPERLINK("https://www.google.com/maps?q=10.79627323,79.43372345","Open Location")</f>
        <v>Open Location</v>
      </c>
    </row>
    <row r="8257" spans="1:40" x14ac:dyDescent="0.3">
      <c r="A8257" s="1">
        <v>46210.043634259258</v>
      </c>
      <c r="B8257" t="s">
        <v>40</v>
      </c>
      <c r="C8257" t="s">
        <v>41</v>
      </c>
      <c r="D8257" s="1">
        <v>46210.046365740738</v>
      </c>
      <c r="E8257" t="s">
        <v>42</v>
      </c>
      <c r="F8257" t="s">
        <v>83</v>
      </c>
      <c r="G8257">
        <v>63</v>
      </c>
      <c r="H8257">
        <v>33027</v>
      </c>
      <c r="I8257" t="s">
        <v>4517</v>
      </c>
      <c r="J8257">
        <v>80</v>
      </c>
      <c r="K8257">
        <v>83</v>
      </c>
      <c r="L8257">
        <v>98</v>
      </c>
      <c r="M8257">
        <v>630.59997558999999</v>
      </c>
      <c r="N8257" t="s">
        <v>87</v>
      </c>
      <c r="O8257" t="s">
        <v>86</v>
      </c>
      <c r="P8257">
        <v>131</v>
      </c>
      <c r="Q8257">
        <v>6</v>
      </c>
      <c r="R8257">
        <v>54</v>
      </c>
      <c r="S8257">
        <v>1742</v>
      </c>
      <c r="T8257">
        <v>-40</v>
      </c>
      <c r="U8257">
        <v>43</v>
      </c>
      <c r="V8257">
        <v>280</v>
      </c>
      <c r="W8257">
        <v>26</v>
      </c>
      <c r="X8257">
        <v>26</v>
      </c>
      <c r="Y8257">
        <v>1</v>
      </c>
      <c r="Z8257">
        <v>8</v>
      </c>
      <c r="AA8257">
        <v>23</v>
      </c>
      <c r="AB8257">
        <v>2</v>
      </c>
      <c r="AC8257">
        <v>3</v>
      </c>
      <c r="AD8257">
        <v>3.2920000599999999</v>
      </c>
      <c r="AE8257">
        <v>5</v>
      </c>
      <c r="AF8257">
        <v>38</v>
      </c>
      <c r="AG8257">
        <v>3.2820000600000001</v>
      </c>
      <c r="AH8257">
        <v>8</v>
      </c>
      <c r="AI8257">
        <v>35</v>
      </c>
      <c r="AJ8257">
        <v>1</v>
      </c>
      <c r="AK8257">
        <v>27</v>
      </c>
      <c r="AL8257">
        <v>37</v>
      </c>
      <c r="AM8257" t="s">
        <v>43</v>
      </c>
      <c r="AN8257" t="str">
        <f>HYPERLINK("https://www.google.com/maps?q=10.79631042,79.43179321","Open Location")</f>
        <v>Open Location</v>
      </c>
    </row>
    <row r="8258" spans="1:40" x14ac:dyDescent="0.3">
      <c r="A8258" s="1">
        <v>46210.04351851852</v>
      </c>
      <c r="B8258" t="s">
        <v>40</v>
      </c>
      <c r="C8258" t="s">
        <v>41</v>
      </c>
      <c r="D8258" s="1">
        <v>46210.046273148146</v>
      </c>
      <c r="E8258" t="s">
        <v>42</v>
      </c>
      <c r="F8258" t="s">
        <v>83</v>
      </c>
      <c r="G8258">
        <v>61</v>
      </c>
      <c r="H8258">
        <v>33027</v>
      </c>
      <c r="I8258" t="s">
        <v>4518</v>
      </c>
      <c r="J8258">
        <v>80</v>
      </c>
      <c r="K8258">
        <v>126</v>
      </c>
      <c r="L8258">
        <v>98</v>
      </c>
      <c r="M8258">
        <v>629</v>
      </c>
      <c r="N8258" t="s">
        <v>87</v>
      </c>
      <c r="O8258" t="s">
        <v>86</v>
      </c>
      <c r="P8258">
        <v>131</v>
      </c>
      <c r="Q8258">
        <v>6</v>
      </c>
      <c r="R8258">
        <v>81</v>
      </c>
      <c r="S8258">
        <v>1699</v>
      </c>
      <c r="T8258">
        <v>-40</v>
      </c>
      <c r="U8258">
        <v>43</v>
      </c>
      <c r="V8258">
        <v>415</v>
      </c>
      <c r="W8258">
        <v>26</v>
      </c>
      <c r="X8258">
        <v>26</v>
      </c>
      <c r="Y8258">
        <v>1</v>
      </c>
      <c r="Z8258">
        <v>8</v>
      </c>
      <c r="AA8258">
        <v>23</v>
      </c>
      <c r="AB8258">
        <v>2</v>
      </c>
      <c r="AC8258">
        <v>3</v>
      </c>
      <c r="AD8258">
        <v>3.28900003</v>
      </c>
      <c r="AE8258">
        <v>5</v>
      </c>
      <c r="AF8258">
        <v>38</v>
      </c>
      <c r="AG8258">
        <v>3.2780001200000002</v>
      </c>
      <c r="AH8258">
        <v>8</v>
      </c>
      <c r="AI8258">
        <v>35</v>
      </c>
      <c r="AJ8258">
        <v>1</v>
      </c>
      <c r="AK8258">
        <v>27</v>
      </c>
      <c r="AL8258">
        <v>37</v>
      </c>
      <c r="AM8258" t="s">
        <v>43</v>
      </c>
      <c r="AN8258" t="str">
        <f>HYPERLINK("https://www.google.com/maps?q=10.79634857,79.42990875","Open Location")</f>
        <v>Open Location</v>
      </c>
    </row>
    <row r="8259" spans="1:40" x14ac:dyDescent="0.3">
      <c r="A8259" s="1">
        <v>46210.043402777781</v>
      </c>
      <c r="B8259" t="s">
        <v>40</v>
      </c>
      <c r="C8259" t="s">
        <v>41</v>
      </c>
      <c r="D8259" s="1">
        <v>46210.045995370368</v>
      </c>
      <c r="E8259" t="s">
        <v>42</v>
      </c>
      <c r="F8259" t="s">
        <v>83</v>
      </c>
      <c r="G8259">
        <v>60</v>
      </c>
      <c r="H8259">
        <v>33027</v>
      </c>
      <c r="I8259" t="s">
        <v>4519</v>
      </c>
      <c r="J8259">
        <v>80</v>
      </c>
      <c r="K8259">
        <v>112</v>
      </c>
      <c r="L8259">
        <v>98</v>
      </c>
      <c r="M8259">
        <v>630.29998779000005</v>
      </c>
      <c r="N8259" t="s">
        <v>87</v>
      </c>
      <c r="O8259" t="s">
        <v>86</v>
      </c>
      <c r="P8259">
        <v>131</v>
      </c>
      <c r="Q8259">
        <v>6</v>
      </c>
      <c r="R8259">
        <v>52</v>
      </c>
      <c r="S8259">
        <v>1674</v>
      </c>
      <c r="T8259">
        <v>-40</v>
      </c>
      <c r="U8259">
        <v>42</v>
      </c>
      <c r="V8259">
        <v>400</v>
      </c>
      <c r="W8259">
        <v>26</v>
      </c>
      <c r="X8259">
        <v>26</v>
      </c>
      <c r="Y8259">
        <v>1</v>
      </c>
      <c r="Z8259">
        <v>8</v>
      </c>
      <c r="AA8259">
        <v>23</v>
      </c>
      <c r="AB8259">
        <v>2</v>
      </c>
      <c r="AC8259">
        <v>3</v>
      </c>
      <c r="AD8259">
        <v>3.2959999999999998</v>
      </c>
      <c r="AE8259">
        <v>5</v>
      </c>
      <c r="AF8259">
        <v>38</v>
      </c>
      <c r="AG8259">
        <v>3.28800011</v>
      </c>
      <c r="AH8259">
        <v>4</v>
      </c>
      <c r="AI8259">
        <v>17</v>
      </c>
      <c r="AJ8259">
        <v>1</v>
      </c>
      <c r="AK8259">
        <v>28</v>
      </c>
      <c r="AL8259">
        <v>37</v>
      </c>
      <c r="AM8259" t="s">
        <v>43</v>
      </c>
      <c r="AN8259" t="str">
        <f>HYPERLINK("https://www.google.com/maps?q=10.796381,79.42807007","Open Location")</f>
        <v>Open Location</v>
      </c>
    </row>
    <row r="8260" spans="1:40" x14ac:dyDescent="0.3">
      <c r="A8260" s="1">
        <v>46210.043287037035</v>
      </c>
      <c r="B8260" t="s">
        <v>40</v>
      </c>
      <c r="C8260" t="s">
        <v>41</v>
      </c>
      <c r="D8260" s="1">
        <v>46210.046006944445</v>
      </c>
      <c r="E8260" t="s">
        <v>42</v>
      </c>
      <c r="F8260" t="s">
        <v>83</v>
      </c>
      <c r="G8260">
        <v>59</v>
      </c>
      <c r="H8260">
        <v>33027</v>
      </c>
      <c r="I8260" t="s">
        <v>43</v>
      </c>
      <c r="J8260">
        <v>80</v>
      </c>
      <c r="K8260">
        <v>74</v>
      </c>
      <c r="L8260">
        <v>98</v>
      </c>
      <c r="M8260">
        <v>631.79998779000005</v>
      </c>
      <c r="N8260" t="s">
        <v>87</v>
      </c>
      <c r="O8260" t="s">
        <v>86</v>
      </c>
      <c r="P8260">
        <v>131</v>
      </c>
      <c r="Q8260">
        <v>6</v>
      </c>
      <c r="R8260">
        <v>61</v>
      </c>
      <c r="S8260">
        <v>1639</v>
      </c>
      <c r="T8260">
        <v>-40</v>
      </c>
      <c r="U8260">
        <v>42</v>
      </c>
      <c r="V8260">
        <v>240</v>
      </c>
      <c r="W8260">
        <v>26</v>
      </c>
      <c r="X8260">
        <v>26</v>
      </c>
      <c r="Y8260">
        <v>1</v>
      </c>
      <c r="Z8260">
        <v>8</v>
      </c>
      <c r="AA8260">
        <v>23</v>
      </c>
      <c r="AB8260">
        <v>2</v>
      </c>
      <c r="AC8260">
        <v>3</v>
      </c>
      <c r="AD8260">
        <v>3.2959999999999998</v>
      </c>
      <c r="AE8260">
        <v>1</v>
      </c>
      <c r="AF8260">
        <v>44</v>
      </c>
      <c r="AG8260">
        <v>3.28800011</v>
      </c>
      <c r="AH8260">
        <v>4</v>
      </c>
      <c r="AI8260">
        <v>17</v>
      </c>
      <c r="AJ8260">
        <v>1</v>
      </c>
      <c r="AK8260">
        <v>27</v>
      </c>
      <c r="AL8260">
        <v>37</v>
      </c>
      <c r="AM8260" t="s">
        <v>43</v>
      </c>
      <c r="AN8260" t="s">
        <v>43</v>
      </c>
    </row>
    <row r="8261" spans="1:40" x14ac:dyDescent="0.3">
      <c r="A8261" s="1">
        <v>46210.043171296296</v>
      </c>
      <c r="B8261" t="s">
        <v>40</v>
      </c>
      <c r="C8261" t="s">
        <v>41</v>
      </c>
      <c r="D8261" s="1">
        <v>46210.046006944445</v>
      </c>
      <c r="E8261" t="s">
        <v>42</v>
      </c>
      <c r="F8261" t="s">
        <v>83</v>
      </c>
      <c r="G8261">
        <v>59</v>
      </c>
      <c r="H8261">
        <v>33027</v>
      </c>
      <c r="I8261" t="s">
        <v>4520</v>
      </c>
      <c r="J8261">
        <v>80</v>
      </c>
      <c r="K8261">
        <v>57</v>
      </c>
      <c r="L8261">
        <v>98</v>
      </c>
      <c r="M8261">
        <v>632.20001220999995</v>
      </c>
      <c r="N8261" t="s">
        <v>87</v>
      </c>
      <c r="O8261" t="s">
        <v>86</v>
      </c>
      <c r="P8261">
        <v>131</v>
      </c>
      <c r="Q8261">
        <v>6</v>
      </c>
      <c r="R8261">
        <v>25</v>
      </c>
      <c r="S8261">
        <v>1626</v>
      </c>
      <c r="T8261">
        <v>-40</v>
      </c>
      <c r="U8261">
        <v>42</v>
      </c>
      <c r="V8261">
        <v>188</v>
      </c>
      <c r="W8261">
        <v>26</v>
      </c>
      <c r="X8261">
        <v>26</v>
      </c>
      <c r="Y8261">
        <v>1</v>
      </c>
      <c r="Z8261">
        <v>8</v>
      </c>
      <c r="AA8261">
        <v>23</v>
      </c>
      <c r="AB8261">
        <v>2</v>
      </c>
      <c r="AC8261">
        <v>3</v>
      </c>
      <c r="AD8261">
        <v>3.2950000799999999</v>
      </c>
      <c r="AE8261">
        <v>5</v>
      </c>
      <c r="AF8261">
        <v>38</v>
      </c>
      <c r="AG8261">
        <v>3.28600001</v>
      </c>
      <c r="AH8261">
        <v>4</v>
      </c>
      <c r="AI8261">
        <v>17</v>
      </c>
      <c r="AJ8261">
        <v>1</v>
      </c>
      <c r="AK8261">
        <v>27</v>
      </c>
      <c r="AL8261">
        <v>37</v>
      </c>
      <c r="AM8261" t="s">
        <v>43</v>
      </c>
      <c r="AN8261" t="str">
        <f>HYPERLINK("https://www.google.com/maps?q=10.79641533,79.42626953","Open Location")</f>
        <v>Open Location</v>
      </c>
    </row>
    <row r="8262" spans="1:40" x14ac:dyDescent="0.3">
      <c r="A8262" s="1">
        <v>46210.043055555558</v>
      </c>
      <c r="B8262" t="s">
        <v>40</v>
      </c>
      <c r="C8262" t="s">
        <v>41</v>
      </c>
      <c r="D8262" s="1">
        <v>46210.046168981484</v>
      </c>
      <c r="E8262" t="s">
        <v>42</v>
      </c>
      <c r="F8262" t="s">
        <v>83</v>
      </c>
      <c r="G8262">
        <v>60</v>
      </c>
      <c r="H8262">
        <v>33026</v>
      </c>
      <c r="I8262" t="s">
        <v>4521</v>
      </c>
      <c r="J8262">
        <v>80</v>
      </c>
      <c r="K8262">
        <v>80</v>
      </c>
      <c r="L8262">
        <v>98</v>
      </c>
      <c r="M8262">
        <v>631.09997558999999</v>
      </c>
      <c r="N8262" t="s">
        <v>87</v>
      </c>
      <c r="O8262" t="s">
        <v>86</v>
      </c>
      <c r="P8262">
        <v>131</v>
      </c>
      <c r="Q8262">
        <v>6</v>
      </c>
      <c r="R8262">
        <v>52</v>
      </c>
      <c r="S8262">
        <v>1668</v>
      </c>
      <c r="T8262">
        <v>-40</v>
      </c>
      <c r="U8262">
        <v>42</v>
      </c>
      <c r="V8262">
        <v>280</v>
      </c>
      <c r="W8262">
        <v>26</v>
      </c>
      <c r="X8262">
        <v>26</v>
      </c>
      <c r="Y8262">
        <v>1</v>
      </c>
      <c r="Z8262">
        <v>8</v>
      </c>
      <c r="AA8262">
        <v>23</v>
      </c>
      <c r="AB8262">
        <v>2</v>
      </c>
      <c r="AC8262">
        <v>3</v>
      </c>
      <c r="AD8262">
        <v>3.2939999100000001</v>
      </c>
      <c r="AE8262">
        <v>5</v>
      </c>
      <c r="AF8262">
        <v>38</v>
      </c>
      <c r="AG8262">
        <v>3.28500009</v>
      </c>
      <c r="AH8262">
        <v>4</v>
      </c>
      <c r="AI8262">
        <v>17</v>
      </c>
      <c r="AJ8262">
        <v>1</v>
      </c>
      <c r="AK8262">
        <v>27</v>
      </c>
      <c r="AL8262">
        <v>38</v>
      </c>
      <c r="AM8262" t="s">
        <v>43</v>
      </c>
      <c r="AN8262" t="str">
        <f>HYPERLINK("https://www.google.com/maps?q=10.79643822,79.42443085","Open Location")</f>
        <v>Open Location</v>
      </c>
    </row>
    <row r="8263" spans="1:40" x14ac:dyDescent="0.3">
      <c r="A8263" s="1">
        <v>46210.042939814812</v>
      </c>
      <c r="B8263" t="s">
        <v>40</v>
      </c>
      <c r="C8263" t="s">
        <v>41</v>
      </c>
      <c r="D8263" s="1">
        <v>46210.045555555553</v>
      </c>
      <c r="E8263" t="s">
        <v>42</v>
      </c>
      <c r="F8263" t="s">
        <v>83</v>
      </c>
      <c r="G8263">
        <v>63</v>
      </c>
      <c r="H8263">
        <v>33026</v>
      </c>
      <c r="I8263" t="s">
        <v>4522</v>
      </c>
      <c r="J8263">
        <v>80</v>
      </c>
      <c r="K8263">
        <v>90</v>
      </c>
      <c r="L8263">
        <v>98</v>
      </c>
      <c r="M8263">
        <v>630.09997558999999</v>
      </c>
      <c r="N8263" t="s">
        <v>87</v>
      </c>
      <c r="O8263" t="s">
        <v>86</v>
      </c>
      <c r="P8263">
        <v>131</v>
      </c>
      <c r="Q8263">
        <v>6</v>
      </c>
      <c r="R8263">
        <v>54</v>
      </c>
      <c r="S8263">
        <v>1749</v>
      </c>
      <c r="T8263">
        <v>-40</v>
      </c>
      <c r="U8263">
        <v>42</v>
      </c>
      <c r="V8263">
        <v>300</v>
      </c>
      <c r="W8263">
        <v>26</v>
      </c>
      <c r="X8263">
        <v>26</v>
      </c>
      <c r="Y8263">
        <v>1</v>
      </c>
      <c r="Z8263">
        <v>8</v>
      </c>
      <c r="AA8263">
        <v>23</v>
      </c>
      <c r="AB8263">
        <v>2</v>
      </c>
      <c r="AC8263">
        <v>3</v>
      </c>
      <c r="AD8263">
        <v>3.2920000599999999</v>
      </c>
      <c r="AE8263">
        <v>1</v>
      </c>
      <c r="AF8263">
        <v>44</v>
      </c>
      <c r="AG8263">
        <v>3.28299999</v>
      </c>
      <c r="AH8263">
        <v>4</v>
      </c>
      <c r="AI8263">
        <v>17</v>
      </c>
      <c r="AJ8263">
        <v>1</v>
      </c>
      <c r="AK8263">
        <v>27</v>
      </c>
      <c r="AL8263">
        <v>37</v>
      </c>
      <c r="AM8263" t="s">
        <v>43</v>
      </c>
      <c r="AN8263" t="str">
        <f>HYPERLINK("https://www.google.com/maps?q=10.7964983,79.42236328","Open Location")</f>
        <v>Open Location</v>
      </c>
    </row>
    <row r="8264" spans="1:40" x14ac:dyDescent="0.3">
      <c r="A8264" s="1">
        <v>46210.042824074073</v>
      </c>
      <c r="B8264" t="s">
        <v>40</v>
      </c>
      <c r="C8264" t="s">
        <v>41</v>
      </c>
      <c r="D8264" s="1">
        <v>46210.045787037037</v>
      </c>
      <c r="E8264" t="s">
        <v>42</v>
      </c>
      <c r="F8264" t="s">
        <v>83</v>
      </c>
      <c r="G8264">
        <v>63</v>
      </c>
      <c r="H8264">
        <v>33026</v>
      </c>
      <c r="I8264" t="s">
        <v>4523</v>
      </c>
      <c r="J8264">
        <v>80</v>
      </c>
      <c r="K8264">
        <v>77</v>
      </c>
      <c r="L8264">
        <v>98</v>
      </c>
      <c r="M8264">
        <v>630.59997558999999</v>
      </c>
      <c r="N8264" t="s">
        <v>87</v>
      </c>
      <c r="O8264" t="s">
        <v>86</v>
      </c>
      <c r="P8264">
        <v>131</v>
      </c>
      <c r="Q8264">
        <v>6</v>
      </c>
      <c r="R8264">
        <v>51</v>
      </c>
      <c r="S8264">
        <v>1742</v>
      </c>
      <c r="T8264">
        <v>-40</v>
      </c>
      <c r="U8264">
        <v>42</v>
      </c>
      <c r="V8264">
        <v>260</v>
      </c>
      <c r="W8264">
        <v>26</v>
      </c>
      <c r="X8264">
        <v>26</v>
      </c>
      <c r="Y8264">
        <v>1</v>
      </c>
      <c r="Z8264">
        <v>8</v>
      </c>
      <c r="AA8264">
        <v>23</v>
      </c>
      <c r="AB8264">
        <v>2</v>
      </c>
      <c r="AC8264">
        <v>3</v>
      </c>
      <c r="AD8264">
        <v>3.2899999599999998</v>
      </c>
      <c r="AE8264">
        <v>1</v>
      </c>
      <c r="AF8264">
        <v>44</v>
      </c>
      <c r="AG8264">
        <v>3.27999997</v>
      </c>
      <c r="AH8264">
        <v>7</v>
      </c>
      <c r="AI8264">
        <v>1</v>
      </c>
      <c r="AJ8264">
        <v>1</v>
      </c>
      <c r="AK8264">
        <v>27</v>
      </c>
      <c r="AL8264">
        <v>38</v>
      </c>
      <c r="AM8264" t="s">
        <v>43</v>
      </c>
      <c r="AN8264" t="str">
        <f>HYPERLINK("https://www.google.com/maps?q=10.79654598,79.42042542","Open Location")</f>
        <v>Open Location</v>
      </c>
    </row>
    <row r="8265" spans="1:40" x14ac:dyDescent="0.3">
      <c r="A8265" s="1">
        <v>46210.042708333334</v>
      </c>
      <c r="B8265" t="s">
        <v>40</v>
      </c>
      <c r="C8265" t="s">
        <v>41</v>
      </c>
      <c r="D8265" s="1">
        <v>46210.045416666668</v>
      </c>
      <c r="E8265" t="s">
        <v>42</v>
      </c>
      <c r="F8265" t="s">
        <v>83</v>
      </c>
      <c r="G8265">
        <v>64</v>
      </c>
      <c r="H8265">
        <v>33026</v>
      </c>
      <c r="I8265" t="s">
        <v>4524</v>
      </c>
      <c r="J8265">
        <v>80</v>
      </c>
      <c r="K8265">
        <v>70</v>
      </c>
      <c r="L8265">
        <v>98</v>
      </c>
      <c r="M8265">
        <v>631.20001220999995</v>
      </c>
      <c r="N8265" t="s">
        <v>87</v>
      </c>
      <c r="O8265" t="s">
        <v>86</v>
      </c>
      <c r="P8265">
        <v>131</v>
      </c>
      <c r="Q8265">
        <v>6</v>
      </c>
      <c r="R8265">
        <v>48</v>
      </c>
      <c r="S8265">
        <v>1757</v>
      </c>
      <c r="T8265">
        <v>-40</v>
      </c>
      <c r="U8265">
        <v>43</v>
      </c>
      <c r="V8265">
        <v>240</v>
      </c>
      <c r="W8265">
        <v>26</v>
      </c>
      <c r="X8265">
        <v>26</v>
      </c>
      <c r="Y8265">
        <v>1</v>
      </c>
      <c r="Z8265">
        <v>8</v>
      </c>
      <c r="AA8265">
        <v>23</v>
      </c>
      <c r="AB8265">
        <v>2</v>
      </c>
      <c r="AC8265">
        <v>3</v>
      </c>
      <c r="AD8265">
        <v>3.2950000799999999</v>
      </c>
      <c r="AE8265">
        <v>1</v>
      </c>
      <c r="AF8265">
        <v>38</v>
      </c>
      <c r="AG8265">
        <v>3.28800011</v>
      </c>
      <c r="AH8265">
        <v>4</v>
      </c>
      <c r="AI8265">
        <v>17</v>
      </c>
      <c r="AJ8265">
        <v>1</v>
      </c>
      <c r="AK8265">
        <v>27</v>
      </c>
      <c r="AL8265">
        <v>38</v>
      </c>
      <c r="AM8265" t="s">
        <v>43</v>
      </c>
      <c r="AN8265" t="str">
        <f>HYPERLINK("https://www.google.com/maps?q=10.79656601,79.41847992","Open Location")</f>
        <v>Open Location</v>
      </c>
    </row>
    <row r="8266" spans="1:40" x14ac:dyDescent="0.3">
      <c r="A8266" s="1">
        <v>46210.042592592596</v>
      </c>
      <c r="B8266" t="s">
        <v>40</v>
      </c>
      <c r="C8266" t="s">
        <v>41</v>
      </c>
      <c r="D8266" s="1">
        <v>46210.045393518521</v>
      </c>
      <c r="E8266" t="s">
        <v>42</v>
      </c>
      <c r="F8266" t="s">
        <v>83</v>
      </c>
      <c r="G8266">
        <v>62</v>
      </c>
      <c r="H8266" t="s">
        <v>43</v>
      </c>
      <c r="I8266" t="s">
        <v>43</v>
      </c>
      <c r="J8266">
        <v>80</v>
      </c>
      <c r="K8266">
        <v>160</v>
      </c>
      <c r="L8266">
        <v>98</v>
      </c>
      <c r="M8266">
        <v>627.90002441000001</v>
      </c>
      <c r="N8266" t="s">
        <v>87</v>
      </c>
      <c r="O8266" t="s">
        <v>86</v>
      </c>
      <c r="P8266">
        <v>131</v>
      </c>
      <c r="Q8266">
        <v>6</v>
      </c>
      <c r="R8266">
        <v>139</v>
      </c>
      <c r="S8266">
        <v>1736</v>
      </c>
      <c r="T8266">
        <v>-40</v>
      </c>
      <c r="U8266">
        <v>44</v>
      </c>
      <c r="V8266">
        <v>560</v>
      </c>
      <c r="W8266">
        <v>26</v>
      </c>
      <c r="X8266">
        <v>26</v>
      </c>
      <c r="Y8266">
        <v>1</v>
      </c>
      <c r="Z8266">
        <v>8</v>
      </c>
      <c r="AA8266">
        <v>23</v>
      </c>
      <c r="AB8266">
        <v>2</v>
      </c>
      <c r="AC8266">
        <v>3</v>
      </c>
      <c r="AD8266">
        <v>3.2780001200000002</v>
      </c>
      <c r="AE8266">
        <v>1</v>
      </c>
      <c r="AF8266">
        <v>42</v>
      </c>
      <c r="AG8266">
        <v>3.2639999400000002</v>
      </c>
      <c r="AH8266">
        <v>8</v>
      </c>
      <c r="AI8266">
        <v>35</v>
      </c>
      <c r="AJ8266">
        <v>1</v>
      </c>
      <c r="AK8266">
        <v>27</v>
      </c>
      <c r="AL8266">
        <v>38</v>
      </c>
      <c r="AM8266" t="s">
        <v>43</v>
      </c>
      <c r="AN8266" t="s">
        <v>43</v>
      </c>
    </row>
    <row r="8267" spans="1:40" x14ac:dyDescent="0.3">
      <c r="A8267" s="1">
        <v>46210.04247685185</v>
      </c>
      <c r="B8267" t="s">
        <v>40</v>
      </c>
      <c r="C8267" t="s">
        <v>41</v>
      </c>
      <c r="D8267" s="1">
        <v>46210.045405092591</v>
      </c>
      <c r="E8267" t="s">
        <v>42</v>
      </c>
      <c r="F8267" t="s">
        <v>83</v>
      </c>
      <c r="G8267">
        <v>60</v>
      </c>
      <c r="H8267">
        <v>33026</v>
      </c>
      <c r="I8267" t="s">
        <v>4525</v>
      </c>
      <c r="J8267">
        <v>80</v>
      </c>
      <c r="K8267">
        <v>40</v>
      </c>
      <c r="L8267">
        <v>98</v>
      </c>
      <c r="M8267">
        <v>632.40002441000001</v>
      </c>
      <c r="N8267" t="s">
        <v>87</v>
      </c>
      <c r="O8267" t="s">
        <v>86</v>
      </c>
      <c r="P8267">
        <v>131</v>
      </c>
      <c r="Q8267">
        <v>6</v>
      </c>
      <c r="R8267">
        <v>61</v>
      </c>
      <c r="S8267">
        <v>1670</v>
      </c>
      <c r="T8267">
        <v>-40</v>
      </c>
      <c r="U8267">
        <v>43</v>
      </c>
      <c r="V8267">
        <v>140</v>
      </c>
      <c r="W8267">
        <v>26</v>
      </c>
      <c r="X8267">
        <v>26</v>
      </c>
      <c r="Y8267">
        <v>1</v>
      </c>
      <c r="Z8267">
        <v>8</v>
      </c>
      <c r="AA8267">
        <v>23</v>
      </c>
      <c r="AB8267">
        <v>2</v>
      </c>
      <c r="AC8267">
        <v>3</v>
      </c>
      <c r="AD8267">
        <v>3.3020000500000002</v>
      </c>
      <c r="AE8267">
        <v>1</v>
      </c>
      <c r="AF8267">
        <v>25</v>
      </c>
      <c r="AG8267">
        <v>3.2969999300000001</v>
      </c>
      <c r="AH8267">
        <v>4</v>
      </c>
      <c r="AI8267">
        <v>17</v>
      </c>
      <c r="AJ8267">
        <v>1</v>
      </c>
      <c r="AK8267">
        <v>27</v>
      </c>
      <c r="AL8267">
        <v>38</v>
      </c>
      <c r="AM8267" t="s">
        <v>43</v>
      </c>
      <c r="AN8267" t="str">
        <f>HYPERLINK("https://www.google.com/maps?q=10.79662037,79.41663361","Open Location")</f>
        <v>Open Location</v>
      </c>
    </row>
    <row r="8268" spans="1:40" x14ac:dyDescent="0.3">
      <c r="A8268" s="1">
        <v>46210.042361111111</v>
      </c>
      <c r="B8268" t="s">
        <v>40</v>
      </c>
      <c r="C8268" t="s">
        <v>41</v>
      </c>
      <c r="D8268" s="1">
        <v>46210.045381944445</v>
      </c>
      <c r="E8268" t="s">
        <v>42</v>
      </c>
      <c r="F8268" t="s">
        <v>83</v>
      </c>
      <c r="G8268">
        <v>60</v>
      </c>
      <c r="H8268">
        <v>33025</v>
      </c>
      <c r="I8268" t="s">
        <v>4526</v>
      </c>
      <c r="J8268">
        <v>80</v>
      </c>
      <c r="K8268">
        <v>77</v>
      </c>
      <c r="L8268">
        <v>98</v>
      </c>
      <c r="M8268">
        <v>630.5</v>
      </c>
      <c r="N8268" t="s">
        <v>87</v>
      </c>
      <c r="O8268" t="s">
        <v>86</v>
      </c>
      <c r="P8268">
        <v>131</v>
      </c>
      <c r="Q8268">
        <v>6</v>
      </c>
      <c r="R8268">
        <v>58</v>
      </c>
      <c r="S8268">
        <v>1681</v>
      </c>
      <c r="T8268">
        <v>-40</v>
      </c>
      <c r="U8268">
        <v>43</v>
      </c>
      <c r="V8268">
        <v>260</v>
      </c>
      <c r="W8268">
        <v>26</v>
      </c>
      <c r="X8268">
        <v>26</v>
      </c>
      <c r="Y8268">
        <v>1</v>
      </c>
      <c r="Z8268">
        <v>8</v>
      </c>
      <c r="AA8268">
        <v>23</v>
      </c>
      <c r="AB8268">
        <v>2</v>
      </c>
      <c r="AC8268">
        <v>3</v>
      </c>
      <c r="AD8268">
        <v>3.2909998900000001</v>
      </c>
      <c r="AE8268">
        <v>5</v>
      </c>
      <c r="AF8268">
        <v>38</v>
      </c>
      <c r="AG8268">
        <v>3.2809998999999999</v>
      </c>
      <c r="AH8268">
        <v>4</v>
      </c>
      <c r="AI8268">
        <v>17</v>
      </c>
      <c r="AJ8268">
        <v>1</v>
      </c>
      <c r="AK8268">
        <v>27</v>
      </c>
      <c r="AL8268">
        <v>38</v>
      </c>
      <c r="AM8268" t="s">
        <v>43</v>
      </c>
      <c r="AN8268" t="str">
        <f>HYPERLINK("https://www.google.com/maps?q=10.79666424,79.4147644","Open Location")</f>
        <v>Open Location</v>
      </c>
    </row>
    <row r="8269" spans="1:40" x14ac:dyDescent="0.3">
      <c r="A8269" s="1">
        <v>46210.042245370372</v>
      </c>
      <c r="B8269" t="s">
        <v>40</v>
      </c>
      <c r="C8269" t="s">
        <v>41</v>
      </c>
      <c r="D8269" s="1">
        <v>46210.045185185183</v>
      </c>
      <c r="E8269" t="s">
        <v>42</v>
      </c>
      <c r="F8269" t="s">
        <v>83</v>
      </c>
      <c r="G8269">
        <v>59</v>
      </c>
      <c r="H8269">
        <v>33025</v>
      </c>
      <c r="I8269" t="s">
        <v>4527</v>
      </c>
      <c r="J8269">
        <v>80</v>
      </c>
      <c r="K8269">
        <v>96</v>
      </c>
      <c r="L8269">
        <v>98</v>
      </c>
      <c r="M8269">
        <v>630.09997558999999</v>
      </c>
      <c r="N8269" t="s">
        <v>87</v>
      </c>
      <c r="O8269" t="s">
        <v>86</v>
      </c>
      <c r="P8269">
        <v>131</v>
      </c>
      <c r="Q8269">
        <v>6</v>
      </c>
      <c r="R8269">
        <v>54</v>
      </c>
      <c r="S8269">
        <v>1645</v>
      </c>
      <c r="T8269">
        <v>-40</v>
      </c>
      <c r="U8269">
        <v>43</v>
      </c>
      <c r="V8269">
        <v>340</v>
      </c>
      <c r="W8269">
        <v>26</v>
      </c>
      <c r="X8269">
        <v>26</v>
      </c>
      <c r="Y8269">
        <v>1</v>
      </c>
      <c r="Z8269">
        <v>8</v>
      </c>
      <c r="AA8269">
        <v>23</v>
      </c>
      <c r="AB8269">
        <v>2</v>
      </c>
      <c r="AC8269">
        <v>3</v>
      </c>
      <c r="AD8269">
        <v>3.2939999100000001</v>
      </c>
      <c r="AE8269">
        <v>5</v>
      </c>
      <c r="AF8269">
        <v>38</v>
      </c>
      <c r="AG8269">
        <v>3.28500009</v>
      </c>
      <c r="AH8269">
        <v>4</v>
      </c>
      <c r="AI8269">
        <v>17</v>
      </c>
      <c r="AJ8269">
        <v>1</v>
      </c>
      <c r="AK8269">
        <v>27</v>
      </c>
      <c r="AL8269">
        <v>38</v>
      </c>
      <c r="AM8269" t="s">
        <v>43</v>
      </c>
      <c r="AN8269" t="str">
        <f>HYPERLINK("https://www.google.com/maps?q=10.79672718,79.41294861","Open Location")</f>
        <v>Open Location</v>
      </c>
    </row>
    <row r="8270" spans="1:40" x14ac:dyDescent="0.3">
      <c r="A8270" s="1">
        <v>46210.042129629626</v>
      </c>
      <c r="B8270" t="s">
        <v>40</v>
      </c>
      <c r="C8270" t="s">
        <v>41</v>
      </c>
      <c r="D8270" s="1">
        <v>46210.044849537036</v>
      </c>
      <c r="E8270" t="s">
        <v>42</v>
      </c>
      <c r="F8270" t="s">
        <v>83</v>
      </c>
      <c r="G8270">
        <v>58</v>
      </c>
      <c r="H8270">
        <v>33025</v>
      </c>
      <c r="I8270" t="s">
        <v>4528</v>
      </c>
      <c r="J8270">
        <v>81</v>
      </c>
      <c r="K8270">
        <v>83</v>
      </c>
      <c r="L8270">
        <v>98</v>
      </c>
      <c r="M8270">
        <v>630.70001220999995</v>
      </c>
      <c r="N8270" t="s">
        <v>87</v>
      </c>
      <c r="O8270" t="s">
        <v>86</v>
      </c>
      <c r="P8270">
        <v>131</v>
      </c>
      <c r="Q8270">
        <v>6</v>
      </c>
      <c r="R8270">
        <v>63</v>
      </c>
      <c r="S8270">
        <v>1608</v>
      </c>
      <c r="T8270">
        <v>-40</v>
      </c>
      <c r="U8270">
        <v>44</v>
      </c>
      <c r="V8270">
        <v>300</v>
      </c>
      <c r="W8270">
        <v>26</v>
      </c>
      <c r="X8270">
        <v>26</v>
      </c>
      <c r="Y8270">
        <v>1</v>
      </c>
      <c r="Z8270">
        <v>8</v>
      </c>
      <c r="AA8270">
        <v>23</v>
      </c>
      <c r="AB8270">
        <v>2</v>
      </c>
      <c r="AC8270">
        <v>3</v>
      </c>
      <c r="AD8270">
        <v>3.2899999599999998</v>
      </c>
      <c r="AE8270">
        <v>1</v>
      </c>
      <c r="AF8270">
        <v>41</v>
      </c>
      <c r="AG8270">
        <v>3.27999997</v>
      </c>
      <c r="AH8270">
        <v>4</v>
      </c>
      <c r="AI8270">
        <v>17</v>
      </c>
      <c r="AJ8270">
        <v>1</v>
      </c>
      <c r="AK8270">
        <v>27</v>
      </c>
      <c r="AL8270">
        <v>38</v>
      </c>
      <c r="AM8270" t="s">
        <v>43</v>
      </c>
      <c r="AN8270" t="str">
        <f>HYPERLINK("https://www.google.com/maps?q=10.79675961,79.41118622","Open Location")</f>
        <v>Open Location</v>
      </c>
    </row>
    <row r="8271" spans="1:40" x14ac:dyDescent="0.3">
      <c r="A8271" s="1">
        <v>46210.042013888888</v>
      </c>
      <c r="B8271" t="s">
        <v>40</v>
      </c>
      <c r="C8271" t="s">
        <v>41</v>
      </c>
      <c r="D8271" s="1">
        <v>46210.045011574075</v>
      </c>
      <c r="E8271" t="s">
        <v>42</v>
      </c>
      <c r="F8271" t="s">
        <v>83</v>
      </c>
      <c r="G8271">
        <v>53</v>
      </c>
      <c r="H8271">
        <v>33025</v>
      </c>
      <c r="I8271" t="s">
        <v>43</v>
      </c>
      <c r="J8271">
        <v>81</v>
      </c>
      <c r="K8271">
        <v>127</v>
      </c>
      <c r="L8271">
        <v>98</v>
      </c>
      <c r="M8271">
        <v>627.90002441000001</v>
      </c>
      <c r="N8271" t="s">
        <v>87</v>
      </c>
      <c r="O8271" t="s">
        <v>86</v>
      </c>
      <c r="P8271">
        <v>131</v>
      </c>
      <c r="Q8271">
        <v>6</v>
      </c>
      <c r="R8271">
        <v>72</v>
      </c>
      <c r="S8271">
        <v>1485</v>
      </c>
      <c r="T8271">
        <v>-40</v>
      </c>
      <c r="U8271">
        <v>45</v>
      </c>
      <c r="V8271">
        <v>440</v>
      </c>
      <c r="W8271">
        <v>26</v>
      </c>
      <c r="X8271">
        <v>26</v>
      </c>
      <c r="Y8271">
        <v>1</v>
      </c>
      <c r="Z8271">
        <v>8</v>
      </c>
      <c r="AA8271">
        <v>23</v>
      </c>
      <c r="AB8271">
        <v>2</v>
      </c>
      <c r="AC8271">
        <v>3</v>
      </c>
      <c r="AD8271">
        <v>3.2809998999999999</v>
      </c>
      <c r="AE8271">
        <v>1</v>
      </c>
      <c r="AF8271">
        <v>38</v>
      </c>
      <c r="AG8271">
        <v>3.26799989</v>
      </c>
      <c r="AH8271">
        <v>4</v>
      </c>
      <c r="AI8271">
        <v>17</v>
      </c>
      <c r="AJ8271">
        <v>1</v>
      </c>
      <c r="AK8271">
        <v>27</v>
      </c>
      <c r="AL8271">
        <v>38</v>
      </c>
      <c r="AM8271" t="s">
        <v>43</v>
      </c>
      <c r="AN8271" t="s">
        <v>43</v>
      </c>
    </row>
    <row r="8272" spans="1:40" x14ac:dyDescent="0.3">
      <c r="A8272" s="1">
        <v>46210.041898148149</v>
      </c>
      <c r="B8272" t="s">
        <v>40</v>
      </c>
      <c r="C8272" t="s">
        <v>41</v>
      </c>
      <c r="D8272" s="1">
        <v>46210.044722222221</v>
      </c>
      <c r="E8272" t="s">
        <v>42</v>
      </c>
      <c r="F8272" t="s">
        <v>83</v>
      </c>
      <c r="G8272">
        <v>46</v>
      </c>
      <c r="H8272" t="s">
        <v>43</v>
      </c>
      <c r="I8272" t="s">
        <v>4529</v>
      </c>
      <c r="J8272">
        <v>81</v>
      </c>
      <c r="K8272">
        <v>133</v>
      </c>
      <c r="L8272">
        <v>98</v>
      </c>
      <c r="M8272">
        <v>628.90002441000001</v>
      </c>
      <c r="N8272" t="s">
        <v>87</v>
      </c>
      <c r="O8272" t="s">
        <v>86</v>
      </c>
      <c r="P8272">
        <v>131</v>
      </c>
      <c r="Q8272">
        <v>6</v>
      </c>
      <c r="R8272">
        <v>77</v>
      </c>
      <c r="S8272">
        <v>1310</v>
      </c>
      <c r="T8272">
        <v>-40</v>
      </c>
      <c r="U8272">
        <v>45</v>
      </c>
      <c r="V8272">
        <v>540</v>
      </c>
      <c r="W8272">
        <v>26</v>
      </c>
      <c r="X8272">
        <v>26</v>
      </c>
      <c r="Y8272">
        <v>1</v>
      </c>
      <c r="Z8272">
        <v>8</v>
      </c>
      <c r="AA8272">
        <v>23</v>
      </c>
      <c r="AB8272">
        <v>2</v>
      </c>
      <c r="AC8272">
        <v>3</v>
      </c>
      <c r="AD8272">
        <v>3.2980000999999999</v>
      </c>
      <c r="AE8272">
        <v>1</v>
      </c>
      <c r="AF8272">
        <v>44</v>
      </c>
      <c r="AG8272">
        <v>3.2899999599999998</v>
      </c>
      <c r="AH8272">
        <v>4</v>
      </c>
      <c r="AI8272">
        <v>17</v>
      </c>
      <c r="AJ8272">
        <v>1</v>
      </c>
      <c r="AK8272">
        <v>27</v>
      </c>
      <c r="AL8272">
        <v>38</v>
      </c>
      <c r="AM8272" t="s">
        <v>43</v>
      </c>
      <c r="AN8272" t="str">
        <f>HYPERLINK("https://www.google.com/maps?q=10.79673672,79.40944672","Open Location")</f>
        <v>Open Location</v>
      </c>
    </row>
    <row r="8273" spans="1:40" x14ac:dyDescent="0.3">
      <c r="A8273" s="1">
        <v>46210.04178240741</v>
      </c>
      <c r="B8273" t="s">
        <v>40</v>
      </c>
      <c r="C8273" t="s">
        <v>41</v>
      </c>
      <c r="D8273" s="1">
        <v>46210.044583333336</v>
      </c>
      <c r="E8273" t="s">
        <v>42</v>
      </c>
      <c r="F8273" t="s">
        <v>83</v>
      </c>
      <c r="G8273">
        <v>40</v>
      </c>
      <c r="H8273">
        <v>33025</v>
      </c>
      <c r="I8273" t="s">
        <v>4530</v>
      </c>
      <c r="J8273">
        <v>81</v>
      </c>
      <c r="K8273">
        <v>52</v>
      </c>
      <c r="L8273">
        <v>98</v>
      </c>
      <c r="M8273">
        <v>632.90002441000001</v>
      </c>
      <c r="N8273" t="s">
        <v>87</v>
      </c>
      <c r="O8273" t="s">
        <v>86</v>
      </c>
      <c r="P8273">
        <v>131</v>
      </c>
      <c r="Q8273">
        <v>6</v>
      </c>
      <c r="R8273">
        <v>-35</v>
      </c>
      <c r="S8273">
        <v>1104</v>
      </c>
      <c r="T8273">
        <v>-40</v>
      </c>
      <c r="U8273">
        <v>44</v>
      </c>
      <c r="V8273">
        <v>244</v>
      </c>
      <c r="W8273">
        <v>26</v>
      </c>
      <c r="X8273">
        <v>26</v>
      </c>
      <c r="Y8273">
        <v>1</v>
      </c>
      <c r="Z8273">
        <v>8</v>
      </c>
      <c r="AA8273">
        <v>23</v>
      </c>
      <c r="AB8273">
        <v>2</v>
      </c>
      <c r="AC8273">
        <v>3</v>
      </c>
      <c r="AD8273">
        <v>3.2929999799999998</v>
      </c>
      <c r="AE8273">
        <v>5</v>
      </c>
      <c r="AF8273">
        <v>38</v>
      </c>
      <c r="AG8273">
        <v>3.27999997</v>
      </c>
      <c r="AH8273">
        <v>4</v>
      </c>
      <c r="AI8273">
        <v>17</v>
      </c>
      <c r="AJ8273">
        <v>1</v>
      </c>
      <c r="AK8273">
        <v>29</v>
      </c>
      <c r="AL8273">
        <v>38</v>
      </c>
      <c r="AM8273" t="s">
        <v>43</v>
      </c>
      <c r="AN8273" t="str">
        <f>HYPERLINK("https://www.google.com/maps?q=10.79665565,79.4081192","Open Location")</f>
        <v>Open Location</v>
      </c>
    </row>
    <row r="8274" spans="1:40" x14ac:dyDescent="0.3">
      <c r="A8274" s="1">
        <v>46210.041666666664</v>
      </c>
      <c r="B8274" t="s">
        <v>40</v>
      </c>
      <c r="C8274" t="s">
        <v>41</v>
      </c>
      <c r="D8274" s="1">
        <v>46210.044456018521</v>
      </c>
      <c r="E8274" t="s">
        <v>42</v>
      </c>
      <c r="F8274" t="s">
        <v>83</v>
      </c>
      <c r="G8274">
        <v>59</v>
      </c>
      <c r="H8274">
        <v>33025</v>
      </c>
      <c r="I8274" t="s">
        <v>4531</v>
      </c>
      <c r="J8274">
        <v>81</v>
      </c>
      <c r="K8274">
        <v>-38</v>
      </c>
      <c r="L8274">
        <v>98</v>
      </c>
      <c r="M8274">
        <v>637</v>
      </c>
      <c r="N8274" t="s">
        <v>87</v>
      </c>
      <c r="O8274" t="s">
        <v>86</v>
      </c>
      <c r="P8274">
        <v>131</v>
      </c>
      <c r="Q8274">
        <v>6</v>
      </c>
      <c r="R8274">
        <v>13</v>
      </c>
      <c r="S8274">
        <v>1609</v>
      </c>
      <c r="T8274">
        <v>-40</v>
      </c>
      <c r="U8274">
        <v>43</v>
      </c>
      <c r="V8274">
        <v>-194</v>
      </c>
      <c r="W8274">
        <v>26</v>
      </c>
      <c r="X8274">
        <v>26</v>
      </c>
      <c r="Y8274">
        <v>1</v>
      </c>
      <c r="Z8274">
        <v>8</v>
      </c>
      <c r="AA8274">
        <v>23</v>
      </c>
      <c r="AB8274">
        <v>2</v>
      </c>
      <c r="AC8274">
        <v>3</v>
      </c>
      <c r="AD8274">
        <v>3.3229999499999998</v>
      </c>
      <c r="AE8274">
        <v>4</v>
      </c>
      <c r="AF8274">
        <v>24</v>
      </c>
      <c r="AG8274">
        <v>3.3190000099999999</v>
      </c>
      <c r="AH8274">
        <v>2</v>
      </c>
      <c r="AI8274">
        <v>12</v>
      </c>
      <c r="AJ8274">
        <v>1</v>
      </c>
      <c r="AK8274">
        <v>27</v>
      </c>
      <c r="AL8274">
        <v>38</v>
      </c>
      <c r="AM8274" t="s">
        <v>43</v>
      </c>
      <c r="AN8274" t="str">
        <f>HYPERLINK("https://www.google.com/maps?q=10.79652882,79.40649414","Open Location")</f>
        <v>Open Location</v>
      </c>
    </row>
    <row r="8275" spans="1:40" x14ac:dyDescent="0.3">
      <c r="A8275" s="1">
        <v>46210.041550925926</v>
      </c>
      <c r="B8275" t="s">
        <v>40</v>
      </c>
      <c r="C8275" t="s">
        <v>41</v>
      </c>
      <c r="D8275" s="1">
        <v>46210.044618055559</v>
      </c>
      <c r="E8275" t="s">
        <v>42</v>
      </c>
      <c r="F8275" t="s">
        <v>83</v>
      </c>
      <c r="G8275">
        <v>59</v>
      </c>
      <c r="H8275">
        <v>33024</v>
      </c>
      <c r="I8275" t="s">
        <v>4532</v>
      </c>
      <c r="J8275">
        <v>81</v>
      </c>
      <c r="K8275">
        <v>84</v>
      </c>
      <c r="L8275">
        <v>98</v>
      </c>
      <c r="M8275">
        <v>630.70001220999995</v>
      </c>
      <c r="N8275" t="s">
        <v>87</v>
      </c>
      <c r="O8275" t="s">
        <v>86</v>
      </c>
      <c r="P8275">
        <v>131</v>
      </c>
      <c r="Q8275">
        <v>6</v>
      </c>
      <c r="R8275">
        <v>51</v>
      </c>
      <c r="S8275">
        <v>1634</v>
      </c>
      <c r="T8275">
        <v>-40</v>
      </c>
      <c r="U8275">
        <v>43</v>
      </c>
      <c r="V8275">
        <v>300</v>
      </c>
      <c r="W8275">
        <v>26</v>
      </c>
      <c r="X8275">
        <v>26</v>
      </c>
      <c r="Y8275">
        <v>1</v>
      </c>
      <c r="Z8275">
        <v>8</v>
      </c>
      <c r="AA8275">
        <v>23</v>
      </c>
      <c r="AB8275">
        <v>2</v>
      </c>
      <c r="AC8275">
        <v>3</v>
      </c>
      <c r="AD8275">
        <v>3.2929999799999998</v>
      </c>
      <c r="AE8275">
        <v>5</v>
      </c>
      <c r="AF8275">
        <v>38</v>
      </c>
      <c r="AG8275">
        <v>3.28299999</v>
      </c>
      <c r="AH8275">
        <v>2</v>
      </c>
      <c r="AI8275">
        <v>46</v>
      </c>
      <c r="AJ8275">
        <v>1</v>
      </c>
      <c r="AK8275">
        <v>27</v>
      </c>
      <c r="AL8275">
        <v>38</v>
      </c>
      <c r="AM8275" t="s">
        <v>43</v>
      </c>
      <c r="AN8275" t="str">
        <f>HYPERLINK("https://www.google.com/maps?q=10.79632092,79.40470123","Open Location")</f>
        <v>Open Location</v>
      </c>
    </row>
    <row r="8276" spans="1:40" x14ac:dyDescent="0.3">
      <c r="A8276" s="1">
        <v>46210.041435185187</v>
      </c>
      <c r="B8276" t="s">
        <v>40</v>
      </c>
      <c r="C8276" t="s">
        <v>41</v>
      </c>
      <c r="D8276" s="1">
        <v>46210.044618055559</v>
      </c>
      <c r="E8276" t="s">
        <v>42</v>
      </c>
      <c r="F8276" t="s">
        <v>83</v>
      </c>
      <c r="G8276">
        <v>58</v>
      </c>
      <c r="H8276">
        <v>33024</v>
      </c>
      <c r="I8276" t="s">
        <v>4533</v>
      </c>
      <c r="J8276">
        <v>81</v>
      </c>
      <c r="K8276">
        <v>57</v>
      </c>
      <c r="L8276">
        <v>98</v>
      </c>
      <c r="M8276">
        <v>630</v>
      </c>
      <c r="N8276" t="s">
        <v>87</v>
      </c>
      <c r="O8276" t="s">
        <v>86</v>
      </c>
      <c r="P8276">
        <v>131</v>
      </c>
      <c r="Q8276">
        <v>6</v>
      </c>
      <c r="R8276">
        <v>20</v>
      </c>
      <c r="S8276">
        <v>1581</v>
      </c>
      <c r="T8276">
        <v>-40</v>
      </c>
      <c r="U8276">
        <v>42</v>
      </c>
      <c r="V8276">
        <v>170</v>
      </c>
      <c r="W8276">
        <v>26</v>
      </c>
      <c r="X8276">
        <v>26</v>
      </c>
      <c r="Y8276">
        <v>1</v>
      </c>
      <c r="Z8276">
        <v>8</v>
      </c>
      <c r="AA8276">
        <v>23</v>
      </c>
      <c r="AB8276">
        <v>2</v>
      </c>
      <c r="AC8276">
        <v>3</v>
      </c>
      <c r="AD8276">
        <v>3.2929999799999998</v>
      </c>
      <c r="AE8276">
        <v>5</v>
      </c>
      <c r="AF8276">
        <v>38</v>
      </c>
      <c r="AG8276">
        <v>3.28299999</v>
      </c>
      <c r="AH8276">
        <v>4</v>
      </c>
      <c r="AI8276">
        <v>17</v>
      </c>
      <c r="AJ8276">
        <v>1</v>
      </c>
      <c r="AK8276">
        <v>27</v>
      </c>
      <c r="AL8276">
        <v>38</v>
      </c>
      <c r="AM8276" t="s">
        <v>43</v>
      </c>
      <c r="AN8276" t="str">
        <f>HYPERLINK("https://www.google.com/maps?q=10.7960844,79.40294647","Open Location")</f>
        <v>Open Location</v>
      </c>
    </row>
    <row r="8277" spans="1:40" x14ac:dyDescent="0.3">
      <c r="A8277" s="1">
        <v>46210.041319444441</v>
      </c>
      <c r="B8277" t="s">
        <v>40</v>
      </c>
      <c r="C8277" t="s">
        <v>41</v>
      </c>
      <c r="D8277" s="1">
        <v>46210.044189814813</v>
      </c>
      <c r="E8277" t="s">
        <v>42</v>
      </c>
      <c r="F8277" t="s">
        <v>83</v>
      </c>
      <c r="G8277">
        <v>59</v>
      </c>
      <c r="H8277">
        <v>33024</v>
      </c>
      <c r="I8277" t="s">
        <v>43</v>
      </c>
      <c r="J8277">
        <v>81</v>
      </c>
      <c r="K8277">
        <v>66</v>
      </c>
      <c r="L8277">
        <v>98</v>
      </c>
      <c r="M8277">
        <v>631.90002441000001</v>
      </c>
      <c r="N8277" t="s">
        <v>87</v>
      </c>
      <c r="O8277" t="s">
        <v>86</v>
      </c>
      <c r="P8277">
        <v>131</v>
      </c>
      <c r="Q8277">
        <v>6</v>
      </c>
      <c r="R8277">
        <v>57</v>
      </c>
      <c r="S8277">
        <v>1626</v>
      </c>
      <c r="T8277">
        <v>-40</v>
      </c>
      <c r="U8277">
        <v>43</v>
      </c>
      <c r="V8277">
        <v>240</v>
      </c>
      <c r="W8277">
        <v>26</v>
      </c>
      <c r="X8277">
        <v>26</v>
      </c>
      <c r="Y8277">
        <v>1</v>
      </c>
      <c r="Z8277">
        <v>8</v>
      </c>
      <c r="AA8277">
        <v>23</v>
      </c>
      <c r="AB8277">
        <v>2</v>
      </c>
      <c r="AC8277">
        <v>3</v>
      </c>
      <c r="AD8277">
        <v>3.2969999300000001</v>
      </c>
      <c r="AE8277">
        <v>1</v>
      </c>
      <c r="AF8277">
        <v>38</v>
      </c>
      <c r="AG8277">
        <v>3.28900003</v>
      </c>
      <c r="AH8277">
        <v>8</v>
      </c>
      <c r="AI8277">
        <v>35</v>
      </c>
      <c r="AJ8277">
        <v>1</v>
      </c>
      <c r="AK8277">
        <v>28</v>
      </c>
      <c r="AL8277">
        <v>38</v>
      </c>
      <c r="AM8277" t="s">
        <v>43</v>
      </c>
      <c r="AN8277" t="s">
        <v>43</v>
      </c>
    </row>
    <row r="8278" spans="1:40" x14ac:dyDescent="0.3">
      <c r="A8278" s="1">
        <v>46210.041203703702</v>
      </c>
      <c r="B8278" t="s">
        <v>40</v>
      </c>
      <c r="C8278" t="s">
        <v>41</v>
      </c>
      <c r="D8278" s="1">
        <v>46210.044189814813</v>
      </c>
      <c r="E8278" t="s">
        <v>42</v>
      </c>
      <c r="F8278" t="s">
        <v>83</v>
      </c>
      <c r="G8278">
        <v>57</v>
      </c>
      <c r="H8278" t="s">
        <v>43</v>
      </c>
      <c r="I8278" t="s">
        <v>4534</v>
      </c>
      <c r="J8278">
        <v>81</v>
      </c>
      <c r="K8278">
        <v>114</v>
      </c>
      <c r="L8278">
        <v>98</v>
      </c>
      <c r="M8278">
        <v>629.20001220999995</v>
      </c>
      <c r="N8278" t="s">
        <v>87</v>
      </c>
      <c r="O8278" t="s">
        <v>86</v>
      </c>
      <c r="P8278">
        <v>131</v>
      </c>
      <c r="Q8278">
        <v>6</v>
      </c>
      <c r="R8278">
        <v>49</v>
      </c>
      <c r="S8278">
        <v>1588</v>
      </c>
      <c r="T8278">
        <v>-40</v>
      </c>
      <c r="U8278">
        <v>43</v>
      </c>
      <c r="V8278">
        <v>420</v>
      </c>
      <c r="W8278">
        <v>26</v>
      </c>
      <c r="X8278">
        <v>26</v>
      </c>
      <c r="Y8278">
        <v>1</v>
      </c>
      <c r="Z8278">
        <v>8</v>
      </c>
      <c r="AA8278">
        <v>23</v>
      </c>
      <c r="AB8278">
        <v>2</v>
      </c>
      <c r="AC8278">
        <v>3</v>
      </c>
      <c r="AD8278">
        <v>3.28800011</v>
      </c>
      <c r="AE8278">
        <v>5</v>
      </c>
      <c r="AF8278">
        <v>38</v>
      </c>
      <c r="AG8278">
        <v>3.27699995</v>
      </c>
      <c r="AH8278">
        <v>4</v>
      </c>
      <c r="AI8278">
        <v>17</v>
      </c>
      <c r="AJ8278">
        <v>1</v>
      </c>
      <c r="AK8278">
        <v>27</v>
      </c>
      <c r="AL8278">
        <v>38</v>
      </c>
      <c r="AM8278" t="s">
        <v>43</v>
      </c>
      <c r="AN8278" t="str">
        <f>HYPERLINK("https://www.google.com/maps?q=10.79585075,79.40116882","Open Location")</f>
        <v>Open Location</v>
      </c>
    </row>
    <row r="8279" spans="1:40" x14ac:dyDescent="0.3">
      <c r="A8279" s="1">
        <v>46210.041087962964</v>
      </c>
      <c r="B8279" t="s">
        <v>40</v>
      </c>
      <c r="C8279" t="s">
        <v>41</v>
      </c>
      <c r="D8279" s="1">
        <v>46210.043807870374</v>
      </c>
      <c r="E8279" t="s">
        <v>42</v>
      </c>
      <c r="F8279" t="s">
        <v>83</v>
      </c>
      <c r="G8279">
        <v>56</v>
      </c>
      <c r="H8279">
        <v>33024</v>
      </c>
      <c r="I8279" t="s">
        <v>4535</v>
      </c>
      <c r="J8279">
        <v>81</v>
      </c>
      <c r="K8279">
        <v>79</v>
      </c>
      <c r="L8279">
        <v>98</v>
      </c>
      <c r="M8279">
        <v>631.20001220999995</v>
      </c>
      <c r="N8279" t="s">
        <v>87</v>
      </c>
      <c r="O8279" t="s">
        <v>86</v>
      </c>
      <c r="P8279">
        <v>131</v>
      </c>
      <c r="Q8279">
        <v>6</v>
      </c>
      <c r="R8279">
        <v>52</v>
      </c>
      <c r="S8279">
        <v>1573</v>
      </c>
      <c r="T8279">
        <v>-40</v>
      </c>
      <c r="U8279">
        <v>43</v>
      </c>
      <c r="V8279">
        <v>300</v>
      </c>
      <c r="W8279">
        <v>26</v>
      </c>
      <c r="X8279">
        <v>26</v>
      </c>
      <c r="Y8279">
        <v>1</v>
      </c>
      <c r="Z8279">
        <v>8</v>
      </c>
      <c r="AA8279">
        <v>23</v>
      </c>
      <c r="AB8279">
        <v>2</v>
      </c>
      <c r="AC8279">
        <v>3</v>
      </c>
      <c r="AD8279">
        <v>3.2999999500000001</v>
      </c>
      <c r="AE8279">
        <v>1</v>
      </c>
      <c r="AF8279">
        <v>25</v>
      </c>
      <c r="AG8279">
        <v>3.2939999100000001</v>
      </c>
      <c r="AH8279">
        <v>4</v>
      </c>
      <c r="AI8279">
        <v>17</v>
      </c>
      <c r="AJ8279">
        <v>1</v>
      </c>
      <c r="AK8279">
        <v>27</v>
      </c>
      <c r="AL8279">
        <v>38</v>
      </c>
      <c r="AM8279" t="s">
        <v>43</v>
      </c>
      <c r="AN8279" t="str">
        <f>HYPERLINK("https://www.google.com/maps?q=10.79562759,79.39944458","Open Location")</f>
        <v>Open Location</v>
      </c>
    </row>
    <row r="8280" spans="1:40" x14ac:dyDescent="0.3">
      <c r="A8280" s="1">
        <v>46210.040972222225</v>
      </c>
      <c r="B8280" t="s">
        <v>40</v>
      </c>
      <c r="C8280" t="s">
        <v>41</v>
      </c>
      <c r="D8280" s="1">
        <v>46210.043749999997</v>
      </c>
      <c r="E8280" t="s">
        <v>42</v>
      </c>
      <c r="F8280" t="s">
        <v>83</v>
      </c>
      <c r="G8280">
        <v>56</v>
      </c>
      <c r="H8280">
        <v>33024</v>
      </c>
      <c r="I8280" t="s">
        <v>4536</v>
      </c>
      <c r="J8280">
        <v>81</v>
      </c>
      <c r="K8280">
        <v>59</v>
      </c>
      <c r="L8280">
        <v>98</v>
      </c>
      <c r="M8280">
        <v>632</v>
      </c>
      <c r="N8280" t="s">
        <v>87</v>
      </c>
      <c r="O8280" t="s">
        <v>86</v>
      </c>
      <c r="P8280">
        <v>131</v>
      </c>
      <c r="Q8280">
        <v>6</v>
      </c>
      <c r="R8280">
        <v>42</v>
      </c>
      <c r="S8280">
        <v>1557</v>
      </c>
      <c r="T8280">
        <v>-40</v>
      </c>
      <c r="U8280">
        <v>43</v>
      </c>
      <c r="V8280">
        <v>220</v>
      </c>
      <c r="W8280">
        <v>26</v>
      </c>
      <c r="X8280">
        <v>26</v>
      </c>
      <c r="Y8280">
        <v>1</v>
      </c>
      <c r="Z8280">
        <v>8</v>
      </c>
      <c r="AA8280">
        <v>23</v>
      </c>
      <c r="AB8280">
        <v>2</v>
      </c>
      <c r="AC8280">
        <v>3</v>
      </c>
      <c r="AD8280">
        <v>3.2980000999999999</v>
      </c>
      <c r="AE8280">
        <v>1</v>
      </c>
      <c r="AF8280">
        <v>38</v>
      </c>
      <c r="AG8280">
        <v>3.2909998900000001</v>
      </c>
      <c r="AH8280">
        <v>4</v>
      </c>
      <c r="AI8280">
        <v>17</v>
      </c>
      <c r="AJ8280">
        <v>1</v>
      </c>
      <c r="AK8280">
        <v>27</v>
      </c>
      <c r="AL8280">
        <v>38</v>
      </c>
      <c r="AM8280" t="s">
        <v>43</v>
      </c>
      <c r="AN8280" t="str">
        <f>HYPERLINK("https://www.google.com/maps?q=10.79533958,79.39759064","Open Location")</f>
        <v>Open Location</v>
      </c>
    </row>
    <row r="8281" spans="1:40" x14ac:dyDescent="0.3">
      <c r="A8281" s="1">
        <v>46210.040856481479</v>
      </c>
      <c r="B8281" t="s">
        <v>40</v>
      </c>
      <c r="C8281" t="s">
        <v>41</v>
      </c>
      <c r="D8281" s="1">
        <v>46210.043391203704</v>
      </c>
      <c r="E8281" t="s">
        <v>42</v>
      </c>
      <c r="F8281" t="s">
        <v>83</v>
      </c>
      <c r="G8281">
        <v>52</v>
      </c>
      <c r="H8281">
        <v>33023</v>
      </c>
      <c r="I8281" t="s">
        <v>4537</v>
      </c>
      <c r="J8281">
        <v>81</v>
      </c>
      <c r="K8281">
        <v>76</v>
      </c>
      <c r="L8281">
        <v>98</v>
      </c>
      <c r="M8281">
        <v>631.29998779000005</v>
      </c>
      <c r="N8281" t="s">
        <v>87</v>
      </c>
      <c r="O8281" t="s">
        <v>86</v>
      </c>
      <c r="P8281">
        <v>131</v>
      </c>
      <c r="Q8281">
        <v>6</v>
      </c>
      <c r="R8281">
        <v>43</v>
      </c>
      <c r="S8281">
        <v>1465</v>
      </c>
      <c r="T8281">
        <v>-40</v>
      </c>
      <c r="U8281">
        <v>44</v>
      </c>
      <c r="V8281">
        <v>300</v>
      </c>
      <c r="W8281">
        <v>26</v>
      </c>
      <c r="X8281">
        <v>26</v>
      </c>
      <c r="Y8281">
        <v>1</v>
      </c>
      <c r="Z8281">
        <v>8</v>
      </c>
      <c r="AA8281">
        <v>23</v>
      </c>
      <c r="AB8281">
        <v>2</v>
      </c>
      <c r="AC8281">
        <v>3</v>
      </c>
      <c r="AD8281">
        <v>3.2950000799999999</v>
      </c>
      <c r="AE8281">
        <v>1</v>
      </c>
      <c r="AF8281">
        <v>38</v>
      </c>
      <c r="AG8281">
        <v>3.2869999399999998</v>
      </c>
      <c r="AH8281">
        <v>4</v>
      </c>
      <c r="AI8281">
        <v>17</v>
      </c>
      <c r="AJ8281">
        <v>1</v>
      </c>
      <c r="AK8281">
        <v>27</v>
      </c>
      <c r="AL8281">
        <v>38</v>
      </c>
      <c r="AM8281" t="s">
        <v>43</v>
      </c>
      <c r="AN8281" t="str">
        <f>HYPERLINK("https://www.google.com/maps?q=10.79496384,79.39601898","Open Location")</f>
        <v>Open Location</v>
      </c>
    </row>
    <row r="8282" spans="1:40" x14ac:dyDescent="0.3">
      <c r="A8282" s="1">
        <v>46210.04074074074</v>
      </c>
      <c r="B8282" t="s">
        <v>40</v>
      </c>
      <c r="C8282" t="s">
        <v>41</v>
      </c>
      <c r="D8282" s="1">
        <v>46210.043402777781</v>
      </c>
      <c r="E8282" t="s">
        <v>42</v>
      </c>
      <c r="F8282" t="s">
        <v>83</v>
      </c>
      <c r="G8282">
        <v>45</v>
      </c>
      <c r="H8282">
        <v>33023</v>
      </c>
      <c r="I8282" t="s">
        <v>4538</v>
      </c>
      <c r="J8282">
        <v>81</v>
      </c>
      <c r="K8282">
        <v>151</v>
      </c>
      <c r="L8282">
        <v>98</v>
      </c>
      <c r="M8282">
        <v>627.79998779000005</v>
      </c>
      <c r="N8282" t="s">
        <v>87</v>
      </c>
      <c r="O8282" t="s">
        <v>86</v>
      </c>
      <c r="P8282">
        <v>131</v>
      </c>
      <c r="Q8282">
        <v>6</v>
      </c>
      <c r="R8282">
        <v>98</v>
      </c>
      <c r="S8282">
        <v>1321</v>
      </c>
      <c r="T8282">
        <v>-40</v>
      </c>
      <c r="U8282">
        <v>44</v>
      </c>
      <c r="V8282">
        <v>660</v>
      </c>
      <c r="W8282">
        <v>26</v>
      </c>
      <c r="X8282">
        <v>26</v>
      </c>
      <c r="Y8282">
        <v>1</v>
      </c>
      <c r="Z8282">
        <v>8</v>
      </c>
      <c r="AA8282">
        <v>23</v>
      </c>
      <c r="AB8282">
        <v>2</v>
      </c>
      <c r="AC8282">
        <v>3</v>
      </c>
      <c r="AD8282">
        <v>3.2839999199999999</v>
      </c>
      <c r="AE8282">
        <v>1</v>
      </c>
      <c r="AF8282">
        <v>38</v>
      </c>
      <c r="AG8282">
        <v>3.2720000699999998</v>
      </c>
      <c r="AH8282">
        <v>4</v>
      </c>
      <c r="AI8282">
        <v>17</v>
      </c>
      <c r="AJ8282">
        <v>1</v>
      </c>
      <c r="AK8282">
        <v>27</v>
      </c>
      <c r="AL8282">
        <v>38</v>
      </c>
      <c r="AM8282" t="s">
        <v>43</v>
      </c>
      <c r="AN8282" t="str">
        <f>HYPERLINK("https://www.google.com/maps?q=10.79454327,79.3946991","Open Location")</f>
        <v>Open Location</v>
      </c>
    </row>
    <row r="8283" spans="1:40" x14ac:dyDescent="0.3">
      <c r="A8283" s="1">
        <v>46210.040625000001</v>
      </c>
      <c r="B8283" t="s">
        <v>40</v>
      </c>
      <c r="C8283" t="s">
        <v>41</v>
      </c>
      <c r="D8283" s="1">
        <v>46210.043391203704</v>
      </c>
      <c r="E8283" t="s">
        <v>42</v>
      </c>
      <c r="F8283" t="s">
        <v>83</v>
      </c>
      <c r="G8283">
        <v>42</v>
      </c>
      <c r="H8283">
        <v>33023</v>
      </c>
      <c r="I8283" t="s">
        <v>43</v>
      </c>
      <c r="J8283">
        <v>81</v>
      </c>
      <c r="K8283">
        <v>-44</v>
      </c>
      <c r="L8283">
        <v>98</v>
      </c>
      <c r="M8283">
        <v>637.20001220999995</v>
      </c>
      <c r="N8283" t="s">
        <v>87</v>
      </c>
      <c r="O8283" t="s">
        <v>86</v>
      </c>
      <c r="P8283">
        <v>131</v>
      </c>
      <c r="Q8283">
        <v>6</v>
      </c>
      <c r="R8283">
        <v>-37</v>
      </c>
      <c r="S8283">
        <v>1131</v>
      </c>
      <c r="T8283">
        <v>-40</v>
      </c>
      <c r="U8283">
        <v>43</v>
      </c>
      <c r="V8283">
        <v>-300</v>
      </c>
      <c r="W8283">
        <v>26</v>
      </c>
      <c r="X8283">
        <v>26</v>
      </c>
      <c r="Y8283">
        <v>1</v>
      </c>
      <c r="Z8283">
        <v>8</v>
      </c>
      <c r="AA8283">
        <v>23</v>
      </c>
      <c r="AB8283">
        <v>2</v>
      </c>
      <c r="AC8283">
        <v>3</v>
      </c>
      <c r="AD8283">
        <v>3.3220000299999999</v>
      </c>
      <c r="AE8283">
        <v>1</v>
      </c>
      <c r="AF8283">
        <v>26</v>
      </c>
      <c r="AG8283">
        <v>3.3190000099999999</v>
      </c>
      <c r="AH8283">
        <v>2</v>
      </c>
      <c r="AI8283">
        <v>12</v>
      </c>
      <c r="AJ8283">
        <v>1</v>
      </c>
      <c r="AK8283">
        <v>27</v>
      </c>
      <c r="AL8283">
        <v>38</v>
      </c>
      <c r="AM8283" t="s">
        <v>43</v>
      </c>
      <c r="AN8283" t="s">
        <v>43</v>
      </c>
    </row>
    <row r="8284" spans="1:40" x14ac:dyDescent="0.3">
      <c r="A8284" s="1">
        <v>46210.040509259263</v>
      </c>
      <c r="B8284" t="s">
        <v>40</v>
      </c>
      <c r="C8284" t="s">
        <v>41</v>
      </c>
      <c r="D8284" s="1">
        <v>46210.043321759258</v>
      </c>
      <c r="E8284" t="s">
        <v>42</v>
      </c>
      <c r="F8284" t="s">
        <v>83</v>
      </c>
      <c r="G8284">
        <v>42</v>
      </c>
      <c r="H8284">
        <v>33023</v>
      </c>
      <c r="I8284" t="s">
        <v>4539</v>
      </c>
      <c r="J8284">
        <v>81</v>
      </c>
      <c r="K8284">
        <v>100</v>
      </c>
      <c r="L8284">
        <v>98</v>
      </c>
      <c r="M8284">
        <v>630.79998779000005</v>
      </c>
      <c r="N8284" t="s">
        <v>87</v>
      </c>
      <c r="O8284" t="s">
        <v>86</v>
      </c>
      <c r="P8284">
        <v>131</v>
      </c>
      <c r="Q8284">
        <v>6</v>
      </c>
      <c r="R8284">
        <v>65</v>
      </c>
      <c r="S8284">
        <v>1180</v>
      </c>
      <c r="T8284">
        <v>-40</v>
      </c>
      <c r="U8284">
        <v>44</v>
      </c>
      <c r="V8284">
        <v>440</v>
      </c>
      <c r="W8284">
        <v>26</v>
      </c>
      <c r="X8284">
        <v>26</v>
      </c>
      <c r="Y8284">
        <v>1</v>
      </c>
      <c r="Z8284">
        <v>8</v>
      </c>
      <c r="AA8284">
        <v>23</v>
      </c>
      <c r="AB8284">
        <v>2</v>
      </c>
      <c r="AC8284">
        <v>3</v>
      </c>
      <c r="AD8284">
        <v>3.2939999100000001</v>
      </c>
      <c r="AE8284">
        <v>1</v>
      </c>
      <c r="AF8284">
        <v>44</v>
      </c>
      <c r="AG8284">
        <v>3.2839999199999999</v>
      </c>
      <c r="AH8284">
        <v>4</v>
      </c>
      <c r="AI8284">
        <v>17</v>
      </c>
      <c r="AJ8284">
        <v>1</v>
      </c>
      <c r="AK8284">
        <v>27</v>
      </c>
      <c r="AL8284">
        <v>38</v>
      </c>
      <c r="AM8284" t="s">
        <v>43</v>
      </c>
      <c r="AN8284" t="str">
        <f>HYPERLINK("https://www.google.com/maps?q=10.79407024,79.39347076","Open Location")</f>
        <v>Open Location</v>
      </c>
    </row>
    <row r="8285" spans="1:40" x14ac:dyDescent="0.3">
      <c r="A8285" s="1">
        <v>46210.040393518517</v>
      </c>
      <c r="B8285" t="s">
        <v>40</v>
      </c>
      <c r="C8285" t="s">
        <v>41</v>
      </c>
      <c r="D8285" s="1">
        <v>46210.043009259258</v>
      </c>
      <c r="E8285" t="s">
        <v>42</v>
      </c>
      <c r="F8285" t="s">
        <v>83</v>
      </c>
      <c r="G8285">
        <v>42</v>
      </c>
      <c r="H8285">
        <v>33023</v>
      </c>
      <c r="I8285" t="s">
        <v>4540</v>
      </c>
      <c r="J8285">
        <v>81</v>
      </c>
      <c r="K8285">
        <v>-44</v>
      </c>
      <c r="L8285">
        <v>98</v>
      </c>
      <c r="M8285">
        <v>637.70001220999995</v>
      </c>
      <c r="N8285" t="s">
        <v>87</v>
      </c>
      <c r="O8285" t="s">
        <v>86</v>
      </c>
      <c r="P8285">
        <v>131</v>
      </c>
      <c r="Q8285">
        <v>6</v>
      </c>
      <c r="R8285">
        <v>-124</v>
      </c>
      <c r="S8285">
        <v>1062</v>
      </c>
      <c r="T8285">
        <v>-40</v>
      </c>
      <c r="U8285">
        <v>43</v>
      </c>
      <c r="V8285">
        <v>-300</v>
      </c>
      <c r="W8285">
        <v>26</v>
      </c>
      <c r="X8285">
        <v>26</v>
      </c>
      <c r="Y8285">
        <v>1</v>
      </c>
      <c r="Z8285">
        <v>8</v>
      </c>
      <c r="AA8285">
        <v>23</v>
      </c>
      <c r="AB8285">
        <v>2</v>
      </c>
      <c r="AC8285">
        <v>3</v>
      </c>
      <c r="AD8285">
        <v>3.3239998800000001</v>
      </c>
      <c r="AE8285">
        <v>4</v>
      </c>
      <c r="AF8285">
        <v>24</v>
      </c>
      <c r="AG8285">
        <v>3.3199999299999998</v>
      </c>
      <c r="AH8285">
        <v>5</v>
      </c>
      <c r="AI8285">
        <v>10</v>
      </c>
      <c r="AJ8285">
        <v>1</v>
      </c>
      <c r="AK8285">
        <v>29</v>
      </c>
      <c r="AL8285">
        <v>38</v>
      </c>
      <c r="AM8285" t="s">
        <v>43</v>
      </c>
      <c r="AN8285" t="str">
        <f>HYPERLINK("https://www.google.com/maps?q=10.79355621,79.3923645","Open Location")</f>
        <v>Open Location</v>
      </c>
    </row>
    <row r="8286" spans="1:40" x14ac:dyDescent="0.3">
      <c r="A8286" s="1">
        <v>46210.040277777778</v>
      </c>
      <c r="B8286" t="s">
        <v>40</v>
      </c>
      <c r="C8286" t="s">
        <v>41</v>
      </c>
      <c r="D8286" s="1">
        <v>46210.043275462966</v>
      </c>
      <c r="E8286" t="s">
        <v>42</v>
      </c>
      <c r="F8286" t="s">
        <v>83</v>
      </c>
      <c r="G8286">
        <v>51</v>
      </c>
      <c r="H8286" t="s">
        <v>43</v>
      </c>
      <c r="I8286" t="s">
        <v>4541</v>
      </c>
      <c r="J8286">
        <v>81</v>
      </c>
      <c r="K8286">
        <v>49</v>
      </c>
      <c r="L8286">
        <v>98</v>
      </c>
      <c r="M8286">
        <v>632.40002441000001</v>
      </c>
      <c r="N8286" t="s">
        <v>87</v>
      </c>
      <c r="O8286" t="s">
        <v>86</v>
      </c>
      <c r="P8286">
        <v>131</v>
      </c>
      <c r="Q8286">
        <v>6</v>
      </c>
      <c r="R8286">
        <v>29</v>
      </c>
      <c r="S8286">
        <v>1421</v>
      </c>
      <c r="T8286">
        <v>-40</v>
      </c>
      <c r="U8286">
        <v>43</v>
      </c>
      <c r="V8286">
        <v>180</v>
      </c>
      <c r="W8286">
        <v>26</v>
      </c>
      <c r="X8286">
        <v>26</v>
      </c>
      <c r="Y8286">
        <v>1</v>
      </c>
      <c r="Z8286">
        <v>8</v>
      </c>
      <c r="AA8286">
        <v>23</v>
      </c>
      <c r="AB8286">
        <v>2</v>
      </c>
      <c r="AC8286">
        <v>3</v>
      </c>
      <c r="AD8286">
        <v>3.2969999300000001</v>
      </c>
      <c r="AE8286">
        <v>1</v>
      </c>
      <c r="AF8286">
        <v>44</v>
      </c>
      <c r="AG8286">
        <v>3.28900003</v>
      </c>
      <c r="AH8286">
        <v>4</v>
      </c>
      <c r="AI8286">
        <v>17</v>
      </c>
      <c r="AJ8286">
        <v>1</v>
      </c>
      <c r="AK8286">
        <v>27</v>
      </c>
      <c r="AL8286">
        <v>38</v>
      </c>
      <c r="AM8286" t="s">
        <v>43</v>
      </c>
      <c r="AN8286" t="str">
        <f>HYPERLINK("https://www.google.com/maps?q=10.79282093,79.39103699","Open Location")</f>
        <v>Open Location</v>
      </c>
    </row>
    <row r="8287" spans="1:40" x14ac:dyDescent="0.3">
      <c r="A8287" s="1">
        <v>46210.040162037039</v>
      </c>
      <c r="B8287" t="s">
        <v>40</v>
      </c>
      <c r="C8287" t="s">
        <v>41</v>
      </c>
      <c r="D8287" s="1">
        <v>46210.043032407404</v>
      </c>
      <c r="E8287" t="s">
        <v>42</v>
      </c>
      <c r="F8287" t="s">
        <v>83</v>
      </c>
      <c r="G8287">
        <v>51</v>
      </c>
      <c r="H8287">
        <v>33023</v>
      </c>
      <c r="I8287" t="s">
        <v>4542</v>
      </c>
      <c r="J8287">
        <v>81</v>
      </c>
      <c r="K8287">
        <v>74</v>
      </c>
      <c r="L8287">
        <v>98</v>
      </c>
      <c r="M8287">
        <v>631.5</v>
      </c>
      <c r="N8287" t="s">
        <v>87</v>
      </c>
      <c r="O8287" t="s">
        <v>86</v>
      </c>
      <c r="P8287">
        <v>131</v>
      </c>
      <c r="Q8287">
        <v>6</v>
      </c>
      <c r="R8287">
        <v>44</v>
      </c>
      <c r="S8287">
        <v>1413</v>
      </c>
      <c r="T8287">
        <v>-40</v>
      </c>
      <c r="U8287">
        <v>43</v>
      </c>
      <c r="V8287">
        <v>300</v>
      </c>
      <c r="W8287">
        <v>26</v>
      </c>
      <c r="X8287">
        <v>26</v>
      </c>
      <c r="Y8287">
        <v>1</v>
      </c>
      <c r="Z8287">
        <v>8</v>
      </c>
      <c r="AA8287">
        <v>23</v>
      </c>
      <c r="AB8287">
        <v>2</v>
      </c>
      <c r="AC8287">
        <v>3</v>
      </c>
      <c r="AD8287">
        <v>3.2959999999999998</v>
      </c>
      <c r="AE8287">
        <v>1</v>
      </c>
      <c r="AF8287">
        <v>44</v>
      </c>
      <c r="AG8287">
        <v>3.28800011</v>
      </c>
      <c r="AH8287">
        <v>4</v>
      </c>
      <c r="AI8287">
        <v>17</v>
      </c>
      <c r="AJ8287">
        <v>1</v>
      </c>
      <c r="AK8287">
        <v>27</v>
      </c>
      <c r="AL8287">
        <v>38</v>
      </c>
      <c r="AM8287" t="s">
        <v>43</v>
      </c>
      <c r="AN8287" t="str">
        <f>HYPERLINK("https://www.google.com/maps?q=10.79201508,79.38970184","Open Location")</f>
        <v>Open Location</v>
      </c>
    </row>
    <row r="8288" spans="1:40" x14ac:dyDescent="0.3">
      <c r="A8288" s="1">
        <v>46210.040046296293</v>
      </c>
      <c r="B8288" t="s">
        <v>40</v>
      </c>
      <c r="C8288" t="s">
        <v>41</v>
      </c>
      <c r="D8288" s="1">
        <v>46210.042962962965</v>
      </c>
      <c r="E8288" t="s">
        <v>42</v>
      </c>
      <c r="F8288" t="s">
        <v>83</v>
      </c>
      <c r="G8288">
        <v>52</v>
      </c>
      <c r="H8288">
        <v>33023</v>
      </c>
      <c r="I8288" t="s">
        <v>43</v>
      </c>
      <c r="J8288">
        <v>81</v>
      </c>
      <c r="K8288">
        <v>106</v>
      </c>
      <c r="L8288">
        <v>98</v>
      </c>
      <c r="M8288">
        <v>630.79998779000005</v>
      </c>
      <c r="N8288" t="s">
        <v>87</v>
      </c>
      <c r="O8288" t="s">
        <v>86</v>
      </c>
      <c r="P8288">
        <v>131</v>
      </c>
      <c r="Q8288">
        <v>6</v>
      </c>
      <c r="R8288">
        <v>-45</v>
      </c>
      <c r="S8288">
        <v>1407</v>
      </c>
      <c r="T8288">
        <v>-40</v>
      </c>
      <c r="U8288">
        <v>44</v>
      </c>
      <c r="V8288">
        <v>445</v>
      </c>
      <c r="W8288">
        <v>26</v>
      </c>
      <c r="X8288">
        <v>26</v>
      </c>
      <c r="Y8288">
        <v>1</v>
      </c>
      <c r="Z8288">
        <v>8</v>
      </c>
      <c r="AA8288">
        <v>23</v>
      </c>
      <c r="AB8288">
        <v>2</v>
      </c>
      <c r="AC8288">
        <v>3</v>
      </c>
      <c r="AD8288">
        <v>3.2950000799999999</v>
      </c>
      <c r="AE8288">
        <v>1</v>
      </c>
      <c r="AF8288">
        <v>38</v>
      </c>
      <c r="AG8288">
        <v>3.2869999399999998</v>
      </c>
      <c r="AH8288">
        <v>4</v>
      </c>
      <c r="AI8288">
        <v>17</v>
      </c>
      <c r="AJ8288" t="s">
        <v>43</v>
      </c>
      <c r="AK8288" t="s">
        <v>43</v>
      </c>
      <c r="AL8288" t="s">
        <v>43</v>
      </c>
      <c r="AM8288" t="s">
        <v>43</v>
      </c>
      <c r="AN8288" t="s">
        <v>43</v>
      </c>
    </row>
    <row r="8289" spans="1:40" x14ac:dyDescent="0.3">
      <c r="A8289" s="1">
        <v>46210.039930555555</v>
      </c>
      <c r="B8289" t="s">
        <v>40</v>
      </c>
      <c r="C8289" t="s">
        <v>41</v>
      </c>
      <c r="D8289" s="1">
        <v>46210.042650462965</v>
      </c>
      <c r="E8289" t="s">
        <v>42</v>
      </c>
      <c r="F8289" t="s">
        <v>83</v>
      </c>
      <c r="G8289">
        <v>63</v>
      </c>
      <c r="H8289">
        <v>33022</v>
      </c>
      <c r="I8289" t="s">
        <v>4543</v>
      </c>
      <c r="J8289">
        <v>81</v>
      </c>
      <c r="K8289">
        <v>94</v>
      </c>
      <c r="L8289">
        <v>98</v>
      </c>
      <c r="M8289">
        <v>630.20001220999995</v>
      </c>
      <c r="N8289" t="s">
        <v>87</v>
      </c>
      <c r="O8289" t="s">
        <v>86</v>
      </c>
      <c r="P8289">
        <v>131</v>
      </c>
      <c r="Q8289">
        <v>6</v>
      </c>
      <c r="R8289">
        <v>62</v>
      </c>
      <c r="S8289">
        <v>1756</v>
      </c>
      <c r="T8289">
        <v>-40</v>
      </c>
      <c r="U8289">
        <v>43</v>
      </c>
      <c r="V8289">
        <v>320</v>
      </c>
      <c r="W8289">
        <v>26</v>
      </c>
      <c r="X8289">
        <v>26</v>
      </c>
      <c r="Y8289">
        <v>1</v>
      </c>
      <c r="Z8289">
        <v>8</v>
      </c>
      <c r="AA8289">
        <v>23</v>
      </c>
      <c r="AB8289">
        <v>2</v>
      </c>
      <c r="AC8289">
        <v>3</v>
      </c>
      <c r="AD8289">
        <v>3.2899999599999998</v>
      </c>
      <c r="AE8289">
        <v>1</v>
      </c>
      <c r="AF8289">
        <v>41</v>
      </c>
      <c r="AG8289">
        <v>3.27999997</v>
      </c>
      <c r="AH8289">
        <v>4</v>
      </c>
      <c r="AI8289">
        <v>17</v>
      </c>
      <c r="AJ8289">
        <v>1</v>
      </c>
      <c r="AK8289">
        <v>27</v>
      </c>
      <c r="AL8289">
        <v>38</v>
      </c>
      <c r="AM8289" t="s">
        <v>43</v>
      </c>
      <c r="AN8289" t="str">
        <f>HYPERLINK("https://www.google.com/maps?q=10.79105473,79.38813019","Open Location")</f>
        <v>Open Location</v>
      </c>
    </row>
    <row r="8290" spans="1:40" x14ac:dyDescent="0.3">
      <c r="A8290" s="1">
        <v>46210.039814814816</v>
      </c>
      <c r="B8290" t="s">
        <v>40</v>
      </c>
      <c r="C8290" t="s">
        <v>41</v>
      </c>
      <c r="D8290" s="1">
        <v>46210.042685185188</v>
      </c>
      <c r="E8290" t="s">
        <v>42</v>
      </c>
      <c r="F8290" t="s">
        <v>83</v>
      </c>
      <c r="G8290">
        <v>61</v>
      </c>
      <c r="H8290">
        <v>33022</v>
      </c>
      <c r="I8290" t="s">
        <v>4544</v>
      </c>
      <c r="J8290">
        <v>81</v>
      </c>
      <c r="K8290">
        <v>93</v>
      </c>
      <c r="L8290">
        <v>98</v>
      </c>
      <c r="M8290">
        <v>630.5</v>
      </c>
      <c r="N8290" t="s">
        <v>87</v>
      </c>
      <c r="O8290" t="s">
        <v>86</v>
      </c>
      <c r="P8290">
        <v>131</v>
      </c>
      <c r="Q8290">
        <v>6</v>
      </c>
      <c r="R8290">
        <v>49</v>
      </c>
      <c r="S8290">
        <v>1703</v>
      </c>
      <c r="T8290">
        <v>-40</v>
      </c>
      <c r="U8290">
        <v>43</v>
      </c>
      <c r="V8290">
        <v>300</v>
      </c>
      <c r="W8290">
        <v>26</v>
      </c>
      <c r="X8290">
        <v>26</v>
      </c>
      <c r="Y8290">
        <v>1</v>
      </c>
      <c r="Z8290">
        <v>8</v>
      </c>
      <c r="AA8290">
        <v>23</v>
      </c>
      <c r="AB8290">
        <v>2</v>
      </c>
      <c r="AC8290">
        <v>3</v>
      </c>
      <c r="AD8290">
        <v>3.2939999100000001</v>
      </c>
      <c r="AE8290">
        <v>1</v>
      </c>
      <c r="AF8290">
        <v>42</v>
      </c>
      <c r="AG8290">
        <v>3.28500009</v>
      </c>
      <c r="AH8290">
        <v>4</v>
      </c>
      <c r="AI8290">
        <v>17</v>
      </c>
      <c r="AJ8290">
        <v>1</v>
      </c>
      <c r="AK8290">
        <v>27</v>
      </c>
      <c r="AL8290">
        <v>38</v>
      </c>
      <c r="AM8290" t="s">
        <v>43</v>
      </c>
      <c r="AN8290" t="str">
        <f>HYPERLINK("https://www.google.com/maps?q=10.79005337,79.38650513","Open Location")</f>
        <v>Open Location</v>
      </c>
    </row>
    <row r="8291" spans="1:40" x14ac:dyDescent="0.3">
      <c r="A8291" s="1">
        <v>46210.039699074077</v>
      </c>
      <c r="B8291" t="s">
        <v>40</v>
      </c>
      <c r="C8291" t="s">
        <v>41</v>
      </c>
      <c r="D8291" s="1">
        <v>46210.042430555557</v>
      </c>
      <c r="E8291" t="s">
        <v>42</v>
      </c>
      <c r="F8291" t="s">
        <v>83</v>
      </c>
      <c r="G8291">
        <v>61</v>
      </c>
      <c r="H8291">
        <v>33022</v>
      </c>
      <c r="I8291" t="s">
        <v>4545</v>
      </c>
      <c r="J8291">
        <v>81</v>
      </c>
      <c r="K8291">
        <v>66</v>
      </c>
      <c r="L8291">
        <v>98</v>
      </c>
      <c r="M8291">
        <v>631.70001220999995</v>
      </c>
      <c r="N8291" t="s">
        <v>87</v>
      </c>
      <c r="O8291" t="s">
        <v>86</v>
      </c>
      <c r="P8291">
        <v>131</v>
      </c>
      <c r="Q8291">
        <v>6</v>
      </c>
      <c r="R8291">
        <v>38</v>
      </c>
      <c r="S8291">
        <v>1690</v>
      </c>
      <c r="T8291">
        <v>-40</v>
      </c>
      <c r="U8291">
        <v>43</v>
      </c>
      <c r="V8291">
        <v>222</v>
      </c>
      <c r="W8291">
        <v>26</v>
      </c>
      <c r="X8291">
        <v>26</v>
      </c>
      <c r="Y8291">
        <v>1</v>
      </c>
      <c r="Z8291">
        <v>8</v>
      </c>
      <c r="AA8291">
        <v>23</v>
      </c>
      <c r="AB8291">
        <v>2</v>
      </c>
      <c r="AC8291">
        <v>3</v>
      </c>
      <c r="AD8291">
        <v>3.2959999999999998</v>
      </c>
      <c r="AE8291">
        <v>5</v>
      </c>
      <c r="AF8291">
        <v>38</v>
      </c>
      <c r="AG8291">
        <v>3.28800011</v>
      </c>
      <c r="AH8291">
        <v>4</v>
      </c>
      <c r="AI8291">
        <v>17</v>
      </c>
      <c r="AJ8291">
        <v>1</v>
      </c>
      <c r="AK8291">
        <v>27</v>
      </c>
      <c r="AL8291">
        <v>38</v>
      </c>
      <c r="AM8291" t="s">
        <v>43</v>
      </c>
      <c r="AN8291" t="str">
        <f>HYPERLINK("https://www.google.com/maps?q=10.78909492,79.38489532","Open Location")</f>
        <v>Open Location</v>
      </c>
    </row>
    <row r="8292" spans="1:40" x14ac:dyDescent="0.3">
      <c r="A8292" s="1">
        <v>46210.039583333331</v>
      </c>
      <c r="B8292" t="s">
        <v>40</v>
      </c>
      <c r="C8292" t="s">
        <v>41</v>
      </c>
      <c r="D8292" s="1">
        <v>46210.042430555557</v>
      </c>
      <c r="E8292" t="s">
        <v>42</v>
      </c>
      <c r="F8292" t="s">
        <v>83</v>
      </c>
      <c r="G8292">
        <v>61</v>
      </c>
      <c r="H8292">
        <v>33022</v>
      </c>
      <c r="I8292" t="s">
        <v>4546</v>
      </c>
      <c r="J8292">
        <v>81</v>
      </c>
      <c r="K8292">
        <v>81</v>
      </c>
      <c r="L8292">
        <v>98</v>
      </c>
      <c r="M8292">
        <v>630.59997558999999</v>
      </c>
      <c r="N8292" t="s">
        <v>87</v>
      </c>
      <c r="O8292" t="s">
        <v>86</v>
      </c>
      <c r="P8292">
        <v>131</v>
      </c>
      <c r="Q8292">
        <v>6</v>
      </c>
      <c r="R8292">
        <v>57</v>
      </c>
      <c r="S8292">
        <v>1701</v>
      </c>
      <c r="T8292">
        <v>-40</v>
      </c>
      <c r="U8292">
        <v>44</v>
      </c>
      <c r="V8292">
        <v>280</v>
      </c>
      <c r="W8292">
        <v>26</v>
      </c>
      <c r="X8292">
        <v>26</v>
      </c>
      <c r="Y8292">
        <v>1</v>
      </c>
      <c r="Z8292">
        <v>8</v>
      </c>
      <c r="AA8292">
        <v>23</v>
      </c>
      <c r="AB8292">
        <v>2</v>
      </c>
      <c r="AC8292">
        <v>3</v>
      </c>
      <c r="AD8292">
        <v>3.2920000599999999</v>
      </c>
      <c r="AE8292">
        <v>5</v>
      </c>
      <c r="AF8292">
        <v>38</v>
      </c>
      <c r="AG8292">
        <v>3.2820000600000001</v>
      </c>
      <c r="AH8292">
        <v>4</v>
      </c>
      <c r="AI8292">
        <v>17</v>
      </c>
      <c r="AJ8292">
        <v>1</v>
      </c>
      <c r="AK8292">
        <v>27</v>
      </c>
      <c r="AL8292">
        <v>38</v>
      </c>
      <c r="AM8292" t="s">
        <v>43</v>
      </c>
      <c r="AN8292" t="str">
        <f>HYPERLINK("https://www.google.com/maps?q=10.78809357,79.38330841","Open Location")</f>
        <v>Open Location</v>
      </c>
    </row>
    <row r="8293" spans="1:40" x14ac:dyDescent="0.3">
      <c r="A8293" s="1">
        <v>46210.039467592593</v>
      </c>
      <c r="B8293" t="s">
        <v>40</v>
      </c>
      <c r="C8293" t="s">
        <v>41</v>
      </c>
      <c r="D8293" s="1">
        <v>46210.042430555557</v>
      </c>
      <c r="E8293" t="s">
        <v>42</v>
      </c>
      <c r="F8293" t="s">
        <v>83</v>
      </c>
      <c r="G8293">
        <v>59</v>
      </c>
      <c r="H8293">
        <v>33022</v>
      </c>
      <c r="I8293" t="s">
        <v>4547</v>
      </c>
      <c r="J8293">
        <v>82</v>
      </c>
      <c r="K8293">
        <v>122</v>
      </c>
      <c r="L8293">
        <v>98</v>
      </c>
      <c r="M8293">
        <v>629.09997558999999</v>
      </c>
      <c r="N8293" t="s">
        <v>87</v>
      </c>
      <c r="O8293" t="s">
        <v>86</v>
      </c>
      <c r="P8293">
        <v>131</v>
      </c>
      <c r="Q8293">
        <v>6</v>
      </c>
      <c r="R8293">
        <v>85</v>
      </c>
      <c r="S8293">
        <v>1654</v>
      </c>
      <c r="T8293">
        <v>-40</v>
      </c>
      <c r="U8293">
        <v>44</v>
      </c>
      <c r="V8293">
        <v>440</v>
      </c>
      <c r="W8293">
        <v>26</v>
      </c>
      <c r="X8293">
        <v>26</v>
      </c>
      <c r="Y8293">
        <v>1</v>
      </c>
      <c r="Z8293">
        <v>8</v>
      </c>
      <c r="AA8293">
        <v>23</v>
      </c>
      <c r="AB8293">
        <v>2</v>
      </c>
      <c r="AC8293">
        <v>3</v>
      </c>
      <c r="AD8293">
        <v>3.2869999399999998</v>
      </c>
      <c r="AE8293">
        <v>1</v>
      </c>
      <c r="AF8293">
        <v>41</v>
      </c>
      <c r="AG8293">
        <v>3.2760000200000001</v>
      </c>
      <c r="AH8293">
        <v>4</v>
      </c>
      <c r="AI8293">
        <v>17</v>
      </c>
      <c r="AJ8293">
        <v>1</v>
      </c>
      <c r="AK8293">
        <v>27</v>
      </c>
      <c r="AL8293">
        <v>38</v>
      </c>
      <c r="AM8293" t="s">
        <v>43</v>
      </c>
      <c r="AN8293" t="str">
        <f>HYPERLINK("https://www.google.com/maps?q=10.78718662,79.38175201","Open Location")</f>
        <v>Open Location</v>
      </c>
    </row>
    <row r="8294" spans="1:40" x14ac:dyDescent="0.3">
      <c r="A8294" s="1">
        <v>46210.039351851854</v>
      </c>
      <c r="B8294" t="s">
        <v>40</v>
      </c>
      <c r="C8294" t="s">
        <v>41</v>
      </c>
      <c r="D8294" s="1">
        <v>46210.042268518519</v>
      </c>
      <c r="E8294" t="s">
        <v>42</v>
      </c>
      <c r="F8294" t="s">
        <v>83</v>
      </c>
      <c r="G8294">
        <v>57</v>
      </c>
      <c r="H8294">
        <v>33022</v>
      </c>
      <c r="I8294" t="s">
        <v>43</v>
      </c>
      <c r="J8294">
        <v>82</v>
      </c>
      <c r="K8294">
        <v>43</v>
      </c>
      <c r="L8294">
        <v>98</v>
      </c>
      <c r="M8294">
        <v>632.70001220999995</v>
      </c>
      <c r="N8294" t="s">
        <v>87</v>
      </c>
      <c r="O8294" t="s">
        <v>86</v>
      </c>
      <c r="P8294">
        <v>131</v>
      </c>
      <c r="Q8294">
        <v>6</v>
      </c>
      <c r="R8294">
        <v>23</v>
      </c>
      <c r="S8294">
        <v>1564</v>
      </c>
      <c r="T8294">
        <v>-40</v>
      </c>
      <c r="U8294">
        <v>43</v>
      </c>
      <c r="V8294">
        <v>169</v>
      </c>
      <c r="W8294">
        <v>26</v>
      </c>
      <c r="X8294">
        <v>26</v>
      </c>
      <c r="Y8294">
        <v>1</v>
      </c>
      <c r="Z8294">
        <v>8</v>
      </c>
      <c r="AA8294">
        <v>23</v>
      </c>
      <c r="AB8294">
        <v>1</v>
      </c>
      <c r="AC8294">
        <v>3</v>
      </c>
      <c r="AD8294">
        <v>3.3050000700000002</v>
      </c>
      <c r="AE8294">
        <v>1</v>
      </c>
      <c r="AF8294">
        <v>25</v>
      </c>
      <c r="AG8294">
        <v>3.3010001199999999</v>
      </c>
      <c r="AH8294">
        <v>2</v>
      </c>
      <c r="AI8294">
        <v>46</v>
      </c>
      <c r="AJ8294">
        <v>1</v>
      </c>
      <c r="AK8294">
        <v>27</v>
      </c>
      <c r="AL8294">
        <v>38</v>
      </c>
      <c r="AM8294" t="s">
        <v>43</v>
      </c>
      <c r="AN8294" t="s">
        <v>43</v>
      </c>
    </row>
    <row r="8295" spans="1:40" x14ac:dyDescent="0.3">
      <c r="A8295" s="1">
        <v>46210.039236111108</v>
      </c>
      <c r="B8295" t="s">
        <v>40</v>
      </c>
      <c r="C8295" t="s">
        <v>41</v>
      </c>
      <c r="D8295" s="1">
        <v>46210.042256944442</v>
      </c>
      <c r="E8295" t="s">
        <v>42</v>
      </c>
      <c r="F8295" t="s">
        <v>83</v>
      </c>
      <c r="G8295">
        <v>55</v>
      </c>
      <c r="H8295">
        <v>33021</v>
      </c>
      <c r="I8295" t="s">
        <v>4548</v>
      </c>
      <c r="J8295">
        <v>82</v>
      </c>
      <c r="K8295">
        <v>128</v>
      </c>
      <c r="L8295">
        <v>98</v>
      </c>
      <c r="M8295">
        <v>629</v>
      </c>
      <c r="N8295" t="s">
        <v>87</v>
      </c>
      <c r="O8295" t="s">
        <v>86</v>
      </c>
      <c r="P8295">
        <v>131</v>
      </c>
      <c r="Q8295">
        <v>6</v>
      </c>
      <c r="R8295">
        <v>35</v>
      </c>
      <c r="S8295">
        <v>1556</v>
      </c>
      <c r="T8295">
        <v>-40</v>
      </c>
      <c r="U8295">
        <v>42</v>
      </c>
      <c r="V8295">
        <v>445</v>
      </c>
      <c r="W8295">
        <v>26</v>
      </c>
      <c r="X8295">
        <v>26</v>
      </c>
      <c r="Y8295">
        <v>1</v>
      </c>
      <c r="Z8295">
        <v>8</v>
      </c>
      <c r="AA8295">
        <v>23</v>
      </c>
      <c r="AB8295">
        <v>2</v>
      </c>
      <c r="AC8295">
        <v>3</v>
      </c>
      <c r="AD8295">
        <v>3.28800011</v>
      </c>
      <c r="AE8295">
        <v>1</v>
      </c>
      <c r="AF8295">
        <v>42</v>
      </c>
      <c r="AG8295">
        <v>3.27699995</v>
      </c>
      <c r="AH8295">
        <v>4</v>
      </c>
      <c r="AI8295">
        <v>17</v>
      </c>
      <c r="AJ8295">
        <v>1</v>
      </c>
      <c r="AK8295">
        <v>27</v>
      </c>
      <c r="AL8295">
        <v>38</v>
      </c>
      <c r="AM8295" t="s">
        <v>43</v>
      </c>
      <c r="AN8295" t="str">
        <f>HYPERLINK("https://www.google.com/maps?q=10.78628635,79.38027191","Open Location")</f>
        <v>Open Location</v>
      </c>
    </row>
    <row r="8296" spans="1:40" x14ac:dyDescent="0.3">
      <c r="A8296" s="1">
        <v>46210.039120370369</v>
      </c>
      <c r="B8296" t="s">
        <v>40</v>
      </c>
      <c r="C8296" t="s">
        <v>41</v>
      </c>
      <c r="D8296" s="1">
        <v>46210.042256944442</v>
      </c>
      <c r="E8296" t="s">
        <v>42</v>
      </c>
      <c r="F8296" t="s">
        <v>83</v>
      </c>
      <c r="G8296">
        <v>58</v>
      </c>
      <c r="H8296">
        <v>33021</v>
      </c>
      <c r="I8296" t="s">
        <v>4549</v>
      </c>
      <c r="J8296">
        <v>82</v>
      </c>
      <c r="K8296">
        <v>83</v>
      </c>
      <c r="L8296">
        <v>98</v>
      </c>
      <c r="M8296">
        <v>630.59997558999999</v>
      </c>
      <c r="N8296" t="s">
        <v>87</v>
      </c>
      <c r="O8296" t="s">
        <v>86</v>
      </c>
      <c r="P8296">
        <v>131</v>
      </c>
      <c r="Q8296">
        <v>6</v>
      </c>
      <c r="R8296">
        <v>40</v>
      </c>
      <c r="S8296">
        <v>1621</v>
      </c>
      <c r="T8296">
        <v>-40</v>
      </c>
      <c r="U8296">
        <v>43</v>
      </c>
      <c r="V8296">
        <v>300</v>
      </c>
      <c r="W8296">
        <v>26</v>
      </c>
      <c r="X8296">
        <v>26</v>
      </c>
      <c r="Y8296">
        <v>1</v>
      </c>
      <c r="Z8296">
        <v>8</v>
      </c>
      <c r="AA8296">
        <v>23</v>
      </c>
      <c r="AB8296">
        <v>2</v>
      </c>
      <c r="AC8296">
        <v>3</v>
      </c>
      <c r="AD8296">
        <v>3.2939999100000001</v>
      </c>
      <c r="AE8296">
        <v>1</v>
      </c>
      <c r="AF8296">
        <v>38</v>
      </c>
      <c r="AG8296">
        <v>3.28600001</v>
      </c>
      <c r="AH8296">
        <v>4</v>
      </c>
      <c r="AI8296">
        <v>17</v>
      </c>
      <c r="AJ8296">
        <v>1</v>
      </c>
      <c r="AK8296">
        <v>27</v>
      </c>
      <c r="AL8296">
        <v>38</v>
      </c>
      <c r="AM8296" t="s">
        <v>43</v>
      </c>
      <c r="AN8296" t="str">
        <f>HYPERLINK("https://www.google.com/maps?q=10.78538513,79.37876892","Open Location")</f>
        <v>Open Location</v>
      </c>
    </row>
    <row r="8297" spans="1:40" x14ac:dyDescent="0.3">
      <c r="A8297" s="1">
        <v>46210.039004629631</v>
      </c>
      <c r="B8297" t="s">
        <v>40</v>
      </c>
      <c r="C8297" t="s">
        <v>41</v>
      </c>
      <c r="D8297" s="1">
        <v>46210.041979166665</v>
      </c>
      <c r="E8297" t="s">
        <v>42</v>
      </c>
      <c r="F8297" t="s">
        <v>83</v>
      </c>
      <c r="G8297">
        <v>58</v>
      </c>
      <c r="H8297" t="s">
        <v>43</v>
      </c>
      <c r="I8297" t="s">
        <v>4550</v>
      </c>
      <c r="J8297">
        <v>82</v>
      </c>
      <c r="K8297">
        <v>-31</v>
      </c>
      <c r="L8297">
        <v>98</v>
      </c>
      <c r="M8297">
        <v>634.29998779000005</v>
      </c>
      <c r="N8297" t="s">
        <v>87</v>
      </c>
      <c r="O8297" t="s">
        <v>86</v>
      </c>
      <c r="P8297">
        <v>131</v>
      </c>
      <c r="Q8297">
        <v>6</v>
      </c>
      <c r="R8297">
        <v>43</v>
      </c>
      <c r="S8297">
        <v>1573</v>
      </c>
      <c r="T8297">
        <v>-40</v>
      </c>
      <c r="U8297">
        <v>44</v>
      </c>
      <c r="V8297">
        <v>-150</v>
      </c>
      <c r="W8297">
        <v>26</v>
      </c>
      <c r="X8297">
        <v>26</v>
      </c>
      <c r="Y8297">
        <v>1</v>
      </c>
      <c r="Z8297">
        <v>8</v>
      </c>
      <c r="AA8297">
        <v>23</v>
      </c>
      <c r="AB8297">
        <v>2</v>
      </c>
      <c r="AC8297">
        <v>3</v>
      </c>
      <c r="AD8297">
        <v>3.3199999299999998</v>
      </c>
      <c r="AE8297">
        <v>1</v>
      </c>
      <c r="AF8297">
        <v>26</v>
      </c>
      <c r="AG8297">
        <v>3.3169999099999998</v>
      </c>
      <c r="AH8297">
        <v>1</v>
      </c>
      <c r="AI8297">
        <v>14</v>
      </c>
      <c r="AJ8297">
        <v>1</v>
      </c>
      <c r="AK8297">
        <v>22</v>
      </c>
      <c r="AL8297">
        <v>38</v>
      </c>
      <c r="AM8297" t="s">
        <v>43</v>
      </c>
      <c r="AN8297" t="str">
        <f>HYPERLINK("https://www.google.com/maps?q=10.78440189,79.37713623","Open Location")</f>
        <v>Open Location</v>
      </c>
    </row>
    <row r="8298" spans="1:40" x14ac:dyDescent="0.3">
      <c r="A8298" s="1">
        <v>46210.038888888892</v>
      </c>
      <c r="B8298" t="s">
        <v>40</v>
      </c>
      <c r="C8298" t="s">
        <v>41</v>
      </c>
      <c r="D8298" s="1">
        <v>46210.041655092595</v>
      </c>
      <c r="E8298" t="s">
        <v>42</v>
      </c>
      <c r="F8298" t="s">
        <v>83</v>
      </c>
      <c r="G8298">
        <v>55</v>
      </c>
      <c r="H8298">
        <v>33021</v>
      </c>
      <c r="I8298" t="s">
        <v>4551</v>
      </c>
      <c r="J8298">
        <v>82</v>
      </c>
      <c r="K8298">
        <v>84</v>
      </c>
      <c r="L8298">
        <v>98</v>
      </c>
      <c r="M8298">
        <v>630.40002441000001</v>
      </c>
      <c r="N8298" t="s">
        <v>87</v>
      </c>
      <c r="O8298" t="s">
        <v>86</v>
      </c>
      <c r="P8298">
        <v>131</v>
      </c>
      <c r="Q8298">
        <v>6</v>
      </c>
      <c r="R8298">
        <v>58</v>
      </c>
      <c r="S8298">
        <v>1550</v>
      </c>
      <c r="T8298">
        <v>-40</v>
      </c>
      <c r="U8298">
        <v>44</v>
      </c>
      <c r="V8298">
        <v>300</v>
      </c>
      <c r="W8298">
        <v>26</v>
      </c>
      <c r="X8298">
        <v>26</v>
      </c>
      <c r="Y8298">
        <v>1</v>
      </c>
      <c r="Z8298">
        <v>8</v>
      </c>
      <c r="AA8298">
        <v>23</v>
      </c>
      <c r="AB8298">
        <v>2</v>
      </c>
      <c r="AC8298">
        <v>3</v>
      </c>
      <c r="AD8298">
        <v>3.2939999100000001</v>
      </c>
      <c r="AE8298">
        <v>1</v>
      </c>
      <c r="AF8298">
        <v>38</v>
      </c>
      <c r="AG8298">
        <v>3.28500009</v>
      </c>
      <c r="AH8298">
        <v>4</v>
      </c>
      <c r="AI8298">
        <v>17</v>
      </c>
      <c r="AJ8298">
        <v>1</v>
      </c>
      <c r="AK8298">
        <v>27</v>
      </c>
      <c r="AL8298">
        <v>38</v>
      </c>
      <c r="AM8298" t="s">
        <v>43</v>
      </c>
      <c r="AN8298" t="str">
        <f>HYPERLINK("https://www.google.com/maps?q=10.78351402,79.37567902","Open Location")</f>
        <v>Open Location</v>
      </c>
    </row>
    <row r="8299" spans="1:40" x14ac:dyDescent="0.3">
      <c r="A8299" s="1">
        <v>46210.038773148146</v>
      </c>
      <c r="B8299" t="s">
        <v>40</v>
      </c>
      <c r="C8299" t="s">
        <v>41</v>
      </c>
      <c r="D8299" s="1">
        <v>46210.041516203702</v>
      </c>
      <c r="E8299" t="s">
        <v>42</v>
      </c>
      <c r="F8299" t="s">
        <v>83</v>
      </c>
      <c r="G8299">
        <v>52</v>
      </c>
      <c r="H8299">
        <v>33021</v>
      </c>
      <c r="I8299" t="s">
        <v>4552</v>
      </c>
      <c r="J8299">
        <v>82</v>
      </c>
      <c r="K8299">
        <v>95</v>
      </c>
      <c r="L8299">
        <v>98</v>
      </c>
      <c r="M8299">
        <v>630.90002441000001</v>
      </c>
      <c r="N8299" t="s">
        <v>87</v>
      </c>
      <c r="O8299" t="s">
        <v>86</v>
      </c>
      <c r="P8299">
        <v>131</v>
      </c>
      <c r="Q8299">
        <v>6</v>
      </c>
      <c r="R8299">
        <v>66</v>
      </c>
      <c r="S8299">
        <v>1451</v>
      </c>
      <c r="T8299">
        <v>-40</v>
      </c>
      <c r="U8299">
        <v>43</v>
      </c>
      <c r="V8299">
        <v>350</v>
      </c>
      <c r="W8299">
        <v>26</v>
      </c>
      <c r="X8299">
        <v>26</v>
      </c>
      <c r="Y8299">
        <v>1</v>
      </c>
      <c r="Z8299">
        <v>8</v>
      </c>
      <c r="AA8299">
        <v>23</v>
      </c>
      <c r="AB8299">
        <v>2</v>
      </c>
      <c r="AC8299">
        <v>3</v>
      </c>
      <c r="AD8299">
        <v>3.2920000599999999</v>
      </c>
      <c r="AE8299">
        <v>5</v>
      </c>
      <c r="AF8299">
        <v>38</v>
      </c>
      <c r="AG8299">
        <v>3.2820000600000001</v>
      </c>
      <c r="AH8299">
        <v>4</v>
      </c>
      <c r="AI8299">
        <v>17</v>
      </c>
      <c r="AJ8299">
        <v>1</v>
      </c>
      <c r="AK8299">
        <v>27</v>
      </c>
      <c r="AL8299">
        <v>38</v>
      </c>
      <c r="AM8299" t="s">
        <v>43</v>
      </c>
      <c r="AN8299" t="str">
        <f>HYPERLINK("https://www.google.com/maps?q=10.78269196,79.37432098","Open Location")</f>
        <v>Open Location</v>
      </c>
    </row>
    <row r="8300" spans="1:40" x14ac:dyDescent="0.3">
      <c r="A8300" s="1">
        <v>46210.038657407407</v>
      </c>
      <c r="B8300" t="s">
        <v>40</v>
      </c>
      <c r="C8300" t="s">
        <v>41</v>
      </c>
      <c r="D8300" s="1">
        <v>46210.041504629633</v>
      </c>
      <c r="E8300" t="s">
        <v>42</v>
      </c>
      <c r="F8300" t="s">
        <v>83</v>
      </c>
      <c r="G8300">
        <v>51</v>
      </c>
      <c r="H8300" t="s">
        <v>43</v>
      </c>
      <c r="I8300" t="s">
        <v>43</v>
      </c>
      <c r="J8300">
        <v>82</v>
      </c>
      <c r="K8300">
        <v>55</v>
      </c>
      <c r="L8300">
        <v>98</v>
      </c>
      <c r="M8300">
        <v>632.70001220999995</v>
      </c>
      <c r="N8300" t="s">
        <v>87</v>
      </c>
      <c r="O8300" t="s">
        <v>86</v>
      </c>
      <c r="P8300">
        <v>131</v>
      </c>
      <c r="Q8300">
        <v>6</v>
      </c>
      <c r="R8300">
        <v>20</v>
      </c>
      <c r="S8300">
        <v>1406</v>
      </c>
      <c r="T8300">
        <v>-40</v>
      </c>
      <c r="U8300">
        <v>43</v>
      </c>
      <c r="V8300">
        <v>238</v>
      </c>
      <c r="W8300">
        <v>26</v>
      </c>
      <c r="X8300">
        <v>26</v>
      </c>
      <c r="Y8300">
        <v>1</v>
      </c>
      <c r="Z8300">
        <v>8</v>
      </c>
      <c r="AA8300">
        <v>23</v>
      </c>
      <c r="AB8300">
        <v>2</v>
      </c>
      <c r="AC8300">
        <v>3</v>
      </c>
      <c r="AD8300">
        <v>3.3039999</v>
      </c>
      <c r="AE8300">
        <v>1</v>
      </c>
      <c r="AF8300">
        <v>37</v>
      </c>
      <c r="AG8300">
        <v>3.2990000199999998</v>
      </c>
      <c r="AH8300">
        <v>4</v>
      </c>
      <c r="AI8300">
        <v>17</v>
      </c>
      <c r="AJ8300">
        <v>1</v>
      </c>
      <c r="AK8300">
        <v>28</v>
      </c>
      <c r="AL8300">
        <v>38</v>
      </c>
      <c r="AM8300" t="s">
        <v>43</v>
      </c>
      <c r="AN8300" t="s">
        <v>43</v>
      </c>
    </row>
    <row r="8301" spans="1:40" x14ac:dyDescent="0.3">
      <c r="A8301" s="1">
        <v>46210.038541666669</v>
      </c>
      <c r="B8301" t="s">
        <v>40</v>
      </c>
      <c r="C8301" t="s">
        <v>41</v>
      </c>
      <c r="D8301" s="1">
        <v>46210.04146990741</v>
      </c>
      <c r="E8301" t="s">
        <v>42</v>
      </c>
      <c r="F8301" t="s">
        <v>83</v>
      </c>
      <c r="G8301">
        <v>51</v>
      </c>
      <c r="H8301">
        <v>33021</v>
      </c>
      <c r="I8301" t="s">
        <v>4553</v>
      </c>
      <c r="J8301">
        <v>82</v>
      </c>
      <c r="K8301">
        <v>80</v>
      </c>
      <c r="L8301">
        <v>98</v>
      </c>
      <c r="M8301">
        <v>632.70001220999995</v>
      </c>
      <c r="N8301" t="s">
        <v>87</v>
      </c>
      <c r="O8301" t="s">
        <v>86</v>
      </c>
      <c r="P8301">
        <v>131</v>
      </c>
      <c r="Q8301">
        <v>6</v>
      </c>
      <c r="R8301">
        <v>22</v>
      </c>
      <c r="S8301">
        <v>1414</v>
      </c>
      <c r="T8301">
        <v>-40</v>
      </c>
      <c r="U8301">
        <v>43</v>
      </c>
      <c r="V8301">
        <v>340</v>
      </c>
      <c r="W8301">
        <v>26</v>
      </c>
      <c r="X8301">
        <v>26</v>
      </c>
      <c r="Y8301">
        <v>1</v>
      </c>
      <c r="Z8301">
        <v>8</v>
      </c>
      <c r="AA8301">
        <v>23</v>
      </c>
      <c r="AB8301">
        <v>2</v>
      </c>
      <c r="AC8301">
        <v>3</v>
      </c>
      <c r="AD8301">
        <v>3.2969999300000001</v>
      </c>
      <c r="AE8301">
        <v>1</v>
      </c>
      <c r="AF8301">
        <v>44</v>
      </c>
      <c r="AG8301">
        <v>3.28900003</v>
      </c>
      <c r="AH8301">
        <v>4</v>
      </c>
      <c r="AI8301">
        <v>17</v>
      </c>
      <c r="AJ8301">
        <v>1</v>
      </c>
      <c r="AK8301">
        <v>27</v>
      </c>
      <c r="AL8301">
        <v>38</v>
      </c>
      <c r="AM8301" t="s">
        <v>43</v>
      </c>
      <c r="AN8301" t="str">
        <f>HYPERLINK("https://www.google.com/maps?q=10.78188419,79.37298584","Open Location")</f>
        <v>Open Location</v>
      </c>
    </row>
    <row r="8302" spans="1:40" x14ac:dyDescent="0.3">
      <c r="A8302" s="1">
        <v>46210.038425925923</v>
      </c>
      <c r="B8302" t="s">
        <v>40</v>
      </c>
      <c r="C8302" t="s">
        <v>41</v>
      </c>
      <c r="D8302" s="1">
        <v>46210.041273148148</v>
      </c>
      <c r="E8302" t="s">
        <v>42</v>
      </c>
      <c r="F8302" t="s">
        <v>83</v>
      </c>
      <c r="G8302">
        <v>54</v>
      </c>
      <c r="H8302">
        <v>33020</v>
      </c>
      <c r="I8302" t="s">
        <v>4554</v>
      </c>
      <c r="J8302">
        <v>82</v>
      </c>
      <c r="K8302">
        <v>58</v>
      </c>
      <c r="L8302">
        <v>98</v>
      </c>
      <c r="M8302">
        <v>632.5</v>
      </c>
      <c r="N8302" t="s">
        <v>87</v>
      </c>
      <c r="O8302" t="s">
        <v>86</v>
      </c>
      <c r="P8302">
        <v>131</v>
      </c>
      <c r="Q8302">
        <v>6</v>
      </c>
      <c r="R8302">
        <v>40</v>
      </c>
      <c r="S8302">
        <v>1503</v>
      </c>
      <c r="T8302">
        <v>-40</v>
      </c>
      <c r="U8302">
        <v>43</v>
      </c>
      <c r="V8302">
        <v>220</v>
      </c>
      <c r="W8302">
        <v>26</v>
      </c>
      <c r="X8302">
        <v>26</v>
      </c>
      <c r="Y8302">
        <v>1</v>
      </c>
      <c r="Z8302">
        <v>8</v>
      </c>
      <c r="AA8302">
        <v>23</v>
      </c>
      <c r="AB8302">
        <v>2</v>
      </c>
      <c r="AC8302">
        <v>3</v>
      </c>
      <c r="AD8302">
        <v>3.2969999300000001</v>
      </c>
      <c r="AE8302">
        <v>1</v>
      </c>
      <c r="AF8302">
        <v>38</v>
      </c>
      <c r="AG8302">
        <v>3.28900003</v>
      </c>
      <c r="AH8302">
        <v>4</v>
      </c>
      <c r="AI8302">
        <v>17</v>
      </c>
      <c r="AJ8302">
        <v>1</v>
      </c>
      <c r="AK8302">
        <v>27</v>
      </c>
      <c r="AL8302">
        <v>38</v>
      </c>
      <c r="AM8302" t="s">
        <v>43</v>
      </c>
      <c r="AN8302" t="str">
        <f>HYPERLINK("https://www.google.com/maps?q=10.78105545,79.37158966","Open Location")</f>
        <v>Open Location</v>
      </c>
    </row>
    <row r="8303" spans="1:40" x14ac:dyDescent="0.3">
      <c r="A8303" s="1">
        <v>46210.038310185184</v>
      </c>
      <c r="B8303" t="s">
        <v>40</v>
      </c>
      <c r="C8303" t="s">
        <v>41</v>
      </c>
      <c r="D8303" s="1">
        <v>46210.041446759256</v>
      </c>
      <c r="E8303" t="s">
        <v>42</v>
      </c>
      <c r="F8303" t="s">
        <v>83</v>
      </c>
      <c r="G8303">
        <v>53</v>
      </c>
      <c r="H8303">
        <v>33020</v>
      </c>
      <c r="I8303" t="s">
        <v>4555</v>
      </c>
      <c r="J8303">
        <v>82</v>
      </c>
      <c r="K8303">
        <v>48</v>
      </c>
      <c r="L8303">
        <v>98</v>
      </c>
      <c r="M8303">
        <v>632.09997558999999</v>
      </c>
      <c r="N8303" t="s">
        <v>87</v>
      </c>
      <c r="O8303" t="s">
        <v>86</v>
      </c>
      <c r="P8303">
        <v>131</v>
      </c>
      <c r="Q8303">
        <v>6</v>
      </c>
      <c r="R8303">
        <v>54</v>
      </c>
      <c r="S8303">
        <v>1479</v>
      </c>
      <c r="T8303">
        <v>-40</v>
      </c>
      <c r="U8303">
        <v>44</v>
      </c>
      <c r="V8303">
        <v>100</v>
      </c>
      <c r="W8303">
        <v>26</v>
      </c>
      <c r="X8303">
        <v>26</v>
      </c>
      <c r="Y8303">
        <v>1</v>
      </c>
      <c r="Z8303">
        <v>8</v>
      </c>
      <c r="AA8303">
        <v>23</v>
      </c>
      <c r="AB8303">
        <v>2</v>
      </c>
      <c r="AC8303">
        <v>3</v>
      </c>
      <c r="AD8303">
        <v>3.2969999300000001</v>
      </c>
      <c r="AE8303">
        <v>1</v>
      </c>
      <c r="AF8303">
        <v>38</v>
      </c>
      <c r="AG8303">
        <v>3.2899999599999998</v>
      </c>
      <c r="AH8303">
        <v>4</v>
      </c>
      <c r="AI8303">
        <v>17</v>
      </c>
      <c r="AJ8303">
        <v>1</v>
      </c>
      <c r="AK8303">
        <v>27</v>
      </c>
      <c r="AL8303">
        <v>38</v>
      </c>
      <c r="AM8303" t="s">
        <v>43</v>
      </c>
      <c r="AN8303" t="str">
        <f>HYPERLINK("https://www.google.com/maps?q=10.78020382,79.37019348","Open Location")</f>
        <v>Open Location</v>
      </c>
    </row>
    <row r="8304" spans="1:40" x14ac:dyDescent="0.3">
      <c r="A8304" s="1">
        <v>46210.038194444445</v>
      </c>
      <c r="B8304" t="s">
        <v>40</v>
      </c>
      <c r="C8304" t="s">
        <v>41</v>
      </c>
      <c r="D8304" s="1">
        <v>46210.041041666664</v>
      </c>
      <c r="E8304" t="s">
        <v>42</v>
      </c>
      <c r="F8304" t="s">
        <v>83</v>
      </c>
      <c r="G8304">
        <v>50</v>
      </c>
      <c r="H8304">
        <v>33020</v>
      </c>
      <c r="I8304" t="s">
        <v>4556</v>
      </c>
      <c r="J8304">
        <v>82</v>
      </c>
      <c r="K8304">
        <v>90</v>
      </c>
      <c r="L8304">
        <v>98</v>
      </c>
      <c r="M8304">
        <v>630.5</v>
      </c>
      <c r="N8304" t="s">
        <v>87</v>
      </c>
      <c r="O8304" t="s">
        <v>86</v>
      </c>
      <c r="P8304">
        <v>131</v>
      </c>
      <c r="Q8304">
        <v>6</v>
      </c>
      <c r="R8304">
        <v>50</v>
      </c>
      <c r="S8304">
        <v>1419</v>
      </c>
      <c r="T8304">
        <v>-40</v>
      </c>
      <c r="U8304">
        <v>44</v>
      </c>
      <c r="V8304">
        <v>376</v>
      </c>
      <c r="W8304">
        <v>26</v>
      </c>
      <c r="X8304">
        <v>26</v>
      </c>
      <c r="Y8304">
        <v>1</v>
      </c>
      <c r="Z8304">
        <v>8</v>
      </c>
      <c r="AA8304">
        <v>23</v>
      </c>
      <c r="AB8304">
        <v>2</v>
      </c>
      <c r="AC8304">
        <v>3</v>
      </c>
      <c r="AD8304">
        <v>3.2929999799999998</v>
      </c>
      <c r="AE8304">
        <v>1</v>
      </c>
      <c r="AF8304">
        <v>38</v>
      </c>
      <c r="AG8304">
        <v>3.2839999199999999</v>
      </c>
      <c r="AH8304">
        <v>4</v>
      </c>
      <c r="AI8304">
        <v>17</v>
      </c>
      <c r="AJ8304">
        <v>1</v>
      </c>
      <c r="AK8304">
        <v>27</v>
      </c>
      <c r="AL8304">
        <v>38</v>
      </c>
      <c r="AM8304" t="s">
        <v>43</v>
      </c>
      <c r="AN8304" t="str">
        <f>HYPERLINK("https://www.google.com/maps?q=10.77958107,79.36876678","Open Location")</f>
        <v>Open Location</v>
      </c>
    </row>
    <row r="8305" spans="1:40" x14ac:dyDescent="0.3">
      <c r="A8305" s="1">
        <v>46210.038078703707</v>
      </c>
      <c r="B8305" t="s">
        <v>40</v>
      </c>
      <c r="C8305" t="s">
        <v>41</v>
      </c>
      <c r="D8305" s="1">
        <v>46210.041041666664</v>
      </c>
      <c r="E8305" t="s">
        <v>42</v>
      </c>
      <c r="F8305" t="s">
        <v>83</v>
      </c>
      <c r="G8305">
        <v>47</v>
      </c>
      <c r="H8305">
        <v>33020</v>
      </c>
      <c r="I8305" t="s">
        <v>43</v>
      </c>
      <c r="J8305">
        <v>82</v>
      </c>
      <c r="K8305">
        <v>112</v>
      </c>
      <c r="L8305">
        <v>98</v>
      </c>
      <c r="M8305">
        <v>629.70001220999995</v>
      </c>
      <c r="N8305" t="s">
        <v>87</v>
      </c>
      <c r="O8305" t="s">
        <v>86</v>
      </c>
      <c r="P8305">
        <v>131</v>
      </c>
      <c r="Q8305">
        <v>6</v>
      </c>
      <c r="R8305">
        <v>71</v>
      </c>
      <c r="S8305">
        <v>1346</v>
      </c>
      <c r="T8305">
        <v>-40</v>
      </c>
      <c r="U8305">
        <v>44</v>
      </c>
      <c r="V8305">
        <v>460</v>
      </c>
      <c r="W8305">
        <v>26</v>
      </c>
      <c r="X8305">
        <v>26</v>
      </c>
      <c r="Y8305">
        <v>1</v>
      </c>
      <c r="Z8305">
        <v>8</v>
      </c>
      <c r="AA8305">
        <v>23</v>
      </c>
      <c r="AB8305">
        <v>2</v>
      </c>
      <c r="AC8305">
        <v>3</v>
      </c>
      <c r="AD8305">
        <v>3.2899999599999998</v>
      </c>
      <c r="AE8305">
        <v>1</v>
      </c>
      <c r="AF8305">
        <v>38</v>
      </c>
      <c r="AG8305">
        <v>3.2790000400000001</v>
      </c>
      <c r="AH8305">
        <v>4</v>
      </c>
      <c r="AI8305">
        <v>17</v>
      </c>
      <c r="AJ8305">
        <v>1</v>
      </c>
      <c r="AK8305">
        <v>27</v>
      </c>
      <c r="AL8305">
        <v>38</v>
      </c>
      <c r="AM8305" t="s">
        <v>43</v>
      </c>
      <c r="AN8305" t="s">
        <v>43</v>
      </c>
    </row>
    <row r="8306" spans="1:40" x14ac:dyDescent="0.3">
      <c r="A8306" s="1">
        <v>46210.037962962961</v>
      </c>
      <c r="B8306" t="s">
        <v>40</v>
      </c>
      <c r="C8306" t="s">
        <v>41</v>
      </c>
      <c r="D8306" s="1">
        <v>46210.040775462963</v>
      </c>
      <c r="E8306" t="s">
        <v>42</v>
      </c>
      <c r="F8306" t="s">
        <v>83</v>
      </c>
      <c r="G8306">
        <v>45</v>
      </c>
      <c r="H8306" t="s">
        <v>43</v>
      </c>
      <c r="I8306" t="s">
        <v>4557</v>
      </c>
      <c r="J8306">
        <v>82</v>
      </c>
      <c r="K8306">
        <v>81</v>
      </c>
      <c r="L8306">
        <v>98</v>
      </c>
      <c r="M8306">
        <v>631.90002441000001</v>
      </c>
      <c r="N8306" t="s">
        <v>87</v>
      </c>
      <c r="O8306" t="s">
        <v>86</v>
      </c>
      <c r="P8306">
        <v>131</v>
      </c>
      <c r="Q8306">
        <v>6</v>
      </c>
      <c r="R8306">
        <v>53</v>
      </c>
      <c r="S8306">
        <v>1286</v>
      </c>
      <c r="T8306">
        <v>-40</v>
      </c>
      <c r="U8306">
        <v>46</v>
      </c>
      <c r="V8306">
        <v>300</v>
      </c>
      <c r="W8306">
        <v>26</v>
      </c>
      <c r="X8306">
        <v>26</v>
      </c>
      <c r="Y8306">
        <v>1</v>
      </c>
      <c r="Z8306">
        <v>8</v>
      </c>
      <c r="AA8306">
        <v>23</v>
      </c>
      <c r="AB8306">
        <v>2</v>
      </c>
      <c r="AC8306">
        <v>3</v>
      </c>
      <c r="AD8306">
        <v>3.2939999100000001</v>
      </c>
      <c r="AE8306">
        <v>1</v>
      </c>
      <c r="AF8306">
        <v>44</v>
      </c>
      <c r="AG8306">
        <v>3.2780001200000002</v>
      </c>
      <c r="AH8306">
        <v>4</v>
      </c>
      <c r="AI8306">
        <v>17</v>
      </c>
      <c r="AJ8306" t="s">
        <v>43</v>
      </c>
      <c r="AK8306" t="s">
        <v>43</v>
      </c>
      <c r="AL8306" t="s">
        <v>43</v>
      </c>
      <c r="AM8306" t="s">
        <v>43</v>
      </c>
      <c r="AN8306" t="str">
        <f>HYPERLINK("https://www.google.com/maps?q=10.77950478,79.3673172","Open Location")</f>
        <v>Open Location</v>
      </c>
    </row>
    <row r="8307" spans="1:40" x14ac:dyDescent="0.3">
      <c r="A8307" s="1">
        <v>46210.037847222222</v>
      </c>
      <c r="B8307" t="s">
        <v>40</v>
      </c>
      <c r="C8307" t="s">
        <v>41</v>
      </c>
      <c r="D8307" s="1">
        <v>46210.040694444448</v>
      </c>
      <c r="E8307" t="s">
        <v>42</v>
      </c>
      <c r="F8307" t="s">
        <v>83</v>
      </c>
      <c r="G8307">
        <v>38</v>
      </c>
      <c r="H8307">
        <v>33020</v>
      </c>
      <c r="I8307" t="s">
        <v>4558</v>
      </c>
      <c r="J8307">
        <v>82</v>
      </c>
      <c r="K8307">
        <v>73</v>
      </c>
      <c r="L8307">
        <v>98</v>
      </c>
      <c r="M8307">
        <v>629.5</v>
      </c>
      <c r="N8307" t="s">
        <v>87</v>
      </c>
      <c r="O8307" t="s">
        <v>86</v>
      </c>
      <c r="P8307">
        <v>131</v>
      </c>
      <c r="Q8307">
        <v>6</v>
      </c>
      <c r="R8307">
        <v>-77</v>
      </c>
      <c r="S8307">
        <v>1014</v>
      </c>
      <c r="T8307">
        <v>-40</v>
      </c>
      <c r="U8307">
        <v>44</v>
      </c>
      <c r="V8307">
        <v>299</v>
      </c>
      <c r="W8307">
        <v>26</v>
      </c>
      <c r="X8307">
        <v>26</v>
      </c>
      <c r="Y8307">
        <v>1</v>
      </c>
      <c r="Z8307">
        <v>8</v>
      </c>
      <c r="AA8307">
        <v>23</v>
      </c>
      <c r="AB8307">
        <v>2</v>
      </c>
      <c r="AC8307">
        <v>3</v>
      </c>
      <c r="AD8307">
        <v>3.31599998</v>
      </c>
      <c r="AE8307">
        <v>1</v>
      </c>
      <c r="AF8307">
        <v>29</v>
      </c>
      <c r="AG8307">
        <v>3.31299996</v>
      </c>
      <c r="AH8307">
        <v>3</v>
      </c>
      <c r="AI8307">
        <v>1</v>
      </c>
      <c r="AJ8307">
        <v>1</v>
      </c>
      <c r="AK8307">
        <v>27</v>
      </c>
      <c r="AL8307">
        <v>38</v>
      </c>
      <c r="AM8307" t="s">
        <v>43</v>
      </c>
      <c r="AN8307" t="str">
        <f>HYPERLINK("https://www.google.com/maps?q=10.77992439,79.3659668","Open Location")</f>
        <v>Open Location</v>
      </c>
    </row>
    <row r="8308" spans="1:40" x14ac:dyDescent="0.3">
      <c r="A8308" s="1">
        <v>46210.037731481483</v>
      </c>
      <c r="B8308" t="s">
        <v>40</v>
      </c>
      <c r="C8308" t="s">
        <v>41</v>
      </c>
      <c r="D8308" s="1">
        <v>46210.040555555555</v>
      </c>
      <c r="E8308" t="s">
        <v>42</v>
      </c>
      <c r="F8308" t="s">
        <v>83</v>
      </c>
      <c r="G8308">
        <v>54</v>
      </c>
      <c r="H8308">
        <v>33020</v>
      </c>
      <c r="I8308" t="s">
        <v>4559</v>
      </c>
      <c r="J8308">
        <v>82</v>
      </c>
      <c r="K8308">
        <v>40</v>
      </c>
      <c r="L8308">
        <v>98</v>
      </c>
      <c r="M8308">
        <v>633.09997558999999</v>
      </c>
      <c r="N8308" t="s">
        <v>87</v>
      </c>
      <c r="O8308" t="s">
        <v>86</v>
      </c>
      <c r="P8308">
        <v>131</v>
      </c>
      <c r="Q8308">
        <v>6</v>
      </c>
      <c r="R8308">
        <v>31</v>
      </c>
      <c r="S8308">
        <v>1491</v>
      </c>
      <c r="T8308">
        <v>-40</v>
      </c>
      <c r="U8308">
        <v>43</v>
      </c>
      <c r="V8308">
        <v>160</v>
      </c>
      <c r="W8308">
        <v>26</v>
      </c>
      <c r="X8308">
        <v>26</v>
      </c>
      <c r="Y8308">
        <v>1</v>
      </c>
      <c r="Z8308">
        <v>8</v>
      </c>
      <c r="AA8308">
        <v>23</v>
      </c>
      <c r="AB8308">
        <v>2</v>
      </c>
      <c r="AC8308">
        <v>3</v>
      </c>
      <c r="AD8308">
        <v>3.3029999700000001</v>
      </c>
      <c r="AE8308">
        <v>1</v>
      </c>
      <c r="AF8308">
        <v>36</v>
      </c>
      <c r="AG8308">
        <v>3.2980000999999999</v>
      </c>
      <c r="AH8308">
        <v>4</v>
      </c>
      <c r="AI8308">
        <v>17</v>
      </c>
      <c r="AJ8308">
        <v>1</v>
      </c>
      <c r="AK8308">
        <v>27</v>
      </c>
      <c r="AL8308">
        <v>38</v>
      </c>
      <c r="AM8308" t="s">
        <v>43</v>
      </c>
      <c r="AN8308" t="str">
        <f>HYPERLINK("https://www.google.com/maps?q=10.78065205,79.36463165","Open Location")</f>
        <v>Open Location</v>
      </c>
    </row>
    <row r="8309" spans="1:40" x14ac:dyDescent="0.3">
      <c r="A8309" s="1">
        <v>46210.037615740737</v>
      </c>
      <c r="B8309" t="s">
        <v>40</v>
      </c>
      <c r="C8309" t="s">
        <v>41</v>
      </c>
      <c r="D8309" s="1">
        <v>46210.040196759262</v>
      </c>
      <c r="E8309" t="s">
        <v>42</v>
      </c>
      <c r="F8309" t="s">
        <v>83</v>
      </c>
      <c r="G8309">
        <v>52</v>
      </c>
      <c r="H8309">
        <v>33019</v>
      </c>
      <c r="I8309" t="s">
        <v>4560</v>
      </c>
      <c r="J8309">
        <v>82</v>
      </c>
      <c r="K8309">
        <v>87</v>
      </c>
      <c r="L8309">
        <v>98</v>
      </c>
      <c r="M8309">
        <v>631.5</v>
      </c>
      <c r="N8309" t="s">
        <v>87</v>
      </c>
      <c r="O8309" t="s">
        <v>86</v>
      </c>
      <c r="P8309">
        <v>131</v>
      </c>
      <c r="Q8309">
        <v>6</v>
      </c>
      <c r="R8309">
        <v>39</v>
      </c>
      <c r="S8309">
        <v>1475</v>
      </c>
      <c r="T8309">
        <v>-40</v>
      </c>
      <c r="U8309">
        <v>43</v>
      </c>
      <c r="V8309">
        <v>340</v>
      </c>
      <c r="W8309">
        <v>26</v>
      </c>
      <c r="X8309">
        <v>26</v>
      </c>
      <c r="Y8309">
        <v>1</v>
      </c>
      <c r="Z8309">
        <v>8</v>
      </c>
      <c r="AA8309">
        <v>23</v>
      </c>
      <c r="AB8309">
        <v>2</v>
      </c>
      <c r="AC8309">
        <v>3</v>
      </c>
      <c r="AD8309">
        <v>3.2959999999999998</v>
      </c>
      <c r="AE8309">
        <v>1</v>
      </c>
      <c r="AF8309">
        <v>38</v>
      </c>
      <c r="AG8309">
        <v>3.28800011</v>
      </c>
      <c r="AH8309">
        <v>4</v>
      </c>
      <c r="AI8309">
        <v>17</v>
      </c>
      <c r="AJ8309">
        <v>1</v>
      </c>
      <c r="AK8309">
        <v>27</v>
      </c>
      <c r="AL8309">
        <v>38</v>
      </c>
      <c r="AM8309" t="s">
        <v>43</v>
      </c>
      <c r="AN8309" t="str">
        <f>HYPERLINK("https://www.google.com/maps?q=10.78143501,79.36319733","Open Location")</f>
        <v>Open Location</v>
      </c>
    </row>
    <row r="8310" spans="1:40" x14ac:dyDescent="0.3">
      <c r="A8310" s="1">
        <v>46210.037499999999</v>
      </c>
      <c r="B8310" t="s">
        <v>40</v>
      </c>
      <c r="C8310" t="s">
        <v>41</v>
      </c>
      <c r="D8310" s="1">
        <v>46210.040347222224</v>
      </c>
      <c r="E8310" t="s">
        <v>42</v>
      </c>
      <c r="F8310" t="s">
        <v>83</v>
      </c>
      <c r="G8310">
        <v>51</v>
      </c>
      <c r="H8310">
        <v>33019</v>
      </c>
      <c r="I8310" t="s">
        <v>4561</v>
      </c>
      <c r="J8310">
        <v>82</v>
      </c>
      <c r="K8310">
        <v>85</v>
      </c>
      <c r="L8310">
        <v>98</v>
      </c>
      <c r="M8310">
        <v>631.09997558999999</v>
      </c>
      <c r="N8310" t="s">
        <v>87</v>
      </c>
      <c r="O8310" t="s">
        <v>86</v>
      </c>
      <c r="P8310">
        <v>131</v>
      </c>
      <c r="Q8310">
        <v>6</v>
      </c>
      <c r="R8310">
        <v>44</v>
      </c>
      <c r="S8310">
        <v>1439</v>
      </c>
      <c r="T8310">
        <v>-40</v>
      </c>
      <c r="U8310">
        <v>43</v>
      </c>
      <c r="V8310">
        <v>340</v>
      </c>
      <c r="W8310">
        <v>26</v>
      </c>
      <c r="X8310">
        <v>26</v>
      </c>
      <c r="Y8310">
        <v>1</v>
      </c>
      <c r="Z8310">
        <v>8</v>
      </c>
      <c r="AA8310">
        <v>23</v>
      </c>
      <c r="AB8310">
        <v>2</v>
      </c>
      <c r="AC8310">
        <v>3</v>
      </c>
      <c r="AD8310">
        <v>3.2969999300000001</v>
      </c>
      <c r="AE8310">
        <v>5</v>
      </c>
      <c r="AF8310">
        <v>38</v>
      </c>
      <c r="AG8310">
        <v>3.28800011</v>
      </c>
      <c r="AH8310">
        <v>7</v>
      </c>
      <c r="AI8310">
        <v>1</v>
      </c>
      <c r="AJ8310">
        <v>1</v>
      </c>
      <c r="AK8310">
        <v>27</v>
      </c>
      <c r="AL8310">
        <v>38</v>
      </c>
      <c r="AM8310" t="s">
        <v>43</v>
      </c>
      <c r="AN8310" t="str">
        <f>HYPERLINK("https://www.google.com/maps?q=10.78216934,79.36178589","Open Location")</f>
        <v>Open Location</v>
      </c>
    </row>
    <row r="8311" spans="1:40" x14ac:dyDescent="0.3">
      <c r="A8311" s="1">
        <v>46210.03738425926</v>
      </c>
      <c r="B8311" t="s">
        <v>40</v>
      </c>
      <c r="C8311" t="s">
        <v>41</v>
      </c>
      <c r="D8311" s="1">
        <v>46210.040243055555</v>
      </c>
      <c r="E8311" t="s">
        <v>42</v>
      </c>
      <c r="F8311" t="s">
        <v>83</v>
      </c>
      <c r="G8311">
        <v>51</v>
      </c>
      <c r="H8311">
        <v>33019</v>
      </c>
      <c r="I8311" t="s">
        <v>43</v>
      </c>
      <c r="J8311">
        <v>82</v>
      </c>
      <c r="K8311">
        <v>-16</v>
      </c>
      <c r="L8311">
        <v>98</v>
      </c>
      <c r="M8311">
        <v>635.09997558999999</v>
      </c>
      <c r="N8311" t="s">
        <v>87</v>
      </c>
      <c r="O8311" t="s">
        <v>86</v>
      </c>
      <c r="P8311">
        <v>131</v>
      </c>
      <c r="Q8311">
        <v>6</v>
      </c>
      <c r="R8311">
        <v>6</v>
      </c>
      <c r="S8311">
        <v>1368</v>
      </c>
      <c r="T8311">
        <v>-40</v>
      </c>
      <c r="U8311">
        <v>43</v>
      </c>
      <c r="V8311">
        <v>-45</v>
      </c>
      <c r="W8311">
        <v>26</v>
      </c>
      <c r="X8311">
        <v>26</v>
      </c>
      <c r="Y8311">
        <v>1</v>
      </c>
      <c r="Z8311">
        <v>8</v>
      </c>
      <c r="AA8311">
        <v>23</v>
      </c>
      <c r="AB8311">
        <v>2</v>
      </c>
      <c r="AC8311">
        <v>3</v>
      </c>
      <c r="AD8311">
        <v>3.3239998800000001</v>
      </c>
      <c r="AE8311">
        <v>1</v>
      </c>
      <c r="AF8311">
        <v>26</v>
      </c>
      <c r="AG8311">
        <v>3.3210001</v>
      </c>
      <c r="AH8311">
        <v>1</v>
      </c>
      <c r="AI8311">
        <v>14</v>
      </c>
      <c r="AJ8311">
        <v>1</v>
      </c>
      <c r="AK8311">
        <v>27</v>
      </c>
      <c r="AL8311">
        <v>38</v>
      </c>
      <c r="AM8311" t="s">
        <v>43</v>
      </c>
      <c r="AN8311" t="s">
        <v>43</v>
      </c>
    </row>
    <row r="8312" spans="1:40" x14ac:dyDescent="0.3">
      <c r="A8312" s="1">
        <v>46210.037268518521</v>
      </c>
      <c r="B8312" t="s">
        <v>40</v>
      </c>
      <c r="C8312" t="s">
        <v>41</v>
      </c>
      <c r="D8312" s="1">
        <v>46210.040300925924</v>
      </c>
      <c r="E8312" t="s">
        <v>42</v>
      </c>
      <c r="F8312" t="s">
        <v>83</v>
      </c>
      <c r="G8312">
        <v>53</v>
      </c>
      <c r="H8312">
        <v>33019</v>
      </c>
      <c r="I8312" t="s">
        <v>4562</v>
      </c>
      <c r="J8312">
        <v>82</v>
      </c>
      <c r="K8312">
        <v>60</v>
      </c>
      <c r="L8312">
        <v>98</v>
      </c>
      <c r="M8312">
        <v>632.29998779000005</v>
      </c>
      <c r="N8312" t="s">
        <v>87</v>
      </c>
      <c r="O8312" t="s">
        <v>86</v>
      </c>
      <c r="P8312">
        <v>131</v>
      </c>
      <c r="Q8312">
        <v>6</v>
      </c>
      <c r="R8312">
        <v>46</v>
      </c>
      <c r="S8312">
        <v>1487</v>
      </c>
      <c r="T8312">
        <v>-40</v>
      </c>
      <c r="U8312">
        <v>43</v>
      </c>
      <c r="V8312">
        <v>240</v>
      </c>
      <c r="W8312">
        <v>26</v>
      </c>
      <c r="X8312">
        <v>26</v>
      </c>
      <c r="Y8312">
        <v>1</v>
      </c>
      <c r="Z8312">
        <v>8</v>
      </c>
      <c r="AA8312">
        <v>23</v>
      </c>
      <c r="AB8312">
        <v>2</v>
      </c>
      <c r="AC8312">
        <v>3</v>
      </c>
      <c r="AD8312">
        <v>3.2980000999999999</v>
      </c>
      <c r="AE8312">
        <v>1</v>
      </c>
      <c r="AF8312">
        <v>41</v>
      </c>
      <c r="AG8312">
        <v>3.2899999599999998</v>
      </c>
      <c r="AH8312">
        <v>4</v>
      </c>
      <c r="AI8312">
        <v>17</v>
      </c>
      <c r="AJ8312">
        <v>1</v>
      </c>
      <c r="AK8312">
        <v>27</v>
      </c>
      <c r="AL8312">
        <v>38</v>
      </c>
      <c r="AM8312" t="s">
        <v>43</v>
      </c>
      <c r="AN8312" t="str">
        <f>HYPERLINK("https://www.google.com/maps?q=10.78299046,79.36044312","Open Location")</f>
        <v>Open Location</v>
      </c>
    </row>
    <row r="8313" spans="1:40" x14ac:dyDescent="0.3">
      <c r="A8313" s="1">
        <v>46210.037152777775</v>
      </c>
      <c r="B8313" t="s">
        <v>40</v>
      </c>
      <c r="C8313" t="s">
        <v>41</v>
      </c>
      <c r="D8313" s="1">
        <v>46210.039988425924</v>
      </c>
      <c r="E8313" t="s">
        <v>42</v>
      </c>
      <c r="F8313" t="s">
        <v>83</v>
      </c>
      <c r="G8313">
        <v>53</v>
      </c>
      <c r="H8313">
        <v>33019</v>
      </c>
      <c r="I8313" t="s">
        <v>4563</v>
      </c>
      <c r="J8313">
        <v>82</v>
      </c>
      <c r="K8313">
        <v>31</v>
      </c>
      <c r="L8313">
        <v>98</v>
      </c>
      <c r="M8313">
        <v>632.90002441000001</v>
      </c>
      <c r="N8313" t="s">
        <v>87</v>
      </c>
      <c r="O8313" t="s">
        <v>86</v>
      </c>
      <c r="P8313">
        <v>131</v>
      </c>
      <c r="Q8313">
        <v>6</v>
      </c>
      <c r="R8313">
        <v>48</v>
      </c>
      <c r="S8313">
        <v>1474</v>
      </c>
      <c r="T8313">
        <v>-40</v>
      </c>
      <c r="U8313">
        <v>44</v>
      </c>
      <c r="V8313">
        <v>100</v>
      </c>
      <c r="W8313">
        <v>26</v>
      </c>
      <c r="X8313">
        <v>26</v>
      </c>
      <c r="Y8313">
        <v>1</v>
      </c>
      <c r="Z8313">
        <v>8</v>
      </c>
      <c r="AA8313">
        <v>23</v>
      </c>
      <c r="AB8313">
        <v>2</v>
      </c>
      <c r="AC8313">
        <v>3</v>
      </c>
      <c r="AD8313">
        <v>3.2939999100000001</v>
      </c>
      <c r="AE8313">
        <v>1</v>
      </c>
      <c r="AF8313">
        <v>38</v>
      </c>
      <c r="AG8313">
        <v>3.28600001</v>
      </c>
      <c r="AH8313">
        <v>4</v>
      </c>
      <c r="AI8313">
        <v>17</v>
      </c>
      <c r="AJ8313">
        <v>1</v>
      </c>
      <c r="AK8313">
        <v>27</v>
      </c>
      <c r="AL8313">
        <v>38</v>
      </c>
      <c r="AM8313" t="s">
        <v>43</v>
      </c>
      <c r="AN8313" t="str">
        <f>HYPERLINK("https://www.google.com/maps?q=10.78385162,79.35906219","Open Location")</f>
        <v>Open Location</v>
      </c>
    </row>
    <row r="8314" spans="1:40" x14ac:dyDescent="0.3">
      <c r="A8314" s="1">
        <v>46210.037037037036</v>
      </c>
      <c r="B8314" t="s">
        <v>40</v>
      </c>
      <c r="C8314" t="s">
        <v>41</v>
      </c>
      <c r="D8314" s="1">
        <v>46210.040011574078</v>
      </c>
      <c r="E8314" t="s">
        <v>42</v>
      </c>
      <c r="F8314" t="s">
        <v>83</v>
      </c>
      <c r="G8314">
        <v>49</v>
      </c>
      <c r="H8314">
        <v>33019</v>
      </c>
      <c r="I8314" t="s">
        <v>4564</v>
      </c>
      <c r="J8314">
        <v>82</v>
      </c>
      <c r="K8314">
        <v>129</v>
      </c>
      <c r="L8314">
        <v>98</v>
      </c>
      <c r="M8314">
        <v>629.09997558999999</v>
      </c>
      <c r="N8314" t="s">
        <v>87</v>
      </c>
      <c r="O8314" t="s">
        <v>86</v>
      </c>
      <c r="P8314">
        <v>131</v>
      </c>
      <c r="Q8314">
        <v>6</v>
      </c>
      <c r="R8314">
        <v>98</v>
      </c>
      <c r="S8314">
        <v>1423</v>
      </c>
      <c r="T8314">
        <v>-40</v>
      </c>
      <c r="U8314">
        <v>46</v>
      </c>
      <c r="V8314">
        <v>520</v>
      </c>
      <c r="W8314">
        <v>26</v>
      </c>
      <c r="X8314">
        <v>26</v>
      </c>
      <c r="Y8314">
        <v>1</v>
      </c>
      <c r="Z8314">
        <v>8</v>
      </c>
      <c r="AA8314">
        <v>23</v>
      </c>
      <c r="AB8314">
        <v>2</v>
      </c>
      <c r="AC8314">
        <v>3</v>
      </c>
      <c r="AD8314">
        <v>3.27999997</v>
      </c>
      <c r="AE8314">
        <v>5</v>
      </c>
      <c r="AF8314">
        <v>38</v>
      </c>
      <c r="AG8314">
        <v>3.2639999400000002</v>
      </c>
      <c r="AH8314">
        <v>7</v>
      </c>
      <c r="AI8314">
        <v>1</v>
      </c>
      <c r="AJ8314">
        <v>1</v>
      </c>
      <c r="AK8314">
        <v>27</v>
      </c>
      <c r="AL8314">
        <v>38</v>
      </c>
      <c r="AM8314" t="s">
        <v>43</v>
      </c>
      <c r="AN8314" t="str">
        <f>HYPERLINK("https://www.google.com/maps?q=10.7845068,79.35749054","Open Location")</f>
        <v>Open Location</v>
      </c>
    </row>
    <row r="8315" spans="1:40" x14ac:dyDescent="0.3">
      <c r="A8315" s="1">
        <v>46210.036921296298</v>
      </c>
      <c r="B8315" t="s">
        <v>40</v>
      </c>
      <c r="C8315" t="s">
        <v>41</v>
      </c>
      <c r="D8315" s="1">
        <v>46210.039641203701</v>
      </c>
      <c r="E8315" t="s">
        <v>42</v>
      </c>
      <c r="F8315" t="s">
        <v>83</v>
      </c>
      <c r="G8315">
        <v>43</v>
      </c>
      <c r="H8315">
        <v>33019</v>
      </c>
      <c r="I8315" t="s">
        <v>4565</v>
      </c>
      <c r="J8315">
        <v>82</v>
      </c>
      <c r="K8315">
        <v>107</v>
      </c>
      <c r="L8315">
        <v>98</v>
      </c>
      <c r="M8315">
        <v>630.40002441000001</v>
      </c>
      <c r="N8315" t="s">
        <v>87</v>
      </c>
      <c r="O8315" t="s">
        <v>86</v>
      </c>
      <c r="P8315">
        <v>131</v>
      </c>
      <c r="Q8315">
        <v>6</v>
      </c>
      <c r="R8315">
        <v>63</v>
      </c>
      <c r="S8315">
        <v>1234</v>
      </c>
      <c r="T8315">
        <v>-40</v>
      </c>
      <c r="U8315">
        <v>46</v>
      </c>
      <c r="V8315">
        <v>480</v>
      </c>
      <c r="W8315">
        <v>26</v>
      </c>
      <c r="X8315">
        <v>26</v>
      </c>
      <c r="Y8315">
        <v>1</v>
      </c>
      <c r="Z8315">
        <v>8</v>
      </c>
      <c r="AA8315">
        <v>23</v>
      </c>
      <c r="AB8315">
        <v>2</v>
      </c>
      <c r="AC8315">
        <v>3</v>
      </c>
      <c r="AD8315">
        <v>3.2909998900000001</v>
      </c>
      <c r="AE8315">
        <v>5</v>
      </c>
      <c r="AF8315">
        <v>38</v>
      </c>
      <c r="AG8315">
        <v>3.2790000400000001</v>
      </c>
      <c r="AH8315">
        <v>4</v>
      </c>
      <c r="AI8315">
        <v>17</v>
      </c>
      <c r="AJ8315">
        <v>1</v>
      </c>
      <c r="AK8315">
        <v>28</v>
      </c>
      <c r="AL8315">
        <v>38</v>
      </c>
      <c r="AM8315" t="s">
        <v>43</v>
      </c>
      <c r="AN8315" t="str">
        <f>HYPERLINK("https://www.google.com/maps?q=10.78488541,79.35617065","Open Location")</f>
        <v>Open Location</v>
      </c>
    </row>
    <row r="8316" spans="1:40" x14ac:dyDescent="0.3">
      <c r="A8316" s="1">
        <v>46210.036805555559</v>
      </c>
      <c r="B8316" t="s">
        <v>40</v>
      </c>
      <c r="C8316" t="s">
        <v>41</v>
      </c>
      <c r="D8316" s="1">
        <v>46210.039641203701</v>
      </c>
      <c r="E8316" t="s">
        <v>42</v>
      </c>
      <c r="F8316" t="s">
        <v>83</v>
      </c>
      <c r="G8316">
        <v>38</v>
      </c>
      <c r="H8316">
        <v>33018</v>
      </c>
      <c r="I8316" t="s">
        <v>4566</v>
      </c>
      <c r="J8316">
        <v>83</v>
      </c>
      <c r="K8316">
        <v>-9</v>
      </c>
      <c r="L8316">
        <v>98</v>
      </c>
      <c r="M8316">
        <v>635.09997558999999</v>
      </c>
      <c r="N8316" t="s">
        <v>87</v>
      </c>
      <c r="O8316" t="s">
        <v>86</v>
      </c>
      <c r="P8316">
        <v>130</v>
      </c>
      <c r="Q8316">
        <v>5</v>
      </c>
      <c r="R8316">
        <v>75</v>
      </c>
      <c r="S8316">
        <v>1215</v>
      </c>
      <c r="T8316">
        <v>-40</v>
      </c>
      <c r="U8316">
        <v>45</v>
      </c>
      <c r="V8316">
        <v>-269</v>
      </c>
      <c r="W8316">
        <v>26</v>
      </c>
      <c r="X8316">
        <v>26</v>
      </c>
      <c r="Y8316">
        <v>1</v>
      </c>
      <c r="Z8316">
        <v>8</v>
      </c>
      <c r="AA8316">
        <v>23</v>
      </c>
      <c r="AB8316">
        <v>1</v>
      </c>
      <c r="AC8316">
        <v>3</v>
      </c>
      <c r="AD8316">
        <v>3.28900003</v>
      </c>
      <c r="AE8316">
        <v>1</v>
      </c>
      <c r="AF8316">
        <v>41</v>
      </c>
      <c r="AG8316">
        <v>3.2780001200000002</v>
      </c>
      <c r="AH8316">
        <v>4</v>
      </c>
      <c r="AI8316">
        <v>17</v>
      </c>
      <c r="AJ8316">
        <v>1</v>
      </c>
      <c r="AK8316">
        <v>27</v>
      </c>
      <c r="AL8316">
        <v>38</v>
      </c>
      <c r="AM8316" t="s">
        <v>43</v>
      </c>
      <c r="AN8316" t="str">
        <f>HYPERLINK("https://www.google.com/maps?q=10.78527641,79.35509491","Open Location")</f>
        <v>Open Location</v>
      </c>
    </row>
    <row r="8317" spans="1:40" x14ac:dyDescent="0.3">
      <c r="A8317" s="1">
        <v>46210.036689814813</v>
      </c>
      <c r="B8317" t="s">
        <v>40</v>
      </c>
      <c r="C8317" t="s">
        <v>41</v>
      </c>
      <c r="D8317" s="1">
        <v>46210.039456018516</v>
      </c>
      <c r="E8317" t="s">
        <v>42</v>
      </c>
      <c r="F8317" t="s">
        <v>83</v>
      </c>
      <c r="G8317">
        <v>27</v>
      </c>
      <c r="H8317" t="s">
        <v>43</v>
      </c>
      <c r="I8317" t="s">
        <v>43</v>
      </c>
      <c r="J8317">
        <v>83</v>
      </c>
      <c r="K8317">
        <v>167</v>
      </c>
      <c r="L8317">
        <v>98</v>
      </c>
      <c r="M8317">
        <v>627.79998779000005</v>
      </c>
      <c r="N8317" t="s">
        <v>87</v>
      </c>
      <c r="O8317" t="s">
        <v>86</v>
      </c>
      <c r="P8317">
        <v>130</v>
      </c>
      <c r="Q8317">
        <v>5</v>
      </c>
      <c r="R8317">
        <v>18</v>
      </c>
      <c r="S8317">
        <v>1323</v>
      </c>
      <c r="T8317">
        <v>-40</v>
      </c>
      <c r="U8317">
        <v>43</v>
      </c>
      <c r="V8317">
        <v>768</v>
      </c>
      <c r="W8317">
        <v>26</v>
      </c>
      <c r="X8317">
        <v>26</v>
      </c>
      <c r="Y8317">
        <v>1</v>
      </c>
      <c r="Z8317">
        <v>8</v>
      </c>
      <c r="AA8317">
        <v>23</v>
      </c>
      <c r="AB8317">
        <v>1</v>
      </c>
      <c r="AC8317">
        <v>3</v>
      </c>
      <c r="AD8317">
        <v>3.30900002</v>
      </c>
      <c r="AE8317">
        <v>1</v>
      </c>
      <c r="AF8317">
        <v>41</v>
      </c>
      <c r="AG8317">
        <v>3.3039999</v>
      </c>
      <c r="AH8317">
        <v>4</v>
      </c>
      <c r="AI8317">
        <v>17</v>
      </c>
      <c r="AJ8317">
        <v>1</v>
      </c>
      <c r="AK8317">
        <v>27</v>
      </c>
      <c r="AL8317">
        <v>38</v>
      </c>
      <c r="AM8317" t="s">
        <v>43</v>
      </c>
      <c r="AN8317" t="s">
        <v>43</v>
      </c>
    </row>
    <row r="8318" spans="1:40" x14ac:dyDescent="0.3">
      <c r="A8318" s="1">
        <v>46210.036574074074</v>
      </c>
      <c r="B8318" t="s">
        <v>40</v>
      </c>
      <c r="C8318" t="s">
        <v>41</v>
      </c>
      <c r="D8318" s="1">
        <v>46210.039282407408</v>
      </c>
      <c r="E8318" t="s">
        <v>42</v>
      </c>
      <c r="F8318" t="s">
        <v>83</v>
      </c>
      <c r="G8318">
        <v>17</v>
      </c>
      <c r="H8318">
        <v>33018</v>
      </c>
      <c r="I8318" t="s">
        <v>4567</v>
      </c>
      <c r="J8318">
        <v>83</v>
      </c>
      <c r="K8318">
        <v>91</v>
      </c>
      <c r="L8318">
        <v>98</v>
      </c>
      <c r="M8318">
        <v>632</v>
      </c>
      <c r="N8318" t="s">
        <v>87</v>
      </c>
      <c r="O8318" t="s">
        <v>86</v>
      </c>
      <c r="P8318">
        <v>129</v>
      </c>
      <c r="Q8318">
        <v>4</v>
      </c>
      <c r="R8318">
        <v>60</v>
      </c>
      <c r="S8318">
        <v>1563</v>
      </c>
      <c r="T8318">
        <v>-40</v>
      </c>
      <c r="U8318">
        <v>42</v>
      </c>
      <c r="V8318">
        <v>340</v>
      </c>
      <c r="W8318">
        <v>26</v>
      </c>
      <c r="X8318">
        <v>26</v>
      </c>
      <c r="Y8318">
        <v>1</v>
      </c>
      <c r="Z8318">
        <v>8</v>
      </c>
      <c r="AA8318">
        <v>23</v>
      </c>
      <c r="AB8318">
        <v>2</v>
      </c>
      <c r="AC8318">
        <v>3</v>
      </c>
      <c r="AD8318">
        <v>3.3020000500000002</v>
      </c>
      <c r="AE8318">
        <v>1</v>
      </c>
      <c r="AF8318">
        <v>44</v>
      </c>
      <c r="AG8318">
        <v>3.2939999100000001</v>
      </c>
      <c r="AH8318">
        <v>4</v>
      </c>
      <c r="AI8318">
        <v>17</v>
      </c>
      <c r="AJ8318">
        <v>1</v>
      </c>
      <c r="AK8318">
        <v>27</v>
      </c>
      <c r="AL8318">
        <v>38</v>
      </c>
      <c r="AM8318" t="s">
        <v>43</v>
      </c>
      <c r="AN8318" t="str">
        <f>HYPERLINK("https://www.google.com/maps?q=10.78562832,79.35435486","Open Location")</f>
        <v>Open Location</v>
      </c>
    </row>
    <row r="8319" spans="1:40" x14ac:dyDescent="0.3">
      <c r="A8319" s="1">
        <v>46210.036458333336</v>
      </c>
      <c r="B8319" t="s">
        <v>40</v>
      </c>
      <c r="C8319" t="s">
        <v>41</v>
      </c>
      <c r="D8319" s="1">
        <v>46210.039270833331</v>
      </c>
      <c r="E8319" t="s">
        <v>42</v>
      </c>
      <c r="F8319" t="s">
        <v>83</v>
      </c>
      <c r="G8319">
        <v>6</v>
      </c>
      <c r="H8319">
        <v>33018</v>
      </c>
      <c r="I8319" t="s">
        <v>4568</v>
      </c>
      <c r="J8319">
        <v>83</v>
      </c>
      <c r="K8319">
        <v>36</v>
      </c>
      <c r="L8319">
        <v>98</v>
      </c>
      <c r="M8319">
        <v>634.09997558999999</v>
      </c>
      <c r="N8319" t="s">
        <v>87</v>
      </c>
      <c r="O8319" t="s">
        <v>86</v>
      </c>
      <c r="P8319">
        <v>127</v>
      </c>
      <c r="Q8319">
        <v>2</v>
      </c>
      <c r="R8319">
        <v>0</v>
      </c>
      <c r="S8319">
        <v>1409</v>
      </c>
      <c r="T8319">
        <v>-40</v>
      </c>
      <c r="U8319">
        <v>41</v>
      </c>
      <c r="V8319">
        <v>121</v>
      </c>
      <c r="W8319">
        <v>26</v>
      </c>
      <c r="X8319">
        <v>26</v>
      </c>
      <c r="Y8319">
        <v>1</v>
      </c>
      <c r="Z8319">
        <v>8</v>
      </c>
      <c r="AA8319">
        <v>23</v>
      </c>
      <c r="AB8319">
        <v>2</v>
      </c>
      <c r="AC8319">
        <v>3</v>
      </c>
      <c r="AD8319">
        <v>3.3169999099999998</v>
      </c>
      <c r="AE8319">
        <v>1</v>
      </c>
      <c r="AF8319">
        <v>1</v>
      </c>
      <c r="AG8319">
        <v>3.31500006</v>
      </c>
      <c r="AH8319">
        <v>2</v>
      </c>
      <c r="AI8319">
        <v>15</v>
      </c>
      <c r="AJ8319">
        <v>1</v>
      </c>
      <c r="AK8319">
        <v>27</v>
      </c>
      <c r="AL8319">
        <v>38</v>
      </c>
      <c r="AM8319" t="s">
        <v>43</v>
      </c>
      <c r="AN8319" t="str">
        <f>HYPERLINK("https://www.google.com/maps?q=10.78584576,79.35403442","Open Location")</f>
        <v>Open Location</v>
      </c>
    </row>
    <row r="8320" spans="1:40" x14ac:dyDescent="0.3">
      <c r="A8320" s="1">
        <v>46210.03634259259</v>
      </c>
      <c r="B8320" t="s">
        <v>40</v>
      </c>
      <c r="C8320" t="s">
        <v>41</v>
      </c>
      <c r="D8320" s="1">
        <v>46210.039270833331</v>
      </c>
      <c r="E8320" t="s">
        <v>42</v>
      </c>
      <c r="F8320" t="s">
        <v>83</v>
      </c>
      <c r="G8320">
        <v>6</v>
      </c>
      <c r="H8320">
        <v>33018</v>
      </c>
      <c r="I8320" t="s">
        <v>4569</v>
      </c>
      <c r="J8320">
        <v>83</v>
      </c>
      <c r="K8320">
        <v>19</v>
      </c>
      <c r="L8320">
        <v>98</v>
      </c>
      <c r="M8320">
        <v>635.79998779000005</v>
      </c>
      <c r="N8320" t="s">
        <v>87</v>
      </c>
      <c r="O8320" t="s">
        <v>86</v>
      </c>
      <c r="P8320">
        <v>127</v>
      </c>
      <c r="Q8320">
        <v>2</v>
      </c>
      <c r="R8320">
        <v>10</v>
      </c>
      <c r="S8320">
        <v>1433</v>
      </c>
      <c r="T8320">
        <v>-40</v>
      </c>
      <c r="U8320">
        <v>41</v>
      </c>
      <c r="V8320">
        <v>24</v>
      </c>
      <c r="W8320">
        <v>26</v>
      </c>
      <c r="X8320">
        <v>26</v>
      </c>
      <c r="Y8320">
        <v>1</v>
      </c>
      <c r="Z8320">
        <v>8</v>
      </c>
      <c r="AA8320">
        <v>23</v>
      </c>
      <c r="AB8320">
        <v>2</v>
      </c>
      <c r="AC8320">
        <v>3</v>
      </c>
      <c r="AD8320">
        <v>3.31500006</v>
      </c>
      <c r="AE8320">
        <v>1</v>
      </c>
      <c r="AF8320">
        <v>41</v>
      </c>
      <c r="AG8320">
        <v>3.3110001100000002</v>
      </c>
      <c r="AH8320">
        <v>7</v>
      </c>
      <c r="AI8320">
        <v>19</v>
      </c>
      <c r="AJ8320">
        <v>1</v>
      </c>
      <c r="AK8320">
        <v>28</v>
      </c>
      <c r="AL8320">
        <v>38</v>
      </c>
      <c r="AM8320" t="s">
        <v>43</v>
      </c>
      <c r="AN8320" t="str">
        <f>HYPERLINK("https://www.google.com/maps?q=10.78594589,79.35385895","Open Location")</f>
        <v>Open Location</v>
      </c>
    </row>
    <row r="8321" spans="1:40" x14ac:dyDescent="0.3">
      <c r="A8321" s="1">
        <v>46210.036226851851</v>
      </c>
      <c r="B8321" t="s">
        <v>40</v>
      </c>
      <c r="C8321" t="s">
        <v>41</v>
      </c>
      <c r="D8321" s="1">
        <v>46210.039224537039</v>
      </c>
      <c r="E8321" t="s">
        <v>42</v>
      </c>
      <c r="F8321" t="s">
        <v>83</v>
      </c>
      <c r="G8321">
        <v>6</v>
      </c>
      <c r="H8321">
        <v>33018</v>
      </c>
      <c r="I8321" t="s">
        <v>4570</v>
      </c>
      <c r="J8321">
        <v>83</v>
      </c>
      <c r="K8321">
        <v>8</v>
      </c>
      <c r="L8321">
        <v>98</v>
      </c>
      <c r="M8321">
        <v>636.90002441000001</v>
      </c>
      <c r="N8321" t="s">
        <v>87</v>
      </c>
      <c r="O8321" t="s">
        <v>86</v>
      </c>
      <c r="P8321">
        <v>128</v>
      </c>
      <c r="Q8321">
        <v>2</v>
      </c>
      <c r="R8321">
        <v>0</v>
      </c>
      <c r="S8321">
        <v>1191</v>
      </c>
      <c r="T8321">
        <v>-40</v>
      </c>
      <c r="U8321">
        <v>42</v>
      </c>
      <c r="V8321">
        <v>5</v>
      </c>
      <c r="W8321">
        <v>26</v>
      </c>
      <c r="X8321">
        <v>26</v>
      </c>
      <c r="Y8321">
        <v>1</v>
      </c>
      <c r="Z8321">
        <v>8</v>
      </c>
      <c r="AA8321">
        <v>23</v>
      </c>
      <c r="AB8321">
        <v>2</v>
      </c>
      <c r="AC8321">
        <v>3</v>
      </c>
      <c r="AD8321">
        <v>3.3199999299999998</v>
      </c>
      <c r="AE8321">
        <v>5</v>
      </c>
      <c r="AF8321">
        <v>3</v>
      </c>
      <c r="AG8321">
        <v>3.31299996</v>
      </c>
      <c r="AH8321">
        <v>4</v>
      </c>
      <c r="AI8321">
        <v>17</v>
      </c>
      <c r="AJ8321">
        <v>1</v>
      </c>
      <c r="AK8321">
        <v>27</v>
      </c>
      <c r="AL8321">
        <v>38</v>
      </c>
      <c r="AM8321" t="s">
        <v>43</v>
      </c>
      <c r="AN8321" t="str">
        <f>HYPERLINK("https://www.google.com/maps?q=10.78601646,79.3536911","Open Location")</f>
        <v>Open Location</v>
      </c>
    </row>
    <row r="8322" spans="1:40" x14ac:dyDescent="0.3">
      <c r="A8322" s="1">
        <v>46210.036111111112</v>
      </c>
      <c r="B8322" t="s">
        <v>40</v>
      </c>
      <c r="C8322" t="s">
        <v>41</v>
      </c>
      <c r="D8322" s="1">
        <v>46210.038854166669</v>
      </c>
      <c r="E8322" t="s">
        <v>42</v>
      </c>
      <c r="F8322" t="s">
        <v>83</v>
      </c>
      <c r="G8322">
        <v>10</v>
      </c>
      <c r="H8322" t="s">
        <v>43</v>
      </c>
      <c r="I8322" t="s">
        <v>43</v>
      </c>
      <c r="J8322">
        <v>83</v>
      </c>
      <c r="K8322">
        <v>45</v>
      </c>
      <c r="L8322">
        <v>98</v>
      </c>
      <c r="M8322">
        <v>635.59997558999999</v>
      </c>
      <c r="N8322" t="s">
        <v>87</v>
      </c>
      <c r="O8322" t="s">
        <v>86</v>
      </c>
      <c r="P8322">
        <v>128</v>
      </c>
      <c r="Q8322">
        <v>3</v>
      </c>
      <c r="R8322">
        <v>24</v>
      </c>
      <c r="S8322">
        <v>1575</v>
      </c>
      <c r="T8322">
        <v>-40</v>
      </c>
      <c r="U8322">
        <v>42</v>
      </c>
      <c r="V8322">
        <v>180</v>
      </c>
      <c r="W8322">
        <v>26</v>
      </c>
      <c r="X8322">
        <v>26</v>
      </c>
      <c r="Y8322">
        <v>1</v>
      </c>
      <c r="Z8322">
        <v>8</v>
      </c>
      <c r="AA8322">
        <v>23</v>
      </c>
      <c r="AB8322">
        <v>2</v>
      </c>
      <c r="AC8322">
        <v>3</v>
      </c>
      <c r="AD8322">
        <v>3.30999994</v>
      </c>
      <c r="AE8322">
        <v>1</v>
      </c>
      <c r="AF8322">
        <v>44</v>
      </c>
      <c r="AG8322">
        <v>3.3039999</v>
      </c>
      <c r="AH8322">
        <v>4</v>
      </c>
      <c r="AI8322">
        <v>17</v>
      </c>
      <c r="AJ8322">
        <v>1</v>
      </c>
      <c r="AK8322">
        <v>27</v>
      </c>
      <c r="AL8322">
        <v>38</v>
      </c>
      <c r="AM8322" t="s">
        <v>43</v>
      </c>
      <c r="AN8322" t="s">
        <v>43</v>
      </c>
    </row>
    <row r="8323" spans="1:40" x14ac:dyDescent="0.3">
      <c r="A8323" s="1">
        <v>46210.035995370374</v>
      </c>
      <c r="B8323" t="s">
        <v>40</v>
      </c>
      <c r="C8323" t="s">
        <v>41</v>
      </c>
      <c r="D8323" s="1">
        <v>46210.038865740738</v>
      </c>
      <c r="E8323" t="s">
        <v>42</v>
      </c>
      <c r="F8323" t="s">
        <v>83</v>
      </c>
      <c r="G8323">
        <v>6</v>
      </c>
      <c r="H8323">
        <v>33018</v>
      </c>
      <c r="I8323" t="s">
        <v>4571</v>
      </c>
      <c r="J8323">
        <v>83</v>
      </c>
      <c r="K8323">
        <v>4</v>
      </c>
      <c r="L8323">
        <v>98</v>
      </c>
      <c r="M8323">
        <v>637.29998779000005</v>
      </c>
      <c r="N8323" t="s">
        <v>87</v>
      </c>
      <c r="O8323" t="s">
        <v>86</v>
      </c>
      <c r="P8323">
        <v>127</v>
      </c>
      <c r="Q8323">
        <v>2</v>
      </c>
      <c r="R8323">
        <v>0</v>
      </c>
      <c r="S8323">
        <v>1250</v>
      </c>
      <c r="T8323">
        <v>-40</v>
      </c>
      <c r="U8323">
        <v>43</v>
      </c>
      <c r="V8323">
        <v>5</v>
      </c>
      <c r="W8323">
        <v>26</v>
      </c>
      <c r="X8323">
        <v>26</v>
      </c>
      <c r="Y8323">
        <v>1</v>
      </c>
      <c r="Z8323">
        <v>8</v>
      </c>
      <c r="AA8323">
        <v>23</v>
      </c>
      <c r="AB8323">
        <v>2</v>
      </c>
      <c r="AC8323">
        <v>3</v>
      </c>
      <c r="AD8323">
        <v>3.3220000299999999</v>
      </c>
      <c r="AE8323">
        <v>1</v>
      </c>
      <c r="AF8323">
        <v>29</v>
      </c>
      <c r="AG8323">
        <v>3.3190000099999999</v>
      </c>
      <c r="AH8323">
        <v>3</v>
      </c>
      <c r="AI8323">
        <v>10</v>
      </c>
      <c r="AJ8323">
        <v>1</v>
      </c>
      <c r="AK8323">
        <v>28</v>
      </c>
      <c r="AL8323">
        <v>38</v>
      </c>
      <c r="AM8323" t="s">
        <v>43</v>
      </c>
      <c r="AN8323" t="str">
        <f>HYPERLINK("https://www.google.com/maps?q=10.78614426,79.35340881","Open Location")</f>
        <v>Open Location</v>
      </c>
    </row>
    <row r="8324" spans="1:40" x14ac:dyDescent="0.3">
      <c r="A8324" s="1">
        <v>46210.035879629628</v>
      </c>
      <c r="B8324" t="s">
        <v>40</v>
      </c>
      <c r="C8324" t="s">
        <v>41</v>
      </c>
      <c r="D8324" s="1">
        <v>46210.038738425923</v>
      </c>
      <c r="E8324" t="s">
        <v>42</v>
      </c>
      <c r="F8324" t="s">
        <v>83</v>
      </c>
      <c r="G8324">
        <v>31</v>
      </c>
      <c r="H8324">
        <v>33018</v>
      </c>
      <c r="I8324" t="s">
        <v>4572</v>
      </c>
      <c r="J8324">
        <v>83</v>
      </c>
      <c r="K8324">
        <v>-33</v>
      </c>
      <c r="L8324">
        <v>98</v>
      </c>
      <c r="M8324">
        <v>638.70001220999995</v>
      </c>
      <c r="N8324" t="s">
        <v>87</v>
      </c>
      <c r="O8324" t="s">
        <v>86</v>
      </c>
      <c r="P8324">
        <v>131</v>
      </c>
      <c r="Q8324">
        <v>6</v>
      </c>
      <c r="R8324">
        <v>-27</v>
      </c>
      <c r="S8324">
        <v>812</v>
      </c>
      <c r="T8324">
        <v>-40</v>
      </c>
      <c r="U8324">
        <v>42</v>
      </c>
      <c r="V8324">
        <v>-300</v>
      </c>
      <c r="W8324">
        <v>26</v>
      </c>
      <c r="X8324">
        <v>26</v>
      </c>
      <c r="Y8324">
        <v>1</v>
      </c>
      <c r="Z8324">
        <v>8</v>
      </c>
      <c r="AA8324">
        <v>23</v>
      </c>
      <c r="AB8324">
        <v>2</v>
      </c>
      <c r="AC8324">
        <v>3</v>
      </c>
      <c r="AD8324">
        <v>3.3290000000000002</v>
      </c>
      <c r="AE8324">
        <v>4</v>
      </c>
      <c r="AF8324">
        <v>24</v>
      </c>
      <c r="AG8324">
        <v>3.3259999800000002</v>
      </c>
      <c r="AH8324">
        <v>1</v>
      </c>
      <c r="AI8324">
        <v>4</v>
      </c>
      <c r="AJ8324">
        <v>1</v>
      </c>
      <c r="AK8324">
        <v>27</v>
      </c>
      <c r="AL8324">
        <v>38</v>
      </c>
      <c r="AM8324" t="s">
        <v>43</v>
      </c>
      <c r="AN8324" t="str">
        <f>HYPERLINK("https://www.google.com/maps?q=10.78624153,79.35294342","Open Location")</f>
        <v>Open Location</v>
      </c>
    </row>
    <row r="8325" spans="1:40" x14ac:dyDescent="0.3">
      <c r="A8325" s="1">
        <v>46210.035763888889</v>
      </c>
      <c r="B8325" t="s">
        <v>40</v>
      </c>
      <c r="C8325" t="s">
        <v>41</v>
      </c>
      <c r="D8325" s="1">
        <v>46210.038703703707</v>
      </c>
      <c r="E8325" t="s">
        <v>42</v>
      </c>
      <c r="F8325" t="s">
        <v>83</v>
      </c>
      <c r="G8325">
        <v>40</v>
      </c>
      <c r="H8325">
        <v>33018</v>
      </c>
      <c r="I8325" t="s">
        <v>4573</v>
      </c>
      <c r="J8325">
        <v>83</v>
      </c>
      <c r="K8325">
        <v>-45</v>
      </c>
      <c r="L8325">
        <v>98</v>
      </c>
      <c r="M8325">
        <v>639.20001220999995</v>
      </c>
      <c r="N8325" t="s">
        <v>87</v>
      </c>
      <c r="O8325" t="s">
        <v>86</v>
      </c>
      <c r="P8325">
        <v>131</v>
      </c>
      <c r="Q8325">
        <v>6</v>
      </c>
      <c r="R8325">
        <v>-35</v>
      </c>
      <c r="S8325">
        <v>1059</v>
      </c>
      <c r="T8325">
        <v>-40</v>
      </c>
      <c r="U8325">
        <v>42</v>
      </c>
      <c r="V8325">
        <v>-300</v>
      </c>
      <c r="W8325">
        <v>26</v>
      </c>
      <c r="X8325">
        <v>26</v>
      </c>
      <c r="Y8325">
        <v>1</v>
      </c>
      <c r="Z8325">
        <v>8</v>
      </c>
      <c r="AA8325">
        <v>23</v>
      </c>
      <c r="AB8325">
        <v>2</v>
      </c>
      <c r="AC8325">
        <v>3</v>
      </c>
      <c r="AD8325">
        <v>3.3299999200000001</v>
      </c>
      <c r="AE8325">
        <v>4</v>
      </c>
      <c r="AF8325">
        <v>24</v>
      </c>
      <c r="AG8325">
        <v>3.3259999800000002</v>
      </c>
      <c r="AH8325">
        <v>5</v>
      </c>
      <c r="AI8325">
        <v>27</v>
      </c>
      <c r="AJ8325">
        <v>1</v>
      </c>
      <c r="AK8325">
        <v>27</v>
      </c>
      <c r="AL8325">
        <v>38</v>
      </c>
      <c r="AM8325" t="s">
        <v>43</v>
      </c>
      <c r="AN8325" t="str">
        <f>HYPERLINK("https://www.google.com/maps?q=10.78657341,79.35191345","Open Location")</f>
        <v>Open Location</v>
      </c>
    </row>
    <row r="8326" spans="1:40" x14ac:dyDescent="0.3">
      <c r="A8326" s="1">
        <v>46210.03564814815</v>
      </c>
      <c r="B8326" t="s">
        <v>40</v>
      </c>
      <c r="C8326" t="s">
        <v>41</v>
      </c>
      <c r="D8326" s="1">
        <v>46210.038425925923</v>
      </c>
      <c r="E8326" t="s">
        <v>42</v>
      </c>
      <c r="F8326" t="s">
        <v>83</v>
      </c>
      <c r="G8326">
        <v>50</v>
      </c>
      <c r="H8326">
        <v>33018</v>
      </c>
      <c r="I8326" t="s">
        <v>4574</v>
      </c>
      <c r="J8326">
        <v>83</v>
      </c>
      <c r="K8326">
        <v>-57</v>
      </c>
      <c r="L8326">
        <v>98</v>
      </c>
      <c r="M8326">
        <v>638.59997558999999</v>
      </c>
      <c r="N8326" t="s">
        <v>87</v>
      </c>
      <c r="O8326" t="s">
        <v>86</v>
      </c>
      <c r="P8326">
        <v>131</v>
      </c>
      <c r="Q8326">
        <v>6</v>
      </c>
      <c r="R8326">
        <v>-44</v>
      </c>
      <c r="S8326">
        <v>1315</v>
      </c>
      <c r="T8326">
        <v>-40</v>
      </c>
      <c r="U8326">
        <v>42</v>
      </c>
      <c r="V8326">
        <v>-300</v>
      </c>
      <c r="W8326">
        <v>26</v>
      </c>
      <c r="X8326">
        <v>26</v>
      </c>
      <c r="Y8326">
        <v>1</v>
      </c>
      <c r="Z8326">
        <v>8</v>
      </c>
      <c r="AA8326">
        <v>23</v>
      </c>
      <c r="AB8326">
        <v>2</v>
      </c>
      <c r="AC8326">
        <v>3</v>
      </c>
      <c r="AD8326">
        <v>3.3299999200000001</v>
      </c>
      <c r="AE8326">
        <v>4</v>
      </c>
      <c r="AF8326">
        <v>24</v>
      </c>
      <c r="AG8326">
        <v>3.3259999800000002</v>
      </c>
      <c r="AH8326">
        <v>1</v>
      </c>
      <c r="AI8326">
        <v>4</v>
      </c>
      <c r="AJ8326">
        <v>1</v>
      </c>
      <c r="AK8326">
        <v>27</v>
      </c>
      <c r="AL8326">
        <v>38</v>
      </c>
      <c r="AM8326" t="s">
        <v>43</v>
      </c>
      <c r="AN8326" t="str">
        <f>HYPERLINK("https://www.google.com/maps?q=10.78702927,79.35057068","Open Location")</f>
        <v>Open Location</v>
      </c>
    </row>
    <row r="8327" spans="1:40" x14ac:dyDescent="0.3">
      <c r="A8327" s="1">
        <v>46210.035532407404</v>
      </c>
      <c r="B8327" t="s">
        <v>40</v>
      </c>
      <c r="C8327" t="s">
        <v>41</v>
      </c>
      <c r="D8327" s="1">
        <v>46210.038402777776</v>
      </c>
      <c r="E8327" t="s">
        <v>42</v>
      </c>
      <c r="F8327" t="s">
        <v>83</v>
      </c>
      <c r="G8327">
        <v>58</v>
      </c>
      <c r="H8327">
        <v>33018</v>
      </c>
      <c r="I8327" t="s">
        <v>4575</v>
      </c>
      <c r="J8327">
        <v>83</v>
      </c>
      <c r="K8327">
        <v>-68</v>
      </c>
      <c r="L8327">
        <v>98</v>
      </c>
      <c r="M8327">
        <v>638.20001220999995</v>
      </c>
      <c r="N8327" t="s">
        <v>87</v>
      </c>
      <c r="O8327" t="s">
        <v>86</v>
      </c>
      <c r="P8327">
        <v>131</v>
      </c>
      <c r="Q8327">
        <v>6</v>
      </c>
      <c r="R8327">
        <v>-51</v>
      </c>
      <c r="S8327">
        <v>1564</v>
      </c>
      <c r="T8327">
        <v>-40</v>
      </c>
      <c r="U8327">
        <v>42</v>
      </c>
      <c r="V8327">
        <v>-300</v>
      </c>
      <c r="W8327">
        <v>26</v>
      </c>
      <c r="X8327">
        <v>26</v>
      </c>
      <c r="Y8327">
        <v>1</v>
      </c>
      <c r="Z8327">
        <v>8</v>
      </c>
      <c r="AA8327">
        <v>23</v>
      </c>
      <c r="AB8327">
        <v>2</v>
      </c>
      <c r="AC8327">
        <v>3</v>
      </c>
      <c r="AD8327">
        <v>3.3269999000000001</v>
      </c>
      <c r="AE8327">
        <v>4</v>
      </c>
      <c r="AF8327">
        <v>24</v>
      </c>
      <c r="AG8327">
        <v>3.3220000299999999</v>
      </c>
      <c r="AH8327">
        <v>5</v>
      </c>
      <c r="AI8327">
        <v>27</v>
      </c>
      <c r="AJ8327">
        <v>1</v>
      </c>
      <c r="AK8327">
        <v>27</v>
      </c>
      <c r="AL8327">
        <v>38</v>
      </c>
      <c r="AM8327" t="s">
        <v>43</v>
      </c>
      <c r="AN8327" t="str">
        <f>HYPERLINK("https://www.google.com/maps?q=10.78757763,79.34890747","Open Location")</f>
        <v>Open Location</v>
      </c>
    </row>
    <row r="8328" spans="1:40" x14ac:dyDescent="0.3">
      <c r="A8328" s="1">
        <v>46210.035416666666</v>
      </c>
      <c r="B8328" t="s">
        <v>40</v>
      </c>
      <c r="C8328" t="s">
        <v>41</v>
      </c>
      <c r="D8328" s="1">
        <v>46210.038437499999</v>
      </c>
      <c r="E8328" t="s">
        <v>42</v>
      </c>
      <c r="F8328" t="s">
        <v>83</v>
      </c>
      <c r="G8328">
        <v>63</v>
      </c>
      <c r="H8328">
        <v>33018</v>
      </c>
      <c r="I8328" t="s">
        <v>43</v>
      </c>
      <c r="J8328">
        <v>83</v>
      </c>
      <c r="K8328">
        <v>73</v>
      </c>
      <c r="L8328">
        <v>98</v>
      </c>
      <c r="M8328">
        <v>631.59997558999999</v>
      </c>
      <c r="N8328" t="s">
        <v>87</v>
      </c>
      <c r="O8328" t="s">
        <v>86</v>
      </c>
      <c r="P8328">
        <v>131</v>
      </c>
      <c r="Q8328">
        <v>6</v>
      </c>
      <c r="R8328">
        <v>43</v>
      </c>
      <c r="S8328">
        <v>1747</v>
      </c>
      <c r="T8328">
        <v>-40</v>
      </c>
      <c r="U8328">
        <v>42</v>
      </c>
      <c r="V8328">
        <v>240</v>
      </c>
      <c r="W8328">
        <v>26</v>
      </c>
      <c r="X8328">
        <v>26</v>
      </c>
      <c r="Y8328">
        <v>1</v>
      </c>
      <c r="Z8328">
        <v>8</v>
      </c>
      <c r="AA8328">
        <v>23</v>
      </c>
      <c r="AB8328">
        <v>2</v>
      </c>
      <c r="AC8328">
        <v>3</v>
      </c>
      <c r="AD8328">
        <v>3.2950000799999999</v>
      </c>
      <c r="AE8328">
        <v>5</v>
      </c>
      <c r="AF8328">
        <v>38</v>
      </c>
      <c r="AG8328">
        <v>3.28600001</v>
      </c>
      <c r="AH8328">
        <v>4</v>
      </c>
      <c r="AI8328">
        <v>17</v>
      </c>
      <c r="AJ8328">
        <v>1</v>
      </c>
      <c r="AK8328">
        <v>27</v>
      </c>
      <c r="AL8328">
        <v>38</v>
      </c>
      <c r="AM8328" t="s">
        <v>43</v>
      </c>
      <c r="AN8328" t="s">
        <v>43</v>
      </c>
    </row>
    <row r="8329" spans="1:40" x14ac:dyDescent="0.3">
      <c r="A8329" s="1">
        <v>46210.035300925927</v>
      </c>
      <c r="B8329" t="s">
        <v>40</v>
      </c>
      <c r="C8329" t="s">
        <v>41</v>
      </c>
      <c r="D8329" s="1">
        <v>46210.038032407407</v>
      </c>
      <c r="E8329" t="s">
        <v>42</v>
      </c>
      <c r="F8329" t="s">
        <v>83</v>
      </c>
      <c r="G8329">
        <v>63</v>
      </c>
      <c r="H8329" t="s">
        <v>43</v>
      </c>
      <c r="I8329" t="s">
        <v>4576</v>
      </c>
      <c r="J8329">
        <v>83</v>
      </c>
      <c r="K8329">
        <v>79</v>
      </c>
      <c r="L8329">
        <v>98</v>
      </c>
      <c r="M8329">
        <v>630.20001220999995</v>
      </c>
      <c r="N8329" t="s">
        <v>87</v>
      </c>
      <c r="O8329" t="s">
        <v>86</v>
      </c>
      <c r="P8329">
        <v>131</v>
      </c>
      <c r="Q8329">
        <v>6</v>
      </c>
      <c r="R8329">
        <v>61</v>
      </c>
      <c r="S8329">
        <v>1741</v>
      </c>
      <c r="T8329">
        <v>-40</v>
      </c>
      <c r="U8329">
        <v>42</v>
      </c>
      <c r="V8329">
        <v>261</v>
      </c>
      <c r="W8329">
        <v>26</v>
      </c>
      <c r="X8329">
        <v>26</v>
      </c>
      <c r="Y8329">
        <v>1</v>
      </c>
      <c r="Z8329">
        <v>8</v>
      </c>
      <c r="AA8329">
        <v>23</v>
      </c>
      <c r="AB8329">
        <v>2</v>
      </c>
      <c r="AC8329">
        <v>3</v>
      </c>
      <c r="AD8329">
        <v>3.2939999100000001</v>
      </c>
      <c r="AE8329">
        <v>1</v>
      </c>
      <c r="AF8329">
        <v>41</v>
      </c>
      <c r="AG8329">
        <v>3.28600001</v>
      </c>
      <c r="AH8329">
        <v>4</v>
      </c>
      <c r="AI8329">
        <v>17</v>
      </c>
      <c r="AJ8329">
        <v>1</v>
      </c>
      <c r="AK8329">
        <v>27</v>
      </c>
      <c r="AL8329">
        <v>38</v>
      </c>
      <c r="AM8329" t="s">
        <v>43</v>
      </c>
      <c r="AN8329" t="str">
        <f>HYPERLINK("https://www.google.com/maps?q=10.78815556,79.34706116","Open Location")</f>
        <v>Open Location</v>
      </c>
    </row>
    <row r="8330" spans="1:40" x14ac:dyDescent="0.3">
      <c r="A8330" s="1">
        <v>46210.035185185188</v>
      </c>
      <c r="B8330" t="s">
        <v>40</v>
      </c>
      <c r="C8330" t="s">
        <v>41</v>
      </c>
      <c r="D8330" s="1">
        <v>46210.037986111114</v>
      </c>
      <c r="E8330" t="s">
        <v>42</v>
      </c>
      <c r="F8330" t="s">
        <v>83</v>
      </c>
      <c r="G8330">
        <v>63</v>
      </c>
      <c r="H8330">
        <v>33017</v>
      </c>
      <c r="I8330" t="s">
        <v>4577</v>
      </c>
      <c r="J8330">
        <v>83</v>
      </c>
      <c r="K8330">
        <v>104</v>
      </c>
      <c r="L8330">
        <v>98</v>
      </c>
      <c r="M8330">
        <v>629.70001220999995</v>
      </c>
      <c r="N8330" t="s">
        <v>87</v>
      </c>
      <c r="O8330" t="s">
        <v>86</v>
      </c>
      <c r="P8330">
        <v>131</v>
      </c>
      <c r="Q8330">
        <v>6</v>
      </c>
      <c r="R8330">
        <v>55</v>
      </c>
      <c r="S8330">
        <v>1753</v>
      </c>
      <c r="T8330">
        <v>-40</v>
      </c>
      <c r="U8330">
        <v>43</v>
      </c>
      <c r="V8330">
        <v>340</v>
      </c>
      <c r="W8330">
        <v>26</v>
      </c>
      <c r="X8330">
        <v>26</v>
      </c>
      <c r="Y8330">
        <v>1</v>
      </c>
      <c r="Z8330">
        <v>8</v>
      </c>
      <c r="AA8330">
        <v>23</v>
      </c>
      <c r="AB8330">
        <v>2</v>
      </c>
      <c r="AC8330">
        <v>3</v>
      </c>
      <c r="AD8330">
        <v>3.28900003</v>
      </c>
      <c r="AE8330">
        <v>1</v>
      </c>
      <c r="AF8330">
        <v>38</v>
      </c>
      <c r="AG8330">
        <v>3.2790000400000001</v>
      </c>
      <c r="AH8330">
        <v>4</v>
      </c>
      <c r="AI8330">
        <v>17</v>
      </c>
      <c r="AJ8330" t="s">
        <v>43</v>
      </c>
      <c r="AK8330" t="s">
        <v>43</v>
      </c>
      <c r="AL8330" t="s">
        <v>43</v>
      </c>
      <c r="AM8330" t="s">
        <v>43</v>
      </c>
      <c r="AN8330" t="str">
        <f>HYPERLINK("https://www.google.com/maps?q=10.78857136,79.34519196","Open Location")</f>
        <v>Open Location</v>
      </c>
    </row>
    <row r="8331" spans="1:40" x14ac:dyDescent="0.3">
      <c r="A8331" s="1">
        <v>46210.035069444442</v>
      </c>
      <c r="B8331" t="s">
        <v>40</v>
      </c>
      <c r="C8331" t="s">
        <v>41</v>
      </c>
      <c r="D8331" s="1">
        <v>46210.037673611114</v>
      </c>
      <c r="E8331" t="s">
        <v>42</v>
      </c>
      <c r="F8331" t="s">
        <v>83</v>
      </c>
      <c r="G8331">
        <v>63</v>
      </c>
      <c r="H8331">
        <v>33017</v>
      </c>
      <c r="I8331" t="s">
        <v>4578</v>
      </c>
      <c r="J8331">
        <v>83</v>
      </c>
      <c r="K8331">
        <v>82</v>
      </c>
      <c r="L8331">
        <v>98</v>
      </c>
      <c r="M8331">
        <v>629.5</v>
      </c>
      <c r="N8331" t="s">
        <v>87</v>
      </c>
      <c r="O8331" t="s">
        <v>86</v>
      </c>
      <c r="P8331">
        <v>131</v>
      </c>
      <c r="Q8331">
        <v>6</v>
      </c>
      <c r="R8331">
        <v>47</v>
      </c>
      <c r="S8331">
        <v>1748</v>
      </c>
      <c r="T8331">
        <v>-40</v>
      </c>
      <c r="U8331">
        <v>42</v>
      </c>
      <c r="V8331">
        <v>223</v>
      </c>
      <c r="W8331">
        <v>26</v>
      </c>
      <c r="X8331">
        <v>26</v>
      </c>
      <c r="Y8331">
        <v>1</v>
      </c>
      <c r="Z8331">
        <v>8</v>
      </c>
      <c r="AA8331">
        <v>23</v>
      </c>
      <c r="AB8331">
        <v>2</v>
      </c>
      <c r="AC8331">
        <v>3</v>
      </c>
      <c r="AD8331">
        <v>3.2939999100000001</v>
      </c>
      <c r="AE8331">
        <v>1</v>
      </c>
      <c r="AF8331">
        <v>42</v>
      </c>
      <c r="AG8331">
        <v>3.28500009</v>
      </c>
      <c r="AH8331">
        <v>4</v>
      </c>
      <c r="AI8331">
        <v>17</v>
      </c>
      <c r="AJ8331">
        <v>1</v>
      </c>
      <c r="AK8331">
        <v>27</v>
      </c>
      <c r="AL8331">
        <v>38</v>
      </c>
      <c r="AM8331" t="s">
        <v>43</v>
      </c>
      <c r="AN8331" t="str">
        <f>HYPERLINK("https://www.google.com/maps?q=10.78902721,79.34331512","Open Location")</f>
        <v>Open Location</v>
      </c>
    </row>
    <row r="8332" spans="1:40" x14ac:dyDescent="0.3">
      <c r="A8332" s="1">
        <v>46210.034953703704</v>
      </c>
      <c r="B8332" t="s">
        <v>40</v>
      </c>
      <c r="C8332" t="s">
        <v>41</v>
      </c>
      <c r="D8332" s="1">
        <v>46210.037662037037</v>
      </c>
      <c r="E8332" t="s">
        <v>42</v>
      </c>
      <c r="F8332" t="s">
        <v>83</v>
      </c>
      <c r="G8332">
        <v>63</v>
      </c>
      <c r="H8332">
        <v>33017</v>
      </c>
      <c r="I8332" t="s">
        <v>4579</v>
      </c>
      <c r="J8332">
        <v>83</v>
      </c>
      <c r="K8332">
        <v>78</v>
      </c>
      <c r="L8332">
        <v>98</v>
      </c>
      <c r="M8332">
        <v>631.70001220999995</v>
      </c>
      <c r="N8332" t="s">
        <v>87</v>
      </c>
      <c r="O8332" t="s">
        <v>86</v>
      </c>
      <c r="P8332">
        <v>131</v>
      </c>
      <c r="Q8332">
        <v>6</v>
      </c>
      <c r="R8332">
        <v>36</v>
      </c>
      <c r="S8332">
        <v>1743</v>
      </c>
      <c r="T8332">
        <v>-40</v>
      </c>
      <c r="U8332">
        <v>42</v>
      </c>
      <c r="V8332">
        <v>260</v>
      </c>
      <c r="W8332">
        <v>26</v>
      </c>
      <c r="X8332">
        <v>26</v>
      </c>
      <c r="Y8332">
        <v>1</v>
      </c>
      <c r="Z8332">
        <v>8</v>
      </c>
      <c r="AA8332">
        <v>23</v>
      </c>
      <c r="AB8332">
        <v>2</v>
      </c>
      <c r="AC8332">
        <v>3</v>
      </c>
      <c r="AD8332">
        <v>3.2950000799999999</v>
      </c>
      <c r="AE8332">
        <v>1</v>
      </c>
      <c r="AF8332">
        <v>42</v>
      </c>
      <c r="AG8332">
        <v>3.2869999399999998</v>
      </c>
      <c r="AH8332">
        <v>4</v>
      </c>
      <c r="AI8332">
        <v>17</v>
      </c>
      <c r="AJ8332">
        <v>1</v>
      </c>
      <c r="AK8332">
        <v>27</v>
      </c>
      <c r="AL8332">
        <v>38</v>
      </c>
      <c r="AM8332" t="s">
        <v>43</v>
      </c>
      <c r="AN8332" t="str">
        <f>HYPERLINK("https://www.google.com/maps?q=10.78956604,79.34127808","Open Location")</f>
        <v>Open Location</v>
      </c>
    </row>
    <row r="8333" spans="1:40" x14ac:dyDescent="0.3">
      <c r="A8333" s="1">
        <v>46210.034837962965</v>
      </c>
      <c r="B8333" t="s">
        <v>40</v>
      </c>
      <c r="C8333" t="s">
        <v>41</v>
      </c>
      <c r="D8333" s="1">
        <v>46210.037604166668</v>
      </c>
      <c r="E8333" t="s">
        <v>42</v>
      </c>
      <c r="F8333" t="s">
        <v>83</v>
      </c>
      <c r="G8333">
        <v>64</v>
      </c>
      <c r="H8333">
        <v>33017</v>
      </c>
      <c r="I8333" t="s">
        <v>4580</v>
      </c>
      <c r="J8333">
        <v>83</v>
      </c>
      <c r="K8333">
        <v>96</v>
      </c>
      <c r="L8333">
        <v>98</v>
      </c>
      <c r="M8333">
        <v>630.20001220999995</v>
      </c>
      <c r="N8333" t="s">
        <v>87</v>
      </c>
      <c r="O8333" t="s">
        <v>86</v>
      </c>
      <c r="P8333">
        <v>131</v>
      </c>
      <c r="Q8333">
        <v>6</v>
      </c>
      <c r="R8333">
        <v>44</v>
      </c>
      <c r="S8333">
        <v>1775</v>
      </c>
      <c r="T8333">
        <v>-40</v>
      </c>
      <c r="U8333">
        <v>43</v>
      </c>
      <c r="V8333">
        <v>320</v>
      </c>
      <c r="W8333">
        <v>26</v>
      </c>
      <c r="X8333">
        <v>26</v>
      </c>
      <c r="Y8333">
        <v>1</v>
      </c>
      <c r="Z8333">
        <v>8</v>
      </c>
      <c r="AA8333">
        <v>23</v>
      </c>
      <c r="AB8333">
        <v>2</v>
      </c>
      <c r="AC8333">
        <v>3</v>
      </c>
      <c r="AD8333">
        <v>3.2939999100000001</v>
      </c>
      <c r="AE8333">
        <v>1</v>
      </c>
      <c r="AF8333">
        <v>42</v>
      </c>
      <c r="AG8333">
        <v>3.28500009</v>
      </c>
      <c r="AH8333">
        <v>4</v>
      </c>
      <c r="AI8333">
        <v>17</v>
      </c>
      <c r="AJ8333">
        <v>1</v>
      </c>
      <c r="AK8333">
        <v>27</v>
      </c>
      <c r="AL8333">
        <v>38</v>
      </c>
      <c r="AM8333" t="s">
        <v>43</v>
      </c>
      <c r="AN8333" t="str">
        <f>HYPERLINK("https://www.google.com/maps?q=10.79008675,79.33937073","Open Location")</f>
        <v>Open Location</v>
      </c>
    </row>
    <row r="8334" spans="1:40" x14ac:dyDescent="0.3">
      <c r="A8334" s="1">
        <v>46210.034722222219</v>
      </c>
      <c r="B8334" t="s">
        <v>40</v>
      </c>
      <c r="C8334" t="s">
        <v>41</v>
      </c>
      <c r="D8334" s="1">
        <v>46210.037569444445</v>
      </c>
      <c r="E8334" t="s">
        <v>42</v>
      </c>
      <c r="F8334" t="s">
        <v>83</v>
      </c>
      <c r="G8334">
        <v>63</v>
      </c>
      <c r="H8334">
        <v>33017</v>
      </c>
      <c r="I8334" t="s">
        <v>43</v>
      </c>
      <c r="J8334">
        <v>83</v>
      </c>
      <c r="K8334">
        <v>146</v>
      </c>
      <c r="L8334">
        <v>98</v>
      </c>
      <c r="M8334">
        <v>628.59997558999999</v>
      </c>
      <c r="N8334" t="s">
        <v>87</v>
      </c>
      <c r="O8334" t="s">
        <v>86</v>
      </c>
      <c r="P8334">
        <v>131</v>
      </c>
      <c r="Q8334">
        <v>6</v>
      </c>
      <c r="R8334">
        <v>80</v>
      </c>
      <c r="S8334">
        <v>1776</v>
      </c>
      <c r="T8334">
        <v>-40</v>
      </c>
      <c r="U8334">
        <v>42</v>
      </c>
      <c r="V8334">
        <v>480</v>
      </c>
      <c r="W8334">
        <v>26</v>
      </c>
      <c r="X8334">
        <v>26</v>
      </c>
      <c r="Y8334">
        <v>1</v>
      </c>
      <c r="Z8334">
        <v>8</v>
      </c>
      <c r="AA8334">
        <v>23</v>
      </c>
      <c r="AB8334">
        <v>2</v>
      </c>
      <c r="AC8334">
        <v>3</v>
      </c>
      <c r="AD8334">
        <v>3.2869999399999998</v>
      </c>
      <c r="AE8334">
        <v>1</v>
      </c>
      <c r="AF8334">
        <v>42</v>
      </c>
      <c r="AG8334">
        <v>3.2750001000000002</v>
      </c>
      <c r="AH8334">
        <v>6</v>
      </c>
      <c r="AI8334">
        <v>24</v>
      </c>
      <c r="AJ8334">
        <v>1</v>
      </c>
      <c r="AK8334">
        <v>27</v>
      </c>
      <c r="AL8334">
        <v>38</v>
      </c>
      <c r="AM8334" t="s">
        <v>43</v>
      </c>
      <c r="AN8334" t="s">
        <v>43</v>
      </c>
    </row>
    <row r="8335" spans="1:40" x14ac:dyDescent="0.3">
      <c r="A8335" s="1">
        <v>46210.03460648148</v>
      </c>
      <c r="B8335" t="s">
        <v>40</v>
      </c>
      <c r="C8335" t="s">
        <v>41</v>
      </c>
      <c r="D8335" s="1">
        <v>46210.037569444445</v>
      </c>
      <c r="E8335" t="s">
        <v>42</v>
      </c>
      <c r="F8335" t="s">
        <v>83</v>
      </c>
      <c r="G8335">
        <v>63</v>
      </c>
      <c r="H8335">
        <v>33016</v>
      </c>
      <c r="I8335" t="s">
        <v>4581</v>
      </c>
      <c r="J8335">
        <v>83</v>
      </c>
      <c r="K8335">
        <v>54</v>
      </c>
      <c r="L8335">
        <v>98</v>
      </c>
      <c r="M8335">
        <v>632.59997558999999</v>
      </c>
      <c r="N8335" t="s">
        <v>87</v>
      </c>
      <c r="O8335" t="s">
        <v>86</v>
      </c>
      <c r="P8335">
        <v>131</v>
      </c>
      <c r="Q8335">
        <v>6</v>
      </c>
      <c r="R8335">
        <v>40</v>
      </c>
      <c r="S8335">
        <v>1742</v>
      </c>
      <c r="T8335">
        <v>-40</v>
      </c>
      <c r="U8335">
        <v>42</v>
      </c>
      <c r="V8335">
        <v>180</v>
      </c>
      <c r="W8335">
        <v>26</v>
      </c>
      <c r="X8335">
        <v>26</v>
      </c>
      <c r="Y8335">
        <v>1</v>
      </c>
      <c r="Z8335">
        <v>8</v>
      </c>
      <c r="AA8335">
        <v>23</v>
      </c>
      <c r="AB8335">
        <v>2</v>
      </c>
      <c r="AC8335">
        <v>3</v>
      </c>
      <c r="AD8335">
        <v>3.2959999999999998</v>
      </c>
      <c r="AE8335">
        <v>1</v>
      </c>
      <c r="AF8335">
        <v>38</v>
      </c>
      <c r="AG8335">
        <v>3.28800011</v>
      </c>
      <c r="AH8335">
        <v>4</v>
      </c>
      <c r="AI8335">
        <v>17</v>
      </c>
      <c r="AJ8335">
        <v>1</v>
      </c>
      <c r="AK8335">
        <v>27</v>
      </c>
      <c r="AL8335">
        <v>38</v>
      </c>
      <c r="AM8335" t="s">
        <v>43</v>
      </c>
      <c r="AN8335" t="str">
        <f>HYPERLINK("https://www.google.com/maps?q=10.79061222,79.33750916","Open Location")</f>
        <v>Open Location</v>
      </c>
    </row>
    <row r="8336" spans="1:40" x14ac:dyDescent="0.3">
      <c r="A8336" s="1">
        <v>46210.034490740742</v>
      </c>
      <c r="B8336" t="s">
        <v>40</v>
      </c>
      <c r="C8336" t="s">
        <v>41</v>
      </c>
      <c r="D8336" s="1">
        <v>46210.037210648145</v>
      </c>
      <c r="E8336" t="s">
        <v>42</v>
      </c>
      <c r="F8336" t="s">
        <v>83</v>
      </c>
      <c r="G8336">
        <v>64</v>
      </c>
      <c r="H8336">
        <v>33016</v>
      </c>
      <c r="I8336" t="s">
        <v>4582</v>
      </c>
      <c r="J8336">
        <v>83</v>
      </c>
      <c r="K8336">
        <v>74</v>
      </c>
      <c r="L8336">
        <v>98</v>
      </c>
      <c r="M8336">
        <v>631.29998779000005</v>
      </c>
      <c r="N8336" t="s">
        <v>87</v>
      </c>
      <c r="O8336" t="s">
        <v>86</v>
      </c>
      <c r="P8336">
        <v>131</v>
      </c>
      <c r="Q8336">
        <v>6</v>
      </c>
      <c r="R8336">
        <v>52</v>
      </c>
      <c r="S8336">
        <v>1780</v>
      </c>
      <c r="T8336">
        <v>-40</v>
      </c>
      <c r="U8336">
        <v>43</v>
      </c>
      <c r="V8336">
        <v>240</v>
      </c>
      <c r="W8336">
        <v>26</v>
      </c>
      <c r="X8336">
        <v>26</v>
      </c>
      <c r="Y8336">
        <v>1</v>
      </c>
      <c r="Z8336">
        <v>8</v>
      </c>
      <c r="AA8336">
        <v>23</v>
      </c>
      <c r="AB8336">
        <v>2</v>
      </c>
      <c r="AC8336">
        <v>3</v>
      </c>
      <c r="AD8336">
        <v>3.2920000599999999</v>
      </c>
      <c r="AE8336">
        <v>1</v>
      </c>
      <c r="AF8336">
        <v>42</v>
      </c>
      <c r="AG8336">
        <v>3.28299999</v>
      </c>
      <c r="AH8336">
        <v>4</v>
      </c>
      <c r="AI8336">
        <v>17</v>
      </c>
      <c r="AJ8336">
        <v>1</v>
      </c>
      <c r="AK8336">
        <v>27</v>
      </c>
      <c r="AL8336">
        <v>38</v>
      </c>
      <c r="AM8336" t="s">
        <v>43</v>
      </c>
      <c r="AN8336" t="str">
        <f>HYPERLINK("https://www.google.com/maps?q=10.79114723,79.33562469","Open Location")</f>
        <v>Open Location</v>
      </c>
    </row>
    <row r="8337" spans="1:40" x14ac:dyDescent="0.3">
      <c r="A8337" s="1">
        <v>46210.034375000003</v>
      </c>
      <c r="B8337" t="s">
        <v>40</v>
      </c>
      <c r="C8337" t="s">
        <v>41</v>
      </c>
      <c r="D8337" s="1">
        <v>46210.037175925929</v>
      </c>
      <c r="E8337" t="s">
        <v>42</v>
      </c>
      <c r="F8337" t="s">
        <v>83</v>
      </c>
      <c r="G8337">
        <v>63</v>
      </c>
      <c r="H8337">
        <v>33016</v>
      </c>
      <c r="I8337" t="s">
        <v>4583</v>
      </c>
      <c r="J8337">
        <v>83</v>
      </c>
      <c r="K8337">
        <v>85</v>
      </c>
      <c r="L8337">
        <v>98</v>
      </c>
      <c r="M8337">
        <v>630.79998779000005</v>
      </c>
      <c r="N8337" t="s">
        <v>87</v>
      </c>
      <c r="O8337" t="s">
        <v>86</v>
      </c>
      <c r="P8337">
        <v>131</v>
      </c>
      <c r="Q8337">
        <v>6</v>
      </c>
      <c r="R8337">
        <v>40</v>
      </c>
      <c r="S8337">
        <v>1755</v>
      </c>
      <c r="T8337">
        <v>-40</v>
      </c>
      <c r="U8337">
        <v>43</v>
      </c>
      <c r="V8337">
        <v>280</v>
      </c>
      <c r="W8337">
        <v>26</v>
      </c>
      <c r="X8337">
        <v>26</v>
      </c>
      <c r="Y8337">
        <v>1</v>
      </c>
      <c r="Z8337">
        <v>8</v>
      </c>
      <c r="AA8337">
        <v>23</v>
      </c>
      <c r="AB8337">
        <v>2</v>
      </c>
      <c r="AC8337">
        <v>3</v>
      </c>
      <c r="AD8337">
        <v>3.2950000799999999</v>
      </c>
      <c r="AE8337">
        <v>1</v>
      </c>
      <c r="AF8337">
        <v>38</v>
      </c>
      <c r="AG8337">
        <v>3.2869999399999998</v>
      </c>
      <c r="AH8337">
        <v>4</v>
      </c>
      <c r="AI8337">
        <v>17</v>
      </c>
      <c r="AJ8337">
        <v>1</v>
      </c>
      <c r="AK8337">
        <v>27</v>
      </c>
      <c r="AL8337">
        <v>38</v>
      </c>
      <c r="AM8337" t="s">
        <v>43</v>
      </c>
      <c r="AN8337" t="str">
        <f>HYPERLINK("https://www.google.com/maps?q=10.79169083,79.33375549","Open Location")</f>
        <v>Open Location</v>
      </c>
    </row>
    <row r="8338" spans="1:40" x14ac:dyDescent="0.3">
      <c r="A8338" s="1">
        <v>46210.034259259257</v>
      </c>
      <c r="B8338" t="s">
        <v>40</v>
      </c>
      <c r="C8338" t="s">
        <v>41</v>
      </c>
      <c r="D8338" s="1">
        <v>46210.037152777775</v>
      </c>
      <c r="E8338" t="s">
        <v>42</v>
      </c>
      <c r="F8338" t="s">
        <v>83</v>
      </c>
      <c r="G8338">
        <v>62</v>
      </c>
      <c r="H8338">
        <v>33016</v>
      </c>
      <c r="I8338" t="s">
        <v>4584</v>
      </c>
      <c r="J8338">
        <v>83</v>
      </c>
      <c r="K8338">
        <v>90</v>
      </c>
      <c r="L8338">
        <v>98</v>
      </c>
      <c r="M8338">
        <v>630.20001220999995</v>
      </c>
      <c r="N8338" t="s">
        <v>87</v>
      </c>
      <c r="O8338" t="s">
        <v>86</v>
      </c>
      <c r="P8338">
        <v>131</v>
      </c>
      <c r="Q8338">
        <v>6</v>
      </c>
      <c r="R8338">
        <v>50</v>
      </c>
      <c r="S8338">
        <v>1738</v>
      </c>
      <c r="T8338">
        <v>-40</v>
      </c>
      <c r="U8338">
        <v>44</v>
      </c>
      <c r="V8338">
        <v>300</v>
      </c>
      <c r="W8338">
        <v>26</v>
      </c>
      <c r="X8338">
        <v>26</v>
      </c>
      <c r="Y8338">
        <v>1</v>
      </c>
      <c r="Z8338">
        <v>8</v>
      </c>
      <c r="AA8338">
        <v>23</v>
      </c>
      <c r="AB8338">
        <v>2</v>
      </c>
      <c r="AC8338">
        <v>3</v>
      </c>
      <c r="AD8338">
        <v>3.2920000599999999</v>
      </c>
      <c r="AE8338">
        <v>1</v>
      </c>
      <c r="AF8338">
        <v>44</v>
      </c>
      <c r="AG8338">
        <v>3.2820000600000001</v>
      </c>
      <c r="AH8338">
        <v>4</v>
      </c>
      <c r="AI8338">
        <v>17</v>
      </c>
      <c r="AJ8338">
        <v>1</v>
      </c>
      <c r="AK8338">
        <v>27</v>
      </c>
      <c r="AL8338">
        <v>38</v>
      </c>
      <c r="AM8338" t="s">
        <v>43</v>
      </c>
      <c r="AN8338" t="str">
        <f>HYPERLINK("https://www.google.com/maps?q=10.79214859,79.33188629","Open Location")</f>
        <v>Open Location</v>
      </c>
    </row>
    <row r="8339" spans="1:40" x14ac:dyDescent="0.3">
      <c r="A8339" s="1">
        <v>46210.034143518518</v>
      </c>
      <c r="B8339" t="s">
        <v>40</v>
      </c>
      <c r="C8339" t="s">
        <v>41</v>
      </c>
      <c r="D8339" s="1">
        <v>46210.037210648145</v>
      </c>
      <c r="E8339" t="s">
        <v>42</v>
      </c>
      <c r="F8339" t="s">
        <v>83</v>
      </c>
      <c r="G8339">
        <v>61</v>
      </c>
      <c r="H8339">
        <v>33016</v>
      </c>
      <c r="I8339" t="s">
        <v>43</v>
      </c>
      <c r="J8339">
        <v>83</v>
      </c>
      <c r="K8339">
        <v>108</v>
      </c>
      <c r="L8339">
        <v>98</v>
      </c>
      <c r="M8339">
        <v>629.5</v>
      </c>
      <c r="N8339" t="s">
        <v>87</v>
      </c>
      <c r="O8339" t="s">
        <v>86</v>
      </c>
      <c r="P8339">
        <v>131</v>
      </c>
      <c r="Q8339">
        <v>6</v>
      </c>
      <c r="R8339">
        <v>98</v>
      </c>
      <c r="S8339">
        <v>1712</v>
      </c>
      <c r="T8339">
        <v>-40</v>
      </c>
      <c r="U8339">
        <v>46</v>
      </c>
      <c r="V8339">
        <v>360</v>
      </c>
      <c r="W8339">
        <v>26</v>
      </c>
      <c r="X8339">
        <v>26</v>
      </c>
      <c r="Y8339">
        <v>1</v>
      </c>
      <c r="Z8339">
        <v>8</v>
      </c>
      <c r="AA8339">
        <v>23</v>
      </c>
      <c r="AB8339">
        <v>2</v>
      </c>
      <c r="AC8339">
        <v>3</v>
      </c>
      <c r="AD8339">
        <v>3.27699995</v>
      </c>
      <c r="AE8339">
        <v>1</v>
      </c>
      <c r="AF8339">
        <v>38</v>
      </c>
      <c r="AG8339">
        <v>3.2630000099999998</v>
      </c>
      <c r="AH8339">
        <v>4</v>
      </c>
      <c r="AI8339">
        <v>17</v>
      </c>
      <c r="AJ8339">
        <v>1</v>
      </c>
      <c r="AK8339">
        <v>28</v>
      </c>
      <c r="AL8339">
        <v>38</v>
      </c>
      <c r="AM8339" t="s">
        <v>43</v>
      </c>
      <c r="AN8339" t="s">
        <v>43</v>
      </c>
    </row>
    <row r="8340" spans="1:40" x14ac:dyDescent="0.3">
      <c r="A8340" s="1">
        <v>46210.03402777778</v>
      </c>
      <c r="B8340" t="s">
        <v>40</v>
      </c>
      <c r="C8340" t="s">
        <v>41</v>
      </c>
      <c r="D8340" s="1">
        <v>46210.036770833336</v>
      </c>
      <c r="E8340" t="s">
        <v>42</v>
      </c>
      <c r="F8340" t="s">
        <v>83</v>
      </c>
      <c r="G8340">
        <v>50</v>
      </c>
      <c r="H8340">
        <v>33015</v>
      </c>
      <c r="I8340" t="s">
        <v>4585</v>
      </c>
      <c r="J8340">
        <v>83</v>
      </c>
      <c r="K8340">
        <v>280</v>
      </c>
      <c r="L8340">
        <v>98</v>
      </c>
      <c r="M8340">
        <v>624.09997558999999</v>
      </c>
      <c r="N8340" t="s">
        <v>87</v>
      </c>
      <c r="O8340" t="s">
        <v>86</v>
      </c>
      <c r="P8340">
        <v>131</v>
      </c>
      <c r="Q8340">
        <v>6</v>
      </c>
      <c r="R8340">
        <v>168</v>
      </c>
      <c r="S8340">
        <v>1508</v>
      </c>
      <c r="T8340">
        <v>-40</v>
      </c>
      <c r="U8340">
        <v>44</v>
      </c>
      <c r="V8340">
        <v>1060</v>
      </c>
      <c r="W8340">
        <v>26</v>
      </c>
      <c r="X8340">
        <v>26</v>
      </c>
      <c r="Y8340">
        <v>1</v>
      </c>
      <c r="Z8340">
        <v>8</v>
      </c>
      <c r="AA8340">
        <v>23</v>
      </c>
      <c r="AB8340">
        <v>2</v>
      </c>
      <c r="AC8340">
        <v>3</v>
      </c>
      <c r="AD8340">
        <v>3.2669999600000001</v>
      </c>
      <c r="AE8340">
        <v>5</v>
      </c>
      <c r="AF8340">
        <v>38</v>
      </c>
      <c r="AG8340">
        <v>3.2449998899999999</v>
      </c>
      <c r="AH8340">
        <v>8</v>
      </c>
      <c r="AI8340">
        <v>35</v>
      </c>
      <c r="AJ8340">
        <v>1</v>
      </c>
      <c r="AK8340">
        <v>27</v>
      </c>
      <c r="AL8340">
        <v>38</v>
      </c>
      <c r="AM8340" t="s">
        <v>43</v>
      </c>
      <c r="AN8340" t="str">
        <f>HYPERLINK("https://www.google.com/maps?q=10.79246426,79.33005524","Open Location")</f>
        <v>Open Location</v>
      </c>
    </row>
    <row r="8341" spans="1:40" x14ac:dyDescent="0.3">
      <c r="A8341" s="1">
        <v>46210.033912037034</v>
      </c>
      <c r="B8341" t="s">
        <v>40</v>
      </c>
      <c r="C8341" t="s">
        <v>41</v>
      </c>
      <c r="D8341" s="1">
        <v>46210.036817129629</v>
      </c>
      <c r="E8341" t="s">
        <v>42</v>
      </c>
      <c r="F8341" t="s">
        <v>83</v>
      </c>
      <c r="G8341">
        <v>47</v>
      </c>
      <c r="H8341">
        <v>33015</v>
      </c>
      <c r="I8341" t="s">
        <v>4586</v>
      </c>
      <c r="J8341">
        <v>83</v>
      </c>
      <c r="K8341">
        <v>-10</v>
      </c>
      <c r="L8341">
        <v>98</v>
      </c>
      <c r="M8341">
        <v>638.09997558999999</v>
      </c>
      <c r="N8341" t="s">
        <v>87</v>
      </c>
      <c r="O8341" t="s">
        <v>86</v>
      </c>
      <c r="P8341">
        <v>131</v>
      </c>
      <c r="Q8341">
        <v>6</v>
      </c>
      <c r="R8341">
        <v>-42</v>
      </c>
      <c r="S8341">
        <v>1249</v>
      </c>
      <c r="T8341">
        <v>-40</v>
      </c>
      <c r="U8341">
        <v>42</v>
      </c>
      <c r="V8341">
        <v>-36</v>
      </c>
      <c r="W8341">
        <v>26</v>
      </c>
      <c r="X8341">
        <v>26</v>
      </c>
      <c r="Y8341">
        <v>1</v>
      </c>
      <c r="Z8341">
        <v>8</v>
      </c>
      <c r="AA8341">
        <v>23</v>
      </c>
      <c r="AB8341">
        <v>2</v>
      </c>
      <c r="AC8341">
        <v>3</v>
      </c>
      <c r="AD8341">
        <v>3.3280000699999999</v>
      </c>
      <c r="AE8341">
        <v>2</v>
      </c>
      <c r="AF8341">
        <v>46</v>
      </c>
      <c r="AG8341">
        <v>3.3239998800000001</v>
      </c>
      <c r="AH8341">
        <v>5</v>
      </c>
      <c r="AI8341">
        <v>27</v>
      </c>
      <c r="AJ8341">
        <v>1</v>
      </c>
      <c r="AK8341">
        <v>27</v>
      </c>
      <c r="AL8341">
        <v>38</v>
      </c>
      <c r="AM8341" t="s">
        <v>43</v>
      </c>
      <c r="AN8341" t="str">
        <f>HYPERLINK("https://www.google.com/maps?q=10.79271507,79.32846069","Open Location")</f>
        <v>Open Location</v>
      </c>
    </row>
    <row r="8342" spans="1:40" x14ac:dyDescent="0.3">
      <c r="A8342" s="1">
        <v>46210.033796296295</v>
      </c>
      <c r="B8342" t="s">
        <v>40</v>
      </c>
      <c r="C8342" t="s">
        <v>41</v>
      </c>
      <c r="D8342" s="1">
        <v>46210.036770833336</v>
      </c>
      <c r="E8342" t="s">
        <v>42</v>
      </c>
      <c r="F8342" t="s">
        <v>83</v>
      </c>
      <c r="G8342">
        <v>52</v>
      </c>
      <c r="H8342">
        <v>33015</v>
      </c>
      <c r="I8342" t="s">
        <v>4587</v>
      </c>
      <c r="J8342">
        <v>83</v>
      </c>
      <c r="K8342">
        <v>96</v>
      </c>
      <c r="L8342">
        <v>98</v>
      </c>
      <c r="M8342">
        <v>632.20001220999995</v>
      </c>
      <c r="N8342" t="s">
        <v>87</v>
      </c>
      <c r="O8342" t="s">
        <v>86</v>
      </c>
      <c r="P8342">
        <v>131</v>
      </c>
      <c r="Q8342">
        <v>6</v>
      </c>
      <c r="R8342">
        <v>-46</v>
      </c>
      <c r="S8342">
        <v>1441</v>
      </c>
      <c r="T8342">
        <v>-40</v>
      </c>
      <c r="U8342">
        <v>42</v>
      </c>
      <c r="V8342">
        <v>335</v>
      </c>
      <c r="W8342">
        <v>26</v>
      </c>
      <c r="X8342">
        <v>26</v>
      </c>
      <c r="Y8342">
        <v>1</v>
      </c>
      <c r="Z8342">
        <v>8</v>
      </c>
      <c r="AA8342">
        <v>23</v>
      </c>
      <c r="AB8342">
        <v>2</v>
      </c>
      <c r="AC8342">
        <v>3</v>
      </c>
      <c r="AD8342">
        <v>3.3259999800000002</v>
      </c>
      <c r="AE8342">
        <v>4</v>
      </c>
      <c r="AF8342">
        <v>24</v>
      </c>
      <c r="AG8342">
        <v>3.3220000299999999</v>
      </c>
      <c r="AH8342">
        <v>2</v>
      </c>
      <c r="AI8342">
        <v>12</v>
      </c>
      <c r="AJ8342">
        <v>1</v>
      </c>
      <c r="AK8342">
        <v>27</v>
      </c>
      <c r="AL8342">
        <v>38</v>
      </c>
      <c r="AM8342" t="s">
        <v>43</v>
      </c>
      <c r="AN8342" t="str">
        <f>HYPERLINK("https://www.google.com/maps?q=10.79255009,79.32691956","Open Location")</f>
        <v>Open Location</v>
      </c>
    </row>
    <row r="8343" spans="1:40" x14ac:dyDescent="0.3">
      <c r="A8343" s="1">
        <v>46210.033680555556</v>
      </c>
      <c r="B8343" t="s">
        <v>40</v>
      </c>
      <c r="C8343" t="s">
        <v>41</v>
      </c>
      <c r="D8343" s="1">
        <v>46210.036585648151</v>
      </c>
      <c r="E8343" t="s">
        <v>42</v>
      </c>
      <c r="F8343" t="s">
        <v>83</v>
      </c>
      <c r="G8343">
        <v>58</v>
      </c>
      <c r="H8343" t="s">
        <v>43</v>
      </c>
      <c r="I8343" t="s">
        <v>4588</v>
      </c>
      <c r="J8343">
        <v>83</v>
      </c>
      <c r="K8343">
        <v>-54</v>
      </c>
      <c r="L8343">
        <v>98</v>
      </c>
      <c r="M8343">
        <v>635.20001220999995</v>
      </c>
      <c r="N8343" t="s">
        <v>87</v>
      </c>
      <c r="O8343" t="s">
        <v>86</v>
      </c>
      <c r="P8343">
        <v>131</v>
      </c>
      <c r="Q8343">
        <v>6</v>
      </c>
      <c r="R8343">
        <v>33</v>
      </c>
      <c r="S8343">
        <v>1565</v>
      </c>
      <c r="T8343">
        <v>-40</v>
      </c>
      <c r="U8343">
        <v>42</v>
      </c>
      <c r="V8343">
        <v>-300</v>
      </c>
      <c r="W8343">
        <v>26</v>
      </c>
      <c r="X8343">
        <v>26</v>
      </c>
      <c r="Y8343">
        <v>1</v>
      </c>
      <c r="Z8343">
        <v>8</v>
      </c>
      <c r="AA8343">
        <v>23</v>
      </c>
      <c r="AB8343">
        <v>2</v>
      </c>
      <c r="AC8343">
        <v>3</v>
      </c>
      <c r="AD8343">
        <v>3.2999999500000001</v>
      </c>
      <c r="AE8343">
        <v>1</v>
      </c>
      <c r="AF8343">
        <v>38</v>
      </c>
      <c r="AG8343">
        <v>3.2939999100000001</v>
      </c>
      <c r="AH8343">
        <v>4</v>
      </c>
      <c r="AI8343">
        <v>17</v>
      </c>
      <c r="AJ8343">
        <v>1</v>
      </c>
      <c r="AK8343">
        <v>27</v>
      </c>
      <c r="AL8343">
        <v>38</v>
      </c>
      <c r="AM8343" t="s">
        <v>43</v>
      </c>
      <c r="AN8343" t="str">
        <f>HYPERLINK("https://www.google.com/maps?q=10.79192066,79.32535553","Open Location")</f>
        <v>Open Location</v>
      </c>
    </row>
    <row r="8344" spans="1:40" x14ac:dyDescent="0.3">
      <c r="A8344" s="1">
        <v>46210.033564814818</v>
      </c>
      <c r="B8344" t="s">
        <v>40</v>
      </c>
      <c r="C8344" t="s">
        <v>41</v>
      </c>
      <c r="D8344" s="1">
        <v>46210.036307870374</v>
      </c>
      <c r="E8344" t="s">
        <v>42</v>
      </c>
      <c r="F8344" t="s">
        <v>83</v>
      </c>
      <c r="G8344">
        <v>59</v>
      </c>
      <c r="H8344">
        <v>33015</v>
      </c>
      <c r="I8344" t="s">
        <v>4589</v>
      </c>
      <c r="J8344">
        <v>83</v>
      </c>
      <c r="K8344">
        <v>58</v>
      </c>
      <c r="L8344">
        <v>98</v>
      </c>
      <c r="M8344">
        <v>633</v>
      </c>
      <c r="N8344" t="s">
        <v>87</v>
      </c>
      <c r="O8344" t="s">
        <v>86</v>
      </c>
      <c r="P8344">
        <v>131</v>
      </c>
      <c r="Q8344">
        <v>6</v>
      </c>
      <c r="R8344">
        <v>41</v>
      </c>
      <c r="S8344">
        <v>1631</v>
      </c>
      <c r="T8344">
        <v>-40</v>
      </c>
      <c r="U8344">
        <v>42</v>
      </c>
      <c r="V8344">
        <v>228</v>
      </c>
      <c r="W8344">
        <v>26</v>
      </c>
      <c r="X8344">
        <v>26</v>
      </c>
      <c r="Y8344">
        <v>1</v>
      </c>
      <c r="Z8344">
        <v>8</v>
      </c>
      <c r="AA8344">
        <v>23</v>
      </c>
      <c r="AB8344">
        <v>2</v>
      </c>
      <c r="AC8344">
        <v>3</v>
      </c>
      <c r="AD8344">
        <v>3.2969999300000001</v>
      </c>
      <c r="AE8344">
        <v>1</v>
      </c>
      <c r="AF8344">
        <v>38</v>
      </c>
      <c r="AG8344">
        <v>3.2899999599999998</v>
      </c>
      <c r="AH8344">
        <v>4</v>
      </c>
      <c r="AI8344">
        <v>17</v>
      </c>
      <c r="AJ8344">
        <v>1</v>
      </c>
      <c r="AK8344">
        <v>27</v>
      </c>
      <c r="AL8344">
        <v>38</v>
      </c>
      <c r="AM8344" t="s">
        <v>43</v>
      </c>
      <c r="AN8344" t="str">
        <f>HYPERLINK("https://www.google.com/maps?q=10.79084396,79.32392883","Open Location")</f>
        <v>Open Location</v>
      </c>
    </row>
    <row r="8345" spans="1:40" x14ac:dyDescent="0.3">
      <c r="A8345" s="1">
        <v>46210.033449074072</v>
      </c>
      <c r="B8345" t="s">
        <v>40</v>
      </c>
      <c r="C8345" t="s">
        <v>41</v>
      </c>
      <c r="D8345" s="1">
        <v>46210.036238425928</v>
      </c>
      <c r="E8345" t="s">
        <v>42</v>
      </c>
      <c r="F8345" t="s">
        <v>83</v>
      </c>
      <c r="G8345">
        <v>59</v>
      </c>
      <c r="H8345">
        <v>33015</v>
      </c>
      <c r="I8345" t="s">
        <v>43</v>
      </c>
      <c r="J8345">
        <v>83</v>
      </c>
      <c r="K8345">
        <v>41</v>
      </c>
      <c r="L8345">
        <v>98</v>
      </c>
      <c r="M8345">
        <v>632.70001220999995</v>
      </c>
      <c r="N8345" t="s">
        <v>87</v>
      </c>
      <c r="O8345" t="s">
        <v>86</v>
      </c>
      <c r="P8345">
        <v>131</v>
      </c>
      <c r="Q8345">
        <v>6</v>
      </c>
      <c r="R8345">
        <v>17</v>
      </c>
      <c r="S8345">
        <v>1641</v>
      </c>
      <c r="T8345">
        <v>-40</v>
      </c>
      <c r="U8345">
        <v>43</v>
      </c>
      <c r="V8345">
        <v>140</v>
      </c>
      <c r="W8345">
        <v>26</v>
      </c>
      <c r="X8345">
        <v>26</v>
      </c>
      <c r="Y8345">
        <v>1</v>
      </c>
      <c r="Z8345">
        <v>8</v>
      </c>
      <c r="AA8345">
        <v>23</v>
      </c>
      <c r="AB8345">
        <v>2</v>
      </c>
      <c r="AC8345">
        <v>3</v>
      </c>
      <c r="AD8345">
        <v>3.3020000500000002</v>
      </c>
      <c r="AE8345">
        <v>1</v>
      </c>
      <c r="AF8345">
        <v>39</v>
      </c>
      <c r="AG8345">
        <v>3.2959999999999998</v>
      </c>
      <c r="AH8345">
        <v>4</v>
      </c>
      <c r="AI8345">
        <v>17</v>
      </c>
      <c r="AJ8345">
        <v>1</v>
      </c>
      <c r="AK8345">
        <v>27</v>
      </c>
      <c r="AL8345">
        <v>38</v>
      </c>
      <c r="AM8345" t="s">
        <v>43</v>
      </c>
      <c r="AN8345" t="s">
        <v>43</v>
      </c>
    </row>
    <row r="8346" spans="1:40" x14ac:dyDescent="0.3">
      <c r="A8346" s="1">
        <v>46210.033333333333</v>
      </c>
      <c r="B8346" t="s">
        <v>40</v>
      </c>
      <c r="C8346" t="s">
        <v>41</v>
      </c>
      <c r="D8346" s="1">
        <v>46210.036307870374</v>
      </c>
      <c r="E8346" t="s">
        <v>42</v>
      </c>
      <c r="F8346" t="s">
        <v>83</v>
      </c>
      <c r="G8346">
        <v>58</v>
      </c>
      <c r="H8346">
        <v>33015</v>
      </c>
      <c r="I8346" t="s">
        <v>4590</v>
      </c>
      <c r="J8346">
        <v>83</v>
      </c>
      <c r="K8346">
        <v>87</v>
      </c>
      <c r="L8346">
        <v>98</v>
      </c>
      <c r="M8346">
        <v>631</v>
      </c>
      <c r="N8346" t="s">
        <v>87</v>
      </c>
      <c r="O8346" t="s">
        <v>86</v>
      </c>
      <c r="P8346">
        <v>131</v>
      </c>
      <c r="Q8346">
        <v>6</v>
      </c>
      <c r="R8346">
        <v>63</v>
      </c>
      <c r="S8346">
        <v>1624</v>
      </c>
      <c r="T8346">
        <v>-40</v>
      </c>
      <c r="U8346">
        <v>43</v>
      </c>
      <c r="V8346">
        <v>300</v>
      </c>
      <c r="W8346">
        <v>26</v>
      </c>
      <c r="X8346">
        <v>26</v>
      </c>
      <c r="Y8346">
        <v>1</v>
      </c>
      <c r="Z8346">
        <v>8</v>
      </c>
      <c r="AA8346">
        <v>23</v>
      </c>
      <c r="AB8346">
        <v>2</v>
      </c>
      <c r="AC8346">
        <v>3</v>
      </c>
      <c r="AD8346">
        <v>3.28800011</v>
      </c>
      <c r="AE8346">
        <v>1</v>
      </c>
      <c r="AF8346">
        <v>41</v>
      </c>
      <c r="AG8346">
        <v>3.2780001200000002</v>
      </c>
      <c r="AH8346">
        <v>4</v>
      </c>
      <c r="AI8346">
        <v>17</v>
      </c>
      <c r="AJ8346">
        <v>1</v>
      </c>
      <c r="AK8346">
        <v>27</v>
      </c>
      <c r="AL8346">
        <v>38</v>
      </c>
      <c r="AM8346" t="s">
        <v>43</v>
      </c>
      <c r="AN8346" t="str">
        <f>HYPERLINK("https://www.google.com/maps?q=10.78966904,79.32255554","Open Location")</f>
        <v>Open Location</v>
      </c>
    </row>
    <row r="8347" spans="1:40" x14ac:dyDescent="0.3">
      <c r="A8347" s="1">
        <v>46210.033217592594</v>
      </c>
      <c r="B8347" t="s">
        <v>40</v>
      </c>
      <c r="C8347" t="s">
        <v>41</v>
      </c>
      <c r="D8347" s="1">
        <v>46210.03638888889</v>
      </c>
      <c r="E8347" t="s">
        <v>42</v>
      </c>
      <c r="F8347" t="s">
        <v>83</v>
      </c>
      <c r="G8347">
        <v>54</v>
      </c>
      <c r="H8347">
        <v>33015</v>
      </c>
      <c r="I8347" t="s">
        <v>4591</v>
      </c>
      <c r="J8347">
        <v>83</v>
      </c>
      <c r="K8347">
        <v>103</v>
      </c>
      <c r="L8347">
        <v>98</v>
      </c>
      <c r="M8347">
        <v>630.29998779000005</v>
      </c>
      <c r="N8347" t="s">
        <v>87</v>
      </c>
      <c r="O8347" t="s">
        <v>86</v>
      </c>
      <c r="P8347">
        <v>131</v>
      </c>
      <c r="Q8347">
        <v>6</v>
      </c>
      <c r="R8347">
        <v>75</v>
      </c>
      <c r="S8347">
        <v>1515</v>
      </c>
      <c r="T8347">
        <v>-40</v>
      </c>
      <c r="U8347">
        <v>43</v>
      </c>
      <c r="V8347">
        <v>380</v>
      </c>
      <c r="W8347">
        <v>26</v>
      </c>
      <c r="X8347">
        <v>26</v>
      </c>
      <c r="Y8347">
        <v>1</v>
      </c>
      <c r="Z8347">
        <v>8</v>
      </c>
      <c r="AA8347">
        <v>23</v>
      </c>
      <c r="AB8347">
        <v>2</v>
      </c>
      <c r="AC8347">
        <v>3</v>
      </c>
      <c r="AD8347">
        <v>3.28800011</v>
      </c>
      <c r="AE8347">
        <v>5</v>
      </c>
      <c r="AF8347">
        <v>38</v>
      </c>
      <c r="AG8347">
        <v>3.27399993</v>
      </c>
      <c r="AH8347">
        <v>4</v>
      </c>
      <c r="AI8347">
        <v>17</v>
      </c>
      <c r="AJ8347">
        <v>1</v>
      </c>
      <c r="AK8347">
        <v>27</v>
      </c>
      <c r="AL8347">
        <v>38</v>
      </c>
      <c r="AM8347" t="s">
        <v>43</v>
      </c>
      <c r="AN8347" t="str">
        <f>HYPERLINK("https://www.google.com/maps?q=10.78876781,79.32107544","Open Location")</f>
        <v>Open Location</v>
      </c>
    </row>
    <row r="8348" spans="1:40" x14ac:dyDescent="0.3">
      <c r="A8348" s="1">
        <v>46210.033101851855</v>
      </c>
      <c r="B8348" t="s">
        <v>40</v>
      </c>
      <c r="C8348" t="s">
        <v>41</v>
      </c>
      <c r="D8348" s="1">
        <v>46210.03638888889</v>
      </c>
      <c r="E8348" t="s">
        <v>42</v>
      </c>
      <c r="F8348" t="s">
        <v>83</v>
      </c>
      <c r="G8348">
        <v>53</v>
      </c>
      <c r="H8348">
        <v>33014</v>
      </c>
      <c r="I8348" t="s">
        <v>4592</v>
      </c>
      <c r="J8348">
        <v>84</v>
      </c>
      <c r="K8348">
        <v>80</v>
      </c>
      <c r="L8348">
        <v>98</v>
      </c>
      <c r="M8348">
        <v>631.09997558999999</v>
      </c>
      <c r="N8348" t="s">
        <v>87</v>
      </c>
      <c r="O8348" t="s">
        <v>86</v>
      </c>
      <c r="P8348">
        <v>131</v>
      </c>
      <c r="Q8348">
        <v>6</v>
      </c>
      <c r="R8348">
        <v>46</v>
      </c>
      <c r="S8348">
        <v>1481</v>
      </c>
      <c r="T8348">
        <v>-40</v>
      </c>
      <c r="U8348">
        <v>42</v>
      </c>
      <c r="V8348">
        <v>280</v>
      </c>
      <c r="W8348">
        <v>26</v>
      </c>
      <c r="X8348">
        <v>26</v>
      </c>
      <c r="Y8348">
        <v>1</v>
      </c>
      <c r="Z8348">
        <v>8</v>
      </c>
      <c r="AA8348">
        <v>23</v>
      </c>
      <c r="AB8348">
        <v>2</v>
      </c>
      <c r="AC8348">
        <v>3</v>
      </c>
      <c r="AD8348">
        <v>3.2939999100000001</v>
      </c>
      <c r="AE8348">
        <v>1</v>
      </c>
      <c r="AF8348">
        <v>38</v>
      </c>
      <c r="AG8348">
        <v>3.28600001</v>
      </c>
      <c r="AH8348">
        <v>4</v>
      </c>
      <c r="AI8348">
        <v>17</v>
      </c>
      <c r="AJ8348">
        <v>1</v>
      </c>
      <c r="AK8348">
        <v>27</v>
      </c>
      <c r="AL8348">
        <v>38</v>
      </c>
      <c r="AM8348" t="s">
        <v>43</v>
      </c>
      <c r="AN8348" t="str">
        <f>HYPERLINK("https://www.google.com/maps?q=10.78835869,79.31949615","Open Location")</f>
        <v>Open Location</v>
      </c>
    </row>
    <row r="8349" spans="1:40" x14ac:dyDescent="0.3">
      <c r="A8349" s="1">
        <v>46210.032986111109</v>
      </c>
      <c r="B8349" t="s">
        <v>40</v>
      </c>
      <c r="C8349" t="s">
        <v>41</v>
      </c>
      <c r="D8349" s="1">
        <v>46210.035833333335</v>
      </c>
      <c r="E8349" t="s">
        <v>42</v>
      </c>
      <c r="F8349" t="s">
        <v>83</v>
      </c>
      <c r="G8349">
        <v>55</v>
      </c>
      <c r="H8349">
        <v>33014</v>
      </c>
      <c r="I8349" t="s">
        <v>4593</v>
      </c>
      <c r="J8349">
        <v>84</v>
      </c>
      <c r="K8349">
        <v>80</v>
      </c>
      <c r="L8349">
        <v>98</v>
      </c>
      <c r="M8349">
        <v>631.09997558999999</v>
      </c>
      <c r="N8349" t="s">
        <v>87</v>
      </c>
      <c r="O8349" t="s">
        <v>86</v>
      </c>
      <c r="P8349">
        <v>131</v>
      </c>
      <c r="Q8349">
        <v>6</v>
      </c>
      <c r="R8349">
        <v>41</v>
      </c>
      <c r="S8349">
        <v>1515</v>
      </c>
      <c r="T8349">
        <v>-40</v>
      </c>
      <c r="U8349">
        <v>43</v>
      </c>
      <c r="V8349">
        <v>268</v>
      </c>
      <c r="W8349">
        <v>27</v>
      </c>
      <c r="X8349">
        <v>27</v>
      </c>
      <c r="Y8349">
        <v>1</v>
      </c>
      <c r="Z8349">
        <v>8</v>
      </c>
      <c r="AA8349">
        <v>23</v>
      </c>
      <c r="AB8349">
        <v>2</v>
      </c>
      <c r="AC8349">
        <v>3</v>
      </c>
      <c r="AD8349">
        <v>3.2950000799999999</v>
      </c>
      <c r="AE8349">
        <v>1</v>
      </c>
      <c r="AF8349">
        <v>38</v>
      </c>
      <c r="AG8349">
        <v>3.2869999399999998</v>
      </c>
      <c r="AH8349">
        <v>4</v>
      </c>
      <c r="AI8349">
        <v>17</v>
      </c>
      <c r="AJ8349">
        <v>1</v>
      </c>
      <c r="AK8349">
        <v>27</v>
      </c>
      <c r="AL8349">
        <v>38</v>
      </c>
      <c r="AM8349" t="s">
        <v>43</v>
      </c>
      <c r="AN8349" t="str">
        <f>HYPERLINK("https://www.google.com/maps?q=10.78837681,79.31769562","Open Location")</f>
        <v>Open Location</v>
      </c>
    </row>
    <row r="8350" spans="1:40" x14ac:dyDescent="0.3">
      <c r="A8350" s="1">
        <v>46210.032870370371</v>
      </c>
      <c r="B8350" t="s">
        <v>40</v>
      </c>
      <c r="C8350" t="s">
        <v>41</v>
      </c>
      <c r="D8350" s="1">
        <v>46210.035868055558</v>
      </c>
      <c r="E8350" t="s">
        <v>42</v>
      </c>
      <c r="F8350" t="s">
        <v>83</v>
      </c>
      <c r="G8350">
        <v>55</v>
      </c>
      <c r="H8350">
        <v>33014</v>
      </c>
      <c r="I8350" t="s">
        <v>4594</v>
      </c>
      <c r="J8350">
        <v>84</v>
      </c>
      <c r="K8350">
        <v>82</v>
      </c>
      <c r="L8350">
        <v>98</v>
      </c>
      <c r="M8350">
        <v>631.5</v>
      </c>
      <c r="N8350" t="s">
        <v>87</v>
      </c>
      <c r="O8350" t="s">
        <v>86</v>
      </c>
      <c r="P8350">
        <v>131</v>
      </c>
      <c r="Q8350">
        <v>6</v>
      </c>
      <c r="R8350">
        <v>41</v>
      </c>
      <c r="S8350">
        <v>1527</v>
      </c>
      <c r="T8350">
        <v>-40</v>
      </c>
      <c r="U8350">
        <v>43</v>
      </c>
      <c r="V8350">
        <v>300</v>
      </c>
      <c r="W8350">
        <v>27</v>
      </c>
      <c r="X8350">
        <v>27</v>
      </c>
      <c r="Y8350">
        <v>1</v>
      </c>
      <c r="Z8350">
        <v>8</v>
      </c>
      <c r="AA8350">
        <v>23</v>
      </c>
      <c r="AB8350">
        <v>2</v>
      </c>
      <c r="AC8350">
        <v>3</v>
      </c>
      <c r="AD8350">
        <v>3.2969999300000001</v>
      </c>
      <c r="AE8350">
        <v>1</v>
      </c>
      <c r="AF8350">
        <v>38</v>
      </c>
      <c r="AG8350">
        <v>3.28900003</v>
      </c>
      <c r="AH8350">
        <v>4</v>
      </c>
      <c r="AI8350">
        <v>17</v>
      </c>
      <c r="AJ8350">
        <v>1</v>
      </c>
      <c r="AK8350">
        <v>27</v>
      </c>
      <c r="AL8350">
        <v>38</v>
      </c>
      <c r="AM8350" t="s">
        <v>43</v>
      </c>
      <c r="AN8350" t="str">
        <f>HYPERLINK("https://www.google.com/maps?q=10.78847599,79.31600952","Open Location")</f>
        <v>Open Location</v>
      </c>
    </row>
    <row r="8351" spans="1:40" x14ac:dyDescent="0.3">
      <c r="A8351" s="1">
        <v>46210.032754629632</v>
      </c>
      <c r="B8351" t="s">
        <v>40</v>
      </c>
      <c r="C8351" t="s">
        <v>41</v>
      </c>
      <c r="D8351" s="1">
        <v>46210.035601851851</v>
      </c>
      <c r="E8351" t="s">
        <v>42</v>
      </c>
      <c r="F8351" t="s">
        <v>83</v>
      </c>
      <c r="G8351">
        <v>55</v>
      </c>
      <c r="H8351">
        <v>33014</v>
      </c>
      <c r="I8351" t="s">
        <v>43</v>
      </c>
      <c r="J8351">
        <v>84</v>
      </c>
      <c r="K8351">
        <v>66</v>
      </c>
      <c r="L8351">
        <v>98</v>
      </c>
      <c r="M8351">
        <v>632</v>
      </c>
      <c r="N8351" t="s">
        <v>87</v>
      </c>
      <c r="O8351" t="s">
        <v>86</v>
      </c>
      <c r="P8351">
        <v>131</v>
      </c>
      <c r="Q8351">
        <v>6</v>
      </c>
      <c r="R8351">
        <v>45</v>
      </c>
      <c r="S8351">
        <v>1535</v>
      </c>
      <c r="T8351">
        <v>-40</v>
      </c>
      <c r="U8351">
        <v>43</v>
      </c>
      <c r="V8351">
        <v>230</v>
      </c>
      <c r="W8351">
        <v>27</v>
      </c>
      <c r="X8351">
        <v>27</v>
      </c>
      <c r="Y8351">
        <v>1</v>
      </c>
      <c r="Z8351">
        <v>8</v>
      </c>
      <c r="AA8351">
        <v>23</v>
      </c>
      <c r="AB8351">
        <v>2</v>
      </c>
      <c r="AC8351">
        <v>3</v>
      </c>
      <c r="AD8351">
        <v>3.2959999999999998</v>
      </c>
      <c r="AE8351">
        <v>1</v>
      </c>
      <c r="AF8351">
        <v>44</v>
      </c>
      <c r="AG8351">
        <v>3.28800011</v>
      </c>
      <c r="AH8351">
        <v>4</v>
      </c>
      <c r="AI8351">
        <v>17</v>
      </c>
      <c r="AJ8351">
        <v>1</v>
      </c>
      <c r="AK8351">
        <v>27</v>
      </c>
      <c r="AL8351">
        <v>38</v>
      </c>
      <c r="AM8351" t="s">
        <v>43</v>
      </c>
      <c r="AN8351" t="s">
        <v>43</v>
      </c>
    </row>
    <row r="8352" spans="1:40" x14ac:dyDescent="0.3">
      <c r="A8352" s="1">
        <v>46210.032638888886</v>
      </c>
      <c r="B8352" t="s">
        <v>40</v>
      </c>
      <c r="C8352" t="s">
        <v>41</v>
      </c>
      <c r="D8352" s="1">
        <v>46210.035381944443</v>
      </c>
      <c r="E8352" t="s">
        <v>42</v>
      </c>
      <c r="F8352" t="s">
        <v>83</v>
      </c>
      <c r="G8352">
        <v>53</v>
      </c>
      <c r="H8352">
        <v>33014</v>
      </c>
      <c r="I8352" t="s">
        <v>4595</v>
      </c>
      <c r="J8352">
        <v>84</v>
      </c>
      <c r="K8352">
        <v>107</v>
      </c>
      <c r="L8352">
        <v>98</v>
      </c>
      <c r="M8352">
        <v>630.70001220999995</v>
      </c>
      <c r="N8352" t="s">
        <v>87</v>
      </c>
      <c r="O8352" t="s">
        <v>86</v>
      </c>
      <c r="P8352">
        <v>131</v>
      </c>
      <c r="Q8352">
        <v>6</v>
      </c>
      <c r="R8352">
        <v>73</v>
      </c>
      <c r="S8352">
        <v>1501</v>
      </c>
      <c r="T8352">
        <v>-40</v>
      </c>
      <c r="U8352">
        <v>43</v>
      </c>
      <c r="V8352">
        <v>400</v>
      </c>
      <c r="W8352">
        <v>27</v>
      </c>
      <c r="X8352">
        <v>27</v>
      </c>
      <c r="Y8352">
        <v>1</v>
      </c>
      <c r="Z8352">
        <v>8</v>
      </c>
      <c r="AA8352">
        <v>23</v>
      </c>
      <c r="AB8352">
        <v>2</v>
      </c>
      <c r="AC8352">
        <v>3</v>
      </c>
      <c r="AD8352">
        <v>3.28900003</v>
      </c>
      <c r="AE8352">
        <v>1</v>
      </c>
      <c r="AF8352">
        <v>41</v>
      </c>
      <c r="AG8352">
        <v>3.2780001200000002</v>
      </c>
      <c r="AH8352">
        <v>4</v>
      </c>
      <c r="AI8352">
        <v>17</v>
      </c>
      <c r="AJ8352">
        <v>1</v>
      </c>
      <c r="AK8352">
        <v>27</v>
      </c>
      <c r="AL8352">
        <v>38</v>
      </c>
      <c r="AM8352" t="s">
        <v>43</v>
      </c>
      <c r="AN8352" t="str">
        <f>HYPERLINK("https://www.google.com/maps?q=10.78860664,79.31432343","Open Location")</f>
        <v>Open Location</v>
      </c>
    </row>
    <row r="8353" spans="1:40" x14ac:dyDescent="0.3">
      <c r="A8353" s="1">
        <v>46210.032523148147</v>
      </c>
      <c r="B8353" t="s">
        <v>40</v>
      </c>
      <c r="C8353" t="s">
        <v>41</v>
      </c>
      <c r="D8353" s="1">
        <v>46210.035520833335</v>
      </c>
      <c r="E8353" t="s">
        <v>42</v>
      </c>
      <c r="F8353" t="s">
        <v>83</v>
      </c>
      <c r="G8353">
        <v>52</v>
      </c>
      <c r="H8353">
        <v>33014</v>
      </c>
      <c r="I8353" t="s">
        <v>4596</v>
      </c>
      <c r="J8353">
        <v>84</v>
      </c>
      <c r="K8353">
        <v>67</v>
      </c>
      <c r="L8353">
        <v>98</v>
      </c>
      <c r="M8353">
        <v>632.09997558999999</v>
      </c>
      <c r="N8353" t="s">
        <v>87</v>
      </c>
      <c r="O8353" t="s">
        <v>86</v>
      </c>
      <c r="P8353">
        <v>131</v>
      </c>
      <c r="Q8353">
        <v>6</v>
      </c>
      <c r="R8353">
        <v>-2</v>
      </c>
      <c r="S8353">
        <v>1431</v>
      </c>
      <c r="T8353">
        <v>-40</v>
      </c>
      <c r="U8353">
        <v>42</v>
      </c>
      <c r="V8353">
        <v>260</v>
      </c>
      <c r="W8353">
        <v>27</v>
      </c>
      <c r="X8353">
        <v>27</v>
      </c>
      <c r="Y8353">
        <v>1</v>
      </c>
      <c r="Z8353">
        <v>8</v>
      </c>
      <c r="AA8353">
        <v>23</v>
      </c>
      <c r="AB8353">
        <v>2</v>
      </c>
      <c r="AC8353">
        <v>3</v>
      </c>
      <c r="AD8353">
        <v>3.31299996</v>
      </c>
      <c r="AE8353">
        <v>1</v>
      </c>
      <c r="AF8353">
        <v>41</v>
      </c>
      <c r="AG8353">
        <v>3.30999994</v>
      </c>
      <c r="AH8353">
        <v>2</v>
      </c>
      <c r="AI8353">
        <v>3</v>
      </c>
      <c r="AJ8353">
        <v>1</v>
      </c>
      <c r="AK8353">
        <v>27</v>
      </c>
      <c r="AL8353">
        <v>38</v>
      </c>
      <c r="AM8353" t="s">
        <v>43</v>
      </c>
      <c r="AN8353" t="str">
        <f>HYPERLINK("https://www.google.com/maps?q=10.78918743,79.31283569","Open Location")</f>
        <v>Open Location</v>
      </c>
    </row>
    <row r="8354" spans="1:40" x14ac:dyDescent="0.3">
      <c r="A8354" s="1">
        <v>46210.032407407409</v>
      </c>
      <c r="B8354" t="s">
        <v>40</v>
      </c>
      <c r="C8354" t="s">
        <v>41</v>
      </c>
      <c r="D8354" s="1">
        <v>46210.035601851851</v>
      </c>
      <c r="E8354" t="s">
        <v>42</v>
      </c>
      <c r="F8354" t="s">
        <v>83</v>
      </c>
      <c r="G8354">
        <v>51</v>
      </c>
      <c r="H8354">
        <v>33013</v>
      </c>
      <c r="I8354" t="s">
        <v>4597</v>
      </c>
      <c r="J8354">
        <v>84</v>
      </c>
      <c r="K8354">
        <v>52</v>
      </c>
      <c r="L8354">
        <v>98</v>
      </c>
      <c r="M8354">
        <v>632.90002441000001</v>
      </c>
      <c r="N8354" t="s">
        <v>87</v>
      </c>
      <c r="O8354" t="s">
        <v>86</v>
      </c>
      <c r="P8354">
        <v>131</v>
      </c>
      <c r="Q8354">
        <v>6</v>
      </c>
      <c r="R8354">
        <v>29</v>
      </c>
      <c r="S8354">
        <v>1438</v>
      </c>
      <c r="T8354">
        <v>-40</v>
      </c>
      <c r="U8354">
        <v>43</v>
      </c>
      <c r="V8354">
        <v>200</v>
      </c>
      <c r="W8354">
        <v>27</v>
      </c>
      <c r="X8354">
        <v>27</v>
      </c>
      <c r="Y8354">
        <v>1</v>
      </c>
      <c r="Z8354">
        <v>8</v>
      </c>
      <c r="AA8354">
        <v>23</v>
      </c>
      <c r="AB8354">
        <v>2</v>
      </c>
      <c r="AC8354">
        <v>6</v>
      </c>
      <c r="AD8354">
        <v>3.3020000500000002</v>
      </c>
      <c r="AE8354">
        <v>1</v>
      </c>
      <c r="AF8354">
        <v>44</v>
      </c>
      <c r="AG8354">
        <v>3.2950000799999999</v>
      </c>
      <c r="AH8354">
        <v>4</v>
      </c>
      <c r="AI8354">
        <v>17</v>
      </c>
      <c r="AJ8354">
        <v>1</v>
      </c>
      <c r="AK8354">
        <v>27</v>
      </c>
      <c r="AL8354">
        <v>38</v>
      </c>
      <c r="AM8354" t="s">
        <v>43</v>
      </c>
      <c r="AN8354" t="str">
        <f>HYPERLINK("https://www.google.com/maps?q=10.79029846,79.31169891","Open Location")</f>
        <v>Open Location</v>
      </c>
    </row>
    <row r="8355" spans="1:40" x14ac:dyDescent="0.3">
      <c r="A8355" s="1">
        <v>46210.03229166667</v>
      </c>
      <c r="B8355" t="s">
        <v>40</v>
      </c>
      <c r="C8355" t="s">
        <v>41</v>
      </c>
      <c r="D8355" s="1">
        <v>46210.03502314815</v>
      </c>
      <c r="E8355" t="s">
        <v>42</v>
      </c>
      <c r="F8355" t="s">
        <v>83</v>
      </c>
      <c r="G8355">
        <v>47</v>
      </c>
      <c r="H8355" t="s">
        <v>43</v>
      </c>
      <c r="I8355" t="s">
        <v>4598</v>
      </c>
      <c r="J8355">
        <v>84</v>
      </c>
      <c r="K8355">
        <v>81</v>
      </c>
      <c r="L8355">
        <v>98</v>
      </c>
      <c r="M8355">
        <v>632</v>
      </c>
      <c r="N8355" t="s">
        <v>87</v>
      </c>
      <c r="O8355" t="s">
        <v>86</v>
      </c>
      <c r="P8355">
        <v>131</v>
      </c>
      <c r="Q8355">
        <v>6</v>
      </c>
      <c r="R8355">
        <v>46</v>
      </c>
      <c r="S8355">
        <v>1365</v>
      </c>
      <c r="T8355">
        <v>-40</v>
      </c>
      <c r="U8355">
        <v>43</v>
      </c>
      <c r="V8355">
        <v>340</v>
      </c>
      <c r="W8355">
        <v>27</v>
      </c>
      <c r="X8355">
        <v>27</v>
      </c>
      <c r="Y8355">
        <v>1</v>
      </c>
      <c r="Z8355">
        <v>8</v>
      </c>
      <c r="AA8355">
        <v>23</v>
      </c>
      <c r="AB8355">
        <v>2</v>
      </c>
      <c r="AC8355">
        <v>6</v>
      </c>
      <c r="AD8355">
        <v>3.2969999300000001</v>
      </c>
      <c r="AE8355">
        <v>1</v>
      </c>
      <c r="AF8355">
        <v>38</v>
      </c>
      <c r="AG8355">
        <v>3.28900003</v>
      </c>
      <c r="AH8355">
        <v>4</v>
      </c>
      <c r="AI8355">
        <v>17</v>
      </c>
      <c r="AJ8355">
        <v>1</v>
      </c>
      <c r="AK8355">
        <v>22</v>
      </c>
      <c r="AL8355">
        <v>38</v>
      </c>
      <c r="AM8355" t="s">
        <v>43</v>
      </c>
      <c r="AN8355" t="str">
        <f>HYPERLINK("https://www.google.com/maps?q=10.79141903,79.31071472","Open Location")</f>
        <v>Open Location</v>
      </c>
    </row>
    <row r="8356" spans="1:40" x14ac:dyDescent="0.3">
      <c r="A8356" s="1">
        <v>46210.032175925924</v>
      </c>
      <c r="B8356" t="s">
        <v>40</v>
      </c>
      <c r="C8356" t="s">
        <v>41</v>
      </c>
      <c r="D8356" s="1">
        <v>46210.03502314815</v>
      </c>
      <c r="E8356" t="s">
        <v>42</v>
      </c>
      <c r="F8356" t="s">
        <v>83</v>
      </c>
      <c r="G8356">
        <v>44</v>
      </c>
      <c r="H8356">
        <v>33013</v>
      </c>
      <c r="I8356" t="s">
        <v>43</v>
      </c>
      <c r="J8356">
        <v>84</v>
      </c>
      <c r="K8356">
        <v>63</v>
      </c>
      <c r="L8356">
        <v>98</v>
      </c>
      <c r="M8356">
        <v>632.20001220999995</v>
      </c>
      <c r="N8356" t="s">
        <v>87</v>
      </c>
      <c r="O8356" t="s">
        <v>86</v>
      </c>
      <c r="P8356">
        <v>131</v>
      </c>
      <c r="Q8356">
        <v>6</v>
      </c>
      <c r="R8356">
        <v>46</v>
      </c>
      <c r="S8356">
        <v>1273</v>
      </c>
      <c r="T8356">
        <v>-40</v>
      </c>
      <c r="U8356">
        <v>44</v>
      </c>
      <c r="V8356">
        <v>272</v>
      </c>
      <c r="W8356">
        <v>27</v>
      </c>
      <c r="X8356">
        <v>27</v>
      </c>
      <c r="Y8356">
        <v>1</v>
      </c>
      <c r="Z8356">
        <v>8</v>
      </c>
      <c r="AA8356">
        <v>24</v>
      </c>
      <c r="AB8356">
        <v>1</v>
      </c>
      <c r="AC8356">
        <v>1</v>
      </c>
      <c r="AD8356">
        <v>3.2980000999999999</v>
      </c>
      <c r="AE8356">
        <v>1</v>
      </c>
      <c r="AF8356">
        <v>44</v>
      </c>
      <c r="AG8356">
        <v>3.2899999599999998</v>
      </c>
      <c r="AH8356">
        <v>4</v>
      </c>
      <c r="AI8356">
        <v>17</v>
      </c>
      <c r="AJ8356">
        <v>1</v>
      </c>
      <c r="AK8356">
        <v>27</v>
      </c>
      <c r="AL8356">
        <v>38</v>
      </c>
      <c r="AM8356" t="s">
        <v>43</v>
      </c>
      <c r="AN8356" t="s">
        <v>43</v>
      </c>
    </row>
    <row r="8357" spans="1:40" x14ac:dyDescent="0.3">
      <c r="A8357" s="1">
        <v>46210.032060185185</v>
      </c>
      <c r="B8357" t="s">
        <v>40</v>
      </c>
      <c r="C8357" t="s">
        <v>41</v>
      </c>
      <c r="D8357" s="1">
        <v>46210.035127314812</v>
      </c>
      <c r="E8357" t="s">
        <v>42</v>
      </c>
      <c r="F8357" t="s">
        <v>83</v>
      </c>
      <c r="G8357">
        <v>36</v>
      </c>
      <c r="H8357">
        <v>33013</v>
      </c>
      <c r="I8357" t="s">
        <v>4599</v>
      </c>
      <c r="J8357">
        <v>84</v>
      </c>
      <c r="K8357">
        <v>111</v>
      </c>
      <c r="L8357">
        <v>98</v>
      </c>
      <c r="M8357">
        <v>631.09997558999999</v>
      </c>
      <c r="N8357" t="s">
        <v>87</v>
      </c>
      <c r="O8357" t="s">
        <v>86</v>
      </c>
      <c r="P8357">
        <v>131</v>
      </c>
      <c r="Q8357">
        <v>6</v>
      </c>
      <c r="R8357">
        <v>-31</v>
      </c>
      <c r="S8357">
        <v>1023</v>
      </c>
      <c r="T8357">
        <v>-40</v>
      </c>
      <c r="U8357">
        <v>43</v>
      </c>
      <c r="V8357">
        <v>600</v>
      </c>
      <c r="W8357">
        <v>27</v>
      </c>
      <c r="X8357">
        <v>27</v>
      </c>
      <c r="Y8357">
        <v>1</v>
      </c>
      <c r="Z8357">
        <v>8</v>
      </c>
      <c r="AA8357">
        <v>24</v>
      </c>
      <c r="AB8357">
        <v>1</v>
      </c>
      <c r="AC8357">
        <v>1</v>
      </c>
      <c r="AD8357">
        <v>3.3239998800000001</v>
      </c>
      <c r="AE8357">
        <v>4</v>
      </c>
      <c r="AF8357">
        <v>24</v>
      </c>
      <c r="AG8357">
        <v>3.3210001</v>
      </c>
      <c r="AH8357">
        <v>1</v>
      </c>
      <c r="AI8357">
        <v>4</v>
      </c>
      <c r="AJ8357">
        <v>1</v>
      </c>
      <c r="AK8357">
        <v>29</v>
      </c>
      <c r="AL8357">
        <v>38</v>
      </c>
      <c r="AM8357" t="s">
        <v>43</v>
      </c>
      <c r="AN8357" t="str">
        <f>HYPERLINK("https://www.google.com/maps?q=10.79219913,79.30962372","Open Location")</f>
        <v>Open Location</v>
      </c>
    </row>
    <row r="8358" spans="1:40" x14ac:dyDescent="0.3">
      <c r="A8358" s="1">
        <v>46210.031944444447</v>
      </c>
      <c r="B8358" t="s">
        <v>40</v>
      </c>
      <c r="C8358" t="s">
        <v>41</v>
      </c>
      <c r="D8358" s="1">
        <v>46210.03497685185</v>
      </c>
      <c r="E8358" t="s">
        <v>42</v>
      </c>
      <c r="F8358" t="s">
        <v>83</v>
      </c>
      <c r="G8358">
        <v>57</v>
      </c>
      <c r="H8358">
        <v>33013</v>
      </c>
      <c r="I8358" t="s">
        <v>4600</v>
      </c>
      <c r="J8358">
        <v>84</v>
      </c>
      <c r="K8358">
        <v>-29</v>
      </c>
      <c r="L8358">
        <v>98</v>
      </c>
      <c r="M8358">
        <v>634.09997558999999</v>
      </c>
      <c r="N8358" t="s">
        <v>87</v>
      </c>
      <c r="O8358" t="s">
        <v>86</v>
      </c>
      <c r="P8358">
        <v>131</v>
      </c>
      <c r="Q8358">
        <v>6</v>
      </c>
      <c r="R8358">
        <v>26</v>
      </c>
      <c r="S8358">
        <v>1530</v>
      </c>
      <c r="T8358">
        <v>-40</v>
      </c>
      <c r="U8358">
        <v>42</v>
      </c>
      <c r="V8358">
        <v>-150</v>
      </c>
      <c r="W8358">
        <v>27</v>
      </c>
      <c r="X8358">
        <v>27</v>
      </c>
      <c r="Y8358">
        <v>1</v>
      </c>
      <c r="Z8358">
        <v>8</v>
      </c>
      <c r="AA8358">
        <v>24</v>
      </c>
      <c r="AB8358">
        <v>1</v>
      </c>
      <c r="AC8358">
        <v>1</v>
      </c>
      <c r="AD8358">
        <v>3.3020000500000002</v>
      </c>
      <c r="AE8358">
        <v>1</v>
      </c>
      <c r="AF8358">
        <v>44</v>
      </c>
      <c r="AG8358">
        <v>3.2959999999999998</v>
      </c>
      <c r="AH8358">
        <v>4</v>
      </c>
      <c r="AI8358">
        <v>17</v>
      </c>
      <c r="AJ8358">
        <v>1</v>
      </c>
      <c r="AK8358">
        <v>28</v>
      </c>
      <c r="AL8358">
        <v>38</v>
      </c>
      <c r="AM8358" t="s">
        <v>43</v>
      </c>
      <c r="AN8358" t="str">
        <f>HYPERLINK("https://www.google.com/maps?q=10.79238129,79.30834961","Open Location")</f>
        <v>Open Location</v>
      </c>
    </row>
    <row r="8359" spans="1:40" x14ac:dyDescent="0.3">
      <c r="A8359" s="1">
        <v>46210.031828703701</v>
      </c>
      <c r="B8359" t="s">
        <v>40</v>
      </c>
      <c r="C8359" t="s">
        <v>41</v>
      </c>
      <c r="D8359" s="1">
        <v>46210.034479166665</v>
      </c>
      <c r="E8359" t="s">
        <v>42</v>
      </c>
      <c r="F8359" t="s">
        <v>83</v>
      </c>
      <c r="G8359">
        <v>60</v>
      </c>
      <c r="H8359">
        <v>33013</v>
      </c>
      <c r="I8359" t="s">
        <v>4601</v>
      </c>
      <c r="J8359">
        <v>84</v>
      </c>
      <c r="K8359">
        <v>-36</v>
      </c>
      <c r="L8359">
        <v>98</v>
      </c>
      <c r="M8359">
        <v>634.09997558999999</v>
      </c>
      <c r="N8359" t="s">
        <v>87</v>
      </c>
      <c r="O8359" t="s">
        <v>86</v>
      </c>
      <c r="P8359">
        <v>131</v>
      </c>
      <c r="Q8359">
        <v>6</v>
      </c>
      <c r="R8359">
        <v>17</v>
      </c>
      <c r="S8359">
        <v>1625</v>
      </c>
      <c r="T8359">
        <v>-40</v>
      </c>
      <c r="U8359">
        <v>42</v>
      </c>
      <c r="V8359">
        <v>-190</v>
      </c>
      <c r="W8359">
        <v>27</v>
      </c>
      <c r="X8359">
        <v>27</v>
      </c>
      <c r="Y8359">
        <v>1</v>
      </c>
      <c r="Z8359">
        <v>8</v>
      </c>
      <c r="AA8359">
        <v>24</v>
      </c>
      <c r="AB8359">
        <v>1</v>
      </c>
      <c r="AC8359">
        <v>1</v>
      </c>
      <c r="AD8359">
        <v>3.3020000500000002</v>
      </c>
      <c r="AE8359">
        <v>1</v>
      </c>
      <c r="AF8359">
        <v>39</v>
      </c>
      <c r="AG8359">
        <v>3.2959999999999998</v>
      </c>
      <c r="AH8359">
        <v>4</v>
      </c>
      <c r="AI8359">
        <v>17</v>
      </c>
      <c r="AJ8359">
        <v>1</v>
      </c>
      <c r="AK8359">
        <v>27</v>
      </c>
      <c r="AL8359">
        <v>38</v>
      </c>
      <c r="AM8359" t="s">
        <v>43</v>
      </c>
      <c r="AN8359" t="str">
        <f>HYPERLINK("https://www.google.com/maps?q=10.79231262,79.30641937","Open Location")</f>
        <v>Open Location</v>
      </c>
    </row>
    <row r="8360" spans="1:40" x14ac:dyDescent="0.3">
      <c r="A8360" s="1">
        <v>46210.031712962962</v>
      </c>
      <c r="B8360" t="s">
        <v>40</v>
      </c>
      <c r="C8360" t="s">
        <v>41</v>
      </c>
      <c r="D8360" s="1">
        <v>46210.034722222219</v>
      </c>
      <c r="E8360" t="s">
        <v>42</v>
      </c>
      <c r="F8360" t="s">
        <v>83</v>
      </c>
      <c r="G8360">
        <v>58</v>
      </c>
      <c r="H8360">
        <v>33013</v>
      </c>
      <c r="I8360" t="s">
        <v>4602</v>
      </c>
      <c r="J8360">
        <v>84</v>
      </c>
      <c r="K8360">
        <v>55</v>
      </c>
      <c r="L8360">
        <v>98</v>
      </c>
      <c r="M8360">
        <v>632.70001220999995</v>
      </c>
      <c r="N8360" t="s">
        <v>87</v>
      </c>
      <c r="O8360" t="s">
        <v>86</v>
      </c>
      <c r="P8360">
        <v>131</v>
      </c>
      <c r="Q8360">
        <v>6</v>
      </c>
      <c r="R8360">
        <v>37</v>
      </c>
      <c r="S8360">
        <v>1618</v>
      </c>
      <c r="T8360">
        <v>-40</v>
      </c>
      <c r="U8360">
        <v>42</v>
      </c>
      <c r="V8360">
        <v>220</v>
      </c>
      <c r="W8360">
        <v>27</v>
      </c>
      <c r="X8360">
        <v>27</v>
      </c>
      <c r="Y8360">
        <v>1</v>
      </c>
      <c r="Z8360">
        <v>8</v>
      </c>
      <c r="AA8360">
        <v>24</v>
      </c>
      <c r="AB8360">
        <v>1</v>
      </c>
      <c r="AC8360">
        <v>1</v>
      </c>
      <c r="AD8360">
        <v>3.2969999300000001</v>
      </c>
      <c r="AE8360">
        <v>1</v>
      </c>
      <c r="AF8360">
        <v>38</v>
      </c>
      <c r="AG8360">
        <v>3.2899999599999998</v>
      </c>
      <c r="AH8360">
        <v>4</v>
      </c>
      <c r="AI8360">
        <v>17</v>
      </c>
      <c r="AJ8360">
        <v>1</v>
      </c>
      <c r="AK8360">
        <v>27</v>
      </c>
      <c r="AL8360">
        <v>38</v>
      </c>
      <c r="AM8360" t="s">
        <v>43</v>
      </c>
      <c r="AN8360" t="str">
        <f>HYPERLINK("https://www.google.com/maps?q=10.79218864,79.30461121","Open Location")</f>
        <v>Open Location</v>
      </c>
    </row>
    <row r="8361" spans="1:40" x14ac:dyDescent="0.3">
      <c r="A8361" s="1">
        <v>46210.031597222223</v>
      </c>
      <c r="B8361" t="s">
        <v>40</v>
      </c>
      <c r="C8361" t="s">
        <v>41</v>
      </c>
      <c r="D8361" s="1">
        <v>46210.034467592595</v>
      </c>
      <c r="E8361" t="s">
        <v>42</v>
      </c>
      <c r="F8361" t="s">
        <v>83</v>
      </c>
      <c r="G8361">
        <v>60</v>
      </c>
      <c r="H8361">
        <v>33013</v>
      </c>
      <c r="I8361" t="s">
        <v>4603</v>
      </c>
      <c r="J8361">
        <v>84</v>
      </c>
      <c r="K8361">
        <v>113</v>
      </c>
      <c r="L8361">
        <v>98</v>
      </c>
      <c r="M8361">
        <v>629.59997558999999</v>
      </c>
      <c r="N8361" t="s">
        <v>87</v>
      </c>
      <c r="O8361" t="s">
        <v>86</v>
      </c>
      <c r="P8361">
        <v>131</v>
      </c>
      <c r="Q8361">
        <v>6</v>
      </c>
      <c r="R8361">
        <v>59</v>
      </c>
      <c r="S8361">
        <v>1666</v>
      </c>
      <c r="T8361">
        <v>-40</v>
      </c>
      <c r="U8361">
        <v>43</v>
      </c>
      <c r="V8361">
        <v>380</v>
      </c>
      <c r="W8361">
        <v>27</v>
      </c>
      <c r="X8361">
        <v>27</v>
      </c>
      <c r="Y8361">
        <v>1</v>
      </c>
      <c r="Z8361">
        <v>8</v>
      </c>
      <c r="AA8361">
        <v>24</v>
      </c>
      <c r="AB8361">
        <v>1</v>
      </c>
      <c r="AC8361">
        <v>1</v>
      </c>
      <c r="AD8361">
        <v>3.28900003</v>
      </c>
      <c r="AE8361">
        <v>1</v>
      </c>
      <c r="AF8361">
        <v>38</v>
      </c>
      <c r="AG8361">
        <v>3.2790000400000001</v>
      </c>
      <c r="AH8361">
        <v>4</v>
      </c>
      <c r="AI8361">
        <v>17</v>
      </c>
      <c r="AJ8361">
        <v>1</v>
      </c>
      <c r="AK8361">
        <v>27</v>
      </c>
      <c r="AL8361">
        <v>38</v>
      </c>
      <c r="AM8361" t="s">
        <v>43</v>
      </c>
      <c r="AN8361" t="str">
        <f>HYPERLINK("https://www.google.com/maps?q=10.79190826,79.30280304","Open Location")</f>
        <v>Open Location</v>
      </c>
    </row>
    <row r="8362" spans="1:40" x14ac:dyDescent="0.3">
      <c r="A8362" s="1">
        <v>46210.031481481485</v>
      </c>
      <c r="B8362" t="s">
        <v>40</v>
      </c>
      <c r="C8362" t="s">
        <v>41</v>
      </c>
      <c r="D8362" s="1">
        <v>46210.034722222219</v>
      </c>
      <c r="E8362" t="s">
        <v>42</v>
      </c>
      <c r="F8362" t="s">
        <v>83</v>
      </c>
      <c r="G8362">
        <v>59</v>
      </c>
      <c r="H8362">
        <v>33012</v>
      </c>
      <c r="I8362" t="s">
        <v>43</v>
      </c>
      <c r="J8362">
        <v>84</v>
      </c>
      <c r="K8362">
        <v>125</v>
      </c>
      <c r="L8362">
        <v>98</v>
      </c>
      <c r="M8362">
        <v>628.79998779000005</v>
      </c>
      <c r="N8362" t="s">
        <v>87</v>
      </c>
      <c r="O8362" t="s">
        <v>86</v>
      </c>
      <c r="P8362">
        <v>131</v>
      </c>
      <c r="Q8362">
        <v>6</v>
      </c>
      <c r="R8362">
        <v>65</v>
      </c>
      <c r="S8362">
        <v>1651</v>
      </c>
      <c r="T8362">
        <v>-40</v>
      </c>
      <c r="U8362">
        <v>43</v>
      </c>
      <c r="V8362">
        <v>440</v>
      </c>
      <c r="W8362">
        <v>27</v>
      </c>
      <c r="X8362">
        <v>27</v>
      </c>
      <c r="Y8362">
        <v>1</v>
      </c>
      <c r="Z8362">
        <v>8</v>
      </c>
      <c r="AA8362">
        <v>24</v>
      </c>
      <c r="AB8362">
        <v>1</v>
      </c>
      <c r="AC8362">
        <v>1</v>
      </c>
      <c r="AD8362">
        <v>3.2899999599999998</v>
      </c>
      <c r="AE8362">
        <v>1</v>
      </c>
      <c r="AF8362">
        <v>38</v>
      </c>
      <c r="AG8362">
        <v>3.27999997</v>
      </c>
      <c r="AH8362">
        <v>8</v>
      </c>
      <c r="AI8362">
        <v>35</v>
      </c>
      <c r="AJ8362">
        <v>1</v>
      </c>
      <c r="AK8362">
        <v>28</v>
      </c>
      <c r="AL8362">
        <v>38</v>
      </c>
      <c r="AM8362" t="s">
        <v>43</v>
      </c>
      <c r="AN8362" t="s">
        <v>43</v>
      </c>
    </row>
    <row r="8363" spans="1:40" x14ac:dyDescent="0.3">
      <c r="A8363" s="1">
        <v>46210.031365740739</v>
      </c>
      <c r="B8363" t="s">
        <v>40</v>
      </c>
      <c r="C8363" t="s">
        <v>41</v>
      </c>
      <c r="D8363" s="1">
        <v>46210.034270833334</v>
      </c>
      <c r="E8363" t="s">
        <v>42</v>
      </c>
      <c r="F8363" t="s">
        <v>83</v>
      </c>
      <c r="G8363">
        <v>59</v>
      </c>
      <c r="H8363">
        <v>33012</v>
      </c>
      <c r="I8363" t="s">
        <v>4604</v>
      </c>
      <c r="J8363">
        <v>84</v>
      </c>
      <c r="K8363">
        <v>58</v>
      </c>
      <c r="L8363">
        <v>98</v>
      </c>
      <c r="M8363">
        <v>632.5</v>
      </c>
      <c r="N8363" t="s">
        <v>87</v>
      </c>
      <c r="O8363" t="s">
        <v>86</v>
      </c>
      <c r="P8363">
        <v>131</v>
      </c>
      <c r="Q8363">
        <v>6</v>
      </c>
      <c r="R8363">
        <v>-52</v>
      </c>
      <c r="S8363">
        <v>1602</v>
      </c>
      <c r="T8363">
        <v>-40</v>
      </c>
      <c r="U8363">
        <v>42</v>
      </c>
      <c r="V8363">
        <v>212</v>
      </c>
      <c r="W8363">
        <v>27</v>
      </c>
      <c r="X8363">
        <v>27</v>
      </c>
      <c r="Y8363">
        <v>1</v>
      </c>
      <c r="Z8363">
        <v>8</v>
      </c>
      <c r="AA8363">
        <v>24</v>
      </c>
      <c r="AB8363">
        <v>1</v>
      </c>
      <c r="AC8363">
        <v>1</v>
      </c>
      <c r="AD8363">
        <v>3.3239998800000001</v>
      </c>
      <c r="AE8363">
        <v>4</v>
      </c>
      <c r="AF8363">
        <v>24</v>
      </c>
      <c r="AG8363">
        <v>3.3190000099999999</v>
      </c>
      <c r="AH8363">
        <v>8</v>
      </c>
      <c r="AI8363">
        <v>23</v>
      </c>
      <c r="AJ8363">
        <v>1</v>
      </c>
      <c r="AK8363">
        <v>27</v>
      </c>
      <c r="AL8363">
        <v>38</v>
      </c>
      <c r="AM8363" t="s">
        <v>43</v>
      </c>
      <c r="AN8363" t="str">
        <f>HYPERLINK("https://www.google.com/maps?q=10.79191685,79.30099487","Open Location")</f>
        <v>Open Location</v>
      </c>
    </row>
    <row r="8364" spans="1:40" x14ac:dyDescent="0.3">
      <c r="A8364" s="1">
        <v>46210.03125</v>
      </c>
      <c r="B8364" t="s">
        <v>40</v>
      </c>
      <c r="C8364" t="s">
        <v>41</v>
      </c>
      <c r="D8364" s="1">
        <v>46210.034120370372</v>
      </c>
      <c r="E8364" t="s">
        <v>42</v>
      </c>
      <c r="F8364" t="s">
        <v>83</v>
      </c>
      <c r="G8364">
        <v>61</v>
      </c>
      <c r="H8364">
        <v>33012</v>
      </c>
      <c r="I8364" t="s">
        <v>4605</v>
      </c>
      <c r="J8364">
        <v>84</v>
      </c>
      <c r="K8364">
        <v>61</v>
      </c>
      <c r="L8364">
        <v>98</v>
      </c>
      <c r="M8364">
        <v>632.20001220999995</v>
      </c>
      <c r="N8364" t="s">
        <v>87</v>
      </c>
      <c r="O8364" t="s">
        <v>86</v>
      </c>
      <c r="P8364">
        <v>131</v>
      </c>
      <c r="Q8364">
        <v>6</v>
      </c>
      <c r="R8364">
        <v>29</v>
      </c>
      <c r="S8364">
        <v>1705</v>
      </c>
      <c r="T8364">
        <v>-40</v>
      </c>
      <c r="U8364">
        <v>42</v>
      </c>
      <c r="V8364">
        <v>200</v>
      </c>
      <c r="W8364">
        <v>27</v>
      </c>
      <c r="X8364">
        <v>27</v>
      </c>
      <c r="Y8364">
        <v>1</v>
      </c>
      <c r="Z8364">
        <v>8</v>
      </c>
      <c r="AA8364">
        <v>24</v>
      </c>
      <c r="AB8364">
        <v>1</v>
      </c>
      <c r="AC8364">
        <v>1</v>
      </c>
      <c r="AD8364">
        <v>3.2980000999999999</v>
      </c>
      <c r="AE8364">
        <v>1</v>
      </c>
      <c r="AF8364">
        <v>38</v>
      </c>
      <c r="AG8364">
        <v>3.2909998900000001</v>
      </c>
      <c r="AH8364">
        <v>4</v>
      </c>
      <c r="AI8364">
        <v>17</v>
      </c>
      <c r="AJ8364">
        <v>1</v>
      </c>
      <c r="AK8364">
        <v>27</v>
      </c>
      <c r="AL8364">
        <v>38</v>
      </c>
      <c r="AM8364" t="s">
        <v>43</v>
      </c>
      <c r="AN8364" t="str">
        <f>HYPERLINK("https://www.google.com/maps?q=10.79175282,79.29914856","Open Location")</f>
        <v>Open Location</v>
      </c>
    </row>
    <row r="8365" spans="1:40" x14ac:dyDescent="0.3">
      <c r="A8365" s="1">
        <v>46210.031134259261</v>
      </c>
      <c r="B8365" t="s">
        <v>40</v>
      </c>
      <c r="C8365" t="s">
        <v>41</v>
      </c>
      <c r="D8365" s="1">
        <v>46210.033761574072</v>
      </c>
      <c r="E8365" t="s">
        <v>42</v>
      </c>
      <c r="F8365" t="s">
        <v>83</v>
      </c>
      <c r="G8365">
        <v>60</v>
      </c>
      <c r="H8365">
        <v>33012</v>
      </c>
      <c r="I8365" t="s">
        <v>4606</v>
      </c>
      <c r="J8365">
        <v>84</v>
      </c>
      <c r="K8365">
        <v>77</v>
      </c>
      <c r="L8365">
        <v>98</v>
      </c>
      <c r="M8365">
        <v>631.29998779000005</v>
      </c>
      <c r="N8365" t="s">
        <v>87</v>
      </c>
      <c r="O8365" t="s">
        <v>86</v>
      </c>
      <c r="P8365">
        <v>131</v>
      </c>
      <c r="Q8365">
        <v>6</v>
      </c>
      <c r="R8365">
        <v>45</v>
      </c>
      <c r="S8365">
        <v>1672</v>
      </c>
      <c r="T8365">
        <v>-40</v>
      </c>
      <c r="U8365">
        <v>42</v>
      </c>
      <c r="V8365">
        <v>260</v>
      </c>
      <c r="W8365">
        <v>27</v>
      </c>
      <c r="X8365">
        <v>27</v>
      </c>
      <c r="Y8365">
        <v>1</v>
      </c>
      <c r="Z8365">
        <v>8</v>
      </c>
      <c r="AA8365">
        <v>24</v>
      </c>
      <c r="AB8365">
        <v>1</v>
      </c>
      <c r="AC8365">
        <v>1</v>
      </c>
      <c r="AD8365">
        <v>3.2950000799999999</v>
      </c>
      <c r="AE8365">
        <v>1</v>
      </c>
      <c r="AF8365">
        <v>41</v>
      </c>
      <c r="AG8365">
        <v>3.2869999399999998</v>
      </c>
      <c r="AH8365">
        <v>4</v>
      </c>
      <c r="AI8365">
        <v>17</v>
      </c>
      <c r="AJ8365">
        <v>1</v>
      </c>
      <c r="AK8365">
        <v>27</v>
      </c>
      <c r="AL8365">
        <v>38</v>
      </c>
      <c r="AM8365" t="s">
        <v>43</v>
      </c>
      <c r="AN8365" t="str">
        <f>HYPERLINK("https://www.google.com/maps?q=10.79129505,79.29735565","Open Location")</f>
        <v>Open Location</v>
      </c>
    </row>
    <row r="8366" spans="1:40" x14ac:dyDescent="0.3">
      <c r="A8366" s="1">
        <v>46210.031018518515</v>
      </c>
      <c r="B8366" t="s">
        <v>40</v>
      </c>
      <c r="C8366" t="s">
        <v>41</v>
      </c>
      <c r="D8366" s="1">
        <v>46210.033750000002</v>
      </c>
      <c r="E8366" t="s">
        <v>42</v>
      </c>
      <c r="F8366" t="s">
        <v>83</v>
      </c>
      <c r="G8366">
        <v>60</v>
      </c>
      <c r="H8366">
        <v>33012</v>
      </c>
      <c r="I8366" t="s">
        <v>4607</v>
      </c>
      <c r="J8366">
        <v>84</v>
      </c>
      <c r="K8366">
        <v>77</v>
      </c>
      <c r="L8366">
        <v>98</v>
      </c>
      <c r="M8366">
        <v>631.29998779000005</v>
      </c>
      <c r="N8366" t="s">
        <v>87</v>
      </c>
      <c r="O8366" t="s">
        <v>86</v>
      </c>
      <c r="P8366">
        <v>131</v>
      </c>
      <c r="Q8366">
        <v>6</v>
      </c>
      <c r="R8366">
        <v>45</v>
      </c>
      <c r="S8366">
        <v>1672</v>
      </c>
      <c r="T8366">
        <v>-40</v>
      </c>
      <c r="U8366">
        <v>42</v>
      </c>
      <c r="V8366">
        <v>260</v>
      </c>
      <c r="W8366">
        <v>27</v>
      </c>
      <c r="X8366">
        <v>27</v>
      </c>
      <c r="Y8366">
        <v>1</v>
      </c>
      <c r="Z8366">
        <v>8</v>
      </c>
      <c r="AA8366">
        <v>24</v>
      </c>
      <c r="AB8366">
        <v>1</v>
      </c>
      <c r="AC8366">
        <v>1</v>
      </c>
      <c r="AD8366">
        <v>3.2939999100000001</v>
      </c>
      <c r="AE8366">
        <v>1</v>
      </c>
      <c r="AF8366">
        <v>38</v>
      </c>
      <c r="AG8366">
        <v>3.2869999399999998</v>
      </c>
      <c r="AH8366">
        <v>4</v>
      </c>
      <c r="AI8366">
        <v>17</v>
      </c>
      <c r="AJ8366">
        <v>1</v>
      </c>
      <c r="AK8366">
        <v>22</v>
      </c>
      <c r="AL8366">
        <v>38</v>
      </c>
      <c r="AM8366" t="s">
        <v>43</v>
      </c>
      <c r="AN8366" t="str">
        <f>HYPERLINK("https://www.google.com/maps?q=10.79079533,79.295578","Open Location")</f>
        <v>Open Location</v>
      </c>
    </row>
    <row r="8367" spans="1:40" x14ac:dyDescent="0.3">
      <c r="A8367" s="1">
        <v>46210.030902777777</v>
      </c>
      <c r="B8367" t="s">
        <v>40</v>
      </c>
      <c r="C8367" t="s">
        <v>41</v>
      </c>
      <c r="D8367" s="1">
        <v>46210.033599537041</v>
      </c>
      <c r="E8367" t="s">
        <v>42</v>
      </c>
      <c r="F8367" t="s">
        <v>83</v>
      </c>
      <c r="G8367">
        <v>62</v>
      </c>
      <c r="H8367">
        <v>33012</v>
      </c>
      <c r="I8367" t="s">
        <v>4608</v>
      </c>
      <c r="J8367">
        <v>84</v>
      </c>
      <c r="K8367">
        <v>61</v>
      </c>
      <c r="L8367">
        <v>98</v>
      </c>
      <c r="M8367">
        <v>632</v>
      </c>
      <c r="N8367" t="s">
        <v>87</v>
      </c>
      <c r="O8367" t="s">
        <v>86</v>
      </c>
      <c r="P8367">
        <v>131</v>
      </c>
      <c r="Q8367">
        <v>6</v>
      </c>
      <c r="R8367">
        <v>39</v>
      </c>
      <c r="S8367">
        <v>1699</v>
      </c>
      <c r="T8367">
        <v>-40</v>
      </c>
      <c r="U8367">
        <v>43</v>
      </c>
      <c r="V8367">
        <v>200</v>
      </c>
      <c r="W8367">
        <v>27</v>
      </c>
      <c r="X8367">
        <v>27</v>
      </c>
      <c r="Y8367">
        <v>1</v>
      </c>
      <c r="Z8367">
        <v>8</v>
      </c>
      <c r="AA8367">
        <v>24</v>
      </c>
      <c r="AB8367">
        <v>1</v>
      </c>
      <c r="AC8367">
        <v>1</v>
      </c>
      <c r="AD8367">
        <v>3.2950000799999999</v>
      </c>
      <c r="AE8367">
        <v>1</v>
      </c>
      <c r="AF8367">
        <v>38</v>
      </c>
      <c r="AG8367">
        <v>3.28800011</v>
      </c>
      <c r="AH8367">
        <v>4</v>
      </c>
      <c r="AI8367">
        <v>17</v>
      </c>
      <c r="AJ8367">
        <v>1</v>
      </c>
      <c r="AK8367">
        <v>27</v>
      </c>
      <c r="AL8367">
        <v>38</v>
      </c>
      <c r="AM8367" t="s">
        <v>43</v>
      </c>
      <c r="AN8367" t="str">
        <f>HYPERLINK("https://www.google.com/maps?q=10.79004288,79.29368591","Open Location")</f>
        <v>Open Location</v>
      </c>
    </row>
    <row r="8368" spans="1:40" x14ac:dyDescent="0.3">
      <c r="A8368" s="1">
        <v>46210.030787037038</v>
      </c>
      <c r="B8368" t="s">
        <v>40</v>
      </c>
      <c r="C8368" t="s">
        <v>41</v>
      </c>
      <c r="D8368" s="1">
        <v>46210.033587962964</v>
      </c>
      <c r="E8368" t="s">
        <v>42</v>
      </c>
      <c r="F8368" t="s">
        <v>83</v>
      </c>
      <c r="G8368">
        <v>61</v>
      </c>
      <c r="H8368">
        <v>33011</v>
      </c>
      <c r="I8368" t="s">
        <v>43</v>
      </c>
      <c r="J8368">
        <v>84</v>
      </c>
      <c r="K8368">
        <v>90</v>
      </c>
      <c r="L8368">
        <v>98</v>
      </c>
      <c r="M8368">
        <v>630.40002441000001</v>
      </c>
      <c r="N8368" t="s">
        <v>87</v>
      </c>
      <c r="O8368" t="s">
        <v>86</v>
      </c>
      <c r="P8368">
        <v>131</v>
      </c>
      <c r="Q8368">
        <v>6</v>
      </c>
      <c r="R8368">
        <v>53</v>
      </c>
      <c r="S8368">
        <v>1692</v>
      </c>
      <c r="T8368">
        <v>-40</v>
      </c>
      <c r="U8368">
        <v>43</v>
      </c>
      <c r="V8368">
        <v>300</v>
      </c>
      <c r="W8368">
        <v>27</v>
      </c>
      <c r="X8368">
        <v>27</v>
      </c>
      <c r="Y8368">
        <v>1</v>
      </c>
      <c r="Z8368">
        <v>8</v>
      </c>
      <c r="AA8368">
        <v>24</v>
      </c>
      <c r="AB8368">
        <v>1</v>
      </c>
      <c r="AC8368">
        <v>1</v>
      </c>
      <c r="AD8368">
        <v>3.2920000599999999</v>
      </c>
      <c r="AE8368">
        <v>1</v>
      </c>
      <c r="AF8368">
        <v>38</v>
      </c>
      <c r="AG8368">
        <v>3.28299999</v>
      </c>
      <c r="AH8368">
        <v>4</v>
      </c>
      <c r="AI8368">
        <v>17</v>
      </c>
      <c r="AJ8368">
        <v>1</v>
      </c>
      <c r="AK8368">
        <v>22</v>
      </c>
      <c r="AL8368">
        <v>39</v>
      </c>
      <c r="AM8368" t="s">
        <v>43</v>
      </c>
      <c r="AN8368" t="s">
        <v>43</v>
      </c>
    </row>
    <row r="8369" spans="1:40" x14ac:dyDescent="0.3">
      <c r="A8369" s="1">
        <v>46210.030671296299</v>
      </c>
      <c r="B8369" t="s">
        <v>40</v>
      </c>
      <c r="C8369" t="s">
        <v>41</v>
      </c>
      <c r="D8369" s="1">
        <v>46210.033587962964</v>
      </c>
      <c r="E8369" t="s">
        <v>42</v>
      </c>
      <c r="F8369" t="s">
        <v>83</v>
      </c>
      <c r="G8369">
        <v>61</v>
      </c>
      <c r="H8369">
        <v>33011</v>
      </c>
      <c r="I8369" t="s">
        <v>4609</v>
      </c>
      <c r="J8369">
        <v>84</v>
      </c>
      <c r="K8369">
        <v>84</v>
      </c>
      <c r="L8369">
        <v>98</v>
      </c>
      <c r="M8369">
        <v>630.59997558999999</v>
      </c>
      <c r="N8369" t="s">
        <v>87</v>
      </c>
      <c r="O8369" t="s">
        <v>86</v>
      </c>
      <c r="P8369">
        <v>131</v>
      </c>
      <c r="Q8369">
        <v>6</v>
      </c>
      <c r="R8369">
        <v>49</v>
      </c>
      <c r="S8369">
        <v>1688</v>
      </c>
      <c r="T8369">
        <v>-40</v>
      </c>
      <c r="U8369">
        <v>43</v>
      </c>
      <c r="V8369">
        <v>280</v>
      </c>
      <c r="W8369">
        <v>27</v>
      </c>
      <c r="X8369">
        <v>27</v>
      </c>
      <c r="Y8369">
        <v>1</v>
      </c>
      <c r="Z8369">
        <v>8</v>
      </c>
      <c r="AA8369">
        <v>24</v>
      </c>
      <c r="AB8369">
        <v>1</v>
      </c>
      <c r="AC8369">
        <v>1</v>
      </c>
      <c r="AD8369">
        <v>3.2929999799999998</v>
      </c>
      <c r="AE8369">
        <v>1</v>
      </c>
      <c r="AF8369">
        <v>38</v>
      </c>
      <c r="AG8369">
        <v>3.2839999199999999</v>
      </c>
      <c r="AH8369">
        <v>4</v>
      </c>
      <c r="AI8369">
        <v>17</v>
      </c>
      <c r="AJ8369">
        <v>1</v>
      </c>
      <c r="AK8369">
        <v>27</v>
      </c>
      <c r="AL8369">
        <v>39</v>
      </c>
      <c r="AM8369" t="s">
        <v>43</v>
      </c>
      <c r="AN8369" t="str">
        <f>HYPERLINK("https://www.google.com/maps?q=10.7891922,79.29201508","Open Location")</f>
        <v>Open Location</v>
      </c>
    </row>
    <row r="8370" spans="1:40" x14ac:dyDescent="0.3">
      <c r="A8370" s="1">
        <v>46210.030555555553</v>
      </c>
      <c r="B8370" t="s">
        <v>40</v>
      </c>
      <c r="C8370" t="s">
        <v>41</v>
      </c>
      <c r="D8370" s="1">
        <v>46210.033414351848</v>
      </c>
      <c r="E8370" t="s">
        <v>42</v>
      </c>
      <c r="F8370" t="s">
        <v>83</v>
      </c>
      <c r="G8370">
        <v>60</v>
      </c>
      <c r="H8370">
        <v>33011</v>
      </c>
      <c r="I8370" t="s">
        <v>4610</v>
      </c>
      <c r="J8370">
        <v>84</v>
      </c>
      <c r="K8370">
        <v>79</v>
      </c>
      <c r="L8370">
        <v>98</v>
      </c>
      <c r="M8370">
        <v>631.40002441000001</v>
      </c>
      <c r="N8370" t="s">
        <v>87</v>
      </c>
      <c r="O8370" t="s">
        <v>86</v>
      </c>
      <c r="P8370">
        <v>131</v>
      </c>
      <c r="Q8370">
        <v>6</v>
      </c>
      <c r="R8370">
        <v>45</v>
      </c>
      <c r="S8370">
        <v>1674</v>
      </c>
      <c r="T8370">
        <v>-40</v>
      </c>
      <c r="U8370">
        <v>42</v>
      </c>
      <c r="V8370">
        <v>260</v>
      </c>
      <c r="W8370">
        <v>27</v>
      </c>
      <c r="X8370">
        <v>27</v>
      </c>
      <c r="Y8370">
        <v>1</v>
      </c>
      <c r="Z8370">
        <v>8</v>
      </c>
      <c r="AA8370">
        <v>24</v>
      </c>
      <c r="AB8370">
        <v>1</v>
      </c>
      <c r="AC8370">
        <v>1</v>
      </c>
      <c r="AD8370">
        <v>3.2950000799999999</v>
      </c>
      <c r="AE8370">
        <v>1</v>
      </c>
      <c r="AF8370">
        <v>37</v>
      </c>
      <c r="AG8370">
        <v>3.28800011</v>
      </c>
      <c r="AH8370">
        <v>4</v>
      </c>
      <c r="AI8370">
        <v>17</v>
      </c>
      <c r="AJ8370">
        <v>1</v>
      </c>
      <c r="AK8370">
        <v>27</v>
      </c>
      <c r="AL8370">
        <v>39</v>
      </c>
      <c r="AM8370" t="s">
        <v>43</v>
      </c>
      <c r="AN8370" t="str">
        <f>HYPERLINK("https://www.google.com/maps?q=10.78874874,79.29021454","Open Location")</f>
        <v>Open Location</v>
      </c>
    </row>
    <row r="8371" spans="1:40" x14ac:dyDescent="0.3">
      <c r="A8371" s="1">
        <v>46210.030439814815</v>
      </c>
      <c r="B8371" t="s">
        <v>40</v>
      </c>
      <c r="C8371" t="s">
        <v>41</v>
      </c>
      <c r="D8371" s="1">
        <v>46210.033229166664</v>
      </c>
      <c r="E8371" t="s">
        <v>42</v>
      </c>
      <c r="F8371" t="s">
        <v>83</v>
      </c>
      <c r="G8371">
        <v>61</v>
      </c>
      <c r="H8371">
        <v>33011</v>
      </c>
      <c r="I8371" t="s">
        <v>4611</v>
      </c>
      <c r="J8371">
        <v>84</v>
      </c>
      <c r="K8371">
        <v>90</v>
      </c>
      <c r="L8371">
        <v>98</v>
      </c>
      <c r="M8371">
        <v>630.79998779000005</v>
      </c>
      <c r="N8371" t="s">
        <v>87</v>
      </c>
      <c r="O8371" t="s">
        <v>86</v>
      </c>
      <c r="P8371">
        <v>131</v>
      </c>
      <c r="Q8371">
        <v>6</v>
      </c>
      <c r="R8371">
        <v>59</v>
      </c>
      <c r="S8371">
        <v>1685</v>
      </c>
      <c r="T8371">
        <v>-40</v>
      </c>
      <c r="U8371">
        <v>43</v>
      </c>
      <c r="V8371">
        <v>300</v>
      </c>
      <c r="W8371">
        <v>27</v>
      </c>
      <c r="X8371">
        <v>27</v>
      </c>
      <c r="Y8371">
        <v>1</v>
      </c>
      <c r="Z8371">
        <v>8</v>
      </c>
      <c r="AA8371">
        <v>24</v>
      </c>
      <c r="AB8371">
        <v>1</v>
      </c>
      <c r="AC8371">
        <v>1</v>
      </c>
      <c r="AD8371">
        <v>3.2929999799999998</v>
      </c>
      <c r="AE8371">
        <v>1</v>
      </c>
      <c r="AF8371">
        <v>38</v>
      </c>
      <c r="AG8371">
        <v>3.2839999199999999</v>
      </c>
      <c r="AH8371">
        <v>4</v>
      </c>
      <c r="AI8371">
        <v>17</v>
      </c>
      <c r="AJ8371">
        <v>1</v>
      </c>
      <c r="AK8371">
        <v>22</v>
      </c>
      <c r="AL8371">
        <v>39</v>
      </c>
      <c r="AM8371" t="s">
        <v>43</v>
      </c>
      <c r="AN8371" t="str">
        <f>HYPERLINK("https://www.google.com/maps?q=10.78846645,79.28838348","Open Location")</f>
        <v>Open Location</v>
      </c>
    </row>
    <row r="8372" spans="1:40" x14ac:dyDescent="0.3">
      <c r="A8372" s="1">
        <v>46210.030324074076</v>
      </c>
      <c r="B8372" t="s">
        <v>40</v>
      </c>
      <c r="C8372" t="s">
        <v>41</v>
      </c>
      <c r="D8372" s="1">
        <v>46210.033229166664</v>
      </c>
      <c r="E8372" t="s">
        <v>42</v>
      </c>
      <c r="F8372" t="s">
        <v>83</v>
      </c>
      <c r="G8372">
        <v>59</v>
      </c>
      <c r="H8372">
        <v>33011</v>
      </c>
      <c r="I8372" t="s">
        <v>4612</v>
      </c>
      <c r="J8372">
        <v>85</v>
      </c>
      <c r="K8372">
        <v>64</v>
      </c>
      <c r="L8372">
        <v>98</v>
      </c>
      <c r="M8372">
        <v>632</v>
      </c>
      <c r="N8372" t="s">
        <v>87</v>
      </c>
      <c r="O8372" t="s">
        <v>86</v>
      </c>
      <c r="P8372">
        <v>131</v>
      </c>
      <c r="Q8372">
        <v>6</v>
      </c>
      <c r="R8372">
        <v>38</v>
      </c>
      <c r="S8372">
        <v>1648</v>
      </c>
      <c r="T8372">
        <v>-40</v>
      </c>
      <c r="U8372">
        <v>42</v>
      </c>
      <c r="V8372">
        <v>220</v>
      </c>
      <c r="W8372">
        <v>27</v>
      </c>
      <c r="X8372">
        <v>27</v>
      </c>
      <c r="Y8372">
        <v>1</v>
      </c>
      <c r="Z8372">
        <v>8</v>
      </c>
      <c r="AA8372">
        <v>24</v>
      </c>
      <c r="AB8372">
        <v>1</v>
      </c>
      <c r="AC8372">
        <v>1</v>
      </c>
      <c r="AD8372">
        <v>3.2950000799999999</v>
      </c>
      <c r="AE8372">
        <v>1</v>
      </c>
      <c r="AF8372">
        <v>44</v>
      </c>
      <c r="AG8372">
        <v>3.2869999399999998</v>
      </c>
      <c r="AH8372">
        <v>4</v>
      </c>
      <c r="AI8372">
        <v>17</v>
      </c>
      <c r="AJ8372">
        <v>1</v>
      </c>
      <c r="AK8372">
        <v>28</v>
      </c>
      <c r="AL8372">
        <v>39</v>
      </c>
      <c r="AM8372" t="s">
        <v>43</v>
      </c>
      <c r="AN8372" t="str">
        <f>HYPERLINK("https://www.google.com/maps?q=10.78885365,79.28658295","Open Location")</f>
        <v>Open Location</v>
      </c>
    </row>
    <row r="8373" spans="1:40" x14ac:dyDescent="0.3">
      <c r="A8373" s="1">
        <v>46210.03020833333</v>
      </c>
      <c r="B8373" t="s">
        <v>40</v>
      </c>
      <c r="C8373" t="s">
        <v>41</v>
      </c>
      <c r="D8373" s="1">
        <v>46210.033090277779</v>
      </c>
      <c r="E8373" t="s">
        <v>42</v>
      </c>
      <c r="F8373" t="s">
        <v>83</v>
      </c>
      <c r="G8373">
        <v>60</v>
      </c>
      <c r="H8373">
        <v>33010</v>
      </c>
      <c r="I8373" t="s">
        <v>4613</v>
      </c>
      <c r="J8373">
        <v>85</v>
      </c>
      <c r="K8373">
        <v>60</v>
      </c>
      <c r="L8373">
        <v>98</v>
      </c>
      <c r="M8373">
        <v>631.90002441000001</v>
      </c>
      <c r="N8373" t="s">
        <v>87</v>
      </c>
      <c r="O8373" t="s">
        <v>86</v>
      </c>
      <c r="P8373">
        <v>131</v>
      </c>
      <c r="Q8373">
        <v>6</v>
      </c>
      <c r="R8373">
        <v>31</v>
      </c>
      <c r="S8373">
        <v>1642</v>
      </c>
      <c r="T8373">
        <v>-40</v>
      </c>
      <c r="U8373">
        <v>42</v>
      </c>
      <c r="V8373">
        <v>200</v>
      </c>
      <c r="W8373">
        <v>27</v>
      </c>
      <c r="X8373">
        <v>27</v>
      </c>
      <c r="Y8373">
        <v>1</v>
      </c>
      <c r="Z8373">
        <v>8</v>
      </c>
      <c r="AA8373">
        <v>24</v>
      </c>
      <c r="AB8373">
        <v>1</v>
      </c>
      <c r="AC8373">
        <v>1</v>
      </c>
      <c r="AD8373">
        <v>3.2969999300000001</v>
      </c>
      <c r="AE8373">
        <v>1</v>
      </c>
      <c r="AF8373">
        <v>38</v>
      </c>
      <c r="AG8373">
        <v>3.2899999599999998</v>
      </c>
      <c r="AH8373">
        <v>4</v>
      </c>
      <c r="AI8373">
        <v>17</v>
      </c>
      <c r="AJ8373">
        <v>1</v>
      </c>
      <c r="AK8373">
        <v>27</v>
      </c>
      <c r="AL8373">
        <v>39</v>
      </c>
      <c r="AM8373" t="s">
        <v>43</v>
      </c>
      <c r="AN8373" t="str">
        <f>HYPERLINK("https://www.google.com/maps?q=10.78954506,79.28489685","Open Location")</f>
        <v>Open Location</v>
      </c>
    </row>
    <row r="8374" spans="1:40" x14ac:dyDescent="0.3">
      <c r="A8374" s="1">
        <v>46210.030092592591</v>
      </c>
      <c r="B8374" t="s">
        <v>40</v>
      </c>
      <c r="C8374" t="s">
        <v>41</v>
      </c>
      <c r="D8374" s="1">
        <v>46210.033182870371</v>
      </c>
      <c r="E8374" t="s">
        <v>42</v>
      </c>
      <c r="F8374" t="s">
        <v>83</v>
      </c>
      <c r="G8374">
        <v>61</v>
      </c>
      <c r="H8374">
        <v>33010</v>
      </c>
      <c r="I8374" t="s">
        <v>43</v>
      </c>
      <c r="J8374">
        <v>85</v>
      </c>
      <c r="K8374">
        <v>72</v>
      </c>
      <c r="L8374">
        <v>98</v>
      </c>
      <c r="M8374">
        <v>631.29998779000005</v>
      </c>
      <c r="N8374" t="s">
        <v>87</v>
      </c>
      <c r="O8374" t="s">
        <v>86</v>
      </c>
      <c r="P8374">
        <v>131</v>
      </c>
      <c r="Q8374">
        <v>6</v>
      </c>
      <c r="R8374">
        <v>46</v>
      </c>
      <c r="S8374">
        <v>1690</v>
      </c>
      <c r="T8374">
        <v>-40</v>
      </c>
      <c r="U8374">
        <v>43</v>
      </c>
      <c r="V8374">
        <v>240</v>
      </c>
      <c r="W8374">
        <v>27</v>
      </c>
      <c r="X8374">
        <v>27</v>
      </c>
      <c r="Y8374">
        <v>1</v>
      </c>
      <c r="Z8374">
        <v>8</v>
      </c>
      <c r="AA8374">
        <v>24</v>
      </c>
      <c r="AB8374">
        <v>1</v>
      </c>
      <c r="AC8374">
        <v>1</v>
      </c>
      <c r="AD8374">
        <v>3.2929999799999998</v>
      </c>
      <c r="AE8374">
        <v>1</v>
      </c>
      <c r="AF8374">
        <v>38</v>
      </c>
      <c r="AG8374">
        <v>3.28500009</v>
      </c>
      <c r="AH8374">
        <v>4</v>
      </c>
      <c r="AI8374">
        <v>17</v>
      </c>
      <c r="AJ8374">
        <v>1</v>
      </c>
      <c r="AK8374">
        <v>27</v>
      </c>
      <c r="AL8374">
        <v>39</v>
      </c>
      <c r="AM8374" t="s">
        <v>43</v>
      </c>
      <c r="AN8374" t="s">
        <v>43</v>
      </c>
    </row>
    <row r="8375" spans="1:40" x14ac:dyDescent="0.3">
      <c r="A8375" s="1">
        <v>46210.029976851853</v>
      </c>
      <c r="B8375" t="s">
        <v>40</v>
      </c>
      <c r="C8375" t="s">
        <v>41</v>
      </c>
      <c r="D8375" s="1">
        <v>46210.032812500001</v>
      </c>
      <c r="E8375" t="s">
        <v>42</v>
      </c>
      <c r="F8375" t="s">
        <v>83</v>
      </c>
      <c r="G8375">
        <v>61</v>
      </c>
      <c r="H8375">
        <v>33010</v>
      </c>
      <c r="I8375" t="s">
        <v>4614</v>
      </c>
      <c r="J8375">
        <v>85</v>
      </c>
      <c r="K8375">
        <v>73</v>
      </c>
      <c r="L8375">
        <v>98</v>
      </c>
      <c r="M8375">
        <v>631.09997558999999</v>
      </c>
      <c r="N8375" t="s">
        <v>87</v>
      </c>
      <c r="O8375" t="s">
        <v>86</v>
      </c>
      <c r="P8375">
        <v>131</v>
      </c>
      <c r="Q8375">
        <v>6</v>
      </c>
      <c r="R8375">
        <v>35</v>
      </c>
      <c r="S8375">
        <v>1699</v>
      </c>
      <c r="T8375">
        <v>-40</v>
      </c>
      <c r="U8375">
        <v>43</v>
      </c>
      <c r="V8375">
        <v>260</v>
      </c>
      <c r="W8375">
        <v>27</v>
      </c>
      <c r="X8375">
        <v>27</v>
      </c>
      <c r="Y8375">
        <v>1</v>
      </c>
      <c r="Z8375">
        <v>8</v>
      </c>
      <c r="AA8375">
        <v>24</v>
      </c>
      <c r="AB8375">
        <v>1</v>
      </c>
      <c r="AC8375">
        <v>1</v>
      </c>
      <c r="AD8375">
        <v>3.2929999799999998</v>
      </c>
      <c r="AE8375">
        <v>1</v>
      </c>
      <c r="AF8375">
        <v>38</v>
      </c>
      <c r="AG8375">
        <v>3.28500009</v>
      </c>
      <c r="AH8375">
        <v>4</v>
      </c>
      <c r="AI8375">
        <v>17</v>
      </c>
      <c r="AJ8375">
        <v>1</v>
      </c>
      <c r="AK8375">
        <v>27</v>
      </c>
      <c r="AL8375">
        <v>39</v>
      </c>
      <c r="AM8375" t="s">
        <v>43</v>
      </c>
      <c r="AN8375" t="str">
        <f>HYPERLINK("https://www.google.com/maps?q=10.79026127,79.28316498","Open Location")</f>
        <v>Open Location</v>
      </c>
    </row>
    <row r="8376" spans="1:40" x14ac:dyDescent="0.3">
      <c r="A8376" s="1">
        <v>46210.029861111114</v>
      </c>
      <c r="B8376" t="s">
        <v>40</v>
      </c>
      <c r="C8376" t="s">
        <v>41</v>
      </c>
      <c r="D8376" s="1">
        <v>46210.032685185186</v>
      </c>
      <c r="E8376" t="s">
        <v>42</v>
      </c>
      <c r="F8376" t="s">
        <v>83</v>
      </c>
      <c r="G8376">
        <v>61</v>
      </c>
      <c r="H8376" t="s">
        <v>43</v>
      </c>
      <c r="I8376" t="s">
        <v>4615</v>
      </c>
      <c r="J8376">
        <v>85</v>
      </c>
      <c r="K8376">
        <v>106</v>
      </c>
      <c r="L8376">
        <v>98</v>
      </c>
      <c r="M8376">
        <v>629.79998779000005</v>
      </c>
      <c r="N8376" t="s">
        <v>87</v>
      </c>
      <c r="O8376" t="s">
        <v>86</v>
      </c>
      <c r="P8376">
        <v>131</v>
      </c>
      <c r="Q8376">
        <v>6</v>
      </c>
      <c r="R8376">
        <v>67</v>
      </c>
      <c r="S8376">
        <v>1705</v>
      </c>
      <c r="T8376">
        <v>-40</v>
      </c>
      <c r="U8376">
        <v>43</v>
      </c>
      <c r="V8376">
        <v>340</v>
      </c>
      <c r="W8376">
        <v>27</v>
      </c>
      <c r="X8376">
        <v>27</v>
      </c>
      <c r="Y8376">
        <v>1</v>
      </c>
      <c r="Z8376">
        <v>8</v>
      </c>
      <c r="AA8376">
        <v>24</v>
      </c>
      <c r="AB8376">
        <v>1</v>
      </c>
      <c r="AC8376">
        <v>1</v>
      </c>
      <c r="AD8376">
        <v>3.28900003</v>
      </c>
      <c r="AE8376">
        <v>1</v>
      </c>
      <c r="AF8376">
        <v>38</v>
      </c>
      <c r="AG8376">
        <v>3.2790000400000001</v>
      </c>
      <c r="AH8376">
        <v>4</v>
      </c>
      <c r="AI8376">
        <v>17</v>
      </c>
      <c r="AJ8376">
        <v>1</v>
      </c>
      <c r="AK8376">
        <v>27</v>
      </c>
      <c r="AL8376">
        <v>39</v>
      </c>
      <c r="AM8376" t="s">
        <v>43</v>
      </c>
      <c r="AN8376" t="str">
        <f>HYPERLINK("https://www.google.com/maps?q=10.79074478,79.28118134","Open Location")</f>
        <v>Open Location</v>
      </c>
    </row>
    <row r="8377" spans="1:40" x14ac:dyDescent="0.3">
      <c r="A8377" s="1">
        <v>46210.029745370368</v>
      </c>
      <c r="B8377" t="s">
        <v>40</v>
      </c>
      <c r="C8377" t="s">
        <v>41</v>
      </c>
      <c r="D8377" s="1">
        <v>46210.032835648148</v>
      </c>
      <c r="E8377" t="s">
        <v>42</v>
      </c>
      <c r="F8377" t="s">
        <v>83</v>
      </c>
      <c r="G8377">
        <v>59</v>
      </c>
      <c r="H8377">
        <v>33010</v>
      </c>
      <c r="I8377" t="s">
        <v>4616</v>
      </c>
      <c r="J8377">
        <v>85</v>
      </c>
      <c r="K8377">
        <v>102</v>
      </c>
      <c r="L8377">
        <v>98</v>
      </c>
      <c r="M8377">
        <v>630</v>
      </c>
      <c r="N8377" t="s">
        <v>87</v>
      </c>
      <c r="O8377" t="s">
        <v>86</v>
      </c>
      <c r="P8377">
        <v>131</v>
      </c>
      <c r="Q8377">
        <v>6</v>
      </c>
      <c r="R8377">
        <v>40</v>
      </c>
      <c r="S8377">
        <v>1649</v>
      </c>
      <c r="T8377">
        <v>-40</v>
      </c>
      <c r="U8377">
        <v>43</v>
      </c>
      <c r="V8377">
        <v>340</v>
      </c>
      <c r="W8377">
        <v>27</v>
      </c>
      <c r="X8377">
        <v>27</v>
      </c>
      <c r="Y8377">
        <v>1</v>
      </c>
      <c r="Z8377">
        <v>8</v>
      </c>
      <c r="AA8377">
        <v>24</v>
      </c>
      <c r="AB8377">
        <v>1</v>
      </c>
      <c r="AC8377">
        <v>1</v>
      </c>
      <c r="AD8377">
        <v>3.2969999300000001</v>
      </c>
      <c r="AE8377">
        <v>1</v>
      </c>
      <c r="AF8377">
        <v>41</v>
      </c>
      <c r="AG8377">
        <v>3.28900003</v>
      </c>
      <c r="AH8377">
        <v>4</v>
      </c>
      <c r="AI8377">
        <v>17</v>
      </c>
      <c r="AJ8377">
        <v>1</v>
      </c>
      <c r="AK8377">
        <v>27</v>
      </c>
      <c r="AL8377">
        <v>39</v>
      </c>
      <c r="AM8377" t="s">
        <v>43</v>
      </c>
      <c r="AN8377" t="str">
        <f>HYPERLINK("https://www.google.com/maps?q=10.79063702,79.27935791","Open Location")</f>
        <v>Open Location</v>
      </c>
    </row>
    <row r="8378" spans="1:40" x14ac:dyDescent="0.3">
      <c r="A8378" s="1">
        <v>46210.029629629629</v>
      </c>
      <c r="B8378" t="s">
        <v>40</v>
      </c>
      <c r="C8378" t="s">
        <v>41</v>
      </c>
      <c r="D8378" s="1">
        <v>46210.032453703701</v>
      </c>
      <c r="E8378" t="s">
        <v>42</v>
      </c>
      <c r="F8378" t="s">
        <v>83</v>
      </c>
      <c r="G8378">
        <v>59</v>
      </c>
      <c r="H8378">
        <v>33010</v>
      </c>
      <c r="I8378" t="s">
        <v>4617</v>
      </c>
      <c r="J8378">
        <v>85</v>
      </c>
      <c r="K8378">
        <v>99</v>
      </c>
      <c r="L8378">
        <v>98</v>
      </c>
      <c r="M8378">
        <v>630.09997558999999</v>
      </c>
      <c r="N8378" t="s">
        <v>87</v>
      </c>
      <c r="O8378" t="s">
        <v>86</v>
      </c>
      <c r="P8378">
        <v>131</v>
      </c>
      <c r="Q8378">
        <v>6</v>
      </c>
      <c r="R8378">
        <v>51</v>
      </c>
      <c r="S8378">
        <v>1631</v>
      </c>
      <c r="T8378">
        <v>-40</v>
      </c>
      <c r="U8378">
        <v>43</v>
      </c>
      <c r="V8378">
        <v>304</v>
      </c>
      <c r="W8378">
        <v>27</v>
      </c>
      <c r="X8378">
        <v>27</v>
      </c>
      <c r="Y8378">
        <v>1</v>
      </c>
      <c r="Z8378">
        <v>8</v>
      </c>
      <c r="AA8378">
        <v>24</v>
      </c>
      <c r="AB8378">
        <v>1</v>
      </c>
      <c r="AC8378">
        <v>1</v>
      </c>
      <c r="AD8378">
        <v>3.2939999100000001</v>
      </c>
      <c r="AE8378">
        <v>1</v>
      </c>
      <c r="AF8378">
        <v>44</v>
      </c>
      <c r="AG8378">
        <v>3.28500009</v>
      </c>
      <c r="AH8378">
        <v>4</v>
      </c>
      <c r="AI8378">
        <v>17</v>
      </c>
      <c r="AJ8378">
        <v>1</v>
      </c>
      <c r="AK8378">
        <v>27</v>
      </c>
      <c r="AL8378">
        <v>39</v>
      </c>
      <c r="AM8378" t="s">
        <v>43</v>
      </c>
      <c r="AN8378" t="str">
        <f>HYPERLINK("https://www.google.com/maps?q=10.79010963,79.27764893","Open Location")</f>
        <v>Open Location</v>
      </c>
    </row>
    <row r="8379" spans="1:40" x14ac:dyDescent="0.3">
      <c r="A8379" s="1">
        <v>46210.029513888891</v>
      </c>
      <c r="B8379" t="s">
        <v>40</v>
      </c>
      <c r="C8379" t="s">
        <v>41</v>
      </c>
      <c r="D8379" s="1">
        <v>46210.032430555555</v>
      </c>
      <c r="E8379" t="s">
        <v>42</v>
      </c>
      <c r="F8379" t="s">
        <v>83</v>
      </c>
      <c r="G8379">
        <v>58</v>
      </c>
      <c r="H8379">
        <v>33010</v>
      </c>
      <c r="I8379" t="s">
        <v>43</v>
      </c>
      <c r="J8379">
        <v>85</v>
      </c>
      <c r="K8379">
        <v>106</v>
      </c>
      <c r="L8379">
        <v>98</v>
      </c>
      <c r="M8379">
        <v>630.40002441000001</v>
      </c>
      <c r="N8379" t="s">
        <v>87</v>
      </c>
      <c r="O8379" t="s">
        <v>86</v>
      </c>
      <c r="P8379">
        <v>131</v>
      </c>
      <c r="Q8379">
        <v>6</v>
      </c>
      <c r="R8379">
        <v>50</v>
      </c>
      <c r="S8379">
        <v>1627</v>
      </c>
      <c r="T8379">
        <v>-40</v>
      </c>
      <c r="U8379">
        <v>43</v>
      </c>
      <c r="V8379">
        <v>340</v>
      </c>
      <c r="W8379">
        <v>27</v>
      </c>
      <c r="X8379">
        <v>27</v>
      </c>
      <c r="Y8379">
        <v>1</v>
      </c>
      <c r="Z8379">
        <v>8</v>
      </c>
      <c r="AA8379">
        <v>24</v>
      </c>
      <c r="AB8379">
        <v>1</v>
      </c>
      <c r="AC8379">
        <v>1</v>
      </c>
      <c r="AD8379">
        <v>3.2959999999999998</v>
      </c>
      <c r="AE8379">
        <v>1</v>
      </c>
      <c r="AF8379">
        <v>38</v>
      </c>
      <c r="AG8379">
        <v>3.28800011</v>
      </c>
      <c r="AH8379">
        <v>4</v>
      </c>
      <c r="AI8379">
        <v>17</v>
      </c>
      <c r="AJ8379">
        <v>1</v>
      </c>
      <c r="AK8379">
        <v>27</v>
      </c>
      <c r="AL8379">
        <v>39</v>
      </c>
      <c r="AM8379" t="s">
        <v>43</v>
      </c>
      <c r="AN8379" t="s">
        <v>43</v>
      </c>
    </row>
    <row r="8380" spans="1:40" x14ac:dyDescent="0.3">
      <c r="A8380" s="1">
        <v>46210.029398148145</v>
      </c>
      <c r="B8380" t="s">
        <v>40</v>
      </c>
      <c r="C8380" t="s">
        <v>41</v>
      </c>
      <c r="D8380" s="1">
        <v>46210.03230324074</v>
      </c>
      <c r="E8380" t="s">
        <v>42</v>
      </c>
      <c r="F8380" t="s">
        <v>83</v>
      </c>
      <c r="G8380">
        <v>57</v>
      </c>
      <c r="H8380">
        <v>33009</v>
      </c>
      <c r="I8380" t="s">
        <v>4618</v>
      </c>
      <c r="J8380">
        <v>85</v>
      </c>
      <c r="K8380">
        <v>95</v>
      </c>
      <c r="L8380">
        <v>98</v>
      </c>
      <c r="M8380">
        <v>630.70001220999995</v>
      </c>
      <c r="N8380" t="s">
        <v>87</v>
      </c>
      <c r="O8380" t="s">
        <v>86</v>
      </c>
      <c r="P8380">
        <v>131</v>
      </c>
      <c r="Q8380">
        <v>6</v>
      </c>
      <c r="R8380">
        <v>49</v>
      </c>
      <c r="S8380">
        <v>1599</v>
      </c>
      <c r="T8380">
        <v>-40</v>
      </c>
      <c r="U8380">
        <v>43</v>
      </c>
      <c r="V8380">
        <v>340</v>
      </c>
      <c r="W8380">
        <v>27</v>
      </c>
      <c r="X8380">
        <v>27</v>
      </c>
      <c r="Y8380">
        <v>1</v>
      </c>
      <c r="Z8380">
        <v>8</v>
      </c>
      <c r="AA8380">
        <v>24</v>
      </c>
      <c r="AB8380">
        <v>1</v>
      </c>
      <c r="AC8380">
        <v>1</v>
      </c>
      <c r="AD8380">
        <v>3.2969999300000001</v>
      </c>
      <c r="AE8380">
        <v>1</v>
      </c>
      <c r="AF8380">
        <v>38</v>
      </c>
      <c r="AG8380">
        <v>3.2899999599999998</v>
      </c>
      <c r="AH8380">
        <v>4</v>
      </c>
      <c r="AI8380">
        <v>17</v>
      </c>
      <c r="AJ8380">
        <v>1</v>
      </c>
      <c r="AK8380">
        <v>27</v>
      </c>
      <c r="AL8380">
        <v>39</v>
      </c>
      <c r="AM8380" t="s">
        <v>43</v>
      </c>
      <c r="AN8380" t="str">
        <f>HYPERLINK("https://www.google.com/maps?q=10.7895422,79.2759552","Open Location")</f>
        <v>Open Location</v>
      </c>
    </row>
    <row r="8381" spans="1:40" x14ac:dyDescent="0.3">
      <c r="A8381" s="1">
        <v>46210.029282407406</v>
      </c>
      <c r="B8381" t="s">
        <v>40</v>
      </c>
      <c r="C8381" t="s">
        <v>41</v>
      </c>
      <c r="D8381" s="1">
        <v>46210.032037037039</v>
      </c>
      <c r="E8381" t="s">
        <v>42</v>
      </c>
      <c r="F8381" t="s">
        <v>83</v>
      </c>
      <c r="G8381">
        <v>54</v>
      </c>
      <c r="H8381">
        <v>33009</v>
      </c>
      <c r="I8381" t="s">
        <v>4619</v>
      </c>
      <c r="J8381">
        <v>85</v>
      </c>
      <c r="K8381">
        <v>126</v>
      </c>
      <c r="L8381">
        <v>98</v>
      </c>
      <c r="M8381">
        <v>630.20001220999995</v>
      </c>
      <c r="N8381" t="s">
        <v>87</v>
      </c>
      <c r="O8381" t="s">
        <v>86</v>
      </c>
      <c r="P8381">
        <v>131</v>
      </c>
      <c r="Q8381">
        <v>6</v>
      </c>
      <c r="R8381">
        <v>56</v>
      </c>
      <c r="S8381">
        <v>1540</v>
      </c>
      <c r="T8381">
        <v>-40</v>
      </c>
      <c r="U8381">
        <v>43</v>
      </c>
      <c r="V8381">
        <v>460</v>
      </c>
      <c r="W8381">
        <v>27</v>
      </c>
      <c r="X8381">
        <v>27</v>
      </c>
      <c r="Y8381">
        <v>1</v>
      </c>
      <c r="Z8381">
        <v>8</v>
      </c>
      <c r="AA8381">
        <v>24</v>
      </c>
      <c r="AB8381">
        <v>1</v>
      </c>
      <c r="AC8381">
        <v>1</v>
      </c>
      <c r="AD8381">
        <v>3.2950000799999999</v>
      </c>
      <c r="AE8381">
        <v>1</v>
      </c>
      <c r="AF8381">
        <v>38</v>
      </c>
      <c r="AG8381">
        <v>3.2869999399999998</v>
      </c>
      <c r="AH8381">
        <v>4</v>
      </c>
      <c r="AI8381">
        <v>17</v>
      </c>
      <c r="AJ8381">
        <v>1</v>
      </c>
      <c r="AK8381">
        <v>28</v>
      </c>
      <c r="AL8381">
        <v>39</v>
      </c>
      <c r="AM8381" t="s">
        <v>43</v>
      </c>
      <c r="AN8381" t="str">
        <f>HYPERLINK("https://www.google.com/maps?q=10.78900623,79.27428436","Open Location")</f>
        <v>Open Location</v>
      </c>
    </row>
    <row r="8382" spans="1:40" x14ac:dyDescent="0.3">
      <c r="A8382" s="1">
        <v>46210.029166666667</v>
      </c>
      <c r="B8382" t="s">
        <v>40</v>
      </c>
      <c r="C8382" t="s">
        <v>41</v>
      </c>
      <c r="D8382" s="1">
        <v>46210.031944444447</v>
      </c>
      <c r="E8382" t="s">
        <v>42</v>
      </c>
      <c r="F8382" t="s">
        <v>83</v>
      </c>
      <c r="G8382">
        <v>52</v>
      </c>
      <c r="H8382">
        <v>33009</v>
      </c>
      <c r="I8382" t="s">
        <v>4620</v>
      </c>
      <c r="J8382">
        <v>85</v>
      </c>
      <c r="K8382">
        <v>53</v>
      </c>
      <c r="L8382">
        <v>98</v>
      </c>
      <c r="M8382">
        <v>633.59997558999999</v>
      </c>
      <c r="N8382" t="s">
        <v>87</v>
      </c>
      <c r="O8382" t="s">
        <v>86</v>
      </c>
      <c r="P8382">
        <v>131</v>
      </c>
      <c r="Q8382">
        <v>6</v>
      </c>
      <c r="R8382">
        <v>47</v>
      </c>
      <c r="S8382">
        <v>1456</v>
      </c>
      <c r="T8382">
        <v>-40</v>
      </c>
      <c r="U8382">
        <v>43</v>
      </c>
      <c r="V8382">
        <v>184</v>
      </c>
      <c r="W8382">
        <v>27</v>
      </c>
      <c r="X8382">
        <v>27</v>
      </c>
      <c r="Y8382">
        <v>1</v>
      </c>
      <c r="Z8382">
        <v>8</v>
      </c>
      <c r="AA8382">
        <v>24</v>
      </c>
      <c r="AB8382">
        <v>1</v>
      </c>
      <c r="AC8382">
        <v>1</v>
      </c>
      <c r="AD8382">
        <v>3.2969999300000001</v>
      </c>
      <c r="AE8382">
        <v>1</v>
      </c>
      <c r="AF8382">
        <v>38</v>
      </c>
      <c r="AG8382">
        <v>3.28900003</v>
      </c>
      <c r="AH8382">
        <v>7</v>
      </c>
      <c r="AI8382">
        <v>1</v>
      </c>
      <c r="AJ8382">
        <v>1</v>
      </c>
      <c r="AK8382">
        <v>28</v>
      </c>
      <c r="AL8382">
        <v>39</v>
      </c>
      <c r="AM8382" t="s">
        <v>43</v>
      </c>
      <c r="AN8382" t="str">
        <f>HYPERLINK("https://www.google.com/maps?q=10.78841209,79.27277374","Open Location")</f>
        <v>Open Location</v>
      </c>
    </row>
    <row r="8383" spans="1:40" x14ac:dyDescent="0.3">
      <c r="A8383" s="1">
        <v>46210.029050925928</v>
      </c>
      <c r="B8383" t="s">
        <v>40</v>
      </c>
      <c r="C8383" t="s">
        <v>41</v>
      </c>
      <c r="D8383" s="1">
        <v>46210.03193287037</v>
      </c>
      <c r="E8383" t="s">
        <v>42</v>
      </c>
      <c r="F8383" t="s">
        <v>83</v>
      </c>
      <c r="G8383">
        <v>57</v>
      </c>
      <c r="H8383">
        <v>33009</v>
      </c>
      <c r="I8383" t="s">
        <v>4621</v>
      </c>
      <c r="J8383">
        <v>85</v>
      </c>
      <c r="K8383">
        <v>-65</v>
      </c>
      <c r="L8383">
        <v>98</v>
      </c>
      <c r="M8383">
        <v>638.5</v>
      </c>
      <c r="N8383" t="s">
        <v>87</v>
      </c>
      <c r="O8383" t="s">
        <v>86</v>
      </c>
      <c r="P8383">
        <v>131</v>
      </c>
      <c r="Q8383">
        <v>6</v>
      </c>
      <c r="R8383">
        <v>-50</v>
      </c>
      <c r="S8383">
        <v>1510</v>
      </c>
      <c r="T8383">
        <v>-40</v>
      </c>
      <c r="U8383">
        <v>42</v>
      </c>
      <c r="V8383">
        <v>-300</v>
      </c>
      <c r="W8383">
        <v>27</v>
      </c>
      <c r="X8383">
        <v>27</v>
      </c>
      <c r="Y8383">
        <v>1</v>
      </c>
      <c r="Z8383">
        <v>8</v>
      </c>
      <c r="AA8383">
        <v>24</v>
      </c>
      <c r="AB8383">
        <v>1</v>
      </c>
      <c r="AC8383">
        <v>1</v>
      </c>
      <c r="AD8383">
        <v>3.3250000499999999</v>
      </c>
      <c r="AE8383">
        <v>2</v>
      </c>
      <c r="AF8383">
        <v>46</v>
      </c>
      <c r="AG8383">
        <v>3.3210001</v>
      </c>
      <c r="AH8383">
        <v>7</v>
      </c>
      <c r="AI8383">
        <v>10</v>
      </c>
      <c r="AJ8383">
        <v>1</v>
      </c>
      <c r="AK8383">
        <v>27</v>
      </c>
      <c r="AL8383">
        <v>39</v>
      </c>
      <c r="AM8383" t="s">
        <v>43</v>
      </c>
      <c r="AN8383" t="str">
        <f>HYPERLINK("https://www.google.com/maps?q=10.78749466,79.27122498","Open Location")</f>
        <v>Open Location</v>
      </c>
    </row>
    <row r="8384" spans="1:40" x14ac:dyDescent="0.3">
      <c r="A8384" s="1">
        <v>46210.028935185182</v>
      </c>
      <c r="B8384" t="s">
        <v>40</v>
      </c>
      <c r="C8384" t="s">
        <v>41</v>
      </c>
      <c r="D8384" s="1">
        <v>46210.031840277778</v>
      </c>
      <c r="E8384" t="s">
        <v>42</v>
      </c>
      <c r="F8384" t="s">
        <v>83</v>
      </c>
      <c r="G8384">
        <v>61</v>
      </c>
      <c r="H8384">
        <v>33009</v>
      </c>
      <c r="I8384" t="s">
        <v>4622</v>
      </c>
      <c r="J8384">
        <v>85</v>
      </c>
      <c r="K8384">
        <v>61</v>
      </c>
      <c r="L8384">
        <v>98</v>
      </c>
      <c r="M8384">
        <v>632.70001220999995</v>
      </c>
      <c r="N8384" t="s">
        <v>87</v>
      </c>
      <c r="O8384" t="s">
        <v>86</v>
      </c>
      <c r="P8384">
        <v>131</v>
      </c>
      <c r="Q8384">
        <v>6</v>
      </c>
      <c r="R8384">
        <v>28</v>
      </c>
      <c r="S8384">
        <v>1695</v>
      </c>
      <c r="T8384">
        <v>-40</v>
      </c>
      <c r="U8384">
        <v>43</v>
      </c>
      <c r="V8384">
        <v>160</v>
      </c>
      <c r="W8384">
        <v>27</v>
      </c>
      <c r="X8384">
        <v>27</v>
      </c>
      <c r="Y8384">
        <v>1</v>
      </c>
      <c r="Z8384">
        <v>8</v>
      </c>
      <c r="AA8384">
        <v>24</v>
      </c>
      <c r="AB8384">
        <v>1</v>
      </c>
      <c r="AC8384">
        <v>1</v>
      </c>
      <c r="AD8384">
        <v>3.2929999799999998</v>
      </c>
      <c r="AE8384">
        <v>1</v>
      </c>
      <c r="AF8384">
        <v>38</v>
      </c>
      <c r="AG8384">
        <v>3.2839999199999999</v>
      </c>
      <c r="AH8384">
        <v>4</v>
      </c>
      <c r="AI8384">
        <v>17</v>
      </c>
      <c r="AJ8384">
        <v>1</v>
      </c>
      <c r="AK8384">
        <v>27</v>
      </c>
      <c r="AL8384">
        <v>39</v>
      </c>
      <c r="AM8384" t="s">
        <v>43</v>
      </c>
      <c r="AN8384" t="str">
        <f>HYPERLINK("https://www.google.com/maps?q=10.78624535,79.26985168","Open Location")</f>
        <v>Open Location</v>
      </c>
    </row>
    <row r="8385" spans="1:40" x14ac:dyDescent="0.3">
      <c r="A8385" s="1">
        <v>46210.028819444444</v>
      </c>
      <c r="B8385" t="s">
        <v>40</v>
      </c>
      <c r="C8385" t="s">
        <v>41</v>
      </c>
      <c r="D8385" s="1">
        <v>46210.031574074077</v>
      </c>
      <c r="E8385" t="s">
        <v>42</v>
      </c>
      <c r="F8385" t="s">
        <v>83</v>
      </c>
      <c r="G8385">
        <v>61</v>
      </c>
      <c r="H8385">
        <v>33008</v>
      </c>
      <c r="I8385" t="s">
        <v>43</v>
      </c>
      <c r="J8385">
        <v>85</v>
      </c>
      <c r="K8385">
        <v>86</v>
      </c>
      <c r="L8385">
        <v>98</v>
      </c>
      <c r="M8385">
        <v>631.20001220999995</v>
      </c>
      <c r="N8385" t="s">
        <v>87</v>
      </c>
      <c r="O8385" t="s">
        <v>86</v>
      </c>
      <c r="P8385">
        <v>131</v>
      </c>
      <c r="Q8385">
        <v>6</v>
      </c>
      <c r="R8385">
        <v>46</v>
      </c>
      <c r="S8385">
        <v>1696</v>
      </c>
      <c r="T8385">
        <v>-40</v>
      </c>
      <c r="U8385">
        <v>43</v>
      </c>
      <c r="V8385">
        <v>280</v>
      </c>
      <c r="W8385">
        <v>27</v>
      </c>
      <c r="X8385">
        <v>27</v>
      </c>
      <c r="Y8385">
        <v>1</v>
      </c>
      <c r="Z8385">
        <v>8</v>
      </c>
      <c r="AA8385">
        <v>24</v>
      </c>
      <c r="AB8385">
        <v>1</v>
      </c>
      <c r="AC8385">
        <v>1</v>
      </c>
      <c r="AD8385">
        <v>3.2950000799999999</v>
      </c>
      <c r="AE8385">
        <v>1</v>
      </c>
      <c r="AF8385">
        <v>38</v>
      </c>
      <c r="AG8385">
        <v>3.28800011</v>
      </c>
      <c r="AH8385">
        <v>4</v>
      </c>
      <c r="AI8385">
        <v>17</v>
      </c>
      <c r="AJ8385">
        <v>1</v>
      </c>
      <c r="AK8385">
        <v>27</v>
      </c>
      <c r="AL8385">
        <v>39</v>
      </c>
      <c r="AM8385" t="s">
        <v>43</v>
      </c>
      <c r="AN8385" t="s">
        <v>43</v>
      </c>
    </row>
    <row r="8386" spans="1:40" x14ac:dyDescent="0.3">
      <c r="A8386" s="1">
        <v>46210.028703703705</v>
      </c>
      <c r="B8386" t="s">
        <v>40</v>
      </c>
      <c r="C8386" t="s">
        <v>41</v>
      </c>
      <c r="D8386" s="1">
        <v>46210.0315162037</v>
      </c>
      <c r="E8386" t="s">
        <v>42</v>
      </c>
      <c r="F8386" t="s">
        <v>83</v>
      </c>
      <c r="G8386">
        <v>60</v>
      </c>
      <c r="H8386" t="s">
        <v>43</v>
      </c>
      <c r="I8386" t="s">
        <v>4623</v>
      </c>
      <c r="J8386">
        <v>85</v>
      </c>
      <c r="K8386">
        <v>94</v>
      </c>
      <c r="L8386">
        <v>98</v>
      </c>
      <c r="M8386">
        <v>630.59997558999999</v>
      </c>
      <c r="N8386" t="s">
        <v>87</v>
      </c>
      <c r="O8386" t="s">
        <v>86</v>
      </c>
      <c r="P8386">
        <v>131</v>
      </c>
      <c r="Q8386">
        <v>6</v>
      </c>
      <c r="R8386">
        <v>55</v>
      </c>
      <c r="S8386">
        <v>1676</v>
      </c>
      <c r="T8386">
        <v>-40</v>
      </c>
      <c r="U8386">
        <v>43</v>
      </c>
      <c r="V8386">
        <v>320</v>
      </c>
      <c r="W8386">
        <v>27</v>
      </c>
      <c r="X8386">
        <v>27</v>
      </c>
      <c r="Y8386">
        <v>1</v>
      </c>
      <c r="Z8386">
        <v>8</v>
      </c>
      <c r="AA8386">
        <v>24</v>
      </c>
      <c r="AB8386">
        <v>1</v>
      </c>
      <c r="AC8386">
        <v>3</v>
      </c>
      <c r="AD8386">
        <v>3.2939999100000001</v>
      </c>
      <c r="AE8386">
        <v>1</v>
      </c>
      <c r="AF8386">
        <v>38</v>
      </c>
      <c r="AG8386">
        <v>3.28500009</v>
      </c>
      <c r="AH8386">
        <v>4</v>
      </c>
      <c r="AI8386">
        <v>17</v>
      </c>
      <c r="AJ8386">
        <v>1</v>
      </c>
      <c r="AK8386">
        <v>22</v>
      </c>
      <c r="AL8386">
        <v>39</v>
      </c>
      <c r="AM8386" t="s">
        <v>43</v>
      </c>
      <c r="AN8386" t="str">
        <f>HYPERLINK("https://www.google.com/maps?q=10.78474617,79.26875305","Open Location")</f>
        <v>Open Location</v>
      </c>
    </row>
    <row r="8387" spans="1:40" x14ac:dyDescent="0.3">
      <c r="A8387" s="1">
        <v>46210.028587962966</v>
      </c>
      <c r="B8387" t="s">
        <v>40</v>
      </c>
      <c r="C8387" t="s">
        <v>41</v>
      </c>
      <c r="D8387" s="1">
        <v>46210.031597222223</v>
      </c>
      <c r="E8387" t="s">
        <v>42</v>
      </c>
      <c r="F8387" t="s">
        <v>83</v>
      </c>
      <c r="G8387">
        <v>62</v>
      </c>
      <c r="H8387">
        <v>33008</v>
      </c>
      <c r="I8387" t="s">
        <v>4624</v>
      </c>
      <c r="J8387">
        <v>85</v>
      </c>
      <c r="K8387">
        <v>-42</v>
      </c>
      <c r="L8387">
        <v>98</v>
      </c>
      <c r="M8387">
        <v>634.40002441000001</v>
      </c>
      <c r="N8387" t="s">
        <v>87</v>
      </c>
      <c r="O8387" t="s">
        <v>86</v>
      </c>
      <c r="P8387">
        <v>131</v>
      </c>
      <c r="Q8387">
        <v>6</v>
      </c>
      <c r="R8387">
        <v>-2</v>
      </c>
      <c r="S8387">
        <v>1654</v>
      </c>
      <c r="T8387">
        <v>-40</v>
      </c>
      <c r="U8387">
        <v>43</v>
      </c>
      <c r="V8387">
        <v>-230</v>
      </c>
      <c r="W8387">
        <v>27</v>
      </c>
      <c r="X8387">
        <v>27</v>
      </c>
      <c r="Y8387">
        <v>1</v>
      </c>
      <c r="Z8387">
        <v>8</v>
      </c>
      <c r="AA8387">
        <v>24</v>
      </c>
      <c r="AB8387">
        <v>1</v>
      </c>
      <c r="AC8387">
        <v>3</v>
      </c>
      <c r="AD8387">
        <v>3.3010001199999999</v>
      </c>
      <c r="AE8387">
        <v>1</v>
      </c>
      <c r="AF8387">
        <v>39</v>
      </c>
      <c r="AG8387">
        <v>3.2950000799999999</v>
      </c>
      <c r="AH8387">
        <v>4</v>
      </c>
      <c r="AI8387">
        <v>17</v>
      </c>
      <c r="AJ8387">
        <v>1</v>
      </c>
      <c r="AK8387">
        <v>27</v>
      </c>
      <c r="AL8387">
        <v>39</v>
      </c>
      <c r="AM8387" t="s">
        <v>43</v>
      </c>
      <c r="AN8387" t="str">
        <f>HYPERLINK("https://www.google.com/maps?q=10.78309917,79.26798248","Open Location")</f>
        <v>Open Location</v>
      </c>
    </row>
    <row r="8388" spans="1:40" x14ac:dyDescent="0.3">
      <c r="A8388" s="1">
        <v>46210.02847222222</v>
      </c>
      <c r="B8388" t="s">
        <v>40</v>
      </c>
      <c r="C8388" t="s">
        <v>41</v>
      </c>
      <c r="D8388" s="1">
        <v>46210.031527777777</v>
      </c>
      <c r="E8388" t="s">
        <v>42</v>
      </c>
      <c r="F8388" t="s">
        <v>83</v>
      </c>
      <c r="G8388">
        <v>61</v>
      </c>
      <c r="H8388">
        <v>33008</v>
      </c>
      <c r="I8388" t="s">
        <v>4625</v>
      </c>
      <c r="J8388">
        <v>85</v>
      </c>
      <c r="K8388">
        <v>79</v>
      </c>
      <c r="L8388">
        <v>98</v>
      </c>
      <c r="M8388">
        <v>631.59997558999999</v>
      </c>
      <c r="N8388" t="s">
        <v>87</v>
      </c>
      <c r="O8388" t="s">
        <v>86</v>
      </c>
      <c r="P8388">
        <v>131</v>
      </c>
      <c r="Q8388">
        <v>6</v>
      </c>
      <c r="R8388">
        <v>71</v>
      </c>
      <c r="S8388">
        <v>1713</v>
      </c>
      <c r="T8388">
        <v>-40</v>
      </c>
      <c r="U8388">
        <v>44</v>
      </c>
      <c r="V8388">
        <v>260</v>
      </c>
      <c r="W8388">
        <v>27</v>
      </c>
      <c r="X8388">
        <v>27</v>
      </c>
      <c r="Y8388">
        <v>1</v>
      </c>
      <c r="Z8388">
        <v>8</v>
      </c>
      <c r="AA8388">
        <v>24</v>
      </c>
      <c r="AB8388">
        <v>1</v>
      </c>
      <c r="AC8388">
        <v>3</v>
      </c>
      <c r="AD8388">
        <v>3.28800011</v>
      </c>
      <c r="AE8388">
        <v>1</v>
      </c>
      <c r="AF8388">
        <v>42</v>
      </c>
      <c r="AG8388">
        <v>3.27699995</v>
      </c>
      <c r="AH8388">
        <v>4</v>
      </c>
      <c r="AI8388">
        <v>17</v>
      </c>
      <c r="AJ8388">
        <v>1</v>
      </c>
      <c r="AK8388">
        <v>27</v>
      </c>
      <c r="AL8388">
        <v>39</v>
      </c>
      <c r="AM8388" t="s">
        <v>43</v>
      </c>
      <c r="AN8388" t="str">
        <f>HYPERLINK("https://www.google.com/maps?q=10.78148937,79.26701355","Open Location")</f>
        <v>Open Location</v>
      </c>
    </row>
    <row r="8389" spans="1:40" x14ac:dyDescent="0.3">
      <c r="A8389" s="1">
        <v>46210.028356481482</v>
      </c>
      <c r="B8389" t="s">
        <v>40</v>
      </c>
      <c r="C8389" t="s">
        <v>41</v>
      </c>
      <c r="D8389" s="1">
        <v>46210.031192129631</v>
      </c>
      <c r="E8389" t="s">
        <v>42</v>
      </c>
      <c r="F8389" t="s">
        <v>83</v>
      </c>
      <c r="G8389">
        <v>57</v>
      </c>
      <c r="H8389">
        <v>33008</v>
      </c>
      <c r="I8389" t="s">
        <v>4626</v>
      </c>
      <c r="J8389">
        <v>85</v>
      </c>
      <c r="K8389">
        <v>131</v>
      </c>
      <c r="L8389">
        <v>98</v>
      </c>
      <c r="M8389">
        <v>629.79998779000005</v>
      </c>
      <c r="N8389" t="s">
        <v>87</v>
      </c>
      <c r="O8389" t="s">
        <v>86</v>
      </c>
      <c r="P8389">
        <v>131</v>
      </c>
      <c r="Q8389">
        <v>6</v>
      </c>
      <c r="R8389">
        <v>56</v>
      </c>
      <c r="S8389">
        <v>1619</v>
      </c>
      <c r="T8389">
        <v>-40</v>
      </c>
      <c r="U8389">
        <v>43</v>
      </c>
      <c r="V8389">
        <v>460</v>
      </c>
      <c r="W8389">
        <v>27</v>
      </c>
      <c r="X8389">
        <v>27</v>
      </c>
      <c r="Y8389">
        <v>1</v>
      </c>
      <c r="Z8389">
        <v>8</v>
      </c>
      <c r="AA8389">
        <v>24</v>
      </c>
      <c r="AB8389">
        <v>1</v>
      </c>
      <c r="AC8389">
        <v>3</v>
      </c>
      <c r="AD8389">
        <v>3.2980000999999999</v>
      </c>
      <c r="AE8389">
        <v>1</v>
      </c>
      <c r="AF8389">
        <v>38</v>
      </c>
      <c r="AG8389">
        <v>3.2909998900000001</v>
      </c>
      <c r="AH8389">
        <v>4</v>
      </c>
      <c r="AI8389">
        <v>17</v>
      </c>
      <c r="AJ8389">
        <v>1</v>
      </c>
      <c r="AK8389">
        <v>28</v>
      </c>
      <c r="AL8389">
        <v>39</v>
      </c>
      <c r="AM8389" t="s">
        <v>43</v>
      </c>
      <c r="AN8389" t="str">
        <f>HYPERLINK("https://www.google.com/maps?q=10.78059864,79.2654953","Open Location")</f>
        <v>Open Location</v>
      </c>
    </row>
    <row r="8390" spans="1:40" x14ac:dyDescent="0.3">
      <c r="A8390" s="1">
        <v>46210.028240740743</v>
      </c>
      <c r="B8390" t="s">
        <v>40</v>
      </c>
      <c r="C8390" t="s">
        <v>41</v>
      </c>
      <c r="D8390" s="1">
        <v>46210.031157407408</v>
      </c>
      <c r="E8390" t="s">
        <v>42</v>
      </c>
      <c r="F8390" t="s">
        <v>83</v>
      </c>
      <c r="G8390">
        <v>59</v>
      </c>
      <c r="H8390">
        <v>33008</v>
      </c>
      <c r="I8390" t="s">
        <v>43</v>
      </c>
      <c r="J8390">
        <v>85</v>
      </c>
      <c r="K8390">
        <v>-7</v>
      </c>
      <c r="L8390">
        <v>98</v>
      </c>
      <c r="M8390">
        <v>633.90002441000001</v>
      </c>
      <c r="N8390" t="s">
        <v>87</v>
      </c>
      <c r="O8390" t="s">
        <v>86</v>
      </c>
      <c r="P8390">
        <v>131</v>
      </c>
      <c r="Q8390">
        <v>6</v>
      </c>
      <c r="R8390">
        <v>0</v>
      </c>
      <c r="S8390">
        <v>1588</v>
      </c>
      <c r="T8390">
        <v>-40</v>
      </c>
      <c r="U8390">
        <v>42</v>
      </c>
      <c r="V8390">
        <v>20</v>
      </c>
      <c r="W8390">
        <v>27</v>
      </c>
      <c r="X8390">
        <v>27</v>
      </c>
      <c r="Y8390">
        <v>1</v>
      </c>
      <c r="Z8390">
        <v>8</v>
      </c>
      <c r="AA8390">
        <v>24</v>
      </c>
      <c r="AB8390">
        <v>1</v>
      </c>
      <c r="AC8390">
        <v>3</v>
      </c>
      <c r="AD8390">
        <v>3.3039999</v>
      </c>
      <c r="AE8390">
        <v>1</v>
      </c>
      <c r="AF8390">
        <v>38</v>
      </c>
      <c r="AG8390">
        <v>3.3010001199999999</v>
      </c>
      <c r="AH8390">
        <v>1</v>
      </c>
      <c r="AI8390">
        <v>15</v>
      </c>
      <c r="AJ8390">
        <v>1</v>
      </c>
      <c r="AK8390">
        <v>27</v>
      </c>
      <c r="AL8390">
        <v>39</v>
      </c>
      <c r="AM8390" t="s">
        <v>43</v>
      </c>
      <c r="AN8390" t="s">
        <v>43</v>
      </c>
    </row>
    <row r="8391" spans="1:40" x14ac:dyDescent="0.3">
      <c r="A8391" s="1">
        <v>46210.028124999997</v>
      </c>
      <c r="B8391" t="s">
        <v>40</v>
      </c>
      <c r="C8391" t="s">
        <v>41</v>
      </c>
      <c r="D8391" s="1">
        <v>46210.031180555554</v>
      </c>
      <c r="E8391" t="s">
        <v>42</v>
      </c>
      <c r="F8391" t="s">
        <v>83</v>
      </c>
      <c r="G8391">
        <v>61</v>
      </c>
      <c r="H8391">
        <v>33007</v>
      </c>
      <c r="I8391" t="s">
        <v>4627</v>
      </c>
      <c r="J8391">
        <v>85</v>
      </c>
      <c r="K8391">
        <v>88</v>
      </c>
      <c r="L8391">
        <v>98</v>
      </c>
      <c r="M8391">
        <v>631.29998779000005</v>
      </c>
      <c r="N8391" t="s">
        <v>87</v>
      </c>
      <c r="O8391" t="s">
        <v>86</v>
      </c>
      <c r="P8391">
        <v>131</v>
      </c>
      <c r="Q8391">
        <v>6</v>
      </c>
      <c r="R8391">
        <v>53</v>
      </c>
      <c r="S8391">
        <v>1702</v>
      </c>
      <c r="T8391">
        <v>-40</v>
      </c>
      <c r="U8391">
        <v>44</v>
      </c>
      <c r="V8391">
        <v>300</v>
      </c>
      <c r="W8391">
        <v>27</v>
      </c>
      <c r="X8391">
        <v>27</v>
      </c>
      <c r="Y8391">
        <v>1</v>
      </c>
      <c r="Z8391">
        <v>8</v>
      </c>
      <c r="AA8391">
        <v>24</v>
      </c>
      <c r="AB8391">
        <v>1</v>
      </c>
      <c r="AC8391">
        <v>3</v>
      </c>
      <c r="AD8391">
        <v>3.2920000599999999</v>
      </c>
      <c r="AE8391">
        <v>1</v>
      </c>
      <c r="AF8391">
        <v>38</v>
      </c>
      <c r="AG8391">
        <v>3.2839999199999999</v>
      </c>
      <c r="AH8391">
        <v>4</v>
      </c>
      <c r="AI8391">
        <v>17</v>
      </c>
      <c r="AJ8391" t="s">
        <v>43</v>
      </c>
      <c r="AK8391" t="s">
        <v>43</v>
      </c>
      <c r="AL8391" t="s">
        <v>43</v>
      </c>
      <c r="AM8391" t="s">
        <v>43</v>
      </c>
      <c r="AN8391" t="str">
        <f>HYPERLINK("https://www.google.com/maps?q=10.78045845,79.26371002","Open Location")</f>
        <v>Open Location</v>
      </c>
    </row>
    <row r="8392" spans="1:40" x14ac:dyDescent="0.3">
      <c r="A8392" s="1">
        <v>46210.028009259258</v>
      </c>
      <c r="B8392" t="s">
        <v>40</v>
      </c>
      <c r="C8392" t="s">
        <v>41</v>
      </c>
      <c r="D8392" s="1">
        <v>46210.030810185184</v>
      </c>
      <c r="E8392" t="s">
        <v>42</v>
      </c>
      <c r="F8392" t="s">
        <v>83</v>
      </c>
      <c r="G8392">
        <v>61</v>
      </c>
      <c r="H8392">
        <v>33007</v>
      </c>
      <c r="I8392" t="s">
        <v>4628</v>
      </c>
      <c r="J8392">
        <v>85</v>
      </c>
      <c r="K8392">
        <v>89</v>
      </c>
      <c r="L8392">
        <v>98</v>
      </c>
      <c r="M8392">
        <v>630.79998779000005</v>
      </c>
      <c r="N8392" t="s">
        <v>87</v>
      </c>
      <c r="O8392" t="s">
        <v>86</v>
      </c>
      <c r="P8392">
        <v>131</v>
      </c>
      <c r="Q8392">
        <v>6</v>
      </c>
      <c r="R8392">
        <v>52</v>
      </c>
      <c r="S8392">
        <v>1690</v>
      </c>
      <c r="T8392">
        <v>-40</v>
      </c>
      <c r="U8392">
        <v>44</v>
      </c>
      <c r="V8392">
        <v>300</v>
      </c>
      <c r="W8392">
        <v>27</v>
      </c>
      <c r="X8392">
        <v>27</v>
      </c>
      <c r="Y8392">
        <v>1</v>
      </c>
      <c r="Z8392">
        <v>8</v>
      </c>
      <c r="AA8392">
        <v>24</v>
      </c>
      <c r="AB8392">
        <v>1</v>
      </c>
      <c r="AC8392">
        <v>3</v>
      </c>
      <c r="AD8392">
        <v>3.2929999799999998</v>
      </c>
      <c r="AE8392">
        <v>1</v>
      </c>
      <c r="AF8392">
        <v>41</v>
      </c>
      <c r="AG8392">
        <v>3.2839999199999999</v>
      </c>
      <c r="AH8392">
        <v>4</v>
      </c>
      <c r="AI8392">
        <v>17</v>
      </c>
      <c r="AJ8392">
        <v>1</v>
      </c>
      <c r="AK8392">
        <v>27</v>
      </c>
      <c r="AL8392">
        <v>39</v>
      </c>
      <c r="AM8392" t="s">
        <v>43</v>
      </c>
      <c r="AN8392" t="str">
        <f>HYPERLINK("https://www.google.com/maps?q=10.78049374,79.26183319","Open Location")</f>
        <v>Open Location</v>
      </c>
    </row>
    <row r="8393" spans="1:40" x14ac:dyDescent="0.3">
      <c r="A8393" s="1">
        <v>46210.02789351852</v>
      </c>
      <c r="B8393" t="s">
        <v>40</v>
      </c>
      <c r="C8393" t="s">
        <v>41</v>
      </c>
      <c r="D8393" s="1">
        <v>46210.030787037038</v>
      </c>
      <c r="E8393" t="s">
        <v>42</v>
      </c>
      <c r="F8393" t="s">
        <v>83</v>
      </c>
      <c r="G8393">
        <v>58</v>
      </c>
      <c r="H8393">
        <v>33007</v>
      </c>
      <c r="I8393" t="s">
        <v>4629</v>
      </c>
      <c r="J8393">
        <v>85</v>
      </c>
      <c r="K8393">
        <v>134</v>
      </c>
      <c r="L8393">
        <v>98</v>
      </c>
      <c r="M8393">
        <v>629.20001220999995</v>
      </c>
      <c r="N8393" t="s">
        <v>87</v>
      </c>
      <c r="O8393" t="s">
        <v>86</v>
      </c>
      <c r="P8393">
        <v>131</v>
      </c>
      <c r="Q8393">
        <v>6</v>
      </c>
      <c r="R8393">
        <v>67</v>
      </c>
      <c r="S8393">
        <v>1639</v>
      </c>
      <c r="T8393">
        <v>-40</v>
      </c>
      <c r="U8393">
        <v>44</v>
      </c>
      <c r="V8393">
        <v>460</v>
      </c>
      <c r="W8393">
        <v>27</v>
      </c>
      <c r="X8393">
        <v>27</v>
      </c>
      <c r="Y8393">
        <v>1</v>
      </c>
      <c r="Z8393">
        <v>8</v>
      </c>
      <c r="AA8393">
        <v>24</v>
      </c>
      <c r="AB8393">
        <v>1</v>
      </c>
      <c r="AC8393">
        <v>3</v>
      </c>
      <c r="AD8393">
        <v>3.2899999599999998</v>
      </c>
      <c r="AE8393">
        <v>1</v>
      </c>
      <c r="AF8393">
        <v>42</v>
      </c>
      <c r="AG8393">
        <v>3.27999997</v>
      </c>
      <c r="AH8393">
        <v>4</v>
      </c>
      <c r="AI8393">
        <v>17</v>
      </c>
      <c r="AJ8393">
        <v>1</v>
      </c>
      <c r="AK8393">
        <v>27</v>
      </c>
      <c r="AL8393">
        <v>39</v>
      </c>
      <c r="AM8393" t="s">
        <v>43</v>
      </c>
      <c r="AN8393" t="str">
        <f>HYPERLINK("https://www.google.com/maps?q=10.78049183,79.25984192","Open Location")</f>
        <v>Open Location</v>
      </c>
    </row>
    <row r="8394" spans="1:40" x14ac:dyDescent="0.3">
      <c r="A8394" s="1">
        <v>46210.027777777781</v>
      </c>
      <c r="B8394" t="s">
        <v>40</v>
      </c>
      <c r="C8394" t="s">
        <v>41</v>
      </c>
      <c r="D8394" s="1">
        <v>46210.030810185184</v>
      </c>
      <c r="E8394" t="s">
        <v>42</v>
      </c>
      <c r="F8394" t="s">
        <v>83</v>
      </c>
      <c r="G8394">
        <v>57</v>
      </c>
      <c r="H8394">
        <v>33007</v>
      </c>
      <c r="I8394" t="s">
        <v>4630</v>
      </c>
      <c r="J8394">
        <v>86</v>
      </c>
      <c r="K8394">
        <v>85</v>
      </c>
      <c r="L8394">
        <v>98</v>
      </c>
      <c r="M8394">
        <v>632</v>
      </c>
      <c r="N8394" t="s">
        <v>87</v>
      </c>
      <c r="O8394" t="s">
        <v>86</v>
      </c>
      <c r="P8394">
        <v>131</v>
      </c>
      <c r="Q8394">
        <v>6</v>
      </c>
      <c r="R8394">
        <v>37</v>
      </c>
      <c r="S8394">
        <v>1580</v>
      </c>
      <c r="T8394">
        <v>-40</v>
      </c>
      <c r="U8394">
        <v>43</v>
      </c>
      <c r="V8394">
        <v>320</v>
      </c>
      <c r="W8394">
        <v>27</v>
      </c>
      <c r="X8394">
        <v>27</v>
      </c>
      <c r="Y8394">
        <v>1</v>
      </c>
      <c r="Z8394">
        <v>8</v>
      </c>
      <c r="AA8394">
        <v>24</v>
      </c>
      <c r="AB8394">
        <v>1</v>
      </c>
      <c r="AC8394">
        <v>3</v>
      </c>
      <c r="AD8394">
        <v>3.2999999500000001</v>
      </c>
      <c r="AE8394">
        <v>1</v>
      </c>
      <c r="AF8394">
        <v>38</v>
      </c>
      <c r="AG8394">
        <v>3.2939999100000001</v>
      </c>
      <c r="AH8394">
        <v>4</v>
      </c>
      <c r="AI8394">
        <v>17</v>
      </c>
      <c r="AJ8394">
        <v>1</v>
      </c>
      <c r="AK8394">
        <v>27</v>
      </c>
      <c r="AL8394">
        <v>39</v>
      </c>
      <c r="AM8394" t="s">
        <v>43</v>
      </c>
      <c r="AN8394" t="str">
        <f>HYPERLINK("https://www.google.com/maps?q=10.77998829,79.2582016","Open Location")</f>
        <v>Open Location</v>
      </c>
    </row>
    <row r="8395" spans="1:40" x14ac:dyDescent="0.3">
      <c r="A8395" s="1">
        <v>46210.027662037035</v>
      </c>
      <c r="B8395" t="s">
        <v>40</v>
      </c>
      <c r="C8395" t="s">
        <v>41</v>
      </c>
      <c r="D8395" s="1">
        <v>46210.030775462961</v>
      </c>
      <c r="E8395" t="s">
        <v>42</v>
      </c>
      <c r="F8395" t="s">
        <v>83</v>
      </c>
      <c r="G8395">
        <v>59</v>
      </c>
      <c r="H8395">
        <v>33007</v>
      </c>
      <c r="I8395" t="s">
        <v>4631</v>
      </c>
      <c r="J8395">
        <v>86</v>
      </c>
      <c r="K8395">
        <v>27</v>
      </c>
      <c r="L8395">
        <v>98</v>
      </c>
      <c r="M8395">
        <v>633.40002441000001</v>
      </c>
      <c r="N8395" t="s">
        <v>87</v>
      </c>
      <c r="O8395" t="s">
        <v>86</v>
      </c>
      <c r="P8395">
        <v>131</v>
      </c>
      <c r="Q8395">
        <v>6</v>
      </c>
      <c r="R8395">
        <v>34</v>
      </c>
      <c r="S8395">
        <v>1605</v>
      </c>
      <c r="T8395">
        <v>-40</v>
      </c>
      <c r="U8395">
        <v>43</v>
      </c>
      <c r="V8395">
        <v>93</v>
      </c>
      <c r="W8395">
        <v>27</v>
      </c>
      <c r="X8395">
        <v>27</v>
      </c>
      <c r="Y8395">
        <v>1</v>
      </c>
      <c r="Z8395">
        <v>8</v>
      </c>
      <c r="AA8395">
        <v>24</v>
      </c>
      <c r="AB8395">
        <v>1</v>
      </c>
      <c r="AC8395">
        <v>3</v>
      </c>
      <c r="AD8395">
        <v>3.3110001100000002</v>
      </c>
      <c r="AE8395">
        <v>1</v>
      </c>
      <c r="AF8395">
        <v>6</v>
      </c>
      <c r="AG8395">
        <v>3.3080000900000002</v>
      </c>
      <c r="AH8395">
        <v>4</v>
      </c>
      <c r="AI8395">
        <v>17</v>
      </c>
      <c r="AJ8395">
        <v>1</v>
      </c>
      <c r="AK8395">
        <v>27</v>
      </c>
      <c r="AL8395">
        <v>39</v>
      </c>
      <c r="AM8395" t="s">
        <v>43</v>
      </c>
      <c r="AN8395" t="str">
        <f>HYPERLINK("https://www.google.com/maps?q=10.77894878,79.25675201","Open Location")</f>
        <v>Open Location</v>
      </c>
    </row>
    <row r="8396" spans="1:40" x14ac:dyDescent="0.3">
      <c r="A8396" s="1">
        <v>46210.027546296296</v>
      </c>
      <c r="B8396" t="s">
        <v>40</v>
      </c>
      <c r="C8396" t="s">
        <v>41</v>
      </c>
      <c r="D8396" s="1">
        <v>46210.030497685184</v>
      </c>
      <c r="E8396" t="s">
        <v>42</v>
      </c>
      <c r="F8396" t="s">
        <v>83</v>
      </c>
      <c r="G8396">
        <v>60</v>
      </c>
      <c r="H8396">
        <v>33007</v>
      </c>
      <c r="I8396" t="s">
        <v>43</v>
      </c>
      <c r="J8396">
        <v>86</v>
      </c>
      <c r="K8396">
        <v>34</v>
      </c>
      <c r="L8396">
        <v>98</v>
      </c>
      <c r="M8396">
        <v>633.59997558999999</v>
      </c>
      <c r="N8396" t="s">
        <v>87</v>
      </c>
      <c r="O8396" t="s">
        <v>86</v>
      </c>
      <c r="P8396">
        <v>131</v>
      </c>
      <c r="Q8396">
        <v>6</v>
      </c>
      <c r="R8396">
        <v>20</v>
      </c>
      <c r="S8396">
        <v>1669</v>
      </c>
      <c r="T8396">
        <v>-40</v>
      </c>
      <c r="U8396">
        <v>43</v>
      </c>
      <c r="V8396">
        <v>80</v>
      </c>
      <c r="W8396">
        <v>27</v>
      </c>
      <c r="X8396">
        <v>27</v>
      </c>
      <c r="Y8396">
        <v>1</v>
      </c>
      <c r="Z8396">
        <v>8</v>
      </c>
      <c r="AA8396">
        <v>24</v>
      </c>
      <c r="AB8396">
        <v>1</v>
      </c>
      <c r="AC8396">
        <v>3</v>
      </c>
      <c r="AD8396">
        <v>3.30999994</v>
      </c>
      <c r="AE8396">
        <v>1</v>
      </c>
      <c r="AF8396">
        <v>38</v>
      </c>
      <c r="AG8396">
        <v>3.30699992</v>
      </c>
      <c r="AH8396">
        <v>5</v>
      </c>
      <c r="AI8396">
        <v>48</v>
      </c>
      <c r="AJ8396">
        <v>1</v>
      </c>
      <c r="AK8396">
        <v>22</v>
      </c>
      <c r="AL8396">
        <v>39</v>
      </c>
      <c r="AM8396" t="s">
        <v>43</v>
      </c>
      <c r="AN8396" t="s">
        <v>43</v>
      </c>
    </row>
    <row r="8397" spans="1:40" x14ac:dyDescent="0.3">
      <c r="A8397" s="1">
        <v>46210.027430555558</v>
      </c>
      <c r="B8397" t="s">
        <v>40</v>
      </c>
      <c r="C8397" t="s">
        <v>41</v>
      </c>
      <c r="D8397" s="1">
        <v>46210.030509259261</v>
      </c>
      <c r="E8397" t="s">
        <v>42</v>
      </c>
      <c r="F8397" t="s">
        <v>83</v>
      </c>
      <c r="G8397">
        <v>59</v>
      </c>
      <c r="H8397">
        <v>33007</v>
      </c>
      <c r="I8397" t="s">
        <v>4632</v>
      </c>
      <c r="J8397">
        <v>86</v>
      </c>
      <c r="K8397">
        <v>102</v>
      </c>
      <c r="L8397">
        <v>98</v>
      </c>
      <c r="M8397">
        <v>631.20001220999995</v>
      </c>
      <c r="N8397" t="s">
        <v>87</v>
      </c>
      <c r="O8397" t="s">
        <v>86</v>
      </c>
      <c r="P8397">
        <v>131</v>
      </c>
      <c r="Q8397">
        <v>6</v>
      </c>
      <c r="R8397">
        <v>49</v>
      </c>
      <c r="S8397">
        <v>1677</v>
      </c>
      <c r="T8397">
        <v>-40</v>
      </c>
      <c r="U8397">
        <v>42</v>
      </c>
      <c r="V8397">
        <v>352</v>
      </c>
      <c r="W8397">
        <v>27</v>
      </c>
      <c r="X8397">
        <v>27</v>
      </c>
      <c r="Y8397">
        <v>1</v>
      </c>
      <c r="Z8397">
        <v>8</v>
      </c>
      <c r="AA8397">
        <v>24</v>
      </c>
      <c r="AB8397">
        <v>1</v>
      </c>
      <c r="AC8397">
        <v>3</v>
      </c>
      <c r="AD8397">
        <v>3.3010001199999999</v>
      </c>
      <c r="AE8397">
        <v>1</v>
      </c>
      <c r="AF8397">
        <v>37</v>
      </c>
      <c r="AG8397">
        <v>3.2959999999999998</v>
      </c>
      <c r="AH8397">
        <v>4</v>
      </c>
      <c r="AI8397">
        <v>17</v>
      </c>
      <c r="AJ8397">
        <v>1</v>
      </c>
      <c r="AK8397">
        <v>27</v>
      </c>
      <c r="AL8397">
        <v>39</v>
      </c>
      <c r="AM8397" t="s">
        <v>43</v>
      </c>
      <c r="AN8397" t="str">
        <f>HYPERLINK("https://www.google.com/maps?q=10.77810192,79.25510406","Open Location")</f>
        <v>Open Location</v>
      </c>
    </row>
    <row r="8398" spans="1:40" x14ac:dyDescent="0.3">
      <c r="A8398" s="1">
        <v>46210.027314814812</v>
      </c>
      <c r="B8398" t="s">
        <v>40</v>
      </c>
      <c r="C8398" t="s">
        <v>41</v>
      </c>
      <c r="D8398" s="1">
        <v>46210.030358796299</v>
      </c>
      <c r="E8398" t="s">
        <v>42</v>
      </c>
      <c r="F8398" t="s">
        <v>83</v>
      </c>
      <c r="G8398">
        <v>61</v>
      </c>
      <c r="H8398">
        <v>33006</v>
      </c>
      <c r="I8398" t="s">
        <v>4633</v>
      </c>
      <c r="J8398">
        <v>86</v>
      </c>
      <c r="K8398">
        <v>44</v>
      </c>
      <c r="L8398">
        <v>98</v>
      </c>
      <c r="M8398">
        <v>632.5</v>
      </c>
      <c r="N8398" t="s">
        <v>87</v>
      </c>
      <c r="O8398" t="s">
        <v>86</v>
      </c>
      <c r="P8398">
        <v>131</v>
      </c>
      <c r="Q8398">
        <v>6</v>
      </c>
      <c r="R8398">
        <v>14</v>
      </c>
      <c r="S8398">
        <v>1670</v>
      </c>
      <c r="T8398">
        <v>-40</v>
      </c>
      <c r="U8398">
        <v>43</v>
      </c>
      <c r="V8398">
        <v>160</v>
      </c>
      <c r="W8398">
        <v>27</v>
      </c>
      <c r="X8398">
        <v>27</v>
      </c>
      <c r="Y8398">
        <v>1</v>
      </c>
      <c r="Z8398">
        <v>8</v>
      </c>
      <c r="AA8398">
        <v>24</v>
      </c>
      <c r="AB8398">
        <v>1</v>
      </c>
      <c r="AC8398">
        <v>3</v>
      </c>
      <c r="AD8398">
        <v>3.3020000500000002</v>
      </c>
      <c r="AE8398">
        <v>1</v>
      </c>
      <c r="AF8398">
        <v>41</v>
      </c>
      <c r="AG8398">
        <v>3.2959999999999998</v>
      </c>
      <c r="AH8398">
        <v>4</v>
      </c>
      <c r="AI8398">
        <v>17</v>
      </c>
      <c r="AJ8398">
        <v>1</v>
      </c>
      <c r="AK8398">
        <v>22</v>
      </c>
      <c r="AL8398">
        <v>39</v>
      </c>
      <c r="AM8398" t="s">
        <v>43</v>
      </c>
      <c r="AN8398" t="str">
        <f>HYPERLINK("https://www.google.com/maps?q=10.77769756,79.25331116","Open Location")</f>
        <v>Open Location</v>
      </c>
    </row>
    <row r="8399" spans="1:40" x14ac:dyDescent="0.3">
      <c r="A8399" s="1">
        <v>46210.027199074073</v>
      </c>
      <c r="B8399" t="s">
        <v>40</v>
      </c>
      <c r="C8399" t="s">
        <v>41</v>
      </c>
      <c r="D8399" s="1">
        <v>46210.030347222222</v>
      </c>
      <c r="E8399" t="s">
        <v>42</v>
      </c>
      <c r="F8399" t="s">
        <v>83</v>
      </c>
      <c r="G8399">
        <v>62</v>
      </c>
      <c r="H8399" t="s">
        <v>43</v>
      </c>
      <c r="I8399" t="s">
        <v>4634</v>
      </c>
      <c r="J8399">
        <v>86</v>
      </c>
      <c r="K8399">
        <v>94</v>
      </c>
      <c r="L8399">
        <v>98</v>
      </c>
      <c r="M8399">
        <v>630.20001220999995</v>
      </c>
      <c r="N8399" t="s">
        <v>87</v>
      </c>
      <c r="O8399" t="s">
        <v>86</v>
      </c>
      <c r="P8399">
        <v>131</v>
      </c>
      <c r="Q8399">
        <v>6</v>
      </c>
      <c r="R8399">
        <v>75</v>
      </c>
      <c r="S8399">
        <v>1729</v>
      </c>
      <c r="T8399">
        <v>-40</v>
      </c>
      <c r="U8399">
        <v>46</v>
      </c>
      <c r="V8399">
        <v>300</v>
      </c>
      <c r="W8399">
        <v>27</v>
      </c>
      <c r="X8399">
        <v>27</v>
      </c>
      <c r="Y8399">
        <v>1</v>
      </c>
      <c r="Z8399">
        <v>8</v>
      </c>
      <c r="AA8399">
        <v>24</v>
      </c>
      <c r="AB8399">
        <v>1</v>
      </c>
      <c r="AC8399">
        <v>3</v>
      </c>
      <c r="AD8399">
        <v>3.2760000200000001</v>
      </c>
      <c r="AE8399">
        <v>1</v>
      </c>
      <c r="AF8399">
        <v>41</v>
      </c>
      <c r="AG8399">
        <v>3.26200008</v>
      </c>
      <c r="AH8399">
        <v>4</v>
      </c>
      <c r="AI8399">
        <v>17</v>
      </c>
      <c r="AJ8399">
        <v>1</v>
      </c>
      <c r="AK8399">
        <v>27</v>
      </c>
      <c r="AL8399">
        <v>39</v>
      </c>
      <c r="AM8399" t="s">
        <v>43</v>
      </c>
      <c r="AN8399" t="str">
        <f>HYPERLINK("https://www.google.com/maps?q=10.77764225,79.25143433","Open Location")</f>
        <v>Open Location</v>
      </c>
    </row>
    <row r="8400" spans="1:40" x14ac:dyDescent="0.3">
      <c r="A8400" s="1">
        <v>46210.027083333334</v>
      </c>
      <c r="B8400" t="s">
        <v>40</v>
      </c>
      <c r="C8400" t="s">
        <v>41</v>
      </c>
      <c r="D8400" s="1">
        <v>46210.030358796299</v>
      </c>
      <c r="E8400" t="s">
        <v>42</v>
      </c>
      <c r="F8400" t="s">
        <v>83</v>
      </c>
      <c r="G8400">
        <v>55</v>
      </c>
      <c r="H8400">
        <v>33006</v>
      </c>
      <c r="I8400" t="s">
        <v>4635</v>
      </c>
      <c r="J8400">
        <v>86</v>
      </c>
      <c r="K8400">
        <v>255</v>
      </c>
      <c r="L8400">
        <v>98</v>
      </c>
      <c r="M8400">
        <v>623.79998779000005</v>
      </c>
      <c r="N8400" t="s">
        <v>87</v>
      </c>
      <c r="O8400" t="s">
        <v>86</v>
      </c>
      <c r="P8400">
        <v>131</v>
      </c>
      <c r="Q8400">
        <v>6</v>
      </c>
      <c r="R8400">
        <v>59</v>
      </c>
      <c r="S8400">
        <v>1580</v>
      </c>
      <c r="T8400">
        <v>-40</v>
      </c>
      <c r="U8400">
        <v>43</v>
      </c>
      <c r="V8400">
        <v>965</v>
      </c>
      <c r="W8400">
        <v>27</v>
      </c>
      <c r="X8400">
        <v>27</v>
      </c>
      <c r="Y8400">
        <v>1</v>
      </c>
      <c r="Z8400">
        <v>8</v>
      </c>
      <c r="AA8400">
        <v>24</v>
      </c>
      <c r="AB8400">
        <v>1</v>
      </c>
      <c r="AC8400">
        <v>3</v>
      </c>
      <c r="AD8400">
        <v>3.2969999300000001</v>
      </c>
      <c r="AE8400">
        <v>1</v>
      </c>
      <c r="AF8400">
        <v>41</v>
      </c>
      <c r="AG8400">
        <v>3.28900003</v>
      </c>
      <c r="AH8400">
        <v>4</v>
      </c>
      <c r="AI8400">
        <v>17</v>
      </c>
      <c r="AJ8400">
        <v>1</v>
      </c>
      <c r="AK8400">
        <v>23</v>
      </c>
      <c r="AL8400">
        <v>39</v>
      </c>
      <c r="AM8400" t="s">
        <v>43</v>
      </c>
      <c r="AN8400" t="str">
        <f>HYPERLINK("https://www.google.com/maps?q=10.77777195,79.24964142","Open Location")</f>
        <v>Open Location</v>
      </c>
    </row>
    <row r="8401" spans="1:40" x14ac:dyDescent="0.3">
      <c r="A8401" s="1">
        <v>46210.026967592596</v>
      </c>
      <c r="B8401" t="s">
        <v>40</v>
      </c>
      <c r="C8401" t="s">
        <v>41</v>
      </c>
      <c r="D8401" s="1">
        <v>46210.029988425929</v>
      </c>
      <c r="E8401" t="s">
        <v>42</v>
      </c>
      <c r="F8401" t="s">
        <v>83</v>
      </c>
      <c r="G8401">
        <v>57</v>
      </c>
      <c r="H8401">
        <v>33006</v>
      </c>
      <c r="I8401" t="s">
        <v>4636</v>
      </c>
      <c r="J8401">
        <v>86</v>
      </c>
      <c r="K8401">
        <v>68</v>
      </c>
      <c r="L8401">
        <v>98</v>
      </c>
      <c r="M8401">
        <v>631.09997558999999</v>
      </c>
      <c r="N8401" t="s">
        <v>87</v>
      </c>
      <c r="O8401" t="s">
        <v>86</v>
      </c>
      <c r="P8401">
        <v>131</v>
      </c>
      <c r="Q8401">
        <v>6</v>
      </c>
      <c r="R8401">
        <v>76</v>
      </c>
      <c r="S8401">
        <v>1569</v>
      </c>
      <c r="T8401">
        <v>-40</v>
      </c>
      <c r="U8401">
        <v>43</v>
      </c>
      <c r="V8401">
        <v>224</v>
      </c>
      <c r="W8401">
        <v>27</v>
      </c>
      <c r="X8401">
        <v>27</v>
      </c>
      <c r="Y8401">
        <v>1</v>
      </c>
      <c r="Z8401">
        <v>8</v>
      </c>
      <c r="AA8401">
        <v>24</v>
      </c>
      <c r="AB8401">
        <v>1</v>
      </c>
      <c r="AC8401">
        <v>3</v>
      </c>
      <c r="AD8401">
        <v>3.2999999500000001</v>
      </c>
      <c r="AE8401">
        <v>1</v>
      </c>
      <c r="AF8401">
        <v>44</v>
      </c>
      <c r="AG8401">
        <v>3.2929999799999998</v>
      </c>
      <c r="AH8401">
        <v>4</v>
      </c>
      <c r="AI8401">
        <v>17</v>
      </c>
      <c r="AJ8401">
        <v>1</v>
      </c>
      <c r="AK8401">
        <v>27</v>
      </c>
      <c r="AL8401">
        <v>39</v>
      </c>
      <c r="AM8401" t="s">
        <v>43</v>
      </c>
      <c r="AN8401" t="str">
        <f>HYPERLINK("https://www.google.com/maps?q=10.77791405,79.24774933","Open Location")</f>
        <v>Open Location</v>
      </c>
    </row>
    <row r="8402" spans="1:40" x14ac:dyDescent="0.3">
      <c r="A8402" s="1">
        <v>46210.02685185185</v>
      </c>
      <c r="B8402" t="s">
        <v>40</v>
      </c>
      <c r="C8402" t="s">
        <v>41</v>
      </c>
      <c r="D8402" s="1">
        <v>46210.029780092591</v>
      </c>
      <c r="E8402" t="s">
        <v>42</v>
      </c>
      <c r="F8402" t="s">
        <v>83</v>
      </c>
      <c r="G8402">
        <v>59</v>
      </c>
      <c r="H8402">
        <v>33006</v>
      </c>
      <c r="I8402" t="s">
        <v>43</v>
      </c>
      <c r="J8402">
        <v>86</v>
      </c>
      <c r="K8402">
        <v>59</v>
      </c>
      <c r="L8402">
        <v>98</v>
      </c>
      <c r="M8402">
        <v>632.5</v>
      </c>
      <c r="N8402" t="s">
        <v>87</v>
      </c>
      <c r="O8402" t="s">
        <v>86</v>
      </c>
      <c r="P8402">
        <v>131</v>
      </c>
      <c r="Q8402">
        <v>6</v>
      </c>
      <c r="R8402">
        <v>41</v>
      </c>
      <c r="S8402">
        <v>1649</v>
      </c>
      <c r="T8402">
        <v>-40</v>
      </c>
      <c r="U8402">
        <v>43</v>
      </c>
      <c r="V8402">
        <v>200</v>
      </c>
      <c r="W8402">
        <v>27</v>
      </c>
      <c r="X8402">
        <v>27</v>
      </c>
      <c r="Y8402">
        <v>1</v>
      </c>
      <c r="Z8402">
        <v>8</v>
      </c>
      <c r="AA8402">
        <v>24</v>
      </c>
      <c r="AB8402">
        <v>1</v>
      </c>
      <c r="AC8402">
        <v>3</v>
      </c>
      <c r="AD8402">
        <v>3.3010001199999999</v>
      </c>
      <c r="AE8402">
        <v>1</v>
      </c>
      <c r="AF8402">
        <v>41</v>
      </c>
      <c r="AG8402">
        <v>3.2939999100000001</v>
      </c>
      <c r="AH8402">
        <v>7</v>
      </c>
      <c r="AI8402">
        <v>1</v>
      </c>
      <c r="AJ8402">
        <v>1</v>
      </c>
      <c r="AK8402">
        <v>27</v>
      </c>
      <c r="AL8402">
        <v>39</v>
      </c>
      <c r="AM8402" t="s">
        <v>43</v>
      </c>
      <c r="AN8402" t="s">
        <v>43</v>
      </c>
    </row>
    <row r="8403" spans="1:40" x14ac:dyDescent="0.3">
      <c r="A8403" s="1">
        <v>46210.026736111111</v>
      </c>
      <c r="B8403" t="s">
        <v>40</v>
      </c>
      <c r="C8403" t="s">
        <v>41</v>
      </c>
      <c r="D8403" s="1">
        <v>46210.029953703706</v>
      </c>
      <c r="E8403" t="s">
        <v>42</v>
      </c>
      <c r="F8403" t="s">
        <v>83</v>
      </c>
      <c r="G8403">
        <v>59</v>
      </c>
      <c r="H8403">
        <v>33006</v>
      </c>
      <c r="I8403" t="s">
        <v>4637</v>
      </c>
      <c r="J8403">
        <v>86</v>
      </c>
      <c r="K8403">
        <v>60</v>
      </c>
      <c r="L8403">
        <v>98</v>
      </c>
      <c r="M8403">
        <v>632.20001220999995</v>
      </c>
      <c r="N8403" t="s">
        <v>87</v>
      </c>
      <c r="O8403" t="s">
        <v>86</v>
      </c>
      <c r="P8403">
        <v>131</v>
      </c>
      <c r="Q8403">
        <v>6</v>
      </c>
      <c r="R8403">
        <v>52</v>
      </c>
      <c r="S8403">
        <v>1646</v>
      </c>
      <c r="T8403">
        <v>-40</v>
      </c>
      <c r="U8403">
        <v>43</v>
      </c>
      <c r="V8403">
        <v>200</v>
      </c>
      <c r="W8403">
        <v>27</v>
      </c>
      <c r="X8403">
        <v>27</v>
      </c>
      <c r="Y8403">
        <v>1</v>
      </c>
      <c r="Z8403">
        <v>8</v>
      </c>
      <c r="AA8403">
        <v>24</v>
      </c>
      <c r="AB8403">
        <v>1</v>
      </c>
      <c r="AC8403">
        <v>3</v>
      </c>
      <c r="AD8403">
        <v>3.2999999500000001</v>
      </c>
      <c r="AE8403">
        <v>1</v>
      </c>
      <c r="AF8403">
        <v>38</v>
      </c>
      <c r="AG8403">
        <v>3.2939999100000001</v>
      </c>
      <c r="AH8403">
        <v>4</v>
      </c>
      <c r="AI8403">
        <v>17</v>
      </c>
      <c r="AJ8403">
        <v>1</v>
      </c>
      <c r="AK8403">
        <v>28</v>
      </c>
      <c r="AL8403">
        <v>39</v>
      </c>
      <c r="AM8403" t="s">
        <v>43</v>
      </c>
      <c r="AN8403" t="str">
        <f>HYPERLINK("https://www.google.com/maps?q=10.77803516,79.24593353","Open Location")</f>
        <v>Open Location</v>
      </c>
    </row>
    <row r="8404" spans="1:40" x14ac:dyDescent="0.3">
      <c r="A8404" s="1">
        <v>46210.026620370372</v>
      </c>
      <c r="B8404" t="s">
        <v>40</v>
      </c>
      <c r="C8404" t="s">
        <v>41</v>
      </c>
      <c r="D8404" s="1">
        <v>46210.029583333337</v>
      </c>
      <c r="E8404" t="s">
        <v>42</v>
      </c>
      <c r="F8404" t="s">
        <v>83</v>
      </c>
      <c r="G8404">
        <v>58</v>
      </c>
      <c r="H8404">
        <v>33005</v>
      </c>
      <c r="I8404" t="s">
        <v>4638</v>
      </c>
      <c r="J8404">
        <v>86</v>
      </c>
      <c r="K8404">
        <v>67</v>
      </c>
      <c r="L8404">
        <v>98</v>
      </c>
      <c r="M8404">
        <v>632.20001220999995</v>
      </c>
      <c r="N8404" t="s">
        <v>87</v>
      </c>
      <c r="O8404" t="s">
        <v>86</v>
      </c>
      <c r="P8404">
        <v>131</v>
      </c>
      <c r="Q8404">
        <v>6</v>
      </c>
      <c r="R8404">
        <v>37</v>
      </c>
      <c r="S8404">
        <v>1629</v>
      </c>
      <c r="T8404">
        <v>-40</v>
      </c>
      <c r="U8404">
        <v>43</v>
      </c>
      <c r="V8404">
        <v>220</v>
      </c>
      <c r="W8404">
        <v>27</v>
      </c>
      <c r="X8404">
        <v>27</v>
      </c>
      <c r="Y8404">
        <v>1</v>
      </c>
      <c r="Z8404">
        <v>8</v>
      </c>
      <c r="AA8404">
        <v>24</v>
      </c>
      <c r="AB8404">
        <v>1</v>
      </c>
      <c r="AC8404">
        <v>3</v>
      </c>
      <c r="AD8404">
        <v>3.2990000199999998</v>
      </c>
      <c r="AE8404">
        <v>1</v>
      </c>
      <c r="AF8404">
        <v>41</v>
      </c>
      <c r="AG8404">
        <v>3.2920000599999999</v>
      </c>
      <c r="AH8404">
        <v>4</v>
      </c>
      <c r="AI8404">
        <v>17</v>
      </c>
      <c r="AJ8404">
        <v>1</v>
      </c>
      <c r="AK8404">
        <v>27</v>
      </c>
      <c r="AL8404">
        <v>39</v>
      </c>
      <c r="AM8404" t="s">
        <v>43</v>
      </c>
      <c r="AN8404" t="str">
        <f>HYPERLINK("https://www.google.com/maps?q=10.77808189,79.24411774","Open Location")</f>
        <v>Open Location</v>
      </c>
    </row>
    <row r="8405" spans="1:40" x14ac:dyDescent="0.3">
      <c r="A8405" s="1">
        <v>46210.026504629626</v>
      </c>
      <c r="B8405" t="s">
        <v>40</v>
      </c>
      <c r="C8405" t="s">
        <v>41</v>
      </c>
      <c r="D8405" s="1">
        <v>46210.029432870368</v>
      </c>
      <c r="E8405" t="s">
        <v>42</v>
      </c>
      <c r="F8405" t="s">
        <v>83</v>
      </c>
      <c r="G8405">
        <v>57</v>
      </c>
      <c r="H8405">
        <v>33005</v>
      </c>
      <c r="I8405" t="s">
        <v>4639</v>
      </c>
      <c r="J8405">
        <v>86</v>
      </c>
      <c r="K8405">
        <v>68</v>
      </c>
      <c r="L8405">
        <v>98</v>
      </c>
      <c r="M8405">
        <v>631.90002441000001</v>
      </c>
      <c r="N8405" t="s">
        <v>87</v>
      </c>
      <c r="O8405" t="s">
        <v>86</v>
      </c>
      <c r="P8405">
        <v>131</v>
      </c>
      <c r="Q8405">
        <v>6</v>
      </c>
      <c r="R8405">
        <v>53</v>
      </c>
      <c r="S8405">
        <v>1603</v>
      </c>
      <c r="T8405">
        <v>-40</v>
      </c>
      <c r="U8405">
        <v>43</v>
      </c>
      <c r="V8405">
        <v>240</v>
      </c>
      <c r="W8405">
        <v>27</v>
      </c>
      <c r="X8405">
        <v>27</v>
      </c>
      <c r="Y8405">
        <v>1</v>
      </c>
      <c r="Z8405">
        <v>8</v>
      </c>
      <c r="AA8405">
        <v>24</v>
      </c>
      <c r="AB8405">
        <v>1</v>
      </c>
      <c r="AC8405">
        <v>3</v>
      </c>
      <c r="AD8405">
        <v>3.2950000799999999</v>
      </c>
      <c r="AE8405">
        <v>1</v>
      </c>
      <c r="AF8405">
        <v>44</v>
      </c>
      <c r="AG8405">
        <v>3.28600001</v>
      </c>
      <c r="AH8405">
        <v>4</v>
      </c>
      <c r="AI8405">
        <v>17</v>
      </c>
      <c r="AJ8405">
        <v>1</v>
      </c>
      <c r="AK8405">
        <v>22</v>
      </c>
      <c r="AL8405">
        <v>39</v>
      </c>
      <c r="AM8405" t="s">
        <v>43</v>
      </c>
      <c r="AN8405" t="str">
        <f>HYPERLINK("https://www.google.com/maps?q=10.77822685,79.24235535","Open Location")</f>
        <v>Open Location</v>
      </c>
    </row>
    <row r="8406" spans="1:40" x14ac:dyDescent="0.3">
      <c r="A8406" s="1">
        <v>46210.026388888888</v>
      </c>
      <c r="B8406" t="s">
        <v>40</v>
      </c>
      <c r="C8406" t="s">
        <v>41</v>
      </c>
      <c r="D8406" s="1">
        <v>46210.029178240744</v>
      </c>
      <c r="E8406" t="s">
        <v>42</v>
      </c>
      <c r="F8406" t="s">
        <v>83</v>
      </c>
      <c r="G8406">
        <v>57</v>
      </c>
      <c r="H8406">
        <v>33005</v>
      </c>
      <c r="I8406" t="s">
        <v>4640</v>
      </c>
      <c r="J8406">
        <v>86</v>
      </c>
      <c r="K8406">
        <v>77</v>
      </c>
      <c r="L8406">
        <v>98</v>
      </c>
      <c r="M8406">
        <v>631.29998779000005</v>
      </c>
      <c r="N8406" t="s">
        <v>87</v>
      </c>
      <c r="O8406" t="s">
        <v>86</v>
      </c>
      <c r="P8406">
        <v>131</v>
      </c>
      <c r="Q8406">
        <v>6</v>
      </c>
      <c r="R8406">
        <v>9</v>
      </c>
      <c r="S8406">
        <v>1566</v>
      </c>
      <c r="T8406">
        <v>-40</v>
      </c>
      <c r="U8406">
        <v>43</v>
      </c>
      <c r="V8406">
        <v>280</v>
      </c>
      <c r="W8406">
        <v>27</v>
      </c>
      <c r="X8406">
        <v>27</v>
      </c>
      <c r="Y8406">
        <v>1</v>
      </c>
      <c r="Z8406">
        <v>8</v>
      </c>
      <c r="AA8406">
        <v>24</v>
      </c>
      <c r="AB8406">
        <v>1</v>
      </c>
      <c r="AC8406">
        <v>3</v>
      </c>
      <c r="AD8406">
        <v>3.3020000500000002</v>
      </c>
      <c r="AE8406">
        <v>1</v>
      </c>
      <c r="AF8406">
        <v>41</v>
      </c>
      <c r="AG8406">
        <v>3.2950000799999999</v>
      </c>
      <c r="AH8406">
        <v>4</v>
      </c>
      <c r="AI8406">
        <v>17</v>
      </c>
      <c r="AJ8406">
        <v>1</v>
      </c>
      <c r="AK8406">
        <v>28</v>
      </c>
      <c r="AL8406">
        <v>39</v>
      </c>
      <c r="AM8406" t="s">
        <v>43</v>
      </c>
      <c r="AN8406" t="str">
        <f>HYPERLINK("https://www.google.com/maps?q=10.77882671,79.24072266","Open Location")</f>
        <v>Open Location</v>
      </c>
    </row>
    <row r="8407" spans="1:40" x14ac:dyDescent="0.3">
      <c r="A8407" s="1">
        <v>46210.026273148149</v>
      </c>
      <c r="B8407" t="s">
        <v>40</v>
      </c>
      <c r="C8407" t="s">
        <v>41</v>
      </c>
      <c r="D8407" s="1">
        <v>46210.029166666667</v>
      </c>
      <c r="E8407" t="s">
        <v>42</v>
      </c>
      <c r="F8407" t="s">
        <v>83</v>
      </c>
      <c r="G8407">
        <v>60</v>
      </c>
      <c r="H8407">
        <v>33005</v>
      </c>
      <c r="I8407" t="s">
        <v>43</v>
      </c>
      <c r="J8407">
        <v>86</v>
      </c>
      <c r="K8407">
        <v>64</v>
      </c>
      <c r="L8407">
        <v>98</v>
      </c>
      <c r="M8407">
        <v>632.29998779000005</v>
      </c>
      <c r="N8407" t="s">
        <v>87</v>
      </c>
      <c r="O8407" t="s">
        <v>86</v>
      </c>
      <c r="P8407">
        <v>131</v>
      </c>
      <c r="Q8407">
        <v>6</v>
      </c>
      <c r="R8407">
        <v>38</v>
      </c>
      <c r="S8407">
        <v>1631</v>
      </c>
      <c r="T8407">
        <v>-40</v>
      </c>
      <c r="U8407">
        <v>43</v>
      </c>
      <c r="V8407">
        <v>220</v>
      </c>
      <c r="W8407">
        <v>27</v>
      </c>
      <c r="X8407">
        <v>27</v>
      </c>
      <c r="Y8407">
        <v>1</v>
      </c>
      <c r="Z8407">
        <v>8</v>
      </c>
      <c r="AA8407">
        <v>24</v>
      </c>
      <c r="AB8407">
        <v>1</v>
      </c>
      <c r="AC8407">
        <v>3</v>
      </c>
      <c r="AD8407">
        <v>3.2969999300000001</v>
      </c>
      <c r="AE8407">
        <v>1</v>
      </c>
      <c r="AF8407">
        <v>44</v>
      </c>
      <c r="AG8407">
        <v>3.28900003</v>
      </c>
      <c r="AH8407">
        <v>4</v>
      </c>
      <c r="AI8407">
        <v>17</v>
      </c>
      <c r="AJ8407">
        <v>1</v>
      </c>
      <c r="AK8407">
        <v>27</v>
      </c>
      <c r="AL8407">
        <v>39</v>
      </c>
      <c r="AM8407" t="s">
        <v>43</v>
      </c>
      <c r="AN8407" t="s">
        <v>43</v>
      </c>
    </row>
    <row r="8408" spans="1:40" x14ac:dyDescent="0.3">
      <c r="A8408" s="1">
        <v>46210.02615740741</v>
      </c>
      <c r="B8408" t="s">
        <v>40</v>
      </c>
      <c r="C8408" t="s">
        <v>41</v>
      </c>
      <c r="D8408" s="1">
        <v>46210.028819444444</v>
      </c>
      <c r="E8408" t="s">
        <v>42</v>
      </c>
      <c r="F8408" t="s">
        <v>83</v>
      </c>
      <c r="G8408">
        <v>61</v>
      </c>
      <c r="H8408">
        <v>33005</v>
      </c>
      <c r="I8408" t="s">
        <v>4641</v>
      </c>
      <c r="J8408">
        <v>86</v>
      </c>
      <c r="K8408">
        <v>54</v>
      </c>
      <c r="L8408">
        <v>98</v>
      </c>
      <c r="M8408">
        <v>632.79998779000005</v>
      </c>
      <c r="N8408" t="s">
        <v>87</v>
      </c>
      <c r="O8408" t="s">
        <v>86</v>
      </c>
      <c r="P8408">
        <v>131</v>
      </c>
      <c r="Q8408">
        <v>6</v>
      </c>
      <c r="R8408">
        <v>45</v>
      </c>
      <c r="S8408">
        <v>1679</v>
      </c>
      <c r="T8408">
        <v>-40</v>
      </c>
      <c r="U8408">
        <v>43</v>
      </c>
      <c r="V8408">
        <v>180</v>
      </c>
      <c r="W8408">
        <v>27</v>
      </c>
      <c r="X8408">
        <v>27</v>
      </c>
      <c r="Y8408">
        <v>1</v>
      </c>
      <c r="Z8408">
        <v>8</v>
      </c>
      <c r="AA8408">
        <v>24</v>
      </c>
      <c r="AB8408">
        <v>1</v>
      </c>
      <c r="AC8408">
        <v>3</v>
      </c>
      <c r="AD8408">
        <v>3.2959999999999998</v>
      </c>
      <c r="AE8408">
        <v>1</v>
      </c>
      <c r="AF8408">
        <v>38</v>
      </c>
      <c r="AG8408">
        <v>3.28900003</v>
      </c>
      <c r="AH8408">
        <v>4</v>
      </c>
      <c r="AI8408">
        <v>17</v>
      </c>
      <c r="AJ8408">
        <v>1</v>
      </c>
      <c r="AK8408">
        <v>27</v>
      </c>
      <c r="AL8408">
        <v>39</v>
      </c>
      <c r="AM8408" t="s">
        <v>43</v>
      </c>
      <c r="AN8408" t="str">
        <f>HYPERLINK("https://www.google.com/maps?q=10.77984333,79.23921967","Open Location")</f>
        <v>Open Location</v>
      </c>
    </row>
    <row r="8409" spans="1:40" x14ac:dyDescent="0.3">
      <c r="A8409" s="1">
        <v>46210.026041666664</v>
      </c>
      <c r="B8409" t="s">
        <v>40</v>
      </c>
      <c r="C8409" t="s">
        <v>41</v>
      </c>
      <c r="D8409" s="1">
        <v>46210.028807870367</v>
      </c>
      <c r="E8409" t="s">
        <v>42</v>
      </c>
      <c r="F8409" t="s">
        <v>83</v>
      </c>
      <c r="G8409">
        <v>60</v>
      </c>
      <c r="H8409">
        <v>33005</v>
      </c>
      <c r="I8409" t="s">
        <v>4642</v>
      </c>
      <c r="J8409">
        <v>86</v>
      </c>
      <c r="K8409">
        <v>77</v>
      </c>
      <c r="L8409">
        <v>98</v>
      </c>
      <c r="M8409">
        <v>631.90002441000001</v>
      </c>
      <c r="N8409" t="s">
        <v>87</v>
      </c>
      <c r="O8409" t="s">
        <v>86</v>
      </c>
      <c r="P8409">
        <v>131</v>
      </c>
      <c r="Q8409">
        <v>6</v>
      </c>
      <c r="R8409">
        <v>45</v>
      </c>
      <c r="S8409">
        <v>1661</v>
      </c>
      <c r="T8409">
        <v>-40</v>
      </c>
      <c r="U8409">
        <v>43</v>
      </c>
      <c r="V8409">
        <v>260</v>
      </c>
      <c r="W8409">
        <v>27</v>
      </c>
      <c r="X8409">
        <v>27</v>
      </c>
      <c r="Y8409">
        <v>1</v>
      </c>
      <c r="Z8409">
        <v>8</v>
      </c>
      <c r="AA8409">
        <v>24</v>
      </c>
      <c r="AB8409">
        <v>1</v>
      </c>
      <c r="AC8409">
        <v>3</v>
      </c>
      <c r="AD8409">
        <v>3.2969999300000001</v>
      </c>
      <c r="AE8409">
        <v>1</v>
      </c>
      <c r="AF8409">
        <v>38</v>
      </c>
      <c r="AG8409">
        <v>3.2899999599999998</v>
      </c>
      <c r="AH8409">
        <v>4</v>
      </c>
      <c r="AI8409">
        <v>17</v>
      </c>
      <c r="AJ8409">
        <v>1</v>
      </c>
      <c r="AK8409">
        <v>27</v>
      </c>
      <c r="AL8409">
        <v>39</v>
      </c>
      <c r="AM8409" t="s">
        <v>43</v>
      </c>
      <c r="AN8409" t="str">
        <f>HYPERLINK("https://www.google.com/maps?q=10.78054428,79.23751831","Open Location")</f>
        <v>Open Location</v>
      </c>
    </row>
    <row r="8410" spans="1:40" x14ac:dyDescent="0.3">
      <c r="A8410" s="1">
        <v>46210.025925925926</v>
      </c>
      <c r="B8410" t="s">
        <v>40</v>
      </c>
      <c r="C8410" t="s">
        <v>41</v>
      </c>
      <c r="D8410" s="1">
        <v>46210.028715277775</v>
      </c>
      <c r="E8410" t="s">
        <v>42</v>
      </c>
      <c r="F8410" t="s">
        <v>83</v>
      </c>
      <c r="G8410">
        <v>59</v>
      </c>
      <c r="H8410">
        <v>33004</v>
      </c>
      <c r="I8410" t="s">
        <v>4643</v>
      </c>
      <c r="J8410">
        <v>86</v>
      </c>
      <c r="K8410">
        <v>76</v>
      </c>
      <c r="L8410">
        <v>98</v>
      </c>
      <c r="M8410">
        <v>631.70001220999995</v>
      </c>
      <c r="N8410" t="s">
        <v>87</v>
      </c>
      <c r="O8410" t="s">
        <v>86</v>
      </c>
      <c r="P8410">
        <v>131</v>
      </c>
      <c r="Q8410">
        <v>6</v>
      </c>
      <c r="R8410">
        <v>34</v>
      </c>
      <c r="S8410">
        <v>1640</v>
      </c>
      <c r="T8410">
        <v>-40</v>
      </c>
      <c r="U8410">
        <v>43</v>
      </c>
      <c r="V8410">
        <v>260</v>
      </c>
      <c r="W8410">
        <v>27</v>
      </c>
      <c r="X8410">
        <v>27</v>
      </c>
      <c r="Y8410">
        <v>1</v>
      </c>
      <c r="Z8410">
        <v>8</v>
      </c>
      <c r="AA8410">
        <v>24</v>
      </c>
      <c r="AB8410">
        <v>1</v>
      </c>
      <c r="AC8410">
        <v>3</v>
      </c>
      <c r="AD8410">
        <v>3.2999999500000001</v>
      </c>
      <c r="AE8410">
        <v>1</v>
      </c>
      <c r="AF8410">
        <v>38</v>
      </c>
      <c r="AG8410">
        <v>3.2939999100000001</v>
      </c>
      <c r="AH8410">
        <v>4</v>
      </c>
      <c r="AI8410">
        <v>17</v>
      </c>
      <c r="AJ8410">
        <v>1</v>
      </c>
      <c r="AK8410">
        <v>27</v>
      </c>
      <c r="AL8410">
        <v>39</v>
      </c>
      <c r="AM8410" t="s">
        <v>43</v>
      </c>
      <c r="AN8410" t="str">
        <f>HYPERLINK("https://www.google.com/maps?q=10.78095818,79.23558044","Open Location")</f>
        <v>Open Location</v>
      </c>
    </row>
    <row r="8411" spans="1:40" x14ac:dyDescent="0.3">
      <c r="A8411" s="1">
        <v>46210.025810185187</v>
      </c>
      <c r="B8411" t="s">
        <v>40</v>
      </c>
      <c r="C8411" t="s">
        <v>41</v>
      </c>
      <c r="D8411" s="1">
        <v>46210.028715277775</v>
      </c>
      <c r="E8411" t="s">
        <v>42</v>
      </c>
      <c r="F8411" t="s">
        <v>83</v>
      </c>
      <c r="G8411">
        <v>59</v>
      </c>
      <c r="H8411">
        <v>33004</v>
      </c>
      <c r="I8411" t="s">
        <v>4644</v>
      </c>
      <c r="J8411">
        <v>86</v>
      </c>
      <c r="K8411">
        <v>59</v>
      </c>
      <c r="L8411">
        <v>98</v>
      </c>
      <c r="M8411">
        <v>632.5</v>
      </c>
      <c r="N8411" t="s">
        <v>87</v>
      </c>
      <c r="O8411" t="s">
        <v>86</v>
      </c>
      <c r="P8411">
        <v>131</v>
      </c>
      <c r="Q8411">
        <v>6</v>
      </c>
      <c r="R8411">
        <v>34</v>
      </c>
      <c r="S8411">
        <v>1642</v>
      </c>
      <c r="T8411">
        <v>-40</v>
      </c>
      <c r="U8411">
        <v>43</v>
      </c>
      <c r="V8411">
        <v>200</v>
      </c>
      <c r="W8411">
        <v>27</v>
      </c>
      <c r="X8411">
        <v>27</v>
      </c>
      <c r="Y8411">
        <v>1</v>
      </c>
      <c r="Z8411">
        <v>8</v>
      </c>
      <c r="AA8411">
        <v>24</v>
      </c>
      <c r="AB8411">
        <v>1</v>
      </c>
      <c r="AC8411">
        <v>3</v>
      </c>
      <c r="AD8411">
        <v>3.2999999500000001</v>
      </c>
      <c r="AE8411">
        <v>1</v>
      </c>
      <c r="AF8411">
        <v>41</v>
      </c>
      <c r="AG8411">
        <v>3.2939999100000001</v>
      </c>
      <c r="AH8411">
        <v>4</v>
      </c>
      <c r="AI8411">
        <v>17</v>
      </c>
      <c r="AJ8411">
        <v>1</v>
      </c>
      <c r="AK8411">
        <v>27</v>
      </c>
      <c r="AL8411">
        <v>39</v>
      </c>
      <c r="AM8411" t="s">
        <v>43</v>
      </c>
      <c r="AN8411" t="str">
        <f>HYPERLINK("https://www.google.com/maps?q=10.7813282,79.23381042","Open Location")</f>
        <v>Open Location</v>
      </c>
    </row>
    <row r="8412" spans="1:40" x14ac:dyDescent="0.3">
      <c r="A8412" s="1">
        <v>46210.025694444441</v>
      </c>
      <c r="B8412" t="s">
        <v>40</v>
      </c>
      <c r="C8412" t="s">
        <v>41</v>
      </c>
      <c r="D8412" s="1">
        <v>46210.028437499997</v>
      </c>
      <c r="E8412" t="s">
        <v>42</v>
      </c>
      <c r="F8412" t="s">
        <v>83</v>
      </c>
      <c r="G8412">
        <v>58</v>
      </c>
      <c r="H8412">
        <v>33004</v>
      </c>
      <c r="I8412" t="s">
        <v>4645</v>
      </c>
      <c r="J8412">
        <v>86</v>
      </c>
      <c r="K8412">
        <v>58</v>
      </c>
      <c r="L8412">
        <v>98</v>
      </c>
      <c r="M8412">
        <v>632.29998779000005</v>
      </c>
      <c r="N8412" t="s">
        <v>87</v>
      </c>
      <c r="O8412" t="s">
        <v>86</v>
      </c>
      <c r="P8412">
        <v>131</v>
      </c>
      <c r="Q8412">
        <v>6</v>
      </c>
      <c r="R8412">
        <v>53</v>
      </c>
      <c r="S8412">
        <v>1608</v>
      </c>
      <c r="T8412">
        <v>-40</v>
      </c>
      <c r="U8412">
        <v>44</v>
      </c>
      <c r="V8412">
        <v>200</v>
      </c>
      <c r="W8412">
        <v>27</v>
      </c>
      <c r="X8412">
        <v>27</v>
      </c>
      <c r="Y8412">
        <v>1</v>
      </c>
      <c r="Z8412">
        <v>8</v>
      </c>
      <c r="AA8412">
        <v>24</v>
      </c>
      <c r="AB8412">
        <v>1</v>
      </c>
      <c r="AC8412">
        <v>3</v>
      </c>
      <c r="AD8412">
        <v>3.2920000599999999</v>
      </c>
      <c r="AE8412">
        <v>1</v>
      </c>
      <c r="AF8412">
        <v>44</v>
      </c>
      <c r="AG8412">
        <v>3.28299999</v>
      </c>
      <c r="AH8412">
        <v>4</v>
      </c>
      <c r="AI8412">
        <v>17</v>
      </c>
      <c r="AJ8412">
        <v>1</v>
      </c>
      <c r="AK8412">
        <v>27</v>
      </c>
      <c r="AL8412">
        <v>39</v>
      </c>
      <c r="AM8412" t="s">
        <v>43</v>
      </c>
      <c r="AN8412" t="str">
        <f>HYPERLINK("https://www.google.com/maps?q=10.78151703,79.23204041","Open Location")</f>
        <v>Open Location</v>
      </c>
    </row>
    <row r="8413" spans="1:40" x14ac:dyDescent="0.3">
      <c r="A8413" s="1">
        <v>46210.025578703702</v>
      </c>
      <c r="B8413" t="s">
        <v>40</v>
      </c>
      <c r="C8413" t="s">
        <v>41</v>
      </c>
      <c r="D8413" s="1">
        <v>46210.028425925928</v>
      </c>
      <c r="E8413" t="s">
        <v>42</v>
      </c>
      <c r="F8413" t="s">
        <v>83</v>
      </c>
      <c r="G8413">
        <v>59</v>
      </c>
      <c r="H8413">
        <v>33004</v>
      </c>
      <c r="I8413" t="s">
        <v>43</v>
      </c>
      <c r="J8413">
        <v>86</v>
      </c>
      <c r="K8413">
        <v>51</v>
      </c>
      <c r="L8413">
        <v>98</v>
      </c>
      <c r="M8413">
        <v>632.90002441000001</v>
      </c>
      <c r="N8413" t="s">
        <v>87</v>
      </c>
      <c r="O8413" t="s">
        <v>86</v>
      </c>
      <c r="P8413">
        <v>131</v>
      </c>
      <c r="Q8413">
        <v>6</v>
      </c>
      <c r="R8413">
        <v>44</v>
      </c>
      <c r="S8413">
        <v>1602</v>
      </c>
      <c r="T8413">
        <v>-40</v>
      </c>
      <c r="U8413">
        <v>43</v>
      </c>
      <c r="V8413">
        <v>180</v>
      </c>
      <c r="W8413">
        <v>27</v>
      </c>
      <c r="X8413">
        <v>27</v>
      </c>
      <c r="Y8413">
        <v>1</v>
      </c>
      <c r="Z8413">
        <v>8</v>
      </c>
      <c r="AA8413">
        <v>24</v>
      </c>
      <c r="AB8413">
        <v>1</v>
      </c>
      <c r="AC8413">
        <v>3</v>
      </c>
      <c r="AD8413">
        <v>3.2980000999999999</v>
      </c>
      <c r="AE8413">
        <v>1</v>
      </c>
      <c r="AF8413">
        <v>44</v>
      </c>
      <c r="AG8413">
        <v>3.2899999599999998</v>
      </c>
      <c r="AH8413">
        <v>4</v>
      </c>
      <c r="AI8413">
        <v>17</v>
      </c>
      <c r="AJ8413">
        <v>1</v>
      </c>
      <c r="AK8413">
        <v>27</v>
      </c>
      <c r="AL8413">
        <v>39</v>
      </c>
      <c r="AM8413" t="s">
        <v>43</v>
      </c>
      <c r="AN8413" t="s">
        <v>43</v>
      </c>
    </row>
    <row r="8414" spans="1:40" x14ac:dyDescent="0.3">
      <c r="A8414" s="1">
        <v>46210.025462962964</v>
      </c>
      <c r="B8414" t="s">
        <v>40</v>
      </c>
      <c r="C8414" t="s">
        <v>41</v>
      </c>
      <c r="D8414" s="1">
        <v>46210.028402777774</v>
      </c>
      <c r="E8414" t="s">
        <v>42</v>
      </c>
      <c r="F8414" t="s">
        <v>83</v>
      </c>
      <c r="G8414">
        <v>58</v>
      </c>
      <c r="H8414" t="s">
        <v>43</v>
      </c>
      <c r="I8414" t="s">
        <v>4646</v>
      </c>
      <c r="J8414">
        <v>86</v>
      </c>
      <c r="K8414">
        <v>52</v>
      </c>
      <c r="L8414">
        <v>98</v>
      </c>
      <c r="M8414">
        <v>632.90002441000001</v>
      </c>
      <c r="N8414" t="s">
        <v>87</v>
      </c>
      <c r="O8414" t="s">
        <v>86</v>
      </c>
      <c r="P8414">
        <v>131</v>
      </c>
      <c r="Q8414">
        <v>6</v>
      </c>
      <c r="R8414">
        <v>30</v>
      </c>
      <c r="S8414">
        <v>1612</v>
      </c>
      <c r="T8414">
        <v>-40</v>
      </c>
      <c r="U8414">
        <v>43</v>
      </c>
      <c r="V8414">
        <v>180</v>
      </c>
      <c r="W8414">
        <v>27</v>
      </c>
      <c r="X8414">
        <v>27</v>
      </c>
      <c r="Y8414">
        <v>1</v>
      </c>
      <c r="Z8414">
        <v>8</v>
      </c>
      <c r="AA8414">
        <v>24</v>
      </c>
      <c r="AB8414">
        <v>1</v>
      </c>
      <c r="AC8414">
        <v>3</v>
      </c>
      <c r="AD8414">
        <v>3.2999999500000001</v>
      </c>
      <c r="AE8414">
        <v>1</v>
      </c>
      <c r="AF8414">
        <v>38</v>
      </c>
      <c r="AG8414">
        <v>3.2939999100000001</v>
      </c>
      <c r="AH8414">
        <v>4</v>
      </c>
      <c r="AI8414">
        <v>17</v>
      </c>
      <c r="AJ8414">
        <v>1</v>
      </c>
      <c r="AK8414">
        <v>27</v>
      </c>
      <c r="AL8414">
        <v>39</v>
      </c>
      <c r="AM8414" t="s">
        <v>43</v>
      </c>
      <c r="AN8414" t="str">
        <f>HYPERLINK("https://www.google.com/maps?q=10.78149986,79.23026276","Open Location")</f>
        <v>Open Location</v>
      </c>
    </row>
    <row r="8415" spans="1:40" x14ac:dyDescent="0.3">
      <c r="A8415" s="1">
        <v>46210.025347222225</v>
      </c>
      <c r="B8415" t="s">
        <v>40</v>
      </c>
      <c r="C8415" t="s">
        <v>41</v>
      </c>
      <c r="D8415" s="1">
        <v>46210.028356481482</v>
      </c>
      <c r="E8415" t="s">
        <v>42</v>
      </c>
      <c r="F8415" t="s">
        <v>83</v>
      </c>
      <c r="G8415">
        <v>59</v>
      </c>
      <c r="H8415">
        <v>33004</v>
      </c>
      <c r="I8415" t="s">
        <v>4647</v>
      </c>
      <c r="J8415">
        <v>86</v>
      </c>
      <c r="K8415">
        <v>59</v>
      </c>
      <c r="L8415">
        <v>98</v>
      </c>
      <c r="M8415">
        <v>632.70001220999995</v>
      </c>
      <c r="N8415" t="s">
        <v>87</v>
      </c>
      <c r="O8415" t="s">
        <v>86</v>
      </c>
      <c r="P8415">
        <v>131</v>
      </c>
      <c r="Q8415">
        <v>6</v>
      </c>
      <c r="R8415">
        <v>34</v>
      </c>
      <c r="S8415">
        <v>1633</v>
      </c>
      <c r="T8415">
        <v>-40</v>
      </c>
      <c r="U8415">
        <v>43</v>
      </c>
      <c r="V8415">
        <v>200</v>
      </c>
      <c r="W8415">
        <v>27</v>
      </c>
      <c r="X8415">
        <v>27</v>
      </c>
      <c r="Y8415">
        <v>1</v>
      </c>
      <c r="Z8415">
        <v>8</v>
      </c>
      <c r="AA8415">
        <v>24</v>
      </c>
      <c r="AB8415">
        <v>1</v>
      </c>
      <c r="AC8415">
        <v>3</v>
      </c>
      <c r="AD8415">
        <v>3.2990000199999998</v>
      </c>
      <c r="AE8415">
        <v>1</v>
      </c>
      <c r="AF8415">
        <v>38</v>
      </c>
      <c r="AG8415">
        <v>3.2929999799999998</v>
      </c>
      <c r="AH8415">
        <v>4</v>
      </c>
      <c r="AI8415">
        <v>17</v>
      </c>
      <c r="AJ8415">
        <v>1</v>
      </c>
      <c r="AK8415">
        <v>22</v>
      </c>
      <c r="AL8415">
        <v>39</v>
      </c>
      <c r="AM8415" t="s">
        <v>43</v>
      </c>
      <c r="AN8415" t="str">
        <f>HYPERLINK("https://www.google.com/maps?q=10.7814846,79.22846985","Open Location")</f>
        <v>Open Location</v>
      </c>
    </row>
    <row r="8416" spans="1:40" x14ac:dyDescent="0.3">
      <c r="A8416" s="1">
        <v>46210.025231481479</v>
      </c>
      <c r="B8416" t="s">
        <v>40</v>
      </c>
      <c r="C8416" t="s">
        <v>41</v>
      </c>
      <c r="D8416" s="1">
        <v>46210.028275462966</v>
      </c>
      <c r="E8416" t="s">
        <v>42</v>
      </c>
      <c r="F8416" t="s">
        <v>83</v>
      </c>
      <c r="G8416">
        <v>58</v>
      </c>
      <c r="H8416">
        <v>33004</v>
      </c>
      <c r="I8416" t="s">
        <v>4648</v>
      </c>
      <c r="J8416">
        <v>86</v>
      </c>
      <c r="K8416">
        <v>81</v>
      </c>
      <c r="L8416">
        <v>98</v>
      </c>
      <c r="M8416">
        <v>631.20001220999995</v>
      </c>
      <c r="N8416" t="s">
        <v>87</v>
      </c>
      <c r="O8416" t="s">
        <v>86</v>
      </c>
      <c r="P8416">
        <v>131</v>
      </c>
      <c r="Q8416">
        <v>6</v>
      </c>
      <c r="R8416">
        <v>47</v>
      </c>
      <c r="S8416">
        <v>1633</v>
      </c>
      <c r="T8416">
        <v>-40</v>
      </c>
      <c r="U8416">
        <v>44</v>
      </c>
      <c r="V8416">
        <v>280</v>
      </c>
      <c r="W8416">
        <v>27</v>
      </c>
      <c r="X8416">
        <v>27</v>
      </c>
      <c r="Y8416">
        <v>1</v>
      </c>
      <c r="Z8416">
        <v>8</v>
      </c>
      <c r="AA8416">
        <v>24</v>
      </c>
      <c r="AB8416">
        <v>1</v>
      </c>
      <c r="AC8416">
        <v>3</v>
      </c>
      <c r="AD8416">
        <v>3.2959999999999998</v>
      </c>
      <c r="AE8416">
        <v>1</v>
      </c>
      <c r="AF8416">
        <v>38</v>
      </c>
      <c r="AG8416">
        <v>3.28800011</v>
      </c>
      <c r="AH8416">
        <v>8</v>
      </c>
      <c r="AI8416">
        <v>35</v>
      </c>
      <c r="AJ8416">
        <v>1</v>
      </c>
      <c r="AK8416">
        <v>27</v>
      </c>
      <c r="AL8416">
        <v>39</v>
      </c>
      <c r="AM8416" t="s">
        <v>43</v>
      </c>
      <c r="AN8416" t="str">
        <f>HYPERLINK("https://www.google.com/maps?q=10.78162193,79.22650146","Open Location")</f>
        <v>Open Location</v>
      </c>
    </row>
    <row r="8417" spans="1:40" x14ac:dyDescent="0.3">
      <c r="A8417" s="1">
        <v>46210.02511574074</v>
      </c>
      <c r="B8417" t="s">
        <v>40</v>
      </c>
      <c r="C8417" t="s">
        <v>41</v>
      </c>
      <c r="D8417" s="1">
        <v>46210.028287037036</v>
      </c>
      <c r="E8417" t="s">
        <v>42</v>
      </c>
      <c r="F8417" t="s">
        <v>83</v>
      </c>
      <c r="G8417">
        <v>58</v>
      </c>
      <c r="H8417">
        <v>33003</v>
      </c>
      <c r="I8417" t="s">
        <v>4649</v>
      </c>
      <c r="J8417">
        <v>87</v>
      </c>
      <c r="K8417">
        <v>73</v>
      </c>
      <c r="L8417">
        <v>98</v>
      </c>
      <c r="M8417">
        <v>632</v>
      </c>
      <c r="N8417" t="s">
        <v>87</v>
      </c>
      <c r="O8417" t="s">
        <v>86</v>
      </c>
      <c r="P8417">
        <v>131</v>
      </c>
      <c r="Q8417">
        <v>6</v>
      </c>
      <c r="R8417">
        <v>37</v>
      </c>
      <c r="S8417">
        <v>1596</v>
      </c>
      <c r="T8417">
        <v>-40</v>
      </c>
      <c r="U8417">
        <v>44</v>
      </c>
      <c r="V8417">
        <v>260</v>
      </c>
      <c r="W8417">
        <v>27</v>
      </c>
      <c r="X8417">
        <v>27</v>
      </c>
      <c r="Y8417">
        <v>1</v>
      </c>
      <c r="Z8417">
        <v>8</v>
      </c>
      <c r="AA8417">
        <v>24</v>
      </c>
      <c r="AB8417">
        <v>1</v>
      </c>
      <c r="AC8417">
        <v>3</v>
      </c>
      <c r="AD8417">
        <v>3.2959999999999998</v>
      </c>
      <c r="AE8417">
        <v>1</v>
      </c>
      <c r="AF8417">
        <v>38</v>
      </c>
      <c r="AG8417">
        <v>3.28900003</v>
      </c>
      <c r="AH8417">
        <v>4</v>
      </c>
      <c r="AI8417">
        <v>17</v>
      </c>
      <c r="AJ8417">
        <v>1</v>
      </c>
      <c r="AK8417">
        <v>27</v>
      </c>
      <c r="AL8417">
        <v>39</v>
      </c>
      <c r="AM8417" t="s">
        <v>43</v>
      </c>
      <c r="AN8417" t="str">
        <f>HYPERLINK("https://www.google.com/maps?q=10.78187561,79.2247467","Open Location")</f>
        <v>Open Location</v>
      </c>
    </row>
    <row r="8418" spans="1:40" x14ac:dyDescent="0.3">
      <c r="A8418" s="1">
        <v>46210.025000000001</v>
      </c>
      <c r="B8418" t="s">
        <v>40</v>
      </c>
      <c r="C8418" t="s">
        <v>41</v>
      </c>
      <c r="D8418" s="1">
        <v>46210.027928240743</v>
      </c>
      <c r="E8418" t="s">
        <v>42</v>
      </c>
      <c r="F8418" t="s">
        <v>83</v>
      </c>
      <c r="G8418">
        <v>60</v>
      </c>
      <c r="H8418">
        <v>33003</v>
      </c>
      <c r="I8418" t="s">
        <v>4650</v>
      </c>
      <c r="J8418">
        <v>87</v>
      </c>
      <c r="K8418">
        <v>70</v>
      </c>
      <c r="L8418">
        <v>98</v>
      </c>
      <c r="M8418">
        <v>632.09997558999999</v>
      </c>
      <c r="N8418" t="s">
        <v>87</v>
      </c>
      <c r="O8418" t="s">
        <v>86</v>
      </c>
      <c r="P8418">
        <v>131</v>
      </c>
      <c r="Q8418">
        <v>6</v>
      </c>
      <c r="R8418">
        <v>45</v>
      </c>
      <c r="S8418">
        <v>1647</v>
      </c>
      <c r="T8418">
        <v>-40</v>
      </c>
      <c r="U8418">
        <v>44</v>
      </c>
      <c r="V8418">
        <v>240</v>
      </c>
      <c r="W8418">
        <v>27</v>
      </c>
      <c r="X8418">
        <v>27</v>
      </c>
      <c r="Y8418">
        <v>1</v>
      </c>
      <c r="Z8418">
        <v>8</v>
      </c>
      <c r="AA8418">
        <v>24</v>
      </c>
      <c r="AB8418">
        <v>1</v>
      </c>
      <c r="AC8418">
        <v>3</v>
      </c>
      <c r="AD8418">
        <v>3.2959999999999998</v>
      </c>
      <c r="AE8418">
        <v>1</v>
      </c>
      <c r="AF8418">
        <v>38</v>
      </c>
      <c r="AG8418">
        <v>3.28900003</v>
      </c>
      <c r="AH8418">
        <v>4</v>
      </c>
      <c r="AI8418">
        <v>17</v>
      </c>
      <c r="AJ8418">
        <v>1</v>
      </c>
      <c r="AK8418">
        <v>27</v>
      </c>
      <c r="AL8418">
        <v>39</v>
      </c>
      <c r="AM8418" t="s">
        <v>43</v>
      </c>
      <c r="AN8418" t="str">
        <f>HYPERLINK("https://www.google.com/maps?q=10.78232956,79.22297668","Open Location")</f>
        <v>Open Location</v>
      </c>
    </row>
    <row r="8419" spans="1:40" x14ac:dyDescent="0.3">
      <c r="A8419" s="1">
        <v>46210.024884259263</v>
      </c>
      <c r="B8419" t="s">
        <v>40</v>
      </c>
      <c r="C8419" t="s">
        <v>41</v>
      </c>
      <c r="D8419" s="1">
        <v>46210.027928240743</v>
      </c>
      <c r="E8419" t="s">
        <v>42</v>
      </c>
      <c r="F8419" t="s">
        <v>83</v>
      </c>
      <c r="G8419">
        <v>60</v>
      </c>
      <c r="H8419">
        <v>33003</v>
      </c>
      <c r="I8419" t="s">
        <v>43</v>
      </c>
      <c r="J8419">
        <v>87</v>
      </c>
      <c r="K8419">
        <v>71</v>
      </c>
      <c r="L8419">
        <v>98</v>
      </c>
      <c r="M8419">
        <v>631.79998779000005</v>
      </c>
      <c r="N8419" t="s">
        <v>87</v>
      </c>
      <c r="O8419" t="s">
        <v>86</v>
      </c>
      <c r="P8419">
        <v>131</v>
      </c>
      <c r="Q8419">
        <v>6</v>
      </c>
      <c r="R8419">
        <v>38</v>
      </c>
      <c r="S8419">
        <v>1652</v>
      </c>
      <c r="T8419">
        <v>-40</v>
      </c>
      <c r="U8419">
        <v>44</v>
      </c>
      <c r="V8419">
        <v>240</v>
      </c>
      <c r="W8419">
        <v>27</v>
      </c>
      <c r="X8419">
        <v>27</v>
      </c>
      <c r="Y8419">
        <v>1</v>
      </c>
      <c r="Z8419">
        <v>8</v>
      </c>
      <c r="AA8419">
        <v>24</v>
      </c>
      <c r="AB8419">
        <v>1</v>
      </c>
      <c r="AC8419">
        <v>3</v>
      </c>
      <c r="AD8419">
        <v>3.2980000999999999</v>
      </c>
      <c r="AE8419">
        <v>1</v>
      </c>
      <c r="AF8419">
        <v>39</v>
      </c>
      <c r="AG8419">
        <v>3.2909998900000001</v>
      </c>
      <c r="AH8419">
        <v>4</v>
      </c>
      <c r="AI8419">
        <v>17</v>
      </c>
      <c r="AJ8419">
        <v>1</v>
      </c>
      <c r="AK8419">
        <v>27</v>
      </c>
      <c r="AL8419">
        <v>39</v>
      </c>
      <c r="AM8419" t="s">
        <v>43</v>
      </c>
      <c r="AN8419" t="s">
        <v>43</v>
      </c>
    </row>
    <row r="8420" spans="1:40" x14ac:dyDescent="0.3">
      <c r="A8420" s="1">
        <v>46210.024768518517</v>
      </c>
      <c r="B8420" t="s">
        <v>40</v>
      </c>
      <c r="C8420" t="s">
        <v>41</v>
      </c>
      <c r="D8420" s="1">
        <v>46210.02789351852</v>
      </c>
      <c r="E8420" t="s">
        <v>42</v>
      </c>
      <c r="F8420" t="s">
        <v>83</v>
      </c>
      <c r="G8420">
        <v>59</v>
      </c>
      <c r="H8420">
        <v>33003</v>
      </c>
      <c r="I8420" t="s">
        <v>4651</v>
      </c>
      <c r="J8420">
        <v>87</v>
      </c>
      <c r="K8420">
        <v>76</v>
      </c>
      <c r="L8420">
        <v>98</v>
      </c>
      <c r="M8420">
        <v>631.79998779000005</v>
      </c>
      <c r="N8420" t="s">
        <v>87</v>
      </c>
      <c r="O8420" t="s">
        <v>86</v>
      </c>
      <c r="P8420">
        <v>131</v>
      </c>
      <c r="Q8420">
        <v>6</v>
      </c>
      <c r="R8420">
        <v>48</v>
      </c>
      <c r="S8420">
        <v>1658</v>
      </c>
      <c r="T8420">
        <v>-40</v>
      </c>
      <c r="U8420">
        <v>44</v>
      </c>
      <c r="V8420">
        <v>240</v>
      </c>
      <c r="W8420" t="s">
        <v>43</v>
      </c>
      <c r="X8420" t="s">
        <v>43</v>
      </c>
      <c r="Y8420" t="s">
        <v>43</v>
      </c>
      <c r="Z8420" t="s">
        <v>43</v>
      </c>
      <c r="AA8420" t="s">
        <v>43</v>
      </c>
      <c r="AB8420" t="s">
        <v>43</v>
      </c>
      <c r="AC8420" t="s">
        <v>43</v>
      </c>
      <c r="AD8420" t="s">
        <v>43</v>
      </c>
      <c r="AE8420" t="s">
        <v>43</v>
      </c>
      <c r="AF8420" t="s">
        <v>43</v>
      </c>
      <c r="AG8420" t="s">
        <v>43</v>
      </c>
      <c r="AH8420" t="s">
        <v>43</v>
      </c>
      <c r="AI8420" t="s">
        <v>43</v>
      </c>
      <c r="AJ8420">
        <v>1</v>
      </c>
      <c r="AK8420">
        <v>27</v>
      </c>
      <c r="AL8420">
        <v>39</v>
      </c>
      <c r="AM8420" t="s">
        <v>43</v>
      </c>
      <c r="AN8420" t="str">
        <f>HYPERLINK("https://www.google.com/maps?q=10.78265667,79.22117615","Open Location")</f>
        <v>Open Location</v>
      </c>
    </row>
    <row r="8421" spans="1:40" x14ac:dyDescent="0.3">
      <c r="A8421" s="1">
        <v>46210.024652777778</v>
      </c>
      <c r="B8421" t="s">
        <v>40</v>
      </c>
      <c r="C8421" t="s">
        <v>41</v>
      </c>
      <c r="D8421" s="1">
        <v>46210.027557870373</v>
      </c>
      <c r="E8421" t="s">
        <v>42</v>
      </c>
      <c r="F8421" t="s">
        <v>83</v>
      </c>
      <c r="G8421">
        <v>57</v>
      </c>
      <c r="H8421">
        <v>33003</v>
      </c>
      <c r="I8421" t="s">
        <v>4652</v>
      </c>
      <c r="J8421">
        <v>87</v>
      </c>
      <c r="K8421">
        <v>97</v>
      </c>
      <c r="L8421">
        <v>98</v>
      </c>
      <c r="M8421">
        <v>630.5</v>
      </c>
      <c r="N8421" t="s">
        <v>87</v>
      </c>
      <c r="O8421" t="s">
        <v>86</v>
      </c>
      <c r="P8421">
        <v>131</v>
      </c>
      <c r="Q8421">
        <v>6</v>
      </c>
      <c r="R8421">
        <v>56</v>
      </c>
      <c r="S8421">
        <v>1607</v>
      </c>
      <c r="T8421">
        <v>-40</v>
      </c>
      <c r="U8421">
        <v>44</v>
      </c>
      <c r="V8421">
        <v>340</v>
      </c>
      <c r="W8421">
        <v>27</v>
      </c>
      <c r="X8421">
        <v>27</v>
      </c>
      <c r="Y8421">
        <v>1</v>
      </c>
      <c r="Z8421">
        <v>8</v>
      </c>
      <c r="AA8421">
        <v>24</v>
      </c>
      <c r="AB8421">
        <v>1</v>
      </c>
      <c r="AC8421">
        <v>3</v>
      </c>
      <c r="AD8421">
        <v>3.2939999100000001</v>
      </c>
      <c r="AE8421">
        <v>1</v>
      </c>
      <c r="AF8421">
        <v>38</v>
      </c>
      <c r="AG8421">
        <v>3.28500009</v>
      </c>
      <c r="AH8421">
        <v>4</v>
      </c>
      <c r="AI8421">
        <v>17</v>
      </c>
      <c r="AJ8421">
        <v>1</v>
      </c>
      <c r="AK8421">
        <v>27</v>
      </c>
      <c r="AL8421">
        <v>39</v>
      </c>
      <c r="AM8421" t="s">
        <v>43</v>
      </c>
      <c r="AN8421" t="str">
        <f>HYPERLINK("https://www.google.com/maps?q=10.78246117,79.21939087","Open Location")</f>
        <v>Open Location</v>
      </c>
    </row>
    <row r="8422" spans="1:40" x14ac:dyDescent="0.3">
      <c r="A8422" s="1">
        <v>46210.024537037039</v>
      </c>
      <c r="B8422" t="s">
        <v>40</v>
      </c>
      <c r="C8422" t="s">
        <v>41</v>
      </c>
      <c r="D8422" s="1">
        <v>46210.027280092596</v>
      </c>
      <c r="E8422" t="s">
        <v>42</v>
      </c>
      <c r="F8422" t="s">
        <v>83</v>
      </c>
      <c r="G8422">
        <v>55</v>
      </c>
      <c r="H8422">
        <v>33002</v>
      </c>
      <c r="I8422" t="s">
        <v>4653</v>
      </c>
      <c r="J8422">
        <v>87</v>
      </c>
      <c r="K8422">
        <v>82</v>
      </c>
      <c r="L8422">
        <v>98</v>
      </c>
      <c r="M8422">
        <v>631.70001220999995</v>
      </c>
      <c r="N8422" t="s">
        <v>87</v>
      </c>
      <c r="O8422" t="s">
        <v>86</v>
      </c>
      <c r="P8422">
        <v>131</v>
      </c>
      <c r="Q8422">
        <v>6</v>
      </c>
      <c r="R8422">
        <v>53</v>
      </c>
      <c r="S8422">
        <v>1541</v>
      </c>
      <c r="T8422">
        <v>-40</v>
      </c>
      <c r="U8422">
        <v>44</v>
      </c>
      <c r="V8422">
        <v>300</v>
      </c>
      <c r="W8422">
        <v>27</v>
      </c>
      <c r="X8422">
        <v>27</v>
      </c>
      <c r="Y8422">
        <v>1</v>
      </c>
      <c r="Z8422">
        <v>8</v>
      </c>
      <c r="AA8422">
        <v>24</v>
      </c>
      <c r="AB8422">
        <v>1</v>
      </c>
      <c r="AC8422">
        <v>3</v>
      </c>
      <c r="AD8422">
        <v>3.2990000199999998</v>
      </c>
      <c r="AE8422">
        <v>1</v>
      </c>
      <c r="AF8422">
        <v>41</v>
      </c>
      <c r="AG8422">
        <v>3.2920000599999999</v>
      </c>
      <c r="AH8422">
        <v>2</v>
      </c>
      <c r="AI8422">
        <v>46</v>
      </c>
      <c r="AJ8422">
        <v>1</v>
      </c>
      <c r="AK8422">
        <v>27</v>
      </c>
      <c r="AL8422">
        <v>39</v>
      </c>
      <c r="AM8422" t="s">
        <v>43</v>
      </c>
      <c r="AN8422" t="str">
        <f>HYPERLINK("https://www.google.com/maps?q=10.78217697,79.21769714","Open Location")</f>
        <v>Open Location</v>
      </c>
    </row>
    <row r="8423" spans="1:40" x14ac:dyDescent="0.3">
      <c r="A8423" s="1">
        <v>46210.024421296293</v>
      </c>
      <c r="B8423" t="s">
        <v>40</v>
      </c>
      <c r="C8423" t="s">
        <v>41</v>
      </c>
      <c r="D8423" s="1">
        <v>46210.027268518519</v>
      </c>
      <c r="E8423" t="s">
        <v>42</v>
      </c>
      <c r="F8423" t="s">
        <v>83</v>
      </c>
      <c r="G8423">
        <v>56</v>
      </c>
      <c r="H8423">
        <v>33002</v>
      </c>
      <c r="I8423" t="s">
        <v>4654</v>
      </c>
      <c r="J8423">
        <v>87</v>
      </c>
      <c r="K8423">
        <v>71</v>
      </c>
      <c r="L8423">
        <v>98</v>
      </c>
      <c r="M8423">
        <v>632.5</v>
      </c>
      <c r="N8423" t="s">
        <v>87</v>
      </c>
      <c r="O8423" t="s">
        <v>86</v>
      </c>
      <c r="P8423">
        <v>131</v>
      </c>
      <c r="Q8423">
        <v>6</v>
      </c>
      <c r="R8423">
        <v>32</v>
      </c>
      <c r="S8423">
        <v>1541</v>
      </c>
      <c r="T8423">
        <v>-40</v>
      </c>
      <c r="U8423">
        <v>43</v>
      </c>
      <c r="V8423">
        <v>260</v>
      </c>
      <c r="W8423">
        <v>27</v>
      </c>
      <c r="X8423">
        <v>27</v>
      </c>
      <c r="Y8423">
        <v>1</v>
      </c>
      <c r="Z8423">
        <v>8</v>
      </c>
      <c r="AA8423">
        <v>24</v>
      </c>
      <c r="AB8423">
        <v>1</v>
      </c>
      <c r="AC8423">
        <v>3</v>
      </c>
      <c r="AD8423">
        <v>3.31200004</v>
      </c>
      <c r="AE8423">
        <v>1</v>
      </c>
      <c r="AF8423">
        <v>29</v>
      </c>
      <c r="AG8423">
        <v>3.30900002</v>
      </c>
      <c r="AH8423">
        <v>2</v>
      </c>
      <c r="AI8423">
        <v>15</v>
      </c>
      <c r="AJ8423">
        <v>1</v>
      </c>
      <c r="AK8423">
        <v>27</v>
      </c>
      <c r="AL8423">
        <v>39</v>
      </c>
      <c r="AM8423" t="s">
        <v>43</v>
      </c>
      <c r="AN8423" t="str">
        <f>HYPERLINK("https://www.google.com/maps?q=10.78204441,79.21601105","Open Location")</f>
        <v>Open Location</v>
      </c>
    </row>
    <row r="8424" spans="1:40" x14ac:dyDescent="0.3">
      <c r="A8424" s="1">
        <v>46210.024305555555</v>
      </c>
      <c r="B8424" t="s">
        <v>40</v>
      </c>
      <c r="C8424" t="s">
        <v>41</v>
      </c>
      <c r="D8424" s="1">
        <v>46210.027245370373</v>
      </c>
      <c r="E8424" t="s">
        <v>42</v>
      </c>
      <c r="F8424" t="s">
        <v>83</v>
      </c>
      <c r="G8424">
        <v>59</v>
      </c>
      <c r="H8424">
        <v>33002</v>
      </c>
      <c r="I8424" t="s">
        <v>43</v>
      </c>
      <c r="J8424">
        <v>87</v>
      </c>
      <c r="K8424">
        <v>31</v>
      </c>
      <c r="L8424">
        <v>98</v>
      </c>
      <c r="M8424">
        <v>633.59997558999999</v>
      </c>
      <c r="N8424" t="s">
        <v>87</v>
      </c>
      <c r="O8424" t="s">
        <v>86</v>
      </c>
      <c r="P8424">
        <v>131</v>
      </c>
      <c r="Q8424">
        <v>6</v>
      </c>
      <c r="R8424">
        <v>27</v>
      </c>
      <c r="S8424">
        <v>1625</v>
      </c>
      <c r="T8424">
        <v>-40</v>
      </c>
      <c r="U8424">
        <v>44</v>
      </c>
      <c r="V8424">
        <v>60</v>
      </c>
      <c r="W8424">
        <v>27</v>
      </c>
      <c r="X8424">
        <v>27</v>
      </c>
      <c r="Y8424">
        <v>1</v>
      </c>
      <c r="Z8424">
        <v>8</v>
      </c>
      <c r="AA8424">
        <v>24</v>
      </c>
      <c r="AB8424">
        <v>1</v>
      </c>
      <c r="AC8424">
        <v>3</v>
      </c>
      <c r="AD8424">
        <v>3.2999999500000001</v>
      </c>
      <c r="AE8424">
        <v>1</v>
      </c>
      <c r="AF8424">
        <v>44</v>
      </c>
      <c r="AG8424">
        <v>3.2929999799999998</v>
      </c>
      <c r="AH8424">
        <v>4</v>
      </c>
      <c r="AI8424">
        <v>17</v>
      </c>
      <c r="AJ8424">
        <v>1</v>
      </c>
      <c r="AK8424">
        <v>26</v>
      </c>
      <c r="AL8424">
        <v>39</v>
      </c>
      <c r="AM8424" t="s">
        <v>43</v>
      </c>
      <c r="AN8424" t="s">
        <v>43</v>
      </c>
    </row>
    <row r="8425" spans="1:40" x14ac:dyDescent="0.3">
      <c r="A8425" s="1">
        <v>46210.024189814816</v>
      </c>
      <c r="B8425" t="s">
        <v>40</v>
      </c>
      <c r="C8425" t="s">
        <v>41</v>
      </c>
      <c r="D8425" s="1">
        <v>46210.027256944442</v>
      </c>
      <c r="E8425" t="s">
        <v>42</v>
      </c>
      <c r="F8425" t="s">
        <v>83</v>
      </c>
      <c r="G8425">
        <v>58</v>
      </c>
      <c r="H8425">
        <v>33002</v>
      </c>
      <c r="I8425" t="s">
        <v>4655</v>
      </c>
      <c r="J8425">
        <v>87</v>
      </c>
      <c r="K8425">
        <v>105</v>
      </c>
      <c r="L8425">
        <v>98</v>
      </c>
      <c r="M8425">
        <v>630.70001220999995</v>
      </c>
      <c r="N8425" t="s">
        <v>87</v>
      </c>
      <c r="O8425" t="s">
        <v>86</v>
      </c>
      <c r="P8425">
        <v>131</v>
      </c>
      <c r="Q8425">
        <v>6</v>
      </c>
      <c r="R8425">
        <v>40</v>
      </c>
      <c r="S8425">
        <v>1623</v>
      </c>
      <c r="T8425">
        <v>-40</v>
      </c>
      <c r="U8425">
        <v>44</v>
      </c>
      <c r="V8425">
        <v>340</v>
      </c>
      <c r="W8425">
        <v>27</v>
      </c>
      <c r="X8425">
        <v>27</v>
      </c>
      <c r="Y8425">
        <v>1</v>
      </c>
      <c r="Z8425">
        <v>8</v>
      </c>
      <c r="AA8425">
        <v>24</v>
      </c>
      <c r="AB8425">
        <v>1</v>
      </c>
      <c r="AC8425">
        <v>3</v>
      </c>
      <c r="AD8425">
        <v>3.2929999799999998</v>
      </c>
      <c r="AE8425">
        <v>1</v>
      </c>
      <c r="AF8425">
        <v>38</v>
      </c>
      <c r="AG8425">
        <v>3.2839999199999999</v>
      </c>
      <c r="AH8425">
        <v>4</v>
      </c>
      <c r="AI8425">
        <v>17</v>
      </c>
      <c r="AJ8425">
        <v>1</v>
      </c>
      <c r="AK8425">
        <v>27</v>
      </c>
      <c r="AL8425">
        <v>39</v>
      </c>
      <c r="AM8425" t="s">
        <v>43</v>
      </c>
      <c r="AN8425" t="str">
        <f>HYPERLINK("https://www.google.com/maps?q=10.78215599,79.21406555","Open Location")</f>
        <v>Open Location</v>
      </c>
    </row>
    <row r="8426" spans="1:40" x14ac:dyDescent="0.3">
      <c r="A8426" s="1">
        <v>46210.024074074077</v>
      </c>
      <c r="B8426" t="s">
        <v>40</v>
      </c>
      <c r="C8426" t="s">
        <v>41</v>
      </c>
      <c r="D8426" s="1">
        <v>46210.027245370373</v>
      </c>
      <c r="E8426" t="s">
        <v>42</v>
      </c>
      <c r="F8426" t="s">
        <v>83</v>
      </c>
      <c r="G8426">
        <v>58</v>
      </c>
      <c r="H8426" t="s">
        <v>43</v>
      </c>
      <c r="I8426" t="s">
        <v>4656</v>
      </c>
      <c r="J8426">
        <v>87</v>
      </c>
      <c r="K8426">
        <v>80</v>
      </c>
      <c r="L8426">
        <v>98</v>
      </c>
      <c r="M8426">
        <v>631.5</v>
      </c>
      <c r="N8426" t="s">
        <v>87</v>
      </c>
      <c r="O8426" t="s">
        <v>86</v>
      </c>
      <c r="P8426">
        <v>131</v>
      </c>
      <c r="Q8426">
        <v>6</v>
      </c>
      <c r="R8426">
        <v>50</v>
      </c>
      <c r="S8426">
        <v>1607</v>
      </c>
      <c r="T8426">
        <v>-40</v>
      </c>
      <c r="U8426">
        <v>44</v>
      </c>
      <c r="V8426">
        <v>280</v>
      </c>
      <c r="W8426">
        <v>27</v>
      </c>
      <c r="X8426">
        <v>27</v>
      </c>
      <c r="Y8426">
        <v>1</v>
      </c>
      <c r="Z8426">
        <v>8</v>
      </c>
      <c r="AA8426">
        <v>24</v>
      </c>
      <c r="AB8426">
        <v>1</v>
      </c>
      <c r="AC8426">
        <v>3</v>
      </c>
      <c r="AD8426">
        <v>3.2999999500000001</v>
      </c>
      <c r="AE8426">
        <v>1</v>
      </c>
      <c r="AF8426">
        <v>41</v>
      </c>
      <c r="AG8426">
        <v>3.2939999100000001</v>
      </c>
      <c r="AH8426">
        <v>4</v>
      </c>
      <c r="AI8426">
        <v>17</v>
      </c>
      <c r="AJ8426">
        <v>1</v>
      </c>
      <c r="AK8426">
        <v>27</v>
      </c>
      <c r="AL8426">
        <v>39</v>
      </c>
      <c r="AM8426" t="s">
        <v>43</v>
      </c>
      <c r="AN8426" t="str">
        <f>HYPERLINK("https://www.google.com/maps?q=10.78222179,79.2122879","Open Location")</f>
        <v>Open Location</v>
      </c>
    </row>
    <row r="8427" spans="1:40" x14ac:dyDescent="0.3">
      <c r="A8427" s="1">
        <v>46210.023958333331</v>
      </c>
      <c r="B8427" t="s">
        <v>40</v>
      </c>
      <c r="C8427" t="s">
        <v>41</v>
      </c>
      <c r="D8427" s="1">
        <v>46210.026817129627</v>
      </c>
      <c r="E8427" t="s">
        <v>42</v>
      </c>
      <c r="F8427" t="s">
        <v>83</v>
      </c>
      <c r="G8427">
        <v>58</v>
      </c>
      <c r="H8427">
        <v>33002</v>
      </c>
      <c r="I8427" t="s">
        <v>4657</v>
      </c>
      <c r="J8427">
        <v>87</v>
      </c>
      <c r="K8427">
        <v>63</v>
      </c>
      <c r="L8427">
        <v>98</v>
      </c>
      <c r="M8427">
        <v>632.29998779000005</v>
      </c>
      <c r="N8427" t="s">
        <v>87</v>
      </c>
      <c r="O8427" t="s">
        <v>86</v>
      </c>
      <c r="P8427">
        <v>131</v>
      </c>
      <c r="Q8427">
        <v>6</v>
      </c>
      <c r="R8427">
        <v>50</v>
      </c>
      <c r="S8427">
        <v>1606</v>
      </c>
      <c r="T8427">
        <v>-40</v>
      </c>
      <c r="U8427">
        <v>45</v>
      </c>
      <c r="V8427">
        <v>220</v>
      </c>
      <c r="W8427">
        <v>27</v>
      </c>
      <c r="X8427">
        <v>27</v>
      </c>
      <c r="Y8427">
        <v>1</v>
      </c>
      <c r="Z8427">
        <v>8</v>
      </c>
      <c r="AA8427">
        <v>24</v>
      </c>
      <c r="AB8427">
        <v>1</v>
      </c>
      <c r="AC8427">
        <v>3</v>
      </c>
      <c r="AD8427">
        <v>3.2950000799999999</v>
      </c>
      <c r="AE8427">
        <v>1</v>
      </c>
      <c r="AF8427">
        <v>41</v>
      </c>
      <c r="AG8427">
        <v>3.2869999399999998</v>
      </c>
      <c r="AH8427">
        <v>4</v>
      </c>
      <c r="AI8427">
        <v>17</v>
      </c>
      <c r="AJ8427">
        <v>1</v>
      </c>
      <c r="AK8427">
        <v>27</v>
      </c>
      <c r="AL8427">
        <v>39</v>
      </c>
      <c r="AM8427" t="s">
        <v>43</v>
      </c>
      <c r="AN8427" t="str">
        <f>HYPERLINK("https://www.google.com/maps?q=10.7823391,79.21051025","Open Location")</f>
        <v>Open Location</v>
      </c>
    </row>
    <row r="8428" spans="1:40" x14ac:dyDescent="0.3">
      <c r="A8428" s="1">
        <v>46210.023842592593</v>
      </c>
      <c r="B8428" t="s">
        <v>40</v>
      </c>
      <c r="C8428" t="s">
        <v>41</v>
      </c>
      <c r="D8428" s="1">
        <v>46210.026817129627</v>
      </c>
      <c r="E8428" t="s">
        <v>42</v>
      </c>
      <c r="F8428" t="s">
        <v>83</v>
      </c>
      <c r="G8428">
        <v>56</v>
      </c>
      <c r="H8428">
        <v>33002</v>
      </c>
      <c r="I8428" t="s">
        <v>4658</v>
      </c>
      <c r="J8428">
        <v>87</v>
      </c>
      <c r="K8428">
        <v>84</v>
      </c>
      <c r="L8428">
        <v>98</v>
      </c>
      <c r="M8428">
        <v>631.20001220999995</v>
      </c>
      <c r="N8428" t="s">
        <v>87</v>
      </c>
      <c r="O8428" t="s">
        <v>86</v>
      </c>
      <c r="P8428">
        <v>131</v>
      </c>
      <c r="Q8428">
        <v>6</v>
      </c>
      <c r="R8428">
        <v>48</v>
      </c>
      <c r="S8428">
        <v>1566</v>
      </c>
      <c r="T8428">
        <v>-40</v>
      </c>
      <c r="U8428">
        <v>45</v>
      </c>
      <c r="V8428">
        <v>300</v>
      </c>
      <c r="W8428">
        <v>27</v>
      </c>
      <c r="X8428">
        <v>27</v>
      </c>
      <c r="Y8428">
        <v>1</v>
      </c>
      <c r="Z8428">
        <v>8</v>
      </c>
      <c r="AA8428">
        <v>24</v>
      </c>
      <c r="AB8428">
        <v>1</v>
      </c>
      <c r="AC8428">
        <v>3</v>
      </c>
      <c r="AD8428">
        <v>3.2959999999999998</v>
      </c>
      <c r="AE8428">
        <v>1</v>
      </c>
      <c r="AF8428">
        <v>38</v>
      </c>
      <c r="AG8428">
        <v>3.28800011</v>
      </c>
      <c r="AH8428">
        <v>8</v>
      </c>
      <c r="AI8428">
        <v>35</v>
      </c>
      <c r="AJ8428">
        <v>1</v>
      </c>
      <c r="AK8428">
        <v>27</v>
      </c>
      <c r="AL8428">
        <v>39</v>
      </c>
      <c r="AM8428" t="s">
        <v>43</v>
      </c>
      <c r="AN8428" t="str">
        <f>HYPERLINK("https://www.google.com/maps?q=10.78246498,79.20877838","Open Location")</f>
        <v>Open Location</v>
      </c>
    </row>
    <row r="8429" spans="1:40" x14ac:dyDescent="0.3">
      <c r="A8429" s="1">
        <v>46210.023726851854</v>
      </c>
      <c r="B8429" t="s">
        <v>40</v>
      </c>
      <c r="C8429" t="s">
        <v>41</v>
      </c>
      <c r="D8429" s="1">
        <v>46210.026562500003</v>
      </c>
      <c r="E8429" t="s">
        <v>42</v>
      </c>
      <c r="F8429" t="s">
        <v>83</v>
      </c>
      <c r="G8429">
        <v>54</v>
      </c>
      <c r="H8429">
        <v>33001</v>
      </c>
      <c r="I8429" t="s">
        <v>4659</v>
      </c>
      <c r="J8429">
        <v>87</v>
      </c>
      <c r="K8429">
        <v>79</v>
      </c>
      <c r="L8429">
        <v>98</v>
      </c>
      <c r="M8429">
        <v>632</v>
      </c>
      <c r="N8429" t="s">
        <v>87</v>
      </c>
      <c r="O8429" t="s">
        <v>86</v>
      </c>
      <c r="P8429">
        <v>131</v>
      </c>
      <c r="Q8429">
        <v>6</v>
      </c>
      <c r="R8429">
        <v>53</v>
      </c>
      <c r="S8429">
        <v>1516</v>
      </c>
      <c r="T8429">
        <v>-40</v>
      </c>
      <c r="U8429">
        <v>45</v>
      </c>
      <c r="V8429">
        <v>320</v>
      </c>
      <c r="W8429">
        <v>27</v>
      </c>
      <c r="X8429">
        <v>27</v>
      </c>
      <c r="Y8429">
        <v>1</v>
      </c>
      <c r="Z8429">
        <v>8</v>
      </c>
      <c r="AA8429">
        <v>24</v>
      </c>
      <c r="AB8429">
        <v>1</v>
      </c>
      <c r="AC8429">
        <v>3</v>
      </c>
      <c r="AD8429">
        <v>3.2999999500000001</v>
      </c>
      <c r="AE8429">
        <v>1</v>
      </c>
      <c r="AF8429">
        <v>41</v>
      </c>
      <c r="AG8429">
        <v>3.2929999799999998</v>
      </c>
      <c r="AH8429">
        <v>4</v>
      </c>
      <c r="AI8429">
        <v>17</v>
      </c>
      <c r="AJ8429">
        <v>1</v>
      </c>
      <c r="AK8429">
        <v>27</v>
      </c>
      <c r="AL8429">
        <v>39</v>
      </c>
      <c r="AM8429" t="s">
        <v>43</v>
      </c>
      <c r="AN8429" t="str">
        <f>HYPERLINK("https://www.google.com/maps?q=10.78259182,79.20711517","Open Location")</f>
        <v>Open Location</v>
      </c>
    </row>
    <row r="8430" spans="1:40" x14ac:dyDescent="0.3">
      <c r="A8430" s="1">
        <v>46210.023611111108</v>
      </c>
      <c r="B8430" t="s">
        <v>40</v>
      </c>
      <c r="C8430" t="s">
        <v>41</v>
      </c>
      <c r="D8430" s="1">
        <v>46210.026539351849</v>
      </c>
      <c r="E8430" t="s">
        <v>42</v>
      </c>
      <c r="F8430" t="s">
        <v>83</v>
      </c>
      <c r="G8430">
        <v>53</v>
      </c>
      <c r="H8430">
        <v>33001</v>
      </c>
      <c r="I8430" t="s">
        <v>43</v>
      </c>
      <c r="J8430">
        <v>87</v>
      </c>
      <c r="K8430">
        <v>80</v>
      </c>
      <c r="L8430">
        <v>98</v>
      </c>
      <c r="M8430">
        <v>631.09997558999999</v>
      </c>
      <c r="N8430" t="s">
        <v>87</v>
      </c>
      <c r="O8430" t="s">
        <v>86</v>
      </c>
      <c r="P8430">
        <v>131</v>
      </c>
      <c r="Q8430">
        <v>6</v>
      </c>
      <c r="R8430">
        <v>55</v>
      </c>
      <c r="S8430">
        <v>1494</v>
      </c>
      <c r="T8430">
        <v>-40</v>
      </c>
      <c r="U8430">
        <v>45</v>
      </c>
      <c r="V8430">
        <v>300</v>
      </c>
      <c r="W8430">
        <v>27</v>
      </c>
      <c r="X8430">
        <v>27</v>
      </c>
      <c r="Y8430">
        <v>1</v>
      </c>
      <c r="Z8430">
        <v>8</v>
      </c>
      <c r="AA8430">
        <v>24</v>
      </c>
      <c r="AB8430">
        <v>1</v>
      </c>
      <c r="AC8430">
        <v>3</v>
      </c>
      <c r="AD8430">
        <v>3.2980000999999999</v>
      </c>
      <c r="AE8430">
        <v>1</v>
      </c>
      <c r="AF8430">
        <v>42</v>
      </c>
      <c r="AG8430">
        <v>3.2909998900000001</v>
      </c>
      <c r="AH8430">
        <v>4</v>
      </c>
      <c r="AI8430">
        <v>17</v>
      </c>
      <c r="AJ8430">
        <v>1</v>
      </c>
      <c r="AK8430">
        <v>27</v>
      </c>
      <c r="AL8430">
        <v>39</v>
      </c>
      <c r="AM8430" t="s">
        <v>43</v>
      </c>
      <c r="AN8430" t="s">
        <v>43</v>
      </c>
    </row>
    <row r="8431" spans="1:40" x14ac:dyDescent="0.3">
      <c r="A8431" s="1">
        <v>46210.023495370369</v>
      </c>
      <c r="B8431" t="s">
        <v>40</v>
      </c>
      <c r="C8431" t="s">
        <v>41</v>
      </c>
      <c r="D8431" s="1">
        <v>46210.026504629626</v>
      </c>
      <c r="E8431" t="s">
        <v>42</v>
      </c>
      <c r="F8431" t="s">
        <v>83</v>
      </c>
      <c r="G8431">
        <v>54</v>
      </c>
      <c r="H8431" t="s">
        <v>43</v>
      </c>
      <c r="I8431" t="s">
        <v>4660</v>
      </c>
      <c r="J8431">
        <v>87</v>
      </c>
      <c r="K8431">
        <v>69</v>
      </c>
      <c r="L8431">
        <v>98</v>
      </c>
      <c r="M8431">
        <v>631.70001220999995</v>
      </c>
      <c r="N8431" t="s">
        <v>87</v>
      </c>
      <c r="O8431" t="s">
        <v>86</v>
      </c>
      <c r="P8431">
        <v>131</v>
      </c>
      <c r="Q8431">
        <v>6</v>
      </c>
      <c r="R8431">
        <v>40</v>
      </c>
      <c r="S8431">
        <v>1484</v>
      </c>
      <c r="T8431">
        <v>-40</v>
      </c>
      <c r="U8431">
        <v>45</v>
      </c>
      <c r="V8431">
        <v>260</v>
      </c>
      <c r="W8431">
        <v>27</v>
      </c>
      <c r="X8431">
        <v>27</v>
      </c>
      <c r="Y8431">
        <v>1</v>
      </c>
      <c r="Z8431">
        <v>8</v>
      </c>
      <c r="AA8431">
        <v>24</v>
      </c>
      <c r="AB8431">
        <v>1</v>
      </c>
      <c r="AC8431">
        <v>3</v>
      </c>
      <c r="AD8431">
        <v>3.2980000999999999</v>
      </c>
      <c r="AE8431">
        <v>1</v>
      </c>
      <c r="AF8431">
        <v>38</v>
      </c>
      <c r="AG8431">
        <v>3.2899999599999998</v>
      </c>
      <c r="AH8431">
        <v>4</v>
      </c>
      <c r="AI8431">
        <v>17</v>
      </c>
      <c r="AJ8431">
        <v>1</v>
      </c>
      <c r="AK8431">
        <v>27</v>
      </c>
      <c r="AL8431">
        <v>39</v>
      </c>
      <c r="AM8431" t="s">
        <v>43</v>
      </c>
      <c r="AN8431" t="str">
        <f>HYPERLINK("https://www.google.com/maps?q=10.78271675,79.20547485","Open Location")</f>
        <v>Open Location</v>
      </c>
    </row>
    <row r="8432" spans="1:40" x14ac:dyDescent="0.3">
      <c r="A8432" s="1">
        <v>46210.023379629631</v>
      </c>
      <c r="B8432" t="s">
        <v>40</v>
      </c>
      <c r="C8432" t="s">
        <v>41</v>
      </c>
      <c r="D8432" s="1">
        <v>46210.026435185187</v>
      </c>
      <c r="E8432" t="s">
        <v>42</v>
      </c>
      <c r="F8432" t="s">
        <v>83</v>
      </c>
      <c r="G8432">
        <v>54</v>
      </c>
      <c r="H8432">
        <v>33001</v>
      </c>
      <c r="I8432" t="s">
        <v>4661</v>
      </c>
      <c r="J8432">
        <v>87</v>
      </c>
      <c r="K8432">
        <v>69</v>
      </c>
      <c r="L8432">
        <v>98</v>
      </c>
      <c r="M8432">
        <v>632.5</v>
      </c>
      <c r="N8432" t="s">
        <v>87</v>
      </c>
      <c r="O8432" t="s">
        <v>86</v>
      </c>
      <c r="P8432">
        <v>131</v>
      </c>
      <c r="Q8432">
        <v>6</v>
      </c>
      <c r="R8432">
        <v>47</v>
      </c>
      <c r="S8432">
        <v>1509</v>
      </c>
      <c r="T8432">
        <v>-40</v>
      </c>
      <c r="U8432">
        <v>45</v>
      </c>
      <c r="V8432">
        <v>260</v>
      </c>
      <c r="W8432">
        <v>27</v>
      </c>
      <c r="X8432">
        <v>27</v>
      </c>
      <c r="Y8432">
        <v>1</v>
      </c>
      <c r="Z8432">
        <v>8</v>
      </c>
      <c r="AA8432">
        <v>24</v>
      </c>
      <c r="AB8432">
        <v>1</v>
      </c>
      <c r="AC8432">
        <v>3</v>
      </c>
      <c r="AD8432" t="s">
        <v>43</v>
      </c>
      <c r="AE8432" t="s">
        <v>43</v>
      </c>
      <c r="AF8432" t="s">
        <v>43</v>
      </c>
      <c r="AG8432" t="s">
        <v>43</v>
      </c>
      <c r="AH8432" t="s">
        <v>43</v>
      </c>
      <c r="AI8432" t="s">
        <v>43</v>
      </c>
      <c r="AJ8432">
        <v>1</v>
      </c>
      <c r="AK8432">
        <v>27</v>
      </c>
      <c r="AL8432">
        <v>39</v>
      </c>
      <c r="AM8432" t="s">
        <v>43</v>
      </c>
      <c r="AN8432" t="str">
        <f>HYPERLINK("https://www.google.com/maps?q=10.78291416,79.20381927","Open Location")</f>
        <v>Open Location</v>
      </c>
    </row>
    <row r="8433" spans="1:40" x14ac:dyDescent="0.3">
      <c r="A8433" s="1">
        <v>46210.023263888892</v>
      </c>
      <c r="B8433" t="s">
        <v>40</v>
      </c>
      <c r="C8433" t="s">
        <v>41</v>
      </c>
      <c r="D8433" s="1">
        <v>46210.026203703703</v>
      </c>
      <c r="E8433" t="s">
        <v>42</v>
      </c>
      <c r="F8433" t="s">
        <v>83</v>
      </c>
      <c r="G8433">
        <v>52</v>
      </c>
      <c r="H8433">
        <v>33001</v>
      </c>
      <c r="I8433" t="s">
        <v>4662</v>
      </c>
      <c r="J8433">
        <v>87</v>
      </c>
      <c r="K8433">
        <v>90</v>
      </c>
      <c r="L8433">
        <v>98</v>
      </c>
      <c r="M8433">
        <v>631.40002441000001</v>
      </c>
      <c r="N8433" t="s">
        <v>87</v>
      </c>
      <c r="O8433" t="s">
        <v>86</v>
      </c>
      <c r="P8433">
        <v>131</v>
      </c>
      <c r="Q8433">
        <v>6</v>
      </c>
      <c r="R8433">
        <v>48</v>
      </c>
      <c r="S8433">
        <v>1468</v>
      </c>
      <c r="T8433">
        <v>-40</v>
      </c>
      <c r="U8433">
        <v>45</v>
      </c>
      <c r="V8433">
        <v>340</v>
      </c>
      <c r="W8433">
        <v>27</v>
      </c>
      <c r="X8433">
        <v>27</v>
      </c>
      <c r="Y8433">
        <v>1</v>
      </c>
      <c r="Z8433">
        <v>8</v>
      </c>
      <c r="AA8433">
        <v>24</v>
      </c>
      <c r="AB8433">
        <v>1</v>
      </c>
      <c r="AC8433">
        <v>3</v>
      </c>
      <c r="AD8433">
        <v>3.2980000999999999</v>
      </c>
      <c r="AE8433">
        <v>1</v>
      </c>
      <c r="AF8433">
        <v>44</v>
      </c>
      <c r="AG8433">
        <v>3.2899999599999998</v>
      </c>
      <c r="AH8433">
        <v>4</v>
      </c>
      <c r="AI8433">
        <v>17</v>
      </c>
      <c r="AJ8433">
        <v>1</v>
      </c>
      <c r="AK8433">
        <v>27</v>
      </c>
      <c r="AL8433">
        <v>39</v>
      </c>
      <c r="AM8433" t="s">
        <v>43</v>
      </c>
      <c r="AN8433" t="str">
        <f>HYPERLINK("https://www.google.com/maps?q=10.78319645,79.20206451","Open Location")</f>
        <v>Open Location</v>
      </c>
    </row>
    <row r="8434" spans="1:40" x14ac:dyDescent="0.3">
      <c r="A8434" s="1">
        <v>46210.023148148146</v>
      </c>
      <c r="B8434" t="s">
        <v>40</v>
      </c>
      <c r="C8434" t="s">
        <v>41</v>
      </c>
      <c r="D8434" s="1">
        <v>46210.026041666664</v>
      </c>
      <c r="E8434" t="s">
        <v>42</v>
      </c>
      <c r="F8434" t="s">
        <v>83</v>
      </c>
      <c r="G8434">
        <v>54</v>
      </c>
      <c r="H8434">
        <v>33001</v>
      </c>
      <c r="I8434" t="s">
        <v>4663</v>
      </c>
      <c r="J8434">
        <v>87</v>
      </c>
      <c r="K8434">
        <v>-22</v>
      </c>
      <c r="L8434">
        <v>98</v>
      </c>
      <c r="M8434">
        <v>637.59997558999999</v>
      </c>
      <c r="N8434" t="s">
        <v>87</v>
      </c>
      <c r="O8434" t="s">
        <v>86</v>
      </c>
      <c r="P8434">
        <v>131</v>
      </c>
      <c r="Q8434">
        <v>6</v>
      </c>
      <c r="R8434">
        <v>31</v>
      </c>
      <c r="S8434">
        <v>1458</v>
      </c>
      <c r="T8434">
        <v>-40</v>
      </c>
      <c r="U8434">
        <v>45</v>
      </c>
      <c r="V8434">
        <v>-100</v>
      </c>
      <c r="W8434">
        <v>27</v>
      </c>
      <c r="X8434">
        <v>27</v>
      </c>
      <c r="Y8434">
        <v>1</v>
      </c>
      <c r="Z8434">
        <v>8</v>
      </c>
      <c r="AA8434">
        <v>24</v>
      </c>
      <c r="AB8434">
        <v>1</v>
      </c>
      <c r="AC8434">
        <v>3</v>
      </c>
      <c r="AD8434">
        <v>3.2959999999999998</v>
      </c>
      <c r="AE8434">
        <v>1</v>
      </c>
      <c r="AF8434">
        <v>39</v>
      </c>
      <c r="AG8434">
        <v>3.28800011</v>
      </c>
      <c r="AH8434">
        <v>4</v>
      </c>
      <c r="AI8434">
        <v>17</v>
      </c>
      <c r="AJ8434">
        <v>1</v>
      </c>
      <c r="AK8434">
        <v>27</v>
      </c>
      <c r="AL8434">
        <v>39</v>
      </c>
      <c r="AM8434" t="s">
        <v>43</v>
      </c>
      <c r="AN8434" t="str">
        <f>HYPERLINK("https://www.google.com/maps?q=10.78294945,79.2004776","Open Location")</f>
        <v>Open Location</v>
      </c>
    </row>
    <row r="8435" spans="1:40" x14ac:dyDescent="0.3">
      <c r="A8435" s="1">
        <v>46210.023032407407</v>
      </c>
      <c r="B8435" t="s">
        <v>40</v>
      </c>
      <c r="C8435" t="s">
        <v>41</v>
      </c>
      <c r="D8435" s="1">
        <v>46210.025833333333</v>
      </c>
      <c r="E8435" t="s">
        <v>42</v>
      </c>
      <c r="F8435" t="s">
        <v>83</v>
      </c>
      <c r="G8435">
        <v>52</v>
      </c>
      <c r="H8435">
        <v>33001</v>
      </c>
      <c r="I8435" t="s">
        <v>4664</v>
      </c>
      <c r="J8435">
        <v>87</v>
      </c>
      <c r="K8435">
        <v>98</v>
      </c>
      <c r="L8435">
        <v>98</v>
      </c>
      <c r="M8435">
        <v>630.29998779000005</v>
      </c>
      <c r="N8435" t="s">
        <v>87</v>
      </c>
      <c r="O8435" t="s">
        <v>86</v>
      </c>
      <c r="P8435">
        <v>131</v>
      </c>
      <c r="Q8435">
        <v>6</v>
      </c>
      <c r="R8435">
        <v>69</v>
      </c>
      <c r="S8435">
        <v>1463</v>
      </c>
      <c r="T8435">
        <v>-40</v>
      </c>
      <c r="U8435">
        <v>46</v>
      </c>
      <c r="V8435">
        <v>354</v>
      </c>
      <c r="W8435">
        <v>27</v>
      </c>
      <c r="X8435">
        <v>27</v>
      </c>
      <c r="Y8435">
        <v>1</v>
      </c>
      <c r="Z8435">
        <v>8</v>
      </c>
      <c r="AA8435">
        <v>24</v>
      </c>
      <c r="AB8435">
        <v>1</v>
      </c>
      <c r="AC8435">
        <v>3</v>
      </c>
      <c r="AD8435">
        <v>3.2909998900000001</v>
      </c>
      <c r="AE8435">
        <v>1</v>
      </c>
      <c r="AF8435">
        <v>38</v>
      </c>
      <c r="AG8435">
        <v>3.2809998999999999</v>
      </c>
      <c r="AH8435">
        <v>4</v>
      </c>
      <c r="AI8435">
        <v>17</v>
      </c>
      <c r="AJ8435">
        <v>1</v>
      </c>
      <c r="AK8435">
        <v>28</v>
      </c>
      <c r="AL8435">
        <v>39</v>
      </c>
      <c r="AM8435" t="s">
        <v>43</v>
      </c>
      <c r="AN8435" t="str">
        <f>HYPERLINK("https://www.google.com/maps?q=10.78260422,79.1989212","Open Location")</f>
        <v>Open Location</v>
      </c>
    </row>
    <row r="8436" spans="1:40" x14ac:dyDescent="0.3">
      <c r="A8436" s="1">
        <v>46210.022916666669</v>
      </c>
      <c r="B8436" t="s">
        <v>40</v>
      </c>
      <c r="C8436" t="s">
        <v>41</v>
      </c>
      <c r="D8436" s="1">
        <v>46210.026041666664</v>
      </c>
      <c r="E8436" t="s">
        <v>42</v>
      </c>
      <c r="F8436" t="s">
        <v>83</v>
      </c>
      <c r="G8436">
        <v>48</v>
      </c>
      <c r="H8436">
        <v>33000</v>
      </c>
      <c r="I8436" t="s">
        <v>43</v>
      </c>
      <c r="J8436">
        <v>87</v>
      </c>
      <c r="K8436">
        <v>93</v>
      </c>
      <c r="L8436">
        <v>98</v>
      </c>
      <c r="M8436">
        <v>631.5</v>
      </c>
      <c r="N8436" t="s">
        <v>87</v>
      </c>
      <c r="O8436" t="s">
        <v>86</v>
      </c>
      <c r="P8436">
        <v>131</v>
      </c>
      <c r="Q8436">
        <v>6</v>
      </c>
      <c r="R8436">
        <v>67</v>
      </c>
      <c r="S8436">
        <v>1374</v>
      </c>
      <c r="T8436">
        <v>-40</v>
      </c>
      <c r="U8436">
        <v>46</v>
      </c>
      <c r="V8436">
        <v>355</v>
      </c>
      <c r="W8436">
        <v>27</v>
      </c>
      <c r="X8436">
        <v>27</v>
      </c>
      <c r="Y8436">
        <v>1</v>
      </c>
      <c r="Z8436">
        <v>8</v>
      </c>
      <c r="AA8436">
        <v>24</v>
      </c>
      <c r="AB8436">
        <v>1</v>
      </c>
      <c r="AC8436">
        <v>3</v>
      </c>
      <c r="AD8436">
        <v>3.2950000799999999</v>
      </c>
      <c r="AE8436">
        <v>1</v>
      </c>
      <c r="AF8436">
        <v>39</v>
      </c>
      <c r="AG8436">
        <v>3.28600001</v>
      </c>
      <c r="AH8436">
        <v>4</v>
      </c>
      <c r="AI8436">
        <v>17</v>
      </c>
      <c r="AJ8436">
        <v>1</v>
      </c>
      <c r="AK8436">
        <v>27</v>
      </c>
      <c r="AL8436">
        <v>39</v>
      </c>
      <c r="AM8436" t="s">
        <v>43</v>
      </c>
      <c r="AN8436" t="s">
        <v>43</v>
      </c>
    </row>
    <row r="8437" spans="1:40" x14ac:dyDescent="0.3">
      <c r="A8437" s="1">
        <v>46210.022800925923</v>
      </c>
      <c r="B8437" t="s">
        <v>40</v>
      </c>
      <c r="C8437" t="s">
        <v>41</v>
      </c>
      <c r="D8437" s="1">
        <v>46210.025682870371</v>
      </c>
      <c r="E8437" t="s">
        <v>42</v>
      </c>
      <c r="F8437" t="s">
        <v>83</v>
      </c>
      <c r="G8437">
        <v>44</v>
      </c>
      <c r="H8437">
        <v>33000</v>
      </c>
      <c r="I8437" t="s">
        <v>4665</v>
      </c>
      <c r="J8437">
        <v>87</v>
      </c>
      <c r="K8437">
        <v>79</v>
      </c>
      <c r="L8437">
        <v>98</v>
      </c>
      <c r="M8437">
        <v>632.40002441000001</v>
      </c>
      <c r="N8437" t="s">
        <v>87</v>
      </c>
      <c r="O8437" t="s">
        <v>86</v>
      </c>
      <c r="P8437">
        <v>131</v>
      </c>
      <c r="Q8437">
        <v>6</v>
      </c>
      <c r="R8437">
        <v>32</v>
      </c>
      <c r="S8437">
        <v>1245</v>
      </c>
      <c r="T8437">
        <v>-40</v>
      </c>
      <c r="U8437">
        <v>44</v>
      </c>
      <c r="V8437">
        <v>308</v>
      </c>
      <c r="W8437">
        <v>27</v>
      </c>
      <c r="X8437">
        <v>27</v>
      </c>
      <c r="Y8437">
        <v>1</v>
      </c>
      <c r="Z8437">
        <v>8</v>
      </c>
      <c r="AA8437">
        <v>24</v>
      </c>
      <c r="AB8437">
        <v>1</v>
      </c>
      <c r="AC8437">
        <v>3</v>
      </c>
      <c r="AD8437">
        <v>3.3259999800000002</v>
      </c>
      <c r="AE8437">
        <v>4</v>
      </c>
      <c r="AF8437">
        <v>24</v>
      </c>
      <c r="AG8437">
        <v>3.3229999499999998</v>
      </c>
      <c r="AH8437">
        <v>1</v>
      </c>
      <c r="AI8437">
        <v>14</v>
      </c>
      <c r="AJ8437">
        <v>1</v>
      </c>
      <c r="AK8437">
        <v>22</v>
      </c>
      <c r="AL8437">
        <v>39</v>
      </c>
      <c r="AM8437" t="s">
        <v>43</v>
      </c>
      <c r="AN8437" t="str">
        <f>HYPERLINK("https://www.google.com/maps?q=10.78284359,79.19747925","Open Location")</f>
        <v>Open Location</v>
      </c>
    </row>
    <row r="8438" spans="1:40" x14ac:dyDescent="0.3">
      <c r="A8438" s="1">
        <v>46210.022685185184</v>
      </c>
      <c r="B8438" t="s">
        <v>40</v>
      </c>
      <c r="C8438" t="s">
        <v>41</v>
      </c>
      <c r="D8438" s="1">
        <v>46210.025451388887</v>
      </c>
      <c r="E8438" t="s">
        <v>42</v>
      </c>
      <c r="F8438" t="s">
        <v>83</v>
      </c>
      <c r="G8438">
        <v>50</v>
      </c>
      <c r="H8438">
        <v>33000</v>
      </c>
      <c r="I8438" t="s">
        <v>4666</v>
      </c>
      <c r="J8438">
        <v>87</v>
      </c>
      <c r="K8438">
        <v>-23</v>
      </c>
      <c r="L8438">
        <v>98</v>
      </c>
      <c r="M8438">
        <v>637.5</v>
      </c>
      <c r="N8438" t="s">
        <v>87</v>
      </c>
      <c r="O8438" t="s">
        <v>86</v>
      </c>
      <c r="P8438">
        <v>131</v>
      </c>
      <c r="Q8438">
        <v>6</v>
      </c>
      <c r="R8438">
        <v>28</v>
      </c>
      <c r="S8438">
        <v>1382</v>
      </c>
      <c r="T8438">
        <v>-40</v>
      </c>
      <c r="U8438">
        <v>45</v>
      </c>
      <c r="V8438">
        <v>-125</v>
      </c>
      <c r="W8438" t="s">
        <v>43</v>
      </c>
      <c r="X8438" t="s">
        <v>43</v>
      </c>
      <c r="Y8438" t="s">
        <v>43</v>
      </c>
      <c r="Z8438" t="s">
        <v>43</v>
      </c>
      <c r="AA8438" t="s">
        <v>43</v>
      </c>
      <c r="AB8438" t="s">
        <v>43</v>
      </c>
      <c r="AC8438" t="s">
        <v>43</v>
      </c>
      <c r="AD8438" t="s">
        <v>43</v>
      </c>
      <c r="AE8438" t="s">
        <v>43</v>
      </c>
      <c r="AF8438" t="s">
        <v>43</v>
      </c>
      <c r="AG8438" t="s">
        <v>43</v>
      </c>
      <c r="AH8438" t="s">
        <v>43</v>
      </c>
      <c r="AI8438" t="s">
        <v>43</v>
      </c>
      <c r="AJ8438">
        <v>1</v>
      </c>
      <c r="AK8438">
        <v>22</v>
      </c>
      <c r="AL8438">
        <v>39</v>
      </c>
      <c r="AM8438" t="s">
        <v>43</v>
      </c>
      <c r="AN8438" t="str">
        <f>HYPERLINK("https://www.google.com/maps?q=10.78325081,79.19610596","Open Location")</f>
        <v>Open Location</v>
      </c>
    </row>
    <row r="8439" spans="1:40" x14ac:dyDescent="0.3">
      <c r="A8439" s="1">
        <v>46210.022569444445</v>
      </c>
      <c r="B8439" t="s">
        <v>40</v>
      </c>
      <c r="C8439" t="s">
        <v>41</v>
      </c>
      <c r="D8439" s="1">
        <v>46210.025439814817</v>
      </c>
      <c r="E8439" t="s">
        <v>42</v>
      </c>
      <c r="F8439" t="s">
        <v>83</v>
      </c>
      <c r="G8439">
        <v>49</v>
      </c>
      <c r="H8439">
        <v>33000</v>
      </c>
      <c r="I8439" t="s">
        <v>4667</v>
      </c>
      <c r="J8439">
        <v>87</v>
      </c>
      <c r="K8439">
        <v>54</v>
      </c>
      <c r="L8439">
        <v>98</v>
      </c>
      <c r="M8439">
        <v>633.70001220999995</v>
      </c>
      <c r="N8439" t="s">
        <v>87</v>
      </c>
      <c r="O8439" t="s">
        <v>86</v>
      </c>
      <c r="P8439">
        <v>131</v>
      </c>
      <c r="Q8439">
        <v>6</v>
      </c>
      <c r="R8439">
        <v>31</v>
      </c>
      <c r="S8439">
        <v>1352</v>
      </c>
      <c r="T8439">
        <v>-40</v>
      </c>
      <c r="U8439">
        <v>44</v>
      </c>
      <c r="V8439">
        <v>220</v>
      </c>
      <c r="W8439">
        <v>27</v>
      </c>
      <c r="X8439">
        <v>27</v>
      </c>
      <c r="Y8439">
        <v>1</v>
      </c>
      <c r="Z8439">
        <v>8</v>
      </c>
      <c r="AA8439">
        <v>24</v>
      </c>
      <c r="AB8439">
        <v>1</v>
      </c>
      <c r="AC8439">
        <v>3</v>
      </c>
      <c r="AD8439">
        <v>3.30900002</v>
      </c>
      <c r="AE8439">
        <v>1</v>
      </c>
      <c r="AF8439">
        <v>41</v>
      </c>
      <c r="AG8439">
        <v>3.3050000700000002</v>
      </c>
      <c r="AH8439">
        <v>2</v>
      </c>
      <c r="AI8439">
        <v>46</v>
      </c>
      <c r="AJ8439">
        <v>1</v>
      </c>
      <c r="AK8439">
        <v>27</v>
      </c>
      <c r="AL8439">
        <v>39</v>
      </c>
      <c r="AM8439" t="s">
        <v>43</v>
      </c>
      <c r="AN8439" t="str">
        <f>HYPERLINK("https://www.google.com/maps?q=10.78366184,79.19465637","Open Location")</f>
        <v>Open Location</v>
      </c>
    </row>
    <row r="8440" spans="1:40" x14ac:dyDescent="0.3">
      <c r="A8440" s="1">
        <v>46210.022453703707</v>
      </c>
      <c r="B8440" t="s">
        <v>40</v>
      </c>
      <c r="C8440" t="s">
        <v>41</v>
      </c>
      <c r="D8440" s="1">
        <v>46210.025185185186</v>
      </c>
      <c r="E8440" t="s">
        <v>42</v>
      </c>
      <c r="F8440" t="s">
        <v>83</v>
      </c>
      <c r="G8440">
        <v>49</v>
      </c>
      <c r="H8440">
        <v>33000</v>
      </c>
      <c r="I8440" t="s">
        <v>4668</v>
      </c>
      <c r="J8440">
        <v>88</v>
      </c>
      <c r="K8440">
        <v>41</v>
      </c>
      <c r="L8440">
        <v>98</v>
      </c>
      <c r="M8440">
        <v>634.09997558999999</v>
      </c>
      <c r="N8440" t="s">
        <v>87</v>
      </c>
      <c r="O8440" t="s">
        <v>86</v>
      </c>
      <c r="P8440">
        <v>131</v>
      </c>
      <c r="Q8440">
        <v>6</v>
      </c>
      <c r="R8440">
        <v>28</v>
      </c>
      <c r="S8440">
        <v>1378</v>
      </c>
      <c r="T8440">
        <v>-40</v>
      </c>
      <c r="U8440">
        <v>45</v>
      </c>
      <c r="V8440">
        <v>160</v>
      </c>
      <c r="W8440">
        <v>27</v>
      </c>
      <c r="X8440">
        <v>27</v>
      </c>
      <c r="Y8440">
        <v>1</v>
      </c>
      <c r="Z8440">
        <v>8</v>
      </c>
      <c r="AA8440">
        <v>24</v>
      </c>
      <c r="AB8440">
        <v>1</v>
      </c>
      <c r="AC8440">
        <v>3</v>
      </c>
      <c r="AD8440">
        <v>3.3050000700000002</v>
      </c>
      <c r="AE8440">
        <v>1</v>
      </c>
      <c r="AF8440">
        <v>41</v>
      </c>
      <c r="AG8440">
        <v>3.2990000199999998</v>
      </c>
      <c r="AH8440">
        <v>4</v>
      </c>
      <c r="AI8440">
        <v>17</v>
      </c>
      <c r="AJ8440">
        <v>1</v>
      </c>
      <c r="AK8440">
        <v>27</v>
      </c>
      <c r="AL8440">
        <v>39</v>
      </c>
      <c r="AM8440" t="s">
        <v>43</v>
      </c>
      <c r="AN8440" t="str">
        <f>HYPERLINK("https://www.google.com/maps?q=10.78392982,79.19315338","Open Location")</f>
        <v>Open Location</v>
      </c>
    </row>
    <row r="8441" spans="1:40" x14ac:dyDescent="0.3">
      <c r="A8441" s="1">
        <v>46210.022337962961</v>
      </c>
      <c r="B8441" t="s">
        <v>40</v>
      </c>
      <c r="C8441" t="s">
        <v>41</v>
      </c>
      <c r="D8441" s="1">
        <v>46210.025185185186</v>
      </c>
      <c r="E8441" t="s">
        <v>42</v>
      </c>
      <c r="F8441" t="s">
        <v>83</v>
      </c>
      <c r="G8441">
        <v>48</v>
      </c>
      <c r="H8441">
        <v>33000</v>
      </c>
      <c r="I8441" t="s">
        <v>43</v>
      </c>
      <c r="J8441">
        <v>88</v>
      </c>
      <c r="K8441">
        <v>49</v>
      </c>
      <c r="L8441">
        <v>98</v>
      </c>
      <c r="M8441">
        <v>633.79998779000005</v>
      </c>
      <c r="N8441" t="s">
        <v>87</v>
      </c>
      <c r="O8441" t="s">
        <v>86</v>
      </c>
      <c r="P8441">
        <v>131</v>
      </c>
      <c r="Q8441">
        <v>6</v>
      </c>
      <c r="R8441">
        <v>47</v>
      </c>
      <c r="S8441">
        <v>1349</v>
      </c>
      <c r="T8441">
        <v>-40</v>
      </c>
      <c r="U8441">
        <v>45</v>
      </c>
      <c r="V8441">
        <v>200</v>
      </c>
      <c r="W8441">
        <v>27</v>
      </c>
      <c r="X8441">
        <v>27</v>
      </c>
      <c r="Y8441">
        <v>1</v>
      </c>
      <c r="Z8441">
        <v>8</v>
      </c>
      <c r="AA8441">
        <v>24</v>
      </c>
      <c r="AB8441">
        <v>1</v>
      </c>
      <c r="AC8441">
        <v>3</v>
      </c>
      <c r="AD8441">
        <v>3.2990000199999998</v>
      </c>
      <c r="AE8441">
        <v>1</v>
      </c>
      <c r="AF8441">
        <v>38</v>
      </c>
      <c r="AG8441">
        <v>3.2920000599999999</v>
      </c>
      <c r="AH8441">
        <v>4</v>
      </c>
      <c r="AI8441">
        <v>17</v>
      </c>
      <c r="AJ8441">
        <v>1</v>
      </c>
      <c r="AK8441">
        <v>27</v>
      </c>
      <c r="AL8441">
        <v>39</v>
      </c>
      <c r="AM8441" t="s">
        <v>43</v>
      </c>
      <c r="AN8441" t="s">
        <v>43</v>
      </c>
    </row>
    <row r="8442" spans="1:40" x14ac:dyDescent="0.3">
      <c r="A8442" s="1">
        <v>46210.022222222222</v>
      </c>
      <c r="B8442" t="s">
        <v>40</v>
      </c>
      <c r="C8442" t="s">
        <v>41</v>
      </c>
      <c r="D8442" s="1">
        <v>46210.025034722225</v>
      </c>
      <c r="E8442" t="s">
        <v>42</v>
      </c>
      <c r="F8442" t="s">
        <v>83</v>
      </c>
      <c r="G8442">
        <v>44</v>
      </c>
      <c r="H8442">
        <v>33000</v>
      </c>
      <c r="I8442" t="s">
        <v>4669</v>
      </c>
      <c r="J8442">
        <v>88</v>
      </c>
      <c r="K8442">
        <v>64</v>
      </c>
      <c r="L8442">
        <v>98</v>
      </c>
      <c r="M8442">
        <v>633.20001220999995</v>
      </c>
      <c r="N8442" t="s">
        <v>87</v>
      </c>
      <c r="O8442" t="s">
        <v>86</v>
      </c>
      <c r="P8442">
        <v>131</v>
      </c>
      <c r="Q8442">
        <v>6</v>
      </c>
      <c r="R8442">
        <v>38</v>
      </c>
      <c r="S8442">
        <v>1257</v>
      </c>
      <c r="T8442">
        <v>-40</v>
      </c>
      <c r="U8442">
        <v>45</v>
      </c>
      <c r="V8442">
        <v>280</v>
      </c>
      <c r="W8442">
        <v>27</v>
      </c>
      <c r="X8442">
        <v>27</v>
      </c>
      <c r="Y8442">
        <v>1</v>
      </c>
      <c r="Z8442">
        <v>8</v>
      </c>
      <c r="AA8442">
        <v>24</v>
      </c>
      <c r="AB8442">
        <v>1</v>
      </c>
      <c r="AC8442">
        <v>3</v>
      </c>
      <c r="AD8442">
        <v>3.3050000700000002</v>
      </c>
      <c r="AE8442">
        <v>1</v>
      </c>
      <c r="AF8442">
        <v>41</v>
      </c>
      <c r="AG8442">
        <v>3.2980000999999999</v>
      </c>
      <c r="AH8442">
        <v>4</v>
      </c>
      <c r="AI8442">
        <v>17</v>
      </c>
      <c r="AJ8442">
        <v>1</v>
      </c>
      <c r="AK8442">
        <v>27</v>
      </c>
      <c r="AL8442">
        <v>39</v>
      </c>
      <c r="AM8442" t="s">
        <v>43</v>
      </c>
      <c r="AN8442" t="str">
        <f>HYPERLINK("https://www.google.com/maps?q=10.78403473,79.19155884","Open Location")</f>
        <v>Open Location</v>
      </c>
    </row>
    <row r="8443" spans="1:40" x14ac:dyDescent="0.3">
      <c r="A8443" s="1">
        <v>46210.022106481483</v>
      </c>
      <c r="B8443" t="s">
        <v>40</v>
      </c>
      <c r="C8443" t="s">
        <v>41</v>
      </c>
      <c r="D8443" s="1">
        <v>46210.025185185186</v>
      </c>
      <c r="E8443" t="s">
        <v>42</v>
      </c>
      <c r="F8443" t="s">
        <v>83</v>
      </c>
      <c r="G8443">
        <v>43</v>
      </c>
      <c r="H8443">
        <v>32999</v>
      </c>
      <c r="I8443" t="s">
        <v>4670</v>
      </c>
      <c r="J8443">
        <v>88</v>
      </c>
      <c r="K8443">
        <v>72</v>
      </c>
      <c r="L8443">
        <v>98</v>
      </c>
      <c r="M8443">
        <v>633.40002441000001</v>
      </c>
      <c r="N8443" t="s">
        <v>87</v>
      </c>
      <c r="O8443" t="s">
        <v>86</v>
      </c>
      <c r="P8443">
        <v>131</v>
      </c>
      <c r="Q8443">
        <v>6</v>
      </c>
      <c r="R8443">
        <v>22</v>
      </c>
      <c r="S8443">
        <v>1221</v>
      </c>
      <c r="T8443">
        <v>-40</v>
      </c>
      <c r="U8443">
        <v>44</v>
      </c>
      <c r="V8443">
        <v>320</v>
      </c>
      <c r="W8443">
        <v>27</v>
      </c>
      <c r="X8443">
        <v>27</v>
      </c>
      <c r="Y8443">
        <v>1</v>
      </c>
      <c r="Z8443">
        <v>8</v>
      </c>
      <c r="AA8443">
        <v>24</v>
      </c>
      <c r="AB8443">
        <v>1</v>
      </c>
      <c r="AC8443">
        <v>3</v>
      </c>
      <c r="AD8443">
        <v>3.3139998899999998</v>
      </c>
      <c r="AE8443">
        <v>1</v>
      </c>
      <c r="AF8443">
        <v>6</v>
      </c>
      <c r="AG8443">
        <v>3.3110001100000002</v>
      </c>
      <c r="AH8443">
        <v>4</v>
      </c>
      <c r="AI8443">
        <v>17</v>
      </c>
      <c r="AJ8443">
        <v>1</v>
      </c>
      <c r="AK8443">
        <v>28</v>
      </c>
      <c r="AL8443">
        <v>39</v>
      </c>
      <c r="AM8443" t="s">
        <v>43</v>
      </c>
      <c r="AN8443" t="str">
        <f>HYPERLINK("https://www.google.com/maps?q=10.78402138,79.19019318","Open Location")</f>
        <v>Open Location</v>
      </c>
    </row>
    <row r="8444" spans="1:40" x14ac:dyDescent="0.3">
      <c r="A8444" s="1">
        <v>46210.021990740737</v>
      </c>
      <c r="B8444" t="s">
        <v>40</v>
      </c>
      <c r="C8444" t="s">
        <v>41</v>
      </c>
      <c r="D8444" s="1">
        <v>46210.024907407409</v>
      </c>
      <c r="E8444" t="s">
        <v>42</v>
      </c>
      <c r="F8444" t="s">
        <v>83</v>
      </c>
      <c r="G8444">
        <v>46</v>
      </c>
      <c r="H8444">
        <v>32999</v>
      </c>
      <c r="I8444" t="s">
        <v>4671</v>
      </c>
      <c r="J8444">
        <v>88</v>
      </c>
      <c r="K8444">
        <v>20</v>
      </c>
      <c r="L8444">
        <v>98</v>
      </c>
      <c r="M8444">
        <v>635.79998779000005</v>
      </c>
      <c r="N8444" t="s">
        <v>87</v>
      </c>
      <c r="O8444" t="s">
        <v>86</v>
      </c>
      <c r="P8444">
        <v>131</v>
      </c>
      <c r="Q8444">
        <v>6</v>
      </c>
      <c r="R8444">
        <v>-41</v>
      </c>
      <c r="S8444">
        <v>1259</v>
      </c>
      <c r="T8444">
        <v>-40</v>
      </c>
      <c r="U8444">
        <v>45</v>
      </c>
      <c r="V8444">
        <v>60</v>
      </c>
      <c r="W8444">
        <v>27</v>
      </c>
      <c r="X8444">
        <v>27</v>
      </c>
      <c r="Y8444">
        <v>1</v>
      </c>
      <c r="Z8444">
        <v>8</v>
      </c>
      <c r="AA8444">
        <v>24</v>
      </c>
      <c r="AB8444">
        <v>1</v>
      </c>
      <c r="AC8444">
        <v>3</v>
      </c>
      <c r="AD8444" t="s">
        <v>43</v>
      </c>
      <c r="AE8444" t="s">
        <v>43</v>
      </c>
      <c r="AF8444" t="s">
        <v>43</v>
      </c>
      <c r="AG8444" t="s">
        <v>43</v>
      </c>
      <c r="AH8444" t="s">
        <v>43</v>
      </c>
      <c r="AI8444" t="s">
        <v>43</v>
      </c>
      <c r="AJ8444">
        <v>1</v>
      </c>
      <c r="AK8444">
        <v>27</v>
      </c>
      <c r="AL8444">
        <v>39</v>
      </c>
      <c r="AM8444" t="s">
        <v>43</v>
      </c>
      <c r="AN8444" t="str">
        <f>HYPERLINK("https://www.google.com/maps?q=10.78396225,79.18883514","Open Location")</f>
        <v>Open Location</v>
      </c>
    </row>
    <row r="8445" spans="1:40" x14ac:dyDescent="0.3">
      <c r="A8445" s="1">
        <v>46210.021874999999</v>
      </c>
      <c r="B8445" t="s">
        <v>40</v>
      </c>
      <c r="C8445" t="s">
        <v>41</v>
      </c>
      <c r="D8445" s="1">
        <v>46210.024791666663</v>
      </c>
      <c r="E8445" t="s">
        <v>42</v>
      </c>
      <c r="F8445" t="s">
        <v>83</v>
      </c>
      <c r="G8445">
        <v>51</v>
      </c>
      <c r="H8445">
        <v>32999</v>
      </c>
      <c r="I8445" t="s">
        <v>4672</v>
      </c>
      <c r="J8445">
        <v>88</v>
      </c>
      <c r="K8445">
        <v>21</v>
      </c>
      <c r="L8445">
        <v>98</v>
      </c>
      <c r="M8445">
        <v>635.20001220999995</v>
      </c>
      <c r="N8445" t="s">
        <v>87</v>
      </c>
      <c r="O8445" t="s">
        <v>86</v>
      </c>
      <c r="P8445">
        <v>131</v>
      </c>
      <c r="Q8445">
        <v>6</v>
      </c>
      <c r="R8445">
        <v>26</v>
      </c>
      <c r="S8445">
        <v>1431</v>
      </c>
      <c r="T8445">
        <v>-40</v>
      </c>
      <c r="U8445">
        <v>44</v>
      </c>
      <c r="V8445">
        <v>60</v>
      </c>
      <c r="W8445">
        <v>27</v>
      </c>
      <c r="X8445">
        <v>27</v>
      </c>
      <c r="Y8445">
        <v>1</v>
      </c>
      <c r="Z8445">
        <v>8</v>
      </c>
      <c r="AA8445">
        <v>24</v>
      </c>
      <c r="AB8445">
        <v>1</v>
      </c>
      <c r="AC8445">
        <v>3</v>
      </c>
      <c r="AD8445">
        <v>3.30699992</v>
      </c>
      <c r="AE8445">
        <v>1</v>
      </c>
      <c r="AF8445">
        <v>41</v>
      </c>
      <c r="AG8445">
        <v>3.3020000500000002</v>
      </c>
      <c r="AH8445">
        <v>2</v>
      </c>
      <c r="AI8445">
        <v>46</v>
      </c>
      <c r="AJ8445">
        <v>1</v>
      </c>
      <c r="AK8445">
        <v>22</v>
      </c>
      <c r="AL8445">
        <v>39</v>
      </c>
      <c r="AM8445" t="s">
        <v>43</v>
      </c>
      <c r="AN8445" t="str">
        <f>HYPERLINK("https://www.google.com/maps?q=10.78380013,79.18730927","Open Location")</f>
        <v>Open Location</v>
      </c>
    </row>
    <row r="8446" spans="1:40" x14ac:dyDescent="0.3">
      <c r="A8446" s="1">
        <v>46210.02175925926</v>
      </c>
      <c r="B8446" t="s">
        <v>40</v>
      </c>
      <c r="C8446" t="s">
        <v>41</v>
      </c>
      <c r="D8446" s="1">
        <v>46210.024502314816</v>
      </c>
      <c r="E8446" t="s">
        <v>42</v>
      </c>
      <c r="F8446" t="s">
        <v>83</v>
      </c>
      <c r="G8446">
        <v>51</v>
      </c>
      <c r="H8446">
        <v>32999</v>
      </c>
      <c r="I8446" t="s">
        <v>4673</v>
      </c>
      <c r="J8446">
        <v>88</v>
      </c>
      <c r="K8446">
        <v>28</v>
      </c>
      <c r="L8446">
        <v>98</v>
      </c>
      <c r="M8446">
        <v>634.40002441000001</v>
      </c>
      <c r="N8446" t="s">
        <v>87</v>
      </c>
      <c r="O8446" t="s">
        <v>86</v>
      </c>
      <c r="P8446">
        <v>131</v>
      </c>
      <c r="Q8446">
        <v>6</v>
      </c>
      <c r="R8446">
        <v>17</v>
      </c>
      <c r="S8446">
        <v>1415</v>
      </c>
      <c r="T8446">
        <v>-40</v>
      </c>
      <c r="U8446">
        <v>44</v>
      </c>
      <c r="V8446">
        <v>100</v>
      </c>
      <c r="W8446">
        <v>27</v>
      </c>
      <c r="X8446">
        <v>27</v>
      </c>
      <c r="Y8446">
        <v>1</v>
      </c>
      <c r="Z8446">
        <v>8</v>
      </c>
      <c r="AA8446">
        <v>24</v>
      </c>
      <c r="AB8446">
        <v>1</v>
      </c>
      <c r="AC8446">
        <v>3</v>
      </c>
      <c r="AD8446">
        <v>3.3080000900000002</v>
      </c>
      <c r="AE8446">
        <v>1</v>
      </c>
      <c r="AF8446">
        <v>44</v>
      </c>
      <c r="AG8446">
        <v>3.3029999700000001</v>
      </c>
      <c r="AH8446">
        <v>4</v>
      </c>
      <c r="AI8446">
        <v>17</v>
      </c>
      <c r="AJ8446">
        <v>1</v>
      </c>
      <c r="AK8446">
        <v>27</v>
      </c>
      <c r="AL8446">
        <v>39</v>
      </c>
      <c r="AM8446" t="s">
        <v>43</v>
      </c>
      <c r="AN8446" t="str">
        <f>HYPERLINK("https://www.google.com/maps?q=10.78353024,79.1857605","Open Location")</f>
        <v>Open Location</v>
      </c>
    </row>
    <row r="8447" spans="1:40" x14ac:dyDescent="0.3">
      <c r="A8447" s="1">
        <v>46210.021643518521</v>
      </c>
      <c r="B8447" t="s">
        <v>40</v>
      </c>
      <c r="C8447" t="s">
        <v>41</v>
      </c>
      <c r="D8447" s="1">
        <v>46210.024375000001</v>
      </c>
      <c r="E8447" t="s">
        <v>42</v>
      </c>
      <c r="F8447" t="s">
        <v>83</v>
      </c>
      <c r="G8447">
        <v>52</v>
      </c>
      <c r="H8447">
        <v>32999</v>
      </c>
      <c r="I8447" t="s">
        <v>43</v>
      </c>
      <c r="J8447">
        <v>88</v>
      </c>
      <c r="K8447">
        <v>35</v>
      </c>
      <c r="L8447">
        <v>98</v>
      </c>
      <c r="M8447">
        <v>633.90002441000001</v>
      </c>
      <c r="N8447" t="s">
        <v>87</v>
      </c>
      <c r="O8447" t="s">
        <v>86</v>
      </c>
      <c r="P8447">
        <v>131</v>
      </c>
      <c r="Q8447">
        <v>6</v>
      </c>
      <c r="R8447">
        <v>15</v>
      </c>
      <c r="S8447">
        <v>1448</v>
      </c>
      <c r="T8447">
        <v>-40</v>
      </c>
      <c r="U8447">
        <v>45</v>
      </c>
      <c r="V8447">
        <v>140</v>
      </c>
      <c r="W8447">
        <v>27</v>
      </c>
      <c r="X8447">
        <v>27</v>
      </c>
      <c r="Y8447">
        <v>1</v>
      </c>
      <c r="Z8447">
        <v>8</v>
      </c>
      <c r="AA8447">
        <v>24</v>
      </c>
      <c r="AB8447">
        <v>1</v>
      </c>
      <c r="AC8447">
        <v>3</v>
      </c>
      <c r="AD8447">
        <v>3.3029999700000001</v>
      </c>
      <c r="AE8447">
        <v>1</v>
      </c>
      <c r="AF8447">
        <v>44</v>
      </c>
      <c r="AG8447">
        <v>3.2969999300000001</v>
      </c>
      <c r="AH8447">
        <v>4</v>
      </c>
      <c r="AI8447">
        <v>17</v>
      </c>
      <c r="AJ8447">
        <v>1</v>
      </c>
      <c r="AK8447">
        <v>27</v>
      </c>
      <c r="AL8447">
        <v>39</v>
      </c>
      <c r="AM8447" t="s">
        <v>43</v>
      </c>
      <c r="AN8447" t="s">
        <v>43</v>
      </c>
    </row>
    <row r="8448" spans="1:40" x14ac:dyDescent="0.3">
      <c r="A8448" s="1">
        <v>46210.021527777775</v>
      </c>
      <c r="B8448" t="s">
        <v>40</v>
      </c>
      <c r="C8448" t="s">
        <v>41</v>
      </c>
      <c r="D8448" s="1">
        <v>46210.024293981478</v>
      </c>
      <c r="E8448" t="s">
        <v>42</v>
      </c>
      <c r="F8448" t="s">
        <v>83</v>
      </c>
      <c r="G8448">
        <v>53</v>
      </c>
      <c r="H8448">
        <v>32999</v>
      </c>
      <c r="I8448" t="s">
        <v>4674</v>
      </c>
      <c r="J8448">
        <v>88</v>
      </c>
      <c r="K8448">
        <v>70</v>
      </c>
      <c r="L8448">
        <v>98</v>
      </c>
      <c r="M8448">
        <v>632.29998779000005</v>
      </c>
      <c r="N8448" t="s">
        <v>87</v>
      </c>
      <c r="O8448" t="s">
        <v>86</v>
      </c>
      <c r="P8448">
        <v>131</v>
      </c>
      <c r="Q8448">
        <v>6</v>
      </c>
      <c r="R8448">
        <v>33</v>
      </c>
      <c r="S8448">
        <v>1474</v>
      </c>
      <c r="T8448">
        <v>-40</v>
      </c>
      <c r="U8448">
        <v>45</v>
      </c>
      <c r="V8448">
        <v>280</v>
      </c>
      <c r="W8448">
        <v>27</v>
      </c>
      <c r="X8448">
        <v>27</v>
      </c>
      <c r="Y8448">
        <v>1</v>
      </c>
      <c r="Z8448">
        <v>8</v>
      </c>
      <c r="AA8448">
        <v>24</v>
      </c>
      <c r="AB8448">
        <v>1</v>
      </c>
      <c r="AC8448">
        <v>3</v>
      </c>
      <c r="AD8448">
        <v>3.3029999700000001</v>
      </c>
      <c r="AE8448">
        <v>1</v>
      </c>
      <c r="AF8448">
        <v>38</v>
      </c>
      <c r="AG8448">
        <v>3.2969999300000001</v>
      </c>
      <c r="AH8448">
        <v>4</v>
      </c>
      <c r="AI8448">
        <v>17</v>
      </c>
      <c r="AJ8448">
        <v>1</v>
      </c>
      <c r="AK8448">
        <v>27</v>
      </c>
      <c r="AL8448">
        <v>39</v>
      </c>
      <c r="AM8448" t="s">
        <v>43</v>
      </c>
      <c r="AN8448" t="str">
        <f>HYPERLINK("https://www.google.com/maps?q=10.78326225,79.18417358","Open Location")</f>
        <v>Open Location</v>
      </c>
    </row>
    <row r="8449" spans="1:40" x14ac:dyDescent="0.3">
      <c r="A8449" s="1">
        <v>46210.021412037036</v>
      </c>
      <c r="B8449" t="s">
        <v>40</v>
      </c>
      <c r="C8449" t="s">
        <v>41</v>
      </c>
      <c r="D8449" s="1">
        <v>46210.024305555555</v>
      </c>
      <c r="E8449" t="s">
        <v>42</v>
      </c>
      <c r="F8449" t="s">
        <v>83</v>
      </c>
      <c r="G8449">
        <v>51</v>
      </c>
      <c r="H8449">
        <v>32999</v>
      </c>
      <c r="I8449" t="s">
        <v>4675</v>
      </c>
      <c r="J8449">
        <v>88</v>
      </c>
      <c r="K8449">
        <v>72</v>
      </c>
      <c r="L8449">
        <v>98</v>
      </c>
      <c r="M8449">
        <v>632</v>
      </c>
      <c r="N8449" t="s">
        <v>87</v>
      </c>
      <c r="O8449" t="s">
        <v>86</v>
      </c>
      <c r="P8449">
        <v>131</v>
      </c>
      <c r="Q8449">
        <v>6</v>
      </c>
      <c r="R8449">
        <v>35</v>
      </c>
      <c r="S8449">
        <v>1440</v>
      </c>
      <c r="T8449">
        <v>-40</v>
      </c>
      <c r="U8449">
        <v>45</v>
      </c>
      <c r="V8449">
        <v>280</v>
      </c>
      <c r="W8449">
        <v>27</v>
      </c>
      <c r="X8449">
        <v>27</v>
      </c>
      <c r="Y8449">
        <v>1</v>
      </c>
      <c r="Z8449">
        <v>8</v>
      </c>
      <c r="AA8449">
        <v>24</v>
      </c>
      <c r="AB8449">
        <v>1</v>
      </c>
      <c r="AC8449">
        <v>3</v>
      </c>
      <c r="AD8449">
        <v>3.3010001199999999</v>
      </c>
      <c r="AE8449">
        <v>1</v>
      </c>
      <c r="AF8449">
        <v>38</v>
      </c>
      <c r="AG8449">
        <v>3.2950000799999999</v>
      </c>
      <c r="AH8449">
        <v>4</v>
      </c>
      <c r="AI8449">
        <v>17</v>
      </c>
      <c r="AJ8449">
        <v>1</v>
      </c>
      <c r="AK8449">
        <v>22</v>
      </c>
      <c r="AL8449">
        <v>39</v>
      </c>
      <c r="AM8449" t="s">
        <v>43</v>
      </c>
      <c r="AN8449" t="str">
        <f>HYPERLINK("https://www.google.com/maps?q=10.78296947,79.18245697","Open Location")</f>
        <v>Open Location</v>
      </c>
    </row>
    <row r="8450" spans="1:40" x14ac:dyDescent="0.3">
      <c r="A8450" s="1">
        <v>46210.021296296298</v>
      </c>
      <c r="B8450" t="s">
        <v>40</v>
      </c>
      <c r="C8450" t="s">
        <v>41</v>
      </c>
      <c r="D8450" s="1">
        <v>46210.02416666667</v>
      </c>
      <c r="E8450" t="s">
        <v>42</v>
      </c>
      <c r="F8450" t="s">
        <v>83</v>
      </c>
      <c r="G8450">
        <v>51</v>
      </c>
      <c r="H8450">
        <v>32999</v>
      </c>
      <c r="I8450" t="s">
        <v>4676</v>
      </c>
      <c r="J8450">
        <v>88</v>
      </c>
      <c r="K8450">
        <v>91</v>
      </c>
      <c r="L8450">
        <v>98</v>
      </c>
      <c r="M8450">
        <v>631.40002441000001</v>
      </c>
      <c r="N8450" t="s">
        <v>87</v>
      </c>
      <c r="O8450" t="s">
        <v>86</v>
      </c>
      <c r="P8450">
        <v>131</v>
      </c>
      <c r="Q8450">
        <v>6</v>
      </c>
      <c r="R8450">
        <v>38</v>
      </c>
      <c r="S8450">
        <v>1413</v>
      </c>
      <c r="T8450">
        <v>-40</v>
      </c>
      <c r="U8450">
        <v>45</v>
      </c>
      <c r="V8450">
        <v>360</v>
      </c>
      <c r="W8450">
        <v>27</v>
      </c>
      <c r="X8450">
        <v>27</v>
      </c>
      <c r="Y8450">
        <v>1</v>
      </c>
      <c r="Z8450">
        <v>8</v>
      </c>
      <c r="AA8450">
        <v>24</v>
      </c>
      <c r="AB8450">
        <v>1</v>
      </c>
      <c r="AC8450">
        <v>3</v>
      </c>
      <c r="AD8450">
        <v>3.3020000500000002</v>
      </c>
      <c r="AE8450">
        <v>1</v>
      </c>
      <c r="AF8450">
        <v>44</v>
      </c>
      <c r="AG8450">
        <v>3.2950000799999999</v>
      </c>
      <c r="AH8450">
        <v>4</v>
      </c>
      <c r="AI8450">
        <v>17</v>
      </c>
      <c r="AJ8450">
        <v>1</v>
      </c>
      <c r="AK8450">
        <v>22</v>
      </c>
      <c r="AL8450">
        <v>39</v>
      </c>
      <c r="AM8450" t="s">
        <v>43</v>
      </c>
      <c r="AN8450" t="str">
        <f>HYPERLINK("https://www.google.com/maps?q=10.78273392,79.18089294","Open Location")</f>
        <v>Open Location</v>
      </c>
    </row>
    <row r="8451" spans="1:40" x14ac:dyDescent="0.3">
      <c r="A8451" s="1">
        <v>46210.021180555559</v>
      </c>
      <c r="B8451" t="s">
        <v>40</v>
      </c>
      <c r="C8451" t="s">
        <v>41</v>
      </c>
      <c r="D8451" s="1">
        <v>46210.024074074077</v>
      </c>
      <c r="E8451" t="s">
        <v>42</v>
      </c>
      <c r="F8451" t="s">
        <v>83</v>
      </c>
      <c r="G8451">
        <v>50</v>
      </c>
      <c r="H8451">
        <v>32998</v>
      </c>
      <c r="I8451" t="s">
        <v>4677</v>
      </c>
      <c r="J8451">
        <v>88</v>
      </c>
      <c r="K8451">
        <v>23</v>
      </c>
      <c r="L8451">
        <v>98</v>
      </c>
      <c r="M8451">
        <v>634.20001220999995</v>
      </c>
      <c r="N8451" t="s">
        <v>87</v>
      </c>
      <c r="O8451" t="s">
        <v>86</v>
      </c>
      <c r="P8451">
        <v>131</v>
      </c>
      <c r="Q8451">
        <v>6</v>
      </c>
      <c r="R8451">
        <v>29</v>
      </c>
      <c r="S8451">
        <v>1398</v>
      </c>
      <c r="T8451">
        <v>-40</v>
      </c>
      <c r="U8451">
        <v>46</v>
      </c>
      <c r="V8451">
        <v>80</v>
      </c>
      <c r="W8451">
        <v>27</v>
      </c>
      <c r="X8451">
        <v>27</v>
      </c>
      <c r="Y8451">
        <v>1</v>
      </c>
      <c r="Z8451">
        <v>8</v>
      </c>
      <c r="AA8451">
        <v>24</v>
      </c>
      <c r="AB8451">
        <v>1</v>
      </c>
      <c r="AC8451">
        <v>3</v>
      </c>
      <c r="AD8451">
        <v>3.3020000500000002</v>
      </c>
      <c r="AE8451">
        <v>1</v>
      </c>
      <c r="AF8451">
        <v>38</v>
      </c>
      <c r="AG8451">
        <v>3.2959999999999998</v>
      </c>
      <c r="AH8451">
        <v>4</v>
      </c>
      <c r="AI8451">
        <v>17</v>
      </c>
      <c r="AJ8451">
        <v>1</v>
      </c>
      <c r="AK8451">
        <v>27</v>
      </c>
      <c r="AL8451">
        <v>39</v>
      </c>
      <c r="AM8451" t="s">
        <v>43</v>
      </c>
      <c r="AN8451" t="str">
        <f>HYPERLINK("https://www.google.com/maps?q=10.78248501,79.17935944","Open Location")</f>
        <v>Open Location</v>
      </c>
    </row>
    <row r="8452" spans="1:40" x14ac:dyDescent="0.3">
      <c r="A8452" s="1">
        <v>46210.021064814813</v>
      </c>
      <c r="B8452" t="s">
        <v>40</v>
      </c>
      <c r="C8452" t="s">
        <v>41</v>
      </c>
      <c r="D8452" s="1">
        <v>46210.023888888885</v>
      </c>
      <c r="E8452" t="s">
        <v>42</v>
      </c>
      <c r="F8452" t="s">
        <v>83</v>
      </c>
      <c r="G8452">
        <v>49</v>
      </c>
      <c r="H8452">
        <v>32998</v>
      </c>
      <c r="I8452" t="s">
        <v>4678</v>
      </c>
      <c r="J8452">
        <v>88</v>
      </c>
      <c r="K8452">
        <v>94</v>
      </c>
      <c r="L8452">
        <v>98</v>
      </c>
      <c r="M8452">
        <v>631.40002441000001</v>
      </c>
      <c r="N8452" t="s">
        <v>87</v>
      </c>
      <c r="O8452" t="s">
        <v>86</v>
      </c>
      <c r="P8452">
        <v>131</v>
      </c>
      <c r="Q8452">
        <v>6</v>
      </c>
      <c r="R8452">
        <v>22</v>
      </c>
      <c r="S8452">
        <v>1391</v>
      </c>
      <c r="T8452">
        <v>-40</v>
      </c>
      <c r="U8452">
        <v>46</v>
      </c>
      <c r="V8452">
        <v>370</v>
      </c>
      <c r="W8452">
        <v>27</v>
      </c>
      <c r="X8452">
        <v>27</v>
      </c>
      <c r="Y8452">
        <v>1</v>
      </c>
      <c r="Z8452">
        <v>8</v>
      </c>
      <c r="AA8452">
        <v>24</v>
      </c>
      <c r="AB8452">
        <v>1</v>
      </c>
      <c r="AC8452">
        <v>3</v>
      </c>
      <c r="AD8452">
        <v>3.2999999500000001</v>
      </c>
      <c r="AE8452">
        <v>1</v>
      </c>
      <c r="AF8452">
        <v>38</v>
      </c>
      <c r="AG8452">
        <v>3.2939999100000001</v>
      </c>
      <c r="AH8452">
        <v>4</v>
      </c>
      <c r="AI8452">
        <v>17</v>
      </c>
      <c r="AJ8452">
        <v>1</v>
      </c>
      <c r="AK8452">
        <v>28</v>
      </c>
      <c r="AL8452">
        <v>39</v>
      </c>
      <c r="AM8452" t="s">
        <v>43</v>
      </c>
      <c r="AN8452" t="str">
        <f>HYPERLINK("https://www.google.com/maps?q=10.78223991,79.17785645","Open Location")</f>
        <v>Open Location</v>
      </c>
    </row>
    <row r="8453" spans="1:40" x14ac:dyDescent="0.3">
      <c r="A8453" s="1">
        <v>46210.020949074074</v>
      </c>
      <c r="B8453" t="s">
        <v>40</v>
      </c>
      <c r="C8453" t="s">
        <v>41</v>
      </c>
      <c r="D8453" s="1">
        <v>46210.023680555554</v>
      </c>
      <c r="E8453" t="s">
        <v>42</v>
      </c>
      <c r="F8453" t="s">
        <v>83</v>
      </c>
      <c r="G8453">
        <v>48</v>
      </c>
      <c r="H8453">
        <v>32998</v>
      </c>
      <c r="I8453" t="s">
        <v>43</v>
      </c>
      <c r="J8453">
        <v>88</v>
      </c>
      <c r="K8453">
        <v>87</v>
      </c>
      <c r="L8453">
        <v>98</v>
      </c>
      <c r="M8453">
        <v>631.5</v>
      </c>
      <c r="N8453" t="s">
        <v>87</v>
      </c>
      <c r="O8453" t="s">
        <v>86</v>
      </c>
      <c r="P8453">
        <v>131</v>
      </c>
      <c r="Q8453">
        <v>6</v>
      </c>
      <c r="R8453">
        <v>50</v>
      </c>
      <c r="S8453">
        <v>1368</v>
      </c>
      <c r="T8453">
        <v>-40</v>
      </c>
      <c r="U8453">
        <v>46</v>
      </c>
      <c r="V8453">
        <v>360</v>
      </c>
      <c r="W8453">
        <v>27</v>
      </c>
      <c r="X8453">
        <v>27</v>
      </c>
      <c r="Y8453">
        <v>1</v>
      </c>
      <c r="Z8453">
        <v>8</v>
      </c>
      <c r="AA8453">
        <v>24</v>
      </c>
      <c r="AB8453">
        <v>1</v>
      </c>
      <c r="AC8453">
        <v>3</v>
      </c>
      <c r="AD8453">
        <v>3.2980000999999999</v>
      </c>
      <c r="AE8453">
        <v>1</v>
      </c>
      <c r="AF8453">
        <v>44</v>
      </c>
      <c r="AG8453">
        <v>3.2899999599999998</v>
      </c>
      <c r="AH8453">
        <v>4</v>
      </c>
      <c r="AI8453">
        <v>17</v>
      </c>
      <c r="AJ8453">
        <v>1</v>
      </c>
      <c r="AK8453">
        <v>27</v>
      </c>
      <c r="AL8453">
        <v>39</v>
      </c>
      <c r="AM8453" t="s">
        <v>43</v>
      </c>
      <c r="AN8453" t="s">
        <v>43</v>
      </c>
    </row>
    <row r="8454" spans="1:40" x14ac:dyDescent="0.3">
      <c r="A8454" s="1">
        <v>46210.020833333336</v>
      </c>
      <c r="B8454" t="s">
        <v>40</v>
      </c>
      <c r="C8454" t="s">
        <v>41</v>
      </c>
      <c r="D8454" s="1">
        <v>46210.023599537039</v>
      </c>
      <c r="E8454" t="s">
        <v>42</v>
      </c>
      <c r="F8454" t="s">
        <v>83</v>
      </c>
      <c r="G8454">
        <v>45</v>
      </c>
      <c r="H8454">
        <v>32998</v>
      </c>
      <c r="I8454" t="s">
        <v>4679</v>
      </c>
      <c r="J8454">
        <v>88</v>
      </c>
      <c r="K8454">
        <v>79</v>
      </c>
      <c r="L8454">
        <v>98</v>
      </c>
      <c r="M8454">
        <v>632.40002441000001</v>
      </c>
      <c r="N8454" t="s">
        <v>87</v>
      </c>
      <c r="O8454" t="s">
        <v>86</v>
      </c>
      <c r="P8454">
        <v>131</v>
      </c>
      <c r="Q8454">
        <v>6</v>
      </c>
      <c r="R8454">
        <v>54</v>
      </c>
      <c r="S8454">
        <v>1281</v>
      </c>
      <c r="T8454">
        <v>-40</v>
      </c>
      <c r="U8454">
        <v>47</v>
      </c>
      <c r="V8454">
        <v>340</v>
      </c>
      <c r="W8454">
        <v>27</v>
      </c>
      <c r="X8454">
        <v>27</v>
      </c>
      <c r="Y8454">
        <v>1</v>
      </c>
      <c r="Z8454">
        <v>8</v>
      </c>
      <c r="AA8454">
        <v>24</v>
      </c>
      <c r="AB8454">
        <v>1</v>
      </c>
      <c r="AC8454">
        <v>3</v>
      </c>
      <c r="AD8454">
        <v>3.2980000999999999</v>
      </c>
      <c r="AE8454">
        <v>1</v>
      </c>
      <c r="AF8454">
        <v>44</v>
      </c>
      <c r="AG8454">
        <v>3.28900003</v>
      </c>
      <c r="AH8454">
        <v>4</v>
      </c>
      <c r="AI8454">
        <v>17</v>
      </c>
      <c r="AJ8454">
        <v>1</v>
      </c>
      <c r="AK8454">
        <v>27</v>
      </c>
      <c r="AL8454">
        <v>39</v>
      </c>
      <c r="AM8454" t="s">
        <v>43</v>
      </c>
      <c r="AN8454" t="str">
        <f>HYPERLINK("https://www.google.com/maps?q=10.7819767,79.17640686","Open Location")</f>
        <v>Open Location</v>
      </c>
    </row>
    <row r="8455" spans="1:40" x14ac:dyDescent="0.3">
      <c r="A8455" s="1">
        <v>46210.02071759259</v>
      </c>
      <c r="B8455" t="s">
        <v>40</v>
      </c>
      <c r="C8455" t="s">
        <v>41</v>
      </c>
      <c r="D8455" s="1">
        <v>46210.023518518516</v>
      </c>
      <c r="E8455" t="s">
        <v>42</v>
      </c>
      <c r="F8455" t="s">
        <v>83</v>
      </c>
      <c r="G8455">
        <v>40</v>
      </c>
      <c r="H8455">
        <v>32998</v>
      </c>
      <c r="I8455" t="s">
        <v>4680</v>
      </c>
      <c r="J8455">
        <v>88</v>
      </c>
      <c r="K8455">
        <v>61</v>
      </c>
      <c r="L8455">
        <v>98</v>
      </c>
      <c r="M8455">
        <v>632.5</v>
      </c>
      <c r="N8455" t="s">
        <v>87</v>
      </c>
      <c r="O8455" t="s">
        <v>86</v>
      </c>
      <c r="P8455">
        <v>131</v>
      </c>
      <c r="Q8455">
        <v>6</v>
      </c>
      <c r="R8455">
        <v>66</v>
      </c>
      <c r="S8455">
        <v>1171</v>
      </c>
      <c r="T8455">
        <v>-40</v>
      </c>
      <c r="U8455">
        <v>46</v>
      </c>
      <c r="V8455">
        <v>280</v>
      </c>
      <c r="W8455">
        <v>27</v>
      </c>
      <c r="X8455">
        <v>27</v>
      </c>
      <c r="Y8455">
        <v>1</v>
      </c>
      <c r="Z8455">
        <v>8</v>
      </c>
      <c r="AA8455">
        <v>24</v>
      </c>
      <c r="AB8455">
        <v>1</v>
      </c>
      <c r="AC8455">
        <v>3</v>
      </c>
      <c r="AD8455">
        <v>3.3020000500000002</v>
      </c>
      <c r="AE8455">
        <v>1</v>
      </c>
      <c r="AF8455">
        <v>41</v>
      </c>
      <c r="AG8455">
        <v>3.2950000799999999</v>
      </c>
      <c r="AH8455">
        <v>8</v>
      </c>
      <c r="AI8455">
        <v>35</v>
      </c>
      <c r="AJ8455">
        <v>1</v>
      </c>
      <c r="AK8455">
        <v>27</v>
      </c>
      <c r="AL8455">
        <v>39</v>
      </c>
      <c r="AM8455" t="s">
        <v>43</v>
      </c>
      <c r="AN8455" t="str">
        <f>HYPERLINK("https://www.google.com/maps?q=10.78173828,79.17507172","Open Location")</f>
        <v>Open Location</v>
      </c>
    </row>
    <row r="8456" spans="1:40" x14ac:dyDescent="0.3">
      <c r="A8456" s="1">
        <v>46210.020601851851</v>
      </c>
      <c r="B8456" t="s">
        <v>40</v>
      </c>
      <c r="C8456" t="s">
        <v>41</v>
      </c>
      <c r="D8456" s="1">
        <v>46210.023252314815</v>
      </c>
      <c r="E8456" t="s">
        <v>42</v>
      </c>
      <c r="F8456" t="s">
        <v>83</v>
      </c>
      <c r="G8456">
        <v>34</v>
      </c>
      <c r="H8456">
        <v>32998</v>
      </c>
      <c r="I8456" t="s">
        <v>4681</v>
      </c>
      <c r="J8456">
        <v>88</v>
      </c>
      <c r="K8456">
        <v>101</v>
      </c>
      <c r="L8456">
        <v>98</v>
      </c>
      <c r="M8456">
        <v>631.59997558999999</v>
      </c>
      <c r="N8456" t="s">
        <v>87</v>
      </c>
      <c r="O8456" t="s">
        <v>86</v>
      </c>
      <c r="P8456">
        <v>130</v>
      </c>
      <c r="Q8456">
        <v>5</v>
      </c>
      <c r="R8456">
        <v>75</v>
      </c>
      <c r="S8456">
        <v>1731</v>
      </c>
      <c r="T8456">
        <v>-40</v>
      </c>
      <c r="U8456">
        <v>46</v>
      </c>
      <c r="V8456">
        <v>300</v>
      </c>
      <c r="W8456">
        <v>27</v>
      </c>
      <c r="X8456">
        <v>27</v>
      </c>
      <c r="Y8456">
        <v>1</v>
      </c>
      <c r="Z8456">
        <v>8</v>
      </c>
      <c r="AA8456">
        <v>24</v>
      </c>
      <c r="AB8456">
        <v>1</v>
      </c>
      <c r="AC8456">
        <v>3</v>
      </c>
      <c r="AD8456">
        <v>3.2980000999999999</v>
      </c>
      <c r="AE8456">
        <v>1</v>
      </c>
      <c r="AF8456">
        <v>41</v>
      </c>
      <c r="AG8456">
        <v>3.28900003</v>
      </c>
      <c r="AH8456">
        <v>4</v>
      </c>
      <c r="AI8456">
        <v>17</v>
      </c>
      <c r="AJ8456">
        <v>1</v>
      </c>
      <c r="AK8456">
        <v>22</v>
      </c>
      <c r="AL8456">
        <v>39</v>
      </c>
      <c r="AM8456" t="s">
        <v>43</v>
      </c>
      <c r="AN8456" t="str">
        <f>HYPERLINK("https://www.google.com/maps?q=10.78154469,79.17390442","Open Location")</f>
        <v>Open Location</v>
      </c>
    </row>
    <row r="8457" spans="1:40" x14ac:dyDescent="0.3">
      <c r="A8457" s="1">
        <v>46210.020486111112</v>
      </c>
      <c r="B8457" t="s">
        <v>40</v>
      </c>
      <c r="C8457" t="s">
        <v>41</v>
      </c>
      <c r="D8457" s="1">
        <v>46210.023530092592</v>
      </c>
      <c r="E8457" t="s">
        <v>42</v>
      </c>
      <c r="F8457" t="s">
        <v>83</v>
      </c>
      <c r="G8457">
        <v>34</v>
      </c>
      <c r="H8457" t="s">
        <v>43</v>
      </c>
      <c r="I8457" t="s">
        <v>4682</v>
      </c>
      <c r="J8457">
        <v>88</v>
      </c>
      <c r="K8457">
        <v>-36</v>
      </c>
      <c r="L8457">
        <v>98</v>
      </c>
      <c r="M8457">
        <v>637.79998779000005</v>
      </c>
      <c r="N8457" t="s">
        <v>87</v>
      </c>
      <c r="O8457" t="s">
        <v>86</v>
      </c>
      <c r="P8457">
        <v>131</v>
      </c>
      <c r="Q8457">
        <v>6</v>
      </c>
      <c r="R8457">
        <v>-30</v>
      </c>
      <c r="S8457">
        <v>864</v>
      </c>
      <c r="T8457">
        <v>-40</v>
      </c>
      <c r="U8457">
        <v>45</v>
      </c>
      <c r="V8457">
        <v>-300</v>
      </c>
      <c r="W8457">
        <v>27</v>
      </c>
      <c r="X8457">
        <v>27</v>
      </c>
      <c r="Y8457">
        <v>1</v>
      </c>
      <c r="Z8457">
        <v>8</v>
      </c>
      <c r="AA8457">
        <v>24</v>
      </c>
      <c r="AB8457">
        <v>1</v>
      </c>
      <c r="AC8457">
        <v>3</v>
      </c>
      <c r="AD8457">
        <v>3.3229999499999998</v>
      </c>
      <c r="AE8457">
        <v>1</v>
      </c>
      <c r="AF8457">
        <v>26</v>
      </c>
      <c r="AG8457">
        <v>3.3210001</v>
      </c>
      <c r="AH8457">
        <v>1</v>
      </c>
      <c r="AI8457">
        <v>14</v>
      </c>
      <c r="AJ8457">
        <v>1</v>
      </c>
      <c r="AK8457">
        <v>23</v>
      </c>
      <c r="AL8457">
        <v>39</v>
      </c>
      <c r="AM8457" t="s">
        <v>43</v>
      </c>
      <c r="AN8457" t="str">
        <f>HYPERLINK("https://www.google.com/maps?q=10.78136253,79.17280579","Open Location")</f>
        <v>Open Location</v>
      </c>
    </row>
    <row r="8458" spans="1:40" x14ac:dyDescent="0.3">
      <c r="A8458" s="1">
        <v>46210.020370370374</v>
      </c>
      <c r="B8458" t="s">
        <v>40</v>
      </c>
      <c r="C8458" t="s">
        <v>41</v>
      </c>
      <c r="D8458" s="1">
        <v>46210.023298611108</v>
      </c>
      <c r="E8458" t="s">
        <v>42</v>
      </c>
      <c r="F8458" t="s">
        <v>83</v>
      </c>
      <c r="G8458">
        <v>39</v>
      </c>
      <c r="H8458">
        <v>32998</v>
      </c>
      <c r="I8458" t="s">
        <v>43</v>
      </c>
      <c r="J8458">
        <v>88</v>
      </c>
      <c r="K8458">
        <v>19</v>
      </c>
      <c r="L8458">
        <v>98</v>
      </c>
      <c r="M8458">
        <v>635.20001220999995</v>
      </c>
      <c r="N8458" t="s">
        <v>87</v>
      </c>
      <c r="O8458" t="s">
        <v>86</v>
      </c>
      <c r="P8458">
        <v>131</v>
      </c>
      <c r="Q8458">
        <v>6</v>
      </c>
      <c r="R8458">
        <v>25</v>
      </c>
      <c r="S8458">
        <v>1096</v>
      </c>
      <c r="T8458">
        <v>-40</v>
      </c>
      <c r="U8458">
        <v>45</v>
      </c>
      <c r="V8458">
        <v>80</v>
      </c>
      <c r="W8458">
        <v>27</v>
      </c>
      <c r="X8458">
        <v>27</v>
      </c>
      <c r="Y8458">
        <v>1</v>
      </c>
      <c r="Z8458">
        <v>8</v>
      </c>
      <c r="AA8458">
        <v>24</v>
      </c>
      <c r="AB8458">
        <v>1</v>
      </c>
      <c r="AC8458">
        <v>3</v>
      </c>
      <c r="AD8458">
        <v>3.3050000700000002</v>
      </c>
      <c r="AE8458">
        <v>1</v>
      </c>
      <c r="AF8458">
        <v>41</v>
      </c>
      <c r="AG8458">
        <v>3.2990000199999998</v>
      </c>
      <c r="AH8458">
        <v>4</v>
      </c>
      <c r="AI8458">
        <v>17</v>
      </c>
      <c r="AJ8458">
        <v>1</v>
      </c>
      <c r="AK8458">
        <v>27</v>
      </c>
      <c r="AL8458">
        <v>39</v>
      </c>
      <c r="AM8458" t="s">
        <v>43</v>
      </c>
      <c r="AN8458" t="s">
        <v>43</v>
      </c>
    </row>
    <row r="8459" spans="1:40" x14ac:dyDescent="0.3">
      <c r="A8459" s="1">
        <v>46210.020254629628</v>
      </c>
      <c r="B8459" t="s">
        <v>40</v>
      </c>
      <c r="C8459" t="s">
        <v>41</v>
      </c>
      <c r="D8459" s="1">
        <v>46210.023298611108</v>
      </c>
      <c r="E8459" t="s">
        <v>42</v>
      </c>
      <c r="F8459" t="s">
        <v>83</v>
      </c>
      <c r="G8459">
        <v>35</v>
      </c>
      <c r="H8459">
        <v>32997</v>
      </c>
      <c r="I8459" t="s">
        <v>4683</v>
      </c>
      <c r="J8459">
        <v>88</v>
      </c>
      <c r="K8459">
        <v>0</v>
      </c>
      <c r="L8459">
        <v>98</v>
      </c>
      <c r="M8459">
        <v>634.59997558999999</v>
      </c>
      <c r="N8459" t="s">
        <v>87</v>
      </c>
      <c r="O8459" t="s">
        <v>86</v>
      </c>
      <c r="P8459">
        <v>130</v>
      </c>
      <c r="Q8459">
        <v>5</v>
      </c>
      <c r="R8459">
        <v>44</v>
      </c>
      <c r="S8459">
        <v>1044</v>
      </c>
      <c r="T8459">
        <v>-40</v>
      </c>
      <c r="U8459">
        <v>45</v>
      </c>
      <c r="V8459">
        <v>33</v>
      </c>
      <c r="W8459">
        <v>27</v>
      </c>
      <c r="X8459">
        <v>27</v>
      </c>
      <c r="Y8459">
        <v>1</v>
      </c>
      <c r="Z8459">
        <v>8</v>
      </c>
      <c r="AA8459">
        <v>24</v>
      </c>
      <c r="AB8459">
        <v>1</v>
      </c>
      <c r="AC8459">
        <v>3</v>
      </c>
      <c r="AD8459">
        <v>3.3059999900000001</v>
      </c>
      <c r="AE8459">
        <v>1</v>
      </c>
      <c r="AF8459">
        <v>39</v>
      </c>
      <c r="AG8459">
        <v>3.2999999500000001</v>
      </c>
      <c r="AH8459">
        <v>4</v>
      </c>
      <c r="AI8459">
        <v>17</v>
      </c>
      <c r="AJ8459">
        <v>1</v>
      </c>
      <c r="AK8459">
        <v>27</v>
      </c>
      <c r="AL8459">
        <v>39</v>
      </c>
      <c r="AM8459" t="s">
        <v>43</v>
      </c>
      <c r="AN8459" t="str">
        <f>HYPERLINK("https://www.google.com/maps?q=10.78124142,79.17162323","Open Location")</f>
        <v>Open Location</v>
      </c>
    </row>
    <row r="8460" spans="1:40" x14ac:dyDescent="0.3">
      <c r="A8460" s="1">
        <v>46210.020138888889</v>
      </c>
      <c r="B8460" t="s">
        <v>40</v>
      </c>
      <c r="C8460" t="s">
        <v>41</v>
      </c>
      <c r="D8460" s="1">
        <v>46210.022939814815</v>
      </c>
      <c r="E8460" t="s">
        <v>42</v>
      </c>
      <c r="F8460" t="s">
        <v>83</v>
      </c>
      <c r="G8460">
        <v>31</v>
      </c>
      <c r="H8460">
        <v>32997</v>
      </c>
      <c r="I8460" t="s">
        <v>4684</v>
      </c>
      <c r="J8460">
        <v>88</v>
      </c>
      <c r="K8460">
        <v>109</v>
      </c>
      <c r="L8460">
        <v>98</v>
      </c>
      <c r="M8460">
        <v>631.40002441000001</v>
      </c>
      <c r="N8460" t="s">
        <v>87</v>
      </c>
      <c r="O8460" t="s">
        <v>86</v>
      </c>
      <c r="P8460">
        <v>130</v>
      </c>
      <c r="Q8460">
        <v>5</v>
      </c>
      <c r="R8460">
        <v>56</v>
      </c>
      <c r="S8460">
        <v>1543</v>
      </c>
      <c r="T8460">
        <v>-40</v>
      </c>
      <c r="U8460">
        <v>46</v>
      </c>
      <c r="V8460">
        <v>380</v>
      </c>
      <c r="W8460">
        <v>27</v>
      </c>
      <c r="X8460">
        <v>27</v>
      </c>
      <c r="Y8460">
        <v>1</v>
      </c>
      <c r="Z8460">
        <v>8</v>
      </c>
      <c r="AA8460">
        <v>24</v>
      </c>
      <c r="AB8460">
        <v>1</v>
      </c>
      <c r="AC8460">
        <v>3</v>
      </c>
      <c r="AD8460">
        <v>3.2999999500000001</v>
      </c>
      <c r="AE8460">
        <v>1</v>
      </c>
      <c r="AF8460">
        <v>38</v>
      </c>
      <c r="AG8460">
        <v>3.2929999799999998</v>
      </c>
      <c r="AH8460">
        <v>4</v>
      </c>
      <c r="AI8460">
        <v>17</v>
      </c>
      <c r="AJ8460">
        <v>1</v>
      </c>
      <c r="AK8460">
        <v>27</v>
      </c>
      <c r="AL8460">
        <v>39</v>
      </c>
      <c r="AM8460" t="s">
        <v>43</v>
      </c>
      <c r="AN8460" t="str">
        <f>HYPERLINK("https://www.google.com/maps?q=10.78114414,79.17054749","Open Location")</f>
        <v>Open Location</v>
      </c>
    </row>
    <row r="8461" spans="1:40" x14ac:dyDescent="0.3">
      <c r="A8461" s="1">
        <v>46210.02002314815</v>
      </c>
      <c r="B8461" t="s">
        <v>40</v>
      </c>
      <c r="C8461" t="s">
        <v>41</v>
      </c>
      <c r="D8461" s="1">
        <v>46210.022939814815</v>
      </c>
      <c r="E8461" t="s">
        <v>42</v>
      </c>
      <c r="F8461" t="s">
        <v>83</v>
      </c>
      <c r="G8461">
        <v>26</v>
      </c>
      <c r="H8461" t="s">
        <v>43</v>
      </c>
      <c r="I8461" t="s">
        <v>4685</v>
      </c>
      <c r="J8461">
        <v>88</v>
      </c>
      <c r="K8461">
        <v>79</v>
      </c>
      <c r="L8461">
        <v>98</v>
      </c>
      <c r="M8461">
        <v>632.90002441000001</v>
      </c>
      <c r="N8461" t="s">
        <v>87</v>
      </c>
      <c r="O8461" t="s">
        <v>86</v>
      </c>
      <c r="P8461">
        <v>130</v>
      </c>
      <c r="Q8461">
        <v>5</v>
      </c>
      <c r="R8461">
        <v>44</v>
      </c>
      <c r="S8461">
        <v>1291</v>
      </c>
      <c r="T8461">
        <v>-40</v>
      </c>
      <c r="U8461">
        <v>46</v>
      </c>
      <c r="V8461">
        <v>340</v>
      </c>
      <c r="W8461">
        <v>27</v>
      </c>
      <c r="X8461">
        <v>27</v>
      </c>
      <c r="Y8461">
        <v>1</v>
      </c>
      <c r="Z8461">
        <v>8</v>
      </c>
      <c r="AA8461">
        <v>24</v>
      </c>
      <c r="AB8461">
        <v>1</v>
      </c>
      <c r="AC8461">
        <v>3</v>
      </c>
      <c r="AD8461">
        <v>3.3169999099999998</v>
      </c>
      <c r="AE8461">
        <v>1</v>
      </c>
      <c r="AF8461">
        <v>28</v>
      </c>
      <c r="AG8461">
        <v>3.31299996</v>
      </c>
      <c r="AH8461">
        <v>2</v>
      </c>
      <c r="AI8461">
        <v>10</v>
      </c>
      <c r="AJ8461">
        <v>1</v>
      </c>
      <c r="AK8461">
        <v>27</v>
      </c>
      <c r="AL8461">
        <v>39</v>
      </c>
      <c r="AM8461" t="s">
        <v>43</v>
      </c>
      <c r="AN8461" t="str">
        <f>HYPERLINK("https://www.google.com/maps?q=10.78098106,79.16962433","Open Location")</f>
        <v>Open Location</v>
      </c>
    </row>
    <row r="8462" spans="1:40" x14ac:dyDescent="0.3">
      <c r="A8462" s="1">
        <v>46210.019907407404</v>
      </c>
      <c r="B8462" t="s">
        <v>40</v>
      </c>
      <c r="C8462" t="s">
        <v>41</v>
      </c>
      <c r="D8462" s="1">
        <v>46210.022835648146</v>
      </c>
      <c r="E8462" t="s">
        <v>42</v>
      </c>
      <c r="F8462" t="s">
        <v>83</v>
      </c>
      <c r="G8462">
        <v>16</v>
      </c>
      <c r="H8462">
        <v>32997</v>
      </c>
      <c r="I8462" t="s">
        <v>4686</v>
      </c>
      <c r="J8462">
        <v>88</v>
      </c>
      <c r="K8462">
        <v>96</v>
      </c>
      <c r="L8462">
        <v>98</v>
      </c>
      <c r="M8462">
        <v>632.20001220999995</v>
      </c>
      <c r="N8462" t="s">
        <v>87</v>
      </c>
      <c r="O8462" t="s">
        <v>86</v>
      </c>
      <c r="P8462">
        <v>129</v>
      </c>
      <c r="Q8462">
        <v>4</v>
      </c>
      <c r="R8462">
        <v>45</v>
      </c>
      <c r="S8462">
        <v>1605</v>
      </c>
      <c r="T8462">
        <v>-40</v>
      </c>
      <c r="U8462">
        <v>45</v>
      </c>
      <c r="V8462">
        <v>340</v>
      </c>
      <c r="W8462">
        <v>27</v>
      </c>
      <c r="X8462">
        <v>27</v>
      </c>
      <c r="Y8462">
        <v>1</v>
      </c>
      <c r="Z8462">
        <v>8</v>
      </c>
      <c r="AA8462">
        <v>24</v>
      </c>
      <c r="AB8462">
        <v>1</v>
      </c>
      <c r="AC8462">
        <v>3</v>
      </c>
      <c r="AD8462">
        <v>3.30699992</v>
      </c>
      <c r="AE8462">
        <v>1</v>
      </c>
      <c r="AF8462">
        <v>38</v>
      </c>
      <c r="AG8462">
        <v>3.2929999799999998</v>
      </c>
      <c r="AH8462">
        <v>4</v>
      </c>
      <c r="AI8462">
        <v>17</v>
      </c>
      <c r="AJ8462">
        <v>1</v>
      </c>
      <c r="AK8462">
        <v>27</v>
      </c>
      <c r="AL8462">
        <v>39</v>
      </c>
      <c r="AM8462" t="s">
        <v>43</v>
      </c>
      <c r="AN8462" t="str">
        <f>HYPERLINK("https://www.google.com/maps?q=10.78083229,79.16896057","Open Location")</f>
        <v>Open Location</v>
      </c>
    </row>
    <row r="8463" spans="1:40" x14ac:dyDescent="0.3">
      <c r="A8463" s="1">
        <v>46210.019791666666</v>
      </c>
      <c r="B8463" t="s">
        <v>40</v>
      </c>
      <c r="C8463" t="s">
        <v>41</v>
      </c>
      <c r="D8463" s="1">
        <v>46210.022719907407</v>
      </c>
      <c r="E8463" t="s">
        <v>42</v>
      </c>
      <c r="F8463" t="s">
        <v>83</v>
      </c>
      <c r="G8463">
        <v>6</v>
      </c>
      <c r="H8463">
        <v>32997</v>
      </c>
      <c r="I8463" t="s">
        <v>4687</v>
      </c>
      <c r="J8463">
        <v>88</v>
      </c>
      <c r="K8463">
        <v>-7</v>
      </c>
      <c r="L8463">
        <v>98</v>
      </c>
      <c r="M8463">
        <v>636.79998779000005</v>
      </c>
      <c r="N8463" t="s">
        <v>87</v>
      </c>
      <c r="O8463" t="s">
        <v>86</v>
      </c>
      <c r="P8463">
        <v>127</v>
      </c>
      <c r="Q8463">
        <v>2</v>
      </c>
      <c r="R8463">
        <v>0</v>
      </c>
      <c r="S8463">
        <v>1222</v>
      </c>
      <c r="T8463">
        <v>-40</v>
      </c>
      <c r="U8463">
        <v>44</v>
      </c>
      <c r="V8463">
        <v>-49</v>
      </c>
      <c r="W8463">
        <v>27</v>
      </c>
      <c r="X8463">
        <v>27</v>
      </c>
      <c r="Y8463">
        <v>1</v>
      </c>
      <c r="Z8463">
        <v>8</v>
      </c>
      <c r="AA8463">
        <v>24</v>
      </c>
      <c r="AB8463">
        <v>1</v>
      </c>
      <c r="AC8463">
        <v>3</v>
      </c>
      <c r="AD8463">
        <v>3.31599998</v>
      </c>
      <c r="AE8463">
        <v>1</v>
      </c>
      <c r="AF8463">
        <v>41</v>
      </c>
      <c r="AG8463">
        <v>3.31200004</v>
      </c>
      <c r="AH8463">
        <v>4</v>
      </c>
      <c r="AI8463">
        <v>17</v>
      </c>
      <c r="AJ8463">
        <v>1</v>
      </c>
      <c r="AK8463">
        <v>22</v>
      </c>
      <c r="AL8463">
        <v>39</v>
      </c>
      <c r="AM8463" t="s">
        <v>43</v>
      </c>
      <c r="AN8463" t="str">
        <f>HYPERLINK("https://www.google.com/maps?q=10.78076363,79.16867065","Open Location")</f>
        <v>Open Location</v>
      </c>
    </row>
    <row r="8464" spans="1:40" x14ac:dyDescent="0.3">
      <c r="A8464" s="1">
        <v>46210.019675925927</v>
      </c>
      <c r="B8464" t="s">
        <v>40</v>
      </c>
      <c r="C8464" t="s">
        <v>41</v>
      </c>
      <c r="D8464" s="1">
        <v>46210.022824074076</v>
      </c>
      <c r="E8464" t="s">
        <v>42</v>
      </c>
      <c r="F8464" t="s">
        <v>83</v>
      </c>
      <c r="G8464">
        <v>14</v>
      </c>
      <c r="H8464" t="s">
        <v>43</v>
      </c>
      <c r="I8464" t="s">
        <v>43</v>
      </c>
      <c r="J8464">
        <v>88</v>
      </c>
      <c r="K8464">
        <v>11</v>
      </c>
      <c r="L8464">
        <v>98</v>
      </c>
      <c r="M8464">
        <v>636.59997558999999</v>
      </c>
      <c r="N8464" t="s">
        <v>87</v>
      </c>
      <c r="O8464" t="s">
        <v>86</v>
      </c>
      <c r="P8464">
        <v>131</v>
      </c>
      <c r="Q8464">
        <v>3</v>
      </c>
      <c r="R8464">
        <v>-2</v>
      </c>
      <c r="S8464">
        <v>639</v>
      </c>
      <c r="T8464">
        <v>-40</v>
      </c>
      <c r="U8464">
        <v>45</v>
      </c>
      <c r="V8464">
        <v>0</v>
      </c>
      <c r="W8464">
        <v>27</v>
      </c>
      <c r="X8464">
        <v>27</v>
      </c>
      <c r="Y8464">
        <v>1</v>
      </c>
      <c r="Z8464">
        <v>8</v>
      </c>
      <c r="AA8464">
        <v>24</v>
      </c>
      <c r="AB8464">
        <v>1</v>
      </c>
      <c r="AC8464">
        <v>3</v>
      </c>
      <c r="AD8464">
        <v>3.3239998800000001</v>
      </c>
      <c r="AE8464">
        <v>1</v>
      </c>
      <c r="AF8464">
        <v>26</v>
      </c>
      <c r="AG8464">
        <v>3.3220000299999999</v>
      </c>
      <c r="AH8464">
        <v>1</v>
      </c>
      <c r="AI8464">
        <v>21</v>
      </c>
      <c r="AJ8464">
        <v>1</v>
      </c>
      <c r="AK8464">
        <v>27</v>
      </c>
      <c r="AL8464">
        <v>39</v>
      </c>
      <c r="AM8464" t="s">
        <v>43</v>
      </c>
      <c r="AN8464" t="s">
        <v>43</v>
      </c>
    </row>
    <row r="8465" spans="1:40" x14ac:dyDescent="0.3">
      <c r="A8465" s="1">
        <v>46210.019560185188</v>
      </c>
      <c r="B8465" t="s">
        <v>40</v>
      </c>
      <c r="C8465" t="s">
        <v>41</v>
      </c>
      <c r="D8465" s="1">
        <v>46210.022256944445</v>
      </c>
      <c r="E8465" t="s">
        <v>42</v>
      </c>
      <c r="F8465" t="s">
        <v>83</v>
      </c>
      <c r="G8465">
        <v>23</v>
      </c>
      <c r="H8465">
        <v>32997</v>
      </c>
      <c r="I8465" t="s">
        <v>4688</v>
      </c>
      <c r="J8465">
        <v>88</v>
      </c>
      <c r="K8465">
        <v>-20</v>
      </c>
      <c r="L8465">
        <v>98</v>
      </c>
      <c r="M8465">
        <v>637.5</v>
      </c>
      <c r="N8465" t="s">
        <v>87</v>
      </c>
      <c r="O8465" t="s">
        <v>86</v>
      </c>
      <c r="P8465">
        <v>131</v>
      </c>
      <c r="Q8465">
        <v>4</v>
      </c>
      <c r="R8465">
        <v>-21</v>
      </c>
      <c r="S8465">
        <v>566</v>
      </c>
      <c r="T8465">
        <v>-40</v>
      </c>
      <c r="U8465">
        <v>45</v>
      </c>
      <c r="V8465">
        <v>-300</v>
      </c>
      <c r="W8465">
        <v>27</v>
      </c>
      <c r="X8465">
        <v>27</v>
      </c>
      <c r="Y8465">
        <v>1</v>
      </c>
      <c r="Z8465">
        <v>8</v>
      </c>
      <c r="AA8465">
        <v>24</v>
      </c>
      <c r="AB8465">
        <v>1</v>
      </c>
      <c r="AC8465">
        <v>3</v>
      </c>
      <c r="AD8465" t="s">
        <v>43</v>
      </c>
      <c r="AE8465" t="s">
        <v>43</v>
      </c>
      <c r="AF8465" t="s">
        <v>43</v>
      </c>
      <c r="AG8465" t="s">
        <v>43</v>
      </c>
      <c r="AH8465" t="s">
        <v>43</v>
      </c>
      <c r="AI8465" t="s">
        <v>43</v>
      </c>
      <c r="AJ8465">
        <v>1</v>
      </c>
      <c r="AK8465">
        <v>30</v>
      </c>
      <c r="AL8465">
        <v>39</v>
      </c>
      <c r="AM8465" t="s">
        <v>43</v>
      </c>
      <c r="AN8465" t="str">
        <f>HYPERLINK("https://www.google.com/maps?q=10.78081322,79.16831207","Open Location")</f>
        <v>Open Location</v>
      </c>
    </row>
    <row r="8466" spans="1:40" x14ac:dyDescent="0.3">
      <c r="A8466" s="1">
        <v>46210.019444444442</v>
      </c>
      <c r="B8466" t="s">
        <v>40</v>
      </c>
      <c r="C8466" t="s">
        <v>41</v>
      </c>
      <c r="D8466" s="1">
        <v>46210.022280092591</v>
      </c>
      <c r="E8466" t="s">
        <v>42</v>
      </c>
      <c r="F8466" t="s">
        <v>83</v>
      </c>
      <c r="G8466">
        <v>32</v>
      </c>
      <c r="H8466">
        <v>32997</v>
      </c>
      <c r="I8466" t="s">
        <v>4689</v>
      </c>
      <c r="J8466">
        <v>88</v>
      </c>
      <c r="K8466">
        <v>-31</v>
      </c>
      <c r="L8466">
        <v>98</v>
      </c>
      <c r="M8466">
        <v>638</v>
      </c>
      <c r="N8466" t="s">
        <v>87</v>
      </c>
      <c r="O8466" t="s">
        <v>86</v>
      </c>
      <c r="P8466">
        <v>131</v>
      </c>
      <c r="Q8466">
        <v>6</v>
      </c>
      <c r="R8466">
        <v>-28</v>
      </c>
      <c r="S8466">
        <v>791</v>
      </c>
      <c r="T8466">
        <v>-40</v>
      </c>
      <c r="U8466">
        <v>45</v>
      </c>
      <c r="V8466">
        <v>-300</v>
      </c>
      <c r="W8466">
        <v>27</v>
      </c>
      <c r="X8466">
        <v>27</v>
      </c>
      <c r="Y8466">
        <v>1</v>
      </c>
      <c r="Z8466">
        <v>8</v>
      </c>
      <c r="AA8466">
        <v>24</v>
      </c>
      <c r="AB8466">
        <v>1</v>
      </c>
      <c r="AC8466">
        <v>3</v>
      </c>
      <c r="AD8466">
        <v>3.3239998800000001</v>
      </c>
      <c r="AE8466">
        <v>1</v>
      </c>
      <c r="AF8466">
        <v>3</v>
      </c>
      <c r="AG8466">
        <v>3.3220000299999999</v>
      </c>
      <c r="AH8466">
        <v>2</v>
      </c>
      <c r="AI8466">
        <v>48</v>
      </c>
      <c r="AJ8466">
        <v>1</v>
      </c>
      <c r="AK8466">
        <v>28</v>
      </c>
      <c r="AL8466">
        <v>39</v>
      </c>
      <c r="AM8466" t="s">
        <v>43</v>
      </c>
      <c r="AN8466" t="str">
        <f>HYPERLINK("https://www.google.com/maps?q=10.78146553,79.16868591","Open Location")</f>
        <v>Open Location</v>
      </c>
    </row>
    <row r="8467" spans="1:40" x14ac:dyDescent="0.3">
      <c r="A8467" s="1">
        <v>46210.019328703704</v>
      </c>
      <c r="B8467" t="s">
        <v>40</v>
      </c>
      <c r="C8467" t="s">
        <v>41</v>
      </c>
      <c r="D8467" s="1">
        <v>46210.022465277776</v>
      </c>
      <c r="E8467" t="s">
        <v>42</v>
      </c>
      <c r="F8467" t="s">
        <v>83</v>
      </c>
      <c r="G8467">
        <v>40</v>
      </c>
      <c r="H8467">
        <v>32997</v>
      </c>
      <c r="I8467" t="s">
        <v>4690</v>
      </c>
      <c r="J8467">
        <v>88</v>
      </c>
      <c r="K8467">
        <v>-42</v>
      </c>
      <c r="L8467">
        <v>98</v>
      </c>
      <c r="M8467">
        <v>637.20001220999995</v>
      </c>
      <c r="N8467" t="s">
        <v>87</v>
      </c>
      <c r="O8467" t="s">
        <v>86</v>
      </c>
      <c r="P8467">
        <v>131</v>
      </c>
      <c r="Q8467">
        <v>6</v>
      </c>
      <c r="R8467">
        <v>-36</v>
      </c>
      <c r="S8467">
        <v>1035</v>
      </c>
      <c r="T8467">
        <v>-40</v>
      </c>
      <c r="U8467">
        <v>45</v>
      </c>
      <c r="V8467">
        <v>-300</v>
      </c>
      <c r="W8467">
        <v>27</v>
      </c>
      <c r="X8467">
        <v>27</v>
      </c>
      <c r="Y8467">
        <v>1</v>
      </c>
      <c r="Z8467">
        <v>8</v>
      </c>
      <c r="AA8467">
        <v>24</v>
      </c>
      <c r="AB8467">
        <v>1</v>
      </c>
      <c r="AC8467">
        <v>3</v>
      </c>
      <c r="AD8467">
        <v>3.3239998800000001</v>
      </c>
      <c r="AE8467">
        <v>1</v>
      </c>
      <c r="AF8467">
        <v>26</v>
      </c>
      <c r="AG8467">
        <v>3.3210001</v>
      </c>
      <c r="AH8467">
        <v>2</v>
      </c>
      <c r="AI8467">
        <v>48</v>
      </c>
      <c r="AJ8467">
        <v>1</v>
      </c>
      <c r="AK8467">
        <v>28</v>
      </c>
      <c r="AL8467">
        <v>39</v>
      </c>
      <c r="AM8467" t="s">
        <v>43</v>
      </c>
      <c r="AN8467" t="str">
        <f>HYPERLINK("https://www.google.com/maps?q=10.78233433,79.16934204","Open Location")</f>
        <v>Open Location</v>
      </c>
    </row>
    <row r="8468" spans="1:40" x14ac:dyDescent="0.3">
      <c r="A8468" s="1">
        <v>46210.019212962965</v>
      </c>
      <c r="B8468" t="s">
        <v>40</v>
      </c>
      <c r="C8468" t="s">
        <v>41</v>
      </c>
      <c r="D8468" s="1">
        <v>46210.022268518522</v>
      </c>
      <c r="E8468" t="s">
        <v>42</v>
      </c>
      <c r="F8468" t="s">
        <v>83</v>
      </c>
      <c r="G8468">
        <v>43</v>
      </c>
      <c r="H8468">
        <v>32997</v>
      </c>
      <c r="I8468" t="s">
        <v>4691</v>
      </c>
      <c r="J8468">
        <v>88</v>
      </c>
      <c r="K8468">
        <v>46</v>
      </c>
      <c r="L8468">
        <v>98</v>
      </c>
      <c r="M8468">
        <v>632.79998779000005</v>
      </c>
      <c r="N8468" t="s">
        <v>87</v>
      </c>
      <c r="O8468" t="s">
        <v>86</v>
      </c>
      <c r="P8468">
        <v>131</v>
      </c>
      <c r="Q8468">
        <v>6</v>
      </c>
      <c r="R8468">
        <v>53</v>
      </c>
      <c r="S8468">
        <v>1230</v>
      </c>
      <c r="T8468">
        <v>-40</v>
      </c>
      <c r="U8468">
        <v>47</v>
      </c>
      <c r="V8468">
        <v>200</v>
      </c>
      <c r="W8468">
        <v>27</v>
      </c>
      <c r="X8468">
        <v>27</v>
      </c>
      <c r="Y8468">
        <v>1</v>
      </c>
      <c r="Z8468">
        <v>8</v>
      </c>
      <c r="AA8468">
        <v>24</v>
      </c>
      <c r="AB8468">
        <v>1</v>
      </c>
      <c r="AC8468">
        <v>3</v>
      </c>
      <c r="AD8468">
        <v>3.3190000099999999</v>
      </c>
      <c r="AE8468">
        <v>1</v>
      </c>
      <c r="AF8468">
        <v>5</v>
      </c>
      <c r="AG8468">
        <v>3.3169999099999998</v>
      </c>
      <c r="AH8468">
        <v>2</v>
      </c>
      <c r="AI8468">
        <v>27</v>
      </c>
      <c r="AJ8468">
        <v>1</v>
      </c>
      <c r="AK8468">
        <v>29</v>
      </c>
      <c r="AL8468">
        <v>39</v>
      </c>
      <c r="AM8468" t="s">
        <v>43</v>
      </c>
      <c r="AN8468" t="str">
        <f>HYPERLINK("https://www.google.com/maps?q=10.78338528,79.17014313","Open Location")</f>
        <v>Open Location</v>
      </c>
    </row>
    <row r="8469" spans="1:40" x14ac:dyDescent="0.3">
      <c r="A8469" s="1">
        <v>46210.019097222219</v>
      </c>
      <c r="B8469" t="s">
        <v>40</v>
      </c>
      <c r="C8469" t="s">
        <v>41</v>
      </c>
      <c r="D8469" s="1">
        <v>46210.022094907406</v>
      </c>
      <c r="E8469" t="s">
        <v>42</v>
      </c>
      <c r="F8469" t="s">
        <v>83</v>
      </c>
      <c r="G8469">
        <v>39</v>
      </c>
      <c r="H8469">
        <v>32997</v>
      </c>
      <c r="I8469" t="s">
        <v>4692</v>
      </c>
      <c r="J8469">
        <v>88</v>
      </c>
      <c r="K8469">
        <v>93</v>
      </c>
      <c r="L8469">
        <v>98</v>
      </c>
      <c r="M8469">
        <v>631.09997558999999</v>
      </c>
      <c r="N8469" t="s">
        <v>87</v>
      </c>
      <c r="O8469" t="s">
        <v>86</v>
      </c>
      <c r="P8469">
        <v>131</v>
      </c>
      <c r="Q8469">
        <v>6</v>
      </c>
      <c r="R8469">
        <v>59</v>
      </c>
      <c r="S8469">
        <v>1132</v>
      </c>
      <c r="T8469">
        <v>-40</v>
      </c>
      <c r="U8469">
        <v>46</v>
      </c>
      <c r="V8469">
        <v>440</v>
      </c>
      <c r="W8469">
        <v>27</v>
      </c>
      <c r="X8469">
        <v>27</v>
      </c>
      <c r="Y8469">
        <v>1</v>
      </c>
      <c r="Z8469">
        <v>8</v>
      </c>
      <c r="AA8469">
        <v>24</v>
      </c>
      <c r="AB8469">
        <v>1</v>
      </c>
      <c r="AC8469">
        <v>3</v>
      </c>
      <c r="AD8469">
        <v>3.2950000799999999</v>
      </c>
      <c r="AE8469">
        <v>1</v>
      </c>
      <c r="AF8469">
        <v>41</v>
      </c>
      <c r="AG8469">
        <v>3.2869999399999998</v>
      </c>
      <c r="AH8469">
        <v>4</v>
      </c>
      <c r="AI8469">
        <v>17</v>
      </c>
      <c r="AJ8469">
        <v>1</v>
      </c>
      <c r="AK8469">
        <v>27</v>
      </c>
      <c r="AL8469">
        <v>39</v>
      </c>
      <c r="AM8469" t="s">
        <v>43</v>
      </c>
      <c r="AN8469" t="str">
        <f>HYPERLINK("https://www.google.com/maps?q=10.78435135,79.17089081","Open Location")</f>
        <v>Open Location</v>
      </c>
    </row>
    <row r="8470" spans="1:40" x14ac:dyDescent="0.3">
      <c r="A8470" s="1">
        <v>46210.01898148148</v>
      </c>
      <c r="B8470" t="s">
        <v>40</v>
      </c>
      <c r="C8470" t="s">
        <v>41</v>
      </c>
      <c r="D8470" s="1">
        <v>46210.021655092591</v>
      </c>
      <c r="E8470" t="s">
        <v>42</v>
      </c>
      <c r="F8470" t="s">
        <v>83</v>
      </c>
      <c r="G8470">
        <v>32</v>
      </c>
      <c r="H8470">
        <v>32997</v>
      </c>
      <c r="I8470" t="s">
        <v>43</v>
      </c>
      <c r="J8470">
        <v>88</v>
      </c>
      <c r="K8470">
        <v>143</v>
      </c>
      <c r="L8470">
        <v>98</v>
      </c>
      <c r="M8470">
        <v>629.40002441000001</v>
      </c>
      <c r="N8470" t="s">
        <v>87</v>
      </c>
      <c r="O8470" t="s">
        <v>86</v>
      </c>
      <c r="P8470">
        <v>130</v>
      </c>
      <c r="Q8470">
        <v>5</v>
      </c>
      <c r="R8470">
        <v>75</v>
      </c>
      <c r="S8470">
        <v>1628</v>
      </c>
      <c r="T8470">
        <v>-40</v>
      </c>
      <c r="U8470">
        <v>46</v>
      </c>
      <c r="V8470">
        <v>480</v>
      </c>
      <c r="W8470">
        <v>27</v>
      </c>
      <c r="X8470">
        <v>27</v>
      </c>
      <c r="Y8470">
        <v>1</v>
      </c>
      <c r="Z8470">
        <v>8</v>
      </c>
      <c r="AA8470">
        <v>24</v>
      </c>
      <c r="AB8470">
        <v>1</v>
      </c>
      <c r="AC8470">
        <v>3</v>
      </c>
      <c r="AD8470">
        <v>3.2869999399999998</v>
      </c>
      <c r="AE8470">
        <v>1</v>
      </c>
      <c r="AF8470">
        <v>44</v>
      </c>
      <c r="AG8470">
        <v>3.2750001000000002</v>
      </c>
      <c r="AH8470">
        <v>4</v>
      </c>
      <c r="AI8470">
        <v>17</v>
      </c>
      <c r="AJ8470">
        <v>1</v>
      </c>
      <c r="AK8470">
        <v>23</v>
      </c>
      <c r="AL8470">
        <v>39</v>
      </c>
      <c r="AM8470" t="s">
        <v>43</v>
      </c>
      <c r="AN8470" t="s">
        <v>43</v>
      </c>
    </row>
    <row r="8471" spans="1:40" x14ac:dyDescent="0.3">
      <c r="A8471" s="1">
        <v>46210.018865740742</v>
      </c>
      <c r="B8471" t="s">
        <v>40</v>
      </c>
      <c r="C8471" t="s">
        <v>41</v>
      </c>
      <c r="D8471" s="1">
        <v>46210.021666666667</v>
      </c>
      <c r="E8471" t="s">
        <v>42</v>
      </c>
      <c r="F8471" t="s">
        <v>83</v>
      </c>
      <c r="G8471">
        <v>18</v>
      </c>
      <c r="H8471">
        <v>32997</v>
      </c>
      <c r="I8471" t="s">
        <v>4693</v>
      </c>
      <c r="J8471">
        <v>88</v>
      </c>
      <c r="K8471">
        <v>29</v>
      </c>
      <c r="L8471">
        <v>98</v>
      </c>
      <c r="M8471">
        <v>635.40002441000001</v>
      </c>
      <c r="N8471" t="s">
        <v>87</v>
      </c>
      <c r="O8471" t="s">
        <v>86</v>
      </c>
      <c r="P8471">
        <v>129</v>
      </c>
      <c r="Q8471">
        <v>4</v>
      </c>
      <c r="R8471">
        <v>71</v>
      </c>
      <c r="S8471">
        <v>1796</v>
      </c>
      <c r="T8471">
        <v>-40</v>
      </c>
      <c r="U8471">
        <v>45</v>
      </c>
      <c r="V8471">
        <v>0</v>
      </c>
      <c r="W8471">
        <v>27</v>
      </c>
      <c r="X8471">
        <v>27</v>
      </c>
      <c r="Y8471">
        <v>1</v>
      </c>
      <c r="Z8471">
        <v>8</v>
      </c>
      <c r="AA8471">
        <v>24</v>
      </c>
      <c r="AB8471">
        <v>1</v>
      </c>
      <c r="AC8471">
        <v>3</v>
      </c>
      <c r="AD8471">
        <v>3.2939999100000001</v>
      </c>
      <c r="AE8471">
        <v>1</v>
      </c>
      <c r="AF8471">
        <v>38</v>
      </c>
      <c r="AG8471">
        <v>3.28500009</v>
      </c>
      <c r="AH8471">
        <v>4</v>
      </c>
      <c r="AI8471">
        <v>17</v>
      </c>
      <c r="AJ8471">
        <v>1</v>
      </c>
      <c r="AK8471">
        <v>24</v>
      </c>
      <c r="AL8471">
        <v>39</v>
      </c>
      <c r="AM8471" t="s">
        <v>43</v>
      </c>
      <c r="AN8471" t="str">
        <f>HYPERLINK("https://www.google.com/maps?q=10.78509998,79.17147827","Open Location")</f>
        <v>Open Location</v>
      </c>
    </row>
    <row r="8472" spans="1:40" x14ac:dyDescent="0.3">
      <c r="A8472" s="1">
        <v>46210.018750000003</v>
      </c>
      <c r="B8472" t="s">
        <v>40</v>
      </c>
      <c r="C8472" t="s">
        <v>41</v>
      </c>
      <c r="D8472" s="1">
        <v>46210.021851851852</v>
      </c>
      <c r="E8472" t="s">
        <v>42</v>
      </c>
      <c r="F8472" t="s">
        <v>83</v>
      </c>
      <c r="G8472">
        <v>15</v>
      </c>
      <c r="H8472" t="s">
        <v>43</v>
      </c>
      <c r="I8472" t="s">
        <v>4694</v>
      </c>
      <c r="J8472">
        <v>88</v>
      </c>
      <c r="K8472">
        <v>113</v>
      </c>
      <c r="L8472">
        <v>98</v>
      </c>
      <c r="M8472">
        <v>632.20001220999995</v>
      </c>
      <c r="N8472" t="s">
        <v>87</v>
      </c>
      <c r="O8472" t="s">
        <v>86</v>
      </c>
      <c r="P8472">
        <v>128</v>
      </c>
      <c r="Q8472">
        <v>3</v>
      </c>
      <c r="R8472">
        <v>81</v>
      </c>
      <c r="S8472">
        <v>1258</v>
      </c>
      <c r="T8472">
        <v>-40</v>
      </c>
      <c r="U8472">
        <v>45</v>
      </c>
      <c r="V8472">
        <v>480</v>
      </c>
      <c r="W8472">
        <v>27</v>
      </c>
      <c r="X8472">
        <v>27</v>
      </c>
      <c r="Y8472">
        <v>1</v>
      </c>
      <c r="Z8472">
        <v>8</v>
      </c>
      <c r="AA8472">
        <v>24</v>
      </c>
      <c r="AB8472">
        <v>1</v>
      </c>
      <c r="AC8472">
        <v>3</v>
      </c>
      <c r="AD8472">
        <v>3.3029999700000001</v>
      </c>
      <c r="AE8472">
        <v>1</v>
      </c>
      <c r="AF8472">
        <v>44</v>
      </c>
      <c r="AG8472">
        <v>3.2959999999999998</v>
      </c>
      <c r="AH8472">
        <v>4</v>
      </c>
      <c r="AI8472">
        <v>17</v>
      </c>
      <c r="AJ8472">
        <v>1</v>
      </c>
      <c r="AK8472">
        <v>23</v>
      </c>
      <c r="AL8472">
        <v>39</v>
      </c>
      <c r="AM8472" t="s">
        <v>43</v>
      </c>
      <c r="AN8472" t="str">
        <f>HYPERLINK("https://www.google.com/maps?q=10.78562355,79.17169952","Open Location")</f>
        <v>Open Location</v>
      </c>
    </row>
    <row r="8473" spans="1:40" x14ac:dyDescent="0.3">
      <c r="A8473" s="1">
        <v>46210.018634259257</v>
      </c>
      <c r="B8473" t="s">
        <v>40</v>
      </c>
      <c r="C8473" t="s">
        <v>41</v>
      </c>
      <c r="D8473" s="1">
        <v>46210.021608796298</v>
      </c>
      <c r="E8473" t="s">
        <v>42</v>
      </c>
      <c r="F8473" t="s">
        <v>83</v>
      </c>
      <c r="G8473">
        <v>8</v>
      </c>
      <c r="H8473">
        <v>32997</v>
      </c>
      <c r="I8473" t="s">
        <v>4695</v>
      </c>
      <c r="J8473">
        <v>89</v>
      </c>
      <c r="K8473">
        <v>61</v>
      </c>
      <c r="L8473">
        <v>98</v>
      </c>
      <c r="M8473">
        <v>634.09997558999999</v>
      </c>
      <c r="N8473" t="s">
        <v>87</v>
      </c>
      <c r="O8473" t="s">
        <v>86</v>
      </c>
      <c r="P8473">
        <v>130</v>
      </c>
      <c r="Q8473">
        <v>2</v>
      </c>
      <c r="R8473">
        <v>0</v>
      </c>
      <c r="S8473">
        <v>1667</v>
      </c>
      <c r="T8473">
        <v>-40</v>
      </c>
      <c r="U8473">
        <v>45</v>
      </c>
      <c r="V8473">
        <v>200</v>
      </c>
      <c r="W8473">
        <v>27</v>
      </c>
      <c r="X8473">
        <v>27</v>
      </c>
      <c r="Y8473">
        <v>1</v>
      </c>
      <c r="Z8473">
        <v>8</v>
      </c>
      <c r="AA8473">
        <v>24</v>
      </c>
      <c r="AB8473">
        <v>1</v>
      </c>
      <c r="AC8473">
        <v>3</v>
      </c>
      <c r="AD8473">
        <v>3.30999994</v>
      </c>
      <c r="AE8473">
        <v>1</v>
      </c>
      <c r="AF8473">
        <v>44</v>
      </c>
      <c r="AG8473">
        <v>3.3050000700000002</v>
      </c>
      <c r="AH8473">
        <v>6</v>
      </c>
      <c r="AI8473">
        <v>24</v>
      </c>
      <c r="AJ8473">
        <v>1</v>
      </c>
      <c r="AK8473">
        <v>25</v>
      </c>
      <c r="AL8473">
        <v>39</v>
      </c>
      <c r="AM8473" t="s">
        <v>43</v>
      </c>
      <c r="AN8473" t="str">
        <f>HYPERLINK("https://www.google.com/maps?q=10.78592777,79.17169952","Open Location")</f>
        <v>Open Location</v>
      </c>
    </row>
    <row r="8474" spans="1:40" x14ac:dyDescent="0.3">
      <c r="A8474" s="1">
        <v>46210.018518518518</v>
      </c>
      <c r="B8474" t="s">
        <v>40</v>
      </c>
      <c r="C8474" t="s">
        <v>41</v>
      </c>
      <c r="D8474" s="1">
        <v>46210.021423611113</v>
      </c>
      <c r="E8474" t="s">
        <v>42</v>
      </c>
      <c r="F8474" t="s">
        <v>83</v>
      </c>
      <c r="G8474">
        <v>28</v>
      </c>
      <c r="H8474">
        <v>32996</v>
      </c>
      <c r="I8474" t="s">
        <v>4696</v>
      </c>
      <c r="J8474">
        <v>89</v>
      </c>
      <c r="K8474">
        <v>-24</v>
      </c>
      <c r="L8474">
        <v>98</v>
      </c>
      <c r="M8474">
        <v>637.40002441000001</v>
      </c>
      <c r="N8474" t="s">
        <v>87</v>
      </c>
      <c r="O8474" t="s">
        <v>86</v>
      </c>
      <c r="P8474">
        <v>130</v>
      </c>
      <c r="Q8474">
        <v>5</v>
      </c>
      <c r="R8474">
        <v>-119</v>
      </c>
      <c r="S8474">
        <v>1025</v>
      </c>
      <c r="T8474">
        <v>-40</v>
      </c>
      <c r="U8474">
        <v>44</v>
      </c>
      <c r="V8474">
        <v>-184</v>
      </c>
      <c r="W8474">
        <v>27</v>
      </c>
      <c r="X8474">
        <v>27</v>
      </c>
      <c r="Y8474">
        <v>1</v>
      </c>
      <c r="Z8474">
        <v>8</v>
      </c>
      <c r="AA8474">
        <v>24</v>
      </c>
      <c r="AB8474">
        <v>1</v>
      </c>
      <c r="AC8474">
        <v>3</v>
      </c>
      <c r="AD8474">
        <v>3.3350000400000002</v>
      </c>
      <c r="AE8474">
        <v>4</v>
      </c>
      <c r="AF8474">
        <v>24</v>
      </c>
      <c r="AG8474">
        <v>3.3299999200000001</v>
      </c>
      <c r="AH8474">
        <v>5</v>
      </c>
      <c r="AI8474">
        <v>38</v>
      </c>
      <c r="AJ8474">
        <v>1</v>
      </c>
      <c r="AK8474">
        <v>24</v>
      </c>
      <c r="AL8474">
        <v>39</v>
      </c>
      <c r="AM8474" t="s">
        <v>43</v>
      </c>
      <c r="AN8474" t="str">
        <f>HYPERLINK("https://www.google.com/maps?q=10.78665543,79.17166138","Open Location")</f>
        <v>Open Location</v>
      </c>
    </row>
    <row r="8475" spans="1:40" x14ac:dyDescent="0.3">
      <c r="A8475" s="1">
        <v>46210.01840277778</v>
      </c>
      <c r="B8475" t="s">
        <v>40</v>
      </c>
      <c r="C8475" t="s">
        <v>41</v>
      </c>
      <c r="D8475" s="1">
        <v>46210.021284722221</v>
      </c>
      <c r="E8475" t="s">
        <v>42</v>
      </c>
      <c r="F8475" t="s">
        <v>83</v>
      </c>
      <c r="G8475">
        <v>30</v>
      </c>
      <c r="H8475">
        <v>32996</v>
      </c>
      <c r="I8475" t="s">
        <v>43</v>
      </c>
      <c r="J8475">
        <v>89</v>
      </c>
      <c r="K8475">
        <v>68</v>
      </c>
      <c r="L8475">
        <v>98</v>
      </c>
      <c r="M8475">
        <v>633.20001220999995</v>
      </c>
      <c r="N8475" t="s">
        <v>87</v>
      </c>
      <c r="O8475" t="s">
        <v>86</v>
      </c>
      <c r="P8475">
        <v>130</v>
      </c>
      <c r="Q8475">
        <v>5</v>
      </c>
      <c r="R8475">
        <v>20</v>
      </c>
      <c r="S8475">
        <v>1434</v>
      </c>
      <c r="T8475">
        <v>-40</v>
      </c>
      <c r="U8475">
        <v>44</v>
      </c>
      <c r="V8475">
        <v>260</v>
      </c>
      <c r="W8475">
        <v>27</v>
      </c>
      <c r="X8475">
        <v>27</v>
      </c>
      <c r="Y8475">
        <v>1</v>
      </c>
      <c r="Z8475">
        <v>8</v>
      </c>
      <c r="AA8475">
        <v>24</v>
      </c>
      <c r="AB8475">
        <v>1</v>
      </c>
      <c r="AC8475">
        <v>3</v>
      </c>
      <c r="AD8475">
        <v>3.30699992</v>
      </c>
      <c r="AE8475">
        <v>1</v>
      </c>
      <c r="AF8475">
        <v>44</v>
      </c>
      <c r="AG8475">
        <v>3.3010001199999999</v>
      </c>
      <c r="AH8475">
        <v>4</v>
      </c>
      <c r="AI8475">
        <v>17</v>
      </c>
      <c r="AJ8475">
        <v>1</v>
      </c>
      <c r="AK8475">
        <v>23</v>
      </c>
      <c r="AL8475">
        <v>39</v>
      </c>
      <c r="AM8475" t="s">
        <v>43</v>
      </c>
      <c r="AN8475" t="s">
        <v>43</v>
      </c>
    </row>
    <row r="8476" spans="1:40" x14ac:dyDescent="0.3">
      <c r="A8476" s="1">
        <v>46210.018287037034</v>
      </c>
      <c r="B8476" t="s">
        <v>40</v>
      </c>
      <c r="C8476" t="s">
        <v>41</v>
      </c>
      <c r="D8476" s="1">
        <v>46210.021053240744</v>
      </c>
      <c r="E8476" t="s">
        <v>42</v>
      </c>
      <c r="F8476" t="s">
        <v>83</v>
      </c>
      <c r="G8476">
        <v>29</v>
      </c>
      <c r="H8476">
        <v>32996</v>
      </c>
      <c r="I8476" t="s">
        <v>4697</v>
      </c>
      <c r="J8476">
        <v>89</v>
      </c>
      <c r="K8476">
        <v>50</v>
      </c>
      <c r="L8476">
        <v>98</v>
      </c>
      <c r="M8476">
        <v>634.09997558999999</v>
      </c>
      <c r="N8476" t="s">
        <v>87</v>
      </c>
      <c r="O8476" t="s">
        <v>86</v>
      </c>
      <c r="P8476">
        <v>130</v>
      </c>
      <c r="Q8476">
        <v>5</v>
      </c>
      <c r="R8476">
        <v>27</v>
      </c>
      <c r="S8476">
        <v>1367</v>
      </c>
      <c r="T8476">
        <v>-40</v>
      </c>
      <c r="U8476">
        <v>45</v>
      </c>
      <c r="V8476">
        <v>200</v>
      </c>
      <c r="W8476">
        <v>27</v>
      </c>
      <c r="X8476">
        <v>27</v>
      </c>
      <c r="Y8476">
        <v>1</v>
      </c>
      <c r="Z8476">
        <v>8</v>
      </c>
      <c r="AA8476">
        <v>24</v>
      </c>
      <c r="AB8476">
        <v>1</v>
      </c>
      <c r="AC8476">
        <v>3</v>
      </c>
      <c r="AD8476">
        <v>3.3080000900000002</v>
      </c>
      <c r="AE8476">
        <v>1</v>
      </c>
      <c r="AF8476">
        <v>41</v>
      </c>
      <c r="AG8476">
        <v>3.3029999700000001</v>
      </c>
      <c r="AH8476">
        <v>4</v>
      </c>
      <c r="AI8476">
        <v>17</v>
      </c>
      <c r="AJ8476">
        <v>1</v>
      </c>
      <c r="AK8476">
        <v>24</v>
      </c>
      <c r="AL8476">
        <v>39</v>
      </c>
      <c r="AM8476" t="s">
        <v>43</v>
      </c>
      <c r="AN8476" t="str">
        <f>HYPERLINK("https://www.google.com/maps?q=10.78753185,79.17137146","Open Location")</f>
        <v>Open Location</v>
      </c>
    </row>
    <row r="8477" spans="1:40" x14ac:dyDescent="0.3">
      <c r="A8477" s="1">
        <v>46210.018171296295</v>
      </c>
      <c r="B8477" t="s">
        <v>40</v>
      </c>
      <c r="C8477" t="s">
        <v>41</v>
      </c>
      <c r="D8477" s="1">
        <v>46210.021053240744</v>
      </c>
      <c r="E8477" t="s">
        <v>42</v>
      </c>
      <c r="F8477" t="s">
        <v>83</v>
      </c>
      <c r="G8477">
        <v>24</v>
      </c>
      <c r="H8477">
        <v>32996</v>
      </c>
      <c r="I8477" t="s">
        <v>4698</v>
      </c>
      <c r="J8477">
        <v>89</v>
      </c>
      <c r="K8477">
        <v>62</v>
      </c>
      <c r="L8477">
        <v>98</v>
      </c>
      <c r="M8477">
        <v>633.70001220999995</v>
      </c>
      <c r="N8477" t="s">
        <v>87</v>
      </c>
      <c r="O8477" t="s">
        <v>86</v>
      </c>
      <c r="P8477">
        <v>129</v>
      </c>
      <c r="Q8477">
        <v>5</v>
      </c>
      <c r="R8477">
        <v>0</v>
      </c>
      <c r="S8477">
        <v>1216</v>
      </c>
      <c r="T8477">
        <v>-40</v>
      </c>
      <c r="U8477">
        <v>45</v>
      </c>
      <c r="V8477">
        <v>280</v>
      </c>
      <c r="W8477">
        <v>27</v>
      </c>
      <c r="X8477">
        <v>27</v>
      </c>
      <c r="Y8477">
        <v>1</v>
      </c>
      <c r="Z8477">
        <v>8</v>
      </c>
      <c r="AA8477">
        <v>24</v>
      </c>
      <c r="AB8477">
        <v>1</v>
      </c>
      <c r="AC8477">
        <v>3</v>
      </c>
      <c r="AD8477">
        <v>3.30699992</v>
      </c>
      <c r="AE8477">
        <v>1</v>
      </c>
      <c r="AF8477">
        <v>44</v>
      </c>
      <c r="AG8477">
        <v>3.3010001199999999</v>
      </c>
      <c r="AH8477">
        <v>4</v>
      </c>
      <c r="AI8477">
        <v>17</v>
      </c>
      <c r="AJ8477">
        <v>1</v>
      </c>
      <c r="AK8477">
        <v>23</v>
      </c>
      <c r="AL8477">
        <v>39</v>
      </c>
      <c r="AM8477" t="s">
        <v>43</v>
      </c>
      <c r="AN8477" t="str">
        <f>HYPERLINK("https://www.google.com/maps?q=10.78812504,79.1707077","Open Location")</f>
        <v>Open Location</v>
      </c>
    </row>
    <row r="8478" spans="1:40" x14ac:dyDescent="0.3">
      <c r="A8478" s="1">
        <v>46210.018055555556</v>
      </c>
      <c r="B8478" t="s">
        <v>40</v>
      </c>
      <c r="C8478" t="s">
        <v>41</v>
      </c>
      <c r="D8478" s="1">
        <v>46210.020740740743</v>
      </c>
      <c r="E8478" t="s">
        <v>42</v>
      </c>
      <c r="F8478" t="s">
        <v>83</v>
      </c>
      <c r="G8478">
        <v>15</v>
      </c>
      <c r="H8478">
        <v>32996</v>
      </c>
      <c r="I8478" t="s">
        <v>4699</v>
      </c>
      <c r="J8478">
        <v>89</v>
      </c>
      <c r="K8478">
        <v>58</v>
      </c>
      <c r="L8478">
        <v>98</v>
      </c>
      <c r="M8478">
        <v>634.29998779000005</v>
      </c>
      <c r="N8478" t="s">
        <v>87</v>
      </c>
      <c r="O8478" t="s">
        <v>86</v>
      </c>
      <c r="P8478">
        <v>128</v>
      </c>
      <c r="Q8478">
        <v>4</v>
      </c>
      <c r="R8478">
        <v>0</v>
      </c>
      <c r="S8478">
        <v>1425</v>
      </c>
      <c r="T8478">
        <v>-40</v>
      </c>
      <c r="U8478">
        <v>44</v>
      </c>
      <c r="V8478">
        <v>220</v>
      </c>
      <c r="W8478">
        <v>27</v>
      </c>
      <c r="X8478">
        <v>27</v>
      </c>
      <c r="Y8478">
        <v>1</v>
      </c>
      <c r="Z8478">
        <v>8</v>
      </c>
      <c r="AA8478">
        <v>24</v>
      </c>
      <c r="AB8478">
        <v>1</v>
      </c>
      <c r="AC8478">
        <v>3</v>
      </c>
      <c r="AD8478">
        <v>3.30900002</v>
      </c>
      <c r="AE8478">
        <v>1</v>
      </c>
      <c r="AF8478">
        <v>41</v>
      </c>
      <c r="AG8478">
        <v>3.3039999</v>
      </c>
      <c r="AH8478">
        <v>4</v>
      </c>
      <c r="AI8478">
        <v>17</v>
      </c>
      <c r="AJ8478">
        <v>1</v>
      </c>
      <c r="AK8478">
        <v>23</v>
      </c>
      <c r="AL8478">
        <v>39</v>
      </c>
      <c r="AM8478" t="s">
        <v>43</v>
      </c>
      <c r="AN8478" t="str">
        <f>HYPERLINK("https://www.google.com/maps?q=10.788517,79.17015839","Open Location")</f>
        <v>Open Location</v>
      </c>
    </row>
    <row r="8479" spans="1:40" x14ac:dyDescent="0.3">
      <c r="A8479" s="1">
        <v>46210.017939814818</v>
      </c>
      <c r="B8479" t="s">
        <v>40</v>
      </c>
      <c r="C8479" t="s">
        <v>41</v>
      </c>
      <c r="D8479" s="1">
        <v>46210.020833333336</v>
      </c>
      <c r="E8479" t="s">
        <v>42</v>
      </c>
      <c r="F8479" t="s">
        <v>83</v>
      </c>
      <c r="G8479">
        <v>6</v>
      </c>
      <c r="H8479">
        <v>32996</v>
      </c>
      <c r="I8479" t="s">
        <v>4700</v>
      </c>
      <c r="J8479">
        <v>89</v>
      </c>
      <c r="K8479">
        <v>69</v>
      </c>
      <c r="L8479">
        <v>98</v>
      </c>
      <c r="M8479">
        <v>636.40002441000001</v>
      </c>
      <c r="N8479" t="s">
        <v>87</v>
      </c>
      <c r="O8479" t="s">
        <v>86</v>
      </c>
      <c r="P8479">
        <v>127</v>
      </c>
      <c r="Q8479">
        <v>2</v>
      </c>
      <c r="R8479">
        <v>20</v>
      </c>
      <c r="S8479">
        <v>1714</v>
      </c>
      <c r="T8479">
        <v>-40</v>
      </c>
      <c r="U8479">
        <v>42</v>
      </c>
      <c r="V8479">
        <v>260</v>
      </c>
      <c r="W8479">
        <v>27</v>
      </c>
      <c r="X8479">
        <v>27</v>
      </c>
      <c r="Y8479">
        <v>1</v>
      </c>
      <c r="Z8479">
        <v>8</v>
      </c>
      <c r="AA8479">
        <v>24</v>
      </c>
      <c r="AB8479">
        <v>1</v>
      </c>
      <c r="AC8479">
        <v>3</v>
      </c>
      <c r="AD8479">
        <v>3.3050000700000002</v>
      </c>
      <c r="AE8479">
        <v>1</v>
      </c>
      <c r="AF8479">
        <v>38</v>
      </c>
      <c r="AG8479">
        <v>3.2990000199999998</v>
      </c>
      <c r="AH8479">
        <v>2</v>
      </c>
      <c r="AI8479">
        <v>46</v>
      </c>
      <c r="AJ8479">
        <v>1</v>
      </c>
      <c r="AK8479">
        <v>25</v>
      </c>
      <c r="AL8479">
        <v>39</v>
      </c>
      <c r="AM8479" t="s">
        <v>43</v>
      </c>
      <c r="AN8479" t="str">
        <f>HYPERLINK("https://www.google.com/maps?q=10.78868961,79.16988373","Open Location")</f>
        <v>Open Location</v>
      </c>
    </row>
    <row r="8480" spans="1:40" x14ac:dyDescent="0.3">
      <c r="A8480" s="1">
        <v>46210.017824074072</v>
      </c>
      <c r="B8480" t="s">
        <v>40</v>
      </c>
      <c r="C8480" t="s">
        <v>41</v>
      </c>
      <c r="D8480" s="1">
        <v>46210.020532407405</v>
      </c>
      <c r="E8480" t="s">
        <v>42</v>
      </c>
      <c r="F8480" t="s">
        <v>83</v>
      </c>
      <c r="G8480">
        <v>7</v>
      </c>
      <c r="H8480">
        <v>32996</v>
      </c>
      <c r="I8480" t="s">
        <v>4701</v>
      </c>
      <c r="J8480">
        <v>89</v>
      </c>
      <c r="K8480">
        <v>5</v>
      </c>
      <c r="L8480">
        <v>98</v>
      </c>
      <c r="M8480">
        <v>637</v>
      </c>
      <c r="N8480" t="s">
        <v>87</v>
      </c>
      <c r="O8480" t="s">
        <v>86</v>
      </c>
      <c r="P8480">
        <v>127</v>
      </c>
      <c r="Q8480">
        <v>2</v>
      </c>
      <c r="R8480">
        <v>0</v>
      </c>
      <c r="S8480">
        <v>954</v>
      </c>
      <c r="T8480">
        <v>-40</v>
      </c>
      <c r="U8480">
        <v>42</v>
      </c>
      <c r="V8480">
        <v>5</v>
      </c>
      <c r="W8480">
        <v>27</v>
      </c>
      <c r="X8480">
        <v>27</v>
      </c>
      <c r="Y8480">
        <v>1</v>
      </c>
      <c r="Z8480">
        <v>8</v>
      </c>
      <c r="AA8480">
        <v>24</v>
      </c>
      <c r="AB8480">
        <v>2</v>
      </c>
      <c r="AC8480">
        <v>3</v>
      </c>
      <c r="AD8480">
        <v>3.3190000099999999</v>
      </c>
      <c r="AE8480">
        <v>1</v>
      </c>
      <c r="AF8480">
        <v>29</v>
      </c>
      <c r="AG8480">
        <v>3.3169999099999998</v>
      </c>
      <c r="AH8480">
        <v>1</v>
      </c>
      <c r="AI8480">
        <v>13</v>
      </c>
      <c r="AJ8480">
        <v>1</v>
      </c>
      <c r="AK8480">
        <v>23</v>
      </c>
      <c r="AL8480">
        <v>39</v>
      </c>
      <c r="AM8480" t="s">
        <v>43</v>
      </c>
      <c r="AN8480" t="str">
        <f>HYPERLINK("https://www.google.com/maps?q=10.78876877,79.16973114","Open Location")</f>
        <v>Open Location</v>
      </c>
    </row>
    <row r="8481" spans="1:40" x14ac:dyDescent="0.3">
      <c r="A8481" s="1">
        <v>46210.017708333333</v>
      </c>
      <c r="B8481" t="s">
        <v>40</v>
      </c>
      <c r="C8481" t="s">
        <v>41</v>
      </c>
      <c r="D8481" s="1">
        <v>46210.020532407405</v>
      </c>
      <c r="E8481" t="s">
        <v>42</v>
      </c>
      <c r="F8481" t="s">
        <v>83</v>
      </c>
      <c r="G8481">
        <v>5</v>
      </c>
      <c r="H8481">
        <v>32996</v>
      </c>
      <c r="I8481" t="s">
        <v>43</v>
      </c>
      <c r="J8481">
        <v>89</v>
      </c>
      <c r="K8481">
        <v>5</v>
      </c>
      <c r="L8481">
        <v>98</v>
      </c>
      <c r="M8481">
        <v>636.40002441000001</v>
      </c>
      <c r="N8481" t="s">
        <v>87</v>
      </c>
      <c r="O8481" t="s">
        <v>86</v>
      </c>
      <c r="P8481">
        <v>127</v>
      </c>
      <c r="Q8481">
        <v>2</v>
      </c>
      <c r="R8481">
        <v>3</v>
      </c>
      <c r="S8481">
        <v>1039</v>
      </c>
      <c r="T8481">
        <v>-40</v>
      </c>
      <c r="U8481">
        <v>43</v>
      </c>
      <c r="V8481">
        <v>5</v>
      </c>
      <c r="W8481">
        <v>27</v>
      </c>
      <c r="X8481">
        <v>27</v>
      </c>
      <c r="Y8481">
        <v>1</v>
      </c>
      <c r="Z8481">
        <v>8</v>
      </c>
      <c r="AA8481">
        <v>24</v>
      </c>
      <c r="AB8481">
        <v>2</v>
      </c>
      <c r="AC8481">
        <v>3</v>
      </c>
      <c r="AD8481">
        <v>3.3190000099999999</v>
      </c>
      <c r="AE8481">
        <v>1</v>
      </c>
      <c r="AF8481">
        <v>44</v>
      </c>
      <c r="AG8481">
        <v>3.31599998</v>
      </c>
      <c r="AH8481">
        <v>1</v>
      </c>
      <c r="AI8481">
        <v>21</v>
      </c>
      <c r="AJ8481">
        <v>1</v>
      </c>
      <c r="AK8481">
        <v>23</v>
      </c>
      <c r="AL8481">
        <v>39</v>
      </c>
      <c r="AM8481" t="s">
        <v>43</v>
      </c>
      <c r="AN8481" t="s">
        <v>43</v>
      </c>
    </row>
    <row r="8482" spans="1:40" x14ac:dyDescent="0.3">
      <c r="A8482" s="1">
        <v>46210.017592592594</v>
      </c>
      <c r="B8482" t="s">
        <v>40</v>
      </c>
      <c r="C8482" t="s">
        <v>41</v>
      </c>
      <c r="D8482" s="1">
        <v>46210.020486111112</v>
      </c>
      <c r="E8482" t="s">
        <v>42</v>
      </c>
      <c r="F8482" t="s">
        <v>83</v>
      </c>
      <c r="G8482">
        <v>5</v>
      </c>
      <c r="H8482">
        <v>32996</v>
      </c>
      <c r="I8482" t="s">
        <v>4702</v>
      </c>
      <c r="J8482">
        <v>89</v>
      </c>
      <c r="K8482">
        <v>24</v>
      </c>
      <c r="L8482">
        <v>98</v>
      </c>
      <c r="M8482">
        <v>636.09997558999999</v>
      </c>
      <c r="N8482" t="s">
        <v>87</v>
      </c>
      <c r="O8482" t="s">
        <v>86</v>
      </c>
      <c r="P8482">
        <v>127</v>
      </c>
      <c r="Q8482">
        <v>2</v>
      </c>
      <c r="R8482">
        <v>1</v>
      </c>
      <c r="S8482">
        <v>1061</v>
      </c>
      <c r="T8482">
        <v>-40</v>
      </c>
      <c r="U8482">
        <v>43</v>
      </c>
      <c r="V8482">
        <v>72</v>
      </c>
      <c r="W8482">
        <v>27</v>
      </c>
      <c r="X8482">
        <v>27</v>
      </c>
      <c r="Y8482">
        <v>1</v>
      </c>
      <c r="Z8482">
        <v>8</v>
      </c>
      <c r="AA8482">
        <v>24</v>
      </c>
      <c r="AB8482">
        <v>2</v>
      </c>
      <c r="AC8482">
        <v>3</v>
      </c>
      <c r="AD8482">
        <v>3.31200004</v>
      </c>
      <c r="AE8482">
        <v>1</v>
      </c>
      <c r="AF8482">
        <v>41</v>
      </c>
      <c r="AG8482">
        <v>3.30699992</v>
      </c>
      <c r="AH8482">
        <v>4</v>
      </c>
      <c r="AI8482">
        <v>17</v>
      </c>
      <c r="AJ8482">
        <v>1</v>
      </c>
      <c r="AK8482">
        <v>24</v>
      </c>
      <c r="AL8482">
        <v>39</v>
      </c>
      <c r="AM8482" t="s">
        <v>43</v>
      </c>
      <c r="AN8482" t="str">
        <f>HYPERLINK("https://www.google.com/maps?q=10.78885937,79.16955566","Open Location")</f>
        <v>Open Location</v>
      </c>
    </row>
    <row r="8483" spans="1:40" x14ac:dyDescent="0.3">
      <c r="A8483" s="1">
        <v>46210.017476851855</v>
      </c>
      <c r="B8483" t="s">
        <v>40</v>
      </c>
      <c r="C8483" t="s">
        <v>41</v>
      </c>
      <c r="D8483" s="1">
        <v>46210.020671296297</v>
      </c>
      <c r="E8483" t="s">
        <v>42</v>
      </c>
      <c r="F8483" t="s">
        <v>83</v>
      </c>
      <c r="G8483">
        <v>4</v>
      </c>
      <c r="H8483" t="s">
        <v>43</v>
      </c>
      <c r="I8483" t="s">
        <v>4703</v>
      </c>
      <c r="J8483">
        <v>89</v>
      </c>
      <c r="K8483">
        <v>25</v>
      </c>
      <c r="L8483">
        <v>98</v>
      </c>
      <c r="M8483">
        <v>636.29998779000005</v>
      </c>
      <c r="N8483" t="s">
        <v>87</v>
      </c>
      <c r="O8483" t="s">
        <v>86</v>
      </c>
      <c r="P8483">
        <v>127</v>
      </c>
      <c r="Q8483">
        <v>2</v>
      </c>
      <c r="R8483">
        <v>3</v>
      </c>
      <c r="S8483">
        <v>1077</v>
      </c>
      <c r="T8483">
        <v>-40</v>
      </c>
      <c r="U8483">
        <v>43</v>
      </c>
      <c r="V8483">
        <v>80</v>
      </c>
      <c r="W8483">
        <v>27</v>
      </c>
      <c r="X8483">
        <v>27</v>
      </c>
      <c r="Y8483">
        <v>1</v>
      </c>
      <c r="Z8483">
        <v>8</v>
      </c>
      <c r="AA8483">
        <v>24</v>
      </c>
      <c r="AB8483">
        <v>2</v>
      </c>
      <c r="AC8483">
        <v>3</v>
      </c>
      <c r="AD8483">
        <v>3.31599998</v>
      </c>
      <c r="AE8483">
        <v>1</v>
      </c>
      <c r="AF8483">
        <v>41</v>
      </c>
      <c r="AG8483">
        <v>3.3080000900000002</v>
      </c>
      <c r="AH8483">
        <v>4</v>
      </c>
      <c r="AI8483">
        <v>17</v>
      </c>
      <c r="AJ8483">
        <v>1</v>
      </c>
      <c r="AK8483">
        <v>23</v>
      </c>
      <c r="AL8483">
        <v>39</v>
      </c>
      <c r="AM8483" t="s">
        <v>43</v>
      </c>
      <c r="AN8483" t="str">
        <f>HYPERLINK("https://www.google.com/maps?q=10.78892803,79.16940308","Open Location")</f>
        <v>Open Location</v>
      </c>
    </row>
    <row r="8484" spans="1:40" x14ac:dyDescent="0.3">
      <c r="A8484" s="1">
        <v>46210.017361111109</v>
      </c>
      <c r="B8484" t="s">
        <v>40</v>
      </c>
      <c r="C8484" t="s">
        <v>41</v>
      </c>
      <c r="D8484" s="1">
        <v>46210.020069444443</v>
      </c>
      <c r="E8484" t="s">
        <v>42</v>
      </c>
      <c r="F8484" t="s">
        <v>83</v>
      </c>
      <c r="G8484">
        <v>23</v>
      </c>
      <c r="H8484">
        <v>32996</v>
      </c>
      <c r="I8484" t="s">
        <v>4704</v>
      </c>
      <c r="J8484">
        <v>89</v>
      </c>
      <c r="K8484">
        <v>-31</v>
      </c>
      <c r="L8484">
        <v>98</v>
      </c>
      <c r="M8484">
        <v>638.59997558999999</v>
      </c>
      <c r="N8484" t="s">
        <v>87</v>
      </c>
      <c r="O8484" t="s">
        <v>86</v>
      </c>
      <c r="P8484">
        <v>131</v>
      </c>
      <c r="Q8484">
        <v>4</v>
      </c>
      <c r="R8484">
        <v>-21</v>
      </c>
      <c r="S8484">
        <v>365</v>
      </c>
      <c r="T8484">
        <v>-40</v>
      </c>
      <c r="U8484">
        <v>44</v>
      </c>
      <c r="V8484">
        <v>-740</v>
      </c>
      <c r="W8484" t="s">
        <v>43</v>
      </c>
      <c r="X8484" t="s">
        <v>43</v>
      </c>
      <c r="Y8484" t="s">
        <v>43</v>
      </c>
      <c r="Z8484" t="s">
        <v>43</v>
      </c>
      <c r="AA8484" t="s">
        <v>43</v>
      </c>
      <c r="AB8484" t="s">
        <v>43</v>
      </c>
      <c r="AC8484" t="s">
        <v>43</v>
      </c>
      <c r="AD8484">
        <v>3.3190000099999999</v>
      </c>
      <c r="AE8484">
        <v>1</v>
      </c>
      <c r="AF8484">
        <v>1</v>
      </c>
      <c r="AG8484">
        <v>3.3139998899999998</v>
      </c>
      <c r="AH8484">
        <v>4</v>
      </c>
      <c r="AI8484">
        <v>17</v>
      </c>
      <c r="AJ8484">
        <v>1</v>
      </c>
      <c r="AK8484">
        <v>25</v>
      </c>
      <c r="AL8484">
        <v>39</v>
      </c>
      <c r="AM8484" t="s">
        <v>43</v>
      </c>
      <c r="AN8484" t="str">
        <f>HYPERLINK("https://www.google.com/maps?q=10.78907776,79.16911316","Open Location")</f>
        <v>Open Location</v>
      </c>
    </row>
    <row r="8485" spans="1:40" x14ac:dyDescent="0.3">
      <c r="A8485" s="1">
        <v>46210.017245370371</v>
      </c>
      <c r="B8485" t="s">
        <v>40</v>
      </c>
      <c r="C8485" t="s">
        <v>41</v>
      </c>
      <c r="D8485" s="1">
        <v>46210.020162037035</v>
      </c>
      <c r="E8485" t="s">
        <v>42</v>
      </c>
      <c r="F8485" t="s">
        <v>83</v>
      </c>
      <c r="G8485">
        <v>31</v>
      </c>
      <c r="H8485">
        <v>32996</v>
      </c>
      <c r="I8485" t="s">
        <v>4705</v>
      </c>
      <c r="J8485">
        <v>89</v>
      </c>
      <c r="K8485">
        <v>-30</v>
      </c>
      <c r="L8485">
        <v>98</v>
      </c>
      <c r="M8485">
        <v>637.79998779000005</v>
      </c>
      <c r="N8485" t="s">
        <v>87</v>
      </c>
      <c r="O8485" t="s">
        <v>86</v>
      </c>
      <c r="P8485">
        <v>131</v>
      </c>
      <c r="Q8485">
        <v>6</v>
      </c>
      <c r="R8485">
        <v>-27</v>
      </c>
      <c r="S8485">
        <v>781</v>
      </c>
      <c r="T8485">
        <v>-40</v>
      </c>
      <c r="U8485">
        <v>44</v>
      </c>
      <c r="V8485">
        <v>-300</v>
      </c>
      <c r="W8485">
        <v>27</v>
      </c>
      <c r="X8485">
        <v>27</v>
      </c>
      <c r="Y8485">
        <v>1</v>
      </c>
      <c r="Z8485">
        <v>8</v>
      </c>
      <c r="AA8485">
        <v>24</v>
      </c>
      <c r="AB8485">
        <v>2</v>
      </c>
      <c r="AC8485">
        <v>3</v>
      </c>
      <c r="AD8485">
        <v>3.3259999800000002</v>
      </c>
      <c r="AE8485">
        <v>4</v>
      </c>
      <c r="AF8485">
        <v>24</v>
      </c>
      <c r="AG8485">
        <v>3.3229999499999998</v>
      </c>
      <c r="AH8485">
        <v>2</v>
      </c>
      <c r="AI8485">
        <v>19</v>
      </c>
      <c r="AJ8485">
        <v>1</v>
      </c>
      <c r="AK8485">
        <v>29</v>
      </c>
      <c r="AL8485">
        <v>39</v>
      </c>
      <c r="AM8485" t="s">
        <v>43</v>
      </c>
      <c r="AN8485" t="str">
        <f>HYPERLINK("https://www.google.com/maps?q=10.78944302,79.16836548","Open Location")</f>
        <v>Open Location</v>
      </c>
    </row>
    <row r="8486" spans="1:40" x14ac:dyDescent="0.3">
      <c r="A8486" s="1">
        <v>46210.017129629632</v>
      </c>
      <c r="B8486" t="s">
        <v>40</v>
      </c>
      <c r="C8486" t="s">
        <v>41</v>
      </c>
      <c r="D8486" s="1">
        <v>46210.019837962966</v>
      </c>
      <c r="E8486" t="s">
        <v>42</v>
      </c>
      <c r="F8486" t="s">
        <v>83</v>
      </c>
      <c r="G8486">
        <v>41</v>
      </c>
      <c r="H8486">
        <v>32996</v>
      </c>
      <c r="I8486" t="s">
        <v>4706</v>
      </c>
      <c r="J8486">
        <v>89</v>
      </c>
      <c r="K8486">
        <v>-41</v>
      </c>
      <c r="L8486">
        <v>98</v>
      </c>
      <c r="M8486">
        <v>637.90002441000001</v>
      </c>
      <c r="N8486" t="s">
        <v>87</v>
      </c>
      <c r="O8486" t="s">
        <v>86</v>
      </c>
      <c r="P8486">
        <v>131</v>
      </c>
      <c r="Q8486">
        <v>6</v>
      </c>
      <c r="R8486">
        <v>-36</v>
      </c>
      <c r="S8486">
        <v>1015</v>
      </c>
      <c r="T8486">
        <v>-40</v>
      </c>
      <c r="U8486">
        <v>44</v>
      </c>
      <c r="V8486">
        <v>-300</v>
      </c>
      <c r="W8486">
        <v>28</v>
      </c>
      <c r="X8486">
        <v>28</v>
      </c>
      <c r="Y8486">
        <v>1</v>
      </c>
      <c r="Z8486">
        <v>8</v>
      </c>
      <c r="AA8486">
        <v>24</v>
      </c>
      <c r="AB8486">
        <v>2</v>
      </c>
      <c r="AC8486">
        <v>3</v>
      </c>
      <c r="AD8486">
        <v>3.3259999800000002</v>
      </c>
      <c r="AE8486">
        <v>2</v>
      </c>
      <c r="AF8486">
        <v>46</v>
      </c>
      <c r="AG8486">
        <v>3.3229999499999998</v>
      </c>
      <c r="AH8486">
        <v>2</v>
      </c>
      <c r="AI8486">
        <v>48</v>
      </c>
      <c r="AJ8486">
        <v>1</v>
      </c>
      <c r="AK8486">
        <v>28</v>
      </c>
      <c r="AL8486">
        <v>39</v>
      </c>
      <c r="AM8486" t="s">
        <v>43</v>
      </c>
      <c r="AN8486" t="str">
        <f>HYPERLINK("https://www.google.com/maps?q=10.78981209,79.16725159","Open Location")</f>
        <v>Open Location</v>
      </c>
    </row>
    <row r="8487" spans="1:40" x14ac:dyDescent="0.3">
      <c r="A8487" s="1">
        <v>46210.017013888886</v>
      </c>
      <c r="B8487" t="s">
        <v>40</v>
      </c>
      <c r="C8487" t="s">
        <v>41</v>
      </c>
      <c r="D8487" s="1">
        <v>46210.020162037035</v>
      </c>
      <c r="E8487" t="s">
        <v>42</v>
      </c>
      <c r="F8487" t="s">
        <v>83</v>
      </c>
      <c r="G8487">
        <v>50</v>
      </c>
      <c r="H8487">
        <v>32996</v>
      </c>
      <c r="I8487" t="s">
        <v>43</v>
      </c>
      <c r="J8487">
        <v>89</v>
      </c>
      <c r="K8487">
        <v>-54</v>
      </c>
      <c r="L8487">
        <v>98</v>
      </c>
      <c r="M8487">
        <v>637.90002441000001</v>
      </c>
      <c r="N8487" t="s">
        <v>87</v>
      </c>
      <c r="O8487" t="s">
        <v>86</v>
      </c>
      <c r="P8487">
        <v>131</v>
      </c>
      <c r="Q8487">
        <v>6</v>
      </c>
      <c r="R8487">
        <v>-44</v>
      </c>
      <c r="S8487">
        <v>1283</v>
      </c>
      <c r="T8487">
        <v>-40</v>
      </c>
      <c r="U8487">
        <v>43</v>
      </c>
      <c r="V8487">
        <v>-300</v>
      </c>
      <c r="W8487">
        <v>28</v>
      </c>
      <c r="X8487">
        <v>28</v>
      </c>
      <c r="Y8487">
        <v>1</v>
      </c>
      <c r="Z8487">
        <v>8</v>
      </c>
      <c r="AA8487">
        <v>24</v>
      </c>
      <c r="AB8487">
        <v>2</v>
      </c>
      <c r="AC8487">
        <v>3</v>
      </c>
      <c r="AD8487">
        <v>3.3250000499999999</v>
      </c>
      <c r="AE8487">
        <v>2</v>
      </c>
      <c r="AF8487">
        <v>46</v>
      </c>
      <c r="AG8487">
        <v>3.3220000299999999</v>
      </c>
      <c r="AH8487">
        <v>2</v>
      </c>
      <c r="AI8487">
        <v>48</v>
      </c>
      <c r="AJ8487">
        <v>1</v>
      </c>
      <c r="AK8487">
        <v>24</v>
      </c>
      <c r="AL8487">
        <v>39</v>
      </c>
      <c r="AM8487" t="s">
        <v>43</v>
      </c>
      <c r="AN8487" t="s">
        <v>43</v>
      </c>
    </row>
    <row r="8488" spans="1:40" x14ac:dyDescent="0.3">
      <c r="A8488" s="1">
        <v>46210.016898148147</v>
      </c>
      <c r="B8488" t="s">
        <v>40</v>
      </c>
      <c r="C8488" t="s">
        <v>41</v>
      </c>
      <c r="D8488" s="1">
        <v>46210.019826388889</v>
      </c>
      <c r="E8488" t="s">
        <v>42</v>
      </c>
      <c r="F8488" t="s">
        <v>83</v>
      </c>
      <c r="G8488">
        <v>51</v>
      </c>
      <c r="H8488">
        <v>32996</v>
      </c>
      <c r="I8488" t="s">
        <v>4707</v>
      </c>
      <c r="J8488">
        <v>89</v>
      </c>
      <c r="K8488">
        <v>62</v>
      </c>
      <c r="L8488">
        <v>98</v>
      </c>
      <c r="M8488">
        <v>632.29998779000005</v>
      </c>
      <c r="N8488" t="s">
        <v>87</v>
      </c>
      <c r="O8488" t="s">
        <v>86</v>
      </c>
      <c r="P8488">
        <v>131</v>
      </c>
      <c r="Q8488">
        <v>6</v>
      </c>
      <c r="R8488">
        <v>32</v>
      </c>
      <c r="S8488">
        <v>1425</v>
      </c>
      <c r="T8488">
        <v>-40</v>
      </c>
      <c r="U8488">
        <v>44</v>
      </c>
      <c r="V8488">
        <v>240</v>
      </c>
      <c r="W8488">
        <v>28</v>
      </c>
      <c r="X8488">
        <v>28</v>
      </c>
      <c r="Y8488">
        <v>1</v>
      </c>
      <c r="Z8488">
        <v>8</v>
      </c>
      <c r="AA8488">
        <v>24</v>
      </c>
      <c r="AB8488">
        <v>2</v>
      </c>
      <c r="AC8488">
        <v>3</v>
      </c>
      <c r="AD8488">
        <v>3.3010001199999999</v>
      </c>
      <c r="AE8488">
        <v>1</v>
      </c>
      <c r="AF8488">
        <v>44</v>
      </c>
      <c r="AG8488">
        <v>3.2939999100000001</v>
      </c>
      <c r="AH8488">
        <v>4</v>
      </c>
      <c r="AI8488">
        <v>17</v>
      </c>
      <c r="AJ8488">
        <v>1</v>
      </c>
      <c r="AK8488">
        <v>28</v>
      </c>
      <c r="AL8488">
        <v>39</v>
      </c>
      <c r="AM8488" t="s">
        <v>43</v>
      </c>
      <c r="AN8488" t="str">
        <f>HYPERLINK("https://www.google.com/maps?q=10.79018211,79.16578674","Open Location")</f>
        <v>Open Location</v>
      </c>
    </row>
    <row r="8489" spans="1:40" x14ac:dyDescent="0.3">
      <c r="A8489" s="1">
        <v>46210.016782407409</v>
      </c>
      <c r="B8489" t="s">
        <v>40</v>
      </c>
      <c r="C8489" t="s">
        <v>41</v>
      </c>
      <c r="D8489" s="1">
        <v>46210.019652777781</v>
      </c>
      <c r="E8489" t="s">
        <v>42</v>
      </c>
      <c r="F8489" t="s">
        <v>83</v>
      </c>
      <c r="G8489">
        <v>48</v>
      </c>
      <c r="H8489">
        <v>32995</v>
      </c>
      <c r="I8489" t="s">
        <v>4708</v>
      </c>
      <c r="J8489">
        <v>89</v>
      </c>
      <c r="K8489">
        <v>99</v>
      </c>
      <c r="L8489">
        <v>98</v>
      </c>
      <c r="M8489">
        <v>631.09997558999999</v>
      </c>
      <c r="N8489" t="s">
        <v>87</v>
      </c>
      <c r="O8489" t="s">
        <v>86</v>
      </c>
      <c r="P8489">
        <v>131</v>
      </c>
      <c r="Q8489">
        <v>6</v>
      </c>
      <c r="R8489">
        <v>61</v>
      </c>
      <c r="S8489">
        <v>1372</v>
      </c>
      <c r="T8489">
        <v>-40</v>
      </c>
      <c r="U8489">
        <v>44</v>
      </c>
      <c r="V8489">
        <v>400</v>
      </c>
      <c r="W8489">
        <v>28</v>
      </c>
      <c r="X8489">
        <v>28</v>
      </c>
      <c r="Y8489">
        <v>1</v>
      </c>
      <c r="Z8489">
        <v>8</v>
      </c>
      <c r="AA8489">
        <v>24</v>
      </c>
      <c r="AB8489">
        <v>2</v>
      </c>
      <c r="AC8489">
        <v>3</v>
      </c>
      <c r="AD8489">
        <v>3.2939999100000001</v>
      </c>
      <c r="AE8489">
        <v>1</v>
      </c>
      <c r="AF8489">
        <v>44</v>
      </c>
      <c r="AG8489">
        <v>3.28500009</v>
      </c>
      <c r="AH8489">
        <v>4</v>
      </c>
      <c r="AI8489">
        <v>17</v>
      </c>
      <c r="AJ8489">
        <v>1</v>
      </c>
      <c r="AK8489">
        <v>28</v>
      </c>
      <c r="AL8489">
        <v>39</v>
      </c>
      <c r="AM8489" t="s">
        <v>43</v>
      </c>
      <c r="AN8489" t="str">
        <f>HYPERLINK("https://www.google.com/maps?q=10.79056931,79.16428375","Open Location")</f>
        <v>Open Location</v>
      </c>
    </row>
    <row r="8490" spans="1:40" x14ac:dyDescent="0.3">
      <c r="A8490" s="1">
        <v>46210.01666666667</v>
      </c>
      <c r="B8490" t="s">
        <v>40</v>
      </c>
      <c r="C8490" t="s">
        <v>41</v>
      </c>
      <c r="D8490" s="1">
        <v>46210.019675925927</v>
      </c>
      <c r="E8490" t="s">
        <v>42</v>
      </c>
      <c r="F8490" t="s">
        <v>83</v>
      </c>
      <c r="G8490">
        <v>44</v>
      </c>
      <c r="H8490">
        <v>32995</v>
      </c>
      <c r="I8490" t="s">
        <v>4709</v>
      </c>
      <c r="J8490">
        <v>89</v>
      </c>
      <c r="K8490">
        <v>77</v>
      </c>
      <c r="L8490">
        <v>98</v>
      </c>
      <c r="M8490">
        <v>631.59997558999999</v>
      </c>
      <c r="N8490" t="s">
        <v>87</v>
      </c>
      <c r="O8490" t="s">
        <v>86</v>
      </c>
      <c r="P8490">
        <v>131</v>
      </c>
      <c r="Q8490">
        <v>6</v>
      </c>
      <c r="R8490">
        <v>64</v>
      </c>
      <c r="S8490">
        <v>1256</v>
      </c>
      <c r="T8490">
        <v>-40</v>
      </c>
      <c r="U8490">
        <v>44</v>
      </c>
      <c r="V8490">
        <v>350</v>
      </c>
      <c r="W8490">
        <v>28</v>
      </c>
      <c r="X8490">
        <v>28</v>
      </c>
      <c r="Y8490">
        <v>1</v>
      </c>
      <c r="Z8490">
        <v>8</v>
      </c>
      <c r="AA8490">
        <v>24</v>
      </c>
      <c r="AB8490">
        <v>2</v>
      </c>
      <c r="AC8490">
        <v>3</v>
      </c>
      <c r="AD8490">
        <v>3.2969999300000001</v>
      </c>
      <c r="AE8490">
        <v>1</v>
      </c>
      <c r="AF8490">
        <v>41</v>
      </c>
      <c r="AG8490">
        <v>3.28900003</v>
      </c>
      <c r="AH8490">
        <v>4</v>
      </c>
      <c r="AI8490">
        <v>17</v>
      </c>
      <c r="AJ8490">
        <v>1</v>
      </c>
      <c r="AK8490">
        <v>28</v>
      </c>
      <c r="AL8490">
        <v>39</v>
      </c>
      <c r="AM8490" t="s">
        <v>43</v>
      </c>
      <c r="AN8490" t="str">
        <f>HYPERLINK("https://www.google.com/maps?q=10.79104328,79.16282654","Open Location")</f>
        <v>Open Location</v>
      </c>
    </row>
    <row r="8491" spans="1:40" x14ac:dyDescent="0.3">
      <c r="A8491" s="1">
        <v>46210.016550925924</v>
      </c>
      <c r="B8491" t="s">
        <v>40</v>
      </c>
      <c r="C8491" t="s">
        <v>41</v>
      </c>
      <c r="D8491" s="1">
        <v>46210.019432870373</v>
      </c>
      <c r="E8491" t="s">
        <v>42</v>
      </c>
      <c r="F8491" t="s">
        <v>83</v>
      </c>
      <c r="G8491">
        <v>45</v>
      </c>
      <c r="H8491">
        <v>32995</v>
      </c>
      <c r="I8491" t="s">
        <v>4710</v>
      </c>
      <c r="J8491">
        <v>89</v>
      </c>
      <c r="K8491">
        <v>66</v>
      </c>
      <c r="L8491">
        <v>98</v>
      </c>
      <c r="M8491">
        <v>632.20001220999995</v>
      </c>
      <c r="N8491" t="s">
        <v>87</v>
      </c>
      <c r="O8491" t="s">
        <v>86</v>
      </c>
      <c r="P8491">
        <v>131</v>
      </c>
      <c r="Q8491">
        <v>6</v>
      </c>
      <c r="R8491">
        <v>-39</v>
      </c>
      <c r="S8491">
        <v>1156</v>
      </c>
      <c r="T8491">
        <v>-40</v>
      </c>
      <c r="U8491">
        <v>43</v>
      </c>
      <c r="V8491">
        <v>396</v>
      </c>
      <c r="W8491">
        <v>28</v>
      </c>
      <c r="X8491">
        <v>28</v>
      </c>
      <c r="Y8491">
        <v>1</v>
      </c>
      <c r="Z8491">
        <v>8</v>
      </c>
      <c r="AA8491">
        <v>24</v>
      </c>
      <c r="AB8491">
        <v>2</v>
      </c>
      <c r="AC8491">
        <v>3</v>
      </c>
      <c r="AD8491">
        <v>3.3039999</v>
      </c>
      <c r="AE8491">
        <v>1</v>
      </c>
      <c r="AF8491">
        <v>44</v>
      </c>
      <c r="AG8491">
        <v>3.2969999300000001</v>
      </c>
      <c r="AH8491">
        <v>4</v>
      </c>
      <c r="AI8491">
        <v>17</v>
      </c>
      <c r="AJ8491">
        <v>1</v>
      </c>
      <c r="AK8491">
        <v>28</v>
      </c>
      <c r="AL8491">
        <v>39</v>
      </c>
      <c r="AM8491" t="s">
        <v>43</v>
      </c>
      <c r="AN8491" t="str">
        <f>HYPERLINK("https://www.google.com/maps?q=10.79208279,79.16204834","Open Location")</f>
        <v>Open Location</v>
      </c>
    </row>
    <row r="8492" spans="1:40" x14ac:dyDescent="0.3">
      <c r="A8492" s="1">
        <v>46210.016435185185</v>
      </c>
      <c r="B8492" t="s">
        <v>40</v>
      </c>
      <c r="C8492" t="s">
        <v>41</v>
      </c>
      <c r="D8492" s="1">
        <v>46210.019247685188</v>
      </c>
      <c r="E8492" t="s">
        <v>42</v>
      </c>
      <c r="F8492" t="s">
        <v>83</v>
      </c>
      <c r="G8492">
        <v>49</v>
      </c>
      <c r="H8492" t="s">
        <v>43</v>
      </c>
      <c r="I8492" t="s">
        <v>43</v>
      </c>
      <c r="J8492">
        <v>89</v>
      </c>
      <c r="K8492">
        <v>54</v>
      </c>
      <c r="L8492">
        <v>98</v>
      </c>
      <c r="M8492">
        <v>633.20001220999995</v>
      </c>
      <c r="N8492" t="s">
        <v>87</v>
      </c>
      <c r="O8492" t="s">
        <v>86</v>
      </c>
      <c r="P8492">
        <v>131</v>
      </c>
      <c r="Q8492">
        <v>6</v>
      </c>
      <c r="R8492">
        <v>33</v>
      </c>
      <c r="S8492">
        <v>1347</v>
      </c>
      <c r="T8492">
        <v>-40</v>
      </c>
      <c r="U8492">
        <v>43</v>
      </c>
      <c r="V8492">
        <v>220</v>
      </c>
      <c r="W8492">
        <v>28</v>
      </c>
      <c r="X8492">
        <v>28</v>
      </c>
      <c r="Y8492">
        <v>1</v>
      </c>
      <c r="Z8492">
        <v>8</v>
      </c>
      <c r="AA8492">
        <v>24</v>
      </c>
      <c r="AB8492">
        <v>2</v>
      </c>
      <c r="AC8492">
        <v>3</v>
      </c>
      <c r="AD8492">
        <v>3.3039999</v>
      </c>
      <c r="AE8492">
        <v>1</v>
      </c>
      <c r="AF8492">
        <v>38</v>
      </c>
      <c r="AG8492">
        <v>3.2990000199999998</v>
      </c>
      <c r="AH8492">
        <v>4</v>
      </c>
      <c r="AI8492">
        <v>17</v>
      </c>
      <c r="AJ8492">
        <v>1</v>
      </c>
      <c r="AK8492">
        <v>28</v>
      </c>
      <c r="AL8492">
        <v>39</v>
      </c>
      <c r="AM8492" t="s">
        <v>43</v>
      </c>
      <c r="AN8492" t="s">
        <v>43</v>
      </c>
    </row>
    <row r="8493" spans="1:40" x14ac:dyDescent="0.3">
      <c r="A8493" s="1">
        <v>46210.016319444447</v>
      </c>
      <c r="B8493" t="s">
        <v>40</v>
      </c>
      <c r="C8493" t="s">
        <v>41</v>
      </c>
      <c r="D8493" s="1">
        <v>46210.019247685188</v>
      </c>
      <c r="E8493" t="s">
        <v>42</v>
      </c>
      <c r="F8493" t="s">
        <v>83</v>
      </c>
      <c r="G8493">
        <v>48</v>
      </c>
      <c r="H8493">
        <v>32995</v>
      </c>
      <c r="I8493" t="s">
        <v>4711</v>
      </c>
      <c r="J8493">
        <v>89</v>
      </c>
      <c r="K8493">
        <v>59</v>
      </c>
      <c r="L8493">
        <v>98</v>
      </c>
      <c r="M8493">
        <v>632.90002441000001</v>
      </c>
      <c r="N8493" t="s">
        <v>87</v>
      </c>
      <c r="O8493" t="s">
        <v>86</v>
      </c>
      <c r="P8493">
        <v>131</v>
      </c>
      <c r="Q8493">
        <v>6</v>
      </c>
      <c r="R8493">
        <v>27</v>
      </c>
      <c r="S8493">
        <v>1353</v>
      </c>
      <c r="T8493">
        <v>-40</v>
      </c>
      <c r="U8493">
        <v>43</v>
      </c>
      <c r="V8493">
        <v>240</v>
      </c>
      <c r="W8493">
        <v>28</v>
      </c>
      <c r="X8493">
        <v>28</v>
      </c>
      <c r="Y8493">
        <v>1</v>
      </c>
      <c r="Z8493">
        <v>8</v>
      </c>
      <c r="AA8493">
        <v>24</v>
      </c>
      <c r="AB8493">
        <v>2</v>
      </c>
      <c r="AC8493">
        <v>3</v>
      </c>
      <c r="AD8493">
        <v>3.3020000500000002</v>
      </c>
      <c r="AE8493">
        <v>1</v>
      </c>
      <c r="AF8493">
        <v>44</v>
      </c>
      <c r="AG8493">
        <v>3.2959999999999998</v>
      </c>
      <c r="AH8493">
        <v>4</v>
      </c>
      <c r="AI8493">
        <v>17</v>
      </c>
      <c r="AJ8493">
        <v>1</v>
      </c>
      <c r="AK8493">
        <v>28</v>
      </c>
      <c r="AL8493">
        <v>39</v>
      </c>
      <c r="AM8493" t="s">
        <v>43</v>
      </c>
      <c r="AN8493" t="str">
        <f>HYPERLINK("https://www.google.com/maps?q=10.79344654,79.16152954","Open Location")</f>
        <v>Open Location</v>
      </c>
    </row>
    <row r="8494" spans="1:40" x14ac:dyDescent="0.3">
      <c r="A8494" s="1">
        <v>46210.016203703701</v>
      </c>
      <c r="B8494" t="s">
        <v>40</v>
      </c>
      <c r="C8494" t="s">
        <v>41</v>
      </c>
      <c r="D8494" s="1">
        <v>46210.019120370373</v>
      </c>
      <c r="E8494" t="s">
        <v>42</v>
      </c>
      <c r="F8494" t="s">
        <v>83</v>
      </c>
      <c r="G8494">
        <v>50</v>
      </c>
      <c r="H8494">
        <v>32995</v>
      </c>
      <c r="I8494" t="s">
        <v>4712</v>
      </c>
      <c r="J8494">
        <v>89</v>
      </c>
      <c r="K8494">
        <v>71</v>
      </c>
      <c r="L8494">
        <v>98</v>
      </c>
      <c r="M8494">
        <v>632.59997558999999</v>
      </c>
      <c r="N8494" t="s">
        <v>87</v>
      </c>
      <c r="O8494" t="s">
        <v>86</v>
      </c>
      <c r="P8494">
        <v>131</v>
      </c>
      <c r="Q8494">
        <v>6</v>
      </c>
      <c r="R8494">
        <v>23</v>
      </c>
      <c r="S8494">
        <v>1315</v>
      </c>
      <c r="T8494">
        <v>-40</v>
      </c>
      <c r="U8494">
        <v>43</v>
      </c>
      <c r="V8494">
        <v>300</v>
      </c>
      <c r="W8494">
        <v>28</v>
      </c>
      <c r="X8494">
        <v>28</v>
      </c>
      <c r="Y8494">
        <v>1</v>
      </c>
      <c r="Z8494">
        <v>8</v>
      </c>
      <c r="AA8494">
        <v>24</v>
      </c>
      <c r="AB8494">
        <v>2</v>
      </c>
      <c r="AC8494">
        <v>3</v>
      </c>
      <c r="AD8494">
        <v>3.3010001199999999</v>
      </c>
      <c r="AE8494">
        <v>1</v>
      </c>
      <c r="AF8494">
        <v>44</v>
      </c>
      <c r="AG8494">
        <v>3.2939999100000001</v>
      </c>
      <c r="AH8494">
        <v>4</v>
      </c>
      <c r="AI8494">
        <v>17</v>
      </c>
      <c r="AJ8494">
        <v>1</v>
      </c>
      <c r="AK8494">
        <v>29</v>
      </c>
      <c r="AL8494">
        <v>39</v>
      </c>
      <c r="AM8494" t="s">
        <v>43</v>
      </c>
      <c r="AN8494" t="str">
        <f>HYPERLINK("https://www.google.com/maps?q=10.79487419,79.16127777","Open Location")</f>
        <v>Open Location</v>
      </c>
    </row>
    <row r="8495" spans="1:40" x14ac:dyDescent="0.3">
      <c r="A8495" s="1">
        <v>46210.016087962962</v>
      </c>
      <c r="B8495" t="s">
        <v>40</v>
      </c>
      <c r="C8495" t="s">
        <v>41</v>
      </c>
      <c r="D8495" s="1">
        <v>46210.019293981481</v>
      </c>
      <c r="E8495" t="s">
        <v>42</v>
      </c>
      <c r="F8495" t="s">
        <v>83</v>
      </c>
      <c r="G8495">
        <v>51</v>
      </c>
      <c r="H8495" t="s">
        <v>43</v>
      </c>
      <c r="I8495" t="s">
        <v>4713</v>
      </c>
      <c r="J8495">
        <v>89</v>
      </c>
      <c r="K8495">
        <v>75</v>
      </c>
      <c r="L8495">
        <v>98</v>
      </c>
      <c r="M8495">
        <v>632.40002441000001</v>
      </c>
      <c r="N8495" t="s">
        <v>87</v>
      </c>
      <c r="O8495" t="s">
        <v>86</v>
      </c>
      <c r="P8495">
        <v>131</v>
      </c>
      <c r="Q8495">
        <v>6</v>
      </c>
      <c r="R8495">
        <v>35</v>
      </c>
      <c r="S8495">
        <v>1404</v>
      </c>
      <c r="T8495">
        <v>-40</v>
      </c>
      <c r="U8495">
        <v>43</v>
      </c>
      <c r="V8495">
        <v>300</v>
      </c>
      <c r="W8495">
        <v>28</v>
      </c>
      <c r="X8495">
        <v>28</v>
      </c>
      <c r="Y8495">
        <v>1</v>
      </c>
      <c r="Z8495">
        <v>8</v>
      </c>
      <c r="AA8495">
        <v>24</v>
      </c>
      <c r="AB8495">
        <v>2</v>
      </c>
      <c r="AC8495">
        <v>3</v>
      </c>
      <c r="AD8495">
        <v>3.2999999500000001</v>
      </c>
      <c r="AE8495">
        <v>1</v>
      </c>
      <c r="AF8495">
        <v>41</v>
      </c>
      <c r="AG8495">
        <v>3.2929999799999998</v>
      </c>
      <c r="AH8495">
        <v>4</v>
      </c>
      <c r="AI8495">
        <v>17</v>
      </c>
      <c r="AJ8495">
        <v>1</v>
      </c>
      <c r="AK8495">
        <v>28</v>
      </c>
      <c r="AL8495">
        <v>39</v>
      </c>
      <c r="AM8495" t="s">
        <v>43</v>
      </c>
      <c r="AN8495" t="str">
        <f>HYPERLINK("https://www.google.com/maps?q=10.79638577,79.16109467","Open Location")</f>
        <v>Open Location</v>
      </c>
    </row>
    <row r="8496" spans="1:40" x14ac:dyDescent="0.3">
      <c r="A8496" s="1">
        <v>46210.015972222223</v>
      </c>
      <c r="B8496" t="s">
        <v>40</v>
      </c>
      <c r="C8496" t="s">
        <v>41</v>
      </c>
      <c r="D8496" s="1">
        <v>46210.018761574072</v>
      </c>
      <c r="E8496" t="s">
        <v>42</v>
      </c>
      <c r="F8496" t="s">
        <v>83</v>
      </c>
      <c r="G8496">
        <v>51</v>
      </c>
      <c r="H8496">
        <v>32995</v>
      </c>
      <c r="I8496" t="s">
        <v>4714</v>
      </c>
      <c r="J8496">
        <v>89</v>
      </c>
      <c r="K8496">
        <v>52</v>
      </c>
      <c r="L8496">
        <v>98</v>
      </c>
      <c r="M8496">
        <v>633.40002441000001</v>
      </c>
      <c r="N8496" t="s">
        <v>87</v>
      </c>
      <c r="O8496" t="s">
        <v>86</v>
      </c>
      <c r="P8496">
        <v>131</v>
      </c>
      <c r="Q8496">
        <v>6</v>
      </c>
      <c r="R8496">
        <v>23</v>
      </c>
      <c r="S8496">
        <v>1413</v>
      </c>
      <c r="T8496">
        <v>-40</v>
      </c>
      <c r="U8496">
        <v>43</v>
      </c>
      <c r="V8496">
        <v>200</v>
      </c>
      <c r="W8496">
        <v>28</v>
      </c>
      <c r="X8496">
        <v>28</v>
      </c>
      <c r="Y8496">
        <v>1</v>
      </c>
      <c r="Z8496">
        <v>8</v>
      </c>
      <c r="AA8496">
        <v>24</v>
      </c>
      <c r="AB8496">
        <v>2</v>
      </c>
      <c r="AC8496">
        <v>3</v>
      </c>
      <c r="AD8496">
        <v>3.3039999</v>
      </c>
      <c r="AE8496">
        <v>1</v>
      </c>
      <c r="AF8496">
        <v>44</v>
      </c>
      <c r="AG8496">
        <v>3.2980000999999999</v>
      </c>
      <c r="AH8496">
        <v>4</v>
      </c>
      <c r="AI8496">
        <v>17</v>
      </c>
      <c r="AJ8496">
        <v>1</v>
      </c>
      <c r="AK8496">
        <v>28</v>
      </c>
      <c r="AL8496">
        <v>39</v>
      </c>
      <c r="AM8496" t="s">
        <v>43</v>
      </c>
      <c r="AN8496" t="str">
        <f>HYPERLINK("https://www.google.com/maps?q=10.79792309,79.16090393","Open Location")</f>
        <v>Open Location</v>
      </c>
    </row>
    <row r="8497" spans="1:40" x14ac:dyDescent="0.3">
      <c r="A8497" s="1">
        <v>46210.015856481485</v>
      </c>
      <c r="B8497" t="s">
        <v>40</v>
      </c>
      <c r="C8497" t="s">
        <v>41</v>
      </c>
      <c r="D8497" s="1">
        <v>46210.018923611111</v>
      </c>
      <c r="E8497" t="s">
        <v>42</v>
      </c>
      <c r="F8497" t="s">
        <v>83</v>
      </c>
      <c r="G8497">
        <v>52</v>
      </c>
      <c r="H8497">
        <v>32994</v>
      </c>
      <c r="I8497" t="s">
        <v>4715</v>
      </c>
      <c r="J8497">
        <v>89</v>
      </c>
      <c r="K8497">
        <v>65</v>
      </c>
      <c r="L8497">
        <v>98</v>
      </c>
      <c r="M8497">
        <v>632.70001220999995</v>
      </c>
      <c r="N8497" t="s">
        <v>87</v>
      </c>
      <c r="O8497" t="s">
        <v>86</v>
      </c>
      <c r="P8497">
        <v>131</v>
      </c>
      <c r="Q8497">
        <v>6</v>
      </c>
      <c r="R8497">
        <v>36</v>
      </c>
      <c r="S8497">
        <v>1468</v>
      </c>
      <c r="T8497">
        <v>-40</v>
      </c>
      <c r="U8497">
        <v>43</v>
      </c>
      <c r="V8497">
        <v>240</v>
      </c>
      <c r="W8497">
        <v>28</v>
      </c>
      <c r="X8497">
        <v>28</v>
      </c>
      <c r="Y8497">
        <v>1</v>
      </c>
      <c r="Z8497">
        <v>8</v>
      </c>
      <c r="AA8497">
        <v>24</v>
      </c>
      <c r="AB8497">
        <v>2</v>
      </c>
      <c r="AC8497">
        <v>3</v>
      </c>
      <c r="AD8497">
        <v>3.3039999</v>
      </c>
      <c r="AE8497">
        <v>1</v>
      </c>
      <c r="AF8497">
        <v>44</v>
      </c>
      <c r="AG8497">
        <v>3.2980000999999999</v>
      </c>
      <c r="AH8497">
        <v>4</v>
      </c>
      <c r="AI8497">
        <v>17</v>
      </c>
      <c r="AJ8497">
        <v>1</v>
      </c>
      <c r="AK8497">
        <v>29</v>
      </c>
      <c r="AL8497">
        <v>39</v>
      </c>
      <c r="AM8497" t="s">
        <v>43</v>
      </c>
      <c r="AN8497" t="str">
        <f>HYPERLINK("https://www.google.com/maps?q=10.79951382,79.16070557","Open Location")</f>
        <v>Open Location</v>
      </c>
    </row>
    <row r="8498" spans="1:40" x14ac:dyDescent="0.3">
      <c r="A8498" s="1">
        <v>46210.015740740739</v>
      </c>
      <c r="B8498" t="s">
        <v>40</v>
      </c>
      <c r="C8498" t="s">
        <v>41</v>
      </c>
      <c r="D8498" s="1">
        <v>46210.018564814818</v>
      </c>
      <c r="E8498" t="s">
        <v>42</v>
      </c>
      <c r="F8498" t="s">
        <v>83</v>
      </c>
      <c r="G8498">
        <v>53</v>
      </c>
      <c r="H8498">
        <v>32994</v>
      </c>
      <c r="I8498" t="s">
        <v>43</v>
      </c>
      <c r="J8498">
        <v>89</v>
      </c>
      <c r="K8498">
        <v>61</v>
      </c>
      <c r="L8498">
        <v>98</v>
      </c>
      <c r="M8498">
        <v>632.5</v>
      </c>
      <c r="N8498" t="s">
        <v>87</v>
      </c>
      <c r="O8498" t="s">
        <v>86</v>
      </c>
      <c r="P8498">
        <v>131</v>
      </c>
      <c r="Q8498">
        <v>6</v>
      </c>
      <c r="R8498">
        <v>33</v>
      </c>
      <c r="S8498">
        <v>1460</v>
      </c>
      <c r="T8498">
        <v>-40</v>
      </c>
      <c r="U8498">
        <v>43</v>
      </c>
      <c r="V8498">
        <v>220</v>
      </c>
      <c r="W8498">
        <v>28</v>
      </c>
      <c r="X8498">
        <v>28</v>
      </c>
      <c r="Y8498">
        <v>1</v>
      </c>
      <c r="Z8498">
        <v>8</v>
      </c>
      <c r="AA8498">
        <v>24</v>
      </c>
      <c r="AB8498">
        <v>2</v>
      </c>
      <c r="AC8498">
        <v>3</v>
      </c>
      <c r="AD8498">
        <v>3.3010001199999999</v>
      </c>
      <c r="AE8498">
        <v>1</v>
      </c>
      <c r="AF8498">
        <v>44</v>
      </c>
      <c r="AG8498">
        <v>3.2939999100000001</v>
      </c>
      <c r="AH8498">
        <v>4</v>
      </c>
      <c r="AI8498">
        <v>17</v>
      </c>
      <c r="AJ8498">
        <v>1</v>
      </c>
      <c r="AK8498">
        <v>28</v>
      </c>
      <c r="AL8498">
        <v>39</v>
      </c>
      <c r="AM8498" t="s">
        <v>43</v>
      </c>
      <c r="AN8498" t="s">
        <v>43</v>
      </c>
    </row>
    <row r="8499" spans="1:40" x14ac:dyDescent="0.3">
      <c r="A8499" s="1">
        <v>46210.015625</v>
      </c>
      <c r="B8499" t="s">
        <v>40</v>
      </c>
      <c r="C8499" t="s">
        <v>41</v>
      </c>
      <c r="D8499" s="1">
        <v>46210.018194444441</v>
      </c>
      <c r="E8499" t="s">
        <v>42</v>
      </c>
      <c r="F8499" t="s">
        <v>83</v>
      </c>
      <c r="G8499">
        <v>53</v>
      </c>
      <c r="H8499">
        <v>32994</v>
      </c>
      <c r="I8499" t="s">
        <v>4716</v>
      </c>
      <c r="J8499">
        <v>89</v>
      </c>
      <c r="K8499">
        <v>75</v>
      </c>
      <c r="L8499">
        <v>98</v>
      </c>
      <c r="M8499">
        <v>632.09997558999999</v>
      </c>
      <c r="N8499" t="s">
        <v>87</v>
      </c>
      <c r="O8499" t="s">
        <v>86</v>
      </c>
      <c r="P8499">
        <v>131</v>
      </c>
      <c r="Q8499">
        <v>6</v>
      </c>
      <c r="R8499">
        <v>20</v>
      </c>
      <c r="S8499">
        <v>1483</v>
      </c>
      <c r="T8499">
        <v>-40</v>
      </c>
      <c r="U8499">
        <v>44</v>
      </c>
      <c r="V8499">
        <v>280</v>
      </c>
      <c r="W8499" t="s">
        <v>43</v>
      </c>
      <c r="X8499" t="s">
        <v>43</v>
      </c>
      <c r="Y8499" t="s">
        <v>43</v>
      </c>
      <c r="Z8499" t="s">
        <v>43</v>
      </c>
      <c r="AA8499" t="s">
        <v>43</v>
      </c>
      <c r="AB8499" t="s">
        <v>43</v>
      </c>
      <c r="AC8499" t="s">
        <v>43</v>
      </c>
      <c r="AD8499">
        <v>3.2990000199999998</v>
      </c>
      <c r="AE8499">
        <v>1</v>
      </c>
      <c r="AF8499">
        <v>38</v>
      </c>
      <c r="AG8499">
        <v>3.2920000599999999</v>
      </c>
      <c r="AH8499">
        <v>4</v>
      </c>
      <c r="AI8499">
        <v>17</v>
      </c>
      <c r="AJ8499">
        <v>1</v>
      </c>
      <c r="AK8499">
        <v>29</v>
      </c>
      <c r="AL8499">
        <v>39</v>
      </c>
      <c r="AM8499" t="s">
        <v>43</v>
      </c>
      <c r="AN8499" t="str">
        <f>HYPERLINK("https://www.google.com/maps?q=10.80103683,79.15988159","Open Location")</f>
        <v>Open Location</v>
      </c>
    </row>
    <row r="8500" spans="1:40" x14ac:dyDescent="0.3">
      <c r="A8500" s="1">
        <v>46210.015509259261</v>
      </c>
      <c r="B8500" t="s">
        <v>40</v>
      </c>
      <c r="C8500" t="s">
        <v>41</v>
      </c>
      <c r="D8500" s="1">
        <v>46210.018321759257</v>
      </c>
      <c r="E8500" t="s">
        <v>42</v>
      </c>
      <c r="F8500" t="s">
        <v>83</v>
      </c>
      <c r="G8500">
        <v>53</v>
      </c>
      <c r="H8500">
        <v>32994</v>
      </c>
      <c r="I8500" t="s">
        <v>4717</v>
      </c>
      <c r="J8500">
        <v>89</v>
      </c>
      <c r="K8500">
        <v>76</v>
      </c>
      <c r="L8500">
        <v>98</v>
      </c>
      <c r="M8500">
        <v>631.5</v>
      </c>
      <c r="N8500" t="s">
        <v>87</v>
      </c>
      <c r="O8500" t="s">
        <v>86</v>
      </c>
      <c r="P8500">
        <v>131</v>
      </c>
      <c r="Q8500">
        <v>6</v>
      </c>
      <c r="R8500">
        <v>42</v>
      </c>
      <c r="S8500">
        <v>1474</v>
      </c>
      <c r="T8500">
        <v>-40</v>
      </c>
      <c r="U8500">
        <v>44</v>
      </c>
      <c r="V8500">
        <v>300</v>
      </c>
      <c r="W8500">
        <v>28</v>
      </c>
      <c r="X8500">
        <v>28</v>
      </c>
      <c r="Y8500">
        <v>1</v>
      </c>
      <c r="Z8500">
        <v>8</v>
      </c>
      <c r="AA8500">
        <v>24</v>
      </c>
      <c r="AB8500">
        <v>2</v>
      </c>
      <c r="AC8500">
        <v>3</v>
      </c>
      <c r="AD8500">
        <v>3.2980000999999999</v>
      </c>
      <c r="AE8500">
        <v>1</v>
      </c>
      <c r="AF8500">
        <v>44</v>
      </c>
      <c r="AG8500">
        <v>3.2899999599999998</v>
      </c>
      <c r="AH8500">
        <v>4</v>
      </c>
      <c r="AI8500">
        <v>17</v>
      </c>
      <c r="AJ8500">
        <v>1</v>
      </c>
      <c r="AK8500">
        <v>28</v>
      </c>
      <c r="AL8500">
        <v>39</v>
      </c>
      <c r="AM8500" t="s">
        <v>43</v>
      </c>
      <c r="AN8500" t="str">
        <f>HYPERLINK("https://www.google.com/maps?q=10.80226612,79.15881348","Open Location")</f>
        <v>Open Location</v>
      </c>
    </row>
    <row r="8501" spans="1:40" x14ac:dyDescent="0.3">
      <c r="A8501" s="1">
        <v>46210.015393518515</v>
      </c>
      <c r="B8501" t="s">
        <v>40</v>
      </c>
      <c r="C8501" t="s">
        <v>41</v>
      </c>
      <c r="D8501" s="1">
        <v>46210.018460648149</v>
      </c>
      <c r="E8501" t="s">
        <v>42</v>
      </c>
      <c r="F8501" t="s">
        <v>83</v>
      </c>
      <c r="G8501">
        <v>52</v>
      </c>
      <c r="H8501">
        <v>32994</v>
      </c>
      <c r="I8501" t="s">
        <v>4718</v>
      </c>
      <c r="J8501">
        <v>89</v>
      </c>
      <c r="K8501">
        <v>89</v>
      </c>
      <c r="L8501">
        <v>98</v>
      </c>
      <c r="M8501">
        <v>632</v>
      </c>
      <c r="N8501" t="s">
        <v>87</v>
      </c>
      <c r="O8501" t="s">
        <v>86</v>
      </c>
      <c r="P8501">
        <v>131</v>
      </c>
      <c r="Q8501">
        <v>6</v>
      </c>
      <c r="R8501">
        <v>33</v>
      </c>
      <c r="S8501">
        <v>1456</v>
      </c>
      <c r="T8501">
        <v>-40</v>
      </c>
      <c r="U8501">
        <v>43</v>
      </c>
      <c r="V8501">
        <v>360</v>
      </c>
      <c r="W8501">
        <v>28</v>
      </c>
      <c r="X8501">
        <v>28</v>
      </c>
      <c r="Y8501">
        <v>1</v>
      </c>
      <c r="Z8501">
        <v>8</v>
      </c>
      <c r="AA8501">
        <v>24</v>
      </c>
      <c r="AB8501">
        <v>2</v>
      </c>
      <c r="AC8501">
        <v>3</v>
      </c>
      <c r="AD8501">
        <v>3.2969999300000001</v>
      </c>
      <c r="AE8501">
        <v>1</v>
      </c>
      <c r="AF8501">
        <v>38</v>
      </c>
      <c r="AG8501">
        <v>3.28900003</v>
      </c>
      <c r="AH8501">
        <v>4</v>
      </c>
      <c r="AI8501">
        <v>17</v>
      </c>
      <c r="AJ8501">
        <v>1</v>
      </c>
      <c r="AK8501">
        <v>28</v>
      </c>
      <c r="AL8501">
        <v>39</v>
      </c>
      <c r="AM8501" t="s">
        <v>43</v>
      </c>
      <c r="AN8501" t="str">
        <f>HYPERLINK("https://www.google.com/maps?q=10.80348206,79.15776062","Open Location")</f>
        <v>Open Location</v>
      </c>
    </row>
    <row r="8502" spans="1:40" x14ac:dyDescent="0.3">
      <c r="A8502" s="1">
        <v>46210.015277777777</v>
      </c>
      <c r="B8502" t="s">
        <v>40</v>
      </c>
      <c r="C8502" t="s">
        <v>41</v>
      </c>
      <c r="D8502" s="1">
        <v>46210.018055555556</v>
      </c>
      <c r="E8502" t="s">
        <v>42</v>
      </c>
      <c r="F8502" t="s">
        <v>83</v>
      </c>
      <c r="G8502">
        <v>52</v>
      </c>
      <c r="H8502">
        <v>32994</v>
      </c>
      <c r="I8502" t="s">
        <v>4719</v>
      </c>
      <c r="J8502">
        <v>89</v>
      </c>
      <c r="K8502">
        <v>56</v>
      </c>
      <c r="L8502">
        <v>98</v>
      </c>
      <c r="M8502">
        <v>632.59997558999999</v>
      </c>
      <c r="N8502" t="s">
        <v>87</v>
      </c>
      <c r="O8502" t="s">
        <v>86</v>
      </c>
      <c r="P8502">
        <v>131</v>
      </c>
      <c r="Q8502">
        <v>6</v>
      </c>
      <c r="R8502">
        <v>33</v>
      </c>
      <c r="S8502">
        <v>1446</v>
      </c>
      <c r="T8502">
        <v>-40</v>
      </c>
      <c r="U8502">
        <v>44</v>
      </c>
      <c r="V8502">
        <v>220</v>
      </c>
      <c r="W8502">
        <v>28</v>
      </c>
      <c r="X8502">
        <v>28</v>
      </c>
      <c r="Y8502">
        <v>1</v>
      </c>
      <c r="Z8502">
        <v>8</v>
      </c>
      <c r="AA8502">
        <v>24</v>
      </c>
      <c r="AB8502">
        <v>2</v>
      </c>
      <c r="AC8502">
        <v>3</v>
      </c>
      <c r="AD8502">
        <v>3.3010001199999999</v>
      </c>
      <c r="AE8502">
        <v>1</v>
      </c>
      <c r="AF8502">
        <v>44</v>
      </c>
      <c r="AG8502">
        <v>3.2939999100000001</v>
      </c>
      <c r="AH8502">
        <v>4</v>
      </c>
      <c r="AI8502">
        <v>17</v>
      </c>
      <c r="AJ8502">
        <v>1</v>
      </c>
      <c r="AK8502">
        <v>28</v>
      </c>
      <c r="AL8502">
        <v>39</v>
      </c>
      <c r="AM8502" t="s">
        <v>43</v>
      </c>
      <c r="AN8502" t="str">
        <f>HYPERLINK("https://www.google.com/maps?q=10.80468464,79.15671539","Open Location")</f>
        <v>Open Location</v>
      </c>
    </row>
    <row r="8503" spans="1:40" x14ac:dyDescent="0.3">
      <c r="A8503" s="1">
        <v>46210.015162037038</v>
      </c>
      <c r="B8503" t="s">
        <v>40</v>
      </c>
      <c r="C8503" t="s">
        <v>41</v>
      </c>
      <c r="D8503" s="1">
        <v>46210.018125000002</v>
      </c>
      <c r="E8503" t="s">
        <v>42</v>
      </c>
      <c r="F8503" t="s">
        <v>83</v>
      </c>
      <c r="G8503">
        <v>51</v>
      </c>
      <c r="H8503">
        <v>32994</v>
      </c>
      <c r="I8503" t="s">
        <v>4720</v>
      </c>
      <c r="J8503">
        <v>89</v>
      </c>
      <c r="K8503">
        <v>88</v>
      </c>
      <c r="L8503">
        <v>98</v>
      </c>
      <c r="M8503">
        <v>631.59997558999999</v>
      </c>
      <c r="N8503" t="s">
        <v>87</v>
      </c>
      <c r="O8503" t="s">
        <v>86</v>
      </c>
      <c r="P8503">
        <v>131</v>
      </c>
      <c r="Q8503">
        <v>6</v>
      </c>
      <c r="R8503">
        <v>47</v>
      </c>
      <c r="S8503">
        <v>1435</v>
      </c>
      <c r="T8503">
        <v>-40</v>
      </c>
      <c r="U8503">
        <v>44</v>
      </c>
      <c r="V8503">
        <v>340</v>
      </c>
      <c r="W8503">
        <v>28</v>
      </c>
      <c r="X8503">
        <v>28</v>
      </c>
      <c r="Y8503">
        <v>1</v>
      </c>
      <c r="Z8503">
        <v>8</v>
      </c>
      <c r="AA8503">
        <v>24</v>
      </c>
      <c r="AB8503">
        <v>2</v>
      </c>
      <c r="AC8503">
        <v>3</v>
      </c>
      <c r="AD8503">
        <v>3.2969999300000001</v>
      </c>
      <c r="AE8503">
        <v>1</v>
      </c>
      <c r="AF8503">
        <v>44</v>
      </c>
      <c r="AG8503">
        <v>3.28900003</v>
      </c>
      <c r="AH8503">
        <v>4</v>
      </c>
      <c r="AI8503">
        <v>17</v>
      </c>
      <c r="AJ8503">
        <v>1</v>
      </c>
      <c r="AK8503">
        <v>28</v>
      </c>
      <c r="AL8503">
        <v>39</v>
      </c>
      <c r="AM8503" t="s">
        <v>43</v>
      </c>
      <c r="AN8503" t="str">
        <f>HYPERLINK("https://www.google.com/maps?q=10.80587196,79.15567017","Open Location")</f>
        <v>Open Location</v>
      </c>
    </row>
    <row r="8504" spans="1:40" x14ac:dyDescent="0.3">
      <c r="A8504" s="1">
        <v>46210.015046296299</v>
      </c>
      <c r="B8504" t="s">
        <v>40</v>
      </c>
      <c r="C8504" t="s">
        <v>41</v>
      </c>
      <c r="D8504" s="1">
        <v>46210.017847222225</v>
      </c>
      <c r="E8504" t="s">
        <v>42</v>
      </c>
      <c r="F8504" t="s">
        <v>83</v>
      </c>
      <c r="G8504">
        <v>51</v>
      </c>
      <c r="H8504">
        <v>32993</v>
      </c>
      <c r="I8504" t="s">
        <v>43</v>
      </c>
      <c r="J8504">
        <v>89</v>
      </c>
      <c r="K8504">
        <v>78</v>
      </c>
      <c r="L8504">
        <v>98</v>
      </c>
      <c r="M8504">
        <v>632.20001220999995</v>
      </c>
      <c r="N8504" t="s">
        <v>87</v>
      </c>
      <c r="O8504" t="s">
        <v>86</v>
      </c>
      <c r="P8504">
        <v>131</v>
      </c>
      <c r="Q8504">
        <v>6</v>
      </c>
      <c r="R8504">
        <v>32</v>
      </c>
      <c r="S8504">
        <v>1395</v>
      </c>
      <c r="T8504">
        <v>-40</v>
      </c>
      <c r="U8504">
        <v>43</v>
      </c>
      <c r="V8504">
        <v>320</v>
      </c>
      <c r="W8504">
        <v>28</v>
      </c>
      <c r="X8504">
        <v>28</v>
      </c>
      <c r="Y8504">
        <v>1</v>
      </c>
      <c r="Z8504">
        <v>8</v>
      </c>
      <c r="AA8504">
        <v>24</v>
      </c>
      <c r="AB8504">
        <v>2</v>
      </c>
      <c r="AC8504">
        <v>3</v>
      </c>
      <c r="AD8504">
        <v>3.2990000199999998</v>
      </c>
      <c r="AE8504">
        <v>1</v>
      </c>
      <c r="AF8504">
        <v>38</v>
      </c>
      <c r="AG8504">
        <v>3.2920000599999999</v>
      </c>
      <c r="AH8504">
        <v>4</v>
      </c>
      <c r="AI8504">
        <v>17</v>
      </c>
      <c r="AJ8504">
        <v>1</v>
      </c>
      <c r="AK8504">
        <v>28</v>
      </c>
      <c r="AL8504">
        <v>39</v>
      </c>
      <c r="AM8504" t="s">
        <v>43</v>
      </c>
      <c r="AN8504" t="s">
        <v>43</v>
      </c>
    </row>
    <row r="8505" spans="1:40" x14ac:dyDescent="0.3">
      <c r="A8505" s="1">
        <v>46210.014930555553</v>
      </c>
      <c r="B8505" t="s">
        <v>40</v>
      </c>
      <c r="C8505" t="s">
        <v>41</v>
      </c>
      <c r="D8505" s="1">
        <v>46210.017708333333</v>
      </c>
      <c r="E8505" t="s">
        <v>42</v>
      </c>
      <c r="F8505" t="s">
        <v>83</v>
      </c>
      <c r="G8505">
        <v>51</v>
      </c>
      <c r="H8505">
        <v>32993</v>
      </c>
      <c r="I8505" t="s">
        <v>4721</v>
      </c>
      <c r="J8505">
        <v>89</v>
      </c>
      <c r="K8505">
        <v>47</v>
      </c>
      <c r="L8505">
        <v>98</v>
      </c>
      <c r="M8505">
        <v>633.70001220999995</v>
      </c>
      <c r="N8505" t="s">
        <v>87</v>
      </c>
      <c r="O8505" t="s">
        <v>86</v>
      </c>
      <c r="P8505">
        <v>131</v>
      </c>
      <c r="Q8505">
        <v>6</v>
      </c>
      <c r="R8505">
        <v>35</v>
      </c>
      <c r="S8505">
        <v>1420</v>
      </c>
      <c r="T8505">
        <v>-40</v>
      </c>
      <c r="U8505">
        <v>43</v>
      </c>
      <c r="V8505">
        <v>180</v>
      </c>
      <c r="W8505">
        <v>28</v>
      </c>
      <c r="X8505">
        <v>28</v>
      </c>
      <c r="Y8505">
        <v>1</v>
      </c>
      <c r="Z8505">
        <v>8</v>
      </c>
      <c r="AA8505">
        <v>24</v>
      </c>
      <c r="AB8505">
        <v>2</v>
      </c>
      <c r="AC8505">
        <v>6</v>
      </c>
      <c r="AD8505">
        <v>3.3050000700000002</v>
      </c>
      <c r="AE8505">
        <v>1</v>
      </c>
      <c r="AF8505">
        <v>41</v>
      </c>
      <c r="AG8505">
        <v>3.2999999500000001</v>
      </c>
      <c r="AH8505">
        <v>2</v>
      </c>
      <c r="AI8505">
        <v>46</v>
      </c>
      <c r="AJ8505">
        <v>1</v>
      </c>
      <c r="AK8505">
        <v>28</v>
      </c>
      <c r="AL8505">
        <v>39</v>
      </c>
      <c r="AM8505" t="s">
        <v>43</v>
      </c>
      <c r="AN8505" t="str">
        <f>HYPERLINK("https://www.google.com/maps?q=10.80706215,79.15470123","Open Location")</f>
        <v>Open Location</v>
      </c>
    </row>
    <row r="8506" spans="1:40" x14ac:dyDescent="0.3">
      <c r="A8506" s="1">
        <v>46210.014814814815</v>
      </c>
      <c r="B8506" t="s">
        <v>40</v>
      </c>
      <c r="C8506" t="s">
        <v>41</v>
      </c>
      <c r="D8506" s="1">
        <v>46210.017696759256</v>
      </c>
      <c r="E8506" t="s">
        <v>42</v>
      </c>
      <c r="F8506" t="s">
        <v>83</v>
      </c>
      <c r="G8506">
        <v>52</v>
      </c>
      <c r="H8506">
        <v>32993</v>
      </c>
      <c r="I8506" t="s">
        <v>4722</v>
      </c>
      <c r="J8506">
        <v>89</v>
      </c>
      <c r="K8506">
        <v>62</v>
      </c>
      <c r="L8506">
        <v>98</v>
      </c>
      <c r="M8506">
        <v>633</v>
      </c>
      <c r="N8506" t="s">
        <v>87</v>
      </c>
      <c r="O8506" t="s">
        <v>86</v>
      </c>
      <c r="P8506">
        <v>131</v>
      </c>
      <c r="Q8506">
        <v>6</v>
      </c>
      <c r="R8506">
        <v>35</v>
      </c>
      <c r="S8506">
        <v>1430</v>
      </c>
      <c r="T8506">
        <v>-40</v>
      </c>
      <c r="U8506">
        <v>44</v>
      </c>
      <c r="V8506">
        <v>240</v>
      </c>
      <c r="W8506">
        <v>28</v>
      </c>
      <c r="X8506">
        <v>28</v>
      </c>
      <c r="Y8506">
        <v>1</v>
      </c>
      <c r="Z8506">
        <v>8</v>
      </c>
      <c r="AA8506">
        <v>24</v>
      </c>
      <c r="AB8506">
        <v>2</v>
      </c>
      <c r="AC8506">
        <v>6</v>
      </c>
      <c r="AD8506">
        <v>3.3039999</v>
      </c>
      <c r="AE8506">
        <v>1</v>
      </c>
      <c r="AF8506">
        <v>41</v>
      </c>
      <c r="AG8506">
        <v>3.2980000999999999</v>
      </c>
      <c r="AH8506">
        <v>4</v>
      </c>
      <c r="AI8506">
        <v>17</v>
      </c>
      <c r="AJ8506">
        <v>1</v>
      </c>
      <c r="AK8506">
        <v>28</v>
      </c>
      <c r="AL8506">
        <v>39</v>
      </c>
      <c r="AM8506" t="s">
        <v>43</v>
      </c>
      <c r="AN8506" t="str">
        <f>HYPERLINK("https://www.google.com/maps?q=10.80827618,79.15371704","Open Location")</f>
        <v>Open Location</v>
      </c>
    </row>
    <row r="8507" spans="1:40" x14ac:dyDescent="0.3">
      <c r="A8507" s="1">
        <v>46210.014699074076</v>
      </c>
      <c r="B8507" t="s">
        <v>40</v>
      </c>
      <c r="C8507" t="s">
        <v>41</v>
      </c>
      <c r="D8507" s="1">
        <v>46210.017245370371</v>
      </c>
      <c r="E8507" t="s">
        <v>42</v>
      </c>
      <c r="F8507" t="s">
        <v>83</v>
      </c>
      <c r="G8507">
        <v>51</v>
      </c>
      <c r="H8507">
        <v>32993</v>
      </c>
      <c r="I8507" t="s">
        <v>4723</v>
      </c>
      <c r="J8507">
        <v>89</v>
      </c>
      <c r="K8507">
        <v>62</v>
      </c>
      <c r="L8507">
        <v>98</v>
      </c>
      <c r="M8507">
        <v>632.40002441000001</v>
      </c>
      <c r="N8507" t="s">
        <v>87</v>
      </c>
      <c r="O8507" t="s">
        <v>86</v>
      </c>
      <c r="P8507">
        <v>131</v>
      </c>
      <c r="Q8507">
        <v>6</v>
      </c>
      <c r="R8507">
        <v>38</v>
      </c>
      <c r="S8507">
        <v>1413</v>
      </c>
      <c r="T8507">
        <v>-40</v>
      </c>
      <c r="U8507">
        <v>44</v>
      </c>
      <c r="V8507">
        <v>240</v>
      </c>
      <c r="W8507">
        <v>28</v>
      </c>
      <c r="X8507">
        <v>28</v>
      </c>
      <c r="Y8507">
        <v>1</v>
      </c>
      <c r="Z8507">
        <v>8</v>
      </c>
      <c r="AA8507">
        <v>24</v>
      </c>
      <c r="AB8507">
        <v>2</v>
      </c>
      <c r="AC8507">
        <v>6</v>
      </c>
      <c r="AD8507">
        <v>3.3020000500000002</v>
      </c>
      <c r="AE8507">
        <v>1</v>
      </c>
      <c r="AF8507">
        <v>44</v>
      </c>
      <c r="AG8507">
        <v>3.2950000799999999</v>
      </c>
      <c r="AH8507">
        <v>4</v>
      </c>
      <c r="AI8507">
        <v>17</v>
      </c>
      <c r="AJ8507">
        <v>1</v>
      </c>
      <c r="AK8507">
        <v>28</v>
      </c>
      <c r="AL8507">
        <v>39</v>
      </c>
      <c r="AM8507" t="s">
        <v>43</v>
      </c>
      <c r="AN8507" t="str">
        <f>HYPERLINK("https://www.google.com/maps?q=10.80960464,79.15267181","Open Location")</f>
        <v>Open Location</v>
      </c>
    </row>
    <row r="8508" spans="1:40" x14ac:dyDescent="0.3">
      <c r="A8508" s="1">
        <v>46210.01458333333</v>
      </c>
      <c r="B8508" t="s">
        <v>40</v>
      </c>
      <c r="C8508" t="s">
        <v>41</v>
      </c>
      <c r="D8508" s="1">
        <v>46210.017222222225</v>
      </c>
      <c r="E8508" t="s">
        <v>42</v>
      </c>
      <c r="F8508" t="s">
        <v>83</v>
      </c>
      <c r="G8508">
        <v>50</v>
      </c>
      <c r="H8508">
        <v>32993</v>
      </c>
      <c r="I8508" t="s">
        <v>4724</v>
      </c>
      <c r="J8508">
        <v>89</v>
      </c>
      <c r="K8508">
        <v>66</v>
      </c>
      <c r="L8508">
        <v>98</v>
      </c>
      <c r="M8508">
        <v>632.59997558999999</v>
      </c>
      <c r="N8508" t="s">
        <v>87</v>
      </c>
      <c r="O8508" t="s">
        <v>86</v>
      </c>
      <c r="P8508">
        <v>131</v>
      </c>
      <c r="Q8508">
        <v>6</v>
      </c>
      <c r="R8508">
        <v>37</v>
      </c>
      <c r="S8508">
        <v>1413</v>
      </c>
      <c r="T8508">
        <v>-40</v>
      </c>
      <c r="U8508">
        <v>44</v>
      </c>
      <c r="V8508">
        <v>260</v>
      </c>
      <c r="W8508">
        <v>28</v>
      </c>
      <c r="X8508">
        <v>28</v>
      </c>
      <c r="Y8508">
        <v>1</v>
      </c>
      <c r="Z8508">
        <v>8</v>
      </c>
      <c r="AA8508">
        <v>25</v>
      </c>
      <c r="AB8508">
        <v>1</v>
      </c>
      <c r="AC8508">
        <v>1</v>
      </c>
      <c r="AD8508">
        <v>3.3010001199999999</v>
      </c>
      <c r="AE8508">
        <v>1</v>
      </c>
      <c r="AF8508">
        <v>41</v>
      </c>
      <c r="AG8508">
        <v>3.2939999100000001</v>
      </c>
      <c r="AH8508">
        <v>4</v>
      </c>
      <c r="AI8508">
        <v>17</v>
      </c>
      <c r="AJ8508">
        <v>1</v>
      </c>
      <c r="AK8508">
        <v>29</v>
      </c>
      <c r="AL8508">
        <v>39</v>
      </c>
      <c r="AM8508" t="s">
        <v>43</v>
      </c>
      <c r="AN8508" t="str">
        <f>HYPERLINK("https://www.google.com/maps?q=10.81079102,79.15171051","Open Location")</f>
        <v>Open Location</v>
      </c>
    </row>
    <row r="8509" spans="1:40" x14ac:dyDescent="0.3">
      <c r="A8509" s="1">
        <v>46210.014467592591</v>
      </c>
      <c r="B8509" t="s">
        <v>40</v>
      </c>
      <c r="C8509" t="s">
        <v>41</v>
      </c>
      <c r="D8509" s="1">
        <v>46210.017245370371</v>
      </c>
      <c r="E8509" t="s">
        <v>42</v>
      </c>
      <c r="F8509" t="s">
        <v>83</v>
      </c>
      <c r="G8509">
        <v>48</v>
      </c>
      <c r="H8509">
        <v>32993</v>
      </c>
      <c r="I8509" t="s">
        <v>43</v>
      </c>
      <c r="J8509">
        <v>89</v>
      </c>
      <c r="K8509">
        <v>63</v>
      </c>
      <c r="L8509">
        <v>98</v>
      </c>
      <c r="M8509">
        <v>632.70001220999995</v>
      </c>
      <c r="N8509" t="s">
        <v>87</v>
      </c>
      <c r="O8509" t="s">
        <v>86</v>
      </c>
      <c r="P8509">
        <v>131</v>
      </c>
      <c r="Q8509">
        <v>6</v>
      </c>
      <c r="R8509">
        <v>50</v>
      </c>
      <c r="S8509">
        <v>1384</v>
      </c>
      <c r="T8509">
        <v>-40</v>
      </c>
      <c r="U8509">
        <v>45</v>
      </c>
      <c r="V8509">
        <v>240</v>
      </c>
      <c r="W8509">
        <v>28</v>
      </c>
      <c r="X8509">
        <v>28</v>
      </c>
      <c r="Y8509">
        <v>1</v>
      </c>
      <c r="Z8509">
        <v>8</v>
      </c>
      <c r="AA8509">
        <v>25</v>
      </c>
      <c r="AB8509">
        <v>1</v>
      </c>
      <c r="AC8509">
        <v>1</v>
      </c>
      <c r="AD8509">
        <v>3.3020000500000002</v>
      </c>
      <c r="AE8509">
        <v>1</v>
      </c>
      <c r="AF8509">
        <v>44</v>
      </c>
      <c r="AG8509">
        <v>3.2950000799999999</v>
      </c>
      <c r="AH8509">
        <v>7</v>
      </c>
      <c r="AI8509">
        <v>1</v>
      </c>
      <c r="AJ8509">
        <v>1</v>
      </c>
      <c r="AK8509">
        <v>29</v>
      </c>
      <c r="AL8509">
        <v>39</v>
      </c>
      <c r="AM8509" t="s">
        <v>43</v>
      </c>
      <c r="AN8509" t="s">
        <v>43</v>
      </c>
    </row>
    <row r="8510" spans="1:40" x14ac:dyDescent="0.3">
      <c r="A8510" s="1">
        <v>46210.014351851853</v>
      </c>
      <c r="B8510" t="s">
        <v>40</v>
      </c>
      <c r="C8510" t="s">
        <v>41</v>
      </c>
      <c r="D8510" s="1">
        <v>46210.017106481479</v>
      </c>
      <c r="E8510" t="s">
        <v>42</v>
      </c>
      <c r="F8510" t="s">
        <v>83</v>
      </c>
      <c r="G8510">
        <v>45</v>
      </c>
      <c r="H8510">
        <v>32993</v>
      </c>
      <c r="I8510" t="s">
        <v>4725</v>
      </c>
      <c r="J8510">
        <v>90</v>
      </c>
      <c r="K8510">
        <v>94</v>
      </c>
      <c r="L8510">
        <v>98</v>
      </c>
      <c r="M8510">
        <v>631.70001220999995</v>
      </c>
      <c r="N8510" t="s">
        <v>87</v>
      </c>
      <c r="O8510" t="s">
        <v>86</v>
      </c>
      <c r="P8510">
        <v>131</v>
      </c>
      <c r="Q8510">
        <v>6</v>
      </c>
      <c r="R8510">
        <v>50</v>
      </c>
      <c r="S8510">
        <v>1286</v>
      </c>
      <c r="T8510">
        <v>-40</v>
      </c>
      <c r="U8510">
        <v>44</v>
      </c>
      <c r="V8510">
        <v>400</v>
      </c>
      <c r="W8510">
        <v>28</v>
      </c>
      <c r="X8510">
        <v>28</v>
      </c>
      <c r="Y8510">
        <v>1</v>
      </c>
      <c r="Z8510">
        <v>8</v>
      </c>
      <c r="AA8510">
        <v>25</v>
      </c>
      <c r="AB8510">
        <v>1</v>
      </c>
      <c r="AC8510">
        <v>1</v>
      </c>
      <c r="AD8510">
        <v>3.2980000999999999</v>
      </c>
      <c r="AE8510">
        <v>1</v>
      </c>
      <c r="AF8510">
        <v>44</v>
      </c>
      <c r="AG8510">
        <v>3.2899999599999998</v>
      </c>
      <c r="AH8510">
        <v>4</v>
      </c>
      <c r="AI8510">
        <v>17</v>
      </c>
      <c r="AJ8510">
        <v>1</v>
      </c>
      <c r="AK8510">
        <v>28</v>
      </c>
      <c r="AL8510">
        <v>39</v>
      </c>
      <c r="AM8510" t="s">
        <v>43</v>
      </c>
      <c r="AN8510" t="str">
        <f>HYPERLINK("https://www.google.com/maps?q=10.81192303,79.15072632","Open Location")</f>
        <v>Open Location</v>
      </c>
    </row>
    <row r="8511" spans="1:40" x14ac:dyDescent="0.3">
      <c r="A8511" s="1">
        <v>46210.014236111114</v>
      </c>
      <c r="B8511" t="s">
        <v>40</v>
      </c>
      <c r="C8511" t="s">
        <v>41</v>
      </c>
      <c r="D8511" s="1">
        <v>46210.017106481479</v>
      </c>
      <c r="E8511" t="s">
        <v>42</v>
      </c>
      <c r="F8511" t="s">
        <v>83</v>
      </c>
      <c r="G8511">
        <v>43</v>
      </c>
      <c r="H8511" t="s">
        <v>43</v>
      </c>
      <c r="I8511" t="s">
        <v>4726</v>
      </c>
      <c r="J8511">
        <v>90</v>
      </c>
      <c r="K8511">
        <v>54</v>
      </c>
      <c r="L8511">
        <v>98</v>
      </c>
      <c r="M8511">
        <v>633.5</v>
      </c>
      <c r="N8511" t="s">
        <v>87</v>
      </c>
      <c r="O8511" t="s">
        <v>86</v>
      </c>
      <c r="P8511">
        <v>131</v>
      </c>
      <c r="Q8511">
        <v>6</v>
      </c>
      <c r="R8511">
        <v>55</v>
      </c>
      <c r="S8511">
        <v>1215</v>
      </c>
      <c r="T8511">
        <v>-40</v>
      </c>
      <c r="U8511">
        <v>44</v>
      </c>
      <c r="V8511">
        <v>240</v>
      </c>
      <c r="W8511">
        <v>28</v>
      </c>
      <c r="X8511">
        <v>28</v>
      </c>
      <c r="Y8511">
        <v>1</v>
      </c>
      <c r="Z8511">
        <v>8</v>
      </c>
      <c r="AA8511">
        <v>25</v>
      </c>
      <c r="AB8511">
        <v>1</v>
      </c>
      <c r="AC8511">
        <v>1</v>
      </c>
      <c r="AD8511">
        <v>3.3059999900000001</v>
      </c>
      <c r="AE8511">
        <v>1</v>
      </c>
      <c r="AF8511">
        <v>41</v>
      </c>
      <c r="AG8511">
        <v>3.2999999500000001</v>
      </c>
      <c r="AH8511">
        <v>4</v>
      </c>
      <c r="AI8511">
        <v>17</v>
      </c>
      <c r="AJ8511">
        <v>1</v>
      </c>
      <c r="AK8511">
        <v>28</v>
      </c>
      <c r="AL8511">
        <v>39</v>
      </c>
      <c r="AM8511" t="s">
        <v>43</v>
      </c>
      <c r="AN8511" t="str">
        <f>HYPERLINK("https://www.google.com/maps?q=10.81293106,79.14981079","Open Location")</f>
        <v>Open Location</v>
      </c>
    </row>
    <row r="8512" spans="1:40" x14ac:dyDescent="0.3">
      <c r="A8512" s="1">
        <v>46210.014120370368</v>
      </c>
      <c r="B8512" t="s">
        <v>40</v>
      </c>
      <c r="C8512" t="s">
        <v>41</v>
      </c>
      <c r="D8512" s="1">
        <v>46210.017106481479</v>
      </c>
      <c r="E8512" t="s">
        <v>42</v>
      </c>
      <c r="F8512" t="s">
        <v>83</v>
      </c>
      <c r="G8512">
        <v>46</v>
      </c>
      <c r="H8512">
        <v>32992</v>
      </c>
      <c r="I8512" t="s">
        <v>4727</v>
      </c>
      <c r="J8512">
        <v>90</v>
      </c>
      <c r="K8512">
        <v>-42</v>
      </c>
      <c r="L8512">
        <v>98</v>
      </c>
      <c r="M8512">
        <v>636.5</v>
      </c>
      <c r="N8512" t="s">
        <v>87</v>
      </c>
      <c r="O8512" t="s">
        <v>86</v>
      </c>
      <c r="P8512">
        <v>131</v>
      </c>
      <c r="Q8512">
        <v>6</v>
      </c>
      <c r="R8512">
        <v>-41</v>
      </c>
      <c r="S8512">
        <v>1172</v>
      </c>
      <c r="T8512">
        <v>-40</v>
      </c>
      <c r="U8512">
        <v>43</v>
      </c>
      <c r="V8512">
        <v>-300</v>
      </c>
      <c r="W8512">
        <v>28</v>
      </c>
      <c r="X8512">
        <v>28</v>
      </c>
      <c r="Y8512">
        <v>1</v>
      </c>
      <c r="Z8512">
        <v>8</v>
      </c>
      <c r="AA8512">
        <v>25</v>
      </c>
      <c r="AB8512">
        <v>1</v>
      </c>
      <c r="AC8512">
        <v>1</v>
      </c>
      <c r="AD8512">
        <v>3.3169999099999998</v>
      </c>
      <c r="AE8512">
        <v>1</v>
      </c>
      <c r="AF8512">
        <v>29</v>
      </c>
      <c r="AG8512">
        <v>3.3139998899999998</v>
      </c>
      <c r="AH8512">
        <v>2</v>
      </c>
      <c r="AI8512">
        <v>15</v>
      </c>
      <c r="AJ8512">
        <v>1</v>
      </c>
      <c r="AK8512">
        <v>28</v>
      </c>
      <c r="AL8512">
        <v>39</v>
      </c>
      <c r="AM8512" t="s">
        <v>43</v>
      </c>
      <c r="AN8512" t="str">
        <f>HYPERLINK("https://www.google.com/maps?q=10.81388187,79.14890289","Open Location")</f>
        <v>Open Location</v>
      </c>
    </row>
    <row r="8513" spans="1:40" x14ac:dyDescent="0.3">
      <c r="A8513" s="1">
        <v>46210.014004629629</v>
      </c>
      <c r="B8513" t="s">
        <v>40</v>
      </c>
      <c r="C8513" t="s">
        <v>41</v>
      </c>
      <c r="D8513" s="1">
        <v>46210.01662037037</v>
      </c>
      <c r="E8513" t="s">
        <v>42</v>
      </c>
      <c r="F8513" t="s">
        <v>83</v>
      </c>
      <c r="G8513">
        <v>51</v>
      </c>
      <c r="H8513">
        <v>32992</v>
      </c>
      <c r="I8513" t="s">
        <v>4728</v>
      </c>
      <c r="J8513">
        <v>90</v>
      </c>
      <c r="K8513">
        <v>-55</v>
      </c>
      <c r="L8513">
        <v>98</v>
      </c>
      <c r="M8513">
        <v>637.90002441000001</v>
      </c>
      <c r="N8513" t="s">
        <v>87</v>
      </c>
      <c r="O8513" t="s">
        <v>86</v>
      </c>
      <c r="P8513">
        <v>131</v>
      </c>
      <c r="Q8513">
        <v>6</v>
      </c>
      <c r="R8513">
        <v>-45</v>
      </c>
      <c r="S8513">
        <v>1298</v>
      </c>
      <c r="T8513">
        <v>-40</v>
      </c>
      <c r="U8513">
        <v>44</v>
      </c>
      <c r="V8513">
        <v>-300</v>
      </c>
      <c r="W8513">
        <v>28</v>
      </c>
      <c r="X8513">
        <v>28</v>
      </c>
      <c r="Y8513">
        <v>1</v>
      </c>
      <c r="Z8513">
        <v>8</v>
      </c>
      <c r="AA8513">
        <v>25</v>
      </c>
      <c r="AB8513">
        <v>1</v>
      </c>
      <c r="AC8513">
        <v>1</v>
      </c>
      <c r="AD8513">
        <v>3.3250000499999999</v>
      </c>
      <c r="AE8513">
        <v>2</v>
      </c>
      <c r="AF8513">
        <v>46</v>
      </c>
      <c r="AG8513">
        <v>3.3220000299999999</v>
      </c>
      <c r="AH8513">
        <v>2</v>
      </c>
      <c r="AI8513">
        <v>32</v>
      </c>
      <c r="AJ8513">
        <v>1</v>
      </c>
      <c r="AK8513">
        <v>28</v>
      </c>
      <c r="AL8513">
        <v>39</v>
      </c>
      <c r="AM8513" t="s">
        <v>43</v>
      </c>
      <c r="AN8513" t="str">
        <f>HYPERLINK("https://www.google.com/maps?q=10.81518841,79.14833069","Open Location")</f>
        <v>Open Location</v>
      </c>
    </row>
    <row r="8514" spans="1:40" x14ac:dyDescent="0.3">
      <c r="A8514" s="1">
        <v>46210.013888888891</v>
      </c>
      <c r="B8514" t="s">
        <v>40</v>
      </c>
      <c r="C8514" t="s">
        <v>41</v>
      </c>
      <c r="D8514" s="1">
        <v>46210.016805555555</v>
      </c>
      <c r="E8514" t="s">
        <v>42</v>
      </c>
      <c r="F8514" t="s">
        <v>83</v>
      </c>
      <c r="G8514">
        <v>48</v>
      </c>
      <c r="H8514">
        <v>32992</v>
      </c>
      <c r="I8514" t="s">
        <v>4729</v>
      </c>
      <c r="J8514">
        <v>90</v>
      </c>
      <c r="K8514">
        <v>49</v>
      </c>
      <c r="L8514">
        <v>98</v>
      </c>
      <c r="M8514">
        <v>633</v>
      </c>
      <c r="N8514" t="s">
        <v>87</v>
      </c>
      <c r="O8514" t="s">
        <v>86</v>
      </c>
      <c r="P8514">
        <v>131</v>
      </c>
      <c r="Q8514">
        <v>6</v>
      </c>
      <c r="R8514">
        <v>45</v>
      </c>
      <c r="S8514">
        <v>1337</v>
      </c>
      <c r="T8514">
        <v>-40</v>
      </c>
      <c r="U8514">
        <v>45</v>
      </c>
      <c r="V8514">
        <v>200</v>
      </c>
      <c r="W8514">
        <v>28</v>
      </c>
      <c r="X8514">
        <v>28</v>
      </c>
      <c r="Y8514">
        <v>1</v>
      </c>
      <c r="Z8514">
        <v>8</v>
      </c>
      <c r="AA8514">
        <v>25</v>
      </c>
      <c r="AB8514">
        <v>1</v>
      </c>
      <c r="AC8514">
        <v>1</v>
      </c>
      <c r="AD8514">
        <v>3.3029999700000001</v>
      </c>
      <c r="AE8514">
        <v>1</v>
      </c>
      <c r="AF8514">
        <v>38</v>
      </c>
      <c r="AG8514">
        <v>3.2969999300000001</v>
      </c>
      <c r="AH8514">
        <v>4</v>
      </c>
      <c r="AI8514">
        <v>17</v>
      </c>
      <c r="AJ8514">
        <v>1</v>
      </c>
      <c r="AK8514">
        <v>28</v>
      </c>
      <c r="AL8514">
        <v>39</v>
      </c>
      <c r="AM8514" t="s">
        <v>43</v>
      </c>
      <c r="AN8514" t="str">
        <f>HYPERLINK("https://www.google.com/maps?q=10.81675339,79.14794159","Open Location")</f>
        <v>Open Location</v>
      </c>
    </row>
    <row r="8515" spans="1:40" x14ac:dyDescent="0.3">
      <c r="A8515" s="1">
        <v>46210.013773148145</v>
      </c>
      <c r="B8515" t="s">
        <v>40</v>
      </c>
      <c r="C8515" t="s">
        <v>41</v>
      </c>
      <c r="D8515" s="1">
        <v>46210.016712962963</v>
      </c>
      <c r="E8515" t="s">
        <v>42</v>
      </c>
      <c r="F8515" t="s">
        <v>83</v>
      </c>
      <c r="G8515">
        <v>49</v>
      </c>
      <c r="H8515">
        <v>32992</v>
      </c>
      <c r="I8515" t="s">
        <v>43</v>
      </c>
      <c r="J8515">
        <v>90</v>
      </c>
      <c r="K8515">
        <v>90</v>
      </c>
      <c r="L8515">
        <v>98</v>
      </c>
      <c r="M8515">
        <v>631.59997558999999</v>
      </c>
      <c r="N8515" t="s">
        <v>87</v>
      </c>
      <c r="O8515" t="s">
        <v>86</v>
      </c>
      <c r="P8515">
        <v>131</v>
      </c>
      <c r="Q8515">
        <v>6</v>
      </c>
      <c r="R8515">
        <v>31</v>
      </c>
      <c r="S8515">
        <v>1304</v>
      </c>
      <c r="T8515">
        <v>-40</v>
      </c>
      <c r="U8515">
        <v>44</v>
      </c>
      <c r="V8515">
        <v>380</v>
      </c>
      <c r="W8515">
        <v>28</v>
      </c>
      <c r="X8515">
        <v>28</v>
      </c>
      <c r="Y8515">
        <v>1</v>
      </c>
      <c r="Z8515">
        <v>8</v>
      </c>
      <c r="AA8515">
        <v>25</v>
      </c>
      <c r="AB8515">
        <v>1</v>
      </c>
      <c r="AC8515">
        <v>1</v>
      </c>
      <c r="AD8515">
        <v>3.2969999300000001</v>
      </c>
      <c r="AE8515">
        <v>1</v>
      </c>
      <c r="AF8515">
        <v>44</v>
      </c>
      <c r="AG8515">
        <v>3.28900003</v>
      </c>
      <c r="AH8515">
        <v>4</v>
      </c>
      <c r="AI8515">
        <v>17</v>
      </c>
      <c r="AJ8515">
        <v>1</v>
      </c>
      <c r="AK8515">
        <v>28</v>
      </c>
      <c r="AL8515">
        <v>39</v>
      </c>
      <c r="AM8515" t="s">
        <v>43</v>
      </c>
      <c r="AN8515" t="s">
        <v>43</v>
      </c>
    </row>
    <row r="8516" spans="1:40" x14ac:dyDescent="0.3">
      <c r="A8516" s="1">
        <v>46210.013657407406</v>
      </c>
      <c r="B8516" t="s">
        <v>40</v>
      </c>
      <c r="C8516" t="s">
        <v>41</v>
      </c>
      <c r="D8516" s="1">
        <v>46210.016435185185</v>
      </c>
      <c r="E8516" t="s">
        <v>42</v>
      </c>
      <c r="F8516" t="s">
        <v>83</v>
      </c>
      <c r="G8516">
        <v>50</v>
      </c>
      <c r="H8516">
        <v>32992</v>
      </c>
      <c r="I8516" t="s">
        <v>4730</v>
      </c>
      <c r="J8516">
        <v>90</v>
      </c>
      <c r="K8516">
        <v>86</v>
      </c>
      <c r="L8516">
        <v>98</v>
      </c>
      <c r="M8516">
        <v>631.70001220999995</v>
      </c>
      <c r="N8516" t="s">
        <v>87</v>
      </c>
      <c r="O8516" t="s">
        <v>86</v>
      </c>
      <c r="P8516">
        <v>131</v>
      </c>
      <c r="Q8516">
        <v>6</v>
      </c>
      <c r="R8516">
        <v>43</v>
      </c>
      <c r="S8516">
        <v>1400</v>
      </c>
      <c r="T8516">
        <v>-40</v>
      </c>
      <c r="U8516">
        <v>44</v>
      </c>
      <c r="V8516">
        <v>340</v>
      </c>
      <c r="W8516">
        <v>28</v>
      </c>
      <c r="X8516">
        <v>28</v>
      </c>
      <c r="Y8516">
        <v>1</v>
      </c>
      <c r="Z8516">
        <v>8</v>
      </c>
      <c r="AA8516">
        <v>25</v>
      </c>
      <c r="AB8516">
        <v>1</v>
      </c>
      <c r="AC8516">
        <v>1</v>
      </c>
      <c r="AD8516">
        <v>3.2980000999999999</v>
      </c>
      <c r="AE8516">
        <v>1</v>
      </c>
      <c r="AF8516">
        <v>44</v>
      </c>
      <c r="AG8516">
        <v>3.2899999599999998</v>
      </c>
      <c r="AH8516">
        <v>4</v>
      </c>
      <c r="AI8516">
        <v>17</v>
      </c>
      <c r="AJ8516">
        <v>1</v>
      </c>
      <c r="AK8516">
        <v>28</v>
      </c>
      <c r="AL8516">
        <v>39</v>
      </c>
      <c r="AM8516" t="s">
        <v>43</v>
      </c>
      <c r="AN8516" t="str">
        <f>HYPERLINK("https://www.google.com/maps?q=10.81818485,79.14759064","Open Location")</f>
        <v>Open Location</v>
      </c>
    </row>
    <row r="8517" spans="1:40" x14ac:dyDescent="0.3">
      <c r="A8517" s="1">
        <v>46210.013541666667</v>
      </c>
      <c r="B8517" t="s">
        <v>40</v>
      </c>
      <c r="C8517" t="s">
        <v>41</v>
      </c>
      <c r="D8517" s="1">
        <v>46210.016145833331</v>
      </c>
      <c r="E8517" t="s">
        <v>42</v>
      </c>
      <c r="F8517" t="s">
        <v>83</v>
      </c>
      <c r="G8517">
        <v>50</v>
      </c>
      <c r="H8517">
        <v>32992</v>
      </c>
      <c r="I8517" t="s">
        <v>4731</v>
      </c>
      <c r="J8517">
        <v>90</v>
      </c>
      <c r="K8517">
        <v>71</v>
      </c>
      <c r="L8517">
        <v>98</v>
      </c>
      <c r="M8517">
        <v>632.40002441000001</v>
      </c>
      <c r="N8517" t="s">
        <v>87</v>
      </c>
      <c r="O8517" t="s">
        <v>86</v>
      </c>
      <c r="P8517">
        <v>131</v>
      </c>
      <c r="Q8517">
        <v>6</v>
      </c>
      <c r="R8517">
        <v>20</v>
      </c>
      <c r="S8517">
        <v>1392</v>
      </c>
      <c r="T8517">
        <v>-40</v>
      </c>
      <c r="U8517">
        <v>44</v>
      </c>
      <c r="V8517">
        <v>280</v>
      </c>
      <c r="W8517">
        <v>28</v>
      </c>
      <c r="X8517">
        <v>28</v>
      </c>
      <c r="Y8517">
        <v>1</v>
      </c>
      <c r="Z8517">
        <v>8</v>
      </c>
      <c r="AA8517">
        <v>25</v>
      </c>
      <c r="AB8517">
        <v>1</v>
      </c>
      <c r="AC8517">
        <v>1</v>
      </c>
      <c r="AD8517">
        <v>3.3010001199999999</v>
      </c>
      <c r="AE8517">
        <v>1</v>
      </c>
      <c r="AF8517">
        <v>41</v>
      </c>
      <c r="AG8517">
        <v>3.2939999100000001</v>
      </c>
      <c r="AH8517">
        <v>4</v>
      </c>
      <c r="AI8517">
        <v>17</v>
      </c>
      <c r="AJ8517">
        <v>1</v>
      </c>
      <c r="AK8517">
        <v>29</v>
      </c>
      <c r="AL8517">
        <v>39</v>
      </c>
      <c r="AM8517" t="s">
        <v>43</v>
      </c>
      <c r="AN8517" t="str">
        <f>HYPERLINK("https://www.google.com/maps?q=10.8195858,79.14703369","Open Location")</f>
        <v>Open Location</v>
      </c>
    </row>
    <row r="8518" spans="1:40" x14ac:dyDescent="0.3">
      <c r="A8518" s="1">
        <v>46210.013425925928</v>
      </c>
      <c r="B8518" t="s">
        <v>40</v>
      </c>
      <c r="C8518" t="s">
        <v>41</v>
      </c>
      <c r="D8518" s="1">
        <v>46210.016273148147</v>
      </c>
      <c r="E8518" t="s">
        <v>42</v>
      </c>
      <c r="F8518" t="s">
        <v>83</v>
      </c>
      <c r="G8518">
        <v>51</v>
      </c>
      <c r="H8518">
        <v>32992</v>
      </c>
      <c r="I8518" t="s">
        <v>4732</v>
      </c>
      <c r="J8518">
        <v>90</v>
      </c>
      <c r="K8518">
        <v>77</v>
      </c>
      <c r="L8518">
        <v>98</v>
      </c>
      <c r="M8518">
        <v>632.20001220999995</v>
      </c>
      <c r="N8518" t="s">
        <v>87</v>
      </c>
      <c r="O8518" t="s">
        <v>86</v>
      </c>
      <c r="P8518">
        <v>131</v>
      </c>
      <c r="Q8518">
        <v>6</v>
      </c>
      <c r="R8518">
        <v>32</v>
      </c>
      <c r="S8518">
        <v>1420</v>
      </c>
      <c r="T8518">
        <v>-40</v>
      </c>
      <c r="U8518">
        <v>44</v>
      </c>
      <c r="V8518">
        <v>300</v>
      </c>
      <c r="W8518">
        <v>28</v>
      </c>
      <c r="X8518">
        <v>28</v>
      </c>
      <c r="Y8518">
        <v>1</v>
      </c>
      <c r="Z8518">
        <v>8</v>
      </c>
      <c r="AA8518">
        <v>25</v>
      </c>
      <c r="AB8518">
        <v>1</v>
      </c>
      <c r="AC8518">
        <v>1</v>
      </c>
      <c r="AD8518">
        <v>3.2999999500000001</v>
      </c>
      <c r="AE8518">
        <v>1</v>
      </c>
      <c r="AF8518">
        <v>44</v>
      </c>
      <c r="AG8518">
        <v>3.2920000599999999</v>
      </c>
      <c r="AH8518">
        <v>4</v>
      </c>
      <c r="AI8518">
        <v>17</v>
      </c>
      <c r="AJ8518">
        <v>1</v>
      </c>
      <c r="AK8518">
        <v>28</v>
      </c>
      <c r="AL8518">
        <v>39</v>
      </c>
      <c r="AM8518" t="s">
        <v>43</v>
      </c>
      <c r="AN8518" t="str">
        <f>HYPERLINK("https://www.google.com/maps?q=10.82077885,79.14604187","Open Location")</f>
        <v>Open Location</v>
      </c>
    </row>
    <row r="8519" spans="1:40" x14ac:dyDescent="0.3">
      <c r="A8519" s="1">
        <v>46210.013310185182</v>
      </c>
      <c r="B8519" t="s">
        <v>40</v>
      </c>
      <c r="C8519" t="s">
        <v>41</v>
      </c>
      <c r="D8519" s="1">
        <v>46210.0159375</v>
      </c>
      <c r="E8519" t="s">
        <v>42</v>
      </c>
      <c r="F8519" t="s">
        <v>83</v>
      </c>
      <c r="G8519">
        <v>50</v>
      </c>
      <c r="H8519">
        <v>32991</v>
      </c>
      <c r="I8519" t="s">
        <v>4733</v>
      </c>
      <c r="J8519">
        <v>90</v>
      </c>
      <c r="K8519">
        <v>56</v>
      </c>
      <c r="L8519">
        <v>98</v>
      </c>
      <c r="M8519">
        <v>633</v>
      </c>
      <c r="N8519" t="s">
        <v>87</v>
      </c>
      <c r="O8519" t="s">
        <v>86</v>
      </c>
      <c r="P8519">
        <v>131</v>
      </c>
      <c r="Q8519">
        <v>6</v>
      </c>
      <c r="R8519">
        <v>38</v>
      </c>
      <c r="S8519">
        <v>1413</v>
      </c>
      <c r="T8519">
        <v>-40</v>
      </c>
      <c r="U8519">
        <v>44</v>
      </c>
      <c r="V8519">
        <v>220</v>
      </c>
      <c r="W8519">
        <v>28</v>
      </c>
      <c r="X8519">
        <v>28</v>
      </c>
      <c r="Y8519">
        <v>1</v>
      </c>
      <c r="Z8519">
        <v>8</v>
      </c>
      <c r="AA8519">
        <v>25</v>
      </c>
      <c r="AB8519">
        <v>1</v>
      </c>
      <c r="AC8519">
        <v>1</v>
      </c>
      <c r="AD8519">
        <v>3.3029999700000001</v>
      </c>
      <c r="AE8519">
        <v>1</v>
      </c>
      <c r="AF8519">
        <v>44</v>
      </c>
      <c r="AG8519">
        <v>3.2959999999999998</v>
      </c>
      <c r="AH8519">
        <v>4</v>
      </c>
      <c r="AI8519">
        <v>17</v>
      </c>
      <c r="AJ8519">
        <v>1</v>
      </c>
      <c r="AK8519">
        <v>28</v>
      </c>
      <c r="AL8519">
        <v>39</v>
      </c>
      <c r="AM8519" t="s">
        <v>43</v>
      </c>
      <c r="AN8519" t="str">
        <f>HYPERLINK("https://www.google.com/maps?q=10.8218708,79.14492798","Open Location")</f>
        <v>Open Location</v>
      </c>
    </row>
    <row r="8520" spans="1:40" x14ac:dyDescent="0.3">
      <c r="A8520" s="1">
        <v>46210.013194444444</v>
      </c>
      <c r="B8520" t="s">
        <v>40</v>
      </c>
      <c r="C8520" t="s">
        <v>41</v>
      </c>
      <c r="D8520" s="1">
        <v>46210.0159375</v>
      </c>
      <c r="E8520" t="s">
        <v>42</v>
      </c>
      <c r="F8520" t="s">
        <v>83</v>
      </c>
      <c r="G8520">
        <v>49</v>
      </c>
      <c r="H8520">
        <v>32991</v>
      </c>
      <c r="I8520" t="s">
        <v>43</v>
      </c>
      <c r="J8520">
        <v>90</v>
      </c>
      <c r="K8520">
        <v>98</v>
      </c>
      <c r="L8520">
        <v>98</v>
      </c>
      <c r="M8520">
        <v>631.79998779000005</v>
      </c>
      <c r="N8520" t="s">
        <v>87</v>
      </c>
      <c r="O8520" t="s">
        <v>86</v>
      </c>
      <c r="P8520">
        <v>131</v>
      </c>
      <c r="Q8520">
        <v>6</v>
      </c>
      <c r="R8520">
        <v>50</v>
      </c>
      <c r="S8520">
        <v>1392</v>
      </c>
      <c r="T8520">
        <v>-40</v>
      </c>
      <c r="U8520">
        <v>45</v>
      </c>
      <c r="V8520">
        <v>400</v>
      </c>
      <c r="W8520">
        <v>28</v>
      </c>
      <c r="X8520">
        <v>28</v>
      </c>
      <c r="Y8520">
        <v>1</v>
      </c>
      <c r="Z8520">
        <v>8</v>
      </c>
      <c r="AA8520">
        <v>25</v>
      </c>
      <c r="AB8520">
        <v>1</v>
      </c>
      <c r="AC8520">
        <v>1</v>
      </c>
      <c r="AD8520">
        <v>3.2990000199999998</v>
      </c>
      <c r="AE8520">
        <v>1</v>
      </c>
      <c r="AF8520">
        <v>38</v>
      </c>
      <c r="AG8520">
        <v>3.2929999799999998</v>
      </c>
      <c r="AH8520">
        <v>4</v>
      </c>
      <c r="AI8520">
        <v>17</v>
      </c>
      <c r="AJ8520">
        <v>1</v>
      </c>
      <c r="AK8520">
        <v>28</v>
      </c>
      <c r="AL8520">
        <v>39</v>
      </c>
      <c r="AM8520" t="s">
        <v>43</v>
      </c>
      <c r="AN8520" t="s">
        <v>43</v>
      </c>
    </row>
    <row r="8521" spans="1:40" x14ac:dyDescent="0.3">
      <c r="A8521" s="1">
        <v>46210.013078703705</v>
      </c>
      <c r="B8521" t="s">
        <v>40</v>
      </c>
      <c r="C8521" t="s">
        <v>41</v>
      </c>
      <c r="D8521" s="1">
        <v>46210.015925925924</v>
      </c>
      <c r="E8521" t="s">
        <v>42</v>
      </c>
      <c r="F8521" t="s">
        <v>83</v>
      </c>
      <c r="G8521">
        <v>46</v>
      </c>
      <c r="H8521">
        <v>32991</v>
      </c>
      <c r="I8521" t="s">
        <v>4734</v>
      </c>
      <c r="J8521">
        <v>90</v>
      </c>
      <c r="K8521">
        <v>72</v>
      </c>
      <c r="L8521">
        <v>98</v>
      </c>
      <c r="M8521">
        <v>632.40002441000001</v>
      </c>
      <c r="N8521" t="s">
        <v>87</v>
      </c>
      <c r="O8521" t="s">
        <v>86</v>
      </c>
      <c r="P8521">
        <v>131</v>
      </c>
      <c r="Q8521">
        <v>6</v>
      </c>
      <c r="R8521">
        <v>37</v>
      </c>
      <c r="S8521">
        <v>1324</v>
      </c>
      <c r="T8521">
        <v>-40</v>
      </c>
      <c r="U8521">
        <v>45</v>
      </c>
      <c r="V8521">
        <v>300</v>
      </c>
      <c r="W8521">
        <v>28</v>
      </c>
      <c r="X8521">
        <v>28</v>
      </c>
      <c r="Y8521">
        <v>1</v>
      </c>
      <c r="Z8521">
        <v>8</v>
      </c>
      <c r="AA8521">
        <v>25</v>
      </c>
      <c r="AB8521">
        <v>1</v>
      </c>
      <c r="AC8521">
        <v>1</v>
      </c>
      <c r="AD8521">
        <v>3.3010001199999999</v>
      </c>
      <c r="AE8521">
        <v>1</v>
      </c>
      <c r="AF8521">
        <v>38</v>
      </c>
      <c r="AG8521">
        <v>3.2950000799999999</v>
      </c>
      <c r="AH8521">
        <v>4</v>
      </c>
      <c r="AI8521">
        <v>17</v>
      </c>
      <c r="AJ8521">
        <v>1</v>
      </c>
      <c r="AK8521">
        <v>29</v>
      </c>
      <c r="AL8521">
        <v>39</v>
      </c>
      <c r="AM8521" t="s">
        <v>43</v>
      </c>
      <c r="AN8521" t="str">
        <f>HYPERLINK("https://www.google.com/maps?q=10.82295036,79.14387512","Open Location")</f>
        <v>Open Location</v>
      </c>
    </row>
    <row r="8522" spans="1:40" x14ac:dyDescent="0.3">
      <c r="A8522" s="1">
        <v>46210.012962962966</v>
      </c>
      <c r="B8522" t="s">
        <v>40</v>
      </c>
      <c r="C8522" t="s">
        <v>41</v>
      </c>
      <c r="D8522" s="1">
        <v>46210.016030092593</v>
      </c>
      <c r="E8522" t="s">
        <v>42</v>
      </c>
      <c r="F8522" t="s">
        <v>83</v>
      </c>
      <c r="G8522">
        <v>44</v>
      </c>
      <c r="H8522" t="s">
        <v>43</v>
      </c>
      <c r="I8522" t="s">
        <v>4735</v>
      </c>
      <c r="J8522">
        <v>90</v>
      </c>
      <c r="K8522">
        <v>71</v>
      </c>
      <c r="L8522">
        <v>98</v>
      </c>
      <c r="M8522">
        <v>632.29998779000005</v>
      </c>
      <c r="N8522" t="s">
        <v>87</v>
      </c>
      <c r="O8522" t="s">
        <v>86</v>
      </c>
      <c r="P8522">
        <v>131</v>
      </c>
      <c r="Q8522">
        <v>6</v>
      </c>
      <c r="R8522">
        <v>40</v>
      </c>
      <c r="S8522">
        <v>1257</v>
      </c>
      <c r="T8522">
        <v>-40</v>
      </c>
      <c r="U8522">
        <v>45</v>
      </c>
      <c r="V8522">
        <v>300</v>
      </c>
      <c r="W8522">
        <v>28</v>
      </c>
      <c r="X8522">
        <v>28</v>
      </c>
      <c r="Y8522">
        <v>1</v>
      </c>
      <c r="Z8522">
        <v>8</v>
      </c>
      <c r="AA8522">
        <v>25</v>
      </c>
      <c r="AB8522">
        <v>1</v>
      </c>
      <c r="AC8522">
        <v>1</v>
      </c>
      <c r="AD8522">
        <v>3.2990000199999998</v>
      </c>
      <c r="AE8522">
        <v>1</v>
      </c>
      <c r="AF8522">
        <v>38</v>
      </c>
      <c r="AG8522">
        <v>3.2920000599999999</v>
      </c>
      <c r="AH8522">
        <v>4</v>
      </c>
      <c r="AI8522">
        <v>17</v>
      </c>
      <c r="AJ8522">
        <v>1</v>
      </c>
      <c r="AK8522">
        <v>28</v>
      </c>
      <c r="AL8522">
        <v>39</v>
      </c>
      <c r="AM8522" t="s">
        <v>43</v>
      </c>
      <c r="AN8522" t="str">
        <f>HYPERLINK("https://www.google.com/maps?q=10.82395458,79.14286041","Open Location")</f>
        <v>Open Location</v>
      </c>
    </row>
    <row r="8523" spans="1:40" x14ac:dyDescent="0.3">
      <c r="A8523" s="1">
        <v>46210.01284722222</v>
      </c>
      <c r="B8523" t="s">
        <v>40</v>
      </c>
      <c r="C8523" t="s">
        <v>41</v>
      </c>
      <c r="D8523" s="1">
        <v>46210.0155787037</v>
      </c>
      <c r="E8523" t="s">
        <v>42</v>
      </c>
      <c r="F8523" t="s">
        <v>83</v>
      </c>
      <c r="G8523">
        <v>41</v>
      </c>
      <c r="H8523" t="s">
        <v>43</v>
      </c>
      <c r="I8523" t="s">
        <v>4736</v>
      </c>
      <c r="J8523">
        <v>90</v>
      </c>
      <c r="K8523">
        <v>96</v>
      </c>
      <c r="L8523">
        <v>98</v>
      </c>
      <c r="M8523">
        <v>631.5</v>
      </c>
      <c r="N8523" t="s">
        <v>87</v>
      </c>
      <c r="O8523" t="s">
        <v>86</v>
      </c>
      <c r="P8523">
        <v>131</v>
      </c>
      <c r="Q8523">
        <v>6</v>
      </c>
      <c r="R8523">
        <v>28</v>
      </c>
      <c r="S8523">
        <v>1174</v>
      </c>
      <c r="T8523">
        <v>-40</v>
      </c>
      <c r="U8523">
        <v>44</v>
      </c>
      <c r="V8523">
        <v>400</v>
      </c>
      <c r="W8523">
        <v>28</v>
      </c>
      <c r="X8523">
        <v>28</v>
      </c>
      <c r="Y8523">
        <v>1</v>
      </c>
      <c r="Z8523">
        <v>8</v>
      </c>
      <c r="AA8523">
        <v>25</v>
      </c>
      <c r="AB8523">
        <v>1</v>
      </c>
      <c r="AC8523">
        <v>1</v>
      </c>
      <c r="AD8523">
        <v>3.2959999999999998</v>
      </c>
      <c r="AE8523">
        <v>1</v>
      </c>
      <c r="AF8523">
        <v>44</v>
      </c>
      <c r="AG8523">
        <v>3.2869999399999998</v>
      </c>
      <c r="AH8523">
        <v>4</v>
      </c>
      <c r="AI8523">
        <v>17</v>
      </c>
      <c r="AJ8523">
        <v>1</v>
      </c>
      <c r="AK8523">
        <v>28</v>
      </c>
      <c r="AL8523">
        <v>39</v>
      </c>
      <c r="AM8523" t="s">
        <v>43</v>
      </c>
      <c r="AN8523" t="str">
        <f>HYPERLINK("https://www.google.com/maps?q=10.82493305,79.14196014","Open Location")</f>
        <v>Open Location</v>
      </c>
    </row>
    <row r="8524" spans="1:40" x14ac:dyDescent="0.3">
      <c r="A8524" s="1">
        <v>46210.012731481482</v>
      </c>
      <c r="B8524" t="s">
        <v>40</v>
      </c>
      <c r="C8524" t="s">
        <v>41</v>
      </c>
      <c r="D8524" s="1">
        <v>46210.015590277777</v>
      </c>
      <c r="E8524" t="s">
        <v>42</v>
      </c>
      <c r="F8524" t="s">
        <v>83</v>
      </c>
      <c r="G8524">
        <v>36</v>
      </c>
      <c r="H8524">
        <v>32991</v>
      </c>
      <c r="I8524" t="s">
        <v>4737</v>
      </c>
      <c r="J8524">
        <v>90</v>
      </c>
      <c r="K8524">
        <v>99</v>
      </c>
      <c r="L8524">
        <v>98</v>
      </c>
      <c r="M8524">
        <v>631.90002441000001</v>
      </c>
      <c r="N8524" t="s">
        <v>87</v>
      </c>
      <c r="O8524" t="s">
        <v>86</v>
      </c>
      <c r="P8524">
        <v>130</v>
      </c>
      <c r="Q8524">
        <v>5</v>
      </c>
      <c r="R8524">
        <v>66</v>
      </c>
      <c r="S8524">
        <v>1108</v>
      </c>
      <c r="T8524">
        <v>-40</v>
      </c>
      <c r="U8524">
        <v>45</v>
      </c>
      <c r="V8524">
        <v>455</v>
      </c>
      <c r="W8524">
        <v>28</v>
      </c>
      <c r="X8524">
        <v>28</v>
      </c>
      <c r="Y8524">
        <v>1</v>
      </c>
      <c r="Z8524">
        <v>8</v>
      </c>
      <c r="AA8524">
        <v>25</v>
      </c>
      <c r="AB8524">
        <v>1</v>
      </c>
      <c r="AC8524">
        <v>1</v>
      </c>
      <c r="AD8524">
        <v>3.2980000999999999</v>
      </c>
      <c r="AE8524">
        <v>1</v>
      </c>
      <c r="AF8524">
        <v>41</v>
      </c>
      <c r="AG8524">
        <v>3.28900003</v>
      </c>
      <c r="AH8524">
        <v>4</v>
      </c>
      <c r="AI8524">
        <v>17</v>
      </c>
      <c r="AJ8524">
        <v>1</v>
      </c>
      <c r="AK8524">
        <v>29</v>
      </c>
      <c r="AL8524">
        <v>39</v>
      </c>
      <c r="AM8524" t="s">
        <v>43</v>
      </c>
      <c r="AN8524" t="str">
        <f>HYPERLINK("https://www.google.com/maps?q=10.82606506,79.14128113","Open Location")</f>
        <v>Open Location</v>
      </c>
    </row>
    <row r="8525" spans="1:40" x14ac:dyDescent="0.3">
      <c r="A8525" s="1">
        <v>46210.012615740743</v>
      </c>
      <c r="B8525" t="s">
        <v>40</v>
      </c>
      <c r="C8525" t="s">
        <v>41</v>
      </c>
      <c r="D8525" s="1">
        <v>46210.015173611115</v>
      </c>
      <c r="E8525" t="s">
        <v>42</v>
      </c>
      <c r="F8525" t="s">
        <v>83</v>
      </c>
      <c r="G8525">
        <v>31</v>
      </c>
      <c r="H8525">
        <v>32991</v>
      </c>
      <c r="I8525" t="s">
        <v>4738</v>
      </c>
      <c r="J8525">
        <v>90</v>
      </c>
      <c r="K8525">
        <v>78</v>
      </c>
      <c r="L8525">
        <v>98</v>
      </c>
      <c r="M8525">
        <v>632.79998779000005</v>
      </c>
      <c r="N8525" t="s">
        <v>87</v>
      </c>
      <c r="O8525" t="s">
        <v>86</v>
      </c>
      <c r="P8525">
        <v>130</v>
      </c>
      <c r="Q8525">
        <v>5</v>
      </c>
      <c r="R8525">
        <v>100</v>
      </c>
      <c r="S8525">
        <v>1447</v>
      </c>
      <c r="T8525">
        <v>-40</v>
      </c>
      <c r="U8525">
        <v>44</v>
      </c>
      <c r="V8525">
        <v>306</v>
      </c>
      <c r="W8525">
        <v>28</v>
      </c>
      <c r="X8525">
        <v>28</v>
      </c>
      <c r="Y8525">
        <v>1</v>
      </c>
      <c r="Z8525">
        <v>8</v>
      </c>
      <c r="AA8525">
        <v>25</v>
      </c>
      <c r="AB8525">
        <v>1</v>
      </c>
      <c r="AC8525">
        <v>1</v>
      </c>
      <c r="AD8525">
        <v>3.3010001199999999</v>
      </c>
      <c r="AE8525">
        <v>1</v>
      </c>
      <c r="AF8525">
        <v>43</v>
      </c>
      <c r="AG8525">
        <v>3.2939999100000001</v>
      </c>
      <c r="AH8525">
        <v>4</v>
      </c>
      <c r="AI8525">
        <v>17</v>
      </c>
      <c r="AJ8525">
        <v>1</v>
      </c>
      <c r="AK8525">
        <v>28</v>
      </c>
      <c r="AL8525">
        <v>39</v>
      </c>
      <c r="AM8525" t="s">
        <v>43</v>
      </c>
      <c r="AN8525" t="str">
        <f>HYPERLINK("https://www.google.com/maps?q=10.82693577,79.14084625","Open Location")</f>
        <v>Open Location</v>
      </c>
    </row>
    <row r="8526" spans="1:40" x14ac:dyDescent="0.3">
      <c r="A8526" s="1">
        <v>46210.012499999997</v>
      </c>
      <c r="B8526" t="s">
        <v>40</v>
      </c>
      <c r="C8526" t="s">
        <v>41</v>
      </c>
      <c r="D8526" s="1">
        <v>46210.015196759261</v>
      </c>
      <c r="E8526" t="s">
        <v>42</v>
      </c>
      <c r="F8526" t="s">
        <v>83</v>
      </c>
      <c r="G8526">
        <v>32</v>
      </c>
      <c r="H8526">
        <v>32991</v>
      </c>
      <c r="I8526" t="s">
        <v>43</v>
      </c>
      <c r="J8526">
        <v>90</v>
      </c>
      <c r="K8526">
        <v>25</v>
      </c>
      <c r="L8526">
        <v>98</v>
      </c>
      <c r="M8526">
        <v>635.90002441000001</v>
      </c>
      <c r="N8526" t="s">
        <v>87</v>
      </c>
      <c r="O8526" t="s">
        <v>86</v>
      </c>
      <c r="P8526">
        <v>131</v>
      </c>
      <c r="Q8526">
        <v>6</v>
      </c>
      <c r="R8526">
        <v>-29</v>
      </c>
      <c r="S8526">
        <v>686</v>
      </c>
      <c r="T8526">
        <v>-40</v>
      </c>
      <c r="U8526">
        <v>45</v>
      </c>
      <c r="V8526">
        <v>0</v>
      </c>
      <c r="W8526">
        <v>28</v>
      </c>
      <c r="X8526">
        <v>28</v>
      </c>
      <c r="Y8526">
        <v>1</v>
      </c>
      <c r="Z8526">
        <v>8</v>
      </c>
      <c r="AA8526">
        <v>25</v>
      </c>
      <c r="AB8526">
        <v>1</v>
      </c>
      <c r="AC8526">
        <v>3</v>
      </c>
      <c r="AD8526">
        <v>3.3199999299999998</v>
      </c>
      <c r="AE8526">
        <v>1</v>
      </c>
      <c r="AF8526">
        <v>44</v>
      </c>
      <c r="AG8526">
        <v>3.3169999099999998</v>
      </c>
      <c r="AH8526">
        <v>2</v>
      </c>
      <c r="AI8526">
        <v>48</v>
      </c>
      <c r="AJ8526">
        <v>1</v>
      </c>
      <c r="AK8526">
        <v>28</v>
      </c>
      <c r="AL8526">
        <v>39</v>
      </c>
      <c r="AM8526" t="s">
        <v>43</v>
      </c>
      <c r="AN8526" t="s">
        <v>43</v>
      </c>
    </row>
    <row r="8527" spans="1:40" x14ac:dyDescent="0.3">
      <c r="A8527" s="1">
        <v>46210.012384259258</v>
      </c>
      <c r="B8527" t="s">
        <v>40</v>
      </c>
      <c r="C8527" t="s">
        <v>41</v>
      </c>
      <c r="D8527" s="1">
        <v>46210.015185185184</v>
      </c>
      <c r="E8527" t="s">
        <v>42</v>
      </c>
      <c r="F8527" t="s">
        <v>83</v>
      </c>
      <c r="G8527">
        <v>43</v>
      </c>
      <c r="H8527">
        <v>32991</v>
      </c>
      <c r="I8527" t="s">
        <v>4739</v>
      </c>
      <c r="J8527">
        <v>90</v>
      </c>
      <c r="K8527">
        <v>-63</v>
      </c>
      <c r="L8527">
        <v>98</v>
      </c>
      <c r="M8527">
        <v>638.5</v>
      </c>
      <c r="N8527" t="s">
        <v>87</v>
      </c>
      <c r="O8527" t="s">
        <v>86</v>
      </c>
      <c r="P8527">
        <v>131</v>
      </c>
      <c r="Q8527">
        <v>6</v>
      </c>
      <c r="R8527">
        <v>-38</v>
      </c>
      <c r="S8527">
        <v>1025</v>
      </c>
      <c r="T8527">
        <v>-40</v>
      </c>
      <c r="U8527">
        <v>43</v>
      </c>
      <c r="V8527">
        <v>-300</v>
      </c>
      <c r="W8527">
        <v>28</v>
      </c>
      <c r="X8527">
        <v>28</v>
      </c>
      <c r="Y8527">
        <v>1</v>
      </c>
      <c r="Z8527">
        <v>8</v>
      </c>
      <c r="AA8527">
        <v>25</v>
      </c>
      <c r="AB8527">
        <v>1</v>
      </c>
      <c r="AC8527">
        <v>3</v>
      </c>
      <c r="AD8527">
        <v>3.3269999000000001</v>
      </c>
      <c r="AE8527">
        <v>4</v>
      </c>
      <c r="AF8527">
        <v>24</v>
      </c>
      <c r="AG8527">
        <v>3.3239998800000001</v>
      </c>
      <c r="AH8527">
        <v>2</v>
      </c>
      <c r="AI8527">
        <v>14</v>
      </c>
      <c r="AJ8527">
        <v>1</v>
      </c>
      <c r="AK8527">
        <v>29</v>
      </c>
      <c r="AL8527">
        <v>39</v>
      </c>
      <c r="AM8527" t="s">
        <v>43</v>
      </c>
      <c r="AN8527" t="str">
        <f>HYPERLINK("https://www.google.com/maps?q=10.82769871,79.14040375","Open Location")</f>
        <v>Open Location</v>
      </c>
    </row>
    <row r="8528" spans="1:40" x14ac:dyDescent="0.3">
      <c r="A8528" s="1">
        <v>46210.01226851852</v>
      </c>
      <c r="B8528" t="s">
        <v>40</v>
      </c>
      <c r="C8528" t="s">
        <v>41</v>
      </c>
      <c r="D8528" s="1">
        <v>46210.015196759261</v>
      </c>
      <c r="E8528" t="s">
        <v>42</v>
      </c>
      <c r="F8528" t="s">
        <v>83</v>
      </c>
      <c r="G8528">
        <v>47</v>
      </c>
      <c r="H8528">
        <v>32990</v>
      </c>
      <c r="I8528" t="s">
        <v>4740</v>
      </c>
      <c r="J8528">
        <v>90</v>
      </c>
      <c r="K8528">
        <v>40</v>
      </c>
      <c r="L8528">
        <v>98</v>
      </c>
      <c r="M8528">
        <v>634.40002441000001</v>
      </c>
      <c r="N8528" t="s">
        <v>87</v>
      </c>
      <c r="O8528" t="s">
        <v>86</v>
      </c>
      <c r="P8528">
        <v>131</v>
      </c>
      <c r="Q8528">
        <v>6</v>
      </c>
      <c r="R8528">
        <v>8</v>
      </c>
      <c r="S8528">
        <v>1292</v>
      </c>
      <c r="T8528">
        <v>-40</v>
      </c>
      <c r="U8528">
        <v>43</v>
      </c>
      <c r="V8528">
        <v>180</v>
      </c>
      <c r="W8528">
        <v>28</v>
      </c>
      <c r="X8528">
        <v>28</v>
      </c>
      <c r="Y8528">
        <v>1</v>
      </c>
      <c r="Z8528">
        <v>8</v>
      </c>
      <c r="AA8528">
        <v>25</v>
      </c>
      <c r="AB8528">
        <v>1</v>
      </c>
      <c r="AC8528">
        <v>3</v>
      </c>
      <c r="AD8528">
        <v>3.30999994</v>
      </c>
      <c r="AE8528">
        <v>1</v>
      </c>
      <c r="AF8528">
        <v>41</v>
      </c>
      <c r="AG8528">
        <v>3.3059999900000001</v>
      </c>
      <c r="AH8528">
        <v>4</v>
      </c>
      <c r="AI8528">
        <v>17</v>
      </c>
      <c r="AJ8528">
        <v>1</v>
      </c>
      <c r="AK8528">
        <v>28</v>
      </c>
      <c r="AL8528">
        <v>39</v>
      </c>
      <c r="AM8528" t="s">
        <v>43</v>
      </c>
      <c r="AN8528" t="str">
        <f>HYPERLINK("https://www.google.com/maps?q=10.82880688,79.13970184","Open Location")</f>
        <v>Open Location</v>
      </c>
    </row>
    <row r="8529" spans="1:40" x14ac:dyDescent="0.3">
      <c r="A8529" s="1">
        <v>46210.012152777781</v>
      </c>
      <c r="B8529" t="s">
        <v>40</v>
      </c>
      <c r="C8529" t="s">
        <v>41</v>
      </c>
      <c r="D8529" s="1">
        <v>46210.015173611115</v>
      </c>
      <c r="E8529" t="s">
        <v>42</v>
      </c>
      <c r="F8529" t="s">
        <v>83</v>
      </c>
      <c r="G8529">
        <v>47</v>
      </c>
      <c r="H8529">
        <v>32990</v>
      </c>
      <c r="I8529" t="s">
        <v>4741</v>
      </c>
      <c r="J8529">
        <v>90</v>
      </c>
      <c r="K8529">
        <v>60</v>
      </c>
      <c r="L8529">
        <v>98</v>
      </c>
      <c r="M8529">
        <v>633.09997558999999</v>
      </c>
      <c r="N8529" t="s">
        <v>87</v>
      </c>
      <c r="O8529" t="s">
        <v>86</v>
      </c>
      <c r="P8529">
        <v>131</v>
      </c>
      <c r="Q8529">
        <v>6</v>
      </c>
      <c r="R8529">
        <v>54</v>
      </c>
      <c r="S8529">
        <v>1324</v>
      </c>
      <c r="T8529">
        <v>-40</v>
      </c>
      <c r="U8529">
        <v>44</v>
      </c>
      <c r="V8529">
        <v>240</v>
      </c>
      <c r="W8529">
        <v>28</v>
      </c>
      <c r="X8529">
        <v>28</v>
      </c>
      <c r="Y8529">
        <v>1</v>
      </c>
      <c r="Z8529">
        <v>8</v>
      </c>
      <c r="AA8529">
        <v>25</v>
      </c>
      <c r="AB8529">
        <v>1</v>
      </c>
      <c r="AC8529">
        <v>3</v>
      </c>
      <c r="AD8529">
        <v>3.3039999</v>
      </c>
      <c r="AE8529">
        <v>1</v>
      </c>
      <c r="AF8529">
        <v>44</v>
      </c>
      <c r="AG8529">
        <v>3.2980000999999999</v>
      </c>
      <c r="AH8529">
        <v>4</v>
      </c>
      <c r="AI8529">
        <v>17</v>
      </c>
      <c r="AJ8529">
        <v>1</v>
      </c>
      <c r="AK8529">
        <v>29</v>
      </c>
      <c r="AL8529">
        <v>39</v>
      </c>
      <c r="AM8529" t="s">
        <v>43</v>
      </c>
      <c r="AN8529" t="str">
        <f>HYPERLINK("https://www.google.com/maps?q=10.82971764,79.13859558","Open Location")</f>
        <v>Open Location</v>
      </c>
    </row>
    <row r="8530" spans="1:40" x14ac:dyDescent="0.3">
      <c r="A8530" s="1">
        <v>46210.012037037035</v>
      </c>
      <c r="B8530" t="s">
        <v>40</v>
      </c>
      <c r="C8530" t="s">
        <v>41</v>
      </c>
      <c r="D8530" s="1">
        <v>46210.014803240738</v>
      </c>
      <c r="E8530" t="s">
        <v>42</v>
      </c>
      <c r="F8530" t="s">
        <v>83</v>
      </c>
      <c r="G8530">
        <v>50</v>
      </c>
      <c r="H8530">
        <v>32990</v>
      </c>
      <c r="I8530" t="s">
        <v>4742</v>
      </c>
      <c r="J8530">
        <v>90</v>
      </c>
      <c r="K8530">
        <v>37</v>
      </c>
      <c r="L8530">
        <v>98</v>
      </c>
      <c r="M8530">
        <v>634.90002441000001</v>
      </c>
      <c r="N8530" t="s">
        <v>87</v>
      </c>
      <c r="O8530" t="s">
        <v>86</v>
      </c>
      <c r="P8530">
        <v>131</v>
      </c>
      <c r="Q8530">
        <v>6</v>
      </c>
      <c r="R8530">
        <v>43</v>
      </c>
      <c r="S8530">
        <v>1405</v>
      </c>
      <c r="T8530">
        <v>-40</v>
      </c>
      <c r="U8530">
        <v>44</v>
      </c>
      <c r="V8530">
        <v>200</v>
      </c>
      <c r="W8530">
        <v>28</v>
      </c>
      <c r="X8530">
        <v>28</v>
      </c>
      <c r="Y8530">
        <v>1</v>
      </c>
      <c r="Z8530">
        <v>8</v>
      </c>
      <c r="AA8530">
        <v>25</v>
      </c>
      <c r="AB8530">
        <v>1</v>
      </c>
      <c r="AC8530">
        <v>3</v>
      </c>
      <c r="AD8530">
        <v>3.31500006</v>
      </c>
      <c r="AE8530">
        <v>4</v>
      </c>
      <c r="AF8530">
        <v>41</v>
      </c>
      <c r="AG8530">
        <v>3.31200004</v>
      </c>
      <c r="AH8530">
        <v>1</v>
      </c>
      <c r="AI8530">
        <v>13</v>
      </c>
      <c r="AJ8530">
        <v>1</v>
      </c>
      <c r="AK8530">
        <v>28</v>
      </c>
      <c r="AL8530">
        <v>39</v>
      </c>
      <c r="AM8530" t="s">
        <v>43</v>
      </c>
      <c r="AN8530" t="str">
        <f>HYPERLINK("https://www.google.com/maps?q=10.8299942,79.13713074","Open Location")</f>
        <v>Open Location</v>
      </c>
    </row>
    <row r="8531" spans="1:40" x14ac:dyDescent="0.3">
      <c r="A8531" s="1">
        <v>46210.011921296296</v>
      </c>
      <c r="B8531" t="s">
        <v>40</v>
      </c>
      <c r="C8531" t="s">
        <v>41</v>
      </c>
      <c r="D8531" s="1">
        <v>46210.01458333333</v>
      </c>
      <c r="E8531" t="s">
        <v>42</v>
      </c>
      <c r="F8531" t="s">
        <v>83</v>
      </c>
      <c r="G8531">
        <v>47</v>
      </c>
      <c r="H8531">
        <v>32990</v>
      </c>
      <c r="I8531" t="s">
        <v>4743</v>
      </c>
      <c r="J8531">
        <v>90</v>
      </c>
      <c r="K8531">
        <v>73</v>
      </c>
      <c r="L8531">
        <v>98</v>
      </c>
      <c r="M8531">
        <v>632.59997558999999</v>
      </c>
      <c r="N8531" t="s">
        <v>87</v>
      </c>
      <c r="O8531" t="s">
        <v>86</v>
      </c>
      <c r="P8531">
        <v>131</v>
      </c>
      <c r="Q8531">
        <v>6</v>
      </c>
      <c r="R8531">
        <v>35</v>
      </c>
      <c r="S8531">
        <v>1335</v>
      </c>
      <c r="T8531">
        <v>-40</v>
      </c>
      <c r="U8531">
        <v>44</v>
      </c>
      <c r="V8531">
        <v>300</v>
      </c>
      <c r="W8531">
        <v>28</v>
      </c>
      <c r="X8531">
        <v>28</v>
      </c>
      <c r="Y8531">
        <v>1</v>
      </c>
      <c r="Z8531">
        <v>8</v>
      </c>
      <c r="AA8531">
        <v>25</v>
      </c>
      <c r="AB8531">
        <v>1</v>
      </c>
      <c r="AC8531">
        <v>3</v>
      </c>
      <c r="AD8531">
        <v>3.2999999500000001</v>
      </c>
      <c r="AE8531">
        <v>1</v>
      </c>
      <c r="AF8531">
        <v>38</v>
      </c>
      <c r="AG8531">
        <v>3.2939999100000001</v>
      </c>
      <c r="AH8531">
        <v>4</v>
      </c>
      <c r="AI8531">
        <v>17</v>
      </c>
      <c r="AJ8531">
        <v>1</v>
      </c>
      <c r="AK8531">
        <v>28</v>
      </c>
      <c r="AL8531">
        <v>39</v>
      </c>
      <c r="AM8531" t="s">
        <v>43</v>
      </c>
      <c r="AN8531" t="str">
        <f>HYPERLINK("https://www.google.com/maps?q=10.82979774,79.13556671","Open Location")</f>
        <v>Open Location</v>
      </c>
    </row>
    <row r="8532" spans="1:40" x14ac:dyDescent="0.3">
      <c r="A8532" s="1">
        <v>46210.011805555558</v>
      </c>
      <c r="B8532" t="s">
        <v>40</v>
      </c>
      <c r="C8532" t="s">
        <v>41</v>
      </c>
      <c r="D8532" s="1">
        <v>46210.014826388891</v>
      </c>
      <c r="E8532" t="s">
        <v>42</v>
      </c>
      <c r="F8532" t="s">
        <v>83</v>
      </c>
      <c r="G8532">
        <v>45</v>
      </c>
      <c r="H8532">
        <v>32990</v>
      </c>
      <c r="I8532" t="s">
        <v>43</v>
      </c>
      <c r="J8532">
        <v>90</v>
      </c>
      <c r="K8532">
        <v>70</v>
      </c>
      <c r="L8532">
        <v>98</v>
      </c>
      <c r="M8532">
        <v>632.29998779000005</v>
      </c>
      <c r="N8532" t="s">
        <v>87</v>
      </c>
      <c r="O8532" t="s">
        <v>86</v>
      </c>
      <c r="P8532">
        <v>131</v>
      </c>
      <c r="Q8532">
        <v>6</v>
      </c>
      <c r="R8532">
        <v>39</v>
      </c>
      <c r="S8532">
        <v>1284</v>
      </c>
      <c r="T8532">
        <v>-40</v>
      </c>
      <c r="U8532">
        <v>45</v>
      </c>
      <c r="V8532">
        <v>300</v>
      </c>
      <c r="W8532">
        <v>28</v>
      </c>
      <c r="X8532">
        <v>28</v>
      </c>
      <c r="Y8532">
        <v>1</v>
      </c>
      <c r="Z8532">
        <v>8</v>
      </c>
      <c r="AA8532">
        <v>25</v>
      </c>
      <c r="AB8532">
        <v>1</v>
      </c>
      <c r="AC8532">
        <v>3</v>
      </c>
      <c r="AD8532">
        <v>3.3010001199999999</v>
      </c>
      <c r="AE8532">
        <v>1</v>
      </c>
      <c r="AF8532">
        <v>44</v>
      </c>
      <c r="AG8532">
        <v>3.2939999100000001</v>
      </c>
      <c r="AH8532">
        <v>4</v>
      </c>
      <c r="AI8532">
        <v>17</v>
      </c>
      <c r="AJ8532">
        <v>1</v>
      </c>
      <c r="AK8532">
        <v>28</v>
      </c>
      <c r="AL8532">
        <v>39</v>
      </c>
      <c r="AM8532" t="s">
        <v>43</v>
      </c>
      <c r="AN8532" t="s">
        <v>43</v>
      </c>
    </row>
    <row r="8533" spans="1:40" x14ac:dyDescent="0.3">
      <c r="A8533" s="1">
        <v>46210.011689814812</v>
      </c>
      <c r="B8533" t="s">
        <v>40</v>
      </c>
      <c r="C8533" t="s">
        <v>41</v>
      </c>
      <c r="D8533" s="1">
        <v>46210.014826388891</v>
      </c>
      <c r="E8533" t="s">
        <v>42</v>
      </c>
      <c r="F8533" t="s">
        <v>83</v>
      </c>
      <c r="G8533">
        <v>42</v>
      </c>
      <c r="H8533" t="s">
        <v>43</v>
      </c>
      <c r="I8533" t="s">
        <v>4744</v>
      </c>
      <c r="J8533">
        <v>90</v>
      </c>
      <c r="K8533">
        <v>66</v>
      </c>
      <c r="L8533">
        <v>98</v>
      </c>
      <c r="M8533">
        <v>632.70001220999995</v>
      </c>
      <c r="N8533" t="s">
        <v>87</v>
      </c>
      <c r="O8533" t="s">
        <v>86</v>
      </c>
      <c r="P8533">
        <v>131</v>
      </c>
      <c r="Q8533">
        <v>6</v>
      </c>
      <c r="R8533">
        <v>46</v>
      </c>
      <c r="S8533">
        <v>1206</v>
      </c>
      <c r="T8533">
        <v>-40</v>
      </c>
      <c r="U8533">
        <v>45</v>
      </c>
      <c r="V8533">
        <v>300</v>
      </c>
      <c r="W8533">
        <v>28</v>
      </c>
      <c r="X8533">
        <v>28</v>
      </c>
      <c r="Y8533">
        <v>1</v>
      </c>
      <c r="Z8533">
        <v>8</v>
      </c>
      <c r="AA8533">
        <v>25</v>
      </c>
      <c r="AB8533">
        <v>1</v>
      </c>
      <c r="AC8533">
        <v>3</v>
      </c>
      <c r="AD8533">
        <v>3.3020000500000002</v>
      </c>
      <c r="AE8533">
        <v>1</v>
      </c>
      <c r="AF8533">
        <v>44</v>
      </c>
      <c r="AG8533">
        <v>3.2950000799999999</v>
      </c>
      <c r="AH8533">
        <v>4</v>
      </c>
      <c r="AI8533">
        <v>17</v>
      </c>
      <c r="AJ8533">
        <v>1</v>
      </c>
      <c r="AK8533">
        <v>28</v>
      </c>
      <c r="AL8533">
        <v>39</v>
      </c>
      <c r="AM8533" t="s">
        <v>43</v>
      </c>
      <c r="AN8533" t="str">
        <f>HYPERLINK("https://www.google.com/maps?q=10.82917118,79.13434601","Open Location")</f>
        <v>Open Location</v>
      </c>
    </row>
    <row r="8534" spans="1:40" x14ac:dyDescent="0.3">
      <c r="A8534" s="1">
        <v>46210.011574074073</v>
      </c>
      <c r="B8534" t="s">
        <v>40</v>
      </c>
      <c r="C8534" t="s">
        <v>41</v>
      </c>
      <c r="D8534" s="1">
        <v>46210.014386574076</v>
      </c>
      <c r="E8534" t="s">
        <v>42</v>
      </c>
      <c r="F8534" t="s">
        <v>83</v>
      </c>
      <c r="G8534">
        <v>36</v>
      </c>
      <c r="H8534">
        <v>32990</v>
      </c>
      <c r="I8534" t="s">
        <v>4745</v>
      </c>
      <c r="J8534">
        <v>90</v>
      </c>
      <c r="K8534">
        <v>78</v>
      </c>
      <c r="L8534">
        <v>98</v>
      </c>
      <c r="M8534">
        <v>632.90002441000001</v>
      </c>
      <c r="N8534" t="s">
        <v>87</v>
      </c>
      <c r="O8534" t="s">
        <v>86</v>
      </c>
      <c r="P8534">
        <v>131</v>
      </c>
      <c r="Q8534">
        <v>6</v>
      </c>
      <c r="R8534">
        <v>79</v>
      </c>
      <c r="S8534">
        <v>1150</v>
      </c>
      <c r="T8534">
        <v>-40</v>
      </c>
      <c r="U8534">
        <v>46</v>
      </c>
      <c r="V8534">
        <v>340</v>
      </c>
      <c r="W8534">
        <v>28</v>
      </c>
      <c r="X8534">
        <v>28</v>
      </c>
      <c r="Y8534">
        <v>1</v>
      </c>
      <c r="Z8534">
        <v>8</v>
      </c>
      <c r="AA8534">
        <v>25</v>
      </c>
      <c r="AB8534">
        <v>1</v>
      </c>
      <c r="AC8534">
        <v>3</v>
      </c>
      <c r="AD8534">
        <v>3.3029999700000001</v>
      </c>
      <c r="AE8534">
        <v>1</v>
      </c>
      <c r="AF8534">
        <v>44</v>
      </c>
      <c r="AG8534">
        <v>3.2959999999999998</v>
      </c>
      <c r="AH8534">
        <v>4</v>
      </c>
      <c r="AI8534">
        <v>17</v>
      </c>
      <c r="AJ8534">
        <v>1</v>
      </c>
      <c r="AK8534">
        <v>27</v>
      </c>
      <c r="AL8534">
        <v>39</v>
      </c>
      <c r="AM8534" t="s">
        <v>43</v>
      </c>
      <c r="AN8534" t="str">
        <f>HYPERLINK("https://www.google.com/maps?q=10.82856178,79.13320923","Open Location")</f>
        <v>Open Location</v>
      </c>
    </row>
    <row r="8535" spans="1:40" x14ac:dyDescent="0.3">
      <c r="A8535" s="1">
        <v>46210.011458333334</v>
      </c>
      <c r="B8535" t="s">
        <v>40</v>
      </c>
      <c r="C8535" t="s">
        <v>41</v>
      </c>
      <c r="D8535" s="1">
        <v>46210.014224537037</v>
      </c>
      <c r="E8535" t="s">
        <v>42</v>
      </c>
      <c r="F8535" t="s">
        <v>83</v>
      </c>
      <c r="G8535">
        <v>43</v>
      </c>
      <c r="H8535">
        <v>32990</v>
      </c>
      <c r="I8535" t="s">
        <v>4746</v>
      </c>
      <c r="J8535">
        <v>90</v>
      </c>
      <c r="K8535">
        <v>-40</v>
      </c>
      <c r="L8535">
        <v>98</v>
      </c>
      <c r="M8535">
        <v>638</v>
      </c>
      <c r="N8535" t="s">
        <v>87</v>
      </c>
      <c r="O8535" t="s">
        <v>86</v>
      </c>
      <c r="P8535">
        <v>131</v>
      </c>
      <c r="Q8535">
        <v>6</v>
      </c>
      <c r="R8535">
        <v>-97</v>
      </c>
      <c r="S8535">
        <v>979</v>
      </c>
      <c r="T8535">
        <v>-40</v>
      </c>
      <c r="U8535">
        <v>44</v>
      </c>
      <c r="V8535">
        <v>-300</v>
      </c>
      <c r="W8535">
        <v>28</v>
      </c>
      <c r="X8535">
        <v>28</v>
      </c>
      <c r="Y8535">
        <v>1</v>
      </c>
      <c r="Z8535">
        <v>8</v>
      </c>
      <c r="AA8535">
        <v>25</v>
      </c>
      <c r="AB8535">
        <v>1</v>
      </c>
      <c r="AC8535">
        <v>3</v>
      </c>
      <c r="AD8535">
        <v>3.3269999000000001</v>
      </c>
      <c r="AE8535">
        <v>4</v>
      </c>
      <c r="AF8535">
        <v>24</v>
      </c>
      <c r="AG8535">
        <v>3.3239998800000001</v>
      </c>
      <c r="AH8535">
        <v>1</v>
      </c>
      <c r="AI8535">
        <v>21</v>
      </c>
      <c r="AJ8535">
        <v>1</v>
      </c>
      <c r="AK8535">
        <v>28</v>
      </c>
      <c r="AL8535">
        <v>39</v>
      </c>
      <c r="AM8535" t="s">
        <v>43</v>
      </c>
      <c r="AN8535" t="str">
        <f>HYPERLINK("https://www.google.com/maps?q=10.82874107,79.13219452","Open Location")</f>
        <v>Open Location</v>
      </c>
    </row>
    <row r="8536" spans="1:40" x14ac:dyDescent="0.3">
      <c r="A8536" s="1">
        <v>46210.011342592596</v>
      </c>
      <c r="B8536" t="s">
        <v>40</v>
      </c>
      <c r="C8536" t="s">
        <v>41</v>
      </c>
      <c r="D8536" s="1">
        <v>46210.013993055552</v>
      </c>
      <c r="E8536" t="s">
        <v>42</v>
      </c>
      <c r="F8536" t="s">
        <v>83</v>
      </c>
      <c r="G8536">
        <v>52</v>
      </c>
      <c r="H8536">
        <v>32989</v>
      </c>
      <c r="I8536" t="s">
        <v>4747</v>
      </c>
      <c r="J8536">
        <v>90</v>
      </c>
      <c r="K8536">
        <v>-58</v>
      </c>
      <c r="L8536">
        <v>98</v>
      </c>
      <c r="M8536">
        <v>637.59997558999999</v>
      </c>
      <c r="N8536" t="s">
        <v>87</v>
      </c>
      <c r="O8536" t="s">
        <v>86</v>
      </c>
      <c r="P8536">
        <v>131</v>
      </c>
      <c r="Q8536">
        <v>6</v>
      </c>
      <c r="R8536">
        <v>-23</v>
      </c>
      <c r="S8536">
        <v>1355</v>
      </c>
      <c r="T8536">
        <v>-40</v>
      </c>
      <c r="U8536">
        <v>44</v>
      </c>
      <c r="V8536">
        <v>-300</v>
      </c>
      <c r="W8536">
        <v>28</v>
      </c>
      <c r="X8536">
        <v>28</v>
      </c>
      <c r="Y8536">
        <v>1</v>
      </c>
      <c r="Z8536">
        <v>8</v>
      </c>
      <c r="AA8536">
        <v>25</v>
      </c>
      <c r="AB8536">
        <v>1</v>
      </c>
      <c r="AC8536">
        <v>3</v>
      </c>
      <c r="AD8536">
        <v>3.3239998800000001</v>
      </c>
      <c r="AE8536">
        <v>2</v>
      </c>
      <c r="AF8536">
        <v>46</v>
      </c>
      <c r="AG8536">
        <v>3.3210001</v>
      </c>
      <c r="AH8536">
        <v>2</v>
      </c>
      <c r="AI8536">
        <v>32</v>
      </c>
      <c r="AJ8536">
        <v>1</v>
      </c>
      <c r="AK8536">
        <v>27</v>
      </c>
      <c r="AL8536">
        <v>39</v>
      </c>
      <c r="AM8536" t="s">
        <v>43</v>
      </c>
      <c r="AN8536" t="str">
        <f>HYPERLINK("https://www.google.com/maps?q=10.82985306,79.1312027","Open Location")</f>
        <v>Open Location</v>
      </c>
    </row>
    <row r="8537" spans="1:40" x14ac:dyDescent="0.3">
      <c r="A8537" s="1">
        <v>46210.01122685185</v>
      </c>
      <c r="B8537" t="s">
        <v>40</v>
      </c>
      <c r="C8537" t="s">
        <v>41</v>
      </c>
      <c r="D8537" s="1">
        <v>46210.014016203706</v>
      </c>
      <c r="E8537" t="s">
        <v>42</v>
      </c>
      <c r="F8537" t="s">
        <v>83</v>
      </c>
      <c r="G8537">
        <v>49</v>
      </c>
      <c r="H8537">
        <v>32989</v>
      </c>
      <c r="I8537" t="s">
        <v>43</v>
      </c>
      <c r="J8537">
        <v>90</v>
      </c>
      <c r="K8537">
        <v>125</v>
      </c>
      <c r="L8537">
        <v>98</v>
      </c>
      <c r="M8537">
        <v>629.90002441000001</v>
      </c>
      <c r="N8537" t="s">
        <v>87</v>
      </c>
      <c r="O8537" t="s">
        <v>86</v>
      </c>
      <c r="P8537">
        <v>131</v>
      </c>
      <c r="Q8537">
        <v>6</v>
      </c>
      <c r="R8537">
        <v>142</v>
      </c>
      <c r="S8537">
        <v>1467</v>
      </c>
      <c r="T8537">
        <v>-40</v>
      </c>
      <c r="U8537">
        <v>46</v>
      </c>
      <c r="V8537">
        <v>480</v>
      </c>
      <c r="W8537">
        <v>28</v>
      </c>
      <c r="X8537">
        <v>28</v>
      </c>
      <c r="Y8537">
        <v>1</v>
      </c>
      <c r="Z8537">
        <v>8</v>
      </c>
      <c r="AA8537">
        <v>25</v>
      </c>
      <c r="AB8537">
        <v>1</v>
      </c>
      <c r="AC8537">
        <v>3</v>
      </c>
      <c r="AD8537">
        <v>3.2920000599999999</v>
      </c>
      <c r="AE8537">
        <v>1</v>
      </c>
      <c r="AF8537">
        <v>41</v>
      </c>
      <c r="AG8537">
        <v>3.2820000600000001</v>
      </c>
      <c r="AH8537">
        <v>4</v>
      </c>
      <c r="AI8537">
        <v>17</v>
      </c>
      <c r="AJ8537">
        <v>1</v>
      </c>
      <c r="AK8537">
        <v>28</v>
      </c>
      <c r="AL8537">
        <v>39</v>
      </c>
      <c r="AM8537" t="s">
        <v>43</v>
      </c>
      <c r="AN8537" t="s">
        <v>43</v>
      </c>
    </row>
    <row r="8538" spans="1:40" x14ac:dyDescent="0.3">
      <c r="A8538" s="1">
        <v>46210.011111111111</v>
      </c>
      <c r="B8538" t="s">
        <v>40</v>
      </c>
      <c r="C8538" t="s">
        <v>41</v>
      </c>
      <c r="D8538" s="1">
        <v>46210.013796296298</v>
      </c>
      <c r="E8538" t="s">
        <v>42</v>
      </c>
      <c r="F8538" t="s">
        <v>83</v>
      </c>
      <c r="G8538">
        <v>49</v>
      </c>
      <c r="H8538">
        <v>32989</v>
      </c>
      <c r="I8538" t="s">
        <v>4748</v>
      </c>
      <c r="J8538">
        <v>90</v>
      </c>
      <c r="K8538">
        <v>-52</v>
      </c>
      <c r="L8538">
        <v>98</v>
      </c>
      <c r="M8538">
        <v>637.90002441000001</v>
      </c>
      <c r="N8538" t="s">
        <v>87</v>
      </c>
      <c r="O8538" t="s">
        <v>86</v>
      </c>
      <c r="P8538">
        <v>131</v>
      </c>
      <c r="Q8538">
        <v>6</v>
      </c>
      <c r="R8538">
        <v>-44</v>
      </c>
      <c r="S8538">
        <v>1236</v>
      </c>
      <c r="T8538">
        <v>-40</v>
      </c>
      <c r="U8538">
        <v>43</v>
      </c>
      <c r="V8538">
        <v>-300</v>
      </c>
      <c r="W8538">
        <v>28</v>
      </c>
      <c r="X8538">
        <v>28</v>
      </c>
      <c r="Y8538">
        <v>1</v>
      </c>
      <c r="Z8538">
        <v>8</v>
      </c>
      <c r="AA8538">
        <v>25</v>
      </c>
      <c r="AB8538">
        <v>1</v>
      </c>
      <c r="AC8538">
        <v>3</v>
      </c>
      <c r="AD8538">
        <v>3.3250000499999999</v>
      </c>
      <c r="AE8538">
        <v>2</v>
      </c>
      <c r="AF8538">
        <v>46</v>
      </c>
      <c r="AG8538">
        <v>3.3220000299999999</v>
      </c>
      <c r="AH8538">
        <v>2</v>
      </c>
      <c r="AI8538">
        <v>48</v>
      </c>
      <c r="AJ8538">
        <v>1</v>
      </c>
      <c r="AK8538">
        <v>27</v>
      </c>
      <c r="AL8538">
        <v>39</v>
      </c>
      <c r="AM8538" t="s">
        <v>43</v>
      </c>
      <c r="AN8538" t="str">
        <f>HYPERLINK("https://www.google.com/maps?q=10.83115673,79.13040924","Open Location")</f>
        <v>Open Location</v>
      </c>
    </row>
    <row r="8539" spans="1:40" x14ac:dyDescent="0.3">
      <c r="A8539" s="1">
        <v>46210.010995370372</v>
      </c>
      <c r="B8539" t="s">
        <v>40</v>
      </c>
      <c r="C8539" t="s">
        <v>41</v>
      </c>
      <c r="D8539" s="1">
        <v>46210.013807870368</v>
      </c>
      <c r="E8539" t="s">
        <v>42</v>
      </c>
      <c r="F8539" t="s">
        <v>83</v>
      </c>
      <c r="G8539">
        <v>50</v>
      </c>
      <c r="H8539">
        <v>32989</v>
      </c>
      <c r="I8539" t="s">
        <v>4749</v>
      </c>
      <c r="J8539">
        <v>90</v>
      </c>
      <c r="K8539">
        <v>34</v>
      </c>
      <c r="L8539">
        <v>98</v>
      </c>
      <c r="M8539">
        <v>633.40002441000001</v>
      </c>
      <c r="N8539" t="s">
        <v>87</v>
      </c>
      <c r="O8539" t="s">
        <v>86</v>
      </c>
      <c r="P8539">
        <v>131</v>
      </c>
      <c r="Q8539">
        <v>6</v>
      </c>
      <c r="R8539">
        <v>20</v>
      </c>
      <c r="S8539">
        <v>1394</v>
      </c>
      <c r="T8539">
        <v>-40</v>
      </c>
      <c r="U8539">
        <v>43</v>
      </c>
      <c r="V8539">
        <v>120</v>
      </c>
      <c r="W8539">
        <v>28</v>
      </c>
      <c r="X8539">
        <v>28</v>
      </c>
      <c r="Y8539">
        <v>1</v>
      </c>
      <c r="Z8539">
        <v>8</v>
      </c>
      <c r="AA8539">
        <v>25</v>
      </c>
      <c r="AB8539">
        <v>1</v>
      </c>
      <c r="AC8539">
        <v>3</v>
      </c>
      <c r="AD8539">
        <v>3.3050000700000002</v>
      </c>
      <c r="AE8539">
        <v>1</v>
      </c>
      <c r="AF8539">
        <v>41</v>
      </c>
      <c r="AG8539">
        <v>3.2999999500000001</v>
      </c>
      <c r="AH8539">
        <v>2</v>
      </c>
      <c r="AI8539">
        <v>46</v>
      </c>
      <c r="AJ8539">
        <v>1</v>
      </c>
      <c r="AK8539">
        <v>27</v>
      </c>
      <c r="AL8539">
        <v>39</v>
      </c>
      <c r="AM8539" t="s">
        <v>43</v>
      </c>
      <c r="AN8539" t="str">
        <f>HYPERLINK("https://www.google.com/maps?q=10.83209419,79.1292572","Open Location")</f>
        <v>Open Location</v>
      </c>
    </row>
    <row r="8540" spans="1:40" x14ac:dyDescent="0.3">
      <c r="A8540" s="1">
        <v>46210.010879629626</v>
      </c>
      <c r="B8540" t="s">
        <v>40</v>
      </c>
      <c r="C8540" t="s">
        <v>41</v>
      </c>
      <c r="D8540" s="1">
        <v>46210.013854166667</v>
      </c>
      <c r="E8540" t="s">
        <v>42</v>
      </c>
      <c r="F8540" t="s">
        <v>83</v>
      </c>
      <c r="G8540">
        <v>48</v>
      </c>
      <c r="H8540">
        <v>32989</v>
      </c>
      <c r="I8540" t="s">
        <v>4750</v>
      </c>
      <c r="J8540">
        <v>90</v>
      </c>
      <c r="K8540">
        <v>72</v>
      </c>
      <c r="L8540">
        <v>98</v>
      </c>
      <c r="M8540">
        <v>632.09997558999999</v>
      </c>
      <c r="N8540" t="s">
        <v>87</v>
      </c>
      <c r="O8540" t="s">
        <v>86</v>
      </c>
      <c r="P8540">
        <v>131</v>
      </c>
      <c r="Q8540">
        <v>6</v>
      </c>
      <c r="R8540">
        <v>36</v>
      </c>
      <c r="S8540">
        <v>1391</v>
      </c>
      <c r="T8540">
        <v>-40</v>
      </c>
      <c r="U8540">
        <v>44</v>
      </c>
      <c r="V8540">
        <v>280</v>
      </c>
      <c r="W8540">
        <v>28</v>
      </c>
      <c r="X8540">
        <v>28</v>
      </c>
      <c r="Y8540">
        <v>1</v>
      </c>
      <c r="Z8540">
        <v>8</v>
      </c>
      <c r="AA8540">
        <v>25</v>
      </c>
      <c r="AB8540">
        <v>1</v>
      </c>
      <c r="AC8540">
        <v>3</v>
      </c>
      <c r="AD8540">
        <v>3.3010001199999999</v>
      </c>
      <c r="AE8540">
        <v>1</v>
      </c>
      <c r="AF8540">
        <v>38</v>
      </c>
      <c r="AG8540">
        <v>3.2939999100000001</v>
      </c>
      <c r="AH8540">
        <v>4</v>
      </c>
      <c r="AI8540">
        <v>17</v>
      </c>
      <c r="AJ8540">
        <v>1</v>
      </c>
      <c r="AK8540">
        <v>28</v>
      </c>
      <c r="AL8540">
        <v>39</v>
      </c>
      <c r="AM8540" t="s">
        <v>43</v>
      </c>
      <c r="AN8540" t="str">
        <f>HYPERLINK("https://www.google.com/maps?q=10.83273411,79.12773132","Open Location")</f>
        <v>Open Location</v>
      </c>
    </row>
    <row r="8541" spans="1:40" x14ac:dyDescent="0.3">
      <c r="A8541" s="1">
        <v>46210.010763888888</v>
      </c>
      <c r="B8541" t="s">
        <v>40</v>
      </c>
      <c r="C8541" t="s">
        <v>41</v>
      </c>
      <c r="D8541" s="1">
        <v>46210.013854166667</v>
      </c>
      <c r="E8541" t="s">
        <v>42</v>
      </c>
      <c r="F8541" t="s">
        <v>83</v>
      </c>
      <c r="G8541">
        <v>46</v>
      </c>
      <c r="H8541">
        <v>32989</v>
      </c>
      <c r="I8541" t="s">
        <v>4751</v>
      </c>
      <c r="J8541">
        <v>91</v>
      </c>
      <c r="K8541">
        <v>122</v>
      </c>
      <c r="L8541">
        <v>98</v>
      </c>
      <c r="M8541">
        <v>630.40002441000001</v>
      </c>
      <c r="N8541" t="s">
        <v>87</v>
      </c>
      <c r="O8541" t="s">
        <v>86</v>
      </c>
      <c r="P8541">
        <v>131</v>
      </c>
      <c r="Q8541">
        <v>6</v>
      </c>
      <c r="R8541">
        <v>45</v>
      </c>
      <c r="S8541">
        <v>1314</v>
      </c>
      <c r="T8541">
        <v>-40</v>
      </c>
      <c r="U8541">
        <v>44</v>
      </c>
      <c r="V8541">
        <v>520</v>
      </c>
      <c r="W8541">
        <v>28</v>
      </c>
      <c r="X8541">
        <v>28</v>
      </c>
      <c r="Y8541">
        <v>1</v>
      </c>
      <c r="Z8541">
        <v>8</v>
      </c>
      <c r="AA8541">
        <v>25</v>
      </c>
      <c r="AB8541">
        <v>1</v>
      </c>
      <c r="AC8541">
        <v>3</v>
      </c>
      <c r="AD8541">
        <v>3.2920000599999999</v>
      </c>
      <c r="AE8541">
        <v>1</v>
      </c>
      <c r="AF8541">
        <v>41</v>
      </c>
      <c r="AG8541">
        <v>3.28299999</v>
      </c>
      <c r="AH8541">
        <v>4</v>
      </c>
      <c r="AI8541">
        <v>17</v>
      </c>
      <c r="AJ8541">
        <v>1</v>
      </c>
      <c r="AK8541">
        <v>28</v>
      </c>
      <c r="AL8541">
        <v>39</v>
      </c>
      <c r="AM8541" t="s">
        <v>43</v>
      </c>
      <c r="AN8541" t="str">
        <f>HYPERLINK("https://www.google.com/maps?q=10.83337212,79.12641144","Open Location")</f>
        <v>Open Location</v>
      </c>
    </row>
    <row r="8542" spans="1:40" x14ac:dyDescent="0.3">
      <c r="A8542" s="1">
        <v>46210.010648148149</v>
      </c>
      <c r="B8542" t="s">
        <v>40</v>
      </c>
      <c r="C8542" t="s">
        <v>41</v>
      </c>
      <c r="D8542" s="1">
        <v>46210.013344907406</v>
      </c>
      <c r="E8542" t="s">
        <v>42</v>
      </c>
      <c r="F8542" t="s">
        <v>83</v>
      </c>
      <c r="G8542">
        <v>45</v>
      </c>
      <c r="H8542">
        <v>32989</v>
      </c>
      <c r="I8542" t="s">
        <v>4752</v>
      </c>
      <c r="J8542">
        <v>91</v>
      </c>
      <c r="K8542">
        <v>59</v>
      </c>
      <c r="L8542">
        <v>98</v>
      </c>
      <c r="M8542">
        <v>632.90002441000001</v>
      </c>
      <c r="N8542" t="s">
        <v>87</v>
      </c>
      <c r="O8542" t="s">
        <v>86</v>
      </c>
      <c r="P8542">
        <v>131</v>
      </c>
      <c r="Q8542">
        <v>6</v>
      </c>
      <c r="R8542">
        <v>21</v>
      </c>
      <c r="S8542">
        <v>1248</v>
      </c>
      <c r="T8542">
        <v>-40</v>
      </c>
      <c r="U8542">
        <v>45</v>
      </c>
      <c r="V8542">
        <v>260</v>
      </c>
      <c r="W8542">
        <v>28</v>
      </c>
      <c r="X8542">
        <v>28</v>
      </c>
      <c r="Y8542">
        <v>1</v>
      </c>
      <c r="Z8542">
        <v>8</v>
      </c>
      <c r="AA8542">
        <v>25</v>
      </c>
      <c r="AB8542">
        <v>1</v>
      </c>
      <c r="AC8542">
        <v>3</v>
      </c>
      <c r="AD8542">
        <v>3.3029999700000001</v>
      </c>
      <c r="AE8542">
        <v>1</v>
      </c>
      <c r="AF8542">
        <v>38</v>
      </c>
      <c r="AG8542">
        <v>3.2969999300000001</v>
      </c>
      <c r="AH8542">
        <v>4</v>
      </c>
      <c r="AI8542">
        <v>17</v>
      </c>
      <c r="AJ8542">
        <v>1</v>
      </c>
      <c r="AK8542">
        <v>22</v>
      </c>
      <c r="AL8542">
        <v>39</v>
      </c>
      <c r="AM8542" t="s">
        <v>43</v>
      </c>
      <c r="AN8542" t="str">
        <f>HYPERLINK("https://www.google.com/maps?q=10.83393478,79.12513733","Open Location")</f>
        <v>Open Location</v>
      </c>
    </row>
    <row r="8543" spans="1:40" x14ac:dyDescent="0.3">
      <c r="A8543" s="1">
        <v>46210.01053240741</v>
      </c>
      <c r="B8543" t="s">
        <v>40</v>
      </c>
      <c r="C8543" t="s">
        <v>41</v>
      </c>
      <c r="D8543" s="1">
        <v>46210.013611111113</v>
      </c>
      <c r="E8543" t="s">
        <v>42</v>
      </c>
      <c r="F8543" t="s">
        <v>83</v>
      </c>
      <c r="G8543">
        <v>40</v>
      </c>
      <c r="H8543" t="s">
        <v>43</v>
      </c>
      <c r="I8543" t="s">
        <v>43</v>
      </c>
      <c r="J8543">
        <v>91</v>
      </c>
      <c r="K8543">
        <v>160</v>
      </c>
      <c r="L8543">
        <v>98</v>
      </c>
      <c r="M8543">
        <v>629.29998779000005</v>
      </c>
      <c r="N8543" t="s">
        <v>87</v>
      </c>
      <c r="O8543" t="s">
        <v>86</v>
      </c>
      <c r="P8543">
        <v>131</v>
      </c>
      <c r="Q8543">
        <v>6</v>
      </c>
      <c r="R8543">
        <v>-36</v>
      </c>
      <c r="S8543">
        <v>1201</v>
      </c>
      <c r="T8543">
        <v>-40</v>
      </c>
      <c r="U8543">
        <v>44</v>
      </c>
      <c r="V8543">
        <v>740</v>
      </c>
      <c r="W8543">
        <v>28</v>
      </c>
      <c r="X8543">
        <v>28</v>
      </c>
      <c r="Y8543">
        <v>1</v>
      </c>
      <c r="Z8543">
        <v>8</v>
      </c>
      <c r="AA8543">
        <v>25</v>
      </c>
      <c r="AB8543">
        <v>1</v>
      </c>
      <c r="AC8543">
        <v>3</v>
      </c>
      <c r="AD8543">
        <v>3.28900003</v>
      </c>
      <c r="AE8543">
        <v>1</v>
      </c>
      <c r="AF8543">
        <v>44</v>
      </c>
      <c r="AG8543">
        <v>3.2780001200000002</v>
      </c>
      <c r="AH8543">
        <v>4</v>
      </c>
      <c r="AI8543">
        <v>17</v>
      </c>
      <c r="AJ8543">
        <v>1</v>
      </c>
      <c r="AK8543">
        <v>23</v>
      </c>
      <c r="AL8543">
        <v>39</v>
      </c>
      <c r="AM8543" t="s">
        <v>43</v>
      </c>
      <c r="AN8543" t="s">
        <v>43</v>
      </c>
    </row>
    <row r="8544" spans="1:40" x14ac:dyDescent="0.3">
      <c r="A8544" s="1">
        <v>46210.010416666664</v>
      </c>
      <c r="B8544" t="s">
        <v>40</v>
      </c>
      <c r="C8544" t="s">
        <v>41</v>
      </c>
      <c r="D8544" s="1">
        <v>46210.01321759259</v>
      </c>
      <c r="E8544" t="s">
        <v>42</v>
      </c>
      <c r="F8544" t="s">
        <v>83</v>
      </c>
      <c r="G8544">
        <v>44</v>
      </c>
      <c r="H8544">
        <v>32988</v>
      </c>
      <c r="I8544" t="s">
        <v>4753</v>
      </c>
      <c r="J8544">
        <v>91</v>
      </c>
      <c r="K8544">
        <v>45</v>
      </c>
      <c r="L8544">
        <v>98</v>
      </c>
      <c r="M8544">
        <v>633.29998779000005</v>
      </c>
      <c r="N8544" t="s">
        <v>87</v>
      </c>
      <c r="O8544" t="s">
        <v>86</v>
      </c>
      <c r="P8544">
        <v>131</v>
      </c>
      <c r="Q8544">
        <v>6</v>
      </c>
      <c r="R8544">
        <v>54</v>
      </c>
      <c r="S8544">
        <v>1249</v>
      </c>
      <c r="T8544">
        <v>-40</v>
      </c>
      <c r="U8544">
        <v>44</v>
      </c>
      <c r="V8544">
        <v>160</v>
      </c>
      <c r="W8544">
        <v>28</v>
      </c>
      <c r="X8544">
        <v>28</v>
      </c>
      <c r="Y8544">
        <v>1</v>
      </c>
      <c r="Z8544">
        <v>8</v>
      </c>
      <c r="AA8544">
        <v>25</v>
      </c>
      <c r="AB8544">
        <v>1</v>
      </c>
      <c r="AC8544">
        <v>3</v>
      </c>
      <c r="AD8544">
        <v>3.3050000700000002</v>
      </c>
      <c r="AE8544">
        <v>1</v>
      </c>
      <c r="AF8544">
        <v>44</v>
      </c>
      <c r="AG8544">
        <v>3.2969999300000001</v>
      </c>
      <c r="AH8544">
        <v>4</v>
      </c>
      <c r="AI8544">
        <v>17</v>
      </c>
      <c r="AJ8544">
        <v>1</v>
      </c>
      <c r="AK8544">
        <v>28</v>
      </c>
      <c r="AL8544">
        <v>39</v>
      </c>
      <c r="AM8544" t="s">
        <v>43</v>
      </c>
      <c r="AN8544" t="str">
        <f>HYPERLINK("https://www.google.com/maps?q=10.83473492,79.12421417","Open Location")</f>
        <v>Open Location</v>
      </c>
    </row>
    <row r="8545" spans="1:40" x14ac:dyDescent="0.3">
      <c r="A8545" s="1">
        <v>46210.010300925926</v>
      </c>
      <c r="B8545" t="s">
        <v>40</v>
      </c>
      <c r="C8545" t="s">
        <v>41</v>
      </c>
      <c r="D8545" s="1">
        <v>46210.01321759259</v>
      </c>
      <c r="E8545" t="s">
        <v>42</v>
      </c>
      <c r="F8545" t="s">
        <v>83</v>
      </c>
      <c r="G8545">
        <v>42</v>
      </c>
      <c r="H8545">
        <v>32988</v>
      </c>
      <c r="I8545" t="s">
        <v>4754</v>
      </c>
      <c r="J8545">
        <v>91</v>
      </c>
      <c r="K8545">
        <v>58</v>
      </c>
      <c r="L8545">
        <v>98</v>
      </c>
      <c r="M8545">
        <v>633.20001220999995</v>
      </c>
      <c r="N8545" t="s">
        <v>87</v>
      </c>
      <c r="O8545" t="s">
        <v>86</v>
      </c>
      <c r="P8545">
        <v>131</v>
      </c>
      <c r="Q8545">
        <v>6</v>
      </c>
      <c r="R8545">
        <v>24</v>
      </c>
      <c r="S8545">
        <v>1214</v>
      </c>
      <c r="T8545">
        <v>-40</v>
      </c>
      <c r="U8545">
        <v>44</v>
      </c>
      <c r="V8545">
        <v>220</v>
      </c>
      <c r="W8545">
        <v>28</v>
      </c>
      <c r="X8545">
        <v>28</v>
      </c>
      <c r="Y8545">
        <v>1</v>
      </c>
      <c r="Z8545">
        <v>8</v>
      </c>
      <c r="AA8545">
        <v>25</v>
      </c>
      <c r="AB8545">
        <v>1</v>
      </c>
      <c r="AC8545">
        <v>3</v>
      </c>
      <c r="AD8545">
        <v>3.3050000700000002</v>
      </c>
      <c r="AE8545">
        <v>1</v>
      </c>
      <c r="AF8545">
        <v>44</v>
      </c>
      <c r="AG8545">
        <v>3.2990000199999998</v>
      </c>
      <c r="AH8545">
        <v>4</v>
      </c>
      <c r="AI8545">
        <v>17</v>
      </c>
      <c r="AJ8545">
        <v>1</v>
      </c>
      <c r="AK8545">
        <v>27</v>
      </c>
      <c r="AL8545">
        <v>39</v>
      </c>
      <c r="AM8545" t="s">
        <v>43</v>
      </c>
      <c r="AN8545" t="str">
        <f>HYPERLINK("https://www.google.com/maps?q=10.83594894,79.12361908","Open Location")</f>
        <v>Open Location</v>
      </c>
    </row>
    <row r="8546" spans="1:40" x14ac:dyDescent="0.3">
      <c r="A8546" s="1">
        <v>46210.010185185187</v>
      </c>
      <c r="B8546" t="s">
        <v>40</v>
      </c>
      <c r="C8546" t="s">
        <v>41</v>
      </c>
      <c r="D8546" s="1">
        <v>46210.013194444444</v>
      </c>
      <c r="E8546" t="s">
        <v>42</v>
      </c>
      <c r="F8546" t="s">
        <v>83</v>
      </c>
      <c r="G8546">
        <v>45</v>
      </c>
      <c r="H8546">
        <v>32988</v>
      </c>
      <c r="I8546" t="s">
        <v>4755</v>
      </c>
      <c r="J8546">
        <v>91</v>
      </c>
      <c r="K8546">
        <v>-124</v>
      </c>
      <c r="L8546">
        <v>98</v>
      </c>
      <c r="M8546">
        <v>639</v>
      </c>
      <c r="N8546" t="s">
        <v>87</v>
      </c>
      <c r="O8546" t="s">
        <v>86</v>
      </c>
      <c r="P8546">
        <v>131</v>
      </c>
      <c r="Q8546">
        <v>6</v>
      </c>
      <c r="R8546">
        <v>13</v>
      </c>
      <c r="S8546">
        <v>1165</v>
      </c>
      <c r="T8546">
        <v>-40</v>
      </c>
      <c r="U8546">
        <v>43</v>
      </c>
      <c r="V8546">
        <v>-880</v>
      </c>
      <c r="W8546">
        <v>28</v>
      </c>
      <c r="X8546">
        <v>28</v>
      </c>
      <c r="Y8546">
        <v>1</v>
      </c>
      <c r="Z8546">
        <v>8</v>
      </c>
      <c r="AA8546">
        <v>25</v>
      </c>
      <c r="AB8546">
        <v>1</v>
      </c>
      <c r="AC8546">
        <v>3</v>
      </c>
      <c r="AD8546">
        <v>3.3340001099999999</v>
      </c>
      <c r="AE8546">
        <v>8</v>
      </c>
      <c r="AF8546">
        <v>35</v>
      </c>
      <c r="AG8546">
        <v>3.3269999000000001</v>
      </c>
      <c r="AH8546">
        <v>5</v>
      </c>
      <c r="AI8546">
        <v>38</v>
      </c>
      <c r="AJ8546">
        <v>1</v>
      </c>
      <c r="AK8546">
        <v>28</v>
      </c>
      <c r="AL8546">
        <v>39</v>
      </c>
      <c r="AM8546" t="s">
        <v>43</v>
      </c>
      <c r="AN8546" t="str">
        <f>HYPERLINK("https://www.google.com/maps?q=10.83706284,79.12297058","Open Location")</f>
        <v>Open Location</v>
      </c>
    </row>
    <row r="8547" spans="1:40" x14ac:dyDescent="0.3">
      <c r="A8547" s="1">
        <v>46210.010069444441</v>
      </c>
      <c r="B8547" t="s">
        <v>40</v>
      </c>
      <c r="C8547" t="s">
        <v>41</v>
      </c>
      <c r="D8547" s="1">
        <v>46210.012800925928</v>
      </c>
      <c r="E8547" t="s">
        <v>42</v>
      </c>
      <c r="F8547" t="s">
        <v>83</v>
      </c>
      <c r="G8547">
        <v>47</v>
      </c>
      <c r="H8547" t="s">
        <v>43</v>
      </c>
      <c r="I8547" t="s">
        <v>4756</v>
      </c>
      <c r="J8547">
        <v>91</v>
      </c>
      <c r="K8547">
        <v>38</v>
      </c>
      <c r="L8547">
        <v>98</v>
      </c>
      <c r="M8547">
        <v>633.59997558999999</v>
      </c>
      <c r="N8547" t="s">
        <v>87</v>
      </c>
      <c r="O8547" t="s">
        <v>86</v>
      </c>
      <c r="P8547">
        <v>131</v>
      </c>
      <c r="Q8547">
        <v>6</v>
      </c>
      <c r="R8547">
        <v>51</v>
      </c>
      <c r="S8547">
        <v>1321</v>
      </c>
      <c r="T8547">
        <v>-40</v>
      </c>
      <c r="U8547">
        <v>44</v>
      </c>
      <c r="V8547">
        <v>160</v>
      </c>
      <c r="W8547">
        <v>28</v>
      </c>
      <c r="X8547">
        <v>28</v>
      </c>
      <c r="Y8547">
        <v>1</v>
      </c>
      <c r="Z8547">
        <v>8</v>
      </c>
      <c r="AA8547">
        <v>25</v>
      </c>
      <c r="AB8547">
        <v>1</v>
      </c>
      <c r="AC8547">
        <v>3</v>
      </c>
      <c r="AD8547">
        <v>3.3050000700000002</v>
      </c>
      <c r="AE8547">
        <v>1</v>
      </c>
      <c r="AF8547">
        <v>44</v>
      </c>
      <c r="AG8547">
        <v>3.2990000199999998</v>
      </c>
      <c r="AH8547">
        <v>4</v>
      </c>
      <c r="AI8547">
        <v>17</v>
      </c>
      <c r="AJ8547">
        <v>1</v>
      </c>
      <c r="AK8547">
        <v>27</v>
      </c>
      <c r="AL8547">
        <v>39</v>
      </c>
      <c r="AM8547" t="s">
        <v>43</v>
      </c>
      <c r="AN8547" t="str">
        <f>HYPERLINK("https://www.google.com/maps?q=10.83835316,79.12236023","Open Location")</f>
        <v>Open Location</v>
      </c>
    </row>
    <row r="8548" spans="1:40" x14ac:dyDescent="0.3">
      <c r="A8548" s="1">
        <v>46210.009953703702</v>
      </c>
      <c r="B8548" t="s">
        <v>40</v>
      </c>
      <c r="C8548" t="s">
        <v>41</v>
      </c>
      <c r="D8548" s="1">
        <v>46210.012800925928</v>
      </c>
      <c r="E8548" t="s">
        <v>42</v>
      </c>
      <c r="F8548" t="s">
        <v>83</v>
      </c>
      <c r="G8548">
        <v>45</v>
      </c>
      <c r="H8548">
        <v>32988</v>
      </c>
      <c r="I8548" t="s">
        <v>4757</v>
      </c>
      <c r="J8548">
        <v>91</v>
      </c>
      <c r="K8548">
        <v>80</v>
      </c>
      <c r="L8548">
        <v>98</v>
      </c>
      <c r="M8548">
        <v>632.09997558999999</v>
      </c>
      <c r="N8548" t="s">
        <v>87</v>
      </c>
      <c r="O8548" t="s">
        <v>86</v>
      </c>
      <c r="P8548">
        <v>131</v>
      </c>
      <c r="Q8548">
        <v>6</v>
      </c>
      <c r="R8548">
        <v>41</v>
      </c>
      <c r="S8548">
        <v>1293</v>
      </c>
      <c r="T8548">
        <v>-40</v>
      </c>
      <c r="U8548">
        <v>44</v>
      </c>
      <c r="V8548">
        <v>340</v>
      </c>
      <c r="W8548">
        <v>28</v>
      </c>
      <c r="X8548">
        <v>28</v>
      </c>
      <c r="Y8548">
        <v>1</v>
      </c>
      <c r="Z8548">
        <v>8</v>
      </c>
      <c r="AA8548">
        <v>25</v>
      </c>
      <c r="AB8548">
        <v>1</v>
      </c>
      <c r="AC8548">
        <v>3</v>
      </c>
      <c r="AD8548">
        <v>3.2990000199999998</v>
      </c>
      <c r="AE8548">
        <v>1</v>
      </c>
      <c r="AF8548">
        <v>44</v>
      </c>
      <c r="AG8548">
        <v>3.2909998900000001</v>
      </c>
      <c r="AH8548">
        <v>4</v>
      </c>
      <c r="AI8548">
        <v>17</v>
      </c>
      <c r="AJ8548">
        <v>1</v>
      </c>
      <c r="AK8548">
        <v>28</v>
      </c>
      <c r="AL8548">
        <v>39</v>
      </c>
      <c r="AM8548" t="s">
        <v>43</v>
      </c>
      <c r="AN8548" t="str">
        <f>HYPERLINK("https://www.google.com/maps?q=10.8395977,79.12151337","Open Location")</f>
        <v>Open Location</v>
      </c>
    </row>
    <row r="8549" spans="1:40" x14ac:dyDescent="0.3">
      <c r="A8549" s="1">
        <v>46210.009837962964</v>
      </c>
      <c r="B8549" t="s">
        <v>40</v>
      </c>
      <c r="C8549" t="s">
        <v>41</v>
      </c>
      <c r="D8549" s="1">
        <v>46210.012800925928</v>
      </c>
      <c r="E8549" t="s">
        <v>42</v>
      </c>
      <c r="F8549" t="s">
        <v>83</v>
      </c>
      <c r="G8549">
        <v>41</v>
      </c>
      <c r="H8549">
        <v>32988</v>
      </c>
      <c r="I8549" t="s">
        <v>43</v>
      </c>
      <c r="J8549">
        <v>91</v>
      </c>
      <c r="K8549">
        <v>110</v>
      </c>
      <c r="L8549">
        <v>98</v>
      </c>
      <c r="M8549">
        <v>631.20001220999995</v>
      </c>
      <c r="N8549" t="s">
        <v>87</v>
      </c>
      <c r="O8549" t="s">
        <v>86</v>
      </c>
      <c r="P8549">
        <v>131</v>
      </c>
      <c r="Q8549">
        <v>6</v>
      </c>
      <c r="R8549">
        <v>55</v>
      </c>
      <c r="S8549">
        <v>1208</v>
      </c>
      <c r="T8549">
        <v>-40</v>
      </c>
      <c r="U8549">
        <v>44</v>
      </c>
      <c r="V8549">
        <v>500</v>
      </c>
      <c r="W8549">
        <v>28</v>
      </c>
      <c r="X8549">
        <v>28</v>
      </c>
      <c r="Y8549">
        <v>1</v>
      </c>
      <c r="Z8549">
        <v>8</v>
      </c>
      <c r="AA8549">
        <v>25</v>
      </c>
      <c r="AB8549">
        <v>1</v>
      </c>
      <c r="AC8549">
        <v>3</v>
      </c>
      <c r="AD8549">
        <v>3.2950000799999999</v>
      </c>
      <c r="AE8549">
        <v>1</v>
      </c>
      <c r="AF8549">
        <v>44</v>
      </c>
      <c r="AG8549">
        <v>3.28600001</v>
      </c>
      <c r="AH8549">
        <v>4</v>
      </c>
      <c r="AI8549">
        <v>17</v>
      </c>
      <c r="AJ8549">
        <v>1</v>
      </c>
      <c r="AK8549">
        <v>27</v>
      </c>
      <c r="AL8549">
        <v>39</v>
      </c>
      <c r="AM8549" t="s">
        <v>43</v>
      </c>
      <c r="AN8549" t="s">
        <v>43</v>
      </c>
    </row>
    <row r="8550" spans="1:40" x14ac:dyDescent="0.3">
      <c r="A8550" s="1">
        <v>46210.009722222225</v>
      </c>
      <c r="B8550" t="s">
        <v>40</v>
      </c>
      <c r="C8550" t="s">
        <v>41</v>
      </c>
      <c r="D8550" s="1">
        <v>46210.012546296297</v>
      </c>
      <c r="E8550" t="s">
        <v>42</v>
      </c>
      <c r="F8550" t="s">
        <v>83</v>
      </c>
      <c r="G8550">
        <v>39</v>
      </c>
      <c r="H8550" t="s">
        <v>43</v>
      </c>
      <c r="I8550" t="s">
        <v>4758</v>
      </c>
      <c r="J8550">
        <v>91</v>
      </c>
      <c r="K8550">
        <v>28</v>
      </c>
      <c r="L8550">
        <v>98</v>
      </c>
      <c r="M8550">
        <v>634.70001220999995</v>
      </c>
      <c r="N8550" t="s">
        <v>87</v>
      </c>
      <c r="O8550" t="s">
        <v>86</v>
      </c>
      <c r="P8550">
        <v>131</v>
      </c>
      <c r="Q8550">
        <v>6</v>
      </c>
      <c r="R8550">
        <v>39</v>
      </c>
      <c r="S8550">
        <v>1129</v>
      </c>
      <c r="T8550">
        <v>-40</v>
      </c>
      <c r="U8550">
        <v>45</v>
      </c>
      <c r="V8550">
        <v>120</v>
      </c>
      <c r="W8550">
        <v>28</v>
      </c>
      <c r="X8550">
        <v>28</v>
      </c>
      <c r="Y8550">
        <v>1</v>
      </c>
      <c r="Z8550">
        <v>8</v>
      </c>
      <c r="AA8550">
        <v>25</v>
      </c>
      <c r="AB8550">
        <v>1</v>
      </c>
      <c r="AC8550">
        <v>3</v>
      </c>
      <c r="AD8550">
        <v>3.30900002</v>
      </c>
      <c r="AE8550">
        <v>1</v>
      </c>
      <c r="AF8550">
        <v>41</v>
      </c>
      <c r="AG8550">
        <v>3.3050000700000002</v>
      </c>
      <c r="AH8550">
        <v>2</v>
      </c>
      <c r="AI8550">
        <v>46</v>
      </c>
      <c r="AJ8550">
        <v>1</v>
      </c>
      <c r="AK8550">
        <v>27</v>
      </c>
      <c r="AL8550">
        <v>39</v>
      </c>
      <c r="AM8550" t="s">
        <v>43</v>
      </c>
      <c r="AN8550" t="str">
        <f>HYPERLINK("https://www.google.com/maps?q=10.84071445,79.1209259","Open Location")</f>
        <v>Open Location</v>
      </c>
    </row>
    <row r="8551" spans="1:40" x14ac:dyDescent="0.3">
      <c r="A8551" s="1">
        <v>46210.009606481479</v>
      </c>
      <c r="B8551" t="s">
        <v>40</v>
      </c>
      <c r="C8551" t="s">
        <v>41</v>
      </c>
      <c r="D8551" s="1">
        <v>46210.012638888889</v>
      </c>
      <c r="E8551" t="s">
        <v>42</v>
      </c>
      <c r="F8551" t="s">
        <v>83</v>
      </c>
      <c r="G8551">
        <v>34</v>
      </c>
      <c r="H8551">
        <v>32988</v>
      </c>
      <c r="I8551" t="s">
        <v>4759</v>
      </c>
      <c r="J8551">
        <v>91</v>
      </c>
      <c r="K8551">
        <v>81</v>
      </c>
      <c r="L8551">
        <v>98</v>
      </c>
      <c r="M8551">
        <v>632.40002441000001</v>
      </c>
      <c r="N8551" t="s">
        <v>87</v>
      </c>
      <c r="O8551" t="s">
        <v>86</v>
      </c>
      <c r="P8551">
        <v>131</v>
      </c>
      <c r="Q8551">
        <v>6</v>
      </c>
      <c r="R8551">
        <v>21</v>
      </c>
      <c r="S8551">
        <v>960</v>
      </c>
      <c r="T8551">
        <v>-40</v>
      </c>
      <c r="U8551">
        <v>44</v>
      </c>
      <c r="V8551">
        <v>458</v>
      </c>
      <c r="W8551">
        <v>28</v>
      </c>
      <c r="X8551">
        <v>28</v>
      </c>
      <c r="Y8551">
        <v>1</v>
      </c>
      <c r="Z8551">
        <v>8</v>
      </c>
      <c r="AA8551">
        <v>25</v>
      </c>
      <c r="AB8551">
        <v>1</v>
      </c>
      <c r="AC8551">
        <v>3</v>
      </c>
      <c r="AD8551">
        <v>3.3039999</v>
      </c>
      <c r="AE8551">
        <v>1</v>
      </c>
      <c r="AF8551">
        <v>38</v>
      </c>
      <c r="AG8551">
        <v>3.2980000999999999</v>
      </c>
      <c r="AH8551">
        <v>4</v>
      </c>
      <c r="AI8551">
        <v>17</v>
      </c>
      <c r="AJ8551">
        <v>1</v>
      </c>
      <c r="AK8551">
        <v>27</v>
      </c>
      <c r="AL8551">
        <v>39</v>
      </c>
      <c r="AM8551" t="s">
        <v>43</v>
      </c>
      <c r="AN8551" t="str">
        <f>HYPERLINK("https://www.google.com/maps?q=10.84177494,79.12043762","Open Location")</f>
        <v>Open Location</v>
      </c>
    </row>
    <row r="8552" spans="1:40" x14ac:dyDescent="0.3">
      <c r="A8552" s="1">
        <v>46210.00949074074</v>
      </c>
      <c r="B8552" t="s">
        <v>40</v>
      </c>
      <c r="C8552" t="s">
        <v>41</v>
      </c>
      <c r="D8552" s="1">
        <v>46210.012407407405</v>
      </c>
      <c r="E8552" t="s">
        <v>42</v>
      </c>
      <c r="F8552" t="s">
        <v>83</v>
      </c>
      <c r="G8552">
        <v>47</v>
      </c>
      <c r="H8552">
        <v>32987</v>
      </c>
      <c r="I8552" t="s">
        <v>4760</v>
      </c>
      <c r="J8552">
        <v>91</v>
      </c>
      <c r="K8552">
        <v>-44</v>
      </c>
      <c r="L8552">
        <v>98</v>
      </c>
      <c r="M8552">
        <v>637.5</v>
      </c>
      <c r="N8552" t="s">
        <v>87</v>
      </c>
      <c r="O8552" t="s">
        <v>86</v>
      </c>
      <c r="P8552">
        <v>131</v>
      </c>
      <c r="Q8552">
        <v>6</v>
      </c>
      <c r="R8552">
        <v>16</v>
      </c>
      <c r="S8552">
        <v>1028</v>
      </c>
      <c r="T8552">
        <v>-40</v>
      </c>
      <c r="U8552">
        <v>43</v>
      </c>
      <c r="V8552">
        <v>-300</v>
      </c>
      <c r="W8552">
        <v>28</v>
      </c>
      <c r="X8552">
        <v>28</v>
      </c>
      <c r="Y8552">
        <v>1</v>
      </c>
      <c r="Z8552">
        <v>8</v>
      </c>
      <c r="AA8552">
        <v>25</v>
      </c>
      <c r="AB8552">
        <v>1</v>
      </c>
      <c r="AC8552">
        <v>3</v>
      </c>
      <c r="AD8552">
        <v>3.3239998800000001</v>
      </c>
      <c r="AE8552">
        <v>1</v>
      </c>
      <c r="AF8552">
        <v>26</v>
      </c>
      <c r="AG8552">
        <v>3.3210001</v>
      </c>
      <c r="AH8552">
        <v>2</v>
      </c>
      <c r="AI8552">
        <v>14</v>
      </c>
      <c r="AJ8552">
        <v>1</v>
      </c>
      <c r="AK8552">
        <v>29</v>
      </c>
      <c r="AL8552">
        <v>39</v>
      </c>
      <c r="AM8552" t="s">
        <v>43</v>
      </c>
      <c r="AN8552" t="str">
        <f>HYPERLINK("https://www.google.com/maps?q=10.84281158,79.1199646","Open Location")</f>
        <v>Open Location</v>
      </c>
    </row>
    <row r="8553" spans="1:40" x14ac:dyDescent="0.3">
      <c r="A8553" s="1">
        <v>46210.009375000001</v>
      </c>
      <c r="B8553" t="s">
        <v>40</v>
      </c>
      <c r="C8553" t="s">
        <v>41</v>
      </c>
      <c r="D8553" s="1">
        <v>46210.012256944443</v>
      </c>
      <c r="E8553" t="s">
        <v>42</v>
      </c>
      <c r="F8553" t="s">
        <v>83</v>
      </c>
      <c r="G8553">
        <v>49</v>
      </c>
      <c r="H8553">
        <v>32987</v>
      </c>
      <c r="I8553" t="s">
        <v>4761</v>
      </c>
      <c r="J8553">
        <v>91</v>
      </c>
      <c r="K8553">
        <v>65</v>
      </c>
      <c r="L8553">
        <v>98</v>
      </c>
      <c r="M8553">
        <v>632.40002441000001</v>
      </c>
      <c r="N8553" t="s">
        <v>87</v>
      </c>
      <c r="O8553" t="s">
        <v>86</v>
      </c>
      <c r="P8553">
        <v>131</v>
      </c>
      <c r="Q8553">
        <v>6</v>
      </c>
      <c r="R8553">
        <v>37</v>
      </c>
      <c r="S8553">
        <v>1366</v>
      </c>
      <c r="T8553">
        <v>-40</v>
      </c>
      <c r="U8553">
        <v>44</v>
      </c>
      <c r="V8553">
        <v>260</v>
      </c>
      <c r="W8553">
        <v>28</v>
      </c>
      <c r="X8553">
        <v>28</v>
      </c>
      <c r="Y8553">
        <v>1</v>
      </c>
      <c r="Z8553">
        <v>8</v>
      </c>
      <c r="AA8553">
        <v>25</v>
      </c>
      <c r="AB8553">
        <v>1</v>
      </c>
      <c r="AC8553">
        <v>3</v>
      </c>
      <c r="AD8553">
        <v>3.2999999500000001</v>
      </c>
      <c r="AE8553">
        <v>1</v>
      </c>
      <c r="AF8553">
        <v>44</v>
      </c>
      <c r="AG8553">
        <v>3.2929999799999998</v>
      </c>
      <c r="AH8553">
        <v>4</v>
      </c>
      <c r="AI8553">
        <v>17</v>
      </c>
      <c r="AJ8553">
        <v>1</v>
      </c>
      <c r="AK8553">
        <v>28</v>
      </c>
      <c r="AL8553">
        <v>39</v>
      </c>
      <c r="AM8553" t="s">
        <v>43</v>
      </c>
      <c r="AN8553" t="str">
        <f>HYPERLINK("https://www.google.com/maps?q=10.84393597,79.11901855","Open Location")</f>
        <v>Open Location</v>
      </c>
    </row>
    <row r="8554" spans="1:40" x14ac:dyDescent="0.3">
      <c r="A8554" s="1">
        <v>46210.009259259263</v>
      </c>
      <c r="B8554" t="s">
        <v>40</v>
      </c>
      <c r="C8554" t="s">
        <v>41</v>
      </c>
      <c r="D8554" s="1">
        <v>46210.011967592596</v>
      </c>
      <c r="E8554" t="s">
        <v>42</v>
      </c>
      <c r="F8554" t="s">
        <v>83</v>
      </c>
      <c r="G8554">
        <v>48</v>
      </c>
      <c r="H8554">
        <v>32987</v>
      </c>
      <c r="I8554" t="s">
        <v>43</v>
      </c>
      <c r="J8554">
        <v>91</v>
      </c>
      <c r="K8554">
        <v>99</v>
      </c>
      <c r="L8554">
        <v>98</v>
      </c>
      <c r="M8554">
        <v>631.29998779000005</v>
      </c>
      <c r="N8554" t="s">
        <v>87</v>
      </c>
      <c r="O8554" t="s">
        <v>86</v>
      </c>
      <c r="P8554">
        <v>131</v>
      </c>
      <c r="Q8554">
        <v>6</v>
      </c>
      <c r="R8554">
        <v>58</v>
      </c>
      <c r="S8554">
        <v>1365</v>
      </c>
      <c r="T8554">
        <v>-40</v>
      </c>
      <c r="U8554">
        <v>45</v>
      </c>
      <c r="V8554">
        <v>400</v>
      </c>
      <c r="W8554">
        <v>28</v>
      </c>
      <c r="X8554">
        <v>28</v>
      </c>
      <c r="Y8554">
        <v>1</v>
      </c>
      <c r="Z8554">
        <v>8</v>
      </c>
      <c r="AA8554">
        <v>25</v>
      </c>
      <c r="AB8554">
        <v>1</v>
      </c>
      <c r="AC8554">
        <v>3</v>
      </c>
      <c r="AD8554">
        <v>3.2939999100000001</v>
      </c>
      <c r="AE8554">
        <v>1</v>
      </c>
      <c r="AF8554">
        <v>44</v>
      </c>
      <c r="AG8554">
        <v>3.28500009</v>
      </c>
      <c r="AH8554">
        <v>4</v>
      </c>
      <c r="AI8554">
        <v>17</v>
      </c>
      <c r="AJ8554">
        <v>1</v>
      </c>
      <c r="AK8554">
        <v>27</v>
      </c>
      <c r="AL8554">
        <v>39</v>
      </c>
      <c r="AM8554" t="s">
        <v>43</v>
      </c>
      <c r="AN8554" t="s">
        <v>43</v>
      </c>
    </row>
    <row r="8555" spans="1:40" x14ac:dyDescent="0.3">
      <c r="A8555" s="1">
        <v>46210.009143518517</v>
      </c>
      <c r="B8555" t="s">
        <v>40</v>
      </c>
      <c r="C8555" t="s">
        <v>41</v>
      </c>
      <c r="D8555" s="1">
        <v>46210.011979166666</v>
      </c>
      <c r="E8555" t="s">
        <v>42</v>
      </c>
      <c r="F8555" t="s">
        <v>83</v>
      </c>
      <c r="G8555">
        <v>44</v>
      </c>
      <c r="H8555">
        <v>32987</v>
      </c>
      <c r="I8555" t="s">
        <v>4762</v>
      </c>
      <c r="J8555">
        <v>91</v>
      </c>
      <c r="K8555">
        <v>100</v>
      </c>
      <c r="L8555">
        <v>98</v>
      </c>
      <c r="M8555">
        <v>631.59997558999999</v>
      </c>
      <c r="N8555" t="s">
        <v>87</v>
      </c>
      <c r="O8555" t="s">
        <v>86</v>
      </c>
      <c r="P8555">
        <v>131</v>
      </c>
      <c r="Q8555">
        <v>6</v>
      </c>
      <c r="R8555">
        <v>58</v>
      </c>
      <c r="S8555">
        <v>1289</v>
      </c>
      <c r="T8555">
        <v>-40</v>
      </c>
      <c r="U8555">
        <v>45</v>
      </c>
      <c r="V8555">
        <v>440</v>
      </c>
      <c r="W8555">
        <v>28</v>
      </c>
      <c r="X8555">
        <v>28</v>
      </c>
      <c r="Y8555">
        <v>1</v>
      </c>
      <c r="Z8555">
        <v>8</v>
      </c>
      <c r="AA8555">
        <v>25</v>
      </c>
      <c r="AB8555">
        <v>1</v>
      </c>
      <c r="AC8555">
        <v>3</v>
      </c>
      <c r="AD8555">
        <v>3.2939999100000001</v>
      </c>
      <c r="AE8555">
        <v>1</v>
      </c>
      <c r="AF8555">
        <v>44</v>
      </c>
      <c r="AG8555">
        <v>3.28500009</v>
      </c>
      <c r="AH8555">
        <v>4</v>
      </c>
      <c r="AI8555">
        <v>17</v>
      </c>
      <c r="AJ8555">
        <v>1</v>
      </c>
      <c r="AK8555">
        <v>27</v>
      </c>
      <c r="AL8555">
        <v>39</v>
      </c>
      <c r="AM8555" t="s">
        <v>43</v>
      </c>
      <c r="AN8555" t="str">
        <f>HYPERLINK("https://www.google.com/maps?q=10.84498405,79.11795807","Open Location")</f>
        <v>Open Location</v>
      </c>
    </row>
    <row r="8556" spans="1:40" x14ac:dyDescent="0.3">
      <c r="A8556" s="1">
        <v>46210.009027777778</v>
      </c>
      <c r="B8556" t="s">
        <v>40</v>
      </c>
      <c r="C8556" t="s">
        <v>41</v>
      </c>
      <c r="D8556" s="1">
        <v>46210.011990740742</v>
      </c>
      <c r="E8556" t="s">
        <v>42</v>
      </c>
      <c r="F8556" t="s">
        <v>83</v>
      </c>
      <c r="G8556">
        <v>39</v>
      </c>
      <c r="H8556">
        <v>32987</v>
      </c>
      <c r="I8556" t="s">
        <v>4763</v>
      </c>
      <c r="J8556">
        <v>91</v>
      </c>
      <c r="K8556">
        <v>116</v>
      </c>
      <c r="L8556">
        <v>98</v>
      </c>
      <c r="M8556">
        <v>630.70001220999995</v>
      </c>
      <c r="N8556" t="s">
        <v>87</v>
      </c>
      <c r="O8556" t="s">
        <v>86</v>
      </c>
      <c r="P8556">
        <v>131</v>
      </c>
      <c r="Q8556">
        <v>6</v>
      </c>
      <c r="R8556">
        <v>38</v>
      </c>
      <c r="S8556">
        <v>1115</v>
      </c>
      <c r="T8556">
        <v>-40</v>
      </c>
      <c r="U8556">
        <v>44</v>
      </c>
      <c r="V8556">
        <v>600</v>
      </c>
      <c r="W8556">
        <v>28</v>
      </c>
      <c r="X8556">
        <v>28</v>
      </c>
      <c r="Y8556">
        <v>1</v>
      </c>
      <c r="Z8556">
        <v>8</v>
      </c>
      <c r="AA8556">
        <v>25</v>
      </c>
      <c r="AB8556">
        <v>1</v>
      </c>
      <c r="AC8556">
        <v>3</v>
      </c>
      <c r="AD8556">
        <v>3.2959999999999998</v>
      </c>
      <c r="AE8556">
        <v>1</v>
      </c>
      <c r="AF8556">
        <v>44</v>
      </c>
      <c r="AG8556">
        <v>3.2869999399999998</v>
      </c>
      <c r="AH8556">
        <v>4</v>
      </c>
      <c r="AI8556">
        <v>17</v>
      </c>
      <c r="AJ8556">
        <v>1</v>
      </c>
      <c r="AK8556">
        <v>22</v>
      </c>
      <c r="AL8556">
        <v>39</v>
      </c>
      <c r="AM8556" t="s">
        <v>43</v>
      </c>
      <c r="AN8556" t="str">
        <f>HYPERLINK("https://www.google.com/maps?q=10.84607792,79.1171875","Open Location")</f>
        <v>Open Location</v>
      </c>
    </row>
    <row r="8557" spans="1:40" x14ac:dyDescent="0.3">
      <c r="A8557" s="1">
        <v>46210.008912037039</v>
      </c>
      <c r="B8557" t="s">
        <v>40</v>
      </c>
      <c r="C8557" t="s">
        <v>41</v>
      </c>
      <c r="D8557" s="1">
        <v>46210.011620370373</v>
      </c>
      <c r="E8557" t="s">
        <v>42</v>
      </c>
      <c r="F8557" t="s">
        <v>83</v>
      </c>
      <c r="G8557">
        <v>41</v>
      </c>
      <c r="H8557">
        <v>32987</v>
      </c>
      <c r="I8557" t="s">
        <v>4764</v>
      </c>
      <c r="J8557">
        <v>91</v>
      </c>
      <c r="K8557">
        <v>87</v>
      </c>
      <c r="L8557">
        <v>98</v>
      </c>
      <c r="M8557">
        <v>629.70001220999995</v>
      </c>
      <c r="N8557" t="s">
        <v>87</v>
      </c>
      <c r="O8557" t="s">
        <v>86</v>
      </c>
      <c r="P8557">
        <v>131</v>
      </c>
      <c r="Q8557">
        <v>6</v>
      </c>
      <c r="R8557">
        <v>11</v>
      </c>
      <c r="S8557">
        <v>1057</v>
      </c>
      <c r="T8557">
        <v>-40</v>
      </c>
      <c r="U8557">
        <v>45</v>
      </c>
      <c r="V8557">
        <v>451</v>
      </c>
      <c r="W8557">
        <v>28</v>
      </c>
      <c r="X8557">
        <v>28</v>
      </c>
      <c r="Y8557">
        <v>1</v>
      </c>
      <c r="Z8557">
        <v>8</v>
      </c>
      <c r="AA8557">
        <v>25</v>
      </c>
      <c r="AB8557">
        <v>1</v>
      </c>
      <c r="AC8557">
        <v>3</v>
      </c>
      <c r="AD8557">
        <v>3.30900002</v>
      </c>
      <c r="AE8557">
        <v>1</v>
      </c>
      <c r="AF8557">
        <v>38</v>
      </c>
      <c r="AG8557">
        <v>3.3029999700000001</v>
      </c>
      <c r="AH8557">
        <v>4</v>
      </c>
      <c r="AI8557">
        <v>17</v>
      </c>
      <c r="AJ8557">
        <v>1</v>
      </c>
      <c r="AK8557">
        <v>23</v>
      </c>
      <c r="AL8557">
        <v>39</v>
      </c>
      <c r="AM8557" t="s">
        <v>43</v>
      </c>
      <c r="AN8557" t="str">
        <f>HYPERLINK("https://www.google.com/maps?q=10.84716797,79.11654663","Open Location")</f>
        <v>Open Location</v>
      </c>
    </row>
    <row r="8558" spans="1:40" x14ac:dyDescent="0.3">
      <c r="A8558" s="1">
        <v>46210.008796296293</v>
      </c>
      <c r="B8558" t="s">
        <v>40</v>
      </c>
      <c r="C8558" t="s">
        <v>41</v>
      </c>
      <c r="D8558" s="1">
        <v>46210.011620370373</v>
      </c>
      <c r="E8558" t="s">
        <v>42</v>
      </c>
      <c r="F8558" t="s">
        <v>83</v>
      </c>
      <c r="G8558" t="s">
        <v>43</v>
      </c>
      <c r="H8558">
        <v>32987</v>
      </c>
      <c r="I8558" t="s">
        <v>4765</v>
      </c>
      <c r="J8558">
        <v>91</v>
      </c>
      <c r="K8558">
        <v>78</v>
      </c>
      <c r="L8558">
        <v>98</v>
      </c>
      <c r="M8558">
        <v>631.20001220999995</v>
      </c>
      <c r="N8558" t="s">
        <v>45</v>
      </c>
      <c r="O8558" t="s">
        <v>86</v>
      </c>
      <c r="P8558" t="s">
        <v>43</v>
      </c>
      <c r="Q8558">
        <v>5</v>
      </c>
      <c r="R8558">
        <v>88</v>
      </c>
      <c r="S8558">
        <v>1067</v>
      </c>
      <c r="T8558">
        <v>-40</v>
      </c>
      <c r="U8558">
        <v>45</v>
      </c>
      <c r="V8558">
        <v>420</v>
      </c>
      <c r="W8558">
        <v>28</v>
      </c>
      <c r="X8558">
        <v>28</v>
      </c>
      <c r="Y8558">
        <v>1</v>
      </c>
      <c r="Z8558">
        <v>8</v>
      </c>
      <c r="AA8558">
        <v>25</v>
      </c>
      <c r="AB8558">
        <v>1</v>
      </c>
      <c r="AC8558">
        <v>3</v>
      </c>
      <c r="AD8558">
        <v>3.3059999900000001</v>
      </c>
      <c r="AE8558">
        <v>1</v>
      </c>
      <c r="AF8558">
        <v>44</v>
      </c>
      <c r="AG8558">
        <v>3.2999999500000001</v>
      </c>
      <c r="AH8558">
        <v>2</v>
      </c>
      <c r="AI8558">
        <v>46</v>
      </c>
      <c r="AJ8558">
        <v>1</v>
      </c>
      <c r="AK8558">
        <v>28</v>
      </c>
      <c r="AL8558">
        <v>39</v>
      </c>
      <c r="AM8558" t="s">
        <v>43</v>
      </c>
      <c r="AN8558" t="str">
        <f>HYPERLINK("https://www.google.com/maps?q=10.84833241,79.11634827","Open Location")</f>
        <v>Open Location</v>
      </c>
    </row>
    <row r="8559" spans="1:40" x14ac:dyDescent="0.3">
      <c r="A8559" s="1">
        <v>46210.008680555555</v>
      </c>
      <c r="B8559" t="s">
        <v>40</v>
      </c>
      <c r="C8559" t="s">
        <v>41</v>
      </c>
      <c r="D8559" s="1">
        <v>46210.011597222219</v>
      </c>
      <c r="E8559" t="s">
        <v>42</v>
      </c>
      <c r="F8559" t="s">
        <v>83</v>
      </c>
      <c r="G8559">
        <v>24</v>
      </c>
      <c r="H8559">
        <v>32987</v>
      </c>
      <c r="I8559" t="s">
        <v>4766</v>
      </c>
      <c r="J8559">
        <v>91</v>
      </c>
      <c r="K8559">
        <v>121</v>
      </c>
      <c r="L8559">
        <v>98</v>
      </c>
      <c r="M8559">
        <v>630.20001220999995</v>
      </c>
      <c r="N8559" t="s">
        <v>87</v>
      </c>
      <c r="O8559" t="s">
        <v>86</v>
      </c>
      <c r="P8559">
        <v>130</v>
      </c>
      <c r="Q8559">
        <v>5</v>
      </c>
      <c r="R8559">
        <v>21</v>
      </c>
      <c r="S8559">
        <v>1280</v>
      </c>
      <c r="T8559">
        <v>-40</v>
      </c>
      <c r="U8559">
        <v>43</v>
      </c>
      <c r="V8559">
        <v>500</v>
      </c>
      <c r="W8559">
        <v>28</v>
      </c>
      <c r="X8559">
        <v>28</v>
      </c>
      <c r="Y8559">
        <v>1</v>
      </c>
      <c r="Z8559">
        <v>8</v>
      </c>
      <c r="AA8559">
        <v>25</v>
      </c>
      <c r="AB8559">
        <v>1</v>
      </c>
      <c r="AC8559">
        <v>3</v>
      </c>
      <c r="AD8559">
        <v>3.2980000999999999</v>
      </c>
      <c r="AE8559">
        <v>1</v>
      </c>
      <c r="AF8559">
        <v>44</v>
      </c>
      <c r="AG8559">
        <v>3.28900003</v>
      </c>
      <c r="AH8559">
        <v>4</v>
      </c>
      <c r="AI8559">
        <v>17</v>
      </c>
      <c r="AJ8559">
        <v>1</v>
      </c>
      <c r="AK8559">
        <v>27</v>
      </c>
      <c r="AL8559">
        <v>39</v>
      </c>
      <c r="AM8559" t="s">
        <v>43</v>
      </c>
      <c r="AN8559" t="str">
        <f>HYPERLINK("https://www.google.com/maps?q=10.84914303,79.11631012","Open Location")</f>
        <v>Open Location</v>
      </c>
    </row>
    <row r="8560" spans="1:40" x14ac:dyDescent="0.3">
      <c r="A8560" s="1">
        <v>46210.008564814816</v>
      </c>
      <c r="B8560" t="s">
        <v>40</v>
      </c>
      <c r="C8560" t="s">
        <v>41</v>
      </c>
      <c r="D8560" s="1">
        <v>46210.011423611111</v>
      </c>
      <c r="E8560" t="s">
        <v>42</v>
      </c>
      <c r="F8560" t="s">
        <v>83</v>
      </c>
      <c r="G8560">
        <v>21</v>
      </c>
      <c r="H8560">
        <v>32987</v>
      </c>
      <c r="I8560" t="s">
        <v>43</v>
      </c>
      <c r="J8560">
        <v>91</v>
      </c>
      <c r="K8560">
        <v>59</v>
      </c>
      <c r="L8560">
        <v>98</v>
      </c>
      <c r="M8560">
        <v>634</v>
      </c>
      <c r="N8560" t="s">
        <v>87</v>
      </c>
      <c r="O8560" t="s">
        <v>86</v>
      </c>
      <c r="P8560">
        <v>129</v>
      </c>
      <c r="Q8560">
        <v>4</v>
      </c>
      <c r="R8560">
        <v>59</v>
      </c>
      <c r="S8560">
        <v>1804</v>
      </c>
      <c r="T8560">
        <v>-40</v>
      </c>
      <c r="U8560">
        <v>45</v>
      </c>
      <c r="V8560">
        <v>180</v>
      </c>
      <c r="W8560">
        <v>28</v>
      </c>
      <c r="X8560">
        <v>28</v>
      </c>
      <c r="Y8560">
        <v>1</v>
      </c>
      <c r="Z8560">
        <v>8</v>
      </c>
      <c r="AA8560">
        <v>25</v>
      </c>
      <c r="AB8560">
        <v>1</v>
      </c>
      <c r="AC8560">
        <v>3</v>
      </c>
      <c r="AD8560">
        <v>3.3080000900000002</v>
      </c>
      <c r="AE8560">
        <v>1</v>
      </c>
      <c r="AF8560">
        <v>44</v>
      </c>
      <c r="AG8560">
        <v>3.3020000500000002</v>
      </c>
      <c r="AH8560">
        <v>4</v>
      </c>
      <c r="AI8560">
        <v>17</v>
      </c>
      <c r="AJ8560">
        <v>1</v>
      </c>
      <c r="AK8560">
        <v>27</v>
      </c>
      <c r="AL8560">
        <v>39</v>
      </c>
      <c r="AM8560" t="s">
        <v>43</v>
      </c>
      <c r="AN8560" t="s">
        <v>43</v>
      </c>
    </row>
    <row r="8561" spans="1:40" x14ac:dyDescent="0.3">
      <c r="A8561" s="1">
        <v>46210.008449074077</v>
      </c>
      <c r="B8561" t="s">
        <v>40</v>
      </c>
      <c r="C8561" t="s">
        <v>41</v>
      </c>
      <c r="D8561" s="1">
        <v>46210.011423611111</v>
      </c>
      <c r="E8561" t="s">
        <v>42</v>
      </c>
      <c r="F8561" t="s">
        <v>83</v>
      </c>
      <c r="G8561">
        <v>30</v>
      </c>
      <c r="H8561">
        <v>32987</v>
      </c>
      <c r="I8561" t="s">
        <v>4767</v>
      </c>
      <c r="J8561">
        <v>91</v>
      </c>
      <c r="K8561">
        <v>-16</v>
      </c>
      <c r="L8561">
        <v>98</v>
      </c>
      <c r="M8561">
        <v>637.20001220999995</v>
      </c>
      <c r="N8561" t="s">
        <v>87</v>
      </c>
      <c r="O8561" t="s">
        <v>86</v>
      </c>
      <c r="P8561">
        <v>131</v>
      </c>
      <c r="Q8561">
        <v>5</v>
      </c>
      <c r="R8561">
        <v>-80</v>
      </c>
      <c r="S8561">
        <v>457</v>
      </c>
      <c r="T8561">
        <v>-40</v>
      </c>
      <c r="U8561">
        <v>45</v>
      </c>
      <c r="V8561">
        <v>-290</v>
      </c>
      <c r="W8561">
        <v>28</v>
      </c>
      <c r="X8561">
        <v>28</v>
      </c>
      <c r="Y8561">
        <v>1</v>
      </c>
      <c r="Z8561">
        <v>8</v>
      </c>
      <c r="AA8561">
        <v>25</v>
      </c>
      <c r="AB8561">
        <v>1</v>
      </c>
      <c r="AC8561">
        <v>3</v>
      </c>
      <c r="AD8561">
        <v>3.3259999800000002</v>
      </c>
      <c r="AE8561">
        <v>1</v>
      </c>
      <c r="AF8561">
        <v>26</v>
      </c>
      <c r="AG8561">
        <v>3.3220000299999999</v>
      </c>
      <c r="AH8561">
        <v>3</v>
      </c>
      <c r="AI8561">
        <v>48</v>
      </c>
      <c r="AJ8561">
        <v>1</v>
      </c>
      <c r="AK8561">
        <v>29</v>
      </c>
      <c r="AL8561">
        <v>39</v>
      </c>
      <c r="AM8561" t="s">
        <v>43</v>
      </c>
      <c r="AN8561" t="str">
        <f>HYPERLINK("https://www.google.com/maps?q=10.8490696,79.11566925","Open Location")</f>
        <v>Open Location</v>
      </c>
    </row>
    <row r="8562" spans="1:40" x14ac:dyDescent="0.3">
      <c r="A8562" s="1">
        <v>46210.008333333331</v>
      </c>
      <c r="B8562" t="s">
        <v>40</v>
      </c>
      <c r="C8562" t="s">
        <v>41</v>
      </c>
      <c r="D8562" s="1">
        <v>46210.011261574073</v>
      </c>
      <c r="E8562" t="s">
        <v>42</v>
      </c>
      <c r="F8562" t="s">
        <v>83</v>
      </c>
      <c r="G8562">
        <v>51</v>
      </c>
      <c r="H8562">
        <v>32986</v>
      </c>
      <c r="I8562" t="s">
        <v>4768</v>
      </c>
      <c r="J8562">
        <v>91</v>
      </c>
      <c r="K8562">
        <v>-114</v>
      </c>
      <c r="L8562">
        <v>98</v>
      </c>
      <c r="M8562">
        <v>638.29998779000005</v>
      </c>
      <c r="N8562" t="s">
        <v>87</v>
      </c>
      <c r="O8562" t="s">
        <v>86</v>
      </c>
      <c r="P8562">
        <v>131</v>
      </c>
      <c r="Q8562">
        <v>6</v>
      </c>
      <c r="R8562">
        <v>-45</v>
      </c>
      <c r="S8562">
        <v>1181</v>
      </c>
      <c r="T8562">
        <v>-40</v>
      </c>
      <c r="U8562">
        <v>42</v>
      </c>
      <c r="V8562">
        <v>-580</v>
      </c>
      <c r="W8562">
        <v>28</v>
      </c>
      <c r="X8562">
        <v>28</v>
      </c>
      <c r="Y8562">
        <v>1</v>
      </c>
      <c r="Z8562">
        <v>8</v>
      </c>
      <c r="AA8562">
        <v>25</v>
      </c>
      <c r="AB8562">
        <v>1</v>
      </c>
      <c r="AC8562">
        <v>3</v>
      </c>
      <c r="AD8562">
        <v>3.3529999300000002</v>
      </c>
      <c r="AE8562">
        <v>6</v>
      </c>
      <c r="AF8562">
        <v>24</v>
      </c>
      <c r="AG8562">
        <v>3.3440001000000001</v>
      </c>
      <c r="AH8562">
        <v>5</v>
      </c>
      <c r="AI8562">
        <v>8</v>
      </c>
      <c r="AJ8562">
        <v>1</v>
      </c>
      <c r="AK8562">
        <v>28</v>
      </c>
      <c r="AL8562">
        <v>39</v>
      </c>
      <c r="AM8562" t="s">
        <v>43</v>
      </c>
      <c r="AN8562" t="str">
        <f>HYPERLINK("https://www.google.com/maps?q=10.84952164,79.11487579","Open Location")</f>
        <v>Open Location</v>
      </c>
    </row>
    <row r="8563" spans="1:40" x14ac:dyDescent="0.3">
      <c r="A8563" s="1">
        <v>46210.008217592593</v>
      </c>
      <c r="B8563" t="s">
        <v>40</v>
      </c>
      <c r="C8563" t="s">
        <v>41</v>
      </c>
      <c r="D8563" s="1">
        <v>46210.010995370372</v>
      </c>
      <c r="E8563" t="s">
        <v>42</v>
      </c>
      <c r="F8563" t="s">
        <v>83</v>
      </c>
      <c r="G8563">
        <v>55</v>
      </c>
      <c r="H8563">
        <v>32986</v>
      </c>
      <c r="I8563" t="s">
        <v>4769</v>
      </c>
      <c r="J8563">
        <v>91</v>
      </c>
      <c r="K8563">
        <v>39</v>
      </c>
      <c r="L8563">
        <v>98</v>
      </c>
      <c r="M8563">
        <v>633.59997558999999</v>
      </c>
      <c r="N8563" t="s">
        <v>87</v>
      </c>
      <c r="O8563" t="s">
        <v>86</v>
      </c>
      <c r="P8563">
        <v>131</v>
      </c>
      <c r="Q8563">
        <v>6</v>
      </c>
      <c r="R8563">
        <v>25</v>
      </c>
      <c r="S8563">
        <v>1499</v>
      </c>
      <c r="T8563">
        <v>-40</v>
      </c>
      <c r="U8563">
        <v>42</v>
      </c>
      <c r="V8563">
        <v>140</v>
      </c>
      <c r="W8563">
        <v>28</v>
      </c>
      <c r="X8563">
        <v>28</v>
      </c>
      <c r="Y8563">
        <v>1</v>
      </c>
      <c r="Z8563">
        <v>8</v>
      </c>
      <c r="AA8563">
        <v>25</v>
      </c>
      <c r="AB8563">
        <v>1</v>
      </c>
      <c r="AC8563">
        <v>3</v>
      </c>
      <c r="AD8563">
        <v>3.3059999900000001</v>
      </c>
      <c r="AE8563">
        <v>1</v>
      </c>
      <c r="AF8563">
        <v>38</v>
      </c>
      <c r="AG8563">
        <v>3.3010001199999999</v>
      </c>
      <c r="AH8563">
        <v>4</v>
      </c>
      <c r="AI8563">
        <v>17</v>
      </c>
      <c r="AJ8563">
        <v>1</v>
      </c>
      <c r="AK8563">
        <v>28</v>
      </c>
      <c r="AL8563">
        <v>39</v>
      </c>
      <c r="AM8563" t="s">
        <v>43</v>
      </c>
      <c r="AN8563" t="str">
        <f>HYPERLINK("https://www.google.com/maps?q=10.85037899,79.11351013","Open Location")</f>
        <v>Open Location</v>
      </c>
    </row>
    <row r="8564" spans="1:40" x14ac:dyDescent="0.3">
      <c r="A8564" s="1">
        <v>46210.008101851854</v>
      </c>
      <c r="B8564" t="s">
        <v>40</v>
      </c>
      <c r="C8564" t="s">
        <v>41</v>
      </c>
      <c r="D8564" s="1">
        <v>46210.01116898148</v>
      </c>
      <c r="E8564" t="s">
        <v>42</v>
      </c>
      <c r="F8564" t="s">
        <v>83</v>
      </c>
      <c r="G8564">
        <v>56</v>
      </c>
      <c r="H8564">
        <v>32986</v>
      </c>
      <c r="I8564" t="s">
        <v>4770</v>
      </c>
      <c r="J8564">
        <v>91</v>
      </c>
      <c r="K8564">
        <v>46</v>
      </c>
      <c r="L8564">
        <v>98</v>
      </c>
      <c r="M8564">
        <v>633.20001220999995</v>
      </c>
      <c r="N8564" t="s">
        <v>87</v>
      </c>
      <c r="O8564" t="s">
        <v>86</v>
      </c>
      <c r="P8564">
        <v>131</v>
      </c>
      <c r="Q8564">
        <v>6</v>
      </c>
      <c r="R8564">
        <v>26</v>
      </c>
      <c r="S8564">
        <v>1544</v>
      </c>
      <c r="T8564">
        <v>-40</v>
      </c>
      <c r="U8564">
        <v>42</v>
      </c>
      <c r="V8564">
        <v>160</v>
      </c>
      <c r="W8564">
        <v>28</v>
      </c>
      <c r="X8564">
        <v>28</v>
      </c>
      <c r="Y8564">
        <v>1</v>
      </c>
      <c r="Z8564">
        <v>8</v>
      </c>
      <c r="AA8564">
        <v>25</v>
      </c>
      <c r="AB8564">
        <v>1</v>
      </c>
      <c r="AC8564">
        <v>3</v>
      </c>
      <c r="AD8564">
        <v>3.3050000700000002</v>
      </c>
      <c r="AE8564">
        <v>1</v>
      </c>
      <c r="AF8564">
        <v>44</v>
      </c>
      <c r="AG8564">
        <v>3.2990000199999998</v>
      </c>
      <c r="AH8564">
        <v>4</v>
      </c>
      <c r="AI8564">
        <v>17</v>
      </c>
      <c r="AJ8564">
        <v>1</v>
      </c>
      <c r="AK8564">
        <v>27</v>
      </c>
      <c r="AL8564">
        <v>39</v>
      </c>
      <c r="AM8564" t="s">
        <v>43</v>
      </c>
      <c r="AN8564" t="str">
        <f>HYPERLINK("https://www.google.com/maps?q=10.8512392,79.11205292","Open Location")</f>
        <v>Open Location</v>
      </c>
    </row>
    <row r="8565" spans="1:40" x14ac:dyDescent="0.3">
      <c r="A8565" s="1">
        <v>46210.007986111108</v>
      </c>
      <c r="B8565" t="s">
        <v>40</v>
      </c>
      <c r="C8565" t="s">
        <v>41</v>
      </c>
      <c r="D8565" s="1">
        <v>46210.010995370372</v>
      </c>
      <c r="E8565" t="s">
        <v>42</v>
      </c>
      <c r="F8565" t="s">
        <v>83</v>
      </c>
      <c r="G8565">
        <v>57</v>
      </c>
      <c r="H8565">
        <v>32986</v>
      </c>
      <c r="I8565" t="s">
        <v>4771</v>
      </c>
      <c r="J8565">
        <v>91</v>
      </c>
      <c r="K8565">
        <v>51</v>
      </c>
      <c r="L8565">
        <v>98</v>
      </c>
      <c r="M8565">
        <v>633.40002441000001</v>
      </c>
      <c r="N8565" t="s">
        <v>87</v>
      </c>
      <c r="O8565" t="s">
        <v>86</v>
      </c>
      <c r="P8565">
        <v>131</v>
      </c>
      <c r="Q8565">
        <v>6</v>
      </c>
      <c r="R8565">
        <v>40</v>
      </c>
      <c r="S8565">
        <v>1591</v>
      </c>
      <c r="T8565">
        <v>-40</v>
      </c>
      <c r="U8565">
        <v>43</v>
      </c>
      <c r="V8565">
        <v>140</v>
      </c>
      <c r="W8565">
        <v>28</v>
      </c>
      <c r="X8565">
        <v>28</v>
      </c>
      <c r="Y8565">
        <v>1</v>
      </c>
      <c r="Z8565">
        <v>8</v>
      </c>
      <c r="AA8565">
        <v>25</v>
      </c>
      <c r="AB8565">
        <v>1</v>
      </c>
      <c r="AC8565">
        <v>3</v>
      </c>
      <c r="AD8565">
        <v>3.3010001199999999</v>
      </c>
      <c r="AE8565">
        <v>1</v>
      </c>
      <c r="AF8565">
        <v>44</v>
      </c>
      <c r="AG8565">
        <v>3.2950000799999999</v>
      </c>
      <c r="AH8565">
        <v>4</v>
      </c>
      <c r="AI8565">
        <v>17</v>
      </c>
      <c r="AJ8565">
        <v>1</v>
      </c>
      <c r="AK8565">
        <v>27</v>
      </c>
      <c r="AL8565">
        <v>39</v>
      </c>
      <c r="AM8565" t="s">
        <v>43</v>
      </c>
      <c r="AN8565" t="str">
        <f>HYPERLINK("https://www.google.com/maps?q=10.85212803,79.1105423","Open Location")</f>
        <v>Open Location</v>
      </c>
    </row>
    <row r="8566" spans="1:40" x14ac:dyDescent="0.3">
      <c r="A8566" s="1">
        <v>46210.007870370369</v>
      </c>
      <c r="B8566" t="s">
        <v>40</v>
      </c>
      <c r="C8566" t="s">
        <v>41</v>
      </c>
      <c r="D8566" s="1">
        <v>46210.011053240742</v>
      </c>
      <c r="E8566" t="s">
        <v>42</v>
      </c>
      <c r="F8566" t="s">
        <v>83</v>
      </c>
      <c r="G8566">
        <v>58</v>
      </c>
      <c r="H8566">
        <v>32986</v>
      </c>
      <c r="I8566" t="s">
        <v>43</v>
      </c>
      <c r="J8566">
        <v>91</v>
      </c>
      <c r="K8566">
        <v>80</v>
      </c>
      <c r="L8566">
        <v>98</v>
      </c>
      <c r="M8566">
        <v>631.79998779000005</v>
      </c>
      <c r="N8566" t="s">
        <v>87</v>
      </c>
      <c r="O8566" t="s">
        <v>86</v>
      </c>
      <c r="P8566">
        <v>131</v>
      </c>
      <c r="Q8566">
        <v>6</v>
      </c>
      <c r="R8566">
        <v>36</v>
      </c>
      <c r="S8566">
        <v>1592</v>
      </c>
      <c r="T8566">
        <v>-40</v>
      </c>
      <c r="U8566">
        <v>43</v>
      </c>
      <c r="V8566">
        <v>280</v>
      </c>
      <c r="W8566">
        <v>28</v>
      </c>
      <c r="X8566">
        <v>28</v>
      </c>
      <c r="Y8566">
        <v>1</v>
      </c>
      <c r="Z8566">
        <v>8</v>
      </c>
      <c r="AA8566">
        <v>25</v>
      </c>
      <c r="AB8566">
        <v>1</v>
      </c>
      <c r="AC8566">
        <v>3</v>
      </c>
      <c r="AD8566">
        <v>3.2990000199999998</v>
      </c>
      <c r="AE8566">
        <v>1</v>
      </c>
      <c r="AF8566">
        <v>44</v>
      </c>
      <c r="AG8566">
        <v>3.2920000599999999</v>
      </c>
      <c r="AH8566">
        <v>4</v>
      </c>
      <c r="AI8566">
        <v>17</v>
      </c>
      <c r="AJ8566">
        <v>1</v>
      </c>
      <c r="AK8566">
        <v>27</v>
      </c>
      <c r="AL8566">
        <v>39</v>
      </c>
      <c r="AM8566" t="s">
        <v>43</v>
      </c>
      <c r="AN8566" t="s">
        <v>43</v>
      </c>
    </row>
    <row r="8567" spans="1:40" x14ac:dyDescent="0.3">
      <c r="A8567" s="1">
        <v>46210.007754629631</v>
      </c>
      <c r="B8567" t="s">
        <v>40</v>
      </c>
      <c r="C8567" t="s">
        <v>41</v>
      </c>
      <c r="D8567" s="1">
        <v>46210.010775462964</v>
      </c>
      <c r="E8567" t="s">
        <v>42</v>
      </c>
      <c r="F8567" t="s">
        <v>83</v>
      </c>
      <c r="G8567">
        <v>57</v>
      </c>
      <c r="H8567">
        <v>32986</v>
      </c>
      <c r="I8567" t="s">
        <v>4772</v>
      </c>
      <c r="J8567">
        <v>91</v>
      </c>
      <c r="K8567">
        <v>90</v>
      </c>
      <c r="L8567">
        <v>98</v>
      </c>
      <c r="M8567">
        <v>631.29998779000005</v>
      </c>
      <c r="N8567" t="s">
        <v>87</v>
      </c>
      <c r="O8567" t="s">
        <v>86</v>
      </c>
      <c r="P8567">
        <v>131</v>
      </c>
      <c r="Q8567">
        <v>6</v>
      </c>
      <c r="R8567">
        <v>36</v>
      </c>
      <c r="S8567">
        <v>1587</v>
      </c>
      <c r="T8567">
        <v>-40</v>
      </c>
      <c r="U8567">
        <v>43</v>
      </c>
      <c r="V8567">
        <v>340</v>
      </c>
      <c r="W8567">
        <v>28</v>
      </c>
      <c r="X8567">
        <v>28</v>
      </c>
      <c r="Y8567">
        <v>1</v>
      </c>
      <c r="Z8567">
        <v>8</v>
      </c>
      <c r="AA8567">
        <v>25</v>
      </c>
      <c r="AB8567">
        <v>1</v>
      </c>
      <c r="AC8567">
        <v>3</v>
      </c>
      <c r="AD8567">
        <v>3.2990000199999998</v>
      </c>
      <c r="AE8567">
        <v>1</v>
      </c>
      <c r="AF8567">
        <v>44</v>
      </c>
      <c r="AG8567">
        <v>3.2920000599999999</v>
      </c>
      <c r="AH8567">
        <v>4</v>
      </c>
      <c r="AI8567">
        <v>17</v>
      </c>
      <c r="AJ8567">
        <v>1</v>
      </c>
      <c r="AK8567">
        <v>27</v>
      </c>
      <c r="AL8567">
        <v>39</v>
      </c>
      <c r="AM8567" t="s">
        <v>43</v>
      </c>
      <c r="AN8567" t="str">
        <f>HYPERLINK("https://www.google.com/maps?q=10.85308647,79.10890961","Open Location")</f>
        <v>Open Location</v>
      </c>
    </row>
    <row r="8568" spans="1:40" x14ac:dyDescent="0.3">
      <c r="A8568" s="1">
        <v>46210.007638888892</v>
      </c>
      <c r="B8568" t="s">
        <v>40</v>
      </c>
      <c r="C8568" t="s">
        <v>41</v>
      </c>
      <c r="D8568" s="1">
        <v>46210.010381944441</v>
      </c>
      <c r="E8568" t="s">
        <v>42</v>
      </c>
      <c r="F8568" t="s">
        <v>83</v>
      </c>
      <c r="G8568">
        <v>58</v>
      </c>
      <c r="H8568" t="s">
        <v>43</v>
      </c>
      <c r="I8568" t="s">
        <v>4773</v>
      </c>
      <c r="J8568">
        <v>91</v>
      </c>
      <c r="K8568">
        <v>51</v>
      </c>
      <c r="L8568">
        <v>98</v>
      </c>
      <c r="M8568">
        <v>633.20001220999995</v>
      </c>
      <c r="N8568" t="s">
        <v>45</v>
      </c>
      <c r="O8568" t="s">
        <v>86</v>
      </c>
      <c r="P8568" t="s">
        <v>43</v>
      </c>
      <c r="Q8568">
        <v>6</v>
      </c>
      <c r="R8568">
        <v>30</v>
      </c>
      <c r="S8568">
        <v>1598</v>
      </c>
      <c r="T8568">
        <v>-40</v>
      </c>
      <c r="U8568">
        <v>43</v>
      </c>
      <c r="V8568">
        <v>180</v>
      </c>
      <c r="W8568">
        <v>28</v>
      </c>
      <c r="X8568">
        <v>28</v>
      </c>
      <c r="Y8568">
        <v>1</v>
      </c>
      <c r="Z8568">
        <v>8</v>
      </c>
      <c r="AA8568">
        <v>25</v>
      </c>
      <c r="AB8568">
        <v>1</v>
      </c>
      <c r="AC8568">
        <v>3</v>
      </c>
      <c r="AD8568">
        <v>3.3039999</v>
      </c>
      <c r="AE8568">
        <v>1</v>
      </c>
      <c r="AF8568">
        <v>44</v>
      </c>
      <c r="AG8568">
        <v>3.2990000199999998</v>
      </c>
      <c r="AH8568">
        <v>4</v>
      </c>
      <c r="AI8568">
        <v>17</v>
      </c>
      <c r="AJ8568">
        <v>1</v>
      </c>
      <c r="AK8568">
        <v>27</v>
      </c>
      <c r="AL8568">
        <v>39</v>
      </c>
      <c r="AM8568" t="s">
        <v>43</v>
      </c>
      <c r="AN8568" t="str">
        <f>HYPERLINK("https://www.google.com/maps?q=10.8539753,79.10739899","Open Location")</f>
        <v>Open Location</v>
      </c>
    </row>
    <row r="8569" spans="1:40" x14ac:dyDescent="0.3">
      <c r="A8569" s="1">
        <v>46210.007523148146</v>
      </c>
      <c r="B8569" t="s">
        <v>40</v>
      </c>
      <c r="C8569" t="s">
        <v>41</v>
      </c>
      <c r="D8569" s="1">
        <v>46210.010266203702</v>
      </c>
      <c r="E8569" t="s">
        <v>42</v>
      </c>
      <c r="F8569" t="s">
        <v>83</v>
      </c>
      <c r="G8569">
        <v>58</v>
      </c>
      <c r="H8569">
        <v>32985</v>
      </c>
      <c r="I8569" t="s">
        <v>4774</v>
      </c>
      <c r="J8569">
        <v>91</v>
      </c>
      <c r="K8569">
        <v>64</v>
      </c>
      <c r="L8569">
        <v>98</v>
      </c>
      <c r="M8569">
        <v>632.5</v>
      </c>
      <c r="N8569" t="s">
        <v>87</v>
      </c>
      <c r="O8569" t="s">
        <v>86</v>
      </c>
      <c r="P8569">
        <v>131</v>
      </c>
      <c r="Q8569">
        <v>6</v>
      </c>
      <c r="R8569">
        <v>47</v>
      </c>
      <c r="S8569">
        <v>1622</v>
      </c>
      <c r="T8569">
        <v>-40</v>
      </c>
      <c r="U8569">
        <v>43</v>
      </c>
      <c r="V8569">
        <v>220</v>
      </c>
      <c r="W8569">
        <v>28</v>
      </c>
      <c r="X8569">
        <v>28</v>
      </c>
      <c r="Y8569">
        <v>1</v>
      </c>
      <c r="Z8569">
        <v>8</v>
      </c>
      <c r="AA8569">
        <v>25</v>
      </c>
      <c r="AB8569">
        <v>1</v>
      </c>
      <c r="AC8569">
        <v>3</v>
      </c>
      <c r="AD8569">
        <v>3.3010001199999999</v>
      </c>
      <c r="AE8569">
        <v>1</v>
      </c>
      <c r="AF8569">
        <v>44</v>
      </c>
      <c r="AG8569">
        <v>3.2939999100000001</v>
      </c>
      <c r="AH8569">
        <v>4</v>
      </c>
      <c r="AI8569">
        <v>17</v>
      </c>
      <c r="AJ8569">
        <v>1</v>
      </c>
      <c r="AK8569">
        <v>27</v>
      </c>
      <c r="AL8569">
        <v>39</v>
      </c>
      <c r="AM8569" t="s">
        <v>43</v>
      </c>
      <c r="AN8569" t="str">
        <f>HYPERLINK("https://www.google.com/maps?q=10.85488415,79.10585785","Open Location")</f>
        <v>Open Location</v>
      </c>
    </row>
    <row r="8570" spans="1:40" x14ac:dyDescent="0.3">
      <c r="A8570" s="1">
        <v>46210.007407407407</v>
      </c>
      <c r="B8570" t="s">
        <v>40</v>
      </c>
      <c r="C8570" t="s">
        <v>41</v>
      </c>
      <c r="D8570" s="1">
        <v>46210.010231481479</v>
      </c>
      <c r="E8570" t="s">
        <v>42</v>
      </c>
      <c r="F8570" t="s">
        <v>83</v>
      </c>
      <c r="G8570">
        <v>58</v>
      </c>
      <c r="H8570">
        <v>32985</v>
      </c>
      <c r="I8570" t="s">
        <v>4775</v>
      </c>
      <c r="J8570">
        <v>91</v>
      </c>
      <c r="K8570">
        <v>70</v>
      </c>
      <c r="L8570">
        <v>98</v>
      </c>
      <c r="M8570">
        <v>632.20001220999995</v>
      </c>
      <c r="N8570" t="s">
        <v>87</v>
      </c>
      <c r="O8570" t="s">
        <v>86</v>
      </c>
      <c r="P8570">
        <v>131</v>
      </c>
      <c r="Q8570">
        <v>6</v>
      </c>
      <c r="R8570">
        <v>37</v>
      </c>
      <c r="S8570">
        <v>1617</v>
      </c>
      <c r="T8570">
        <v>-40</v>
      </c>
      <c r="U8570">
        <v>43</v>
      </c>
      <c r="V8570">
        <v>240</v>
      </c>
      <c r="W8570">
        <v>28</v>
      </c>
      <c r="X8570">
        <v>28</v>
      </c>
      <c r="Y8570">
        <v>1</v>
      </c>
      <c r="Z8570">
        <v>8</v>
      </c>
      <c r="AA8570">
        <v>25</v>
      </c>
      <c r="AB8570">
        <v>1</v>
      </c>
      <c r="AC8570">
        <v>3</v>
      </c>
      <c r="AD8570">
        <v>3.3010001199999999</v>
      </c>
      <c r="AE8570">
        <v>1</v>
      </c>
      <c r="AF8570">
        <v>44</v>
      </c>
      <c r="AG8570">
        <v>3.2939999100000001</v>
      </c>
      <c r="AH8570">
        <v>4</v>
      </c>
      <c r="AI8570">
        <v>17</v>
      </c>
      <c r="AJ8570">
        <v>1</v>
      </c>
      <c r="AK8570">
        <v>27</v>
      </c>
      <c r="AL8570">
        <v>39</v>
      </c>
      <c r="AM8570" t="s">
        <v>43</v>
      </c>
      <c r="AN8570" t="str">
        <f>HYPERLINK("https://www.google.com/maps?q=10.85579872,79.10432434","Open Location")</f>
        <v>Open Location</v>
      </c>
    </row>
    <row r="8571" spans="1:40" x14ac:dyDescent="0.3">
      <c r="A8571" s="1">
        <v>46210.007291666669</v>
      </c>
      <c r="B8571" t="s">
        <v>40</v>
      </c>
      <c r="C8571" t="s">
        <v>41</v>
      </c>
      <c r="D8571" s="1">
        <v>46210.010277777779</v>
      </c>
      <c r="E8571" t="s">
        <v>42</v>
      </c>
      <c r="F8571" t="s">
        <v>83</v>
      </c>
      <c r="G8571">
        <v>58</v>
      </c>
      <c r="H8571">
        <v>32985</v>
      </c>
      <c r="I8571" t="s">
        <v>43</v>
      </c>
      <c r="J8571">
        <v>92</v>
      </c>
      <c r="K8571">
        <v>89</v>
      </c>
      <c r="L8571">
        <v>98</v>
      </c>
      <c r="M8571">
        <v>631.70001220999995</v>
      </c>
      <c r="N8571" t="s">
        <v>87</v>
      </c>
      <c r="O8571" t="s">
        <v>86</v>
      </c>
      <c r="P8571">
        <v>131</v>
      </c>
      <c r="Q8571">
        <v>6</v>
      </c>
      <c r="R8571">
        <v>49</v>
      </c>
      <c r="S8571">
        <v>1622</v>
      </c>
      <c r="T8571">
        <v>-40</v>
      </c>
      <c r="U8571">
        <v>43</v>
      </c>
      <c r="V8571">
        <v>284</v>
      </c>
      <c r="W8571">
        <v>28</v>
      </c>
      <c r="X8571">
        <v>28</v>
      </c>
      <c r="Y8571">
        <v>1</v>
      </c>
      <c r="Z8571">
        <v>8</v>
      </c>
      <c r="AA8571">
        <v>25</v>
      </c>
      <c r="AB8571">
        <v>1</v>
      </c>
      <c r="AC8571">
        <v>3</v>
      </c>
      <c r="AD8571">
        <v>3.2950000799999999</v>
      </c>
      <c r="AE8571">
        <v>1</v>
      </c>
      <c r="AF8571">
        <v>38</v>
      </c>
      <c r="AG8571">
        <v>3.2869999399999998</v>
      </c>
      <c r="AH8571">
        <v>4</v>
      </c>
      <c r="AI8571">
        <v>17</v>
      </c>
      <c r="AJ8571">
        <v>1</v>
      </c>
      <c r="AK8571">
        <v>28</v>
      </c>
      <c r="AL8571">
        <v>39</v>
      </c>
      <c r="AM8571" t="s">
        <v>43</v>
      </c>
      <c r="AN8571" t="s">
        <v>43</v>
      </c>
    </row>
    <row r="8572" spans="1:40" x14ac:dyDescent="0.3">
      <c r="A8572" s="1">
        <v>46210.007175925923</v>
      </c>
      <c r="B8572" t="s">
        <v>40</v>
      </c>
      <c r="C8572" t="s">
        <v>41</v>
      </c>
      <c r="D8572" s="1">
        <v>46210.010277777779</v>
      </c>
      <c r="E8572" t="s">
        <v>42</v>
      </c>
      <c r="F8572" t="s">
        <v>83</v>
      </c>
      <c r="G8572">
        <v>57</v>
      </c>
      <c r="H8572">
        <v>32985</v>
      </c>
      <c r="I8572" t="s">
        <v>4776</v>
      </c>
      <c r="J8572">
        <v>92</v>
      </c>
      <c r="K8572">
        <v>48</v>
      </c>
      <c r="L8572">
        <v>98</v>
      </c>
      <c r="M8572">
        <v>633.5</v>
      </c>
      <c r="N8572" t="s">
        <v>87</v>
      </c>
      <c r="O8572" t="s">
        <v>86</v>
      </c>
      <c r="P8572">
        <v>131</v>
      </c>
      <c r="Q8572">
        <v>6</v>
      </c>
      <c r="R8572">
        <v>12</v>
      </c>
      <c r="S8572">
        <v>1624</v>
      </c>
      <c r="T8572">
        <v>-40</v>
      </c>
      <c r="U8572">
        <v>42</v>
      </c>
      <c r="V8572">
        <v>160</v>
      </c>
      <c r="W8572">
        <v>28</v>
      </c>
      <c r="X8572">
        <v>28</v>
      </c>
      <c r="Y8572">
        <v>1</v>
      </c>
      <c r="Z8572">
        <v>8</v>
      </c>
      <c r="AA8572">
        <v>25</v>
      </c>
      <c r="AB8572">
        <v>1</v>
      </c>
      <c r="AC8572">
        <v>3</v>
      </c>
      <c r="AD8572">
        <v>3.3050000700000002</v>
      </c>
      <c r="AE8572">
        <v>1</v>
      </c>
      <c r="AF8572">
        <v>38</v>
      </c>
      <c r="AG8572">
        <v>3.2999999500000001</v>
      </c>
      <c r="AH8572">
        <v>4</v>
      </c>
      <c r="AI8572">
        <v>17</v>
      </c>
      <c r="AJ8572">
        <v>1</v>
      </c>
      <c r="AK8572">
        <v>27</v>
      </c>
      <c r="AL8572">
        <v>39</v>
      </c>
      <c r="AM8572" t="s">
        <v>43</v>
      </c>
      <c r="AN8572" t="str">
        <f>HYPERLINK("https://www.google.com/maps?q=10.85690212,79.10294342","Open Location")</f>
        <v>Open Location</v>
      </c>
    </row>
    <row r="8573" spans="1:40" x14ac:dyDescent="0.3">
      <c r="A8573" s="1">
        <v>46210.007060185184</v>
      </c>
      <c r="B8573" t="s">
        <v>40</v>
      </c>
      <c r="C8573" t="s">
        <v>41</v>
      </c>
      <c r="D8573" s="1">
        <v>46210.010381944441</v>
      </c>
      <c r="E8573" t="s">
        <v>42</v>
      </c>
      <c r="F8573" t="s">
        <v>83</v>
      </c>
      <c r="G8573">
        <v>51</v>
      </c>
      <c r="H8573">
        <v>32985</v>
      </c>
      <c r="I8573" t="s">
        <v>4777</v>
      </c>
      <c r="J8573">
        <v>92</v>
      </c>
      <c r="K8573">
        <v>21</v>
      </c>
      <c r="L8573">
        <v>98</v>
      </c>
      <c r="M8573">
        <v>634.59997558999999</v>
      </c>
      <c r="N8573" t="s">
        <v>87</v>
      </c>
      <c r="O8573" t="s">
        <v>86</v>
      </c>
      <c r="P8573">
        <v>131</v>
      </c>
      <c r="Q8573">
        <v>6</v>
      </c>
      <c r="R8573">
        <v>29</v>
      </c>
      <c r="S8573">
        <v>1508</v>
      </c>
      <c r="T8573">
        <v>-40</v>
      </c>
      <c r="U8573">
        <v>43</v>
      </c>
      <c r="V8573">
        <v>60</v>
      </c>
      <c r="W8573">
        <v>28</v>
      </c>
      <c r="X8573">
        <v>28</v>
      </c>
      <c r="Y8573">
        <v>1</v>
      </c>
      <c r="Z8573">
        <v>8</v>
      </c>
      <c r="AA8573">
        <v>25</v>
      </c>
      <c r="AB8573">
        <v>1</v>
      </c>
      <c r="AC8573">
        <v>3</v>
      </c>
      <c r="AD8573">
        <v>3.30699992</v>
      </c>
      <c r="AE8573">
        <v>1</v>
      </c>
      <c r="AF8573">
        <v>41</v>
      </c>
      <c r="AG8573">
        <v>3.3020000500000002</v>
      </c>
      <c r="AH8573">
        <v>7</v>
      </c>
      <c r="AI8573">
        <v>1</v>
      </c>
      <c r="AJ8573">
        <v>1</v>
      </c>
      <c r="AK8573">
        <v>28</v>
      </c>
      <c r="AL8573">
        <v>39</v>
      </c>
      <c r="AM8573" t="s">
        <v>43</v>
      </c>
      <c r="AN8573" t="str">
        <f>HYPERLINK("https://www.google.com/maps?q=10.85815239,79.10172272","Open Location")</f>
        <v>Open Location</v>
      </c>
    </row>
    <row r="8574" spans="1:40" x14ac:dyDescent="0.3">
      <c r="A8574" s="1">
        <v>46210.006944444445</v>
      </c>
      <c r="B8574" t="s">
        <v>40</v>
      </c>
      <c r="C8574" t="s">
        <v>41</v>
      </c>
      <c r="D8574" s="1">
        <v>46210.01</v>
      </c>
      <c r="E8574" t="s">
        <v>42</v>
      </c>
      <c r="F8574" t="s">
        <v>83</v>
      </c>
      <c r="G8574">
        <v>46</v>
      </c>
      <c r="H8574">
        <v>32985</v>
      </c>
      <c r="I8574" t="s">
        <v>4778</v>
      </c>
      <c r="J8574">
        <v>92</v>
      </c>
      <c r="K8574">
        <v>63</v>
      </c>
      <c r="L8574">
        <v>98</v>
      </c>
      <c r="M8574">
        <v>632.70001220999995</v>
      </c>
      <c r="N8574" t="s">
        <v>87</v>
      </c>
      <c r="O8574" t="s">
        <v>86</v>
      </c>
      <c r="P8574" t="s">
        <v>43</v>
      </c>
      <c r="Q8574">
        <v>6</v>
      </c>
      <c r="R8574">
        <v>37</v>
      </c>
      <c r="S8574">
        <v>1337</v>
      </c>
      <c r="T8574">
        <v>-40</v>
      </c>
      <c r="U8574">
        <v>43</v>
      </c>
      <c r="V8574">
        <v>260</v>
      </c>
      <c r="W8574">
        <v>28</v>
      </c>
      <c r="X8574">
        <v>28</v>
      </c>
      <c r="Y8574">
        <v>1</v>
      </c>
      <c r="Z8574">
        <v>8</v>
      </c>
      <c r="AA8574">
        <v>25</v>
      </c>
      <c r="AB8574">
        <v>1</v>
      </c>
      <c r="AC8574">
        <v>3</v>
      </c>
      <c r="AD8574">
        <v>3.3010001199999999</v>
      </c>
      <c r="AE8574">
        <v>1</v>
      </c>
      <c r="AF8574">
        <v>44</v>
      </c>
      <c r="AG8574">
        <v>3.2939999100000001</v>
      </c>
      <c r="AH8574">
        <v>4</v>
      </c>
      <c r="AI8574">
        <v>17</v>
      </c>
      <c r="AJ8574">
        <v>1</v>
      </c>
      <c r="AK8574">
        <v>28</v>
      </c>
      <c r="AL8574">
        <v>39</v>
      </c>
      <c r="AM8574" t="s">
        <v>43</v>
      </c>
      <c r="AN8574" t="str">
        <f>HYPERLINK("https://www.google.com/maps?q=10.8592701,79.10063934","Open Location")</f>
        <v>Open Location</v>
      </c>
    </row>
    <row r="8575" spans="1:40" x14ac:dyDescent="0.3">
      <c r="A8575" s="1">
        <v>46210.006828703707</v>
      </c>
      <c r="B8575" t="s">
        <v>40</v>
      </c>
      <c r="C8575" t="s">
        <v>41</v>
      </c>
      <c r="D8575" s="1">
        <v>46210.00984953704</v>
      </c>
      <c r="E8575" t="s">
        <v>42</v>
      </c>
      <c r="F8575" t="s">
        <v>83</v>
      </c>
      <c r="G8575">
        <v>46</v>
      </c>
      <c r="H8575" t="s">
        <v>43</v>
      </c>
      <c r="I8575" t="s">
        <v>4779</v>
      </c>
      <c r="J8575">
        <v>92</v>
      </c>
      <c r="K8575">
        <v>81</v>
      </c>
      <c r="L8575">
        <v>98</v>
      </c>
      <c r="M8575">
        <v>632.20001220999995</v>
      </c>
      <c r="N8575" t="s">
        <v>87</v>
      </c>
      <c r="O8575" t="s">
        <v>86</v>
      </c>
      <c r="P8575">
        <v>131</v>
      </c>
      <c r="Q8575">
        <v>6</v>
      </c>
      <c r="R8575">
        <v>38</v>
      </c>
      <c r="S8575">
        <v>1292</v>
      </c>
      <c r="T8575">
        <v>-40</v>
      </c>
      <c r="U8575">
        <v>45</v>
      </c>
      <c r="V8575">
        <v>340</v>
      </c>
      <c r="W8575">
        <v>28</v>
      </c>
      <c r="X8575">
        <v>28</v>
      </c>
      <c r="Y8575">
        <v>1</v>
      </c>
      <c r="Z8575">
        <v>8</v>
      </c>
      <c r="AA8575">
        <v>25</v>
      </c>
      <c r="AB8575">
        <v>1</v>
      </c>
      <c r="AC8575">
        <v>3</v>
      </c>
      <c r="AD8575">
        <v>3.2950000799999999</v>
      </c>
      <c r="AE8575">
        <v>1</v>
      </c>
      <c r="AF8575">
        <v>44</v>
      </c>
      <c r="AG8575">
        <v>3.2869999399999998</v>
      </c>
      <c r="AH8575">
        <v>4</v>
      </c>
      <c r="AI8575">
        <v>17</v>
      </c>
      <c r="AJ8575">
        <v>1</v>
      </c>
      <c r="AK8575">
        <v>27</v>
      </c>
      <c r="AL8575">
        <v>39</v>
      </c>
      <c r="AM8575" t="s">
        <v>43</v>
      </c>
      <c r="AN8575" t="str">
        <f>HYPERLINK("https://www.google.com/maps?q=10.86041355,79.099617","Open Location")</f>
        <v>Open Location</v>
      </c>
    </row>
    <row r="8576" spans="1:40" x14ac:dyDescent="0.3">
      <c r="A8576" s="1">
        <v>46210.006712962961</v>
      </c>
      <c r="B8576" t="s">
        <v>40</v>
      </c>
      <c r="C8576" t="s">
        <v>41</v>
      </c>
      <c r="D8576" s="1">
        <v>46210.009467592594</v>
      </c>
      <c r="E8576" t="s">
        <v>42</v>
      </c>
      <c r="F8576" t="s">
        <v>83</v>
      </c>
      <c r="G8576">
        <v>49</v>
      </c>
      <c r="H8576">
        <v>32984</v>
      </c>
      <c r="I8576" t="s">
        <v>4780</v>
      </c>
      <c r="J8576">
        <v>92</v>
      </c>
      <c r="K8576">
        <v>117</v>
      </c>
      <c r="L8576">
        <v>98</v>
      </c>
      <c r="M8576">
        <v>630.09997558999999</v>
      </c>
      <c r="N8576" t="s">
        <v>87</v>
      </c>
      <c r="O8576" t="s">
        <v>86</v>
      </c>
      <c r="P8576">
        <v>131</v>
      </c>
      <c r="Q8576">
        <v>6</v>
      </c>
      <c r="R8576">
        <v>68</v>
      </c>
      <c r="S8576">
        <v>1316</v>
      </c>
      <c r="T8576">
        <v>-40</v>
      </c>
      <c r="U8576">
        <v>44</v>
      </c>
      <c r="V8576">
        <v>535</v>
      </c>
      <c r="W8576">
        <v>28</v>
      </c>
      <c r="X8576">
        <v>28</v>
      </c>
      <c r="Y8576">
        <v>1</v>
      </c>
      <c r="Z8576">
        <v>8</v>
      </c>
      <c r="AA8576">
        <v>25</v>
      </c>
      <c r="AB8576">
        <v>1</v>
      </c>
      <c r="AC8576">
        <v>3</v>
      </c>
      <c r="AD8576">
        <v>3.2939999100000001</v>
      </c>
      <c r="AE8576">
        <v>1</v>
      </c>
      <c r="AF8576">
        <v>44</v>
      </c>
      <c r="AG8576">
        <v>3.2839999199999999</v>
      </c>
      <c r="AH8576">
        <v>4</v>
      </c>
      <c r="AI8576">
        <v>17</v>
      </c>
      <c r="AJ8576">
        <v>1</v>
      </c>
      <c r="AK8576">
        <v>27</v>
      </c>
      <c r="AL8576">
        <v>39</v>
      </c>
      <c r="AM8576" t="s">
        <v>43</v>
      </c>
      <c r="AN8576" t="str">
        <f>HYPERLINK("https://www.google.com/maps?q=10.86153316,79.09868622","Open Location")</f>
        <v>Open Location</v>
      </c>
    </row>
    <row r="8577" spans="1:40" x14ac:dyDescent="0.3">
      <c r="A8577" s="1">
        <v>46210.006597222222</v>
      </c>
      <c r="B8577" t="s">
        <v>40</v>
      </c>
      <c r="C8577" t="s">
        <v>41</v>
      </c>
      <c r="D8577" s="1">
        <v>46210.009328703702</v>
      </c>
      <c r="E8577" t="s">
        <v>42</v>
      </c>
      <c r="F8577" t="s">
        <v>83</v>
      </c>
      <c r="G8577">
        <v>50</v>
      </c>
      <c r="H8577">
        <v>32984</v>
      </c>
      <c r="I8577" t="s">
        <v>43</v>
      </c>
      <c r="J8577">
        <v>92</v>
      </c>
      <c r="K8577">
        <v>95</v>
      </c>
      <c r="L8577">
        <v>98</v>
      </c>
      <c r="M8577">
        <v>631.79998779000005</v>
      </c>
      <c r="N8577" t="s">
        <v>87</v>
      </c>
      <c r="O8577" t="s">
        <v>86</v>
      </c>
      <c r="P8577">
        <v>131</v>
      </c>
      <c r="Q8577">
        <v>6</v>
      </c>
      <c r="R8577">
        <v>26</v>
      </c>
      <c r="S8577">
        <v>1392</v>
      </c>
      <c r="T8577">
        <v>-40</v>
      </c>
      <c r="U8577">
        <v>43</v>
      </c>
      <c r="V8577">
        <v>380</v>
      </c>
      <c r="W8577">
        <v>28</v>
      </c>
      <c r="X8577">
        <v>28</v>
      </c>
      <c r="Y8577">
        <v>1</v>
      </c>
      <c r="Z8577">
        <v>8</v>
      </c>
      <c r="AA8577">
        <v>25</v>
      </c>
      <c r="AB8577">
        <v>1</v>
      </c>
      <c r="AC8577">
        <v>3</v>
      </c>
      <c r="AD8577">
        <v>3.2990000199999998</v>
      </c>
      <c r="AE8577">
        <v>1</v>
      </c>
      <c r="AF8577">
        <v>44</v>
      </c>
      <c r="AG8577">
        <v>3.2909998900000001</v>
      </c>
      <c r="AH8577">
        <v>4</v>
      </c>
      <c r="AI8577">
        <v>17</v>
      </c>
      <c r="AJ8577">
        <v>1</v>
      </c>
      <c r="AK8577">
        <v>27</v>
      </c>
      <c r="AL8577">
        <v>39</v>
      </c>
      <c r="AM8577" t="s">
        <v>43</v>
      </c>
      <c r="AN8577" t="s">
        <v>43</v>
      </c>
    </row>
    <row r="8578" spans="1:40" x14ac:dyDescent="0.3">
      <c r="A8578" s="1">
        <v>46210.006481481483</v>
      </c>
      <c r="B8578" t="s">
        <v>40</v>
      </c>
      <c r="C8578" t="s">
        <v>41</v>
      </c>
      <c r="D8578" s="1">
        <v>46210.009328703702</v>
      </c>
      <c r="E8578" t="s">
        <v>42</v>
      </c>
      <c r="F8578" t="s">
        <v>83</v>
      </c>
      <c r="G8578">
        <v>49</v>
      </c>
      <c r="H8578">
        <v>32984</v>
      </c>
      <c r="I8578" t="s">
        <v>4781</v>
      </c>
      <c r="J8578">
        <v>92</v>
      </c>
      <c r="K8578">
        <v>51</v>
      </c>
      <c r="L8578">
        <v>98</v>
      </c>
      <c r="M8578">
        <v>632.90002441000001</v>
      </c>
      <c r="N8578" t="s">
        <v>87</v>
      </c>
      <c r="O8578" t="s">
        <v>86</v>
      </c>
      <c r="P8578">
        <v>131</v>
      </c>
      <c r="Q8578">
        <v>6</v>
      </c>
      <c r="R8578">
        <v>34</v>
      </c>
      <c r="S8578">
        <v>1394</v>
      </c>
      <c r="T8578">
        <v>-40</v>
      </c>
      <c r="U8578">
        <v>43</v>
      </c>
      <c r="V8578">
        <v>200</v>
      </c>
      <c r="W8578">
        <v>28</v>
      </c>
      <c r="X8578">
        <v>28</v>
      </c>
      <c r="Y8578">
        <v>1</v>
      </c>
      <c r="Z8578">
        <v>8</v>
      </c>
      <c r="AA8578">
        <v>25</v>
      </c>
      <c r="AB8578">
        <v>1</v>
      </c>
      <c r="AC8578">
        <v>3</v>
      </c>
      <c r="AD8578">
        <v>3.3050000700000002</v>
      </c>
      <c r="AE8578">
        <v>1</v>
      </c>
      <c r="AF8578">
        <v>44</v>
      </c>
      <c r="AG8578">
        <v>3.2990000199999998</v>
      </c>
      <c r="AH8578">
        <v>4</v>
      </c>
      <c r="AI8578">
        <v>17</v>
      </c>
      <c r="AJ8578">
        <v>1</v>
      </c>
      <c r="AK8578">
        <v>27</v>
      </c>
      <c r="AL8578">
        <v>39</v>
      </c>
      <c r="AM8578" t="s">
        <v>43</v>
      </c>
      <c r="AN8578" t="str">
        <f>HYPERLINK("https://www.google.com/maps?q=10.86271763,79.0977478","Open Location")</f>
        <v>Open Location</v>
      </c>
    </row>
    <row r="8579" spans="1:40" x14ac:dyDescent="0.3">
      <c r="A8579" s="1">
        <v>46210.006365740737</v>
      </c>
      <c r="B8579" t="s">
        <v>40</v>
      </c>
      <c r="C8579" t="s">
        <v>41</v>
      </c>
      <c r="D8579" s="1">
        <v>46210.009201388886</v>
      </c>
      <c r="E8579" t="s">
        <v>42</v>
      </c>
      <c r="F8579" t="s">
        <v>83</v>
      </c>
      <c r="G8579">
        <v>46</v>
      </c>
      <c r="H8579" t="s">
        <v>43</v>
      </c>
      <c r="I8579" t="s">
        <v>4782</v>
      </c>
      <c r="J8579">
        <v>92</v>
      </c>
      <c r="K8579">
        <v>58</v>
      </c>
      <c r="L8579">
        <v>98</v>
      </c>
      <c r="M8579">
        <v>632.79998779000005</v>
      </c>
      <c r="N8579" t="s">
        <v>87</v>
      </c>
      <c r="O8579" t="s">
        <v>86</v>
      </c>
      <c r="P8579">
        <v>131</v>
      </c>
      <c r="Q8579">
        <v>6</v>
      </c>
      <c r="R8579">
        <v>31</v>
      </c>
      <c r="S8579">
        <v>1316</v>
      </c>
      <c r="T8579">
        <v>-40</v>
      </c>
      <c r="U8579">
        <v>43</v>
      </c>
      <c r="V8579">
        <v>240</v>
      </c>
      <c r="W8579">
        <v>28</v>
      </c>
      <c r="X8579">
        <v>28</v>
      </c>
      <c r="Y8579">
        <v>1</v>
      </c>
      <c r="Z8579">
        <v>8</v>
      </c>
      <c r="AA8579">
        <v>25</v>
      </c>
      <c r="AB8579">
        <v>1</v>
      </c>
      <c r="AC8579">
        <v>3</v>
      </c>
      <c r="AD8579">
        <v>3.3039999</v>
      </c>
      <c r="AE8579">
        <v>1</v>
      </c>
      <c r="AF8579">
        <v>44</v>
      </c>
      <c r="AG8579">
        <v>3.2980000999999999</v>
      </c>
      <c r="AH8579">
        <v>4</v>
      </c>
      <c r="AI8579">
        <v>17</v>
      </c>
      <c r="AJ8579">
        <v>1</v>
      </c>
      <c r="AK8579">
        <v>27</v>
      </c>
      <c r="AL8579">
        <v>39</v>
      </c>
      <c r="AM8579" t="s">
        <v>43</v>
      </c>
      <c r="AN8579" t="str">
        <f>HYPERLINK("https://www.google.com/maps?q=10.86387157,79.0967865","Open Location")</f>
        <v>Open Location</v>
      </c>
    </row>
    <row r="8580" spans="1:40" x14ac:dyDescent="0.3">
      <c r="A8580" s="1">
        <v>46210.006249999999</v>
      </c>
      <c r="B8580" t="s">
        <v>40</v>
      </c>
      <c r="C8580" t="s">
        <v>41</v>
      </c>
      <c r="D8580" s="1">
        <v>46210.009108796294</v>
      </c>
      <c r="E8580" t="s">
        <v>42</v>
      </c>
      <c r="F8580" t="s">
        <v>83</v>
      </c>
      <c r="G8580">
        <v>45</v>
      </c>
      <c r="H8580">
        <v>32984</v>
      </c>
      <c r="I8580" t="s">
        <v>4783</v>
      </c>
      <c r="J8580">
        <v>92</v>
      </c>
      <c r="K8580">
        <v>59</v>
      </c>
      <c r="L8580">
        <v>98</v>
      </c>
      <c r="M8580">
        <v>632.70001220999995</v>
      </c>
      <c r="N8580" t="s">
        <v>87</v>
      </c>
      <c r="O8580" t="s">
        <v>86</v>
      </c>
      <c r="P8580">
        <v>131</v>
      </c>
      <c r="Q8580">
        <v>6</v>
      </c>
      <c r="R8580">
        <v>15</v>
      </c>
      <c r="S8580">
        <v>1232</v>
      </c>
      <c r="T8580">
        <v>-40</v>
      </c>
      <c r="U8580">
        <v>43</v>
      </c>
      <c r="V8580">
        <v>280</v>
      </c>
      <c r="W8580">
        <v>28</v>
      </c>
      <c r="X8580">
        <v>28</v>
      </c>
      <c r="Y8580">
        <v>1</v>
      </c>
      <c r="Z8580">
        <v>8</v>
      </c>
      <c r="AA8580">
        <v>25</v>
      </c>
      <c r="AB8580">
        <v>1</v>
      </c>
      <c r="AC8580">
        <v>3</v>
      </c>
      <c r="AD8580">
        <v>3.30699992</v>
      </c>
      <c r="AE8580">
        <v>1</v>
      </c>
      <c r="AF8580">
        <v>44</v>
      </c>
      <c r="AG8580">
        <v>3.3020000500000002</v>
      </c>
      <c r="AH8580">
        <v>4</v>
      </c>
      <c r="AI8580">
        <v>17</v>
      </c>
      <c r="AJ8580">
        <v>1</v>
      </c>
      <c r="AK8580">
        <v>27</v>
      </c>
      <c r="AL8580">
        <v>39</v>
      </c>
      <c r="AM8580" t="s">
        <v>43</v>
      </c>
      <c r="AN8580" t="str">
        <f>HYPERLINK("https://www.google.com/maps?q=10.86491871,79.0958786","Open Location")</f>
        <v>Open Location</v>
      </c>
    </row>
    <row r="8581" spans="1:40" x14ac:dyDescent="0.3">
      <c r="A8581" s="1">
        <v>46210.00613425926</v>
      </c>
      <c r="B8581" t="s">
        <v>40</v>
      </c>
      <c r="C8581" t="s">
        <v>41</v>
      </c>
      <c r="D8581" s="1">
        <v>46210.00885416667</v>
      </c>
      <c r="E8581" t="s">
        <v>42</v>
      </c>
      <c r="F8581" t="s">
        <v>83</v>
      </c>
      <c r="G8581">
        <v>47</v>
      </c>
      <c r="H8581">
        <v>32984</v>
      </c>
      <c r="I8581" t="s">
        <v>4784</v>
      </c>
      <c r="J8581">
        <v>92</v>
      </c>
      <c r="K8581">
        <v>54</v>
      </c>
      <c r="L8581">
        <v>98</v>
      </c>
      <c r="M8581">
        <v>633</v>
      </c>
      <c r="N8581" t="s">
        <v>87</v>
      </c>
      <c r="O8581" t="s">
        <v>86</v>
      </c>
      <c r="P8581">
        <v>131</v>
      </c>
      <c r="Q8581">
        <v>6</v>
      </c>
      <c r="R8581">
        <v>7</v>
      </c>
      <c r="S8581">
        <v>1284</v>
      </c>
      <c r="T8581">
        <v>-40</v>
      </c>
      <c r="U8581">
        <v>44</v>
      </c>
      <c r="V8581">
        <v>240</v>
      </c>
      <c r="W8581">
        <v>28</v>
      </c>
      <c r="X8581">
        <v>28</v>
      </c>
      <c r="Y8581">
        <v>1</v>
      </c>
      <c r="Z8581">
        <v>8</v>
      </c>
      <c r="AA8581">
        <v>25</v>
      </c>
      <c r="AB8581">
        <v>1</v>
      </c>
      <c r="AC8581">
        <v>3</v>
      </c>
      <c r="AD8581">
        <v>3.3010001199999999</v>
      </c>
      <c r="AE8581">
        <v>1</v>
      </c>
      <c r="AF8581">
        <v>44</v>
      </c>
      <c r="AG8581">
        <v>3.2939999100000001</v>
      </c>
      <c r="AH8581">
        <v>4</v>
      </c>
      <c r="AI8581">
        <v>17</v>
      </c>
      <c r="AJ8581">
        <v>1</v>
      </c>
      <c r="AK8581">
        <v>27</v>
      </c>
      <c r="AL8581">
        <v>39</v>
      </c>
      <c r="AM8581" t="s">
        <v>43</v>
      </c>
      <c r="AN8581" t="str">
        <f>HYPERLINK("https://www.google.com/maps?q=10.86597538,79.09497833","Open Location")</f>
        <v>Open Location</v>
      </c>
    </row>
    <row r="8582" spans="1:40" x14ac:dyDescent="0.3">
      <c r="A8582" s="1">
        <v>46210.006018518521</v>
      </c>
      <c r="B8582" t="s">
        <v>40</v>
      </c>
      <c r="C8582" t="s">
        <v>41</v>
      </c>
      <c r="D8582" s="1">
        <v>46210.008993055555</v>
      </c>
      <c r="E8582" t="s">
        <v>42</v>
      </c>
      <c r="F8582" t="s">
        <v>83</v>
      </c>
      <c r="G8582">
        <v>47</v>
      </c>
      <c r="H8582">
        <v>32984</v>
      </c>
      <c r="I8582" t="s">
        <v>4785</v>
      </c>
      <c r="J8582">
        <v>92</v>
      </c>
      <c r="K8582">
        <v>96</v>
      </c>
      <c r="L8582">
        <v>98</v>
      </c>
      <c r="M8582">
        <v>631.40002441000001</v>
      </c>
      <c r="N8582" t="s">
        <v>87</v>
      </c>
      <c r="O8582" t="s">
        <v>86</v>
      </c>
      <c r="P8582">
        <v>131</v>
      </c>
      <c r="Q8582">
        <v>6</v>
      </c>
      <c r="R8582">
        <v>56</v>
      </c>
      <c r="S8582">
        <v>1321</v>
      </c>
      <c r="T8582">
        <v>-40</v>
      </c>
      <c r="U8582">
        <v>44</v>
      </c>
      <c r="V8582">
        <v>400</v>
      </c>
      <c r="W8582">
        <v>28</v>
      </c>
      <c r="X8582">
        <v>28</v>
      </c>
      <c r="Y8582">
        <v>1</v>
      </c>
      <c r="Z8582">
        <v>8</v>
      </c>
      <c r="AA8582">
        <v>25</v>
      </c>
      <c r="AB8582">
        <v>1</v>
      </c>
      <c r="AC8582">
        <v>3</v>
      </c>
      <c r="AD8582">
        <v>3.28500009</v>
      </c>
      <c r="AE8582">
        <v>1</v>
      </c>
      <c r="AF8582">
        <v>38</v>
      </c>
      <c r="AG8582">
        <v>3.2750001000000002</v>
      </c>
      <c r="AH8582">
        <v>4</v>
      </c>
      <c r="AI8582">
        <v>17</v>
      </c>
      <c r="AJ8582">
        <v>1</v>
      </c>
      <c r="AK8582">
        <v>27</v>
      </c>
      <c r="AL8582">
        <v>39</v>
      </c>
      <c r="AM8582" t="s">
        <v>43</v>
      </c>
      <c r="AN8582" t="str">
        <f>HYPERLINK("https://www.google.com/maps?q=10.8670187,79.09397125","Open Location")</f>
        <v>Open Location</v>
      </c>
    </row>
    <row r="8583" spans="1:40" x14ac:dyDescent="0.3">
      <c r="A8583" s="1">
        <v>46210.005902777775</v>
      </c>
      <c r="B8583" t="s">
        <v>40</v>
      </c>
      <c r="C8583" t="s">
        <v>41</v>
      </c>
      <c r="D8583" s="1">
        <v>46210.008923611109</v>
      </c>
      <c r="E8583" t="s">
        <v>42</v>
      </c>
      <c r="F8583" t="s">
        <v>83</v>
      </c>
      <c r="G8583">
        <v>45</v>
      </c>
      <c r="H8583">
        <v>32983</v>
      </c>
      <c r="I8583" t="s">
        <v>43</v>
      </c>
      <c r="J8583">
        <v>92</v>
      </c>
      <c r="K8583">
        <v>86</v>
      </c>
      <c r="L8583">
        <v>98</v>
      </c>
      <c r="M8583">
        <v>632.09997558999999</v>
      </c>
      <c r="N8583" t="s">
        <v>87</v>
      </c>
      <c r="O8583" t="s">
        <v>86</v>
      </c>
      <c r="P8583">
        <v>131</v>
      </c>
      <c r="Q8583">
        <v>6</v>
      </c>
      <c r="R8583">
        <v>39</v>
      </c>
      <c r="S8583">
        <v>1273</v>
      </c>
      <c r="T8583">
        <v>-40</v>
      </c>
      <c r="U8583">
        <v>44</v>
      </c>
      <c r="V8583">
        <v>380</v>
      </c>
      <c r="W8583">
        <v>28</v>
      </c>
      <c r="X8583">
        <v>28</v>
      </c>
      <c r="Y8583">
        <v>1</v>
      </c>
      <c r="Z8583">
        <v>8</v>
      </c>
      <c r="AA8583">
        <v>25</v>
      </c>
      <c r="AB8583">
        <v>1</v>
      </c>
      <c r="AC8583">
        <v>3</v>
      </c>
      <c r="AD8583">
        <v>3.3020000500000002</v>
      </c>
      <c r="AE8583">
        <v>1</v>
      </c>
      <c r="AF8583">
        <v>41</v>
      </c>
      <c r="AG8583">
        <v>3.2959999999999998</v>
      </c>
      <c r="AH8583">
        <v>4</v>
      </c>
      <c r="AI8583">
        <v>17</v>
      </c>
      <c r="AJ8583">
        <v>1</v>
      </c>
      <c r="AK8583">
        <v>27</v>
      </c>
      <c r="AL8583">
        <v>39</v>
      </c>
      <c r="AM8583" t="s">
        <v>43</v>
      </c>
      <c r="AN8583" t="s">
        <v>43</v>
      </c>
    </row>
    <row r="8584" spans="1:40" x14ac:dyDescent="0.3">
      <c r="A8584" s="1">
        <v>46210.005787037036</v>
      </c>
      <c r="B8584" t="s">
        <v>40</v>
      </c>
      <c r="C8584" t="s">
        <v>41</v>
      </c>
      <c r="D8584" s="1">
        <v>46210.008622685185</v>
      </c>
      <c r="E8584" t="s">
        <v>42</v>
      </c>
      <c r="F8584" t="s">
        <v>83</v>
      </c>
      <c r="G8584">
        <v>47</v>
      </c>
      <c r="H8584">
        <v>32983</v>
      </c>
      <c r="I8584" t="s">
        <v>4786</v>
      </c>
      <c r="J8584">
        <v>92</v>
      </c>
      <c r="K8584">
        <v>-49</v>
      </c>
      <c r="L8584">
        <v>98</v>
      </c>
      <c r="M8584">
        <v>637.70001220999995</v>
      </c>
      <c r="N8584" t="s">
        <v>87</v>
      </c>
      <c r="O8584" t="s">
        <v>86</v>
      </c>
      <c r="P8584">
        <v>131</v>
      </c>
      <c r="Q8584">
        <v>6</v>
      </c>
      <c r="R8584">
        <v>-2</v>
      </c>
      <c r="S8584">
        <v>1194</v>
      </c>
      <c r="T8584">
        <v>-40</v>
      </c>
      <c r="U8584">
        <v>43</v>
      </c>
      <c r="V8584">
        <v>-300</v>
      </c>
      <c r="W8584">
        <v>28</v>
      </c>
      <c r="X8584">
        <v>28</v>
      </c>
      <c r="Y8584">
        <v>1</v>
      </c>
      <c r="Z8584">
        <v>8</v>
      </c>
      <c r="AA8584">
        <v>25</v>
      </c>
      <c r="AB8584">
        <v>1</v>
      </c>
      <c r="AC8584">
        <v>3</v>
      </c>
      <c r="AD8584">
        <v>3.3229999499999998</v>
      </c>
      <c r="AE8584">
        <v>1</v>
      </c>
      <c r="AF8584">
        <v>17</v>
      </c>
      <c r="AG8584">
        <v>3.3210001</v>
      </c>
      <c r="AH8584">
        <v>1</v>
      </c>
      <c r="AI8584">
        <v>1</v>
      </c>
      <c r="AJ8584">
        <v>1</v>
      </c>
      <c r="AK8584">
        <v>28</v>
      </c>
      <c r="AL8584">
        <v>39</v>
      </c>
      <c r="AM8584" t="s">
        <v>43</v>
      </c>
      <c r="AN8584" t="str">
        <f>HYPERLINK("https://www.google.com/maps?q=10.86826706,79.09318542","Open Location")</f>
        <v>Open Location</v>
      </c>
    </row>
    <row r="8585" spans="1:40" x14ac:dyDescent="0.3">
      <c r="A8585" s="1">
        <v>46210.005671296298</v>
      </c>
      <c r="B8585" t="s">
        <v>40</v>
      </c>
      <c r="C8585" t="s">
        <v>41</v>
      </c>
      <c r="D8585" s="1">
        <v>46210.008391203701</v>
      </c>
      <c r="E8585" t="s">
        <v>42</v>
      </c>
      <c r="F8585" t="s">
        <v>83</v>
      </c>
      <c r="G8585">
        <v>47</v>
      </c>
      <c r="H8585">
        <v>32983</v>
      </c>
      <c r="I8585" t="s">
        <v>4787</v>
      </c>
      <c r="J8585">
        <v>92</v>
      </c>
      <c r="K8585">
        <v>58</v>
      </c>
      <c r="L8585">
        <v>98</v>
      </c>
      <c r="M8585">
        <v>633.29998779000005</v>
      </c>
      <c r="N8585" t="s">
        <v>87</v>
      </c>
      <c r="O8585" t="s">
        <v>86</v>
      </c>
      <c r="P8585">
        <v>131</v>
      </c>
      <c r="Q8585">
        <v>6</v>
      </c>
      <c r="R8585">
        <v>41</v>
      </c>
      <c r="S8585">
        <v>1328</v>
      </c>
      <c r="T8585">
        <v>-40</v>
      </c>
      <c r="U8585">
        <v>44</v>
      </c>
      <c r="V8585">
        <v>240</v>
      </c>
      <c r="W8585">
        <v>28</v>
      </c>
      <c r="X8585">
        <v>28</v>
      </c>
      <c r="Y8585">
        <v>1</v>
      </c>
      <c r="Z8585">
        <v>8</v>
      </c>
      <c r="AA8585">
        <v>25</v>
      </c>
      <c r="AB8585">
        <v>1</v>
      </c>
      <c r="AC8585">
        <v>3</v>
      </c>
      <c r="AD8585">
        <v>3.3029999700000001</v>
      </c>
      <c r="AE8585">
        <v>1</v>
      </c>
      <c r="AF8585">
        <v>41</v>
      </c>
      <c r="AG8585">
        <v>3.2969999300000001</v>
      </c>
      <c r="AH8585">
        <v>4</v>
      </c>
      <c r="AI8585">
        <v>17</v>
      </c>
      <c r="AJ8585">
        <v>1</v>
      </c>
      <c r="AK8585">
        <v>27</v>
      </c>
      <c r="AL8585">
        <v>39</v>
      </c>
      <c r="AM8585" t="s">
        <v>43</v>
      </c>
      <c r="AN8585" t="str">
        <f>HYPERLINK("https://www.google.com/maps?q=10.86964035,79.09284973","Open Location")</f>
        <v>Open Location</v>
      </c>
    </row>
    <row r="8586" spans="1:40" x14ac:dyDescent="0.3">
      <c r="A8586" s="1">
        <v>46210.005555555559</v>
      </c>
      <c r="B8586" t="s">
        <v>40</v>
      </c>
      <c r="C8586" t="s">
        <v>41</v>
      </c>
      <c r="D8586" s="1">
        <v>46210.008333333331</v>
      </c>
      <c r="E8586" t="s">
        <v>42</v>
      </c>
      <c r="F8586" t="s">
        <v>83</v>
      </c>
      <c r="G8586">
        <v>47</v>
      </c>
      <c r="H8586">
        <v>32983</v>
      </c>
      <c r="I8586" t="s">
        <v>4788</v>
      </c>
      <c r="J8586">
        <v>92</v>
      </c>
      <c r="K8586">
        <v>55</v>
      </c>
      <c r="L8586">
        <v>98</v>
      </c>
      <c r="M8586">
        <v>632.5</v>
      </c>
      <c r="N8586" t="s">
        <v>87</v>
      </c>
      <c r="O8586" t="s">
        <v>86</v>
      </c>
      <c r="P8586">
        <v>131</v>
      </c>
      <c r="Q8586">
        <v>6</v>
      </c>
      <c r="R8586">
        <v>32</v>
      </c>
      <c r="S8586">
        <v>1285</v>
      </c>
      <c r="T8586">
        <v>-40</v>
      </c>
      <c r="U8586">
        <v>44</v>
      </c>
      <c r="V8586">
        <v>244</v>
      </c>
      <c r="W8586">
        <v>28</v>
      </c>
      <c r="X8586">
        <v>28</v>
      </c>
      <c r="Y8586">
        <v>1</v>
      </c>
      <c r="Z8586">
        <v>8</v>
      </c>
      <c r="AA8586">
        <v>25</v>
      </c>
      <c r="AB8586">
        <v>2</v>
      </c>
      <c r="AC8586">
        <v>1</v>
      </c>
      <c r="AD8586">
        <v>3.30900002</v>
      </c>
      <c r="AE8586">
        <v>1</v>
      </c>
      <c r="AF8586">
        <v>44</v>
      </c>
      <c r="AG8586">
        <v>3.3050000700000002</v>
      </c>
      <c r="AH8586">
        <v>2</v>
      </c>
      <c r="AI8586">
        <v>46</v>
      </c>
      <c r="AJ8586">
        <v>1</v>
      </c>
      <c r="AK8586">
        <v>27</v>
      </c>
      <c r="AL8586">
        <v>39</v>
      </c>
      <c r="AM8586" t="s">
        <v>43</v>
      </c>
      <c r="AN8586" t="str">
        <f>HYPERLINK("https://www.google.com/maps?q=10.87106514,79.09278107","Open Location")</f>
        <v>Open Location</v>
      </c>
    </row>
    <row r="8587" spans="1:40" x14ac:dyDescent="0.3">
      <c r="A8587" s="1">
        <v>46210.005439814813</v>
      </c>
      <c r="B8587" t="s">
        <v>40</v>
      </c>
      <c r="C8587" t="s">
        <v>41</v>
      </c>
      <c r="D8587" s="1">
        <v>46210.008460648147</v>
      </c>
      <c r="E8587" t="s">
        <v>42</v>
      </c>
      <c r="F8587" t="s">
        <v>83</v>
      </c>
      <c r="G8587">
        <v>46</v>
      </c>
      <c r="H8587">
        <v>32983</v>
      </c>
      <c r="I8587" t="s">
        <v>43</v>
      </c>
      <c r="J8587">
        <v>92</v>
      </c>
      <c r="K8587">
        <v>73</v>
      </c>
      <c r="L8587">
        <v>98</v>
      </c>
      <c r="M8587">
        <v>632.70001220999995</v>
      </c>
      <c r="N8587" t="s">
        <v>87</v>
      </c>
      <c r="O8587" t="s">
        <v>86</v>
      </c>
      <c r="P8587">
        <v>131</v>
      </c>
      <c r="Q8587">
        <v>6</v>
      </c>
      <c r="R8587">
        <v>24</v>
      </c>
      <c r="S8587">
        <v>1279</v>
      </c>
      <c r="T8587">
        <v>-40</v>
      </c>
      <c r="U8587">
        <v>44</v>
      </c>
      <c r="V8587">
        <v>300</v>
      </c>
      <c r="W8587">
        <v>28</v>
      </c>
      <c r="X8587">
        <v>28</v>
      </c>
      <c r="Y8587">
        <v>1</v>
      </c>
      <c r="Z8587">
        <v>8</v>
      </c>
      <c r="AA8587">
        <v>25</v>
      </c>
      <c r="AB8587">
        <v>2</v>
      </c>
      <c r="AC8587">
        <v>1</v>
      </c>
      <c r="AD8587">
        <v>3.2950000799999999</v>
      </c>
      <c r="AE8587">
        <v>1</v>
      </c>
      <c r="AF8587">
        <v>44</v>
      </c>
      <c r="AG8587">
        <v>3.28600001</v>
      </c>
      <c r="AH8587">
        <v>4</v>
      </c>
      <c r="AI8587">
        <v>17</v>
      </c>
      <c r="AJ8587">
        <v>1</v>
      </c>
      <c r="AK8587">
        <v>27</v>
      </c>
      <c r="AL8587">
        <v>39</v>
      </c>
      <c r="AM8587" t="s">
        <v>43</v>
      </c>
      <c r="AN8587" t="s">
        <v>43</v>
      </c>
    </row>
    <row r="8588" spans="1:40" x14ac:dyDescent="0.3">
      <c r="A8588" s="1">
        <v>46210.005324074074</v>
      </c>
      <c r="B8588" t="s">
        <v>40</v>
      </c>
      <c r="C8588" t="s">
        <v>41</v>
      </c>
      <c r="D8588" s="1">
        <v>46210.008009259262</v>
      </c>
      <c r="E8588" t="s">
        <v>42</v>
      </c>
      <c r="F8588" t="s">
        <v>83</v>
      </c>
      <c r="G8588">
        <v>43</v>
      </c>
      <c r="H8588" t="s">
        <v>43</v>
      </c>
      <c r="I8588" t="s">
        <v>4789</v>
      </c>
      <c r="J8588">
        <v>92</v>
      </c>
      <c r="K8588">
        <v>91</v>
      </c>
      <c r="L8588">
        <v>98</v>
      </c>
      <c r="M8588">
        <v>632</v>
      </c>
      <c r="N8588" t="s">
        <v>87</v>
      </c>
      <c r="O8588" t="s">
        <v>86</v>
      </c>
      <c r="P8588">
        <v>131</v>
      </c>
      <c r="Q8588">
        <v>6</v>
      </c>
      <c r="R8588">
        <v>52</v>
      </c>
      <c r="S8588">
        <v>1267</v>
      </c>
      <c r="T8588">
        <v>-40</v>
      </c>
      <c r="U8588">
        <v>43</v>
      </c>
      <c r="V8588">
        <v>380</v>
      </c>
      <c r="W8588">
        <v>28</v>
      </c>
      <c r="X8588">
        <v>28</v>
      </c>
      <c r="Y8588">
        <v>1</v>
      </c>
      <c r="Z8588">
        <v>8</v>
      </c>
      <c r="AA8588">
        <v>25</v>
      </c>
      <c r="AB8588">
        <v>2</v>
      </c>
      <c r="AC8588">
        <v>1</v>
      </c>
      <c r="AD8588">
        <v>3.2959999999999998</v>
      </c>
      <c r="AE8588">
        <v>1</v>
      </c>
      <c r="AF8588">
        <v>44</v>
      </c>
      <c r="AG8588">
        <v>3.28800011</v>
      </c>
      <c r="AH8588">
        <v>4</v>
      </c>
      <c r="AI8588">
        <v>17</v>
      </c>
      <c r="AJ8588">
        <v>1</v>
      </c>
      <c r="AK8588">
        <v>27</v>
      </c>
      <c r="AL8588">
        <v>39</v>
      </c>
      <c r="AM8588" t="s">
        <v>43</v>
      </c>
      <c r="AN8588" t="str">
        <f>HYPERLINK("https://www.google.com/maps?q=10.87357903,79.09302521","Open Location")</f>
        <v>Open Location</v>
      </c>
    </row>
    <row r="8589" spans="1:40" x14ac:dyDescent="0.3">
      <c r="A8589" s="1">
        <v>46210.005208333336</v>
      </c>
      <c r="B8589" t="s">
        <v>40</v>
      </c>
      <c r="C8589" t="s">
        <v>41</v>
      </c>
      <c r="D8589" s="1">
        <v>46210.008009259262</v>
      </c>
      <c r="E8589" t="s">
        <v>42</v>
      </c>
      <c r="F8589" t="s">
        <v>83</v>
      </c>
      <c r="G8589">
        <v>44</v>
      </c>
      <c r="H8589">
        <v>32983</v>
      </c>
      <c r="I8589" t="s">
        <v>43</v>
      </c>
      <c r="J8589">
        <v>92</v>
      </c>
      <c r="K8589">
        <v>44</v>
      </c>
      <c r="L8589">
        <v>98</v>
      </c>
      <c r="M8589">
        <v>634.5</v>
      </c>
      <c r="N8589" t="s">
        <v>87</v>
      </c>
      <c r="O8589" t="s">
        <v>86</v>
      </c>
      <c r="P8589">
        <v>131</v>
      </c>
      <c r="Q8589">
        <v>6</v>
      </c>
      <c r="R8589">
        <v>20</v>
      </c>
      <c r="S8589">
        <v>1198</v>
      </c>
      <c r="T8589">
        <v>-40</v>
      </c>
      <c r="U8589">
        <v>43</v>
      </c>
      <c r="V8589">
        <v>240</v>
      </c>
      <c r="W8589">
        <v>28</v>
      </c>
      <c r="X8589">
        <v>28</v>
      </c>
      <c r="Y8589">
        <v>1</v>
      </c>
      <c r="Z8589">
        <v>8</v>
      </c>
      <c r="AA8589">
        <v>25</v>
      </c>
      <c r="AB8589">
        <v>2</v>
      </c>
      <c r="AC8589">
        <v>1</v>
      </c>
      <c r="AD8589">
        <v>3.3080000900000002</v>
      </c>
      <c r="AE8589">
        <v>1</v>
      </c>
      <c r="AF8589">
        <v>44</v>
      </c>
      <c r="AG8589">
        <v>3.3029999700000001</v>
      </c>
      <c r="AH8589">
        <v>2</v>
      </c>
      <c r="AI8589">
        <v>46</v>
      </c>
      <c r="AJ8589">
        <v>1</v>
      </c>
      <c r="AK8589">
        <v>27</v>
      </c>
      <c r="AL8589">
        <v>39</v>
      </c>
      <c r="AM8589" t="s">
        <v>43</v>
      </c>
      <c r="AN8589" t="s">
        <v>43</v>
      </c>
    </row>
    <row r="8590" spans="1:40" x14ac:dyDescent="0.3">
      <c r="A8590" s="1">
        <v>46210.00509259259</v>
      </c>
      <c r="B8590" t="s">
        <v>40</v>
      </c>
      <c r="C8590" t="s">
        <v>41</v>
      </c>
      <c r="D8590" s="1">
        <v>46210.007835648146</v>
      </c>
      <c r="E8590" t="s">
        <v>42</v>
      </c>
      <c r="F8590" t="s">
        <v>83</v>
      </c>
      <c r="G8590">
        <v>50</v>
      </c>
      <c r="H8590">
        <v>32983</v>
      </c>
      <c r="I8590" t="s">
        <v>4790</v>
      </c>
      <c r="J8590">
        <v>92</v>
      </c>
      <c r="K8590">
        <v>-56</v>
      </c>
      <c r="L8590">
        <v>98</v>
      </c>
      <c r="M8590">
        <v>638.09997558999999</v>
      </c>
      <c r="N8590" t="s">
        <v>87</v>
      </c>
      <c r="O8590" t="s">
        <v>86</v>
      </c>
      <c r="P8590">
        <v>131</v>
      </c>
      <c r="Q8590">
        <v>6</v>
      </c>
      <c r="R8590">
        <v>8</v>
      </c>
      <c r="S8590">
        <v>1331</v>
      </c>
      <c r="T8590">
        <v>-40</v>
      </c>
      <c r="U8590">
        <v>43</v>
      </c>
      <c r="V8590">
        <v>-300</v>
      </c>
      <c r="W8590">
        <v>28</v>
      </c>
      <c r="X8590">
        <v>28</v>
      </c>
      <c r="Y8590">
        <v>1</v>
      </c>
      <c r="Z8590">
        <v>8</v>
      </c>
      <c r="AA8590">
        <v>25</v>
      </c>
      <c r="AB8590">
        <v>2</v>
      </c>
      <c r="AC8590">
        <v>1</v>
      </c>
      <c r="AD8590">
        <v>3.3229999499999998</v>
      </c>
      <c r="AE8590">
        <v>1</v>
      </c>
      <c r="AF8590">
        <v>17</v>
      </c>
      <c r="AG8590">
        <v>3.3199999299999998</v>
      </c>
      <c r="AH8590">
        <v>2</v>
      </c>
      <c r="AI8590">
        <v>48</v>
      </c>
      <c r="AJ8590">
        <v>1</v>
      </c>
      <c r="AK8590">
        <v>27</v>
      </c>
      <c r="AL8590">
        <v>40</v>
      </c>
      <c r="AM8590" t="s">
        <v>43</v>
      </c>
      <c r="AN8590" t="str">
        <f>HYPERLINK("https://www.google.com/maps?q=10.87552643,79.09306335","Open Location")</f>
        <v>Open Location</v>
      </c>
    </row>
    <row r="8591" spans="1:40" x14ac:dyDescent="0.3">
      <c r="A8591" s="1">
        <v>46210.004976851851</v>
      </c>
      <c r="B8591" t="s">
        <v>40</v>
      </c>
      <c r="C8591" t="s">
        <v>41</v>
      </c>
      <c r="D8591" s="1">
        <v>46210.007835648146</v>
      </c>
      <c r="E8591" t="s">
        <v>42</v>
      </c>
      <c r="F8591" t="s">
        <v>83</v>
      </c>
      <c r="G8591">
        <v>40</v>
      </c>
      <c r="H8591">
        <v>32982</v>
      </c>
      <c r="I8591" t="s">
        <v>4791</v>
      </c>
      <c r="J8591">
        <v>92</v>
      </c>
      <c r="K8591">
        <v>56</v>
      </c>
      <c r="L8591">
        <v>98</v>
      </c>
      <c r="M8591">
        <v>633</v>
      </c>
      <c r="N8591" t="s">
        <v>87</v>
      </c>
      <c r="O8591" t="s">
        <v>86</v>
      </c>
      <c r="P8591">
        <v>131</v>
      </c>
      <c r="Q8591">
        <v>6</v>
      </c>
      <c r="R8591">
        <v>35</v>
      </c>
      <c r="S8591">
        <v>1248</v>
      </c>
      <c r="T8591">
        <v>-40</v>
      </c>
      <c r="U8591">
        <v>44</v>
      </c>
      <c r="V8591">
        <v>245</v>
      </c>
      <c r="W8591">
        <v>28</v>
      </c>
      <c r="X8591">
        <v>28</v>
      </c>
      <c r="Y8591">
        <v>1</v>
      </c>
      <c r="Z8591">
        <v>8</v>
      </c>
      <c r="AA8591">
        <v>25</v>
      </c>
      <c r="AB8591">
        <v>2</v>
      </c>
      <c r="AC8591">
        <v>1</v>
      </c>
      <c r="AD8591">
        <v>3.3010001199999999</v>
      </c>
      <c r="AE8591">
        <v>1</v>
      </c>
      <c r="AF8591">
        <v>38</v>
      </c>
      <c r="AG8591">
        <v>3.2950000799999999</v>
      </c>
      <c r="AH8591">
        <v>4</v>
      </c>
      <c r="AI8591">
        <v>17</v>
      </c>
      <c r="AJ8591">
        <v>1</v>
      </c>
      <c r="AK8591">
        <v>27</v>
      </c>
      <c r="AL8591">
        <v>40</v>
      </c>
      <c r="AM8591" t="s">
        <v>43</v>
      </c>
      <c r="AN8591" t="str">
        <f>HYPERLINK("https://www.google.com/maps?q=10.87691879,79.09313965","Open Location")</f>
        <v>Open Location</v>
      </c>
    </row>
    <row r="8592" spans="1:40" x14ac:dyDescent="0.3">
      <c r="A8592" s="1">
        <v>46210.004861111112</v>
      </c>
      <c r="B8592" t="s">
        <v>40</v>
      </c>
      <c r="C8592" t="s">
        <v>41</v>
      </c>
      <c r="D8592" s="1">
        <v>46210.007650462961</v>
      </c>
      <c r="E8592" t="s">
        <v>42</v>
      </c>
      <c r="F8592" t="s">
        <v>83</v>
      </c>
      <c r="G8592">
        <v>41</v>
      </c>
      <c r="H8592">
        <v>32982</v>
      </c>
      <c r="I8592" t="s">
        <v>4792</v>
      </c>
      <c r="J8592">
        <v>92</v>
      </c>
      <c r="K8592">
        <v>29</v>
      </c>
      <c r="L8592">
        <v>98</v>
      </c>
      <c r="M8592">
        <v>633.90002441000001</v>
      </c>
      <c r="N8592" t="s">
        <v>87</v>
      </c>
      <c r="O8592" t="s">
        <v>86</v>
      </c>
      <c r="P8592">
        <v>131</v>
      </c>
      <c r="Q8592">
        <v>6</v>
      </c>
      <c r="R8592">
        <v>35</v>
      </c>
      <c r="S8592">
        <v>1132</v>
      </c>
      <c r="T8592">
        <v>-40</v>
      </c>
      <c r="U8592">
        <v>47</v>
      </c>
      <c r="V8592">
        <v>120</v>
      </c>
      <c r="W8592">
        <v>28</v>
      </c>
      <c r="X8592">
        <v>28</v>
      </c>
      <c r="Y8592">
        <v>1</v>
      </c>
      <c r="Z8592">
        <v>8</v>
      </c>
      <c r="AA8592">
        <v>25</v>
      </c>
      <c r="AB8592">
        <v>2</v>
      </c>
      <c r="AC8592">
        <v>1</v>
      </c>
      <c r="AD8592">
        <v>3.2990000199999998</v>
      </c>
      <c r="AE8592">
        <v>1</v>
      </c>
      <c r="AF8592">
        <v>44</v>
      </c>
      <c r="AG8592">
        <v>3.2920000599999999</v>
      </c>
      <c r="AH8592">
        <v>4</v>
      </c>
      <c r="AI8592">
        <v>17</v>
      </c>
      <c r="AJ8592">
        <v>1</v>
      </c>
      <c r="AK8592">
        <v>27</v>
      </c>
      <c r="AL8592">
        <v>40</v>
      </c>
      <c r="AM8592" t="s">
        <v>43</v>
      </c>
      <c r="AN8592" t="str">
        <f>HYPERLINK("https://www.google.com/maps?q=10.878232,79.09339905","Open Location")</f>
        <v>Open Location</v>
      </c>
    </row>
    <row r="8593" spans="1:40" x14ac:dyDescent="0.3">
      <c r="A8593" s="1">
        <v>46210.004745370374</v>
      </c>
      <c r="B8593" t="s">
        <v>40</v>
      </c>
      <c r="C8593" t="s">
        <v>41</v>
      </c>
      <c r="D8593" s="1">
        <v>46210.007337962961</v>
      </c>
      <c r="E8593" t="s">
        <v>42</v>
      </c>
      <c r="F8593" t="s">
        <v>83</v>
      </c>
      <c r="G8593">
        <v>42</v>
      </c>
      <c r="H8593">
        <v>32982</v>
      </c>
      <c r="I8593" t="s">
        <v>43</v>
      </c>
      <c r="J8593">
        <v>92</v>
      </c>
      <c r="K8593">
        <v>150</v>
      </c>
      <c r="L8593">
        <v>98</v>
      </c>
      <c r="M8593">
        <v>628.79998779000005</v>
      </c>
      <c r="N8593" t="s">
        <v>87</v>
      </c>
      <c r="O8593" t="s">
        <v>86</v>
      </c>
      <c r="P8593">
        <v>131</v>
      </c>
      <c r="Q8593">
        <v>6</v>
      </c>
      <c r="R8593">
        <v>-4</v>
      </c>
      <c r="S8593">
        <v>1092</v>
      </c>
      <c r="T8593">
        <v>-40</v>
      </c>
      <c r="U8593">
        <v>45</v>
      </c>
      <c r="V8593">
        <v>760</v>
      </c>
      <c r="W8593">
        <v>28</v>
      </c>
      <c r="X8593">
        <v>28</v>
      </c>
      <c r="Y8593">
        <v>1</v>
      </c>
      <c r="Z8593">
        <v>8</v>
      </c>
      <c r="AA8593">
        <v>25</v>
      </c>
      <c r="AB8593">
        <v>2</v>
      </c>
      <c r="AC8593">
        <v>1</v>
      </c>
      <c r="AD8593">
        <v>3.28500009</v>
      </c>
      <c r="AE8593">
        <v>1</v>
      </c>
      <c r="AF8593">
        <v>44</v>
      </c>
      <c r="AG8593">
        <v>3.27399993</v>
      </c>
      <c r="AH8593">
        <v>4</v>
      </c>
      <c r="AI8593">
        <v>17</v>
      </c>
      <c r="AJ8593">
        <v>1</v>
      </c>
      <c r="AK8593">
        <v>27</v>
      </c>
      <c r="AL8593">
        <v>40</v>
      </c>
      <c r="AM8593" t="s">
        <v>43</v>
      </c>
      <c r="AN8593" t="s">
        <v>43</v>
      </c>
    </row>
    <row r="8594" spans="1:40" x14ac:dyDescent="0.3">
      <c r="A8594" s="1">
        <v>46210.004629629628</v>
      </c>
      <c r="B8594" t="s">
        <v>40</v>
      </c>
      <c r="C8594" t="s">
        <v>41</v>
      </c>
      <c r="D8594" s="1">
        <v>46210.007395833331</v>
      </c>
      <c r="E8594" t="s">
        <v>42</v>
      </c>
      <c r="F8594" t="s">
        <v>83</v>
      </c>
      <c r="G8594">
        <v>49</v>
      </c>
      <c r="H8594">
        <v>32982</v>
      </c>
      <c r="I8594" t="s">
        <v>4793</v>
      </c>
      <c r="J8594">
        <v>92</v>
      </c>
      <c r="K8594">
        <v>139</v>
      </c>
      <c r="L8594">
        <v>98</v>
      </c>
      <c r="M8594">
        <v>629</v>
      </c>
      <c r="N8594" t="s">
        <v>87</v>
      </c>
      <c r="O8594" t="s">
        <v>86</v>
      </c>
      <c r="P8594" t="s">
        <v>43</v>
      </c>
      <c r="Q8594">
        <v>6</v>
      </c>
      <c r="R8594">
        <v>56</v>
      </c>
      <c r="S8594">
        <v>1274</v>
      </c>
      <c r="T8594">
        <v>-40</v>
      </c>
      <c r="U8594">
        <v>45</v>
      </c>
      <c r="V8594">
        <v>600</v>
      </c>
      <c r="W8594">
        <v>28</v>
      </c>
      <c r="X8594">
        <v>28</v>
      </c>
      <c r="Y8594">
        <v>1</v>
      </c>
      <c r="Z8594">
        <v>8</v>
      </c>
      <c r="AA8594">
        <v>25</v>
      </c>
      <c r="AB8594">
        <v>2</v>
      </c>
      <c r="AC8594">
        <v>1</v>
      </c>
      <c r="AD8594">
        <v>3.2869999399999998</v>
      </c>
      <c r="AE8594">
        <v>1</v>
      </c>
      <c r="AF8594">
        <v>38</v>
      </c>
      <c r="AG8594">
        <v>3.27699995</v>
      </c>
      <c r="AH8594">
        <v>4</v>
      </c>
      <c r="AI8594">
        <v>17</v>
      </c>
      <c r="AJ8594">
        <v>1</v>
      </c>
      <c r="AK8594">
        <v>27</v>
      </c>
      <c r="AL8594">
        <v>40</v>
      </c>
      <c r="AM8594" t="s">
        <v>43</v>
      </c>
      <c r="AN8594" t="str">
        <f>HYPERLINK("https://www.google.com/maps?q=10.87942314,79.09379578","Open Location")</f>
        <v>Open Location</v>
      </c>
    </row>
    <row r="8595" spans="1:40" x14ac:dyDescent="0.3">
      <c r="A8595" s="1">
        <v>46210.004513888889</v>
      </c>
      <c r="B8595" t="s">
        <v>40</v>
      </c>
      <c r="C8595" t="s">
        <v>41</v>
      </c>
      <c r="D8595" s="1">
        <v>46210.007233796299</v>
      </c>
      <c r="E8595" t="s">
        <v>42</v>
      </c>
      <c r="F8595" t="s">
        <v>83</v>
      </c>
      <c r="G8595">
        <v>51</v>
      </c>
      <c r="H8595">
        <v>32982</v>
      </c>
      <c r="I8595" t="s">
        <v>4794</v>
      </c>
      <c r="J8595">
        <v>92</v>
      </c>
      <c r="K8595">
        <v>94</v>
      </c>
      <c r="L8595">
        <v>98</v>
      </c>
      <c r="M8595">
        <v>630.79998779000005</v>
      </c>
      <c r="N8595" t="s">
        <v>87</v>
      </c>
      <c r="O8595" t="s">
        <v>86</v>
      </c>
      <c r="P8595">
        <v>131</v>
      </c>
      <c r="Q8595">
        <v>6</v>
      </c>
      <c r="R8595">
        <v>32</v>
      </c>
      <c r="S8595">
        <v>1402</v>
      </c>
      <c r="T8595">
        <v>-40</v>
      </c>
      <c r="U8595">
        <v>44</v>
      </c>
      <c r="V8595">
        <v>352</v>
      </c>
      <c r="W8595">
        <v>28</v>
      </c>
      <c r="X8595">
        <v>28</v>
      </c>
      <c r="Y8595">
        <v>1</v>
      </c>
      <c r="Z8595">
        <v>8</v>
      </c>
      <c r="AA8595">
        <v>25</v>
      </c>
      <c r="AB8595">
        <v>2</v>
      </c>
      <c r="AC8595">
        <v>1</v>
      </c>
      <c r="AD8595">
        <v>3.2980000999999999</v>
      </c>
      <c r="AE8595">
        <v>1</v>
      </c>
      <c r="AF8595">
        <v>38</v>
      </c>
      <c r="AG8595">
        <v>3.2909998900000001</v>
      </c>
      <c r="AH8595">
        <v>4</v>
      </c>
      <c r="AI8595">
        <v>17</v>
      </c>
      <c r="AJ8595">
        <v>1</v>
      </c>
      <c r="AK8595">
        <v>28</v>
      </c>
      <c r="AL8595">
        <v>40</v>
      </c>
      <c r="AM8595" t="s">
        <v>43</v>
      </c>
      <c r="AN8595" t="str">
        <f>HYPERLINK("https://www.google.com/maps?q=10.88081455,79.09427643","Open Location")</f>
        <v>Open Location</v>
      </c>
    </row>
    <row r="8596" spans="1:40" x14ac:dyDescent="0.3">
      <c r="A8596" s="1">
        <v>46210.00439814815</v>
      </c>
      <c r="B8596" t="s">
        <v>40</v>
      </c>
      <c r="C8596" t="s">
        <v>41</v>
      </c>
      <c r="D8596" s="1">
        <v>46210.007222222222</v>
      </c>
      <c r="E8596" t="s">
        <v>42</v>
      </c>
      <c r="F8596" t="s">
        <v>83</v>
      </c>
      <c r="G8596">
        <v>52</v>
      </c>
      <c r="H8596">
        <v>32982</v>
      </c>
      <c r="I8596" t="s">
        <v>4795</v>
      </c>
      <c r="J8596">
        <v>92</v>
      </c>
      <c r="K8596">
        <v>35</v>
      </c>
      <c r="L8596">
        <v>98</v>
      </c>
      <c r="M8596">
        <v>633.20001220999995</v>
      </c>
      <c r="N8596" t="s">
        <v>87</v>
      </c>
      <c r="O8596" t="s">
        <v>86</v>
      </c>
      <c r="P8596">
        <v>131</v>
      </c>
      <c r="Q8596">
        <v>6</v>
      </c>
      <c r="R8596">
        <v>57</v>
      </c>
      <c r="S8596">
        <v>1440</v>
      </c>
      <c r="T8596">
        <v>-40</v>
      </c>
      <c r="U8596">
        <v>45</v>
      </c>
      <c r="V8596">
        <v>140</v>
      </c>
      <c r="W8596">
        <v>28</v>
      </c>
      <c r="X8596">
        <v>28</v>
      </c>
      <c r="Y8596">
        <v>1</v>
      </c>
      <c r="Z8596">
        <v>8</v>
      </c>
      <c r="AA8596">
        <v>25</v>
      </c>
      <c r="AB8596">
        <v>2</v>
      </c>
      <c r="AC8596">
        <v>1</v>
      </c>
      <c r="AD8596">
        <v>3.2980000999999999</v>
      </c>
      <c r="AE8596">
        <v>1</v>
      </c>
      <c r="AF8596">
        <v>38</v>
      </c>
      <c r="AG8596">
        <v>3.2909998900000001</v>
      </c>
      <c r="AH8596">
        <v>4</v>
      </c>
      <c r="AI8596">
        <v>17</v>
      </c>
      <c r="AJ8596">
        <v>1</v>
      </c>
      <c r="AK8596">
        <v>27</v>
      </c>
      <c r="AL8596">
        <v>40</v>
      </c>
      <c r="AM8596" t="s">
        <v>43</v>
      </c>
      <c r="AN8596" t="str">
        <f>HYPERLINK("https://www.google.com/maps?q=10.88227081,79.09485626","Open Location")</f>
        <v>Open Location</v>
      </c>
    </row>
    <row r="8597" spans="1:40" x14ac:dyDescent="0.3">
      <c r="A8597" s="1">
        <v>46210.004282407404</v>
      </c>
      <c r="B8597" t="s">
        <v>40</v>
      </c>
      <c r="C8597" t="s">
        <v>41</v>
      </c>
      <c r="D8597" s="1">
        <v>46210.007222222222</v>
      </c>
      <c r="E8597" t="s">
        <v>42</v>
      </c>
      <c r="F8597" t="s">
        <v>83</v>
      </c>
      <c r="G8597">
        <v>51</v>
      </c>
      <c r="H8597">
        <v>32982</v>
      </c>
      <c r="I8597" t="s">
        <v>4796</v>
      </c>
      <c r="J8597">
        <v>93</v>
      </c>
      <c r="K8597">
        <v>72</v>
      </c>
      <c r="L8597">
        <v>98</v>
      </c>
      <c r="M8597">
        <v>630.59997558999999</v>
      </c>
      <c r="N8597" t="s">
        <v>87</v>
      </c>
      <c r="O8597" t="s">
        <v>86</v>
      </c>
      <c r="P8597">
        <v>131</v>
      </c>
      <c r="Q8597">
        <v>6</v>
      </c>
      <c r="R8597">
        <v>62</v>
      </c>
      <c r="S8597">
        <v>1401</v>
      </c>
      <c r="T8597">
        <v>-40</v>
      </c>
      <c r="U8597">
        <v>45</v>
      </c>
      <c r="V8597">
        <v>254</v>
      </c>
      <c r="W8597">
        <v>28</v>
      </c>
      <c r="X8597">
        <v>28</v>
      </c>
      <c r="Y8597">
        <v>1</v>
      </c>
      <c r="Z8597">
        <v>8</v>
      </c>
      <c r="AA8597">
        <v>25</v>
      </c>
      <c r="AB8597">
        <v>2</v>
      </c>
      <c r="AC8597">
        <v>1</v>
      </c>
      <c r="AD8597">
        <v>3.3020000500000002</v>
      </c>
      <c r="AE8597">
        <v>1</v>
      </c>
      <c r="AF8597">
        <v>44</v>
      </c>
      <c r="AG8597">
        <v>3.2959999999999998</v>
      </c>
      <c r="AH8597">
        <v>4</v>
      </c>
      <c r="AI8597">
        <v>17</v>
      </c>
      <c r="AJ8597">
        <v>1</v>
      </c>
      <c r="AK8597">
        <v>27</v>
      </c>
      <c r="AL8597">
        <v>40</v>
      </c>
      <c r="AM8597" t="s">
        <v>43</v>
      </c>
      <c r="AN8597" t="str">
        <f>HYPERLINK("https://www.google.com/maps?q=10.88371754,79.09542847","Open Location")</f>
        <v>Open Location</v>
      </c>
    </row>
    <row r="8598" spans="1:40" x14ac:dyDescent="0.3">
      <c r="A8598" s="1">
        <v>46210.004166666666</v>
      </c>
      <c r="B8598" t="s">
        <v>40</v>
      </c>
      <c r="C8598" t="s">
        <v>41</v>
      </c>
      <c r="D8598" s="1">
        <v>46210.007233796299</v>
      </c>
      <c r="E8598" t="s">
        <v>42</v>
      </c>
      <c r="F8598" t="s">
        <v>83</v>
      </c>
      <c r="G8598">
        <v>52</v>
      </c>
      <c r="H8598">
        <v>32981</v>
      </c>
      <c r="I8598" t="s">
        <v>43</v>
      </c>
      <c r="J8598">
        <v>93</v>
      </c>
      <c r="K8598">
        <v>88</v>
      </c>
      <c r="L8598">
        <v>98</v>
      </c>
      <c r="M8598">
        <v>631.20001220999995</v>
      </c>
      <c r="N8598" t="s">
        <v>87</v>
      </c>
      <c r="O8598" t="s">
        <v>86</v>
      </c>
      <c r="P8598">
        <v>131</v>
      </c>
      <c r="Q8598">
        <v>6</v>
      </c>
      <c r="R8598">
        <v>51</v>
      </c>
      <c r="S8598">
        <v>1422</v>
      </c>
      <c r="T8598">
        <v>-40</v>
      </c>
      <c r="U8598">
        <v>46</v>
      </c>
      <c r="V8598">
        <v>340</v>
      </c>
      <c r="W8598">
        <v>28</v>
      </c>
      <c r="X8598">
        <v>28</v>
      </c>
      <c r="Y8598">
        <v>1</v>
      </c>
      <c r="Z8598">
        <v>8</v>
      </c>
      <c r="AA8598">
        <v>25</v>
      </c>
      <c r="AB8598">
        <v>2</v>
      </c>
      <c r="AC8598">
        <v>1</v>
      </c>
      <c r="AD8598">
        <v>3.2959999999999998</v>
      </c>
      <c r="AE8598">
        <v>1</v>
      </c>
      <c r="AF8598">
        <v>41</v>
      </c>
      <c r="AG8598">
        <v>3.28800011</v>
      </c>
      <c r="AH8598">
        <v>7</v>
      </c>
      <c r="AI8598">
        <v>1</v>
      </c>
      <c r="AJ8598">
        <v>1</v>
      </c>
      <c r="AK8598">
        <v>28</v>
      </c>
      <c r="AL8598">
        <v>40</v>
      </c>
      <c r="AM8598" t="s">
        <v>43</v>
      </c>
      <c r="AN8598" t="s">
        <v>43</v>
      </c>
    </row>
    <row r="8599" spans="1:40" x14ac:dyDescent="0.3">
      <c r="A8599" s="1">
        <v>46210.004050925927</v>
      </c>
      <c r="B8599" t="s">
        <v>40</v>
      </c>
      <c r="C8599" t="s">
        <v>41</v>
      </c>
      <c r="D8599" s="1">
        <v>46210.007048611114</v>
      </c>
      <c r="E8599" t="s">
        <v>42</v>
      </c>
      <c r="F8599" t="s">
        <v>83</v>
      </c>
      <c r="G8599">
        <v>49</v>
      </c>
      <c r="H8599">
        <v>32981</v>
      </c>
      <c r="I8599" t="s">
        <v>4797</v>
      </c>
      <c r="J8599">
        <v>93</v>
      </c>
      <c r="K8599">
        <v>124</v>
      </c>
      <c r="L8599">
        <v>98</v>
      </c>
      <c r="M8599">
        <v>630.59997558999999</v>
      </c>
      <c r="N8599" t="s">
        <v>87</v>
      </c>
      <c r="O8599" t="s">
        <v>86</v>
      </c>
      <c r="P8599">
        <v>131</v>
      </c>
      <c r="Q8599">
        <v>6</v>
      </c>
      <c r="R8599">
        <v>71</v>
      </c>
      <c r="S8599">
        <v>1422</v>
      </c>
      <c r="T8599">
        <v>-40</v>
      </c>
      <c r="U8599">
        <v>45</v>
      </c>
      <c r="V8599">
        <v>480</v>
      </c>
      <c r="W8599">
        <v>28</v>
      </c>
      <c r="X8599">
        <v>28</v>
      </c>
      <c r="Y8599">
        <v>1</v>
      </c>
      <c r="Z8599">
        <v>8</v>
      </c>
      <c r="AA8599">
        <v>25</v>
      </c>
      <c r="AB8599">
        <v>2</v>
      </c>
      <c r="AC8599">
        <v>1</v>
      </c>
      <c r="AD8599">
        <v>3.2909998900000001</v>
      </c>
      <c r="AE8599">
        <v>1</v>
      </c>
      <c r="AF8599">
        <v>42</v>
      </c>
      <c r="AG8599">
        <v>3.2809998999999999</v>
      </c>
      <c r="AH8599">
        <v>4</v>
      </c>
      <c r="AI8599">
        <v>17</v>
      </c>
      <c r="AJ8599">
        <v>1</v>
      </c>
      <c r="AK8599">
        <v>27</v>
      </c>
      <c r="AL8599">
        <v>40</v>
      </c>
      <c r="AM8599" t="s">
        <v>43</v>
      </c>
      <c r="AN8599" t="str">
        <f>HYPERLINK("https://www.google.com/maps?q=10.88518906,79.0959549","Open Location")</f>
        <v>Open Location</v>
      </c>
    </row>
    <row r="8600" spans="1:40" x14ac:dyDescent="0.3">
      <c r="A8600" s="1">
        <v>46210.003935185188</v>
      </c>
      <c r="B8600" t="s">
        <v>40</v>
      </c>
      <c r="C8600" t="s">
        <v>41</v>
      </c>
      <c r="D8600" s="1">
        <v>46210.006932870368</v>
      </c>
      <c r="E8600" t="s">
        <v>42</v>
      </c>
      <c r="F8600" t="s">
        <v>83</v>
      </c>
      <c r="G8600">
        <v>49</v>
      </c>
      <c r="H8600" t="s">
        <v>43</v>
      </c>
      <c r="I8600" t="s">
        <v>4798</v>
      </c>
      <c r="J8600">
        <v>93</v>
      </c>
      <c r="K8600">
        <v>50</v>
      </c>
      <c r="L8600">
        <v>98</v>
      </c>
      <c r="M8600">
        <v>633.70001220999995</v>
      </c>
      <c r="N8600" t="s">
        <v>87</v>
      </c>
      <c r="O8600" t="s">
        <v>86</v>
      </c>
      <c r="P8600">
        <v>131</v>
      </c>
      <c r="Q8600">
        <v>6</v>
      </c>
      <c r="R8600">
        <v>49</v>
      </c>
      <c r="S8600">
        <v>1354</v>
      </c>
      <c r="T8600">
        <v>-40</v>
      </c>
      <c r="U8600">
        <v>45</v>
      </c>
      <c r="V8600">
        <v>200</v>
      </c>
      <c r="W8600">
        <v>28</v>
      </c>
      <c r="X8600">
        <v>28</v>
      </c>
      <c r="Y8600">
        <v>1</v>
      </c>
      <c r="Z8600">
        <v>8</v>
      </c>
      <c r="AA8600">
        <v>25</v>
      </c>
      <c r="AB8600">
        <v>2</v>
      </c>
      <c r="AC8600">
        <v>1</v>
      </c>
      <c r="AD8600">
        <v>3.3020000500000002</v>
      </c>
      <c r="AE8600">
        <v>1</v>
      </c>
      <c r="AF8600">
        <v>44</v>
      </c>
      <c r="AG8600">
        <v>3.2950000799999999</v>
      </c>
      <c r="AH8600">
        <v>4</v>
      </c>
      <c r="AI8600">
        <v>17</v>
      </c>
      <c r="AJ8600">
        <v>1</v>
      </c>
      <c r="AK8600">
        <v>27</v>
      </c>
      <c r="AL8600">
        <v>40</v>
      </c>
      <c r="AM8600" t="s">
        <v>43</v>
      </c>
      <c r="AN8600" t="str">
        <f>HYPERLINK("https://www.google.com/maps?q=10.88672543,79.09651947","Open Location")</f>
        <v>Open Location</v>
      </c>
    </row>
    <row r="8601" spans="1:40" x14ac:dyDescent="0.3">
      <c r="A8601" s="1">
        <v>46210.003819444442</v>
      </c>
      <c r="B8601" t="s">
        <v>40</v>
      </c>
      <c r="C8601" t="s">
        <v>41</v>
      </c>
      <c r="D8601" s="1">
        <v>46210.006539351853</v>
      </c>
      <c r="E8601" t="s">
        <v>42</v>
      </c>
      <c r="F8601" t="s">
        <v>83</v>
      </c>
      <c r="G8601">
        <v>48</v>
      </c>
      <c r="H8601">
        <v>32981</v>
      </c>
      <c r="I8601" t="s">
        <v>4799</v>
      </c>
      <c r="J8601">
        <v>93</v>
      </c>
      <c r="K8601">
        <v>99</v>
      </c>
      <c r="L8601">
        <v>98</v>
      </c>
      <c r="M8601">
        <v>631.29998779000005</v>
      </c>
      <c r="N8601" t="s">
        <v>87</v>
      </c>
      <c r="O8601" t="s">
        <v>86</v>
      </c>
      <c r="P8601">
        <v>131</v>
      </c>
      <c r="Q8601">
        <v>6</v>
      </c>
      <c r="R8601">
        <v>55</v>
      </c>
      <c r="S8601">
        <v>1351</v>
      </c>
      <c r="T8601">
        <v>-40</v>
      </c>
      <c r="U8601">
        <v>45</v>
      </c>
      <c r="V8601">
        <v>400</v>
      </c>
      <c r="W8601">
        <v>28</v>
      </c>
      <c r="X8601">
        <v>28</v>
      </c>
      <c r="Y8601">
        <v>1</v>
      </c>
      <c r="Z8601">
        <v>8</v>
      </c>
      <c r="AA8601">
        <v>25</v>
      </c>
      <c r="AB8601">
        <v>2</v>
      </c>
      <c r="AC8601">
        <v>1</v>
      </c>
      <c r="AD8601">
        <v>3.2959999999999998</v>
      </c>
      <c r="AE8601">
        <v>1</v>
      </c>
      <c r="AF8601">
        <v>44</v>
      </c>
      <c r="AG8601">
        <v>3.2869999399999998</v>
      </c>
      <c r="AH8601">
        <v>4</v>
      </c>
      <c r="AI8601">
        <v>17</v>
      </c>
      <c r="AJ8601">
        <v>1</v>
      </c>
      <c r="AK8601">
        <v>28</v>
      </c>
      <c r="AL8601">
        <v>40</v>
      </c>
      <c r="AM8601" t="s">
        <v>43</v>
      </c>
      <c r="AN8601" t="str">
        <f>HYPERLINK("https://www.google.com/maps?q=10.88802147,79.09725952","Open Location")</f>
        <v>Open Location</v>
      </c>
    </row>
    <row r="8602" spans="1:40" x14ac:dyDescent="0.3">
      <c r="A8602" s="1">
        <v>46210.003703703704</v>
      </c>
      <c r="B8602" t="s">
        <v>40</v>
      </c>
      <c r="C8602" t="s">
        <v>41</v>
      </c>
      <c r="D8602" s="1">
        <v>46210.006469907406</v>
      </c>
      <c r="E8602" t="s">
        <v>42</v>
      </c>
      <c r="F8602" t="s">
        <v>83</v>
      </c>
      <c r="G8602">
        <v>46</v>
      </c>
      <c r="H8602">
        <v>32981</v>
      </c>
      <c r="I8602" t="s">
        <v>4800</v>
      </c>
      <c r="J8602">
        <v>93</v>
      </c>
      <c r="K8602">
        <v>90</v>
      </c>
      <c r="L8602">
        <v>98</v>
      </c>
      <c r="M8602">
        <v>632.40002441000001</v>
      </c>
      <c r="N8602" t="s">
        <v>87</v>
      </c>
      <c r="O8602" t="s">
        <v>86</v>
      </c>
      <c r="P8602">
        <v>131</v>
      </c>
      <c r="Q8602">
        <v>6</v>
      </c>
      <c r="R8602">
        <v>32</v>
      </c>
      <c r="S8602">
        <v>1299</v>
      </c>
      <c r="T8602">
        <v>-40</v>
      </c>
      <c r="U8602">
        <v>45</v>
      </c>
      <c r="V8602">
        <v>380</v>
      </c>
      <c r="W8602">
        <v>28</v>
      </c>
      <c r="X8602">
        <v>28</v>
      </c>
      <c r="Y8602">
        <v>1</v>
      </c>
      <c r="Z8602">
        <v>8</v>
      </c>
      <c r="AA8602">
        <v>25</v>
      </c>
      <c r="AB8602">
        <v>2</v>
      </c>
      <c r="AC8602">
        <v>1</v>
      </c>
      <c r="AD8602">
        <v>3.2990000199999998</v>
      </c>
      <c r="AE8602">
        <v>1</v>
      </c>
      <c r="AF8602">
        <v>44</v>
      </c>
      <c r="AG8602">
        <v>3.2909998900000001</v>
      </c>
      <c r="AH8602">
        <v>4</v>
      </c>
      <c r="AI8602">
        <v>17</v>
      </c>
      <c r="AJ8602">
        <v>1</v>
      </c>
      <c r="AK8602">
        <v>27</v>
      </c>
      <c r="AL8602">
        <v>40</v>
      </c>
      <c r="AM8602" t="s">
        <v>43</v>
      </c>
      <c r="AN8602" t="str">
        <f>HYPERLINK("https://www.google.com/maps?q=10.88913345,79.09816742","Open Location")</f>
        <v>Open Location</v>
      </c>
    </row>
    <row r="8603" spans="1:40" x14ac:dyDescent="0.3">
      <c r="A8603" s="1">
        <v>46210.003587962965</v>
      </c>
      <c r="B8603" t="s">
        <v>40</v>
      </c>
      <c r="C8603" t="s">
        <v>41</v>
      </c>
      <c r="D8603" s="1">
        <v>46210.006261574075</v>
      </c>
      <c r="E8603" t="s">
        <v>42</v>
      </c>
      <c r="F8603" t="s">
        <v>83</v>
      </c>
      <c r="G8603">
        <v>44</v>
      </c>
      <c r="H8603">
        <v>32981</v>
      </c>
      <c r="I8603" t="s">
        <v>4801</v>
      </c>
      <c r="J8603">
        <v>93</v>
      </c>
      <c r="K8603">
        <v>84</v>
      </c>
      <c r="L8603">
        <v>98</v>
      </c>
      <c r="M8603">
        <v>632.70001220999995</v>
      </c>
      <c r="N8603" t="s">
        <v>87</v>
      </c>
      <c r="O8603" t="s">
        <v>86</v>
      </c>
      <c r="P8603">
        <v>131</v>
      </c>
      <c r="Q8603">
        <v>6</v>
      </c>
      <c r="R8603">
        <v>54</v>
      </c>
      <c r="S8603">
        <v>1260</v>
      </c>
      <c r="T8603">
        <v>-40</v>
      </c>
      <c r="U8603">
        <v>46</v>
      </c>
      <c r="V8603">
        <v>360</v>
      </c>
      <c r="W8603">
        <v>28</v>
      </c>
      <c r="X8603">
        <v>28</v>
      </c>
      <c r="Y8603">
        <v>1</v>
      </c>
      <c r="Z8603">
        <v>8</v>
      </c>
      <c r="AA8603">
        <v>25</v>
      </c>
      <c r="AB8603">
        <v>2</v>
      </c>
      <c r="AC8603">
        <v>1</v>
      </c>
      <c r="AD8603">
        <v>3.2980000999999999</v>
      </c>
      <c r="AE8603">
        <v>1</v>
      </c>
      <c r="AF8603">
        <v>38</v>
      </c>
      <c r="AG8603">
        <v>3.2899999599999998</v>
      </c>
      <c r="AH8603">
        <v>4</v>
      </c>
      <c r="AI8603">
        <v>17</v>
      </c>
      <c r="AJ8603">
        <v>1</v>
      </c>
      <c r="AK8603">
        <v>27</v>
      </c>
      <c r="AL8603">
        <v>40</v>
      </c>
      <c r="AM8603" t="s">
        <v>43</v>
      </c>
      <c r="AN8603" t="str">
        <f>HYPERLINK("https://www.google.com/maps?q=10.89010334,79.09914398","Open Location")</f>
        <v>Open Location</v>
      </c>
    </row>
    <row r="8604" spans="1:40" x14ac:dyDescent="0.3">
      <c r="A8604" s="1">
        <v>46210.003472222219</v>
      </c>
      <c r="B8604" t="s">
        <v>40</v>
      </c>
      <c r="C8604" t="s">
        <v>41</v>
      </c>
      <c r="D8604" s="1">
        <v>46210.006319444445</v>
      </c>
      <c r="E8604" t="s">
        <v>42</v>
      </c>
      <c r="F8604" t="s">
        <v>83</v>
      </c>
      <c r="G8604">
        <v>41</v>
      </c>
      <c r="H8604">
        <v>32981</v>
      </c>
      <c r="I8604" t="s">
        <v>43</v>
      </c>
      <c r="J8604">
        <v>93</v>
      </c>
      <c r="K8604">
        <v>105</v>
      </c>
      <c r="L8604">
        <v>98</v>
      </c>
      <c r="M8604">
        <v>632</v>
      </c>
      <c r="N8604" t="s">
        <v>87</v>
      </c>
      <c r="O8604" t="s">
        <v>86</v>
      </c>
      <c r="P8604">
        <v>131</v>
      </c>
      <c r="Q8604">
        <v>6</v>
      </c>
      <c r="R8604">
        <v>57</v>
      </c>
      <c r="S8604">
        <v>1197</v>
      </c>
      <c r="T8604">
        <v>-40</v>
      </c>
      <c r="U8604">
        <v>45</v>
      </c>
      <c r="V8604">
        <v>480</v>
      </c>
      <c r="W8604">
        <v>28</v>
      </c>
      <c r="X8604">
        <v>28</v>
      </c>
      <c r="Y8604">
        <v>1</v>
      </c>
      <c r="Z8604">
        <v>8</v>
      </c>
      <c r="AA8604">
        <v>25</v>
      </c>
      <c r="AB8604">
        <v>2</v>
      </c>
      <c r="AC8604">
        <v>1</v>
      </c>
      <c r="AD8604">
        <v>3.2990000199999998</v>
      </c>
      <c r="AE8604">
        <v>1</v>
      </c>
      <c r="AF8604">
        <v>44</v>
      </c>
      <c r="AG8604">
        <v>3.2899999599999998</v>
      </c>
      <c r="AH8604">
        <v>4</v>
      </c>
      <c r="AI8604">
        <v>17</v>
      </c>
      <c r="AJ8604">
        <v>1</v>
      </c>
      <c r="AK8604">
        <v>27</v>
      </c>
      <c r="AL8604">
        <v>40</v>
      </c>
      <c r="AM8604" t="s">
        <v>43</v>
      </c>
      <c r="AN8604" t="s">
        <v>43</v>
      </c>
    </row>
    <row r="8605" spans="1:40" x14ac:dyDescent="0.3">
      <c r="A8605" s="1">
        <v>46210.00335648148</v>
      </c>
      <c r="B8605" t="s">
        <v>40</v>
      </c>
      <c r="C8605" t="s">
        <v>41</v>
      </c>
      <c r="D8605" s="1">
        <v>46210.006261574075</v>
      </c>
      <c r="E8605" t="s">
        <v>42</v>
      </c>
      <c r="F8605" t="s">
        <v>83</v>
      </c>
      <c r="G8605">
        <v>38</v>
      </c>
      <c r="H8605">
        <v>32981</v>
      </c>
      <c r="I8605" t="s">
        <v>4802</v>
      </c>
      <c r="J8605">
        <v>93</v>
      </c>
      <c r="K8605">
        <v>49</v>
      </c>
      <c r="L8605">
        <v>98</v>
      </c>
      <c r="M8605">
        <v>633.90002441000001</v>
      </c>
      <c r="N8605" t="s">
        <v>87</v>
      </c>
      <c r="O8605" t="s">
        <v>86</v>
      </c>
      <c r="P8605">
        <v>130</v>
      </c>
      <c r="Q8605">
        <v>5</v>
      </c>
      <c r="R8605">
        <v>55</v>
      </c>
      <c r="S8605">
        <v>1087</v>
      </c>
      <c r="T8605">
        <v>-40</v>
      </c>
      <c r="U8605">
        <v>45</v>
      </c>
      <c r="V8605">
        <v>320</v>
      </c>
      <c r="W8605">
        <v>28</v>
      </c>
      <c r="X8605">
        <v>28</v>
      </c>
      <c r="Y8605">
        <v>1</v>
      </c>
      <c r="Z8605">
        <v>8</v>
      </c>
      <c r="AA8605">
        <v>25</v>
      </c>
      <c r="AB8605">
        <v>2</v>
      </c>
      <c r="AC8605">
        <v>1</v>
      </c>
      <c r="AD8605">
        <v>3.2999999500000001</v>
      </c>
      <c r="AE8605">
        <v>1</v>
      </c>
      <c r="AF8605">
        <v>44</v>
      </c>
      <c r="AG8605">
        <v>3.2909998900000001</v>
      </c>
      <c r="AH8605">
        <v>4</v>
      </c>
      <c r="AI8605">
        <v>17</v>
      </c>
      <c r="AJ8605">
        <v>1</v>
      </c>
      <c r="AK8605">
        <v>28</v>
      </c>
      <c r="AL8605">
        <v>40</v>
      </c>
      <c r="AM8605" t="s">
        <v>43</v>
      </c>
      <c r="AN8605" t="str">
        <f>HYPERLINK("https://www.google.com/maps?q=10.89095688,79.10009766","Open Location")</f>
        <v>Open Location</v>
      </c>
    </row>
    <row r="8606" spans="1:40" x14ac:dyDescent="0.3">
      <c r="A8606" s="1">
        <v>46210.003240740742</v>
      </c>
      <c r="B8606" t="s">
        <v>40</v>
      </c>
      <c r="C8606" t="s">
        <v>41</v>
      </c>
      <c r="D8606" s="1">
        <v>46210.006076388891</v>
      </c>
      <c r="E8606" t="s">
        <v>42</v>
      </c>
      <c r="F8606" t="s">
        <v>83</v>
      </c>
      <c r="G8606">
        <v>35</v>
      </c>
      <c r="H8606" t="s">
        <v>43</v>
      </c>
      <c r="I8606" t="s">
        <v>4803</v>
      </c>
      <c r="J8606">
        <v>93</v>
      </c>
      <c r="K8606">
        <v>84</v>
      </c>
      <c r="L8606">
        <v>98</v>
      </c>
      <c r="M8606">
        <v>633.40002441000001</v>
      </c>
      <c r="N8606" t="s">
        <v>87</v>
      </c>
      <c r="O8606" t="s">
        <v>86</v>
      </c>
      <c r="P8606">
        <v>130</v>
      </c>
      <c r="Q8606">
        <v>5</v>
      </c>
      <c r="R8606">
        <v>49</v>
      </c>
      <c r="S8606">
        <v>1681</v>
      </c>
      <c r="T8606">
        <v>-40</v>
      </c>
      <c r="U8606">
        <v>45</v>
      </c>
      <c r="V8606">
        <v>280</v>
      </c>
      <c r="W8606">
        <v>28</v>
      </c>
      <c r="X8606">
        <v>28</v>
      </c>
      <c r="Y8606">
        <v>1</v>
      </c>
      <c r="Z8606">
        <v>8</v>
      </c>
      <c r="AA8606">
        <v>25</v>
      </c>
      <c r="AB8606">
        <v>2</v>
      </c>
      <c r="AC8606">
        <v>1</v>
      </c>
      <c r="AD8606">
        <v>3.3029999700000001</v>
      </c>
      <c r="AE8606">
        <v>1</v>
      </c>
      <c r="AF8606">
        <v>39</v>
      </c>
      <c r="AG8606">
        <v>3.2959999999999998</v>
      </c>
      <c r="AH8606">
        <v>4</v>
      </c>
      <c r="AI8606">
        <v>17</v>
      </c>
      <c r="AJ8606">
        <v>1</v>
      </c>
      <c r="AK8606">
        <v>27</v>
      </c>
      <c r="AL8606">
        <v>40</v>
      </c>
      <c r="AM8606" t="s">
        <v>43</v>
      </c>
      <c r="AN8606" t="str">
        <f>HYPERLINK("https://www.google.com/maps?q=10.8917284,79.10099792","Open Location")</f>
        <v>Open Location</v>
      </c>
    </row>
    <row r="8607" spans="1:40" x14ac:dyDescent="0.3">
      <c r="A8607" s="1">
        <v>46210.003125000003</v>
      </c>
      <c r="B8607" t="s">
        <v>40</v>
      </c>
      <c r="C8607" t="s">
        <v>41</v>
      </c>
      <c r="D8607" s="1">
        <v>46210.00576388889</v>
      </c>
      <c r="E8607" t="s">
        <v>42</v>
      </c>
      <c r="F8607" t="s">
        <v>83</v>
      </c>
      <c r="G8607">
        <v>30</v>
      </c>
      <c r="H8607">
        <v>32980</v>
      </c>
      <c r="I8607" t="s">
        <v>4804</v>
      </c>
      <c r="J8607">
        <v>93</v>
      </c>
      <c r="K8607">
        <v>80</v>
      </c>
      <c r="L8607">
        <v>98</v>
      </c>
      <c r="M8607">
        <v>633.59997558999999</v>
      </c>
      <c r="N8607" t="s">
        <v>87</v>
      </c>
      <c r="O8607" t="s">
        <v>86</v>
      </c>
      <c r="P8607">
        <v>130</v>
      </c>
      <c r="Q8607">
        <v>5</v>
      </c>
      <c r="R8607">
        <v>53</v>
      </c>
      <c r="S8607">
        <v>1489</v>
      </c>
      <c r="T8607">
        <v>-40</v>
      </c>
      <c r="U8607">
        <v>45</v>
      </c>
      <c r="V8607">
        <v>300</v>
      </c>
      <c r="W8607">
        <v>28</v>
      </c>
      <c r="X8607">
        <v>28</v>
      </c>
      <c r="Y8607">
        <v>1</v>
      </c>
      <c r="Z8607">
        <v>8</v>
      </c>
      <c r="AA8607">
        <v>25</v>
      </c>
      <c r="AB8607">
        <v>2</v>
      </c>
      <c r="AC8607">
        <v>1</v>
      </c>
      <c r="AD8607">
        <v>3.3029999700000001</v>
      </c>
      <c r="AE8607">
        <v>1</v>
      </c>
      <c r="AF8607">
        <v>41</v>
      </c>
      <c r="AG8607">
        <v>3.2950000799999999</v>
      </c>
      <c r="AH8607">
        <v>4</v>
      </c>
      <c r="AI8607">
        <v>17</v>
      </c>
      <c r="AJ8607">
        <v>1</v>
      </c>
      <c r="AK8607">
        <v>28</v>
      </c>
      <c r="AL8607">
        <v>40</v>
      </c>
      <c r="AM8607" t="s">
        <v>43</v>
      </c>
      <c r="AN8607" t="str">
        <f>HYPERLINK("https://www.google.com/maps?q=10.89240742,79.10178375","Open Location")</f>
        <v>Open Location</v>
      </c>
    </row>
    <row r="8608" spans="1:40" x14ac:dyDescent="0.3">
      <c r="A8608" s="1">
        <v>46210.003009259257</v>
      </c>
      <c r="B8608" t="s">
        <v>40</v>
      </c>
      <c r="C8608" t="s">
        <v>41</v>
      </c>
      <c r="D8608" s="1">
        <v>46210.005844907406</v>
      </c>
      <c r="E8608" t="s">
        <v>42</v>
      </c>
      <c r="F8608" t="s">
        <v>83</v>
      </c>
      <c r="G8608">
        <v>24</v>
      </c>
      <c r="H8608">
        <v>32980</v>
      </c>
      <c r="I8608" t="s">
        <v>4805</v>
      </c>
      <c r="J8608">
        <v>93</v>
      </c>
      <c r="K8608">
        <v>87</v>
      </c>
      <c r="L8608">
        <v>98</v>
      </c>
      <c r="M8608">
        <v>633.40002441000001</v>
      </c>
      <c r="N8608" t="s">
        <v>87</v>
      </c>
      <c r="O8608" t="s">
        <v>86</v>
      </c>
      <c r="P8608">
        <v>129</v>
      </c>
      <c r="Q8608">
        <v>5</v>
      </c>
      <c r="R8608">
        <v>55</v>
      </c>
      <c r="S8608">
        <v>1204</v>
      </c>
      <c r="T8608">
        <v>-40</v>
      </c>
      <c r="U8608">
        <v>45</v>
      </c>
      <c r="V8608">
        <v>380</v>
      </c>
      <c r="W8608">
        <v>28</v>
      </c>
      <c r="X8608">
        <v>28</v>
      </c>
      <c r="Y8608">
        <v>1</v>
      </c>
      <c r="Z8608">
        <v>8</v>
      </c>
      <c r="AA8608">
        <v>25</v>
      </c>
      <c r="AB8608">
        <v>2</v>
      </c>
      <c r="AC8608">
        <v>1</v>
      </c>
      <c r="AD8608">
        <v>3.30900002</v>
      </c>
      <c r="AE8608">
        <v>1</v>
      </c>
      <c r="AF8608">
        <v>38</v>
      </c>
      <c r="AG8608">
        <v>3.2999999500000001</v>
      </c>
      <c r="AH8608">
        <v>4</v>
      </c>
      <c r="AI8608">
        <v>17</v>
      </c>
      <c r="AJ8608">
        <v>1</v>
      </c>
      <c r="AK8608">
        <v>27</v>
      </c>
      <c r="AL8608">
        <v>40</v>
      </c>
      <c r="AM8608" t="s">
        <v>43</v>
      </c>
      <c r="AN8608" t="str">
        <f>HYPERLINK("https://www.google.com/maps?q=10.89295769,79.10241699","Open Location")</f>
        <v>Open Location</v>
      </c>
    </row>
    <row r="8609" spans="1:40" x14ac:dyDescent="0.3">
      <c r="A8609" s="1">
        <v>46210.002893518518</v>
      </c>
      <c r="B8609" t="s">
        <v>40</v>
      </c>
      <c r="C8609" t="s">
        <v>41</v>
      </c>
      <c r="D8609" s="1">
        <v>46210.006099537037</v>
      </c>
      <c r="E8609" t="s">
        <v>42</v>
      </c>
      <c r="F8609" t="s">
        <v>83</v>
      </c>
      <c r="G8609">
        <v>15</v>
      </c>
      <c r="H8609">
        <v>32980</v>
      </c>
      <c r="I8609" t="s">
        <v>4806</v>
      </c>
      <c r="J8609">
        <v>93</v>
      </c>
      <c r="K8609">
        <v>101</v>
      </c>
      <c r="L8609">
        <v>98</v>
      </c>
      <c r="M8609">
        <v>633.59997558999999</v>
      </c>
      <c r="N8609" t="s">
        <v>87</v>
      </c>
      <c r="O8609" t="s">
        <v>86</v>
      </c>
      <c r="P8609">
        <v>128</v>
      </c>
      <c r="Q8609">
        <v>4</v>
      </c>
      <c r="R8609">
        <v>2</v>
      </c>
      <c r="S8609">
        <v>1480</v>
      </c>
      <c r="T8609">
        <v>-40</v>
      </c>
      <c r="U8609">
        <v>44</v>
      </c>
      <c r="V8609">
        <v>350</v>
      </c>
      <c r="W8609">
        <v>28</v>
      </c>
      <c r="X8609">
        <v>28</v>
      </c>
      <c r="Y8609">
        <v>1</v>
      </c>
      <c r="Z8609">
        <v>8</v>
      </c>
      <c r="AA8609">
        <v>25</v>
      </c>
      <c r="AB8609">
        <v>2</v>
      </c>
      <c r="AC8609">
        <v>1</v>
      </c>
      <c r="AD8609">
        <v>3.31299996</v>
      </c>
      <c r="AE8609">
        <v>1</v>
      </c>
      <c r="AF8609">
        <v>44</v>
      </c>
      <c r="AG8609">
        <v>3.3039999</v>
      </c>
      <c r="AH8609">
        <v>4</v>
      </c>
      <c r="AI8609">
        <v>17</v>
      </c>
      <c r="AJ8609">
        <v>1</v>
      </c>
      <c r="AK8609">
        <v>28</v>
      </c>
      <c r="AL8609">
        <v>40</v>
      </c>
      <c r="AM8609" t="s">
        <v>43</v>
      </c>
      <c r="AN8609" t="str">
        <f>HYPERLINK("https://www.google.com/maps?q=10.89335632,79.10286713","Open Location")</f>
        <v>Open Location</v>
      </c>
    </row>
    <row r="8610" spans="1:40" x14ac:dyDescent="0.3">
      <c r="A8610" s="1">
        <v>46210.00277777778</v>
      </c>
      <c r="B8610" t="s">
        <v>40</v>
      </c>
      <c r="C8610" t="s">
        <v>41</v>
      </c>
      <c r="D8610" s="1">
        <v>46210.005671296298</v>
      </c>
      <c r="E8610" t="s">
        <v>42</v>
      </c>
      <c r="F8610" t="s">
        <v>83</v>
      </c>
      <c r="G8610">
        <v>2</v>
      </c>
      <c r="H8610">
        <v>32980</v>
      </c>
      <c r="I8610" t="s">
        <v>43</v>
      </c>
      <c r="J8610">
        <v>93</v>
      </c>
      <c r="K8610">
        <v>34</v>
      </c>
      <c r="L8610">
        <v>98</v>
      </c>
      <c r="M8610">
        <v>635.79998779000005</v>
      </c>
      <c r="N8610" t="s">
        <v>87</v>
      </c>
      <c r="O8610" t="s">
        <v>86</v>
      </c>
      <c r="P8610">
        <v>127</v>
      </c>
      <c r="Q8610">
        <v>2</v>
      </c>
      <c r="R8610">
        <v>12</v>
      </c>
      <c r="S8610">
        <v>1204</v>
      </c>
      <c r="T8610">
        <v>-40</v>
      </c>
      <c r="U8610">
        <v>43</v>
      </c>
      <c r="V8610">
        <v>129</v>
      </c>
      <c r="W8610">
        <v>28</v>
      </c>
      <c r="X8610">
        <v>28</v>
      </c>
      <c r="Y8610">
        <v>1</v>
      </c>
      <c r="Z8610">
        <v>8</v>
      </c>
      <c r="AA8610">
        <v>25</v>
      </c>
      <c r="AB8610">
        <v>2</v>
      </c>
      <c r="AC8610">
        <v>1</v>
      </c>
      <c r="AD8610">
        <v>3.31599998</v>
      </c>
      <c r="AE8610">
        <v>1</v>
      </c>
      <c r="AF8610">
        <v>44</v>
      </c>
      <c r="AG8610">
        <v>3.3080000900000002</v>
      </c>
      <c r="AH8610">
        <v>4</v>
      </c>
      <c r="AI8610">
        <v>17</v>
      </c>
      <c r="AJ8610">
        <v>1</v>
      </c>
      <c r="AK8610">
        <v>27</v>
      </c>
      <c r="AL8610">
        <v>40</v>
      </c>
      <c r="AM8610" t="s">
        <v>43</v>
      </c>
      <c r="AN8610" t="s">
        <v>43</v>
      </c>
    </row>
    <row r="8611" spans="1:40" x14ac:dyDescent="0.3">
      <c r="A8611" s="1">
        <v>46210.002662037034</v>
      </c>
      <c r="B8611" t="s">
        <v>40</v>
      </c>
      <c r="C8611" t="s">
        <v>41</v>
      </c>
      <c r="D8611" s="1">
        <v>46210.005497685182</v>
      </c>
      <c r="E8611" t="s">
        <v>42</v>
      </c>
      <c r="F8611" t="s">
        <v>83</v>
      </c>
      <c r="G8611">
        <v>0</v>
      </c>
      <c r="H8611">
        <v>32980</v>
      </c>
      <c r="I8611" t="s">
        <v>4807</v>
      </c>
      <c r="J8611">
        <v>93</v>
      </c>
      <c r="K8611">
        <v>4</v>
      </c>
      <c r="L8611">
        <v>98</v>
      </c>
      <c r="M8611">
        <v>638.40002441000001</v>
      </c>
      <c r="N8611" t="s">
        <v>85</v>
      </c>
      <c r="O8611" t="s">
        <v>86</v>
      </c>
      <c r="P8611">
        <v>125</v>
      </c>
      <c r="Q8611" t="s">
        <v>82</v>
      </c>
      <c r="R8611">
        <v>0</v>
      </c>
      <c r="S8611">
        <v>0</v>
      </c>
      <c r="T8611">
        <v>-40</v>
      </c>
      <c r="U8611">
        <v>43</v>
      </c>
      <c r="V8611">
        <v>0</v>
      </c>
      <c r="W8611">
        <v>29</v>
      </c>
      <c r="X8611">
        <v>29</v>
      </c>
      <c r="Y8611">
        <v>1</v>
      </c>
      <c r="Z8611">
        <v>8</v>
      </c>
      <c r="AA8611">
        <v>25</v>
      </c>
      <c r="AB8611">
        <v>2</v>
      </c>
      <c r="AC8611">
        <v>3</v>
      </c>
      <c r="AD8611">
        <v>3.3269999000000001</v>
      </c>
      <c r="AE8611">
        <v>1</v>
      </c>
      <c r="AF8611">
        <v>44</v>
      </c>
      <c r="AG8611">
        <v>3.3239998800000001</v>
      </c>
      <c r="AH8611">
        <v>2</v>
      </c>
      <c r="AI8611">
        <v>27</v>
      </c>
      <c r="AJ8611">
        <v>1</v>
      </c>
      <c r="AK8611">
        <v>20</v>
      </c>
      <c r="AL8611">
        <v>40</v>
      </c>
      <c r="AM8611" t="s">
        <v>43</v>
      </c>
      <c r="AN8611" t="str">
        <f>HYPERLINK("https://www.google.com/maps?q=10.8934412,79.10299683","Open Location")</f>
        <v>Open Location</v>
      </c>
    </row>
    <row r="8612" spans="1:40" x14ac:dyDescent="0.3">
      <c r="A8612" s="1">
        <v>46210.002546296295</v>
      </c>
      <c r="B8612" t="s">
        <v>40</v>
      </c>
      <c r="C8612" t="s">
        <v>41</v>
      </c>
      <c r="D8612" s="1">
        <v>46210.005231481482</v>
      </c>
      <c r="E8612" t="s">
        <v>42</v>
      </c>
      <c r="F8612" t="s">
        <v>83</v>
      </c>
      <c r="G8612">
        <v>0</v>
      </c>
      <c r="H8612">
        <v>32980</v>
      </c>
      <c r="I8612" t="s">
        <v>4808</v>
      </c>
      <c r="J8612">
        <v>93</v>
      </c>
      <c r="K8612">
        <v>4</v>
      </c>
      <c r="L8612">
        <v>98</v>
      </c>
      <c r="M8612">
        <v>638.29998779000005</v>
      </c>
      <c r="N8612" t="s">
        <v>85</v>
      </c>
      <c r="O8612" t="s">
        <v>82</v>
      </c>
      <c r="P8612">
        <v>125</v>
      </c>
      <c r="Q8612" t="s">
        <v>82</v>
      </c>
      <c r="R8612">
        <v>0</v>
      </c>
      <c r="S8612">
        <v>0</v>
      </c>
      <c r="T8612">
        <v>-40</v>
      </c>
      <c r="U8612">
        <v>43</v>
      </c>
      <c r="V8612">
        <v>0</v>
      </c>
      <c r="W8612">
        <v>29</v>
      </c>
      <c r="X8612">
        <v>29</v>
      </c>
      <c r="Y8612">
        <v>1</v>
      </c>
      <c r="Z8612">
        <v>8</v>
      </c>
      <c r="AA8612">
        <v>25</v>
      </c>
      <c r="AB8612">
        <v>2</v>
      </c>
      <c r="AC8612">
        <v>3</v>
      </c>
      <c r="AD8612">
        <v>3.3269999000000001</v>
      </c>
      <c r="AE8612">
        <v>1</v>
      </c>
      <c r="AF8612">
        <v>44</v>
      </c>
      <c r="AG8612">
        <v>3.3239998800000001</v>
      </c>
      <c r="AH8612">
        <v>2</v>
      </c>
      <c r="AI8612">
        <v>27</v>
      </c>
      <c r="AJ8612">
        <v>1</v>
      </c>
      <c r="AK8612">
        <v>20</v>
      </c>
      <c r="AL8612">
        <v>40</v>
      </c>
      <c r="AM8612" t="s">
        <v>43</v>
      </c>
      <c r="AN8612" t="str">
        <f>HYPERLINK("https://www.google.com/maps?q=10.89344501,79.1029892","Open Location")</f>
        <v>Open Location</v>
      </c>
    </row>
    <row r="8613" spans="1:40" x14ac:dyDescent="0.3">
      <c r="A8613" s="1">
        <v>46210.002430555556</v>
      </c>
      <c r="B8613" t="s">
        <v>40</v>
      </c>
      <c r="C8613" t="s">
        <v>41</v>
      </c>
      <c r="D8613" s="1">
        <v>46210.005266203705</v>
      </c>
      <c r="E8613" t="s">
        <v>42</v>
      </c>
      <c r="F8613" t="s">
        <v>83</v>
      </c>
      <c r="G8613">
        <v>0</v>
      </c>
      <c r="H8613">
        <v>32980</v>
      </c>
      <c r="I8613" t="s">
        <v>4809</v>
      </c>
      <c r="J8613">
        <v>93</v>
      </c>
      <c r="K8613">
        <v>4</v>
      </c>
      <c r="L8613">
        <v>98</v>
      </c>
      <c r="M8613">
        <v>637.70001220999995</v>
      </c>
      <c r="N8613" t="s">
        <v>85</v>
      </c>
      <c r="O8613" t="s">
        <v>82</v>
      </c>
      <c r="P8613">
        <v>125</v>
      </c>
      <c r="Q8613" t="s">
        <v>82</v>
      </c>
      <c r="R8613">
        <v>0</v>
      </c>
      <c r="S8613">
        <v>0</v>
      </c>
      <c r="T8613">
        <v>-40</v>
      </c>
      <c r="U8613">
        <v>43</v>
      </c>
      <c r="V8613">
        <v>0</v>
      </c>
      <c r="W8613">
        <v>29</v>
      </c>
      <c r="X8613">
        <v>29</v>
      </c>
      <c r="Y8613">
        <v>1</v>
      </c>
      <c r="Z8613">
        <v>8</v>
      </c>
      <c r="AA8613">
        <v>25</v>
      </c>
      <c r="AB8613">
        <v>2</v>
      </c>
      <c r="AC8613">
        <v>3</v>
      </c>
      <c r="AD8613">
        <v>3.3269999000000001</v>
      </c>
      <c r="AE8613">
        <v>1</v>
      </c>
      <c r="AF8613">
        <v>44</v>
      </c>
      <c r="AG8613">
        <v>3.3239998800000001</v>
      </c>
      <c r="AH8613">
        <v>2</v>
      </c>
      <c r="AI8613">
        <v>27</v>
      </c>
      <c r="AJ8613">
        <v>1</v>
      </c>
      <c r="AK8613">
        <v>21</v>
      </c>
      <c r="AL8613">
        <v>40</v>
      </c>
      <c r="AM8613" t="s">
        <v>43</v>
      </c>
      <c r="AN8613" t="str">
        <f>HYPERLINK("https://www.google.com/maps?q=10.89344406,79.10298157","Open Location")</f>
        <v>Open Location</v>
      </c>
    </row>
    <row r="8614" spans="1:40" x14ac:dyDescent="0.3">
      <c r="A8614" s="1">
        <v>46210.002314814818</v>
      </c>
      <c r="B8614" t="s">
        <v>40</v>
      </c>
      <c r="C8614" t="s">
        <v>41</v>
      </c>
      <c r="D8614" s="1">
        <v>46210.005231481482</v>
      </c>
      <c r="E8614" t="s">
        <v>42</v>
      </c>
      <c r="F8614" t="s">
        <v>83</v>
      </c>
      <c r="G8614">
        <v>0</v>
      </c>
      <c r="H8614">
        <v>32980</v>
      </c>
      <c r="I8614" t="s">
        <v>4810</v>
      </c>
      <c r="J8614">
        <v>93</v>
      </c>
      <c r="K8614">
        <v>4</v>
      </c>
      <c r="L8614">
        <v>98</v>
      </c>
      <c r="M8614">
        <v>638.29998779000005</v>
      </c>
      <c r="N8614" t="s">
        <v>85</v>
      </c>
      <c r="O8614" t="s">
        <v>82</v>
      </c>
      <c r="P8614">
        <v>125</v>
      </c>
      <c r="Q8614" t="s">
        <v>82</v>
      </c>
      <c r="R8614">
        <v>0</v>
      </c>
      <c r="S8614">
        <v>0</v>
      </c>
      <c r="T8614">
        <v>-40</v>
      </c>
      <c r="U8614">
        <v>43</v>
      </c>
      <c r="V8614">
        <v>0</v>
      </c>
      <c r="W8614">
        <v>29</v>
      </c>
      <c r="X8614">
        <v>29</v>
      </c>
      <c r="Y8614">
        <v>1</v>
      </c>
      <c r="Z8614">
        <v>8</v>
      </c>
      <c r="AA8614">
        <v>25</v>
      </c>
      <c r="AB8614">
        <v>2</v>
      </c>
      <c r="AC8614">
        <v>3</v>
      </c>
      <c r="AD8614">
        <v>3.3269999000000001</v>
      </c>
      <c r="AE8614">
        <v>1</v>
      </c>
      <c r="AF8614">
        <v>44</v>
      </c>
      <c r="AG8614">
        <v>3.3239998800000001</v>
      </c>
      <c r="AH8614">
        <v>2</v>
      </c>
      <c r="AI8614">
        <v>27</v>
      </c>
      <c r="AJ8614">
        <v>1</v>
      </c>
      <c r="AK8614">
        <v>20</v>
      </c>
      <c r="AL8614">
        <v>40</v>
      </c>
      <c r="AM8614" t="s">
        <v>43</v>
      </c>
      <c r="AN8614" t="str">
        <f>HYPERLINK("https://www.google.com/maps?q=10.89344215,79.10298157","Open Location")</f>
        <v>Open Location</v>
      </c>
    </row>
    <row r="8615" spans="1:40" x14ac:dyDescent="0.3">
      <c r="A8615" s="1">
        <v>46210.002199074072</v>
      </c>
      <c r="B8615" t="s">
        <v>40</v>
      </c>
      <c r="C8615" t="s">
        <v>41</v>
      </c>
      <c r="D8615" s="1">
        <v>46210.005231481482</v>
      </c>
      <c r="E8615" t="s">
        <v>42</v>
      </c>
      <c r="F8615" t="s">
        <v>83</v>
      </c>
      <c r="G8615">
        <v>0</v>
      </c>
      <c r="H8615">
        <v>32980</v>
      </c>
      <c r="I8615" t="s">
        <v>43</v>
      </c>
      <c r="J8615">
        <v>93</v>
      </c>
      <c r="K8615">
        <v>4</v>
      </c>
      <c r="L8615">
        <v>98</v>
      </c>
      <c r="M8615">
        <v>637.59997558999999</v>
      </c>
      <c r="N8615" t="s">
        <v>85</v>
      </c>
      <c r="O8615" t="s">
        <v>82</v>
      </c>
      <c r="P8615">
        <v>125</v>
      </c>
      <c r="Q8615" t="s">
        <v>82</v>
      </c>
      <c r="R8615">
        <v>0</v>
      </c>
      <c r="S8615">
        <v>0</v>
      </c>
      <c r="T8615">
        <v>-40</v>
      </c>
      <c r="U8615">
        <v>43</v>
      </c>
      <c r="V8615">
        <v>0</v>
      </c>
      <c r="W8615">
        <v>29</v>
      </c>
      <c r="X8615">
        <v>29</v>
      </c>
      <c r="Y8615">
        <v>1</v>
      </c>
      <c r="Z8615">
        <v>8</v>
      </c>
      <c r="AA8615">
        <v>25</v>
      </c>
      <c r="AB8615">
        <v>2</v>
      </c>
      <c r="AC8615">
        <v>3</v>
      </c>
      <c r="AD8615">
        <v>3.3269999000000001</v>
      </c>
      <c r="AE8615">
        <v>1</v>
      </c>
      <c r="AF8615">
        <v>44</v>
      </c>
      <c r="AG8615">
        <v>3.3239998800000001</v>
      </c>
      <c r="AH8615">
        <v>2</v>
      </c>
      <c r="AI8615">
        <v>27</v>
      </c>
      <c r="AJ8615">
        <v>1</v>
      </c>
      <c r="AK8615">
        <v>20</v>
      </c>
      <c r="AL8615">
        <v>40</v>
      </c>
      <c r="AM8615" t="s">
        <v>43</v>
      </c>
      <c r="AN8615" t="s">
        <v>43</v>
      </c>
    </row>
    <row r="8616" spans="1:40" x14ac:dyDescent="0.3">
      <c r="A8616" s="1">
        <v>46210.002083333333</v>
      </c>
      <c r="B8616" t="s">
        <v>40</v>
      </c>
      <c r="C8616" t="s">
        <v>41</v>
      </c>
      <c r="D8616" s="1">
        <v>46210.005011574074</v>
      </c>
      <c r="E8616" t="s">
        <v>42</v>
      </c>
      <c r="F8616" t="s">
        <v>83</v>
      </c>
      <c r="G8616">
        <v>0</v>
      </c>
      <c r="H8616">
        <v>32980</v>
      </c>
      <c r="I8616" t="s">
        <v>4811</v>
      </c>
      <c r="J8616">
        <v>93</v>
      </c>
      <c r="K8616">
        <v>3</v>
      </c>
      <c r="L8616">
        <v>98</v>
      </c>
      <c r="M8616">
        <v>638.5</v>
      </c>
      <c r="N8616" t="s">
        <v>85</v>
      </c>
      <c r="O8616" t="s">
        <v>82</v>
      </c>
      <c r="P8616">
        <v>125</v>
      </c>
      <c r="Q8616" t="s">
        <v>43</v>
      </c>
      <c r="R8616">
        <v>0</v>
      </c>
      <c r="S8616">
        <v>0</v>
      </c>
      <c r="T8616">
        <v>-40</v>
      </c>
      <c r="U8616">
        <v>43</v>
      </c>
      <c r="V8616">
        <v>0</v>
      </c>
      <c r="W8616">
        <v>29</v>
      </c>
      <c r="X8616">
        <v>29</v>
      </c>
      <c r="Y8616">
        <v>1</v>
      </c>
      <c r="Z8616">
        <v>8</v>
      </c>
      <c r="AA8616">
        <v>25</v>
      </c>
      <c r="AB8616">
        <v>2</v>
      </c>
      <c r="AC8616">
        <v>3</v>
      </c>
      <c r="AD8616">
        <v>3.3269999000000001</v>
      </c>
      <c r="AE8616">
        <v>1</v>
      </c>
      <c r="AF8616">
        <v>44</v>
      </c>
      <c r="AG8616">
        <v>3.3239998800000001</v>
      </c>
      <c r="AH8616">
        <v>1</v>
      </c>
      <c r="AI8616">
        <v>17</v>
      </c>
      <c r="AJ8616">
        <v>1</v>
      </c>
      <c r="AK8616">
        <v>20</v>
      </c>
      <c r="AL8616">
        <v>40</v>
      </c>
      <c r="AM8616" t="s">
        <v>43</v>
      </c>
      <c r="AN8616" t="str">
        <f>HYPERLINK("https://www.google.com/maps?q=10.89344597,79.1029892","Open Location")</f>
        <v>Open Location</v>
      </c>
    </row>
    <row r="8617" spans="1:40" x14ac:dyDescent="0.3">
      <c r="A8617" s="1">
        <v>46210.001967592594</v>
      </c>
      <c r="B8617" t="s">
        <v>40</v>
      </c>
      <c r="C8617" t="s">
        <v>41</v>
      </c>
      <c r="D8617" s="1">
        <v>46210.004791666666</v>
      </c>
      <c r="E8617" t="s">
        <v>42</v>
      </c>
      <c r="F8617" t="s">
        <v>83</v>
      </c>
      <c r="G8617">
        <v>0</v>
      </c>
      <c r="H8617">
        <v>32980</v>
      </c>
      <c r="I8617" t="s">
        <v>4812</v>
      </c>
      <c r="J8617">
        <v>93</v>
      </c>
      <c r="K8617">
        <v>3</v>
      </c>
      <c r="L8617">
        <v>98</v>
      </c>
      <c r="M8617">
        <v>638.40002441000001</v>
      </c>
      <c r="N8617" t="s">
        <v>85</v>
      </c>
      <c r="O8617" t="s">
        <v>82</v>
      </c>
      <c r="P8617">
        <v>125</v>
      </c>
      <c r="Q8617" t="s">
        <v>82</v>
      </c>
      <c r="R8617">
        <v>0</v>
      </c>
      <c r="S8617">
        <v>0</v>
      </c>
      <c r="T8617">
        <v>-40</v>
      </c>
      <c r="U8617">
        <v>43</v>
      </c>
      <c r="V8617">
        <v>0</v>
      </c>
      <c r="W8617">
        <v>29</v>
      </c>
      <c r="X8617">
        <v>29</v>
      </c>
      <c r="Y8617">
        <v>1</v>
      </c>
      <c r="Z8617">
        <v>8</v>
      </c>
      <c r="AA8617">
        <v>25</v>
      </c>
      <c r="AB8617">
        <v>2</v>
      </c>
      <c r="AC8617">
        <v>3</v>
      </c>
      <c r="AD8617">
        <v>3.3269999000000001</v>
      </c>
      <c r="AE8617">
        <v>1</v>
      </c>
      <c r="AF8617">
        <v>44</v>
      </c>
      <c r="AG8617">
        <v>3.3239998800000001</v>
      </c>
      <c r="AH8617">
        <v>1</v>
      </c>
      <c r="AI8617">
        <v>17</v>
      </c>
      <c r="AJ8617">
        <v>1</v>
      </c>
      <c r="AK8617">
        <v>21</v>
      </c>
      <c r="AL8617">
        <v>40</v>
      </c>
      <c r="AM8617" t="s">
        <v>43</v>
      </c>
      <c r="AN8617" t="str">
        <f>HYPERLINK("https://www.google.com/maps?q=10.89344883,79.1029892","Open Location")</f>
        <v>Open Location</v>
      </c>
    </row>
    <row r="8618" spans="1:40" x14ac:dyDescent="0.3">
      <c r="A8618" s="1">
        <v>46210.001851851855</v>
      </c>
      <c r="B8618" t="s">
        <v>40</v>
      </c>
      <c r="C8618" t="s">
        <v>41</v>
      </c>
      <c r="D8618" s="1">
        <v>46210.004432870373</v>
      </c>
      <c r="E8618" t="s">
        <v>42</v>
      </c>
      <c r="F8618" t="s">
        <v>83</v>
      </c>
      <c r="G8618">
        <v>0</v>
      </c>
      <c r="H8618">
        <v>32980</v>
      </c>
      <c r="I8618" t="s">
        <v>4813</v>
      </c>
      <c r="J8618">
        <v>93</v>
      </c>
      <c r="K8618">
        <v>4</v>
      </c>
      <c r="L8618">
        <v>98</v>
      </c>
      <c r="M8618">
        <v>637.79998779000005</v>
      </c>
      <c r="N8618" t="s">
        <v>85</v>
      </c>
      <c r="O8618" t="s">
        <v>82</v>
      </c>
      <c r="P8618">
        <v>125</v>
      </c>
      <c r="Q8618" t="s">
        <v>43</v>
      </c>
      <c r="R8618">
        <v>0</v>
      </c>
      <c r="S8618">
        <v>0</v>
      </c>
      <c r="T8618">
        <v>-40</v>
      </c>
      <c r="U8618">
        <v>43</v>
      </c>
      <c r="V8618">
        <v>0</v>
      </c>
      <c r="W8618">
        <v>29</v>
      </c>
      <c r="X8618">
        <v>29</v>
      </c>
      <c r="Y8618">
        <v>1</v>
      </c>
      <c r="Z8618">
        <v>8</v>
      </c>
      <c r="AA8618">
        <v>25</v>
      </c>
      <c r="AB8618">
        <v>2</v>
      </c>
      <c r="AC8618">
        <v>3</v>
      </c>
      <c r="AD8618">
        <v>3.3269999000000001</v>
      </c>
      <c r="AE8618">
        <v>1</v>
      </c>
      <c r="AF8618">
        <v>44</v>
      </c>
      <c r="AG8618">
        <v>3.3239998800000001</v>
      </c>
      <c r="AH8618">
        <v>1</v>
      </c>
      <c r="AI8618">
        <v>17</v>
      </c>
      <c r="AJ8618">
        <v>1</v>
      </c>
      <c r="AK8618">
        <v>20</v>
      </c>
      <c r="AL8618">
        <v>40</v>
      </c>
      <c r="AM8618" t="s">
        <v>43</v>
      </c>
      <c r="AN8618" t="str">
        <f>HYPERLINK("https://www.google.com/maps?q=10.89345074,79.1029892","Open Location")</f>
        <v>Open Location</v>
      </c>
    </row>
    <row r="8619" spans="1:40" x14ac:dyDescent="0.3">
      <c r="A8619" s="1">
        <v>46210.001736111109</v>
      </c>
      <c r="B8619" t="s">
        <v>40</v>
      </c>
      <c r="C8619" t="s">
        <v>41</v>
      </c>
      <c r="D8619" s="1">
        <v>46210.00440972222</v>
      </c>
      <c r="E8619" t="s">
        <v>42</v>
      </c>
      <c r="F8619" t="s">
        <v>83</v>
      </c>
      <c r="G8619">
        <v>0</v>
      </c>
      <c r="H8619">
        <v>32980</v>
      </c>
      <c r="I8619" t="s">
        <v>4814</v>
      </c>
      <c r="J8619">
        <v>93</v>
      </c>
      <c r="K8619">
        <v>4</v>
      </c>
      <c r="L8619">
        <v>98</v>
      </c>
      <c r="M8619">
        <v>638.40002441000001</v>
      </c>
      <c r="N8619" t="s">
        <v>85</v>
      </c>
      <c r="O8619" t="s">
        <v>82</v>
      </c>
      <c r="P8619">
        <v>125</v>
      </c>
      <c r="Q8619" t="s">
        <v>82</v>
      </c>
      <c r="R8619">
        <v>0</v>
      </c>
      <c r="S8619">
        <v>0</v>
      </c>
      <c r="T8619">
        <v>-40</v>
      </c>
      <c r="U8619">
        <v>43</v>
      </c>
      <c r="V8619">
        <v>0</v>
      </c>
      <c r="W8619">
        <v>29</v>
      </c>
      <c r="X8619">
        <v>29</v>
      </c>
      <c r="Y8619">
        <v>1</v>
      </c>
      <c r="Z8619">
        <v>8</v>
      </c>
      <c r="AA8619">
        <v>25</v>
      </c>
      <c r="AB8619">
        <v>2</v>
      </c>
      <c r="AC8619">
        <v>3</v>
      </c>
      <c r="AD8619">
        <v>3.3269999000000001</v>
      </c>
      <c r="AE8619">
        <v>1</v>
      </c>
      <c r="AF8619">
        <v>44</v>
      </c>
      <c r="AG8619">
        <v>3.3239998800000001</v>
      </c>
      <c r="AH8619">
        <v>1</v>
      </c>
      <c r="AI8619">
        <v>16</v>
      </c>
      <c r="AJ8619">
        <v>1</v>
      </c>
      <c r="AK8619">
        <v>19</v>
      </c>
      <c r="AL8619">
        <v>40</v>
      </c>
      <c r="AM8619" t="s">
        <v>43</v>
      </c>
      <c r="AN8619" t="str">
        <f>HYPERLINK("https://www.google.com/maps?q=10.89345264,79.1029892","Open Location")</f>
        <v>Open Location</v>
      </c>
    </row>
    <row r="8620" spans="1:40" x14ac:dyDescent="0.3">
      <c r="A8620" s="1">
        <v>46210.001620370371</v>
      </c>
      <c r="B8620" t="s">
        <v>40</v>
      </c>
      <c r="C8620" t="s">
        <v>41</v>
      </c>
      <c r="D8620" s="1">
        <v>46210.004282407404</v>
      </c>
      <c r="E8620" t="s">
        <v>42</v>
      </c>
      <c r="F8620" t="s">
        <v>83</v>
      </c>
      <c r="G8620">
        <v>0</v>
      </c>
      <c r="H8620">
        <v>32980</v>
      </c>
      <c r="I8620" t="s">
        <v>4815</v>
      </c>
      <c r="J8620">
        <v>93</v>
      </c>
      <c r="K8620">
        <v>3</v>
      </c>
      <c r="L8620">
        <v>98</v>
      </c>
      <c r="M8620">
        <v>637.59997558999999</v>
      </c>
      <c r="N8620" t="s">
        <v>85</v>
      </c>
      <c r="O8620" t="s">
        <v>82</v>
      </c>
      <c r="P8620">
        <v>125</v>
      </c>
      <c r="Q8620" t="s">
        <v>82</v>
      </c>
      <c r="R8620">
        <v>0</v>
      </c>
      <c r="S8620">
        <v>0</v>
      </c>
      <c r="T8620">
        <v>-40</v>
      </c>
      <c r="U8620">
        <v>43</v>
      </c>
      <c r="V8620">
        <v>0</v>
      </c>
      <c r="W8620">
        <v>29</v>
      </c>
      <c r="X8620">
        <v>29</v>
      </c>
      <c r="Y8620">
        <v>1</v>
      </c>
      <c r="Z8620">
        <v>8</v>
      </c>
      <c r="AA8620">
        <v>25</v>
      </c>
      <c r="AB8620">
        <v>2</v>
      </c>
      <c r="AC8620">
        <v>6</v>
      </c>
      <c r="AD8620">
        <v>3.3269999000000001</v>
      </c>
      <c r="AE8620">
        <v>1</v>
      </c>
      <c r="AF8620">
        <v>44</v>
      </c>
      <c r="AG8620">
        <v>3.3239998800000001</v>
      </c>
      <c r="AH8620">
        <v>1</v>
      </c>
      <c r="AI8620">
        <v>17</v>
      </c>
      <c r="AJ8620">
        <v>1</v>
      </c>
      <c r="AK8620">
        <v>20</v>
      </c>
      <c r="AL8620">
        <v>40</v>
      </c>
      <c r="AM8620" t="s">
        <v>43</v>
      </c>
      <c r="AN8620" t="str">
        <f>HYPERLINK("https://www.google.com/maps?q=10.89345074,79.10298157","Open Location")</f>
        <v>Open Location</v>
      </c>
    </row>
    <row r="8621" spans="1:40" x14ac:dyDescent="0.3">
      <c r="A8621" s="1">
        <v>46210.001504629632</v>
      </c>
      <c r="B8621" t="s">
        <v>40</v>
      </c>
      <c r="C8621" t="s">
        <v>41</v>
      </c>
      <c r="D8621" s="1">
        <v>46210.004212962966</v>
      </c>
      <c r="E8621" t="s">
        <v>42</v>
      </c>
      <c r="F8621" t="s">
        <v>83</v>
      </c>
      <c r="G8621">
        <v>0</v>
      </c>
      <c r="H8621">
        <v>32980</v>
      </c>
      <c r="I8621" t="s">
        <v>43</v>
      </c>
      <c r="J8621">
        <v>93</v>
      </c>
      <c r="K8621">
        <v>4</v>
      </c>
      <c r="L8621">
        <v>98</v>
      </c>
      <c r="M8621">
        <v>638.5</v>
      </c>
      <c r="N8621" t="s">
        <v>85</v>
      </c>
      <c r="O8621" t="s">
        <v>82</v>
      </c>
      <c r="P8621">
        <v>125</v>
      </c>
      <c r="Q8621" t="s">
        <v>82</v>
      </c>
      <c r="R8621">
        <v>0</v>
      </c>
      <c r="S8621">
        <v>0</v>
      </c>
      <c r="T8621">
        <v>-40</v>
      </c>
      <c r="U8621">
        <v>43</v>
      </c>
      <c r="V8621">
        <v>0</v>
      </c>
      <c r="W8621">
        <v>29</v>
      </c>
      <c r="X8621">
        <v>29</v>
      </c>
      <c r="Y8621">
        <v>1</v>
      </c>
      <c r="Z8621">
        <v>8</v>
      </c>
      <c r="AA8621">
        <v>25</v>
      </c>
      <c r="AB8621">
        <v>2</v>
      </c>
      <c r="AC8621">
        <v>6</v>
      </c>
      <c r="AD8621">
        <v>3.3269999000000001</v>
      </c>
      <c r="AE8621">
        <v>1</v>
      </c>
      <c r="AF8621">
        <v>44</v>
      </c>
      <c r="AG8621">
        <v>3.3239998800000001</v>
      </c>
      <c r="AH8621">
        <v>1</v>
      </c>
      <c r="AI8621">
        <v>16</v>
      </c>
      <c r="AJ8621">
        <v>1</v>
      </c>
      <c r="AK8621">
        <v>20</v>
      </c>
      <c r="AL8621">
        <v>40</v>
      </c>
      <c r="AM8621" t="s">
        <v>43</v>
      </c>
      <c r="AN8621" t="s">
        <v>43</v>
      </c>
    </row>
    <row r="8622" spans="1:40" x14ac:dyDescent="0.3">
      <c r="A8622" s="1">
        <v>46210.001388888886</v>
      </c>
      <c r="B8622" t="s">
        <v>40</v>
      </c>
      <c r="C8622" t="s">
        <v>41</v>
      </c>
      <c r="D8622" s="1">
        <v>46210.004525462966</v>
      </c>
      <c r="E8622" t="s">
        <v>42</v>
      </c>
      <c r="F8622" t="s">
        <v>83</v>
      </c>
      <c r="G8622">
        <v>0</v>
      </c>
      <c r="H8622">
        <v>32980</v>
      </c>
      <c r="I8622" t="s">
        <v>4816</v>
      </c>
      <c r="J8622">
        <v>93</v>
      </c>
      <c r="K8622">
        <v>4</v>
      </c>
      <c r="L8622">
        <v>98</v>
      </c>
      <c r="M8622">
        <v>637.70001220999995</v>
      </c>
      <c r="N8622" t="s">
        <v>85</v>
      </c>
      <c r="O8622" t="s">
        <v>82</v>
      </c>
      <c r="P8622">
        <v>125</v>
      </c>
      <c r="Q8622" t="s">
        <v>43</v>
      </c>
      <c r="R8622">
        <v>0</v>
      </c>
      <c r="S8622">
        <v>0</v>
      </c>
      <c r="T8622">
        <v>-40</v>
      </c>
      <c r="U8622">
        <v>43</v>
      </c>
      <c r="V8622">
        <v>0</v>
      </c>
      <c r="W8622">
        <v>29</v>
      </c>
      <c r="X8622">
        <v>29</v>
      </c>
      <c r="Y8622">
        <v>1</v>
      </c>
      <c r="Z8622">
        <v>8</v>
      </c>
      <c r="AA8622">
        <v>25</v>
      </c>
      <c r="AB8622">
        <v>2</v>
      </c>
      <c r="AC8622">
        <v>6</v>
      </c>
      <c r="AD8622">
        <v>3.3259999800000002</v>
      </c>
      <c r="AE8622">
        <v>1</v>
      </c>
      <c r="AF8622">
        <v>3</v>
      </c>
      <c r="AG8622">
        <v>3.3239998800000001</v>
      </c>
      <c r="AH8622">
        <v>1</v>
      </c>
      <c r="AI8622">
        <v>16</v>
      </c>
      <c r="AJ8622">
        <v>1</v>
      </c>
      <c r="AK8622">
        <v>20</v>
      </c>
      <c r="AL8622">
        <v>40</v>
      </c>
      <c r="AM8622" t="s">
        <v>43</v>
      </c>
      <c r="AN8622" t="str">
        <f>HYPERLINK("https://www.google.com/maps?q=10.89344692,79.10298157","Open Location")</f>
        <v>Open Location</v>
      </c>
    </row>
    <row r="8623" spans="1:40" x14ac:dyDescent="0.3">
      <c r="A8623" s="1">
        <v>46210.001273148147</v>
      </c>
      <c r="B8623" t="s">
        <v>40</v>
      </c>
      <c r="C8623" t="s">
        <v>41</v>
      </c>
      <c r="D8623" s="1">
        <v>46210.004120370373</v>
      </c>
      <c r="E8623" t="s">
        <v>42</v>
      </c>
      <c r="F8623" t="s">
        <v>83</v>
      </c>
      <c r="G8623">
        <v>0</v>
      </c>
      <c r="H8623">
        <v>32980</v>
      </c>
      <c r="I8623" t="s">
        <v>4817</v>
      </c>
      <c r="J8623">
        <v>93</v>
      </c>
      <c r="K8623">
        <v>4</v>
      </c>
      <c r="L8623">
        <v>98</v>
      </c>
      <c r="M8623">
        <v>637.70001220999995</v>
      </c>
      <c r="N8623" t="s">
        <v>85</v>
      </c>
      <c r="O8623" t="s">
        <v>82</v>
      </c>
      <c r="P8623">
        <v>125</v>
      </c>
      <c r="Q8623" t="s">
        <v>82</v>
      </c>
      <c r="R8623">
        <v>0</v>
      </c>
      <c r="S8623">
        <v>0</v>
      </c>
      <c r="T8623">
        <v>-40</v>
      </c>
      <c r="U8623">
        <v>43</v>
      </c>
      <c r="V8623">
        <v>0</v>
      </c>
      <c r="W8623">
        <v>29</v>
      </c>
      <c r="X8623">
        <v>29</v>
      </c>
      <c r="Y8623">
        <v>1</v>
      </c>
      <c r="Z8623">
        <v>8</v>
      </c>
      <c r="AA8623">
        <v>25</v>
      </c>
      <c r="AB8623">
        <v>2</v>
      </c>
      <c r="AC8623">
        <v>6</v>
      </c>
      <c r="AD8623">
        <v>3.3269999000000001</v>
      </c>
      <c r="AE8623">
        <v>1</v>
      </c>
      <c r="AF8623">
        <v>44</v>
      </c>
      <c r="AG8623">
        <v>3.3239998800000001</v>
      </c>
      <c r="AH8623">
        <v>1</v>
      </c>
      <c r="AI8623">
        <v>16</v>
      </c>
      <c r="AJ8623">
        <v>1</v>
      </c>
      <c r="AK8623">
        <v>20</v>
      </c>
      <c r="AL8623">
        <v>40</v>
      </c>
      <c r="AM8623" t="s">
        <v>43</v>
      </c>
      <c r="AN8623" t="str">
        <f>HYPERLINK("https://www.google.com/maps?q=10.89344978,79.1029892","Open Location")</f>
        <v>Open Location</v>
      </c>
    </row>
    <row r="8624" spans="1:40" x14ac:dyDescent="0.3">
      <c r="A8624" s="1">
        <v>46210.001157407409</v>
      </c>
      <c r="B8624" t="s">
        <v>40</v>
      </c>
      <c r="C8624" t="s">
        <v>41</v>
      </c>
      <c r="D8624" s="1">
        <v>46210.004074074073</v>
      </c>
      <c r="E8624" t="s">
        <v>42</v>
      </c>
      <c r="F8624" t="s">
        <v>83</v>
      </c>
      <c r="G8624">
        <v>0</v>
      </c>
      <c r="H8624">
        <v>32980</v>
      </c>
      <c r="I8624" t="s">
        <v>4813</v>
      </c>
      <c r="J8624">
        <v>93</v>
      </c>
      <c r="K8624">
        <v>4</v>
      </c>
      <c r="L8624">
        <v>98</v>
      </c>
      <c r="M8624">
        <v>638.40002441000001</v>
      </c>
      <c r="N8624" t="s">
        <v>85</v>
      </c>
      <c r="O8624" t="s">
        <v>82</v>
      </c>
      <c r="P8624">
        <v>125</v>
      </c>
      <c r="Q8624" t="s">
        <v>43</v>
      </c>
      <c r="R8624">
        <v>0</v>
      </c>
      <c r="S8624">
        <v>0</v>
      </c>
      <c r="T8624">
        <v>-40</v>
      </c>
      <c r="U8624">
        <v>43</v>
      </c>
      <c r="V8624">
        <v>0</v>
      </c>
      <c r="W8624">
        <v>29</v>
      </c>
      <c r="X8624">
        <v>29</v>
      </c>
      <c r="Y8624">
        <v>1</v>
      </c>
      <c r="Z8624">
        <v>8</v>
      </c>
      <c r="AA8624">
        <v>25</v>
      </c>
      <c r="AB8624">
        <v>2</v>
      </c>
      <c r="AC8624">
        <v>6</v>
      </c>
      <c r="AD8624">
        <v>3.3259999800000002</v>
      </c>
      <c r="AE8624">
        <v>1</v>
      </c>
      <c r="AF8624">
        <v>3</v>
      </c>
      <c r="AG8624">
        <v>3.3239998800000001</v>
      </c>
      <c r="AH8624">
        <v>1</v>
      </c>
      <c r="AI8624">
        <v>16</v>
      </c>
      <c r="AJ8624">
        <v>1</v>
      </c>
      <c r="AK8624">
        <v>20</v>
      </c>
      <c r="AL8624">
        <v>40</v>
      </c>
      <c r="AM8624" t="s">
        <v>43</v>
      </c>
      <c r="AN8624" t="str">
        <f>HYPERLINK("https://www.google.com/maps?q=10.89345074,79.1029892","Open Location")</f>
        <v>Open Location</v>
      </c>
    </row>
    <row r="8625" spans="1:40" x14ac:dyDescent="0.3">
      <c r="A8625" s="1">
        <v>46210.00104166667</v>
      </c>
      <c r="B8625" t="s">
        <v>40</v>
      </c>
      <c r="C8625" t="s">
        <v>41</v>
      </c>
      <c r="D8625" s="1">
        <v>46210.003831018519</v>
      </c>
      <c r="E8625" t="s">
        <v>42</v>
      </c>
      <c r="F8625" t="s">
        <v>83</v>
      </c>
      <c r="G8625">
        <v>0</v>
      </c>
      <c r="H8625">
        <v>32980</v>
      </c>
      <c r="I8625" t="s">
        <v>4818</v>
      </c>
      <c r="J8625">
        <v>93</v>
      </c>
      <c r="K8625">
        <v>4</v>
      </c>
      <c r="L8625">
        <v>98</v>
      </c>
      <c r="M8625">
        <v>638</v>
      </c>
      <c r="N8625" t="s">
        <v>85</v>
      </c>
      <c r="O8625" t="s">
        <v>82</v>
      </c>
      <c r="P8625">
        <v>125</v>
      </c>
      <c r="Q8625" t="s">
        <v>82</v>
      </c>
      <c r="R8625">
        <v>0</v>
      </c>
      <c r="S8625">
        <v>0</v>
      </c>
      <c r="T8625">
        <v>-40</v>
      </c>
      <c r="U8625">
        <v>43</v>
      </c>
      <c r="V8625">
        <v>0</v>
      </c>
      <c r="W8625">
        <v>29</v>
      </c>
      <c r="X8625">
        <v>29</v>
      </c>
      <c r="Y8625">
        <v>1</v>
      </c>
      <c r="Z8625">
        <v>8</v>
      </c>
      <c r="AA8625">
        <v>25</v>
      </c>
      <c r="AB8625">
        <v>2</v>
      </c>
      <c r="AC8625">
        <v>6</v>
      </c>
      <c r="AD8625">
        <v>3.3259999800000002</v>
      </c>
      <c r="AE8625">
        <v>1</v>
      </c>
      <c r="AF8625">
        <v>3</v>
      </c>
      <c r="AG8625">
        <v>3.3239998800000001</v>
      </c>
      <c r="AH8625">
        <v>1</v>
      </c>
      <c r="AI8625">
        <v>16</v>
      </c>
      <c r="AJ8625">
        <v>1</v>
      </c>
      <c r="AK8625">
        <v>19</v>
      </c>
      <c r="AL8625">
        <v>40</v>
      </c>
      <c r="AM8625" t="s">
        <v>43</v>
      </c>
      <c r="AN8625" t="str">
        <f>HYPERLINK("https://www.google.com/maps?q=10.89344788,79.10299683","Open Location")</f>
        <v>Open Location</v>
      </c>
    </row>
    <row r="8626" spans="1:40" x14ac:dyDescent="0.3">
      <c r="A8626" s="1">
        <v>46210.000925925924</v>
      </c>
      <c r="B8626" t="s">
        <v>40</v>
      </c>
      <c r="C8626" t="s">
        <v>41</v>
      </c>
      <c r="D8626" s="1">
        <v>46210.003564814811</v>
      </c>
      <c r="E8626" t="s">
        <v>42</v>
      </c>
      <c r="F8626" t="s">
        <v>83</v>
      </c>
      <c r="G8626">
        <v>0</v>
      </c>
      <c r="H8626">
        <v>32980</v>
      </c>
      <c r="I8626" t="s">
        <v>4819</v>
      </c>
      <c r="J8626">
        <v>93</v>
      </c>
      <c r="K8626">
        <v>4</v>
      </c>
      <c r="L8626">
        <v>98</v>
      </c>
      <c r="M8626">
        <v>637.79998779000005</v>
      </c>
      <c r="N8626" t="s">
        <v>85</v>
      </c>
      <c r="O8626" t="s">
        <v>82</v>
      </c>
      <c r="P8626">
        <v>125</v>
      </c>
      <c r="Q8626" t="s">
        <v>82</v>
      </c>
      <c r="R8626">
        <v>0</v>
      </c>
      <c r="S8626">
        <v>0</v>
      </c>
      <c r="T8626">
        <v>-40</v>
      </c>
      <c r="U8626">
        <v>43</v>
      </c>
      <c r="V8626">
        <v>0</v>
      </c>
      <c r="W8626">
        <v>29</v>
      </c>
      <c r="X8626">
        <v>29</v>
      </c>
      <c r="Y8626">
        <v>1</v>
      </c>
      <c r="Z8626">
        <v>8</v>
      </c>
      <c r="AA8626">
        <v>25</v>
      </c>
      <c r="AB8626">
        <v>2</v>
      </c>
      <c r="AC8626">
        <v>6</v>
      </c>
      <c r="AD8626">
        <v>3.3259999800000002</v>
      </c>
      <c r="AE8626">
        <v>1</v>
      </c>
      <c r="AF8626">
        <v>5</v>
      </c>
      <c r="AG8626">
        <v>3.3239998800000001</v>
      </c>
      <c r="AH8626">
        <v>1</v>
      </c>
      <c r="AI8626">
        <v>16</v>
      </c>
      <c r="AJ8626">
        <v>1</v>
      </c>
      <c r="AK8626">
        <v>20</v>
      </c>
      <c r="AL8626">
        <v>40</v>
      </c>
      <c r="AM8626" t="s">
        <v>43</v>
      </c>
      <c r="AN8626" t="str">
        <f>HYPERLINK("https://www.google.com/maps?q=10.89344215,79.10300446","Open Location")</f>
        <v>Open Location</v>
      </c>
    </row>
    <row r="8627" spans="1:40" x14ac:dyDescent="0.3">
      <c r="A8627" s="1">
        <v>46210.000810185185</v>
      </c>
      <c r="B8627" t="s">
        <v>40</v>
      </c>
      <c r="C8627" t="s">
        <v>41</v>
      </c>
      <c r="D8627" s="1">
        <v>46210.003692129627</v>
      </c>
      <c r="E8627" t="s">
        <v>42</v>
      </c>
      <c r="F8627" t="s">
        <v>83</v>
      </c>
      <c r="G8627">
        <v>0</v>
      </c>
      <c r="H8627">
        <v>32980</v>
      </c>
      <c r="I8627" t="s">
        <v>43</v>
      </c>
      <c r="J8627">
        <v>93</v>
      </c>
      <c r="K8627">
        <v>4</v>
      </c>
      <c r="L8627">
        <v>98</v>
      </c>
      <c r="M8627">
        <v>638.09997558999999</v>
      </c>
      <c r="N8627" t="s">
        <v>85</v>
      </c>
      <c r="O8627" t="s">
        <v>82</v>
      </c>
      <c r="P8627">
        <v>125</v>
      </c>
      <c r="Q8627" t="s">
        <v>43</v>
      </c>
      <c r="R8627">
        <v>0</v>
      </c>
      <c r="S8627">
        <v>0</v>
      </c>
      <c r="T8627">
        <v>-40</v>
      </c>
      <c r="U8627">
        <v>43</v>
      </c>
      <c r="V8627">
        <v>0</v>
      </c>
      <c r="W8627">
        <v>29</v>
      </c>
      <c r="X8627">
        <v>29</v>
      </c>
      <c r="Y8627">
        <v>1</v>
      </c>
      <c r="Z8627">
        <v>8</v>
      </c>
      <c r="AA8627">
        <v>25</v>
      </c>
      <c r="AB8627">
        <v>2</v>
      </c>
      <c r="AC8627">
        <v>6</v>
      </c>
      <c r="AD8627">
        <v>3.3259999800000002</v>
      </c>
      <c r="AE8627">
        <v>1</v>
      </c>
      <c r="AF8627">
        <v>5</v>
      </c>
      <c r="AG8627">
        <v>3.3239998800000001</v>
      </c>
      <c r="AH8627">
        <v>1</v>
      </c>
      <c r="AI8627">
        <v>16</v>
      </c>
      <c r="AJ8627">
        <v>1</v>
      </c>
      <c r="AK8627">
        <v>20</v>
      </c>
      <c r="AL8627">
        <v>40</v>
      </c>
      <c r="AM8627" t="s">
        <v>43</v>
      </c>
      <c r="AN8627" t="s">
        <v>43</v>
      </c>
    </row>
    <row r="8628" spans="1:40" x14ac:dyDescent="0.3">
      <c r="A8628" s="1">
        <v>46210.000694444447</v>
      </c>
      <c r="B8628" t="s">
        <v>40</v>
      </c>
      <c r="C8628" t="s">
        <v>41</v>
      </c>
      <c r="D8628" s="1">
        <v>46210.003425925926</v>
      </c>
      <c r="E8628" t="s">
        <v>42</v>
      </c>
      <c r="F8628" t="s">
        <v>83</v>
      </c>
      <c r="G8628">
        <v>0</v>
      </c>
      <c r="H8628">
        <v>32980</v>
      </c>
      <c r="I8628" t="s">
        <v>4820</v>
      </c>
      <c r="J8628">
        <v>93</v>
      </c>
      <c r="K8628">
        <v>3</v>
      </c>
      <c r="L8628">
        <v>98</v>
      </c>
      <c r="M8628">
        <v>637.90002441000001</v>
      </c>
      <c r="N8628" t="s">
        <v>85</v>
      </c>
      <c r="O8628" t="s">
        <v>82</v>
      </c>
      <c r="P8628" t="s">
        <v>43</v>
      </c>
      <c r="Q8628" t="s">
        <v>82</v>
      </c>
      <c r="R8628">
        <v>0</v>
      </c>
      <c r="S8628">
        <v>0</v>
      </c>
      <c r="T8628">
        <v>-40</v>
      </c>
      <c r="U8628">
        <v>43</v>
      </c>
      <c r="V8628">
        <v>0</v>
      </c>
      <c r="W8628">
        <v>29</v>
      </c>
      <c r="X8628">
        <v>29</v>
      </c>
      <c r="Y8628">
        <v>1</v>
      </c>
      <c r="Z8628">
        <v>8</v>
      </c>
      <c r="AA8628">
        <v>25</v>
      </c>
      <c r="AB8628">
        <v>2</v>
      </c>
      <c r="AC8628">
        <v>6</v>
      </c>
      <c r="AD8628">
        <v>3.3259999800000002</v>
      </c>
      <c r="AE8628">
        <v>1</v>
      </c>
      <c r="AF8628">
        <v>5</v>
      </c>
      <c r="AG8628">
        <v>3.3239998800000001</v>
      </c>
      <c r="AH8628">
        <v>1</v>
      </c>
      <c r="AI8628">
        <v>16</v>
      </c>
      <c r="AJ8628">
        <v>1</v>
      </c>
      <c r="AK8628">
        <v>20</v>
      </c>
      <c r="AL8628">
        <v>40</v>
      </c>
      <c r="AM8628" t="s">
        <v>43</v>
      </c>
      <c r="AN8628" t="str">
        <f>HYPERLINK("https://www.google.com/maps?q=10.89344025,79.10300446","Open Location")</f>
        <v>Open Location</v>
      </c>
    </row>
    <row r="8629" spans="1:40" x14ac:dyDescent="0.3">
      <c r="A8629" s="1">
        <v>46210.000578703701</v>
      </c>
      <c r="B8629" t="s">
        <v>40</v>
      </c>
      <c r="C8629" t="s">
        <v>41</v>
      </c>
      <c r="D8629" s="1">
        <v>46210.003750000003</v>
      </c>
      <c r="E8629" t="s">
        <v>42</v>
      </c>
      <c r="F8629" t="s">
        <v>83</v>
      </c>
      <c r="G8629">
        <v>0</v>
      </c>
      <c r="H8629">
        <v>32980</v>
      </c>
      <c r="I8629" t="s">
        <v>4821</v>
      </c>
      <c r="J8629">
        <v>93</v>
      </c>
      <c r="K8629">
        <v>4</v>
      </c>
      <c r="L8629">
        <v>98</v>
      </c>
      <c r="M8629">
        <v>638</v>
      </c>
      <c r="N8629" t="s">
        <v>85</v>
      </c>
      <c r="O8629" t="s">
        <v>82</v>
      </c>
      <c r="P8629">
        <v>125</v>
      </c>
      <c r="Q8629" t="s">
        <v>43</v>
      </c>
      <c r="R8629">
        <v>0</v>
      </c>
      <c r="S8629">
        <v>0</v>
      </c>
      <c r="T8629">
        <v>-40</v>
      </c>
      <c r="U8629">
        <v>43</v>
      </c>
      <c r="V8629">
        <v>0</v>
      </c>
      <c r="W8629">
        <v>29</v>
      </c>
      <c r="X8629">
        <v>29</v>
      </c>
      <c r="Y8629">
        <v>1</v>
      </c>
      <c r="Z8629">
        <v>8</v>
      </c>
      <c r="AA8629">
        <v>25</v>
      </c>
      <c r="AB8629">
        <v>2</v>
      </c>
      <c r="AC8629">
        <v>6</v>
      </c>
      <c r="AD8629">
        <v>3.3259999800000002</v>
      </c>
      <c r="AE8629">
        <v>1</v>
      </c>
      <c r="AF8629">
        <v>5</v>
      </c>
      <c r="AG8629">
        <v>3.3239998800000001</v>
      </c>
      <c r="AH8629">
        <v>1</v>
      </c>
      <c r="AI8629">
        <v>16</v>
      </c>
      <c r="AJ8629">
        <v>1</v>
      </c>
      <c r="AK8629">
        <v>20</v>
      </c>
      <c r="AL8629">
        <v>40</v>
      </c>
      <c r="AM8629" t="s">
        <v>43</v>
      </c>
      <c r="AN8629" t="str">
        <f>HYPERLINK("https://www.google.com/maps?q=10.89343071,79.10300446","Open Location")</f>
        <v>Open Location</v>
      </c>
    </row>
    <row r="8630" spans="1:40" x14ac:dyDescent="0.3">
      <c r="A8630" s="1">
        <v>46210.000462962962</v>
      </c>
      <c r="B8630" t="s">
        <v>40</v>
      </c>
      <c r="C8630" t="s">
        <v>41</v>
      </c>
      <c r="D8630" s="1">
        <v>46210.003449074073</v>
      </c>
      <c r="E8630" t="s">
        <v>42</v>
      </c>
      <c r="F8630" t="s">
        <v>83</v>
      </c>
      <c r="G8630">
        <v>0</v>
      </c>
      <c r="H8630">
        <v>32980</v>
      </c>
      <c r="I8630" t="s">
        <v>4822</v>
      </c>
      <c r="J8630">
        <v>93</v>
      </c>
      <c r="K8630">
        <v>4</v>
      </c>
      <c r="L8630">
        <v>98</v>
      </c>
      <c r="M8630">
        <v>638.59997558999999</v>
      </c>
      <c r="N8630" t="s">
        <v>85</v>
      </c>
      <c r="O8630" t="s">
        <v>82</v>
      </c>
      <c r="P8630">
        <v>125</v>
      </c>
      <c r="Q8630" t="s">
        <v>82</v>
      </c>
      <c r="R8630">
        <v>0</v>
      </c>
      <c r="S8630">
        <v>0</v>
      </c>
      <c r="T8630">
        <v>-40</v>
      </c>
      <c r="U8630">
        <v>43</v>
      </c>
      <c r="V8630">
        <v>0</v>
      </c>
      <c r="W8630">
        <v>29</v>
      </c>
      <c r="X8630">
        <v>29</v>
      </c>
      <c r="Y8630">
        <v>1</v>
      </c>
      <c r="Z8630">
        <v>8</v>
      </c>
      <c r="AA8630">
        <v>25</v>
      </c>
      <c r="AB8630">
        <v>2</v>
      </c>
      <c r="AC8630">
        <v>6</v>
      </c>
      <c r="AD8630">
        <v>3.3259999800000002</v>
      </c>
      <c r="AE8630">
        <v>1</v>
      </c>
      <c r="AF8630">
        <v>5</v>
      </c>
      <c r="AG8630">
        <v>3.3239998800000001</v>
      </c>
      <c r="AH8630">
        <v>1</v>
      </c>
      <c r="AI8630">
        <v>16</v>
      </c>
      <c r="AJ8630">
        <v>1</v>
      </c>
      <c r="AK8630">
        <v>20</v>
      </c>
      <c r="AL8630">
        <v>40</v>
      </c>
      <c r="AM8630" t="s">
        <v>43</v>
      </c>
      <c r="AN8630" t="str">
        <f>HYPERLINK("https://www.google.com/maps?q=10.8934269,79.10300446","Open Location")</f>
        <v>Open Location</v>
      </c>
    </row>
    <row r="8631" spans="1:40" x14ac:dyDescent="0.3">
      <c r="A8631" s="1">
        <v>46210.000347222223</v>
      </c>
      <c r="B8631" t="s">
        <v>40</v>
      </c>
      <c r="C8631" t="s">
        <v>41</v>
      </c>
      <c r="D8631" s="1">
        <v>46210.003263888888</v>
      </c>
      <c r="E8631" t="s">
        <v>42</v>
      </c>
      <c r="F8631" t="s">
        <v>83</v>
      </c>
      <c r="G8631">
        <v>0</v>
      </c>
      <c r="H8631">
        <v>32980</v>
      </c>
      <c r="I8631" t="s">
        <v>4822</v>
      </c>
      <c r="J8631">
        <v>93</v>
      </c>
      <c r="K8631">
        <v>4</v>
      </c>
      <c r="L8631">
        <v>98</v>
      </c>
      <c r="M8631">
        <v>637.59997558999999</v>
      </c>
      <c r="N8631" t="s">
        <v>85</v>
      </c>
      <c r="O8631" t="s">
        <v>82</v>
      </c>
      <c r="P8631">
        <v>125</v>
      </c>
      <c r="Q8631" t="s">
        <v>82</v>
      </c>
      <c r="R8631">
        <v>0</v>
      </c>
      <c r="S8631">
        <v>0</v>
      </c>
      <c r="T8631">
        <v>-40</v>
      </c>
      <c r="U8631">
        <v>43</v>
      </c>
      <c r="V8631">
        <v>0</v>
      </c>
      <c r="W8631">
        <v>29</v>
      </c>
      <c r="X8631">
        <v>29</v>
      </c>
      <c r="Y8631">
        <v>1</v>
      </c>
      <c r="Z8631">
        <v>8</v>
      </c>
      <c r="AA8631">
        <v>25</v>
      </c>
      <c r="AB8631">
        <v>2</v>
      </c>
      <c r="AC8631">
        <v>6</v>
      </c>
      <c r="AD8631">
        <v>3.3259999800000002</v>
      </c>
      <c r="AE8631">
        <v>1</v>
      </c>
      <c r="AF8631">
        <v>5</v>
      </c>
      <c r="AG8631">
        <v>3.3239998800000001</v>
      </c>
      <c r="AH8631">
        <v>1</v>
      </c>
      <c r="AI8631">
        <v>13</v>
      </c>
      <c r="AJ8631">
        <v>1</v>
      </c>
      <c r="AK8631">
        <v>20</v>
      </c>
      <c r="AL8631">
        <v>40</v>
      </c>
      <c r="AM8631" t="s">
        <v>43</v>
      </c>
      <c r="AN8631" t="str">
        <f>HYPERLINK("https://www.google.com/maps?q=10.8934269,79.10300446","Open Location")</f>
        <v>Open Location</v>
      </c>
    </row>
    <row r="8632" spans="1:40" x14ac:dyDescent="0.3">
      <c r="A8632" s="1">
        <v>46210.000231481485</v>
      </c>
      <c r="B8632" t="s">
        <v>40</v>
      </c>
      <c r="C8632" t="s">
        <v>41</v>
      </c>
      <c r="D8632" s="1">
        <v>46210.003136574072</v>
      </c>
      <c r="E8632" t="s">
        <v>42</v>
      </c>
      <c r="F8632" t="s">
        <v>83</v>
      </c>
      <c r="G8632">
        <v>0</v>
      </c>
      <c r="H8632">
        <v>32980</v>
      </c>
      <c r="I8632" t="s">
        <v>43</v>
      </c>
      <c r="J8632">
        <v>93</v>
      </c>
      <c r="K8632">
        <v>4</v>
      </c>
      <c r="L8632">
        <v>98</v>
      </c>
      <c r="M8632">
        <v>638.20001220999995</v>
      </c>
      <c r="N8632" t="s">
        <v>85</v>
      </c>
      <c r="O8632" t="s">
        <v>82</v>
      </c>
      <c r="P8632">
        <v>125</v>
      </c>
      <c r="Q8632" t="s">
        <v>82</v>
      </c>
      <c r="R8632">
        <v>0</v>
      </c>
      <c r="S8632">
        <v>0</v>
      </c>
      <c r="T8632">
        <v>-40</v>
      </c>
      <c r="U8632">
        <v>43</v>
      </c>
      <c r="V8632">
        <v>0</v>
      </c>
      <c r="W8632">
        <v>29</v>
      </c>
      <c r="X8632">
        <v>29</v>
      </c>
      <c r="Y8632">
        <v>1</v>
      </c>
      <c r="Z8632">
        <v>8</v>
      </c>
      <c r="AA8632">
        <v>25</v>
      </c>
      <c r="AB8632">
        <v>2</v>
      </c>
      <c r="AC8632">
        <v>6</v>
      </c>
      <c r="AD8632">
        <v>3.3259999800000002</v>
      </c>
      <c r="AE8632">
        <v>1</v>
      </c>
      <c r="AF8632">
        <v>5</v>
      </c>
      <c r="AG8632">
        <v>3.3239998800000001</v>
      </c>
      <c r="AH8632">
        <v>1</v>
      </c>
      <c r="AI8632">
        <v>13</v>
      </c>
      <c r="AJ8632">
        <v>1</v>
      </c>
      <c r="AK8632">
        <v>20</v>
      </c>
      <c r="AL8632">
        <v>40</v>
      </c>
      <c r="AM8632" t="s">
        <v>43</v>
      </c>
      <c r="AN8632" t="s">
        <v>43</v>
      </c>
    </row>
    <row r="8633" spans="1:40" x14ac:dyDescent="0.3">
      <c r="A8633" s="1">
        <v>46210.000115740739</v>
      </c>
      <c r="B8633" t="s">
        <v>40</v>
      </c>
      <c r="C8633" t="s">
        <v>41</v>
      </c>
      <c r="D8633" s="1">
        <v>46210.003078703703</v>
      </c>
      <c r="E8633" t="s">
        <v>42</v>
      </c>
      <c r="F8633" t="s">
        <v>83</v>
      </c>
      <c r="G8633">
        <v>0</v>
      </c>
      <c r="H8633">
        <v>32980</v>
      </c>
      <c r="I8633" t="s">
        <v>4822</v>
      </c>
      <c r="J8633">
        <v>93</v>
      </c>
      <c r="K8633">
        <v>4</v>
      </c>
      <c r="L8633">
        <v>98</v>
      </c>
      <c r="M8633">
        <v>637.90002441000001</v>
      </c>
      <c r="N8633" t="s">
        <v>85</v>
      </c>
      <c r="O8633" t="s">
        <v>82</v>
      </c>
      <c r="P8633">
        <v>125</v>
      </c>
      <c r="Q8633" t="s">
        <v>82</v>
      </c>
      <c r="R8633">
        <v>0</v>
      </c>
      <c r="S8633">
        <v>0</v>
      </c>
      <c r="T8633">
        <v>-40</v>
      </c>
      <c r="U8633">
        <v>43</v>
      </c>
      <c r="V8633">
        <v>0</v>
      </c>
      <c r="W8633">
        <v>29</v>
      </c>
      <c r="X8633">
        <v>29</v>
      </c>
      <c r="Y8633">
        <v>1</v>
      </c>
      <c r="Z8633">
        <v>8</v>
      </c>
      <c r="AA8633">
        <v>25</v>
      </c>
      <c r="AB8633">
        <v>2</v>
      </c>
      <c r="AC8633">
        <v>6</v>
      </c>
      <c r="AD8633">
        <v>3.3259999800000002</v>
      </c>
      <c r="AE8633">
        <v>1</v>
      </c>
      <c r="AF8633">
        <v>10</v>
      </c>
      <c r="AG8633">
        <v>3.3239998800000001</v>
      </c>
      <c r="AH8633">
        <v>1</v>
      </c>
      <c r="AI8633">
        <v>13</v>
      </c>
      <c r="AJ8633">
        <v>1</v>
      </c>
      <c r="AK8633">
        <v>19</v>
      </c>
      <c r="AL8633">
        <v>40</v>
      </c>
      <c r="AM8633" t="s">
        <v>43</v>
      </c>
      <c r="AN8633" t="str">
        <f>HYPERLINK("https://www.google.com/maps?q=10.8934269,79.10300446","Open Location")</f>
        <v>Open Location</v>
      </c>
    </row>
    <row r="8634" spans="1:40" x14ac:dyDescent="0.3">
      <c r="A8634" s="1">
        <v>46210</v>
      </c>
      <c r="B8634" t="s">
        <v>40</v>
      </c>
      <c r="C8634" t="s">
        <v>41</v>
      </c>
      <c r="D8634" s="1">
        <v>46210.002847222226</v>
      </c>
      <c r="E8634" t="s">
        <v>42</v>
      </c>
      <c r="F8634" t="s">
        <v>83</v>
      </c>
      <c r="G8634">
        <v>0</v>
      </c>
      <c r="H8634">
        <v>32980</v>
      </c>
      <c r="I8634" t="s">
        <v>4823</v>
      </c>
      <c r="J8634">
        <v>93</v>
      </c>
      <c r="K8634">
        <v>3</v>
      </c>
      <c r="L8634">
        <v>98</v>
      </c>
      <c r="M8634">
        <v>637.70001220999995</v>
      </c>
      <c r="N8634" t="s">
        <v>85</v>
      </c>
      <c r="O8634" t="s">
        <v>82</v>
      </c>
      <c r="P8634">
        <v>125</v>
      </c>
      <c r="Q8634" t="s">
        <v>82</v>
      </c>
      <c r="R8634">
        <v>0</v>
      </c>
      <c r="S8634">
        <v>0</v>
      </c>
      <c r="T8634">
        <v>-40</v>
      </c>
      <c r="U8634">
        <v>43</v>
      </c>
      <c r="V8634">
        <v>0</v>
      </c>
      <c r="W8634">
        <v>29</v>
      </c>
      <c r="X8634">
        <v>29</v>
      </c>
      <c r="Y8634">
        <v>1</v>
      </c>
      <c r="Z8634">
        <v>8</v>
      </c>
      <c r="AA8634">
        <v>25</v>
      </c>
      <c r="AB8634">
        <v>2</v>
      </c>
      <c r="AC8634">
        <v>6</v>
      </c>
      <c r="AD8634">
        <v>3.3259999800000002</v>
      </c>
      <c r="AE8634">
        <v>1</v>
      </c>
      <c r="AF8634">
        <v>11</v>
      </c>
      <c r="AG8634">
        <v>3.3239998800000001</v>
      </c>
      <c r="AH8634">
        <v>1</v>
      </c>
      <c r="AI8634">
        <v>13</v>
      </c>
      <c r="AJ8634">
        <v>1</v>
      </c>
      <c r="AK8634">
        <v>20</v>
      </c>
      <c r="AL8634">
        <v>40</v>
      </c>
      <c r="AM8634" t="s">
        <v>43</v>
      </c>
      <c r="AN8634" t="str">
        <f>HYPERLINK("https://www.google.com/maps?q=10.89343071,79.10301971","Open Location")</f>
        <v>Open Location</v>
      </c>
    </row>
  </sheetData>
  <autoFilter ref="A1:AN8634" xr:uid="{00000000-0001-0000-0000-000000000000}">
    <sortState xmlns:xlrd2="http://schemas.microsoft.com/office/spreadsheetml/2017/richdata2" ref="A2:AN8634">
      <sortCondition descending="1" ref="A1:A863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vehicle-data-report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Kirubakaran P - Dy Mgr Central R&amp;D - IPLT</dc:creator>
  <cp:lastModifiedBy>Manimaran Muthu</cp:lastModifiedBy>
  <dcterms:created xsi:type="dcterms:W3CDTF">2026-07-18T04:03:32Z</dcterms:created>
  <dcterms:modified xsi:type="dcterms:W3CDTF">2026-07-18T09:42:29Z</dcterms:modified>
</cp:coreProperties>
</file>